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25" codeName="{A93C3448-2578-E12B-C58C-25EFAD1D314E}"/>
  <workbookPr updateLinks="never" codeName="ThisWorkbook" autoCompressPictures="0"/>
  <mc:AlternateContent xmlns:mc="http://schemas.openxmlformats.org/markup-compatibility/2006">
    <mc:Choice Requires="x15">
      <x15ac:absPath xmlns:x15ac="http://schemas.microsoft.com/office/spreadsheetml/2010/11/ac" url="C:\Users\costp\Downloads\"/>
    </mc:Choice>
  </mc:AlternateContent>
  <xr:revisionPtr revIDLastSave="0" documentId="8_{21BCE1DE-A92F-4080-B7E8-CD5DFB6746D2}" xr6:coauthVersionLast="34" xr6:coauthVersionMax="34" xr10:uidLastSave="{00000000-0000-0000-0000-000000000000}"/>
  <workbookProtection workbookAlgorithmName="SHA-512" workbookHashValue="k58PRRZukWnHmckxk8FkItlhN8TmMa9KWVMSP16fv8LriAiLEMbg/hpECdywmI0R6HIZZG2WIYL/pT6Vi5eSDQ==" workbookSaltValue="RCioTmRL6widPuWTnLxndQ==" workbookSpinCount="100000" lockStructure="1"/>
  <bookViews>
    <workbookView xWindow="0" yWindow="0" windowWidth="25600" windowHeight="11447" tabRatio="937" firstSheet="2" activeTab="8" xr2:uid="{2B804F6E-00A5-467E-B333-6C0C5FD9A45C}"/>
  </bookViews>
  <sheets>
    <sheet name="ANALYSIS DATABASE" sheetId="159" state="veryHidden" r:id="rId1"/>
    <sheet name="LISTS" sheetId="68" state="veryHidden" r:id="rId2"/>
    <sheet name="EULA" sheetId="12" r:id="rId3"/>
    <sheet name="ADMIN" sheetId="134" state="hidden" r:id="rId4"/>
    <sheet name="INDEX" sheetId="133" r:id="rId5"/>
    <sheet name="SETUP" sheetId="186" state="hidden" r:id="rId6"/>
    <sheet name="CATEGORY SETUP" sheetId="187" state="hidden" r:id="rId7"/>
    <sheet name="REHAB FINANCING SETUP" sheetId="37" state="hidden" r:id="rId8"/>
    <sheet name="HOME" sheetId="152" r:id="rId9"/>
    <sheet name="1 REHAB ANALYZER" sheetId="36" r:id="rId10"/>
    <sheet name="2 REPAIR ESTIMATOR" sheetId="16" r:id="rId11"/>
    <sheet name="3 SCENARIOS" sheetId="165" state="hidden" r:id="rId12"/>
    <sheet name="4 OFFERS" sheetId="166" state="hidden" r:id="rId13"/>
    <sheet name="COMPS" sheetId="167" state="hidden" r:id="rId14"/>
    <sheet name="WHOLESALE CALC" sheetId="69" state="hidden" r:id="rId15"/>
    <sheet name="RENTAL ANALYSIS" sheetId="195" state="hidden" r:id="rId16"/>
    <sheet name="RENTAL PURCHASE SETUP" sheetId="194" state="hidden" r:id="rId17"/>
    <sheet name="RENTAL LOAN SETUP" sheetId="196" state="hidden" r:id="rId18"/>
    <sheet name="REPORTING" sheetId="60" r:id="rId19"/>
    <sheet name="INSPECTION CHECKLIST" sheetId="13" state="hidden" r:id="rId20"/>
    <sheet name="INVESTMENT REPORTS" sheetId="30" state="hidden" r:id="rId21"/>
    <sheet name="ESTIMATE REPORTS" sheetId="119" state="hidden" r:id="rId22"/>
    <sheet name="PROJECT COST REPORT" sheetId="182" state="hidden" r:id="rId23"/>
    <sheet name="LENDER REPORTS" sheetId="190" state="hidden" r:id="rId24"/>
    <sheet name="HOMEOWNER REPORT" sheetId="63" state="hidden" r:id="rId25"/>
    <sheet name="COMPS REPORT" sheetId="178" state="hidden" r:id="rId26"/>
    <sheet name="RENTAL PACKET" sheetId="197" state="hidden" r:id="rId27"/>
    <sheet name="WHOLESALE REPORT" sheetId="198" state="hidden" r:id="rId28"/>
    <sheet name="SCOPE OF WORK" sheetId="25" state="hidden" r:id="rId29"/>
  </sheets>
  <functionGroup name="KTEUDF"/>
  <functionGroup name=""/>
  <functionGroup name="ASAP Utilities"/>
  <externalReferences>
    <externalReference r:id="rId30"/>
    <externalReference r:id="rId31"/>
    <externalReference r:id="rId32"/>
    <externalReference r:id="rId33"/>
  </externalReferences>
  <definedNames>
    <definedName name="_Fill" localSheetId="9" hidden="1">#REF!</definedName>
    <definedName name="_Fill" localSheetId="6" hidden="1">#REF!</definedName>
    <definedName name="_Fill" localSheetId="1" hidden="1">#REF!</definedName>
    <definedName name="_Fill" localSheetId="7" hidden="1">#REF!</definedName>
    <definedName name="_Fill" localSheetId="28" hidden="1">#REF!</definedName>
    <definedName name="_Fill" localSheetId="5" hidden="1">#REF!</definedName>
    <definedName name="_Fill" localSheetId="14" hidden="1">#REF!</definedName>
    <definedName name="_xlnm._FilterDatabase" localSheetId="9" hidden="1">'1 REHAB ANALYZER'!$C$23:$Z$94</definedName>
    <definedName name="_xlnm._FilterDatabase" localSheetId="10" hidden="1">'2 REPAIR ESTIMATOR'!$B$86:$BG$1166</definedName>
    <definedName name="_xlnm._FilterDatabase" localSheetId="25" hidden="1">'COMPS REPORT'!#REF!</definedName>
    <definedName name="_xlnm._FilterDatabase" localSheetId="21" hidden="1">'ESTIMATE REPORTS'!$C$71:$P$1118</definedName>
    <definedName name="_xlnm._FilterDatabase" localSheetId="24" hidden="1">'HOMEOWNER REPORT'!$J$13:$AF$59</definedName>
    <definedName name="_xlnm._FilterDatabase" localSheetId="19" hidden="1">'INSPECTION CHECKLIST'!$C$26:$AB$178</definedName>
    <definedName name="_xlnm._FilterDatabase" localSheetId="20" hidden="1">'INVESTMENT REPORTS'!$I$30:$AE$241</definedName>
    <definedName name="_xlnm._FilterDatabase" localSheetId="23" hidden="1">'LENDER REPORTS'!$I$28:$AE$279</definedName>
    <definedName name="_xlnm._FilterDatabase" localSheetId="22" hidden="1">'PROJECT COST REPORT'!$C$18:$O$1097</definedName>
    <definedName name="_xlnm._FilterDatabase" localSheetId="28" hidden="1">'SCOPE OF WORK'!$D$42:$Y$1389</definedName>
    <definedName name="_xlnm._FilterDatabase" localSheetId="14" hidden="1">'WHOLESALE CALC'!#REF!</definedName>
    <definedName name="_xlnm._FilterDatabase" localSheetId="27" hidden="1">'WHOLESALE REPORT'!$I$30:$AE$195</definedName>
    <definedName name="Accounting_Check_Box3" localSheetId="6">#REF!</definedName>
    <definedName name="Accounting_Check_Box6" localSheetId="6">#REF!</definedName>
    <definedName name="Accounting_Check_Box7" localSheetId="6">#REF!</definedName>
    <definedName name="ActualPlannedPeriod">#REF!=MEDIAN(#REF!,#REF!,#REF!+#REF!-1)</definedName>
    <definedName name="Adders_Percentage">'ANALYSIS DATABASE'!$D$174</definedName>
    <definedName name="Adders_Result">'ANALYSIS DATABASE'!$C$174</definedName>
    <definedName name="Admin_Freeze_Line">ADMIN!$2:$2</definedName>
    <definedName name="AFTER_REPAIR_VALUE_CELL">'1 REHAB ANALYZER'!$C$9</definedName>
    <definedName name="AFTER_REPAIR_VALUE_ESTIMATED">'ANALYSIS DATABASE'!$C$30</definedName>
    <definedName name="AFTER_REPAIR_VALUE_INITIAL_SETUP" localSheetId="6">'CATEGORY SETUP'!#REF!</definedName>
    <definedName name="After_Repair_Value_Rental">'RENTAL PURCHASE SETUP'!$AA$7</definedName>
    <definedName name="After_Repair_Value_Result">'ANALYSIS DATABASE'!$C$167</definedName>
    <definedName name="AFTER_REPAIR_VALUE_WHOLESALE">'WHOLESALE CALC'!$B$7</definedName>
    <definedName name="All_Project_Cost_Purchase_Cell">'PROJECT COST REPORT'!$G$19</definedName>
    <definedName name="All_Project_Costs_Loan1" localSheetId="6">'CATEGORY SETUP'!#REF!</definedName>
    <definedName name="All_Project_Costs_Loan1">'REHAB FINANCING SETUP'!$AV$22</definedName>
    <definedName name="All_Project_Costs_Loan2" localSheetId="6">'CATEGORY SETUP'!#REF!</definedName>
    <definedName name="All_Project_Costs_Loan2">'REHAB FINANCING SETUP'!$AV$49</definedName>
    <definedName name="All_Project_Costs_Password_Selection">ADMIN!$AT$19</definedName>
    <definedName name="All_Project_Costs_Report_Password">ADMIN!$BA$19</definedName>
    <definedName name="Analyze_Header_Row" localSheetId="6">HOME!#REF!</definedName>
    <definedName name="Analyze_Header_Row" localSheetId="22">HOME!#REF!</definedName>
    <definedName name="Analyze_Help_Freeze_Line">HOME!$2:$2</definedName>
    <definedName name="Analyze_Help_Setting">HOME!$CS$1</definedName>
    <definedName name="Analyze_Workflow_Freeze_Line">HOME!$18:$18</definedName>
    <definedName name="APPLIANCES_ESTIMATE">'1 REHAB ANALYZER'!$BG$47</definedName>
    <definedName name="APPLIANCES_w_ADDERS">'ANALYSIS DATABASE'!$C$120</definedName>
    <definedName name="AprSun1">DATE(CalendarYear,4,1)-WEEKDAY(DATE(CalendarYear,4,1))</definedName>
    <definedName name="ARV" localSheetId="11" hidden="1">#REF!</definedName>
    <definedName name="ARV" localSheetId="12" hidden="1">#REF!</definedName>
    <definedName name="ARV" localSheetId="13" hidden="1">#REF!</definedName>
    <definedName name="ARV" localSheetId="25" hidden="1">#REF!</definedName>
    <definedName name="ARV" localSheetId="8" hidden="1">#REF!</definedName>
    <definedName name="ARV">'ANALYSIS DATABASE'!$C$30</definedName>
    <definedName name="ARV_Box_Loan1" localSheetId="6">'CATEGORY SETUP'!#REF!</definedName>
    <definedName name="ARV_Box_Loan1">'REHAB FINANCING SETUP'!$BE$22</definedName>
    <definedName name="ARV_Box_Loan2" localSheetId="6">'CATEGORY SETUP'!#REF!</definedName>
    <definedName name="ARV_Box_Loan2">'REHAB FINANCING SETUP'!$BE$49</definedName>
    <definedName name="ARV_Sensitivity">'3 SCENARIOS'!$I$15</definedName>
    <definedName name="Asking_Price" localSheetId="6">[1]SETUP!#REF!</definedName>
    <definedName name="AugSun1">DATE(CalendarYear,8,1)-WEEKDAY(DATE(CalendarYear,8,1))</definedName>
    <definedName name="Bathrooms_Detailed" hidden="1">'[2]CAPITAL IMPROVEMENTS'!$AF$11</definedName>
    <definedName name="Baths" localSheetId="11" hidden="1">#REF!</definedName>
    <definedName name="Baths" localSheetId="12" hidden="1">#REF!</definedName>
    <definedName name="Baths" localSheetId="13" hidden="1">#REF!</definedName>
    <definedName name="Baths" localSheetId="25" hidden="1">#REF!</definedName>
    <definedName name="Baths" localSheetId="8" hidden="1">#REF!</definedName>
    <definedName name="Baths">'ANALYSIS DATABASE'!$C$14</definedName>
    <definedName name="Beds" localSheetId="11" hidden="1">#REF!</definedName>
    <definedName name="Beds" localSheetId="12" hidden="1">#REF!</definedName>
    <definedName name="Beds" localSheetId="13" hidden="1">#REF!</definedName>
    <definedName name="Beds" localSheetId="25" hidden="1">#REF!</definedName>
    <definedName name="Beds" localSheetId="8" hidden="1">#REF!</definedName>
    <definedName name="Beds">'ANALYSIS DATABASE'!$C$13</definedName>
    <definedName name="Bridge_Loan_Amount">'RENTAL PURCHASE SETUP'!$V$47</definedName>
    <definedName name="Bridge_Loan_Result_Row">'RENTAL PURCHASE SETUP'!$67:$67</definedName>
    <definedName name="Bridge_Loan_Setup_Rows">'RENTAL PURCHASE SETUP'!$45:$53</definedName>
    <definedName name="Buying_Costs_Dropdown">'RENTAL PURCHASE SETUP'!$R$11</definedName>
    <definedName name="Buying_Costs_Lump_Sum">'RENTAL PURCHASE SETUP'!$AA$11</definedName>
    <definedName name="Buying_Costs_Range">'1 REHAB ANALYZER'!$AA$53:$AH$54</definedName>
    <definedName name="Buying_Costs_Result">'ANALYSIS DATABASE'!$C$169</definedName>
    <definedName name="CABINETS___COUNTERTOPS_w_ADDERS">'ANALYSIS DATABASE'!$C$114</definedName>
    <definedName name="CABINETS_COUNTERS_ESTIMATE">'1 REHAB ANALYZER'!$BG$35</definedName>
    <definedName name="CalendarYear" localSheetId="25">#N/A</definedName>
    <definedName name="CalendarYear" localSheetId="8">#N/A</definedName>
    <definedName name="CalendarYear">#N/A</definedName>
    <definedName name="CARPET___RESILIENT_w_ADDERS">'ANALYSIS DATABASE'!$C$116</definedName>
    <definedName name="CARPET_ESTIMATE">'1 REHAB ANALYZER'!$BG$39</definedName>
    <definedName name="Cash_At_Closing">'ANALYSIS DATABASE'!$C$248</definedName>
    <definedName name="Cash_Check_Box">'RENTAL PURCHASE SETUP'!$O$33</definedName>
    <definedName name="Cash_During_Flip">'ANALYSIS DATABASE'!$C$252</definedName>
    <definedName name="Cash_Flow_Pages" localSheetId="26">'RENTAL PACKET'!$65:$121</definedName>
    <definedName name="Cash_Remaining_In_Deal">'RENTAL LOAN SETUP'!$21:$25</definedName>
    <definedName name="Category1">'CATEGORY SETUP'!$AD$10</definedName>
    <definedName name="Category10">'CATEGORY SETUP'!$AD$19</definedName>
    <definedName name="Category11">'CATEGORY SETUP'!$AD$20</definedName>
    <definedName name="Category12">'CATEGORY SETUP'!$AD$21</definedName>
    <definedName name="Category13">'CATEGORY SETUP'!$AD$22</definedName>
    <definedName name="Category14">'CATEGORY SETUP'!$AD$23</definedName>
    <definedName name="Category15">'CATEGORY SETUP'!$AD$24</definedName>
    <definedName name="Category16">'CATEGORY SETUP'!$AD$25</definedName>
    <definedName name="Category17">'CATEGORY SETUP'!$AD$26</definedName>
    <definedName name="Category18">'CATEGORY SETUP'!$AD$27</definedName>
    <definedName name="Category19">'CATEGORY SETUP'!$AD$28</definedName>
    <definedName name="Category2">'CATEGORY SETUP'!$AD$11</definedName>
    <definedName name="Category20">'CATEGORY SETUP'!$AD$29</definedName>
    <definedName name="Category21">'CATEGORY SETUP'!$AD$30</definedName>
    <definedName name="Category22">'CATEGORY SETUP'!$AD$31</definedName>
    <definedName name="Category23">'CATEGORY SETUP'!$AD$32</definedName>
    <definedName name="Category24">'CATEGORY SETUP'!$AD$33</definedName>
    <definedName name="Category3">'CATEGORY SETUP'!$AD$12</definedName>
    <definedName name="Category4">'CATEGORY SETUP'!$AD$13</definedName>
    <definedName name="Category5">'CATEGORY SETUP'!$AD$14</definedName>
    <definedName name="Category6">'CATEGORY SETUP'!$AD$15</definedName>
    <definedName name="Category7">'CATEGORY SETUP'!$AD$16</definedName>
    <definedName name="Category8">'CATEGORY SETUP'!$AD$17</definedName>
    <definedName name="Category9">'CATEGORY SETUP'!$AD$18</definedName>
    <definedName name="Cell_Behind_Button" localSheetId="6">HOME!#REF!</definedName>
    <definedName name="Cell_Behind_Button" localSheetId="22">HOME!#REF!</definedName>
    <definedName name="Change_Order_1_Detail" localSheetId="6">#REF!</definedName>
    <definedName name="Change_Order_10_Detail" localSheetId="6">#REF!</definedName>
    <definedName name="Change_Order_2_Detail" localSheetId="6">#REF!</definedName>
    <definedName name="Change_Order_3_Detail" localSheetId="6">#REF!</definedName>
    <definedName name="Change_Order_4_Detail" localSheetId="6">#REF!</definedName>
    <definedName name="Change_Order_5_Detail" localSheetId="6">#REF!</definedName>
    <definedName name="Change_Order_6_Detail" localSheetId="6">#REF!</definedName>
    <definedName name="Change_Order_7_Detail" localSheetId="6">#REF!</definedName>
    <definedName name="Change_Order_8_Detail" localSheetId="6">#REF!</definedName>
    <definedName name="Change_Order_9_Detail" localSheetId="6">#REF!</definedName>
    <definedName name="Change_Order1_Cell" localSheetId="6">#REF!</definedName>
    <definedName name="Change_Order1_Setting" localSheetId="6">#REF!</definedName>
    <definedName name="Change_Order10_Cell" localSheetId="6">#REF!</definedName>
    <definedName name="Change_Order10_Setting" localSheetId="6">#REF!</definedName>
    <definedName name="Change_Order2_Cell" localSheetId="6">#REF!</definedName>
    <definedName name="Change_Order2_Setting" localSheetId="6">#REF!</definedName>
    <definedName name="Change_Order3_Cell" localSheetId="6">#REF!</definedName>
    <definedName name="Change_Order3_Setting" localSheetId="6">#REF!</definedName>
    <definedName name="Change_Order4_Cell" localSheetId="6">#REF!</definedName>
    <definedName name="Change_Order4_Setting" localSheetId="6">#REF!</definedName>
    <definedName name="Change_Order5_Cell" localSheetId="6">#REF!</definedName>
    <definedName name="Change_Order5_Setting" localSheetId="6">#REF!</definedName>
    <definedName name="Change_Order6_Cell" localSheetId="6">#REF!</definedName>
    <definedName name="Change_Order6_Setting" localSheetId="6">#REF!</definedName>
    <definedName name="Change_Order7_Cell" localSheetId="6">#REF!</definedName>
    <definedName name="Change_Order7_Setting" localSheetId="6">#REF!</definedName>
    <definedName name="Change_Order8_Cell" localSheetId="6">#REF!</definedName>
    <definedName name="Change_Order8_Setting" localSheetId="6">#REF!</definedName>
    <definedName name="Change_Order9_Cell" localSheetId="6">#REF!</definedName>
    <definedName name="Change_Order9_Setting" localSheetId="6">#REF!</definedName>
    <definedName name="City_State_Zip" localSheetId="11" hidden="1">#REF!</definedName>
    <definedName name="City_State_Zip" localSheetId="12" hidden="1">#REF!</definedName>
    <definedName name="City_State_Zip" localSheetId="13" hidden="1">#REF!</definedName>
    <definedName name="City_State_Zip" localSheetId="25" hidden="1">#REF!</definedName>
    <definedName name="City_State_Zip" localSheetId="8" hidden="1">#REF!</definedName>
    <definedName name="City_State_Zip">'ANALYSIS DATABASE'!$C$9</definedName>
    <definedName name="Closing_Cost_Cell">'1 REHAB ANALYZER'!$AA$75</definedName>
    <definedName name="Comp_Cover_Setting">'COMPS REPORT'!$AE$3</definedName>
    <definedName name="Company_City_State_Zip" localSheetId="11" hidden="1">#REF!</definedName>
    <definedName name="Company_City_State_Zip" localSheetId="12" hidden="1">#REF!</definedName>
    <definedName name="Company_City_State_Zip" localSheetId="6">'CATEGORY SETUP'!#REF!</definedName>
    <definedName name="Company_City_State_Zip" localSheetId="13" hidden="1">#REF!</definedName>
    <definedName name="Company_City_State_Zip" localSheetId="8" hidden="1">#REF!</definedName>
    <definedName name="Company_City_State_Zip">SETUP!$AM$22</definedName>
    <definedName name="Company_Email" localSheetId="6">'CATEGORY SETUP'!#REF!</definedName>
    <definedName name="Company_Email">SETUP!$AM$23</definedName>
    <definedName name="Company_Fax" localSheetId="6">'CATEGORY SETUP'!#REF!</definedName>
    <definedName name="Company_Fax" localSheetId="22">'REHAB FINANCING SETUP'!#REF!</definedName>
    <definedName name="Company_Name" localSheetId="6">'CATEGORY SETUP'!#REF!</definedName>
    <definedName name="Company_Name">SETUP!$AM$20</definedName>
    <definedName name="Company_Phone" localSheetId="6">'CATEGORY SETUP'!#REF!</definedName>
    <definedName name="Company_Phone">SETUP!$AM$24</definedName>
    <definedName name="Company_Street_Address" localSheetId="6">'CATEGORY SETUP'!#REF!</definedName>
    <definedName name="Company_Street_Address">SETUP!$AM$21</definedName>
    <definedName name="Company_Website" localSheetId="6">'CATEGORY SETUP'!#REF!</definedName>
    <definedName name="Company_Website">SETUP!$AM$25</definedName>
    <definedName name="Comparable_Row_Spacers" localSheetId="6">'INVESTMENT REPORTS'!#REF!</definedName>
    <definedName name="Comparable_Sales_Report_Password">ADMIN!$BA$22</definedName>
    <definedName name="Comparable_Sales_Rows" localSheetId="6">'INVESTMENT REPORTS'!#REF!</definedName>
    <definedName name="Comparable1_Address" localSheetId="11" hidden="1">#REF!</definedName>
    <definedName name="Comparable1_Address" localSheetId="12" hidden="1">#REF!</definedName>
    <definedName name="Comparable1_Address" localSheetId="25" hidden="1">#REF!</definedName>
    <definedName name="Comparable1_Address" localSheetId="8" hidden="1">#REF!</definedName>
    <definedName name="Comparable1_Baths" localSheetId="11" hidden="1">#REF!</definedName>
    <definedName name="Comparable1_Baths" localSheetId="12" hidden="1">#REF!</definedName>
    <definedName name="Comparable1_Baths" localSheetId="13">COMPS!$AJ$17</definedName>
    <definedName name="Comparable1_Baths" localSheetId="25" hidden="1">#REF!</definedName>
    <definedName name="Comparable1_Baths" localSheetId="8" hidden="1">#REF!</definedName>
    <definedName name="Comparable1_Beds" localSheetId="11" hidden="1">#REF!</definedName>
    <definedName name="Comparable1_Beds" localSheetId="12" hidden="1">#REF!</definedName>
    <definedName name="Comparable1_Beds" localSheetId="13">COMPS!$AJ$16</definedName>
    <definedName name="Comparable1_Beds" localSheetId="25" hidden="1">#REF!</definedName>
    <definedName name="Comparable1_Beds" localSheetId="8" hidden="1">#REF!</definedName>
    <definedName name="Comparable1_City_State_Zip">COMPS!$AJ$7</definedName>
    <definedName name="Comparable1_DOM">COMPS!$AJ$13</definedName>
    <definedName name="Comparable1_Garages">COMPS!$AJ$18</definedName>
    <definedName name="Comparable1_List_Price">COMPS!$AJ$10</definedName>
    <definedName name="Comparable1_Neighborhood">COMPS!$AJ$8</definedName>
    <definedName name="Comparable1_Sales_Price" localSheetId="11" hidden="1">#REF!</definedName>
    <definedName name="Comparable1_Sales_Price" localSheetId="12" hidden="1">#REF!</definedName>
    <definedName name="Comparable1_Sales_Price" localSheetId="13" hidden="1">#REF!</definedName>
    <definedName name="Comparable1_Sales_Price" localSheetId="25" hidden="1">#REF!</definedName>
    <definedName name="Comparable1_Sales_Price" localSheetId="8" hidden="1">#REF!</definedName>
    <definedName name="Comparable1_School_District">COMPS!$AJ$9</definedName>
    <definedName name="Comparable1_SF" localSheetId="11" hidden="1">#REF!</definedName>
    <definedName name="Comparable1_SF" localSheetId="12" hidden="1">#REF!</definedName>
    <definedName name="Comparable1_SF" localSheetId="13">COMPS!$AJ$19</definedName>
    <definedName name="Comparable1_SF" localSheetId="25" hidden="1">#REF!</definedName>
    <definedName name="Comparable1_SF" localSheetId="8" hidden="1">#REF!</definedName>
    <definedName name="Comparable1_Status">COMPS!$AJ$11</definedName>
    <definedName name="Comparable1_Street_Address">COMPS!$AJ$6</definedName>
    <definedName name="Comparable2_Address" localSheetId="11" hidden="1">#REF!</definedName>
    <definedName name="Comparable2_Address" localSheetId="12" hidden="1">#REF!</definedName>
    <definedName name="Comparable2_Address" localSheetId="25" hidden="1">#REF!</definedName>
    <definedName name="Comparable2_Address" localSheetId="8" hidden="1">#REF!</definedName>
    <definedName name="Comparable2_Baths" localSheetId="11" hidden="1">#REF!</definedName>
    <definedName name="Comparable2_Baths" localSheetId="12" hidden="1">#REF!</definedName>
    <definedName name="Comparable2_Baths" localSheetId="13">COMPS!$AW$17</definedName>
    <definedName name="Comparable2_Baths" localSheetId="25" hidden="1">#REF!</definedName>
    <definedName name="Comparable2_Baths" localSheetId="8" hidden="1">#REF!</definedName>
    <definedName name="Comparable2_Beds" localSheetId="11" hidden="1">#REF!</definedName>
    <definedName name="Comparable2_Beds" localSheetId="12" hidden="1">#REF!</definedName>
    <definedName name="Comparable2_Beds" localSheetId="13">COMPS!$AW$16</definedName>
    <definedName name="Comparable2_Beds" localSheetId="25" hidden="1">#REF!</definedName>
    <definedName name="Comparable2_Beds" localSheetId="8" hidden="1">#REF!</definedName>
    <definedName name="Comparable2_City_State_Zip">COMPS!$AW$7</definedName>
    <definedName name="Comparable2_DOM">COMPS!$AW$13</definedName>
    <definedName name="Comparable2_Garages">COMPS!$AW$18</definedName>
    <definedName name="Comparable2_List_Price">COMPS!$AW$10</definedName>
    <definedName name="Comparable2_Neighborhood">COMPS!$AW$8</definedName>
    <definedName name="Comparable2_Sales_Price" localSheetId="11" hidden="1">#REF!</definedName>
    <definedName name="Comparable2_Sales_Price" localSheetId="12" hidden="1">#REF!</definedName>
    <definedName name="Comparable2_Sales_Price" localSheetId="13" hidden="1">#REF!</definedName>
    <definedName name="Comparable2_Sales_Price" localSheetId="25" hidden="1">#REF!</definedName>
    <definedName name="Comparable2_Sales_Price" localSheetId="8" hidden="1">#REF!</definedName>
    <definedName name="Comparable2_School_District">COMPS!$AW$9</definedName>
    <definedName name="Comparable2_SF" localSheetId="11" hidden="1">#REF!</definedName>
    <definedName name="Comparable2_SF" localSheetId="12" hidden="1">#REF!</definedName>
    <definedName name="Comparable2_SF" localSheetId="13">COMPS!$AW$19</definedName>
    <definedName name="Comparable2_SF" localSheetId="25" hidden="1">#REF!</definedName>
    <definedName name="Comparable2_SF" localSheetId="8" hidden="1">#REF!</definedName>
    <definedName name="Comparable2_Status">COMPS!$AW$11</definedName>
    <definedName name="Comparable2_Street_Address">COMPS!$AW$6</definedName>
    <definedName name="Comparable3_Address" localSheetId="11" hidden="1">#REF!</definedName>
    <definedName name="Comparable3_Address" localSheetId="12" hidden="1">#REF!</definedName>
    <definedName name="Comparable3_Address" localSheetId="25" hidden="1">#REF!</definedName>
    <definedName name="Comparable3_Address" localSheetId="8" hidden="1">#REF!</definedName>
    <definedName name="Comparable3_Baths" localSheetId="11" hidden="1">#REF!</definedName>
    <definedName name="Comparable3_Baths" localSheetId="12" hidden="1">#REF!</definedName>
    <definedName name="Comparable3_Baths" localSheetId="13">COMPS!$BJ$17</definedName>
    <definedName name="Comparable3_Baths" localSheetId="25" hidden="1">#REF!</definedName>
    <definedName name="Comparable3_Baths" localSheetId="8" hidden="1">#REF!</definedName>
    <definedName name="Comparable3_Beds" localSheetId="11" hidden="1">#REF!</definedName>
    <definedName name="Comparable3_Beds" localSheetId="12" hidden="1">#REF!</definedName>
    <definedName name="Comparable3_Beds" localSheetId="13">COMPS!$BJ$16</definedName>
    <definedName name="Comparable3_Beds" localSheetId="25" hidden="1">#REF!</definedName>
    <definedName name="Comparable3_Beds" localSheetId="8" hidden="1">#REF!</definedName>
    <definedName name="Comparable3_City_State_Zip">COMPS!$BJ$7</definedName>
    <definedName name="Comparable3_DOM">COMPS!$BJ$13</definedName>
    <definedName name="Comparable3_Garages">COMPS!$BJ$18</definedName>
    <definedName name="Comparable3_List_Price">COMPS!$BJ$10</definedName>
    <definedName name="Comparable3_Neighborhood">COMPS!$BJ$8</definedName>
    <definedName name="Comparable3_Sales_Price" localSheetId="11" hidden="1">#REF!</definedName>
    <definedName name="Comparable3_Sales_Price" localSheetId="12" hidden="1">#REF!</definedName>
    <definedName name="Comparable3_Sales_Price" localSheetId="13" hidden="1">#REF!</definedName>
    <definedName name="Comparable3_Sales_Price" localSheetId="25" hidden="1">#REF!</definedName>
    <definedName name="Comparable3_Sales_Price" localSheetId="8" hidden="1">#REF!</definedName>
    <definedName name="Comparable3_School_District">COMPS!$BJ$9</definedName>
    <definedName name="Comparable3_SF" localSheetId="11" hidden="1">#REF!</definedName>
    <definedName name="Comparable3_SF" localSheetId="12" hidden="1">#REF!</definedName>
    <definedName name="Comparable3_SF" localSheetId="13">COMPS!$BJ$19</definedName>
    <definedName name="Comparable3_SF" localSheetId="25" hidden="1">#REF!</definedName>
    <definedName name="Comparable3_SF" localSheetId="8" hidden="1">#REF!</definedName>
    <definedName name="Comparable3_Status">COMPS!$BJ$11</definedName>
    <definedName name="Comparable3_Street_Address">COMPS!$BJ$6</definedName>
    <definedName name="Comparables_Cover_Page" localSheetId="6">'COMPS REPORT'!#REF!</definedName>
    <definedName name="Comparables_Cover_Page" localSheetId="22">'COMPS REPORT'!#REF!</definedName>
    <definedName name="Comparables_Data">'ANALYSIS DATABASE'!$C$257</definedName>
    <definedName name="Comparables_Freeze_Line">COMPS!$3:$3</definedName>
    <definedName name="Comparables_Password">ADMIN!$BA$11</definedName>
    <definedName name="Comparables_Password_Selection">ADMIN!$AT$11</definedName>
    <definedName name="Comparables_Report_Freeze_Line">'COMPS REPORT'!$5:$5</definedName>
    <definedName name="Comparables_Report_Print_Area">'COMPS REPORT'!$D$6:$X$125</definedName>
    <definedName name="Comparables_Sales_Password_Selection">ADMIN!$AT$22</definedName>
    <definedName name="Comps_Cover_Setting">'COMPS REPORT'!$AE$3</definedName>
    <definedName name="Comps_Descr" localSheetId="6">'COMPS REPORT'!#REF!</definedName>
    <definedName name="Comps_Descr" localSheetId="22">'COMPS REPORT'!#REF!</definedName>
    <definedName name="Comps_Detail">'COMPS REPORT'!$AG$3</definedName>
    <definedName name="Comps_Detail_Page1">'COMPS REPORT'!$49:$95</definedName>
    <definedName name="Comps_Detail_Page2" localSheetId="6">'COMPS REPORT'!#REF!</definedName>
    <definedName name="Comps_Detail_Page2" localSheetId="22">'COMPS REPORT'!#REF!</definedName>
    <definedName name="Comps_Detail_Pages">'COMPS REPORT'!$49:$95</definedName>
    <definedName name="Comps_Detail_Setting">'COMPS REPORT'!$AG$3</definedName>
    <definedName name="Comps_First_Cell">'COMPS REPORT'!$H$10</definedName>
    <definedName name="Comps_Map_Page">'COMPS REPORT'!$96:$125</definedName>
    <definedName name="Comps_Map_Setting">'COMPS REPORT'!$AH$3</definedName>
    <definedName name="Comps_Report_Page" localSheetId="23">'LENDER REPORTS'!$180:$220</definedName>
    <definedName name="Comps_Report_Page" localSheetId="27">'WHOLESALE REPORT'!$100:$140</definedName>
    <definedName name="Comps_Report_Page">'INVESTMENT REPORTS'!$143:$183</definedName>
    <definedName name="Comps_Report_Summary_Setting" localSheetId="23">'LENDER REPORTS'!$AL$3</definedName>
    <definedName name="Comps_Report_Summary_Setting" localSheetId="27">'WHOLESALE REPORT'!$AJ$3</definedName>
    <definedName name="Comps_Report_Summary_Setting">'INVESTMENT REPORTS'!$AK$3</definedName>
    <definedName name="Comps_Summary_Page">'COMPS REPORT'!$6:$48</definedName>
    <definedName name="Comps_Summary_Setting">'COMPS REPORT'!$AF$3</definedName>
    <definedName name="Concatenated_Address">'ANALYSIS DATABASE'!$C$10</definedName>
    <definedName name="Concatentated_Property_Characteristics">'ANALYSIS DATABASE'!$C$19</definedName>
    <definedName name="CONCRETE___FLATWORK_w_ADDERS">'ANALYSIS DATABASE'!$C$104</definedName>
    <definedName name="Concrete_Detailed" hidden="1">'[2]CAPITAL IMPROVEMENTS'!$U$10</definedName>
    <definedName name="CONCRETE_ESTIMATE">'1 REHAB ANALYZER'!$BG$15</definedName>
    <definedName name="Construction_Costs_Dollar_per_SF">'RENTAL PURCHASE SETUP'!$W$15</definedName>
    <definedName name="Construction_Costs_Dropdown">'RENTAL PURCHASE SETUP'!$R$15</definedName>
    <definedName name="Construction_Costs_Lump_Sum">'RENTAL PURCHASE SETUP'!$AA$15</definedName>
    <definedName name="Contingency_Amount">'ANALYSIS DATABASE'!$C$135</definedName>
    <definedName name="Contingency_Percentage">'ANALYSIS DATABASE'!$C$130</definedName>
    <definedName name="Contingency_Percentage_Adjustment">'3 SCENARIOS'!$CF$21</definedName>
    <definedName name="Contractors_Overhead_Profit_Amount">'ANALYSIS DATABASE'!$C$134</definedName>
    <definedName name="Contractos_Overhead_Percentage">'ANALYSIS DATABASE'!$C$129</definedName>
    <definedName name="Conventional_Loan_Rows">'RENTAL PURCHASE SETUP'!$39:$44</definedName>
    <definedName name="Current_Sheet_View">'ANALYSIS DATABASE'!$C$4</definedName>
    <definedName name="Debt_Financing_Cost">'REHAB FINANCING SETUP'!$114:$125</definedName>
    <definedName name="Debt_Financing_Costs">'REHAB FINANCING SETUP'!$114:$125</definedName>
    <definedName name="Debt_Financing_Row">'REHAB FINANCING SETUP'!$108:$108</definedName>
    <definedName name="Debt_Financing_Rows">'REHAB FINANCING SETUP'!$99:$102</definedName>
    <definedName name="DECKING_AND_PATIOS_w_ADDERS">'ANALYSIS DATABASE'!$C$107</definedName>
    <definedName name="DECKING_ESTIMATE">'1 REHAB ANALYZER'!$BG$21</definedName>
    <definedName name="DecSun1">DATE(CalendarYear,12,1)-WEEKDAY(DATE(CalendarYear,12,1))</definedName>
    <definedName name="Demolition_Detailed" hidden="1">'[2]CAPITAL IMPROVEMENTS'!$U$9</definedName>
    <definedName name="DEMOLITION_ESTIMATE">'1 REHAB ANALYZER'!$BG$11</definedName>
    <definedName name="DEMOLITION_w_ADDERS">'ANALYSIS DATABASE'!$C$102</definedName>
    <definedName name="Detailed_Estimate_Adders_Rows" localSheetId="22">'PROJECT COST REPORT'!$1085:$1091</definedName>
    <definedName name="Detailed_Estimate_Adders_Rows">'ESTIMATE REPORTS'!$1108:$1114</definedName>
    <definedName name="Detailed_Estimate_Report_Desc" localSheetId="22">'PROJECT COST REPORT'!#REF!</definedName>
    <definedName name="Detailed_Estimate_Report_Print_Range" localSheetId="22">'PROJECT COST REPORT'!$C$12:$H$1095</definedName>
    <definedName name="Detailed_Estimate_Report_Print_Range">'ESTIMATE REPORTS'!$C$66:$O$1116</definedName>
    <definedName name="Detailed_Estimate_Report_Range" localSheetId="22">'PROJECT COST REPORT'!$12:$1095</definedName>
    <definedName name="Detailed_Estimate_Report_Range">'ESTIMATE REPORTS'!$66:$1116</definedName>
    <definedName name="Detailed_Estimate_Setting" localSheetId="22">'PROJECT COST REPORT'!#REF!</definedName>
    <definedName name="Detailed_Estimate_Setting">'ESTIMATE REPORTS'!$AD$3</definedName>
    <definedName name="Detailed_Estimate_Sort_Range" localSheetId="22">'PROJECT COST REPORT'!$C$18:$O$1095</definedName>
    <definedName name="Detailed_Estimate_Sort_Range">'ESTIMATE REPORTS'!$C$71:$P$1116</definedName>
    <definedName name="DIY_Savings" localSheetId="11" hidden="1">'[3]3-Repair Cost Calculator'!$Q$14</definedName>
    <definedName name="DIY_Savings" localSheetId="12" hidden="1">'[3]3-Repair Cost Calculator'!$Q$14</definedName>
    <definedName name="DIY_Savings" localSheetId="13" hidden="1">'[3]3-Repair Cost Calculator'!$Q$14</definedName>
    <definedName name="DIY_Savings" localSheetId="25" hidden="1">'[3]3-Repair Cost Calculator'!$Q$14</definedName>
    <definedName name="DIY_Savings" localSheetId="8" hidden="1">'[3]3-Repair Cost Calculator'!$Q$14</definedName>
    <definedName name="DIY_Savings">'2 REPAIR ESTIMATOR'!$AM$84</definedName>
    <definedName name="DIYED" localSheetId="11" hidden="1">'[3]3-Repair Cost Calculator'!$W$6</definedName>
    <definedName name="DIYED" localSheetId="12" hidden="1">'[3]3-Repair Cost Calculator'!$W$6</definedName>
    <definedName name="DIYED" localSheetId="13" hidden="1">'[3]3-Repair Cost Calculator'!$W$6</definedName>
    <definedName name="DIYED" localSheetId="25" hidden="1">'[3]3-Repair Cost Calculator'!$W$6</definedName>
    <definedName name="DIYED" localSheetId="8" hidden="1">'[3]3-Repair Cost Calculator'!$W$6</definedName>
    <definedName name="DIYED">'2 REPAIR ESTIMATOR'!$BB$76</definedName>
    <definedName name="DOORS___TRIM_w_ADDERS">'ANALYSIS DATABASE'!$C$115</definedName>
    <definedName name="Doors_Trim_Detailed" hidden="1">'[2]CAPITAL IMPROVEMENTS'!$AF$12</definedName>
    <definedName name="DOORS_TRIM_ESTIMATE">'1 REHAB ANALYZER'!$BG$37</definedName>
    <definedName name="Doors_Windows_Detailed" hidden="1">'[2]CAPITAL IMPROVEMENTS'!$U$13</definedName>
    <definedName name="DOORS_WINDOWS_ESTIMATE">'1 REHAB ANALYZER'!$BG$25</definedName>
    <definedName name="Down_Payment" localSheetId="11" hidden="1">#REF!</definedName>
    <definedName name="Down_Payment" localSheetId="12" hidden="1">#REF!</definedName>
    <definedName name="Down_Payment" localSheetId="13" hidden="1">#REF!</definedName>
    <definedName name="Down_Payment" localSheetId="25" hidden="1">#REF!</definedName>
    <definedName name="Down_Payment" localSheetId="8" hidden="1">#REF!</definedName>
    <definedName name="Down_Payment">'ANALYSIS DATABASE'!$C$193</definedName>
    <definedName name="Down_Payment_Loan1" localSheetId="6">'ANALYSIS DATABASE'!#REF!</definedName>
    <definedName name="Down_Payment_Loan1" localSheetId="22">'ANALYSIS DATABASE'!#REF!</definedName>
    <definedName name="Dp_LTV_Dropdown">LISTS!$J$17:$J$18</definedName>
    <definedName name="Electrical">'2 REPAIR ESTIMATOR'!$AT$81</definedName>
    <definedName name="Electrical_Detailed" hidden="1">'[2]CAPITAL IMPROVEMENTS'!$AQ$12</definedName>
    <definedName name="ELECTRICAL_ESTIMATE">'1 REHAB ANALYZER'!$BG$53</definedName>
    <definedName name="ELECTRICAL_w_ADDERS">'ANALYSIS DATABASE'!$C$123</definedName>
    <definedName name="Equity_Financing_Cost_Row">'REHAB FINANCING SETUP'!$132:$132</definedName>
    <definedName name="Equity_Financing_Costs">'REHAB FINANCING SETUP'!$126:$128</definedName>
    <definedName name="Equity_Financing_Rows">'REHAB FINANCING SETUP'!$103:$105</definedName>
    <definedName name="Equity_Financing_Total">'REHAB FINANCING SETUP'!$109:$109</definedName>
    <definedName name="Equity_Rows">'REHAB FINANCING SETUP'!$71:$92</definedName>
    <definedName name="Estimate_Breakdown_Rows" localSheetId="6">'INVESTMENT REPORTS'!#REF!</definedName>
    <definedName name="Estimate_Report_Adders_Selection" localSheetId="22">'PROJECT COST REPORT'!#REF!</definedName>
    <definedName name="Estimate_Report_Adders_Selection">'ESTIMATE REPORTS'!$S$69</definedName>
    <definedName name="Estimate_Report_All_Rows" localSheetId="22">'PROJECT COST REPORT'!$2:$1095</definedName>
    <definedName name="Estimate_Report_All_Rows">'ESTIMATE REPORTS'!$2:$1116</definedName>
    <definedName name="Estimate_Report_DIYED_SUBBED_CELL" localSheetId="22">'PROJECT COST REPORT'!$G$3</definedName>
    <definedName name="Estimate_Report_DIYED_SUBBED_CELL">'ESTIMATE REPORTS'!$N$3</definedName>
    <definedName name="Estimate_REport_Help">'ESTIMATE REPORTS'!$5:$11</definedName>
    <definedName name="Estimate_Report_Options_Range" localSheetId="6">'ESTIMATE REPORTS'!#REF!</definedName>
    <definedName name="Estimate_Report_Options_Range" localSheetId="22">'PROJECT COST REPORT'!#REF!</definedName>
    <definedName name="Estimate_Report_Page" localSheetId="23">'LENDER REPORTS'!$221:$261</definedName>
    <definedName name="Estimate_Report_Page" localSheetId="27">'WHOLESALE REPORT'!$141:$181</definedName>
    <definedName name="Estimate_Report_Page">'INVESTMENT REPORTS'!$184:$224</definedName>
    <definedName name="Estimate_Report_Password_Selection">ADMIN!$AT$17</definedName>
    <definedName name="Estimate_Report_Summary_Setting" localSheetId="23">'LENDER REPORTS'!$AM$3</definedName>
    <definedName name="Estimate_Report_Summary_Setting" localSheetId="27">'WHOLESALE REPORT'!$AK$3</definedName>
    <definedName name="Estimate_Report_Summary_Setting">'INVESTMENT REPORTS'!$AL$3</definedName>
    <definedName name="Estimate_Reports_Print_Range" localSheetId="22">'PROJECT COST REPORT'!$C$12:$H$1095</definedName>
    <definedName name="Estimate_Reports_Print_Range">'ESTIMATE REPORTS'!$C$13:$O$1116</definedName>
    <definedName name="Estimate_Row_Spacers" localSheetId="6">'INVESTMENT REPORTS'!#REF!</definedName>
    <definedName name="Estimate_Scope_1_Result">'1 REHAB ANALYZER'!$AQ$98</definedName>
    <definedName name="Estimate_Scope_10_Result">'1 REHAB ANALYZER'!$AQ$107</definedName>
    <definedName name="Estimate_Scope_11_Result">'1 REHAB ANALYZER'!$AQ$108</definedName>
    <definedName name="Estimate_Scope_12_Result">'1 REHAB ANALYZER'!$AQ$109</definedName>
    <definedName name="Estimate_Scope_13_Result">'1 REHAB ANALYZER'!$AQ$110</definedName>
    <definedName name="Estimate_Scope_14_Result">'1 REHAB ANALYZER'!$AQ$111</definedName>
    <definedName name="Estimate_Scope_15_Result">'1 REHAB ANALYZER'!$AQ$112</definedName>
    <definedName name="Estimate_Scope_16_Result">'1 REHAB ANALYZER'!$AQ$113</definedName>
    <definedName name="Estimate_Scope_17_Result">'1 REHAB ANALYZER'!$AQ$114</definedName>
    <definedName name="Estimate_Scope_18_Result">'1 REHAB ANALYZER'!$AQ$115</definedName>
    <definedName name="Estimate_Scope_19_Result">'1 REHAB ANALYZER'!$AQ$116</definedName>
    <definedName name="Estimate_Scope_2_Result">'1 REHAB ANALYZER'!$AQ$99</definedName>
    <definedName name="Estimate_Scope_20_Result">'1 REHAB ANALYZER'!$AQ$117</definedName>
    <definedName name="Estimate_Scope_21_Result">'1 REHAB ANALYZER'!$AQ$118</definedName>
    <definedName name="Estimate_Scope_22_Result">'1 REHAB ANALYZER'!$AQ$119</definedName>
    <definedName name="Estimate_Scope_23_Result">'1 REHAB ANALYZER'!$AQ$120</definedName>
    <definedName name="Estimate_Scope_24_Result">'1 REHAB ANALYZER'!$AQ$121</definedName>
    <definedName name="Estimate_Scope_3_Result">'1 REHAB ANALYZER'!$AQ$100</definedName>
    <definedName name="Estimate_Scope_4_Result">'1 REHAB ANALYZER'!$AQ$101</definedName>
    <definedName name="Estimate_Scope_5_Result">'1 REHAB ANALYZER'!$AQ$102</definedName>
    <definedName name="Estimate_Scope_6_Result">'1 REHAB ANALYZER'!$AQ$103</definedName>
    <definedName name="Estimate_Scope_7_Result">'1 REHAB ANALYZER'!$AQ$104</definedName>
    <definedName name="Estimate_Scope_8_Result">'1 REHAB ANALYZER'!$AQ$105</definedName>
    <definedName name="Estimate_Scope_9_Result">'1 REHAB ANALYZER'!$AQ$106</definedName>
    <definedName name="Estimate_Sensitivity">'3 SCENARIOS'!$I$17</definedName>
    <definedName name="ESTIMATE_SMMARY_PRINT_RANGE" localSheetId="22">'PROJECT COST REPORT'!#REF!</definedName>
    <definedName name="ESTIMATE_SMMARY_PRINT_RANGE">'ESTIMATE REPORTS'!$C$14:$O$64</definedName>
    <definedName name="ESTIMATE_SUBTOTAL">'1 REHAB ANALYZER'!$BG$57</definedName>
    <definedName name="Estimate_Summary_Range" localSheetId="22">'PROJECT COST REPORT'!#REF!</definedName>
    <definedName name="Estimate_Summary_Range">'ESTIMATE REPORTS'!$14:$64</definedName>
    <definedName name="Estimate_Summary_Setting" localSheetId="22">'PROJECT COST REPORT'!#REF!</definedName>
    <definedName name="Estimate_Summary_Setting">'ESTIMATE REPORTS'!$AC$3</definedName>
    <definedName name="Estimating_Checklist_Check_Box1">'2 REPAIR ESTIMATOR'!$D$1171</definedName>
    <definedName name="Estimating_Checklist_Check_Box2">'2 REPAIR ESTIMATOR'!$D$1173</definedName>
    <definedName name="Estimating_Checklist_Check_Box3">'2 REPAIR ESTIMATOR'!$D$1175</definedName>
    <definedName name="Estimating_Checklist_Check_Box4">'2 REPAIR ESTIMATOR'!$D$1177</definedName>
    <definedName name="Estimating_Checklist_Check_Box5">'2 REPAIR ESTIMATOR'!$D$1179</definedName>
    <definedName name="Estimating_Checklist_Check_Box6">'2 REPAIR ESTIMATOR'!$D$1181</definedName>
    <definedName name="Estimating_Checklist_Check_Box7">'2 REPAIR ESTIMATOR'!$D$1183</definedName>
    <definedName name="Estimating_Checklist_Check_Box8">'2 REPAIR ESTIMATOR'!$D$1185</definedName>
    <definedName name="Estimator_Adders_Cells">'2 REPAIR ESTIMATOR'!$H$76:$I$79</definedName>
    <definedName name="Estimator_Building_Permit_Cell">'2 REPAIR ESTIMATOR'!$H$77</definedName>
    <definedName name="Estimator_Columns">'2 REPAIR ESTIMATOR'!$B:$AZ</definedName>
    <definedName name="Estimator_Contingency_Amount">'2 REPAIR ESTIMATOR'!$J$79</definedName>
    <definedName name="Estimator_Contingency_Cell">'2 REPAIR ESTIMATOR'!$H$79</definedName>
    <definedName name="Estimator_Contractor_Overhead_Amount">'2 REPAIR ESTIMATOR'!$J$78</definedName>
    <definedName name="Estimator_Contractor_Overhead_Cell">'2 REPAIR ESTIMATOR'!$H$78</definedName>
    <definedName name="Estimator_Location_Multiplier_Amount">'2 REPAIR ESTIMATOR'!$J$76</definedName>
    <definedName name="Estimator_Location_Multiplier_Cell">'2 REPAIR ESTIMATOR'!$H$76</definedName>
    <definedName name="Estimator_Lock_Cell">'2 REPAIR ESTIMATOR'!$A$3</definedName>
    <definedName name="Estimator_Permit_Cost_Amount">'2 REPAIR ESTIMATOR'!$J$77</definedName>
    <definedName name="Estimator_Range">'2 REPAIR ESTIMATOR'!$B$74:$AZ$1165</definedName>
    <definedName name="Estimator_Scope_Total_Column1">'2 REPAIR ESTIMATOR'!$U$75:$X$82</definedName>
    <definedName name="Estimator_Scope_Total_Column2">'2 REPAIR ESTIMATOR'!$AF$75:$AI$82</definedName>
    <definedName name="Estimator_Scope_Total_Column3">'2 REPAIR ESTIMATOR'!$AQ$75:$AT$82</definedName>
    <definedName name="Estimator_Scope_Totals">'2 REPAIR ESTIMATOR'!$U$75:$X$82,'2 REPAIR ESTIMATOR'!$AF$75:$AI$82,'2 REPAIR ESTIMATOR'!$AQ$75:$AT$82</definedName>
    <definedName name="Estimator_Total_Adder_Amount">'2 REPAIR ESTIMATOR'!$J$80</definedName>
    <definedName name="Estimator_Total_Columns">'2 REPAIR ESTIMATOR'!$AD$84:$AT$1164</definedName>
    <definedName name="Estimator_Total_Estimate_Cell">'2 REPAIR ESTIMATOR'!$B$74:$M$82</definedName>
    <definedName name="Existing_Bridge_Loan_Amount">'RENTAL LOAN SETUP'!$22:$22</definedName>
    <definedName name="EXT._DOORS___WINDOWS_w_ADDERS">'ANALYSIS DATABASE'!$C$109</definedName>
    <definedName name="Extra_Property_Photos">"Picture 64,Picture 63,Picture 62"</definedName>
    <definedName name="Extra_PropertyPhotos">"Picture 64,Picture 63,Picture 62"</definedName>
    <definedName name="FebSun1">DATE(CalendarYear,2,1)-WEEKDAY(DATE(CalendarYear,2,1))</definedName>
    <definedName name="Financing_Setup_Page" localSheetId="6">'CATEGORY SETUP'!#REF!</definedName>
    <definedName name="Financing_Setup_Page">'REHAB FINANCING SETUP'!$18:$134</definedName>
    <definedName name="Financing_Sheet_Password">ADMIN!$BA$5</definedName>
    <definedName name="Financing_Sheet_Password_Selection">ADMIN!$AT$5</definedName>
    <definedName name="Financing_Space" localSheetId="6">'CATEGORY SETUP'!#REF!</definedName>
    <definedName name="Financing_Space">'REHAB FINANCING SETUP'!$43:$43</definedName>
    <definedName name="Fixed_Cost_Calculation_Method">'1 REHAB ANALYZER'!$X$16</definedName>
    <definedName name="Fixed_Costs_Allocation_Selection">'HOMEOWNER REPORT'!$D$82</definedName>
    <definedName name="Fixed_Costs_Dropdown">LISTS!$J$21:$J$22</definedName>
    <definedName name="Fixed_Costs_Setting">'HOMEOWNER REPORT'!$AF$3</definedName>
    <definedName name="Flooring_Detailed" hidden="1">'[2]CAPITAL IMPROVEMENTS'!$AQ$8</definedName>
    <definedName name="FRAMING___DRYWALL_w_ADDERS">'ANALYSIS DATABASE'!$C$113</definedName>
    <definedName name="Framing_Drywall_Detailed" hidden="1">'[2]CAPITAL IMPROVEMENTS'!$AF$13</definedName>
    <definedName name="FRAMING_DRYWALL_ESTIMATE">'1 REHAB ANALYZER'!$BG$33</definedName>
    <definedName name="Funding_Rows">'RENTAL PURCHASE SETUP'!$35:$38</definedName>
    <definedName name="Funding_Strategy">'ANALYSIS DATABASE'!$C$183</definedName>
    <definedName name="Furnishings">'2 REPAIR ESTIMATOR'!$AT$82</definedName>
    <definedName name="GARAGE_DOORS_ESTIMATE">'1 REHAB ANALYZER'!$BG$27</definedName>
    <definedName name="GARAGE_DOORS_w_ADDERS">'ANALYSIS DATABASE'!$C$110</definedName>
    <definedName name="GC_ESTIMATE">'1 REHAB ANALYZER'!$BG$9</definedName>
    <definedName name="General_Conditions_Detailed" hidden="1">'[2]CAPITAL IMPROVEMENTS'!$U$8</definedName>
    <definedName name="General_Conditions_First_Cell">'SCOPE OF WORK'!$P$44</definedName>
    <definedName name="GENERAL_CONDITIONS_w_ADDERS">'ANALYSIS DATABASE'!$C$101</definedName>
    <definedName name="Getting_Started_Rows">HOME!$2:$2</definedName>
    <definedName name="HARDWOOD_ESTIMATE">'1 REHAB ANALYZER'!$BG$41</definedName>
    <definedName name="HARDWOOD_FLOORING_w_ADDERS">'ANALYSIS DATABASE'!$C$117</definedName>
    <definedName name="HOA_Dues" localSheetId="6">'CATEGORY SETUP'!#REF!</definedName>
    <definedName name="HOA_Dues" localSheetId="22">'REHAB FINANCING SETUP'!#REF!</definedName>
    <definedName name="Holding_Costs_Result">'ANALYSIS DATABASE'!$C$170</definedName>
    <definedName name="Homeowner_Freeze_Line">'HOMEOWNER REPORT'!$5:$5</definedName>
    <definedName name="Homeowner_Offer_Comparables_Range">'HOMEOWNER REPORT'!$21:$27</definedName>
    <definedName name="Homeowner_Offer_Fixed_Costs_Range">'HOMEOWNER REPORT'!$59:$64</definedName>
    <definedName name="Homeowner_Offer_Password_Selection">ADMIN!$AT$21</definedName>
    <definedName name="Homeowner_Offer_Profit_Range">'HOMEOWNER REPORT'!$66:$67</definedName>
    <definedName name="Homeowner_Offer_Report_Password">ADMIN!$BA$21</definedName>
    <definedName name="Homeowner_Offer_Report_Range">'HOMEOWNER REPORT'!$5:$11</definedName>
    <definedName name="HVAC">'2 REPAIR ESTIMATOR'!$AT$80</definedName>
    <definedName name="HVAC_Detailed" hidden="1">'[2]CAPITAL IMPROVEMENTS'!$AQ$11</definedName>
    <definedName name="HVAC_ESTIMATE">'1 REHAB ANALYZER'!$BG$51</definedName>
    <definedName name="HVAC_w_ADDERS">'ANALYSIS DATABASE'!$C$122</definedName>
    <definedName name="Index_Cell">INDEX!$AA$5</definedName>
    <definedName name="Index_Freeze_Line">INDEX!$3:$3</definedName>
    <definedName name="Info_Sheet_Password">ADMIN!$BA$4</definedName>
    <definedName name="Info_Sheet_Password_Selection">ADMIN!$AT$4</definedName>
    <definedName name="Inspection_Checklist_Freeze_Line">'INSPECTION CHECKLIST'!$3:$3</definedName>
    <definedName name="Inspection_Checklist_Help_Range">'INSPECTION CHECKLIST'!$3:$9</definedName>
    <definedName name="Inspection_Checklist_Page1_Setting">'INSPECTION CHECKLIST'!$BI$2</definedName>
    <definedName name="Inspection_Checklist_Page2_Setting">'INSPECTION CHECKLIST'!$BJ$2</definedName>
    <definedName name="Inspection_Checklist_Password">ADMIN!$BA$16</definedName>
    <definedName name="Inspection_Checklist_Password_Selection">ADMIN!$AT$16</definedName>
    <definedName name="Inspection_Checklist_Print_Area">'INSPECTION CHECKLIST'!$G$11:$BC$193</definedName>
    <definedName name="Inspection_Checklist_Sketch_Setting">'INSPECTION CHECKLIST'!$BK$2</definedName>
    <definedName name="Inspection_Page1">'INSPECTION CHECKLIST'!$11:$77</definedName>
    <definedName name="Inspection_Page2">'INSPECTION CHECKLIST'!$78:$135</definedName>
    <definedName name="Inspection_Page3">'INSPECTION CHECKLIST'!$136:$193</definedName>
    <definedName name="Inspection_Street_Address_Cell">'INSPECTION CHECKLIST'!$M$12</definedName>
    <definedName name="Interest_Rate" localSheetId="11" hidden="1">#REF!</definedName>
    <definedName name="Interest_Rate" localSheetId="12" hidden="1">#REF!</definedName>
    <definedName name="Interest_Rate" localSheetId="6">'CATEGORY SETUP'!#REF!</definedName>
    <definedName name="Interest_Rate" localSheetId="13" hidden="1">#REF!</definedName>
    <definedName name="Interest_Rate" localSheetId="8" hidden="1">#REF!</definedName>
    <definedName name="Interest_Rate">'REHAB FINANCING SETUP'!$AC$28</definedName>
    <definedName name="Interest_Rate_Loan2" localSheetId="6">'CATEGORY SETUP'!#REF!</definedName>
    <definedName name="Interest_Rate_Loan2">'REHAB FINANCING SETUP'!$AC$55</definedName>
    <definedName name="Investment_Report_Capital_Page">'INVESTMENT REPORTS'!$100:$142</definedName>
    <definedName name="Investment_Report_Capital_Setting">'INVESTMENT REPORTS'!$AJ$3</definedName>
    <definedName name="Investment_Report_Cover_Page" localSheetId="23">'LENDER REPORTS'!$11:$56</definedName>
    <definedName name="Investment_Report_Cover_Page" localSheetId="27">'WHOLESALE REPORT'!$13:$58</definedName>
    <definedName name="Investment_Report_Cover_Page">'INVESTMENT REPORTS'!$13:$58</definedName>
    <definedName name="Investment_Report_Cover_Setting" localSheetId="23">'LENDER REPORTS'!$AH$3</definedName>
    <definedName name="Investment_Report_Cover_Setting" localSheetId="27">'WHOLESALE REPORT'!$AH$3</definedName>
    <definedName name="Investment_Report_Cover_Setting">'INVESTMENT REPORTS'!$AH$3</definedName>
    <definedName name="Investment_Report_Description" localSheetId="6">'INVESTMENT REPORTS'!#REF!</definedName>
    <definedName name="Investment_Report_First_Cell" localSheetId="23">'LENDER REPORTS'!$H$11</definedName>
    <definedName name="Investment_Report_First_Cell" localSheetId="27">'WHOLESALE REPORT'!$H$13</definedName>
    <definedName name="Investment_Report_First_Cell">'INVESTMENT REPORTS'!$H$13</definedName>
    <definedName name="Investment_Report_Freeze_Line" localSheetId="23">'LENDER REPORTS'!$5:$5</definedName>
    <definedName name="Investment_Report_Freeze_Line" localSheetId="27">'WHOLESALE REPORT'!$5:$5</definedName>
    <definedName name="Investment_Report_Freeze_Line">'INVESTMENT REPORTS'!$5:$5</definedName>
    <definedName name="Investment_Report_Help" localSheetId="23">'LENDER REPORTS'!$I$6</definedName>
    <definedName name="Investment_Report_Help" localSheetId="27">'WHOLESALE REPORT'!$I$6</definedName>
    <definedName name="Investment_Report_Help">'INVESTMENT REPORTS'!$I$6</definedName>
    <definedName name="Investment_Report_Help_Range" localSheetId="23">'LENDER REPORTS'!$5:$9</definedName>
    <definedName name="Investment_Report_Help_Range" localSheetId="27">'WHOLESALE REPORT'!$5:$11</definedName>
    <definedName name="Investment_Report_Help_Range">'INVESTMENT REPORTS'!$5:$11</definedName>
    <definedName name="Investment_Report_Password">ADMIN!$BA$18</definedName>
    <definedName name="Investment_Report_Password_Selection">ADMIN!$AT$18</definedName>
    <definedName name="Investment_Report_Photo_Setting" localSheetId="23">'LENDER REPORTS'!$AN$3</definedName>
    <definedName name="Investment_Report_Photo_Setting" localSheetId="27">'WHOLESALE REPORT'!$AL$3</definedName>
    <definedName name="Investment_Report_Photo_Setting">'INVESTMENT REPORTS'!$AM$3</definedName>
    <definedName name="Investment_Report_Photos_Page" localSheetId="23">'LENDER REPORTS'!$280:$318</definedName>
    <definedName name="Investment_Report_Photos_Page" localSheetId="27">'WHOLESALE REPORT'!$182:$285</definedName>
    <definedName name="Investment_Report_Photos_Page">'INVESTMENT REPORTS'!$225:$337</definedName>
    <definedName name="Investment_Report_Print_Area" localSheetId="23">'LENDER REPORTS'!$H$11:$X$318</definedName>
    <definedName name="Investment_Report_Print_Area" localSheetId="27">'WHOLESALE REPORT'!$H$13:$X$233</definedName>
    <definedName name="Investment_Report_Print_Area">'INVESTMENT REPORTS'!$H$13:$X$337</definedName>
    <definedName name="Investment_Report_Summary_Page" localSheetId="6">'INVESTMENT REPORTS'!#REF!</definedName>
    <definedName name="Investment_Report_Summary_Page" localSheetId="27">'WHOLESALE REPORT'!$59:$99</definedName>
    <definedName name="Investment_Report_Summary_Page">'INVESTMENT REPORTS'!$59:$99</definedName>
    <definedName name="Investment_Report_Summary_Setting" localSheetId="23">'LENDER REPORTS'!$AI$3</definedName>
    <definedName name="Investment_Report_Summary_Setting" localSheetId="27">'WHOLESALE REPORT'!$AI$3</definedName>
    <definedName name="Investment_Report_Summary_Setting">'INVESTMENT REPORTS'!$AI$3</definedName>
    <definedName name="Investor_Name" localSheetId="6">'CATEGORY SETUP'!#REF!</definedName>
    <definedName name="Investor_Name">SETUP!$AM$19</definedName>
    <definedName name="JanSun1">DATE(CalendarYear,1,1)-WEEKDAY(DATE(CalendarYear,1,1))</definedName>
    <definedName name="JulSun1">DATE(CalendarYear,7,1)-WEEKDAY(DATE(CalendarYear,7,1))</definedName>
    <definedName name="JunSun1">DATE(CalendarYear,6,1)-WEEKDAY(DATE(CalendarYear,6,1))</definedName>
    <definedName name="Kitchens_Detailed" hidden="1">'[2]CAPITAL IMPROVEMENTS'!$AF$10</definedName>
    <definedName name="Known_Purchase_Price_Cell">'1 REHAB ANALYZER'!$CW$12</definedName>
    <definedName name="Known_Purchase_Price_Cell_Initial" localSheetId="6">'CATEGORY SETUP'!#REF!</definedName>
    <definedName name="Known_Purchase_Price_Columns">'1 REHAB ANALYZER'!$CV:$EC</definedName>
    <definedName name="Known_Purchase_Price_Row" localSheetId="6">'CATEGORY SETUP'!#REF!</definedName>
    <definedName name="Labor_Estimate">'2 REPAIR ESTIMATOR'!$AD$84</definedName>
    <definedName name="Landscaping_Detailed" hidden="1">'[2]CAPITAL IMPROVEMENTS'!$AF$9</definedName>
    <definedName name="LANDSCAPING_ESTIMATE">'1 REHAB ANALYZER'!$BG$29</definedName>
    <definedName name="LANDSCAPING_w_ADDERS">'ANALYSIS DATABASE'!$C$111</definedName>
    <definedName name="Ledner_Report_Comps_Summary_Setting">'LENDER REPORTS'!$AL$3</definedName>
    <definedName name="Lender_Estimate_Report_Summary_Setting">'LENDER REPORTS'!$AM$3</definedName>
    <definedName name="Lender_Funding_Report_Password">ADMIN!$BA$20</definedName>
    <definedName name="Lender_Funding_Report_Password_Selection">ADMIN!$AT$20</definedName>
    <definedName name="Lender_Points_Loan1" localSheetId="6">'CATEGORY SETUP'!#REF!</definedName>
    <definedName name="Lender_Points_Loan1">'REHAB FINANCING SETUP'!$AC$30</definedName>
    <definedName name="Lender_Points_Loan2" localSheetId="6">'CATEGORY SETUP'!#REF!</definedName>
    <definedName name="Lender_Points_Loan2">'REHAB FINANCING SETUP'!$AC$57</definedName>
    <definedName name="Lender_Report_Cover_Page">'LENDER REPORTS'!$11:$56</definedName>
    <definedName name="Lender_Report_Cover_Setting">'LENDER REPORTS'!$AH$3</definedName>
    <definedName name="Lender_Report_Equity_Page">'LENDER REPORTS'!$139:$179</definedName>
    <definedName name="Lender_Report_Equity_Setting">'LENDER REPORTS'!$AK$3</definedName>
    <definedName name="Lender_Report_Loan_Page">'LENDER REPORTS'!$98:$138</definedName>
    <definedName name="Lender_Report_Loan_Setting">'LENDER REPORTS'!$AJ$3</definedName>
    <definedName name="Lender_Report_Photo_Setting">'LENDER REPORTS'!$AN$3</definedName>
    <definedName name="Lender_Report_Photos_Page">'LENDER REPORTS'!$262:$374</definedName>
    <definedName name="Lender_Report_Print_Area">'LENDER REPORTS'!$H$11:$X$374</definedName>
    <definedName name="Lender_Report_Summary_Page">'LENDER REPORTS'!$57:$97</definedName>
    <definedName name="Lender_Report_Summary_Setting">'LENDER REPORTS'!$AI$3</definedName>
    <definedName name="Length_of_Loan_Payments_Loan1" localSheetId="6">'CATEGORY SETUP'!#REF!</definedName>
    <definedName name="Length_of_Loan_Payments_Loan1">'REHAB FINANCING SETUP'!$AR$24</definedName>
    <definedName name="Length_of_Loan_Payments_Loan2" localSheetId="6">'CATEGORY SETUP'!#REF!</definedName>
    <definedName name="Length_of_Loan_Payments_Loan2">'REHAB FINANCING SETUP'!$AR$51</definedName>
    <definedName name="Listing_Schedule" localSheetId="11" hidden="1">#REF!</definedName>
    <definedName name="Listing_Schedule" localSheetId="12" hidden="1">#REF!</definedName>
    <definedName name="Listing_Schedule" localSheetId="6">'ANALYSIS DATABASE'!#REF!</definedName>
    <definedName name="Listing_Schedule" localSheetId="13" hidden="1">#REF!</definedName>
    <definedName name="Listing_Schedule" localSheetId="25" hidden="1">#REF!</definedName>
    <definedName name="Listing_Schedule" localSheetId="8" hidden="1">#REF!</definedName>
    <definedName name="Listing_Schedule" localSheetId="22">'ANALYSIS DATABASE'!#REF!</definedName>
    <definedName name="Listing_Schedule_Rehab_Analyzer">'1 REHAB ANALYZER'!$M$44</definedName>
    <definedName name="Listing_Schedule_Rehab_Anaylzer">'1 REHAB ANALYZER'!$M$44</definedName>
    <definedName name="Listing_Schedule_Setup_Sheet" localSheetId="6">'CATEGORY SETUP'!#REF!</definedName>
    <definedName name="Listing_Schedule_Setup_Sheet" localSheetId="22">'REHAB FINANCING SETUP'!#REF!</definedName>
    <definedName name="Listing_Schedule_Wholesale_Calculator">'WHOLESALE CALC'!$L$44</definedName>
    <definedName name="Loan_1_Monthly_Payment">'ANALYSIS DATABASE'!$C$198</definedName>
    <definedName name="Loan_1_Range" localSheetId="6">'CATEGORY SETUP'!#REF!</definedName>
    <definedName name="Loan_1_Range">'REHAB FINANCING SETUP'!$17:$43</definedName>
    <definedName name="Loan_2_Loan_Amount_Row" localSheetId="6">'CATEGORY SETUP'!#REF!</definedName>
    <definedName name="Loan_2_Loan_Amount_Row">'REHAB FINANCING SETUP'!$35:$35</definedName>
    <definedName name="Loan_2_Monthly_Payment">'ANALYSIS DATABASE'!$C$228</definedName>
    <definedName name="Loan_Amount" localSheetId="11" hidden="1">#REF!</definedName>
    <definedName name="Loan_Amount" localSheetId="12" hidden="1">#REF!</definedName>
    <definedName name="Loan_Amount" localSheetId="13" hidden="1">#REF!</definedName>
    <definedName name="Loan_Amount" localSheetId="8" hidden="1">#REF!</definedName>
    <definedName name="Loan_Amount">'ANALYSIS DATABASE'!$C$190</definedName>
    <definedName name="Loan_Balance_After_DP_Loan1">'ANALYSIS DATABASE'!$C$194</definedName>
    <definedName name="Loan_Balance_After_DP_Loan2">'ANALYSIS DATABASE'!$C$224</definedName>
    <definedName name="Loan_Basis">'RENTAL LOAN SETUP'!$V$7</definedName>
    <definedName name="Loan_Financing_Costs">'REHAB FINANCING SETUP'!$130:$131</definedName>
    <definedName name="Loan_Payment_Cell">'1 REHAB ANALYZER'!$R$77</definedName>
    <definedName name="Loan_Payments_Dropdown">LISTS!$M$39:$M$40</definedName>
    <definedName name="Loan_Type_Dropdown">LISTS!$M$45:$M$46</definedName>
    <definedName name="Loan1_Amount">'ANALYSIS DATABASE'!$C$190</definedName>
    <definedName name="Loan1_Down_Payment_Amount">'ANALYSIS DATABASE'!$C$193</definedName>
    <definedName name="Loan1_Interest">'ANALYSIS DATABASE'!$C$199</definedName>
    <definedName name="Loan1_Lender_Profit_Share" localSheetId="27">'ANALYSIS DATABASE'!#REF!</definedName>
    <definedName name="Loan1_Other_Costs">'REHAB FINANCING SETUP'!$AS$32</definedName>
    <definedName name="Loan1_Points_Amount">'ANALYSIS DATABASE'!$C$203</definedName>
    <definedName name="Loan1_Results">'REHAB FINANCING SETUP'!$34:$43</definedName>
    <definedName name="Loan1_Selection">'ANALYSIS DATABASE'!$C$187</definedName>
    <definedName name="Loan2_Amount">'ANALYSIS DATABASE'!$C$220</definedName>
    <definedName name="Loan2_Down_Payment_Amount">'ANALYSIS DATABASE'!$C$223</definedName>
    <definedName name="Loan2_Financing_Costs">'REHAB FINANCING SETUP'!$120:$125</definedName>
    <definedName name="Loan2_Interest">'ANALYSIS DATABASE'!$C$229</definedName>
    <definedName name="Loan2_Other_Costs">'REHAB FINANCING SETUP'!$BM$60</definedName>
    <definedName name="Loan2_Points_Amount">'ANALYSIS DATABASE'!$C$233</definedName>
    <definedName name="Loan2_Range" localSheetId="6">'CATEGORY SETUP'!#REF!</definedName>
    <definedName name="Loan2_Range">'REHAB FINANCING SETUP'!$44:$70</definedName>
    <definedName name="Loan2_Results">'REHAB FINANCING SETUP'!$61:$70</definedName>
    <definedName name="Loan2_Selection">'ANALYSIS DATABASE'!$C$217</definedName>
    <definedName name="Location_Modifiers_Descr">'2 REPAIR ESTIMATOR'!$E$50</definedName>
    <definedName name="Location_Multiplier_Range">'2 REPAIR ESTIMATOR'!$46:$72</definedName>
    <definedName name="Location_Mutiplier">'ANALYSIS DATABASE'!$C$127</definedName>
    <definedName name="Location_Mutiplier_Amount">'ANALYSIS DATABASE'!$C$132</definedName>
    <definedName name="Logo">"Group 2"</definedName>
    <definedName name="Long_Term_Loan_Setup_Freeze_Line">'RENTAL LOAN SETUP'!$5:$5</definedName>
    <definedName name="Long_Term_Loan_Type">'RENTAL LOAN SETUP'!$AA$10</definedName>
    <definedName name="Maintenance" localSheetId="6">'CATEGORY SETUP'!#REF!</definedName>
    <definedName name="Maintenance" localSheetId="22">'REHAB FINANCING SETUP'!#REF!</definedName>
    <definedName name="MarSun1">DATE(CalendarYear,3,1)-WEEKDAY(DATE(CalendarYear,3,1))</definedName>
    <definedName name="MASONRY_ESTIMATE">'1 REHAB ANALYZER'!$BG$17</definedName>
    <definedName name="MASONRY_w_ADDERS">'ANALYSIS DATABASE'!$C$105</definedName>
    <definedName name="Material_Estimate">'2 REPAIR ESTIMATOR'!$AG$84</definedName>
    <definedName name="Maximum_Purchase_Price" localSheetId="11" hidden="1">'[3]4-MPP Calculator'!$CA$31</definedName>
    <definedName name="Maximum_Purchase_Price" localSheetId="12" hidden="1">'[3]4-MPP Calculator'!$CA$31</definedName>
    <definedName name="Maximum_Purchase_Price" localSheetId="13" hidden="1">'[3]4-MPP Calculator'!$CA$31</definedName>
    <definedName name="Maximum_Purchase_Price" localSheetId="25" hidden="1">'[3]4-MPP Calculator'!$CA$31</definedName>
    <definedName name="Maximum_Purchase_Price" localSheetId="8" hidden="1">'[3]4-MPP Calculator'!$CA$31</definedName>
    <definedName name="Maximum_Purchase_Price">'1 REHAB ANALYZER'!$BO$32</definedName>
    <definedName name="Maximum_Purchase_Price_Columns">'1 REHAB ANALYZER'!$BO:$CV</definedName>
    <definedName name="MAXIMUM_PURCHASE_PRICE_WHOLESALE">'WHOLESALE CALC'!$BN$54</definedName>
    <definedName name="MaySun1">DATE(CalendarYear,5,1)-WEEKDAY(DATE(CalendarYear,5,1))</definedName>
    <definedName name="Measuring_Units_Selection" hidden="1">'[4]1 SETUP'!$L$11</definedName>
    <definedName name="MISC._EXT._IMPROVEMENTS_w_ADDERS">'ANALYSIS DATABASE'!$C$112</definedName>
    <definedName name="Misc_Ext_Detailed" hidden="1">'[2]CAPITAL IMPROVEMENTS'!$AF$8</definedName>
    <definedName name="MISC_EXT_IMPROV_ESTIMATE">'1 REHAB ANALYZER'!$BG$31</definedName>
    <definedName name="MISCELLANEOUS_ESTIMATE">'1 REHAB ANALYZER'!$BG$55</definedName>
    <definedName name="MISCELLANEOUS_w_ADDERS">'ANALYSIS DATABASE'!$C$124</definedName>
    <definedName name="Multi_Family_Rows">'RENTAL ANALYSIS'!$18:$22</definedName>
    <definedName name="NovSun1">DATE(CalendarYear,11,1)-WEEKDAY(DATE(CalendarYear,11,1))</definedName>
    <definedName name="Number_of_Baths" localSheetId="6">'CATEGORY SETUP'!#REF!</definedName>
    <definedName name="Number_of_Baths">SETUP!$BI$15</definedName>
    <definedName name="Number_of_Beds" localSheetId="6">'CATEGORY SETUP'!#REF!</definedName>
    <definedName name="Number_of_Beds">SETUP!$AM$15</definedName>
    <definedName name="Number_of_Comps" localSheetId="6">'COMPS REPORT'!#REF!</definedName>
    <definedName name="Number_of_Comps" localSheetId="22">'COMPS REPORT'!#REF!</definedName>
    <definedName name="Number_of_Loans">'ANALYSIS DATABASE'!$C$184</definedName>
    <definedName name="Number_of_Loans_Range" localSheetId="6">'CATEGORY SETUP'!#REF!</definedName>
    <definedName name="Number_of_Loans_Range">'REHAB FINANCING SETUP'!$13:$16</definedName>
    <definedName name="OctSun1">DATE(CalendarYear,10,1)-WEEKDAY(DATE(CalendarYear,10,1))</definedName>
    <definedName name="Offer_Buying_Holding_Rows">'HOMEOWNER REPORT'!$59:$63</definedName>
    <definedName name="Offer_Buying_Holding_Rows2">'HOMEOWNER REPORT'!$63:$63</definedName>
    <definedName name="Offer_Deal_Type">'HOMEOWNER REPORT'!$B$3</definedName>
    <definedName name="Offer_To_Do_Check_Box1">HOME!$R$44</definedName>
    <definedName name="Offer_To_Do_Check_Box10">HOME!$R$56</definedName>
    <definedName name="Offer_To_Do_Check_Box2">HOME!$R$46</definedName>
    <definedName name="Offer_To_Do_Check_Box3">HOME!$R$48</definedName>
    <definedName name="Offer_To_Do_Check_Box4">HOME!$R$50</definedName>
    <definedName name="Offer_To_Do_Check_Box5">HOME!$R$52</definedName>
    <definedName name="Offer_To_Do_Check_Box6">HOME!$R$54</definedName>
    <definedName name="Offer_To_Do_Check_Box7">HOME!$R$60</definedName>
    <definedName name="Offer_To_Do_Check_Box8">HOME!$R$62</definedName>
    <definedName name="Offer_To_Do_Check_Box9">HOME!$R$64</definedName>
    <definedName name="Offer_To_Do_List_Line">HOME!$37:$37</definedName>
    <definedName name="Offer_Tracker_Freeze_Line">'4 OFFERS'!$5:$5</definedName>
    <definedName name="Offer_Tracker_Password">ADMIN!$BA$10</definedName>
    <definedName name="Offer_Tracker_Password_Selection">ADMIN!$AT$10</definedName>
    <definedName name="Offer1_Amount">'4 OFFERS'!$AB$14</definedName>
    <definedName name="Offer2_Amount">'4 OFFERS'!$AK$14</definedName>
    <definedName name="Offer3_Amount">'4 OFFERS'!$AT$14</definedName>
    <definedName name="Offer4_Amount">'4 OFFERS'!$BC$14</definedName>
    <definedName name="Offer5_Amount">'4 OFFERS'!$BL$14</definedName>
    <definedName name="Other_Detailed" hidden="1">'[2]CAPITAL IMPROVEMENTS'!$AQ$13</definedName>
    <definedName name="Painting_Detailed" hidden="1">'[2]CAPITAL IMPROVEMENTS'!$AQ$9</definedName>
    <definedName name="PAINTING_ESTIMATE">'1 REHAB ANALYZER'!$BG$45</definedName>
    <definedName name="PAINTING_w_ADDERS">'ANALYSIS DATABASE'!$C$119</definedName>
    <definedName name="Payment_Schedule_Freeze_Line" localSheetId="6">#REF!</definedName>
    <definedName name="Payment_Schedule_Help_Range" localSheetId="6">#REF!</definedName>
    <definedName name="Payment_Type_Dropdown">LISTS!$H$9:$H$15</definedName>
    <definedName name="Percent_of_Purchase_Cell">'RENTAL PURCHASE SETUP'!$W$11</definedName>
    <definedName name="Permit_Amount">'ANALYSIS DATABASE'!$C$133</definedName>
    <definedName name="Permit_Percentage">'ANALYSIS DATABASE'!$C$128</definedName>
    <definedName name="Plumbing">'2 REPAIR ESTIMATOR'!$AT$79</definedName>
    <definedName name="Plumbing_Detailed" hidden="1">'[2]CAPITAL IMPROVEMENTS'!$AQ$10</definedName>
    <definedName name="PLUMBING_ESTIMATE">'1 REHAB ANALYZER'!$BG$49</definedName>
    <definedName name="PLUMBING_w_ADDERS">'ANALYSIS DATABASE'!$C$121</definedName>
    <definedName name="Points_Dropdown">LISTS!$M$36:$M$37</definedName>
    <definedName name="_xlnm.Print_Area" localSheetId="9">'1 REHAB ANALYZER'!$C$6:$CU$82</definedName>
    <definedName name="_xlnm.Print_Area" localSheetId="10">'2 REPAIR ESTIMATOR'!$B$74:$AT$1165</definedName>
    <definedName name="_xlnm.Print_Area" localSheetId="6">'CATEGORY SETUP'!#REF!</definedName>
    <definedName name="_xlnm.Print_Area" localSheetId="25">'COMPS REPORT'!$D$6:$X$125</definedName>
    <definedName name="_xlnm.Print_Area" localSheetId="21">'ESTIMATE REPORTS'!$C$13:$O$1116</definedName>
    <definedName name="_xlnm.Print_Area" localSheetId="2">EULA!$Y$4:$AG$52</definedName>
    <definedName name="_xlnm.Print_Area" localSheetId="24">'HOMEOWNER REPORT'!$I$13:$Y$72</definedName>
    <definedName name="_xlnm.Print_Area" localSheetId="19">'INSPECTION CHECKLIST'!$G$11:$BC$193</definedName>
    <definedName name="_xlnm.Print_Area" localSheetId="20">'INVESTMENT REPORTS'!$H$13:$X$337</definedName>
    <definedName name="_xlnm.Print_Area" localSheetId="23">'LENDER REPORTS'!$H$11:$X$318</definedName>
    <definedName name="_xlnm.Print_Area" localSheetId="1">LISTS!$C$3:$K$444</definedName>
    <definedName name="_xlnm.Print_Area" localSheetId="22">'PROJECT COST REPORT'!$C$12:$N$1095</definedName>
    <definedName name="_xlnm.Print_Area" localSheetId="7">'REHAB FINANCING SETUP'!$T$8:$BY$61</definedName>
    <definedName name="_xlnm.Print_Area" localSheetId="26">'RENTAL PACKET'!$G$6:$U$296</definedName>
    <definedName name="_xlnm.Print_Area" localSheetId="28">'SCOPE OF WORK'!$D$21:$V$1387</definedName>
    <definedName name="_xlnm.Print_Area" localSheetId="14">'WHOLESALE CALC'!$B$4:$CT$80</definedName>
    <definedName name="_xlnm.Print_Area" localSheetId="27">'WHOLESALE REPORT'!$H$13:$X$233</definedName>
    <definedName name="_xlnm.Print_Titles" localSheetId="21">'ESTIMATE REPORTS'!$69:$70</definedName>
    <definedName name="_xlnm.Print_Titles" localSheetId="22">'PROJECT COST REPORT'!$17:$17</definedName>
    <definedName name="_xlnm.Print_Titles" localSheetId="28">'SCOPE OF WORK'!#REF!</definedName>
    <definedName name="Profit_Allocation_Percent">'HOMEOWNER REPORT'!$Q$3</definedName>
    <definedName name="Profit_Allocation_Selection">'HOMEOWNER REPORT'!$D$87</definedName>
    <definedName name="Profit_Maximum_Purchase_Price_Investment_Range">'1 REHAB ANALYZER'!$BO$19:$CU$99</definedName>
    <definedName name="Profit_Maximum_Purchase_Price_Investment_Range2">'1 REHAB ANALYZER'!$CW$19:$EC$101</definedName>
    <definedName name="Profit_Per_Month" localSheetId="11" hidden="1">'[3]4-MPP Calculator'!$CA$20</definedName>
    <definedName name="Profit_Per_Month" localSheetId="12" hidden="1">'[3]4-MPP Calculator'!$CA$20</definedName>
    <definedName name="Profit_Per_Month" localSheetId="13" hidden="1">'[3]4-MPP Calculator'!$CA$20</definedName>
    <definedName name="Profit_Per_Month" localSheetId="25" hidden="1">'[3]4-MPP Calculator'!$CA$20</definedName>
    <definedName name="Profit_Per_Month" localSheetId="8" hidden="1">'[3]4-MPP Calculator'!$CA$20</definedName>
    <definedName name="Profit_Per_Month">'1 REHAB ANALYZER'!$BO$22</definedName>
    <definedName name="Profit_Percentage_Cell">'1 REHAB ANALYZER'!$CM$9</definedName>
    <definedName name="Project_Cost_Freeze_Line">'PROJECT COST REPORT'!$5:$5</definedName>
    <definedName name="Project_Cost_Help_Range">'PROJECT COST REPORT'!$5:$10</definedName>
    <definedName name="Project_Cost_Print_Rage">'PROJECT COST REPORT'!$C$12:$H$1095</definedName>
    <definedName name="Project_Cost_Print_Range">'PROJECT COST REPORT'!$C$12:$N$1095</definedName>
    <definedName name="Project_Cost_Sort_Range">'PROJECT COST REPORT'!$C$18:$O$1095</definedName>
    <definedName name="Project_Name" localSheetId="6">'CATEGORY SETUP'!#REF!</definedName>
    <definedName name="Project_Name" localSheetId="5">SETUP!$AM$9</definedName>
    <definedName name="Project_Name">SETUP!$AM$9</definedName>
    <definedName name="Project_Schedule" localSheetId="6">'ANALYSIS DATABASE'!#REF!</definedName>
    <definedName name="Project_Schedule" localSheetId="22">'ANALYSIS DATABASE'!#REF!</definedName>
    <definedName name="Property_City_State_Zip" localSheetId="6">'CATEGORY SETUP'!#REF!</definedName>
    <definedName name="Property_City_State_Zip">SETUP!$AM$12</definedName>
    <definedName name="Property_Size">'ANALYSIS DATABASE'!$C$15</definedName>
    <definedName name="Property_Street_Address" localSheetId="6">'CATEGORY SETUP'!#REF!</definedName>
    <definedName name="Property_Street_Address">SETUP!$AM$11</definedName>
    <definedName name="Property_Type_Dropdown">LISTS!$M$8:$M$11</definedName>
    <definedName name="Purchase_Date" localSheetId="6">'ANALYSIS DATABASE'!#REF!</definedName>
    <definedName name="Purchase_Date" localSheetId="22">'ANALYSIS DATABASE'!#REF!</definedName>
    <definedName name="Purchase_Date_Setup_Sheet" localSheetId="6">'CATEGORY SETUP'!#REF!</definedName>
    <definedName name="Purchase_Date_Setup_Sheet" localSheetId="22">'REHAB FINANCING SETUP'!#REF!</definedName>
    <definedName name="Purchase_Freeze_Line">'RENTAL PURCHASE SETUP'!$5:$5</definedName>
    <definedName name="Purchase_Price">'RENTAL PURCHASE SETUP'!$AA$10</definedName>
    <definedName name="Purchase_Price_Only_Box_Loan1" localSheetId="6">'CATEGORY SETUP'!#REF!</definedName>
    <definedName name="Purchase_Price_Only_Box_Loan1">'REHAB FINANCING SETUP'!$U$22</definedName>
    <definedName name="Purchase_Price_Only_Box_Loan2" localSheetId="6">'CATEGORY SETUP'!#REF!</definedName>
    <definedName name="Purchase_Price_Only_Box_Loan2">'REHAB FINANCING SETUP'!$U$49</definedName>
    <definedName name="Purchase_Price_Result">'ANALYSIS DATABASE'!$C$168</definedName>
    <definedName name="Purchase_Price_Sensitivity">'3 SCENARIOS'!$I$13</definedName>
    <definedName name="Raw_Repair_Costs_Result">'ANALYSIS DATABASE'!$C$173</definedName>
    <definedName name="RAW_REPAIR_ESTIMATE_TOTAL">'1 REHAB ANALYZER'!$BG$57</definedName>
    <definedName name="Rehab_Analyzer_Buying_Costs1">'1 REHAB ANALYZER'!$AA$21</definedName>
    <definedName name="Rehab_Analyzer_Buying_Costs2">'1 REHAB ANALYZER'!$AA$23</definedName>
    <definedName name="Rehab_Analyzer_Buying_Costs3">'1 REHAB ANALYZER'!$AA$25</definedName>
    <definedName name="Rehab_Analyzer_Buying_Costs4">'1 REHAB ANALYZER'!$AA$27</definedName>
    <definedName name="Rehab_Analyzer_Buying_Costs5">'1 REHAB ANALYZER'!$AA$29</definedName>
    <definedName name="Rehab_Analyzer_Buying_Costs6">'1 REHAB ANALYZER'!$AA$31</definedName>
    <definedName name="Rehab_Analyzer_Calculation_Method">'ANALYSIS DATABASE'!$C$35</definedName>
    <definedName name="Rehab_Analyzer_Closing_Cost_Cell">'1 REHAB ANALYZER'!$AA$75</definedName>
    <definedName name="Rehab_Analyzer_Column_Range">'1 REHAB ANALYZER'!$C:$EC</definedName>
    <definedName name="Rehab_Analyzer_Contingency">'1 REHAB ANALYZER'!$AY$73</definedName>
    <definedName name="Rehab_Analyzer_Freeze_Line">'1 REHAB ANALYZER'!$5:$5</definedName>
    <definedName name="Rehab_Analyzer_Location_Mutiplier">'1 REHAB ANALYZER'!$AY$64</definedName>
    <definedName name="Rehab_Analyzer_Lock_Cell">'1 REHAB ANALYZER'!$A$3</definedName>
    <definedName name="Rehab_Analyzer_OH_Profit">'1 REHAB ANALYZER'!$AY$70</definedName>
    <definedName name="Rehab_Analyzer_Password">ADMIN!$BA$8</definedName>
    <definedName name="Rehab_Analyzer_Password_Selection">ADMIN!$AT$8</definedName>
    <definedName name="Rehab_Analyzer_Permit_Cost">'1 REHAB ANALYZER'!$AY$67</definedName>
    <definedName name="Rehab_Analyzer_Purchase_Price_Columns">'1 REHAB ANALYZER'!$BN:$EC</definedName>
    <definedName name="Rehab_Analyzer_Range">'1 REHAB ANALYZER'!$C$6:$EC$91</definedName>
    <definedName name="Rehab_Analyzer_Selling_Costs_By_Percentage_Cells">'1 REHAB ANALYZER'!$AA$57:$AH$60</definedName>
    <definedName name="REHAB_PROFIT_ESTIMATED">'1 REHAB ANALYZER'!$BO$12</definedName>
    <definedName name="Rehab_Schedule" localSheetId="11" hidden="1">#REF!</definedName>
    <definedName name="Rehab_Schedule" localSheetId="12" hidden="1">#REF!</definedName>
    <definedName name="Rehab_Schedule" localSheetId="6">'ANALYSIS DATABASE'!#REF!</definedName>
    <definedName name="Rehab_Schedule" localSheetId="13" hidden="1">#REF!</definedName>
    <definedName name="Rehab_Schedule" localSheetId="25" hidden="1">#REF!</definedName>
    <definedName name="Rehab_Schedule" localSheetId="8" hidden="1">#REF!</definedName>
    <definedName name="Rehab_Schedule" localSheetId="22">'ANALYSIS DATABASE'!#REF!</definedName>
    <definedName name="Rehab_Schedule_Rehab_Analyzer">'1 REHAB ANALYZER'!$M$39</definedName>
    <definedName name="Rehab_Schedule_Rehab_Anaylzer">'1 REHAB ANALYZER'!$M$39</definedName>
    <definedName name="Rehab_Schedule_Setup_Sheet" localSheetId="6">'CATEGORY SETUP'!#REF!</definedName>
    <definedName name="Rehab_Schedule_Setup_Sheet" localSheetId="22">'REHAB FINANCING SETUP'!#REF!</definedName>
    <definedName name="Rehab_Schedule_Wholesale_Calculator">'WHOLESALE CALC'!$L$39</definedName>
    <definedName name="REHABBER_PROFIT_WHOLESALE">'WHOLESALE CALC'!$BN$10</definedName>
    <definedName name="Remodel_Contingency" localSheetId="11" hidden="1">'[3]4-MPP Calculator'!$AQ$75</definedName>
    <definedName name="Remodel_Contingency" localSheetId="12" hidden="1">'[3]4-MPP Calculator'!$AQ$75</definedName>
    <definedName name="Remodel_Contingency" localSheetId="13" hidden="1">'[3]4-MPP Calculator'!$AQ$75</definedName>
    <definedName name="Remodel_Contingency" localSheetId="8" hidden="1">'[3]4-MPP Calculator'!$AQ$75</definedName>
    <definedName name="Remodel_Contingency" hidden="1">'[3]4-MPP Calculator'!$AQ$75</definedName>
    <definedName name="Remodel_Contingency_Percent">'WHOLESALE CALC'!$BD$41</definedName>
    <definedName name="Rental_Calculator_Password">ADMIN!$BA$14</definedName>
    <definedName name="Rental_Calculator_Password_Selection">ADMIN!$AT$14</definedName>
    <definedName name="Rental_Cash_Flow_Columns" localSheetId="15">'RENTAL ANALYSIS'!$D:$BB</definedName>
    <definedName name="Rental_Cash_Flow_Columns" localSheetId="17">'RENTAL LOAN SETUP'!$L:$AF</definedName>
    <definedName name="Rental_Cash_Flow_Columns" localSheetId="16">'RENTAL PURCHASE SETUP'!$M:$AG</definedName>
    <definedName name="Rental_Cashflow_Year1to10" localSheetId="26">'RENTAL PACKET'!$65:$121</definedName>
    <definedName name="Rental_Dashboard_Rows" localSheetId="15">'RENTAL ANALYSIS'!$5:$5</definedName>
    <definedName name="Rental_Dashboard_Rows" localSheetId="16">'RENTAL PURCHASE SETUP'!$5:$5</definedName>
    <definedName name="Rental_Freeze_Line" localSheetId="15">'RENTAL ANALYSIS'!$5:$5</definedName>
    <definedName name="Rental_Funding_Strategy">'ANALYSIS DATABASE'!$C$260</definedName>
    <definedName name="Rental_Funding_Type">'ANALYSIS DATABASE'!$C$261</definedName>
    <definedName name="Rental_Income_1">'RENTAL ANALYSIS'!$D$18</definedName>
    <definedName name="Rental_Other_Columns" localSheetId="15">'RENTAL ANALYSIS'!$D:$BC</definedName>
    <definedName name="Rental_Other_Columns" localSheetId="17">'RENTAL LOAN SETUP'!$L:$AH</definedName>
    <definedName name="Rental_Other_Columns" localSheetId="16">'RENTAL PURCHASE SETUP'!$M:$AI</definedName>
    <definedName name="Rental_Packet_Freeze_Line">'RENTAL PACKET'!$5:$5</definedName>
    <definedName name="Rental_Print_Area" localSheetId="26">'RENTAL PACKET'!$G$8:$U$121</definedName>
    <definedName name="Rental_Report_Password">ADMIN!$BA$25</definedName>
    <definedName name="Rental_Report_Password_Selection">ADMIN!$AT$25</definedName>
    <definedName name="Rental_Report_Print_Area" localSheetId="26">'RENTAL PACKET'!$G$8:$U$121</definedName>
    <definedName name="Rental_Single_Row" localSheetId="27">'RENTAL ANALYSIS'!#REF!</definedName>
    <definedName name="Rental_Summary_Page" localSheetId="26">'RENTAL PACKET'!$8:$62</definedName>
    <definedName name="Repair_Budget_Contingency_Percentage_Cell" localSheetId="6">#REF!</definedName>
    <definedName name="Repair_Budget_Contingency_Percentage_Cell" localSheetId="22">#REF!</definedName>
    <definedName name="Repair_Contingency_Amount_Cell">'1 REHAB ANALYZER'!$BG$73</definedName>
    <definedName name="REPAIR_CONTINGENCY_ESTIMATED">'1 REHAB ANALYZER'!$BG$73</definedName>
    <definedName name="Repair_Contingency_Percentage_Cell">'1 REHAB ANALYZER'!$AY$73</definedName>
    <definedName name="REPAIR_CONTINGENCY_WHOLESALE" localSheetId="6">'WHOLESALE CALC'!#REF!</definedName>
    <definedName name="REPAIR_CONTINGENCY_WHOLESALE" localSheetId="22">'WHOLESALE CALC'!#REF!</definedName>
    <definedName name="Repair_Cost_Calculation_Method">'1 REHAB ANALYZER'!$BG$6</definedName>
    <definedName name="Repair_Costs_Only_Box_Loan1" localSheetId="6">'CATEGORY SETUP'!#REF!</definedName>
    <definedName name="Repair_Costs_Only_Box_Loan1">'REHAB FINANCING SETUP'!$AM$22</definedName>
    <definedName name="Repair_Costs_Only_Box_Loan2" localSheetId="6">'CATEGORY SETUP'!#REF!</definedName>
    <definedName name="Repair_Costs_Only_Box_Loan2">'REHAB FINANCING SETUP'!$AD$49</definedName>
    <definedName name="Repair_Estimate_Freeze_Line" localSheetId="22">'PROJECT COST REPORT'!$5:$5</definedName>
    <definedName name="Repair_Estimate_Freeze_Line">'ESTIMATE REPORTS'!$5:$5</definedName>
    <definedName name="Repair_Estimate_Report_Password">ADMIN!$BA$17</definedName>
    <definedName name="Repair_Estimate_Totals">'1 REHAB ANALYZER'!$AJ$9:$BM$32</definedName>
    <definedName name="Repair_Estimator_Freeze_Line">'2 REPAIR ESTIMATOR'!$87:$87</definedName>
    <definedName name="Repair_Estimator_Gap_Row">'2 REPAIR ESTIMATOR'!$73:$73</definedName>
    <definedName name="Repair_Estimator_Header_Rows">'2 REPAIR ESTIMATOR'!$74:$83</definedName>
    <definedName name="Repair_Estimator_Help_Hidden_Cell">'2 REPAIR ESTIMATOR'!$AM$11</definedName>
    <definedName name="Repair_Estimator_Help_Range">'2 REPAIR ESTIMATOR'!$6:$45</definedName>
    <definedName name="Repair_Estimator_Navigation_Freeze_Line">'2 REPAIR ESTIMATOR'!$5:$5</definedName>
    <definedName name="Repair_Estimator_Password">ADMIN!$BA$7</definedName>
    <definedName name="Repair_Estimator_Password_Selection">ADMIN!$AT$7</definedName>
    <definedName name="Repair_Estimator_Totals_Columns">'2 REPAIR ESTIMATOR'!$J$75:$M$80</definedName>
    <definedName name="REPAIRS_FIRST_COLUMN">'1 REHAB ANALYZER'!$BG$9:$BM$56</definedName>
    <definedName name="REPAIRS_SECOND_COLUMN">'1 REHAB ANALYZER'!$BG$33:$BK$56</definedName>
    <definedName name="Reporting_Deal_Analysis_Cell">REPORTING!$C$3</definedName>
    <definedName name="Reporting_Freeze_Line">REPORTING!$2:$2</definedName>
    <definedName name="Resale_Date" localSheetId="6">'ANALYSIS DATABASE'!#REF!</definedName>
    <definedName name="Resale_Date" localSheetId="22">'ANALYSIS DATABASE'!#REF!</definedName>
    <definedName name="Resale_Date_Setup_Sheet" localSheetId="6">'CATEGORY SETUP'!#REF!</definedName>
    <definedName name="Resale_Date_Setup_Sheet" localSheetId="22">'REHAB FINANCING SETUP'!#REF!</definedName>
    <definedName name="Revenue_Increase_Per_Year" localSheetId="15">'RENTAL ANALYSIS'!$Q$17</definedName>
    <definedName name="Roofing_Detailed" hidden="1">'[2]CAPITAL IMPROVEMENTS'!$U$12</definedName>
    <definedName name="ROOFING_ESTIMATE">'1 REHAB ANALYZER'!$BG$23</definedName>
    <definedName name="ROOFING_w_ADDERS">'ANALYSIS DATABASE'!$C$108</definedName>
    <definedName name="Scenarios_Freeze_Line">'3 SCENARIOS'!$5:$5</definedName>
    <definedName name="Scenarios_Password">ADMIN!$BA$9</definedName>
    <definedName name="Scenarios_Password_Selection">ADMIN!$AT$9</definedName>
    <definedName name="Schedule" localSheetId="11" hidden="1">#REF!</definedName>
    <definedName name="Schedule" localSheetId="12" hidden="1">#REF!</definedName>
    <definedName name="Schedule" localSheetId="6">'ANALYSIS DATABASE'!#REF!</definedName>
    <definedName name="Schedule" localSheetId="13" hidden="1">#REF!</definedName>
    <definedName name="Schedule" localSheetId="25" hidden="1">#REF!</definedName>
    <definedName name="Schedule" localSheetId="8" hidden="1">#REF!</definedName>
    <definedName name="Schedule" localSheetId="22">'ANALYSIS DATABASE'!#REF!</definedName>
    <definedName name="Schedule_Adjustment">'3 SCENARIOS'!$CH$19</definedName>
    <definedName name="Schedule_Sensitivity">'3 SCENARIOS'!$I$19</definedName>
    <definedName name="Scheduler_Freeze_Line" localSheetId="6">#REF!</definedName>
    <definedName name="School_District" localSheetId="11" hidden="1">#REF!</definedName>
    <definedName name="School_District" localSheetId="12" hidden="1">#REF!</definedName>
    <definedName name="School_District" localSheetId="6">'CATEGORY SETUP'!#REF!</definedName>
    <definedName name="School_District" localSheetId="13" hidden="1">#REF!</definedName>
    <definedName name="School_District" localSheetId="8" hidden="1">#REF!</definedName>
    <definedName name="School_District">SETUP!$AM$14</definedName>
    <definedName name="Scope_1_Cell">'2 REPAIR ESTIMATOR'!$N$75</definedName>
    <definedName name="Scope_1_First_Cell">'2 REPAIR ESTIMATOR'!$D$88</definedName>
    <definedName name="Scope_1_Range">'2 REPAIR ESTIMATOR'!$88:$131</definedName>
    <definedName name="Scope_1_Setting">'2 REPAIR ESTIMATOR'!$A$87</definedName>
    <definedName name="Scope_10_First_Cell">'2 REPAIR ESTIMATOR'!$D$493</definedName>
    <definedName name="Scope_10_Range">'2 REPAIR ESTIMATOR'!$493:$536</definedName>
    <definedName name="Scope_10_Setting">'2 REPAIR ESTIMATOR'!$A$492</definedName>
    <definedName name="Scope_11_First_Cell">'2 REPAIR ESTIMATOR'!$D$538</definedName>
    <definedName name="Scope_11_Range">'2 REPAIR ESTIMATOR'!$538:$581</definedName>
    <definedName name="Scope_11_Setting">'2 REPAIR ESTIMATOR'!$A$537</definedName>
    <definedName name="Scope_12_First_Cell">'2 REPAIR ESTIMATOR'!$D$583</definedName>
    <definedName name="Scope_12_Range">'2 REPAIR ESTIMATOR'!$583:$626</definedName>
    <definedName name="Scope_12_Setting">'2 REPAIR ESTIMATOR'!$A$582</definedName>
    <definedName name="Scope_13_First_Cell">'2 REPAIR ESTIMATOR'!$D$628</definedName>
    <definedName name="Scope_13_Range">'2 REPAIR ESTIMATOR'!$628:$671</definedName>
    <definedName name="Scope_13_Setting">'2 REPAIR ESTIMATOR'!$A$627</definedName>
    <definedName name="Scope_14_First_Cell">'2 REPAIR ESTIMATOR'!$D$673</definedName>
    <definedName name="Scope_14_Range">'2 REPAIR ESTIMATOR'!$673:$716</definedName>
    <definedName name="Scope_14_Setting">'2 REPAIR ESTIMATOR'!$A$672</definedName>
    <definedName name="Scope_15_First_Cell">'2 REPAIR ESTIMATOR'!$D$718</definedName>
    <definedName name="Scope_15_Range">'2 REPAIR ESTIMATOR'!$718:$761</definedName>
    <definedName name="Scope_15_Setting">'2 REPAIR ESTIMATOR'!$A$717</definedName>
    <definedName name="Scope_16_First_Cell">'2 REPAIR ESTIMATOR'!$D$763</definedName>
    <definedName name="Scope_16_Range">'2 REPAIR ESTIMATOR'!$763:$806</definedName>
    <definedName name="Scope_16_Setting">'2 REPAIR ESTIMATOR'!$A$762</definedName>
    <definedName name="Scope_17_First_Cell">'2 REPAIR ESTIMATOR'!$D$808</definedName>
    <definedName name="Scope_17_Range">'2 REPAIR ESTIMATOR'!$808:$851</definedName>
    <definedName name="Scope_17_Setting">'2 REPAIR ESTIMATOR'!$A$807</definedName>
    <definedName name="Scope_18_First_Cell">'2 REPAIR ESTIMATOR'!$D$853</definedName>
    <definedName name="Scope_18_Range">'2 REPAIR ESTIMATOR'!$853:$896</definedName>
    <definedName name="Scope_18_Setting">'2 REPAIR ESTIMATOR'!$A$852</definedName>
    <definedName name="Scope_19_First_Cell">'2 REPAIR ESTIMATOR'!$D$898</definedName>
    <definedName name="Scope_19_Range">'2 REPAIR ESTIMATOR'!$898:$941</definedName>
    <definedName name="Scope_19_Setting">'2 REPAIR ESTIMATOR'!$A$897</definedName>
    <definedName name="Scope_2_First_Cell">'2 REPAIR ESTIMATOR'!$D$133</definedName>
    <definedName name="Scope_2_Range">'2 REPAIR ESTIMATOR'!$133:$176</definedName>
    <definedName name="Scope_2_Setting">'2 REPAIR ESTIMATOR'!$A$132</definedName>
    <definedName name="Scope_20_First_Cell">'2 REPAIR ESTIMATOR'!$D$943</definedName>
    <definedName name="Scope_20_Range">'2 REPAIR ESTIMATOR'!$943:$986</definedName>
    <definedName name="Scope_20_Setting">'2 REPAIR ESTIMATOR'!$A$942</definedName>
    <definedName name="Scope_21_First_Cell">'2 REPAIR ESTIMATOR'!$D$988</definedName>
    <definedName name="Scope_21_Range">'2 REPAIR ESTIMATOR'!$988:$1031</definedName>
    <definedName name="Scope_21_Setting">'2 REPAIR ESTIMATOR'!$A$987</definedName>
    <definedName name="Scope_22_First_Cell">'2 REPAIR ESTIMATOR'!$D$1033</definedName>
    <definedName name="Scope_22_Range">'2 REPAIR ESTIMATOR'!$1033:$1076</definedName>
    <definedName name="Scope_22_Setting">'2 REPAIR ESTIMATOR'!$A$1032</definedName>
    <definedName name="Scope_23_First_Cell">'2 REPAIR ESTIMATOR'!$D$1078</definedName>
    <definedName name="Scope_23_Range">'2 REPAIR ESTIMATOR'!$1078:$1121</definedName>
    <definedName name="Scope_23_Setting">'2 REPAIR ESTIMATOR'!$A$1077</definedName>
    <definedName name="Scope_24_First_Cell">'2 REPAIR ESTIMATOR'!$D$1123</definedName>
    <definedName name="Scope_24_Range">'2 REPAIR ESTIMATOR'!$1123:$1165</definedName>
    <definedName name="Scope_24_Setting">'2 REPAIR ESTIMATOR'!$A$1122</definedName>
    <definedName name="Scope_3_First_Cell">'2 REPAIR ESTIMATOR'!$D$178</definedName>
    <definedName name="Scope_3_Range">'2 REPAIR ESTIMATOR'!$178:$221</definedName>
    <definedName name="Scope_3_Setting">'2 REPAIR ESTIMATOR'!$A$177</definedName>
    <definedName name="Scope_4_First_Cell">'2 REPAIR ESTIMATOR'!$D$223</definedName>
    <definedName name="Scope_4_Range">'2 REPAIR ESTIMATOR'!$223:$266</definedName>
    <definedName name="Scope_4_Setting">'2 REPAIR ESTIMATOR'!$A$222</definedName>
    <definedName name="Scope_5_First_Cell">'2 REPAIR ESTIMATOR'!$D$268</definedName>
    <definedName name="Scope_5_Range">'2 REPAIR ESTIMATOR'!$268:$311</definedName>
    <definedName name="Scope_5_Setting">'2 REPAIR ESTIMATOR'!$A$267</definedName>
    <definedName name="Scope_6_First_Cell">'2 REPAIR ESTIMATOR'!$D$313</definedName>
    <definedName name="Scope_6_Range">'2 REPAIR ESTIMATOR'!$313:$356</definedName>
    <definedName name="Scope_6_Setting">'2 REPAIR ESTIMATOR'!$A$312</definedName>
    <definedName name="Scope_7_First_Cell">'2 REPAIR ESTIMATOR'!$D$358</definedName>
    <definedName name="Scope_7_Range">'2 REPAIR ESTIMATOR'!$358:$401</definedName>
    <definedName name="Scope_7_Setting">'2 REPAIR ESTIMATOR'!$A$357</definedName>
    <definedName name="Scope_8_First_Cell">'2 REPAIR ESTIMATOR'!$D$403</definedName>
    <definedName name="Scope_8_Range">'2 REPAIR ESTIMATOR'!$403:$446</definedName>
    <definedName name="Scope_8_Setting">'2 REPAIR ESTIMATOR'!$A$402</definedName>
    <definedName name="Scope_9_First_Cell">'2 REPAIR ESTIMATOR'!$D$448</definedName>
    <definedName name="Scope_9_Range">'2 REPAIR ESTIMATOR'!$448:$491</definedName>
    <definedName name="Scope_9_Setting">'2 REPAIR ESTIMATOR'!$A$447</definedName>
    <definedName name="Scope_Check_Cell_1">'SCOPE OF WORK'!$D$12</definedName>
    <definedName name="Scope_Check_Cell_10">'SCOPE OF WORK'!$I$13</definedName>
    <definedName name="Scope_Check_Cell_11">'SCOPE OF WORK'!$I$14</definedName>
    <definedName name="Scope_Check_Cell_12">'SCOPE OF WORK'!$I$15</definedName>
    <definedName name="Scope_Check_Cell_13">'SCOPE OF WORK'!$I$16</definedName>
    <definedName name="Scope_Check_Cell_14">'SCOPE OF WORK'!$I$17</definedName>
    <definedName name="Scope_Check_Cell_15">'SCOPE OF WORK'!$I$18</definedName>
    <definedName name="Scope_Check_Cell_16">'SCOPE OF WORK'!$I$19</definedName>
    <definedName name="Scope_Check_Cell_17">'SCOPE OF WORK'!$N$12</definedName>
    <definedName name="Scope_Check_Cell_18">'SCOPE OF WORK'!$N$13</definedName>
    <definedName name="Scope_Check_Cell_19">'SCOPE OF WORK'!$N$14</definedName>
    <definedName name="Scope_Check_Cell_2">'SCOPE OF WORK'!$D$13</definedName>
    <definedName name="Scope_Check_Cell_20">'SCOPE OF WORK'!$N$15</definedName>
    <definedName name="Scope_Check_Cell_21">'SCOPE OF WORK'!$N$16</definedName>
    <definedName name="Scope_Check_Cell_22">'SCOPE OF WORK'!$N$17</definedName>
    <definedName name="Scope_Check_Cell_23">'SCOPE OF WORK'!$N$18</definedName>
    <definedName name="Scope_Check_Cell_24">'SCOPE OF WORK'!$N$19</definedName>
    <definedName name="Scope_Check_Cell_3">'SCOPE OF WORK'!$D$14</definedName>
    <definedName name="Scope_Check_Cell_4">'SCOPE OF WORK'!$D$15</definedName>
    <definedName name="Scope_Check_Cell_5">'SCOPE OF WORK'!$D$16</definedName>
    <definedName name="Scope_Check_Cell_6">'SCOPE OF WORK'!$D$17</definedName>
    <definedName name="Scope_Check_Cell_7">'SCOPE OF WORK'!$D$18</definedName>
    <definedName name="Scope_Check_Cell_8">'SCOPE OF WORK'!$D$19</definedName>
    <definedName name="Scope_Check_Cell_9">'SCOPE OF WORK'!$I$12</definedName>
    <definedName name="Scope_of_Work_First_Cell">'SCOPE OF WORK'!$D$44</definedName>
    <definedName name="Scope_of_Work_Freeze_Line">'SCOPE OF WORK'!$20:$20</definedName>
    <definedName name="Scope_of_Work_Header">'SCOPE OF WORK'!$11:$20</definedName>
    <definedName name="Scope_of_Work_Help">'SCOPE OF WORK'!$4:$10</definedName>
    <definedName name="Scope_of_Work_Report_Print_Area">'SCOPE OF WORK'!$D$21:$V$1387</definedName>
    <definedName name="Scope_of_Work_Sort_Range">'SCOPE OF WORK'!$D$42:$Y$1387</definedName>
    <definedName name="Scope_of_Works_Range1">'1 REHAB ANALYZER'!$AJ$9:$AS$32</definedName>
    <definedName name="Scope_of_Works_Range2">'1 REHAB ANALYZER'!$AJ$33:$AS$56</definedName>
    <definedName name="Scope_Rows_1">'SCOPE OF WORK'!$43:$98</definedName>
    <definedName name="Scope_Rows_10">'SCOPE OF WORK'!$547:$602</definedName>
    <definedName name="Scope_Rows_11">'SCOPE OF WORK'!$603:$658</definedName>
    <definedName name="Scope_Rows_12">'SCOPE OF WORK'!$659:$714</definedName>
    <definedName name="Scope_Rows_13">'SCOPE OF WORK'!$715:$770</definedName>
    <definedName name="Scope_Rows_14">'SCOPE OF WORK'!$771:$826</definedName>
    <definedName name="Scope_Rows_15">'SCOPE OF WORK'!$827:$882</definedName>
    <definedName name="Scope_Rows_16">'SCOPE OF WORK'!$883:$938</definedName>
    <definedName name="Scope_Rows_17">'SCOPE OF WORK'!$939:$994</definedName>
    <definedName name="Scope_Rows_18">'SCOPE OF WORK'!$995:$1050</definedName>
    <definedName name="Scope_Rows_19">'SCOPE OF WORK'!$1051:$1106</definedName>
    <definedName name="Scope_Rows_2">'SCOPE OF WORK'!$99:$154</definedName>
    <definedName name="Scope_Rows_20">'SCOPE OF WORK'!$1107:$1162</definedName>
    <definedName name="Scope_Rows_21">'SCOPE OF WORK'!$1163:$1218</definedName>
    <definedName name="Scope_Rows_22">'SCOPE OF WORK'!$1219:$1274</definedName>
    <definedName name="Scope_Rows_23">'SCOPE OF WORK'!$1275:$1330</definedName>
    <definedName name="Scope_Rows_24">'SCOPE OF WORK'!$1331:$1387</definedName>
    <definedName name="Scope_Rows_3">'SCOPE OF WORK'!$155:$210</definedName>
    <definedName name="Scope_Rows_4">'SCOPE OF WORK'!$211:$266</definedName>
    <definedName name="Scope_Rows_5">'SCOPE OF WORK'!$267:$322</definedName>
    <definedName name="Scope_Rows_6">'SCOPE OF WORK'!$323:$378</definedName>
    <definedName name="Scope_Rows_7">'SCOPE OF WORK'!$379:$434</definedName>
    <definedName name="Scope_Rows_8">'SCOPE OF WORK'!$435:$490</definedName>
    <definedName name="Scope_Rows_9">'SCOPE OF WORK'!$491:$546</definedName>
    <definedName name="Scope1_Setting">'SCOPE OF WORK'!$F$1392</definedName>
    <definedName name="Scope10_Setting">'SCOPE OF WORK'!$F$1401</definedName>
    <definedName name="Scope11_Setting">'SCOPE OF WORK'!$F$1402</definedName>
    <definedName name="Scope12_Setting">'SCOPE OF WORK'!$F$1403</definedName>
    <definedName name="Scope13_Setting">'SCOPE OF WORK'!$F$1404</definedName>
    <definedName name="Scope14_Setting">'SCOPE OF WORK'!$F$1405</definedName>
    <definedName name="Scope15_Setting">'SCOPE OF WORK'!$F$1406</definedName>
    <definedName name="Scope16_Setting">'SCOPE OF WORK'!$F$1407</definedName>
    <definedName name="Scope17_Setting">'SCOPE OF WORK'!$F$1408</definedName>
    <definedName name="Scope18_Setting">'SCOPE OF WORK'!$F$1409</definedName>
    <definedName name="Scope19_Setting">'SCOPE OF WORK'!$F$1410</definedName>
    <definedName name="Scope2_Setting">'SCOPE OF WORK'!$F$1393</definedName>
    <definedName name="Scope20_Setting">'SCOPE OF WORK'!$F$1411</definedName>
    <definedName name="Scope21_Setting">'SCOPE OF WORK'!$F$1412</definedName>
    <definedName name="Scope22_Setting">'SCOPE OF WORK'!$F$1413</definedName>
    <definedName name="Scope23_Setting">'SCOPE OF WORK'!$F$1414</definedName>
    <definedName name="Scope24_Setting">'SCOPE OF WORK'!$F$1415</definedName>
    <definedName name="Scope3_Setting">'SCOPE OF WORK'!$F$1394</definedName>
    <definedName name="Scope4_Setting">'SCOPE OF WORK'!$F$1395</definedName>
    <definedName name="Scope5_Setting">'SCOPE OF WORK'!$F$1396</definedName>
    <definedName name="Scope6_Setting">'SCOPE OF WORK'!$F$1397</definedName>
    <definedName name="Scope7_Setting">'SCOPE OF WORK'!$F$1398</definedName>
    <definedName name="Scope8_Setting">'SCOPE OF WORK'!$F$1399</definedName>
    <definedName name="Scope9_Setting">'SCOPE OF WORK'!$F$1400</definedName>
    <definedName name="Selling_Costs_By_Percentage_Range">'1 REHAB ANALYZER'!$AA$57:$AH$60</definedName>
    <definedName name="Selling_Costs_Dropdown">'RENTAL PURCHASE SETUP'!$R$27</definedName>
    <definedName name="Selling_Costs_Lump_Sum">'RENTAL PURCHASE SETUP'!$AA$27</definedName>
    <definedName name="Selling_Costs_Percent">'RENTAL PURCHASE SETUP'!$W$27</definedName>
    <definedName name="Selling_Costs_Result">'ANALYSIS DATABASE'!$C$171</definedName>
    <definedName name="SepSun1">DATE(CalendarYear,9,1)-WEEKDAY(DATE(CalendarYear,9,1))</definedName>
    <definedName name="Setup_Freeze_Line" localSheetId="6">'CATEGORY SETUP'!$5:$5</definedName>
    <definedName name="Setup_Freeze_Line" localSheetId="5">SETUP!$5:$5</definedName>
    <definedName name="Setup_Freeze_Line">'REHAB FINANCING SETUP'!$5:$5</definedName>
    <definedName name="Short_Term_Funding_Row">'RENTAL LOAN SETUP'!$18:$18</definedName>
    <definedName name="Siding_Detailed" hidden="1">'[2]CAPITAL IMPROVEMENTS'!$U$11</definedName>
    <definedName name="SIDING_ESTIMATE">'1 REHAB ANALYZER'!$BG$19</definedName>
    <definedName name="SIDING_w_ADDERS">'ANALYSIS DATABASE'!$C$106</definedName>
    <definedName name="SOW_Password">ADMIN!$BA$26</definedName>
    <definedName name="SOW_Password_Selection">ADMIN!$AT$26</definedName>
    <definedName name="SOW_Row_Setting">'SCOPE OF WORK'!$Z$2</definedName>
    <definedName name="SOW_View_Setting">'SCOPE OF WORK'!$T$18</definedName>
    <definedName name="Specific_Loan_Amount_Box_Loan1" localSheetId="6">'CATEGORY SETUP'!#REF!</definedName>
    <definedName name="Specific_Loan_Amount_Box_Loan1">'REHAB FINANCING SETUP'!$BN$22</definedName>
    <definedName name="Specific_Loan_Amount_Box_Loan2" localSheetId="6">'CATEGORY SETUP'!#REF!</definedName>
    <definedName name="Specific_Loan_Amount_Box_Loan2">'REHAB FINANCING SETUP'!$BN$49</definedName>
    <definedName name="Spreadsheet_Password">ADMIN!$E$9</definedName>
    <definedName name="Square_Feet" localSheetId="11" hidden="1">#REF!</definedName>
    <definedName name="Square_Feet" localSheetId="12" hidden="1">#REF!</definedName>
    <definedName name="Square_Feet" localSheetId="13" hidden="1">#REF!</definedName>
    <definedName name="Square_Feet" localSheetId="25" hidden="1">#REF!</definedName>
    <definedName name="Square_Feet" localSheetId="8" hidden="1">#REF!</definedName>
    <definedName name="Square_Feet">'ANALYSIS DATABASE'!$C$18</definedName>
    <definedName name="Street_Address" localSheetId="11" hidden="1">#REF!</definedName>
    <definedName name="Street_Address" localSheetId="12" hidden="1">#REF!</definedName>
    <definedName name="Street_Address" localSheetId="6">'CATEGORY SETUP'!#REF!</definedName>
    <definedName name="Street_Address" localSheetId="13" hidden="1">#REF!</definedName>
    <definedName name="Street_Address" localSheetId="25" hidden="1">#REF!</definedName>
    <definedName name="Street_Address" localSheetId="8" hidden="1">#REF!</definedName>
    <definedName name="Street_Address">SETUP!$AM$11</definedName>
    <definedName name="STRUCTURAL_CONCRETE_w_ADDERS">'ANALYSIS DATABASE'!$C$103</definedName>
    <definedName name="STRUCTURAL_ESTIMATE">'1 REHAB ANALYZER'!$BG$13</definedName>
    <definedName name="Sub_Estimate">'2 REPAIR ESTIMATOR'!$AJ$84</definedName>
    <definedName name="Sub_Total">'2 REPAIR ESTIMATOR'!$AJ$84</definedName>
    <definedName name="SUBBED">'2 REPAIR ESTIMATOR'!$BB$78</definedName>
    <definedName name="SUBBED_DROPDOWN">'1 REHAB ANALYZER'!$AY$57</definedName>
    <definedName name="Subdivision" localSheetId="11" hidden="1">#REF!</definedName>
    <definedName name="Subdivision" localSheetId="12" hidden="1">#REF!</definedName>
    <definedName name="Subdivision" localSheetId="13" hidden="1">#REF!</definedName>
    <definedName name="Subdivision" localSheetId="25" hidden="1">#REF!</definedName>
    <definedName name="Subdivision" localSheetId="8" hidden="1">#REF!</definedName>
    <definedName name="Subdivision">'ANALYSIS DATABASE'!$C$11</definedName>
    <definedName name="SUBTOTAL_ESTIMATE">'ANALYSIS DATABASE'!$C$99</definedName>
    <definedName name="Summary_Estimate_Report_Desc" localSheetId="22">'PROJECT COST REPORT'!#REF!</definedName>
    <definedName name="Summary_Estimate_Report_Desc">'ESTIMATE REPORTS'!$C$19</definedName>
    <definedName name="Taxes" localSheetId="6">'CATEGORY SETUP'!#REF!</definedName>
    <definedName name="Taxes" localSheetId="22">'REHAB FINANCING SETUP'!#REF!</definedName>
    <definedName name="TILING_ESTIMATE">'1 REHAB ANALYZER'!$BG$43</definedName>
    <definedName name="TILING_w_ADDERS">'ANALYSIS DATABASE'!$C$118</definedName>
    <definedName name="TOTAL_ADDERS">'ANALYSIS DATABASE'!$C$136</definedName>
    <definedName name="Total_Buying_Costs" localSheetId="11" hidden="1">'[3]4-MPP Calculator'!$AG$34</definedName>
    <definedName name="Total_Buying_Costs" localSheetId="12" hidden="1">'[3]4-MPP Calculator'!$AG$34</definedName>
    <definedName name="Total_Buying_Costs" localSheetId="13" hidden="1">'[3]4-MPP Calculator'!$AG$34</definedName>
    <definedName name="Total_Buying_Costs" localSheetId="8" hidden="1">'[3]4-MPP Calculator'!$AG$34</definedName>
    <definedName name="Total_Buying_Costs" hidden="1">'[3]4-MPP Calculator'!$AG$34</definedName>
    <definedName name="TOTAL_BUYING_COSTS_ESTIMATED">'1 REHAB ANALYZER'!$AA$33</definedName>
    <definedName name="TOTAL_BUYING_COSTS_WHOLESALE">'WHOLESALE CALC'!$Z$33</definedName>
    <definedName name="Total_Cash_Needed">'ANALYSIS DATABASE'!$C$253</definedName>
    <definedName name="Total_Detailed_Estimate" hidden="1">'[2]CAPITAL IMPROVEMENTS'!$AQ$14</definedName>
    <definedName name="Total_Detailed_Labor" hidden="1">'[2]CAPITAL IMPROVEMENTS'!$AD$14</definedName>
    <definedName name="Total_Detailed_Material" hidden="1">'[2]CAPITAL IMPROVEMENTS'!$AG$14</definedName>
    <definedName name="Total_Detailed_Sub" hidden="1">'[2]CAPITAL IMPROVEMENTS'!$AJ$14</definedName>
    <definedName name="TOTAL_ESTIMATE">'ANALYSIS DATABASE'!$C$137</definedName>
    <definedName name="TOTAL_ESTIMATE_W_ADDERS">'ANALYSIS DATABASE'!$C$125</definedName>
    <definedName name="TOTAL_FINANCING_COSTS">'1 REHAB ANALYZER'!$AA$79</definedName>
    <definedName name="Total_Financing_Results_Range" localSheetId="6">'CATEGORY SETUP'!#REF!</definedName>
    <definedName name="Total_Financing_Results_Range">'REHAB FINANCING SETUP'!$94:$134</definedName>
    <definedName name="Total_Fixed_Costs" localSheetId="11" hidden="1">'[3]4-MPP Calculator'!$I$75</definedName>
    <definedName name="Total_Fixed_Costs" localSheetId="12" hidden="1">'[3]4-MPP Calculator'!$I$75</definedName>
    <definedName name="Total_Fixed_Costs" localSheetId="13" hidden="1">'[3]4-MPP Calculator'!$I$75</definedName>
    <definedName name="Total_Fixed_Costs" localSheetId="8" hidden="1">'[3]4-MPP Calculator'!$I$75</definedName>
    <definedName name="Total_Fixed_Costs" hidden="1">'[3]4-MPP Calculator'!$I$75</definedName>
    <definedName name="TOTAL_FIXED_COSTS_ESTIMATED">'1 REHAB ANALYZER'!$H$84</definedName>
    <definedName name="Total_Fixed_Costs_Result">'ANALYSIS DATABASE'!$C$172</definedName>
    <definedName name="TOTAL_FIXED_COSTS_WHOLESALE">'WHOLESALE CALC'!$B$74</definedName>
    <definedName name="Total_Holding_Costs" localSheetId="11" hidden="1">'[3]4-MPP Calculator'!$AG$52</definedName>
    <definedName name="Total_Holding_Costs" localSheetId="12" hidden="1">'[3]4-MPP Calculator'!$AG$52</definedName>
    <definedName name="Total_Holding_Costs" localSheetId="13" hidden="1">'[3]4-MPP Calculator'!$AG$52</definedName>
    <definedName name="Total_Holding_Costs" localSheetId="8" hidden="1">'[3]4-MPP Calculator'!$AG$52</definedName>
    <definedName name="Total_Holding_Costs" hidden="1">'[3]4-MPP Calculator'!$AG$52</definedName>
    <definedName name="TOTAL_HOLDING_COSTS_ESTIMATED">'1 REHAB ANALYZER'!$AA$51</definedName>
    <definedName name="TOTAL_HOLDING_COSTS_WHOLESALE">'WHOLESALE CALC'!$Z$51</definedName>
    <definedName name="Total_Investment" localSheetId="11" hidden="1">'[3]4-MPP Calculator'!$CA$75</definedName>
    <definedName name="Total_Investment" localSheetId="12" hidden="1">'[3]4-MPP Calculator'!$CA$75</definedName>
    <definedName name="Total_Investment" localSheetId="13" hidden="1">'[3]4-MPP Calculator'!$CA$75</definedName>
    <definedName name="Total_Investment" localSheetId="25" hidden="1">'[3]4-MPP Calculator'!$CA$75</definedName>
    <definedName name="Total_Investment" localSheetId="8" hidden="1">'[3]4-MPP Calculator'!$CA$75</definedName>
    <definedName name="TOTAL_INVESTMENT_ESTIMATED" localSheetId="6">'1 REHAB ANALYZER'!#REF!</definedName>
    <definedName name="Total_Monthly_Holding_Costs">'1 REHAB ANALYZER'!$R$51</definedName>
    <definedName name="Total_Monthly_Holding_Costs_Cell">'1 REHAB ANALYZER'!$R$51</definedName>
    <definedName name="Total_Profit_Result">'ANALYSIS DATABASE'!$C$178</definedName>
    <definedName name="Total_Project_Costs_Result">'ANALYSIS DATABASE'!$C$177</definedName>
    <definedName name="TOTAL_REMODEL_ESTIMATE">'1 REHAB ANALYZER'!$AO$84</definedName>
    <definedName name="Total_Repair_Costs_Result">'ANALYSIS DATABASE'!$C$175</definedName>
    <definedName name="TOTAL_REPAIR_COSTS_WHOLESALE">'WHOLESALE CALC'!$AN$34</definedName>
    <definedName name="TOTAL_REPAIR_ESTIMATE_WHOLESALE">'WHOLESALE CALC'!$AN$74</definedName>
    <definedName name="TOTAL_REPAIRS_ESTIMATE">'1 REHAB ANALYZER'!$AO$84</definedName>
    <definedName name="Total_Schedule" localSheetId="11" hidden="1">#REF!</definedName>
    <definedName name="Total_Schedule" localSheetId="12" hidden="1">#REF!</definedName>
    <definedName name="Total_Schedule" localSheetId="6" hidden="1">#REF!</definedName>
    <definedName name="Total_Schedule" localSheetId="13" hidden="1">#REF!</definedName>
    <definedName name="Total_Schedule" localSheetId="25" hidden="1">#REF!</definedName>
    <definedName name="Total_Schedule" localSheetId="8" hidden="1">#REF!</definedName>
    <definedName name="Total_Schedule" localSheetId="23" hidden="1">#REF!</definedName>
    <definedName name="Total_Schedule" localSheetId="22" hidden="1">#REF!</definedName>
    <definedName name="Total_Schedule" localSheetId="5" hidden="1">#REF!</definedName>
    <definedName name="Total_Schedule" localSheetId="27" hidden="1">#REF!</definedName>
    <definedName name="Total_Schedule" hidden="1">#REF!</definedName>
    <definedName name="Total_Schedule_Cell">'1 REHAB ANALYZER'!$M$49</definedName>
    <definedName name="Total_Schedule_Setup_Sheet" localSheetId="6">'CATEGORY SETUP'!#REF!</definedName>
    <definedName name="Total_Schedule_Setup_Sheet" localSheetId="22">'REHAB FINANCING SETUP'!#REF!</definedName>
    <definedName name="Total_Selling_Costs" localSheetId="11" hidden="1">'[3]4-MPP Calculator'!$AG$70</definedName>
    <definedName name="Total_Selling_Costs" localSheetId="12" hidden="1">'[3]4-MPP Calculator'!$AG$70</definedName>
    <definedName name="Total_Selling_Costs" localSheetId="13" hidden="1">'[3]4-MPP Calculator'!$AG$70</definedName>
    <definedName name="Total_Selling_Costs" localSheetId="8" hidden="1">'[3]4-MPP Calculator'!$AG$70</definedName>
    <definedName name="Total_Selling_Costs" hidden="1">'[3]4-MPP Calculator'!$AG$70</definedName>
    <definedName name="TOTAL_SELLING_COSTS_ESTIMATED">'1 REHAB ANALYZER'!$AA$71</definedName>
    <definedName name="TOTAL_SELLING_COSTS_WHOLESALE">'WHOLESALE CALC'!$Z$69</definedName>
    <definedName name="Total_Upfront_Costs_Result">'ANALYSIS DATABASE'!$C$176</definedName>
    <definedName name="Utilities" localSheetId="6">'CATEGORY SETUP'!#REF!</definedName>
    <definedName name="Utilities" localSheetId="22">'REHAB FINANCING SETUP'!#REF!</definedName>
    <definedName name="Whoelsale_Calculator_Password">ADMIN!$BA$13</definedName>
    <definedName name="WHOLESALE_APPLIANCES_ESTIMATE">'WHOLESALE CALC'!$BH$21</definedName>
    <definedName name="WHOLESALE_CABINETS_COUNTERS_ESTIMATE">'WHOLESALE CALC'!$BH$9</definedName>
    <definedName name="Wholesale_Calculator_Contingency">'WHOLESALE CALC'!$BA$56</definedName>
    <definedName name="Wholesale_Calculator_Fixed_Cost_Calculation_Method">'WHOLESALE CALC'!$W$14</definedName>
    <definedName name="Wholesale_Calculator_Freeze_Line">'WHOLESALE CALC'!$3:$3</definedName>
    <definedName name="Wholesale_Calculator_Location_Mutiplier">'WHOLESALE CALC'!$BA$47</definedName>
    <definedName name="Wholesale_Calculator_OH_Profit">'WHOLESALE CALC'!$BA$53</definedName>
    <definedName name="Wholesale_Calculator_Password_Selection">ADMIN!$AT$13</definedName>
    <definedName name="Wholesale_Calculator_Permit_Cost">'WHOLESALE CALC'!$BA$50</definedName>
    <definedName name="WHOLESALE_CARPET_ESTIMATE">'WHOLESALE CALC'!$BH$13</definedName>
    <definedName name="WHOLESALE_CONCRETE_ESTIMATE">'WHOLESALE CALC'!$AS$13</definedName>
    <definedName name="WHOLESALE_CONRETE_ESTIMATE">'WHOLESALE CALC'!$AS$13</definedName>
    <definedName name="WHOLESALE_DECKING_ESTIMATE">'WHOLESALE CALC'!$AS$19</definedName>
    <definedName name="WHOLESALE_DEMOLITION_ESTIMATE">'WHOLESALE CALC'!$AS$9</definedName>
    <definedName name="WHOLESALE_DOORS_TRIM_ESTIMATE">'WHOLESALE CALC'!$BH$11</definedName>
    <definedName name="WHOLESALE_DOORS_WINDOWS_ESTIMATE">'WHOLESALE CALC'!$AS$23</definedName>
    <definedName name="WHOLESALE_ELECTRICAL_ESTIMATE">'WHOLESALE CALC'!$BH$27</definedName>
    <definedName name="Wholesale_Estimate_Scope1_Result">'WHOLESALE CALC'!$AK$88</definedName>
    <definedName name="Wholesale_Estimate_Scope10_Result">'WHOLESALE CALC'!$AK$97</definedName>
    <definedName name="Wholesale_Estimate_Scope11_Result">'WHOLESALE CALC'!$AK$98</definedName>
    <definedName name="Wholesale_Estimate_Scope12_Result">'WHOLESALE CALC'!$AK$99</definedName>
    <definedName name="Wholesale_Estimate_Scope13_Result">'WHOLESALE CALC'!$AK$100</definedName>
    <definedName name="Wholesale_Estimate_Scope14_Result">'WHOLESALE CALC'!$AK$101</definedName>
    <definedName name="Wholesale_Estimate_Scope15_Result">'WHOLESALE CALC'!$AK$102</definedName>
    <definedName name="Wholesale_Estimate_Scope16_Result">'WHOLESALE CALC'!$AK$103</definedName>
    <definedName name="Wholesale_Estimate_Scope17_Result">'WHOLESALE CALC'!$AK$104</definedName>
    <definedName name="Wholesale_Estimate_Scope18_Result">'WHOLESALE CALC'!$AK$105</definedName>
    <definedName name="Wholesale_Estimate_Scope19_Result">'WHOLESALE CALC'!$AK$106</definedName>
    <definedName name="Wholesale_Estimate_Scope2_Result">'WHOLESALE CALC'!$AK$89</definedName>
    <definedName name="Wholesale_Estimate_Scope20_Result">'WHOLESALE CALC'!$AK$107</definedName>
    <definedName name="Wholesale_Estimate_Scope21_Result">'WHOLESALE CALC'!$AK$108</definedName>
    <definedName name="Wholesale_Estimate_Scope22_Result">'WHOLESALE CALC'!$AK$109</definedName>
    <definedName name="Wholesale_Estimate_Scope23_Result">'WHOLESALE CALC'!$AK$110</definedName>
    <definedName name="Wholesale_Estimate_Scope24_Result">'WHOLESALE CALC'!$AK$111</definedName>
    <definedName name="Wholesale_Estimate_Scope3_Result">'WHOLESALE CALC'!$AK$90</definedName>
    <definedName name="Wholesale_Estimate_Scope4_Result">'WHOLESALE CALC'!$AK$91</definedName>
    <definedName name="Wholesale_Estimate_Scope5_Result">'WHOLESALE CALC'!$AK$92</definedName>
    <definedName name="Wholesale_Estimate_Scope6_Result">'WHOLESALE CALC'!$AK$93</definedName>
    <definedName name="Wholesale_Estimate_Scope7_Result">'WHOLESALE CALC'!$AK$94</definedName>
    <definedName name="Wholesale_Estimate_Scope8_Result">'WHOLESALE CALC'!$AK$95</definedName>
    <definedName name="Wholesale_Estimate_Scope9_Result">'WHOLESALE CALC'!$AK$96</definedName>
    <definedName name="WHOLESALE_FRAMING_DRYWALL_ESTIMATE">'WHOLESALE CALC'!$BH$7</definedName>
    <definedName name="WHOLESALE_GARAGE_DOORS_ESTIMATE">'WHOLESALE CALC'!$AS$25</definedName>
    <definedName name="WHOLESALE_GC_ESTIMATE_CELL">'WHOLESALE CALC'!$AS$7</definedName>
    <definedName name="WHOLESALE_HARDWOOD_ESTIMATE">'WHOLESALE CALC'!$BH$15</definedName>
    <definedName name="WHOLESALE_HVAC_ESTIMATE">'WHOLESALE CALC'!$BH$25</definedName>
    <definedName name="WHOLESALE_LANDSCAPING_ESTIMATE">'WHOLESALE CALC'!$AS$27</definedName>
    <definedName name="WHOLESALE_MASONRY_ESTIMATE">'WHOLESALE CALC'!$AS$15</definedName>
    <definedName name="WHOLESALE_MISC_EXT_IMPROV_ESTIMATE">'WHOLESALE CALC'!$AS$29</definedName>
    <definedName name="WHOLESALE_MISCELLANEOUS_ESTIMATE">'WHOLESALE CALC'!$BH$29</definedName>
    <definedName name="WHOLESALE_PAINTING_ESTIMATE">'WHOLESALE CALC'!$BH$19</definedName>
    <definedName name="Wholesale_Percent_Algo">'HOMEOWNER REPORT'!$AF$62</definedName>
    <definedName name="WHOLESALE_PLUMBING_ESTIMATE">'WHOLESALE CALC'!$BH$23</definedName>
    <definedName name="Wholesale_Profit">'WHOLESALE CALC'!$BN$64</definedName>
    <definedName name="Wholesale_Profit_Percentage_Cell">'WHOLESALE CALC'!$CL$7</definedName>
    <definedName name="Wholesale_Repair_Cost_Calculation_Method">'WHOLESALE CALC'!$BF$4</definedName>
    <definedName name="Wholesale_Repair_Estimate_Totals">'WHOLESALE CALC'!$AI$7:$BL$30</definedName>
    <definedName name="WHOLESALE_REPAIRS_FIRST_COLUMN">'WHOLESALE CALC'!$AS$7:$AW$30</definedName>
    <definedName name="WHOLESALE_REPAIRS_SECOND_COLUMN">'WHOLESALE CALC'!$BH$7:$BL$30</definedName>
    <definedName name="Wholesale_Report_Password">ADMIN!$BA$24</definedName>
    <definedName name="Wholesale_Report_Password_Selection">ADMIN!$AT$24</definedName>
    <definedName name="WHOLESALE_ROOFING_ESTIMATE">'WHOLESALE CALC'!$AS$21</definedName>
    <definedName name="WHOLESALE_SIDING_ESTIMATE">'WHOLESALE CALC'!$AS$17</definedName>
    <definedName name="WHOLESALE_STRUCTURAL_ESTIMATE">'WHOLESALE CALC'!$AS$11</definedName>
    <definedName name="WHOLESALE_TILING_ESTIMATE">'WHOLESALE CALC'!$BH$17</definedName>
    <definedName name="Wholesale_Total_Repair_Costs">'WHOLESALE CALC'!$AN$34</definedName>
    <definedName name="Workbook_Lock">ADMIN!$E$4</definedName>
    <definedName name="Year1" localSheetId="6">VALUE(LEFT(#REF!,4))</definedName>
    <definedName name="Yes_No_Dropdown">LISTS!$D$5:$D$6</definedName>
    <definedName name="Z_CCC3C480_7EFF_4539_BA29_9C13086C00B7_.wvu.Cols" localSheetId="6" hidden="1">'CATEGORY SETUP'!$O:$O</definedName>
    <definedName name="Z_CCC3C480_7EFF_4539_BA29_9C13086C00B7_.wvu.Cols" localSheetId="1" hidden="1">LISTS!#REF!</definedName>
    <definedName name="Z_CCC3C480_7EFF_4539_BA29_9C13086C00B7_.wvu.Cols" localSheetId="7" hidden="1">'REHAB FINANCING SETUP'!$O:$O</definedName>
    <definedName name="Z_CCC3C480_7EFF_4539_BA29_9C13086C00B7_.wvu.Cols" localSheetId="5" hidden="1">SETUP!$O:$O</definedName>
    <definedName name="Z_CCC3C480_7EFF_4539_BA29_9C13086C00B7_.wvu.FilterData" localSheetId="10" hidden="1">'2 REPAIR ESTIMATOR'!$B$85:$AT$85</definedName>
    <definedName name="Z_CCC3C480_7EFF_4539_BA29_9C13086C00B7_.wvu.FilterData" localSheetId="21" hidden="1">'ESTIMATE REPORTS'!$C$70:$M$1104</definedName>
    <definedName name="Z_CCC3C480_7EFF_4539_BA29_9C13086C00B7_.wvu.FilterData" localSheetId="22" hidden="1">'PROJECT COST REPORT'!$C$18:$F$1082</definedName>
    <definedName name="Z_CCC3C480_7EFF_4539_BA29_9C13086C00B7_.wvu.FilterData" localSheetId="28" hidden="1">'SCOPE OF WORK'!$D$43:$N$1387</definedName>
    <definedName name="Z_CCC3C480_7EFF_4539_BA29_9C13086C00B7_.wvu.PrintArea" localSheetId="9" hidden="1">'1 REHAB ANALYZER'!$C$21:$L$74</definedName>
    <definedName name="Z_CCC3C480_7EFF_4539_BA29_9C13086C00B7_.wvu.PrintArea" localSheetId="10" hidden="1">'2 REPAIR ESTIMATOR'!$E$74:$AU$1166</definedName>
    <definedName name="Z_CCC3C480_7EFF_4539_BA29_9C13086C00B7_.wvu.PrintArea" localSheetId="6" hidden="1">'CATEGORY SETUP'!#REF!</definedName>
    <definedName name="Z_CCC3C480_7EFF_4539_BA29_9C13086C00B7_.wvu.PrintArea" localSheetId="21" hidden="1">'ESTIMATE REPORTS'!$C$70:$M$1116</definedName>
    <definedName name="Z_CCC3C480_7EFF_4539_BA29_9C13086C00B7_.wvu.PrintArea" localSheetId="19" hidden="1">'INSPECTION CHECKLIST'!$G$11:$BC$126</definedName>
    <definedName name="Z_CCC3C480_7EFF_4539_BA29_9C13086C00B7_.wvu.PrintArea" localSheetId="1" hidden="1">LISTS!#REF!</definedName>
    <definedName name="Z_CCC3C480_7EFF_4539_BA29_9C13086C00B7_.wvu.PrintArea" localSheetId="22" hidden="1">'PROJECT COST REPORT'!$C$18:$F$1095</definedName>
    <definedName name="Z_CCC3C480_7EFF_4539_BA29_9C13086C00B7_.wvu.PrintArea" localSheetId="7" hidden="1">'REHAB FINANCING SETUP'!#REF!</definedName>
    <definedName name="Z_CCC3C480_7EFF_4539_BA29_9C13086C00B7_.wvu.PrintArea" localSheetId="28" hidden="1">'SCOPE OF WORK'!$D$43:$N$1387</definedName>
    <definedName name="Z_CCC3C480_7EFF_4539_BA29_9C13086C00B7_.wvu.PrintArea" localSheetId="5" hidden="1">SETUP!#REF!</definedName>
    <definedName name="Z_CCC3C480_7EFF_4539_BA29_9C13086C00B7_.wvu.PrintArea" localSheetId="14" hidden="1">'WHOLESALE CALC'!$B$19:$L$72</definedName>
    <definedName name="Z_CCC3C480_7EFF_4539_BA29_9C13086C00B7_.wvu.PrintTitles" localSheetId="10" hidden="1">'2 REPAIR ESTIMATOR'!$84:$85</definedName>
    <definedName name="Z_CCC3C480_7EFF_4539_BA29_9C13086C00B7_.wvu.PrintTitles" localSheetId="21" hidden="1">'ESTIMATE REPORTS'!$70:$70</definedName>
    <definedName name="Z_CCC3C480_7EFF_4539_BA29_9C13086C00B7_.wvu.PrintTitles" localSheetId="22" hidden="1">'PROJECT COST REPORT'!#REF!</definedName>
    <definedName name="Z_CCC3C480_7EFF_4539_BA29_9C13086C00B7_.wvu.PrintTitles" localSheetId="28" hidden="1">'SCOPE OF WORK'!#REF!</definedName>
    <definedName name="Z_CCC3C480_7EFF_4539_BA29_9C13086C00B7_.wvu.Rows" localSheetId="10" hidden="1">'2 REPAIR ESTIMATOR'!#REF!</definedName>
    <definedName name="Z_CCC3C480_7EFF_4539_BA29_9C13086C00B7_.wvu.Rows" localSheetId="6" hidden="1">'CATEGORY SETUP'!#REF!</definedName>
    <definedName name="Z_CCC3C480_7EFF_4539_BA29_9C13086C00B7_.wvu.Rows" localSheetId="1" hidden="1">LISTS!#REF!</definedName>
    <definedName name="Z_CCC3C480_7EFF_4539_BA29_9C13086C00B7_.wvu.Rows" localSheetId="7" hidden="1">'REHAB FINANCING SETUP'!#REF!</definedName>
    <definedName name="Z_CCC3C480_7EFF_4539_BA29_9C13086C00B7_.wvu.Rows" localSheetId="5" hidden="1">SETUP!#REF!</definedName>
    <definedName name="Zoom_Setting">HOME!$D$10</definedName>
    <definedName name="Zoom_Setting_Dropdown">LISTS!$F$9:$F$54</definedName>
  </definedNames>
  <calcPr calcId="179021" iterate="1"/>
  <customWorkbookViews>
    <customWorkbookView name="Inspection Checklist" guid="{CCC3C480-7EFF-4539-BA29-9C13086C00B7}" maximized="1" windowWidth="1920" windowHeight="813" activeSheetId="13"/>
  </customWorkbookViews>
</workbook>
</file>

<file path=xl/calcChain.xml><?xml version="1.0" encoding="utf-8"?>
<calcChain xmlns="http://schemas.openxmlformats.org/spreadsheetml/2006/main">
  <c r="BG57" i="36" l="1"/>
  <c r="W374" i="190" l="1"/>
  <c r="W318" i="190"/>
  <c r="W261" i="190"/>
  <c r="W220" i="190"/>
  <c r="W179" i="190"/>
  <c r="W138" i="190"/>
  <c r="W97" i="190"/>
  <c r="W56" i="190"/>
  <c r="AO6" i="190"/>
  <c r="AO5" i="190"/>
  <c r="AN5" i="190"/>
  <c r="AM5" i="190"/>
  <c r="AL5" i="190"/>
  <c r="AK5" i="190"/>
  <c r="AJ5" i="190"/>
  <c r="AG3" i="190"/>
  <c r="I20" i="190"/>
  <c r="AI5" i="190"/>
  <c r="AH5" i="190"/>
  <c r="U209" i="190"/>
  <c r="Q209" i="190"/>
  <c r="M209" i="190"/>
  <c r="K209" i="190"/>
  <c r="U205" i="190"/>
  <c r="Q205" i="190"/>
  <c r="M205" i="190"/>
  <c r="K205" i="190"/>
  <c r="U190" i="190"/>
  <c r="Q190" i="190"/>
  <c r="M190" i="190"/>
  <c r="H374" i="190"/>
  <c r="H318" i="190"/>
  <c r="H261" i="190"/>
  <c r="H220" i="190"/>
  <c r="H179" i="190"/>
  <c r="H138" i="190"/>
  <c r="H97" i="190"/>
  <c r="H56" i="190"/>
  <c r="U153" i="30"/>
  <c r="Q153" i="30"/>
  <c r="M153" i="30"/>
  <c r="U172" i="30"/>
  <c r="Q172" i="30"/>
  <c r="M172" i="30"/>
  <c r="K172" i="30"/>
  <c r="U168" i="30"/>
  <c r="Q168" i="30"/>
  <c r="M168" i="30"/>
  <c r="K168" i="30"/>
  <c r="V337" i="30"/>
  <c r="U337" i="30"/>
  <c r="T337" i="30"/>
  <c r="S337" i="30"/>
  <c r="R337" i="30"/>
  <c r="Q337" i="30"/>
  <c r="P337" i="30"/>
  <c r="O337" i="30"/>
  <c r="N337" i="30"/>
  <c r="M337" i="30"/>
  <c r="L337" i="30"/>
  <c r="K337" i="30"/>
  <c r="J337" i="30"/>
  <c r="I337" i="30"/>
  <c r="H337" i="30"/>
  <c r="H281" i="30"/>
  <c r="H224" i="30"/>
  <c r="H183" i="30"/>
  <c r="H142" i="30"/>
  <c r="H99" i="30"/>
  <c r="H58" i="30"/>
  <c r="AM5" i="30"/>
  <c r="AL5" i="30"/>
  <c r="AK5" i="30"/>
  <c r="AJ5" i="30"/>
  <c r="AI5" i="30"/>
  <c r="AH5" i="30"/>
  <c r="AG3" i="30"/>
  <c r="AN3" i="30"/>
  <c r="AN5" i="30" s="1"/>
  <c r="AK6" i="190" l="1"/>
  <c r="AN6" i="190"/>
  <c r="AH6" i="190"/>
  <c r="AL6" i="190"/>
  <c r="AI6" i="190"/>
  <c r="AM6" i="190"/>
  <c r="AJ6" i="190"/>
  <c r="AM6" i="30"/>
  <c r="W281" i="30" s="1"/>
  <c r="AJ6" i="30"/>
  <c r="W142" i="30" s="1"/>
  <c r="AN6" i="30"/>
  <c r="W337" i="30" s="1"/>
  <c r="AK6" i="30"/>
  <c r="W183" i="30" s="1"/>
  <c r="AH6" i="30"/>
  <c r="W58" i="30" s="1"/>
  <c r="AL6" i="30"/>
  <c r="W224" i="30" s="1"/>
  <c r="AI6" i="30"/>
  <c r="W99" i="30" s="1"/>
  <c r="AP89" i="37"/>
  <c r="AA11" i="196" l="1"/>
  <c r="R174" i="198" l="1"/>
  <c r="R173" i="198"/>
  <c r="R172" i="198"/>
  <c r="R171" i="198"/>
  <c r="R170" i="198"/>
  <c r="R169" i="198"/>
  <c r="R168" i="198"/>
  <c r="R167" i="198"/>
  <c r="R166" i="198"/>
  <c r="R165" i="198"/>
  <c r="R164" i="198"/>
  <c r="R163" i="198"/>
  <c r="R162" i="198"/>
  <c r="R161" i="198"/>
  <c r="R160" i="198"/>
  <c r="R159" i="198"/>
  <c r="R158" i="198"/>
  <c r="R157" i="198"/>
  <c r="R156" i="198"/>
  <c r="R155" i="198"/>
  <c r="R154" i="198"/>
  <c r="R153" i="198"/>
  <c r="R152" i="198"/>
  <c r="R151" i="198"/>
  <c r="L64" i="190"/>
  <c r="L66" i="30"/>
  <c r="M77" i="198"/>
  <c r="M74" i="198"/>
  <c r="M73" i="198"/>
  <c r="O81" i="198"/>
  <c r="S66" i="198" s="1"/>
  <c r="H285" i="198" l="1"/>
  <c r="H233" i="198"/>
  <c r="H181" i="198"/>
  <c r="H140" i="198"/>
  <c r="X133" i="198"/>
  <c r="T133" i="198"/>
  <c r="P133" i="198"/>
  <c r="X132" i="198"/>
  <c r="T132" i="198"/>
  <c r="P132" i="198"/>
  <c r="X131" i="198"/>
  <c r="T131" i="198"/>
  <c r="P131" i="198"/>
  <c r="X130" i="198"/>
  <c r="T130" i="198"/>
  <c r="P130" i="198"/>
  <c r="X129" i="198"/>
  <c r="T129" i="198"/>
  <c r="P129" i="198"/>
  <c r="M129" i="198"/>
  <c r="K129" i="198"/>
  <c r="X128" i="198"/>
  <c r="U128" i="198"/>
  <c r="T128" i="198"/>
  <c r="P128" i="198"/>
  <c r="M128" i="198"/>
  <c r="K128" i="198"/>
  <c r="X127" i="198"/>
  <c r="U127" i="198"/>
  <c r="T127" i="198"/>
  <c r="P127" i="198"/>
  <c r="M127" i="198"/>
  <c r="K127" i="198"/>
  <c r="X126" i="198"/>
  <c r="U126" i="198"/>
  <c r="T126" i="198"/>
  <c r="P126" i="198"/>
  <c r="M126" i="198"/>
  <c r="K126" i="198"/>
  <c r="X125" i="198"/>
  <c r="U125" i="198"/>
  <c r="T125" i="198"/>
  <c r="Q125" i="198"/>
  <c r="M125" i="198"/>
  <c r="K125" i="198"/>
  <c r="X124" i="198"/>
  <c r="U124" i="198"/>
  <c r="T124" i="198"/>
  <c r="Q124" i="198"/>
  <c r="P124" i="198"/>
  <c r="M124" i="198"/>
  <c r="K124" i="198"/>
  <c r="X123" i="198"/>
  <c r="U123" i="198"/>
  <c r="T123" i="198"/>
  <c r="Q123" i="198"/>
  <c r="P123" i="198"/>
  <c r="M123" i="198"/>
  <c r="K123" i="198"/>
  <c r="X122" i="198"/>
  <c r="U122" i="198"/>
  <c r="T122" i="198"/>
  <c r="Q122" i="198"/>
  <c r="P122" i="198"/>
  <c r="M122" i="198"/>
  <c r="K122" i="198"/>
  <c r="X121" i="198"/>
  <c r="U121" i="198"/>
  <c r="T121" i="198"/>
  <c r="Q121" i="198"/>
  <c r="P121" i="198"/>
  <c r="M121" i="198"/>
  <c r="K121" i="198"/>
  <c r="X120" i="198"/>
  <c r="U120" i="198"/>
  <c r="T120" i="198"/>
  <c r="Q120" i="198"/>
  <c r="P120" i="198"/>
  <c r="M120" i="198"/>
  <c r="K120" i="198"/>
  <c r="X119" i="198"/>
  <c r="U119" i="198"/>
  <c r="T119" i="198"/>
  <c r="Q119" i="198"/>
  <c r="P119" i="198"/>
  <c r="M119" i="198"/>
  <c r="X118" i="198"/>
  <c r="U118" i="198"/>
  <c r="T118" i="198"/>
  <c r="Q118" i="198"/>
  <c r="P118" i="198"/>
  <c r="M118" i="198"/>
  <c r="K118" i="198"/>
  <c r="X117" i="198"/>
  <c r="U117" i="198"/>
  <c r="T117" i="198"/>
  <c r="Q117" i="198"/>
  <c r="P117" i="198"/>
  <c r="M117" i="198"/>
  <c r="X116" i="198"/>
  <c r="U116" i="198"/>
  <c r="T116" i="198"/>
  <c r="Q116" i="198"/>
  <c r="P116" i="198"/>
  <c r="M116" i="198"/>
  <c r="U113" i="198"/>
  <c r="Q113" i="198"/>
  <c r="M113" i="198"/>
  <c r="K113" i="198"/>
  <c r="U112" i="198"/>
  <c r="Q112" i="198"/>
  <c r="M112" i="198"/>
  <c r="K112" i="198"/>
  <c r="U111" i="198"/>
  <c r="Q111" i="198"/>
  <c r="M111" i="198"/>
  <c r="K111" i="198"/>
  <c r="U110" i="198"/>
  <c r="Q110" i="198"/>
  <c r="M110" i="198"/>
  <c r="U109" i="198"/>
  <c r="Q109" i="198"/>
  <c r="M109" i="198"/>
  <c r="U108" i="198"/>
  <c r="Q108" i="198"/>
  <c r="M108" i="198"/>
  <c r="U106" i="198"/>
  <c r="Q106" i="198"/>
  <c r="M106" i="198"/>
  <c r="H99" i="198"/>
  <c r="H58" i="198"/>
  <c r="I54" i="198"/>
  <c r="I53" i="198"/>
  <c r="I52" i="198"/>
  <c r="I51" i="198"/>
  <c r="I30" i="198"/>
  <c r="I25" i="198"/>
  <c r="AM3" i="198"/>
  <c r="U186" i="190"/>
  <c r="Q186" i="190"/>
  <c r="M186" i="190"/>
  <c r="O124" i="190"/>
  <c r="O127" i="190"/>
  <c r="L125" i="190"/>
  <c r="U149" i="30"/>
  <c r="Q149" i="30"/>
  <c r="M149" i="30"/>
  <c r="B103" i="63" l="1"/>
  <c r="B96" i="63"/>
  <c r="B110" i="63" s="1"/>
  <c r="AF62" i="63" s="1"/>
  <c r="I64" i="63" s="1"/>
  <c r="H163" i="190" l="1"/>
  <c r="J163" i="190"/>
  <c r="N163" i="190"/>
  <c r="Q163" i="190"/>
  <c r="H164" i="190"/>
  <c r="J164" i="190"/>
  <c r="N164" i="190"/>
  <c r="Q164" i="190"/>
  <c r="H165" i="190"/>
  <c r="J165" i="190"/>
  <c r="N165" i="190"/>
  <c r="Q165" i="190"/>
  <c r="H157" i="190"/>
  <c r="J157" i="190"/>
  <c r="N157" i="190"/>
  <c r="Q157" i="190"/>
  <c r="H158" i="190"/>
  <c r="J158" i="190"/>
  <c r="N158" i="190"/>
  <c r="Q158" i="190"/>
  <c r="H159" i="190"/>
  <c r="J159" i="190"/>
  <c r="N159" i="190"/>
  <c r="Q159" i="190"/>
  <c r="H160" i="190"/>
  <c r="J160" i="190"/>
  <c r="N160" i="190"/>
  <c r="Q160" i="190"/>
  <c r="H161" i="190"/>
  <c r="J161" i="190"/>
  <c r="N161" i="190"/>
  <c r="Q161" i="190"/>
  <c r="H162" i="190"/>
  <c r="J162" i="190"/>
  <c r="N162" i="190"/>
  <c r="Q162" i="190"/>
  <c r="Q156" i="190"/>
  <c r="N156" i="190"/>
  <c r="J156" i="190"/>
  <c r="H156" i="190"/>
  <c r="N166" i="190" l="1"/>
  <c r="Q166" i="190"/>
  <c r="G191" i="197"/>
  <c r="G190" i="197"/>
  <c r="G187" i="197"/>
  <c r="G188" i="197"/>
  <c r="G189" i="197"/>
  <c r="G186" i="197"/>
  <c r="G128" i="197"/>
  <c r="G129" i="197"/>
  <c r="G130" i="197"/>
  <c r="G131" i="197"/>
  <c r="G132" i="197"/>
  <c r="G127" i="197"/>
  <c r="G72" i="197"/>
  <c r="G71" i="197"/>
  <c r="G70" i="197"/>
  <c r="G69" i="197"/>
  <c r="G68" i="197"/>
  <c r="AA27" i="194" l="1"/>
  <c r="AA11" i="194"/>
  <c r="G296" i="197" l="1"/>
  <c r="G239" i="197"/>
  <c r="G180" i="197"/>
  <c r="G121" i="197"/>
  <c r="G62" i="197"/>
  <c r="U22" i="195"/>
  <c r="U21" i="195"/>
  <c r="U20" i="195"/>
  <c r="U19" i="195"/>
  <c r="U18" i="195"/>
  <c r="U26" i="195"/>
  <c r="D14" i="195"/>
  <c r="D13" i="195"/>
  <c r="D12" i="195"/>
  <c r="D10" i="195"/>
  <c r="D11" i="195"/>
  <c r="D9" i="195"/>
  <c r="V63" i="195"/>
  <c r="K21" i="196"/>
  <c r="K18" i="196"/>
  <c r="AA47" i="194"/>
  <c r="U23" i="195" l="1"/>
  <c r="L33" i="197" s="1"/>
  <c r="C17" i="159"/>
  <c r="C16" i="159"/>
  <c r="U25" i="195" l="1"/>
  <c r="U24" i="195"/>
  <c r="C18" i="159"/>
  <c r="G214" i="197"/>
  <c r="G213" i="197"/>
  <c r="G212" i="197"/>
  <c r="G211" i="197"/>
  <c r="G210" i="197"/>
  <c r="G209" i="197"/>
  <c r="G208" i="197"/>
  <c r="G207" i="197"/>
  <c r="G206" i="197"/>
  <c r="G205" i="197"/>
  <c r="G204" i="197"/>
  <c r="G203" i="197"/>
  <c r="G202" i="197"/>
  <c r="G201" i="197"/>
  <c r="G200" i="197"/>
  <c r="G199" i="197"/>
  <c r="G198" i="197"/>
  <c r="G155" i="197"/>
  <c r="G154" i="197"/>
  <c r="G153" i="197"/>
  <c r="G152" i="197"/>
  <c r="G151" i="197"/>
  <c r="G150" i="197"/>
  <c r="G149" i="197"/>
  <c r="G148" i="197"/>
  <c r="G147" i="197"/>
  <c r="G146" i="197"/>
  <c r="G145" i="197"/>
  <c r="G144" i="197"/>
  <c r="G143" i="197"/>
  <c r="G142" i="197"/>
  <c r="G141" i="197"/>
  <c r="G140" i="197"/>
  <c r="G139" i="197"/>
  <c r="G96" i="197"/>
  <c r="G95" i="197"/>
  <c r="G94" i="197"/>
  <c r="G93" i="197"/>
  <c r="G92" i="197"/>
  <c r="G91" i="197"/>
  <c r="G90" i="197"/>
  <c r="G89" i="197"/>
  <c r="G88" i="197"/>
  <c r="G87" i="197"/>
  <c r="G86" i="197"/>
  <c r="G85" i="197"/>
  <c r="G84" i="197"/>
  <c r="G83" i="197"/>
  <c r="G82" i="197"/>
  <c r="G81" i="197"/>
  <c r="G80" i="197"/>
  <c r="L15" i="197"/>
  <c r="N15" i="197" s="1"/>
  <c r="L13" i="197"/>
  <c r="Q15" i="197" s="1"/>
  <c r="AA8" i="196"/>
  <c r="X106" i="195"/>
  <c r="Y104" i="195"/>
  <c r="Z104" i="195" s="1"/>
  <c r="AA104" i="195" s="1"/>
  <c r="AB104" i="195" s="1"/>
  <c r="AC104" i="195" s="1"/>
  <c r="AD104" i="195" s="1"/>
  <c r="AE104" i="195" s="1"/>
  <c r="AF104" i="195" s="1"/>
  <c r="AG104" i="195" s="1"/>
  <c r="AH104" i="195" s="1"/>
  <c r="AI104" i="195" s="1"/>
  <c r="AJ104" i="195" s="1"/>
  <c r="AK104" i="195" s="1"/>
  <c r="AL104" i="195" s="1"/>
  <c r="AM104" i="195" s="1"/>
  <c r="AN104" i="195" s="1"/>
  <c r="AO104" i="195" s="1"/>
  <c r="AP104" i="195" s="1"/>
  <c r="AQ104" i="195" s="1"/>
  <c r="AR104" i="195" s="1"/>
  <c r="AS104" i="195" s="1"/>
  <c r="AT104" i="195" s="1"/>
  <c r="AU104" i="195" s="1"/>
  <c r="AV104" i="195" s="1"/>
  <c r="AW104" i="195" s="1"/>
  <c r="AX104" i="195" s="1"/>
  <c r="AY104" i="195" s="1"/>
  <c r="AZ104" i="195" s="1"/>
  <c r="BA104" i="195" s="1"/>
  <c r="BB104" i="195" s="1"/>
  <c r="BC95" i="195"/>
  <c r="X95" i="195"/>
  <c r="X96" i="195" s="1"/>
  <c r="Y92" i="195"/>
  <c r="Z91" i="195"/>
  <c r="Z92" i="195" s="1"/>
  <c r="Y63" i="195"/>
  <c r="L63" i="195"/>
  <c r="U44" i="195"/>
  <c r="V44" i="195" s="1"/>
  <c r="Y44" i="195" s="1"/>
  <c r="U43" i="195"/>
  <c r="V43" i="195" s="1"/>
  <c r="U42" i="195"/>
  <c r="V42" i="195" s="1"/>
  <c r="U41" i="195"/>
  <c r="V41" i="195" s="1"/>
  <c r="Y41" i="195" s="1"/>
  <c r="U40" i="195"/>
  <c r="V40" i="195" s="1"/>
  <c r="Y40" i="195" s="1"/>
  <c r="U39" i="195"/>
  <c r="V39" i="195" s="1"/>
  <c r="U38" i="195"/>
  <c r="V38" i="195" s="1"/>
  <c r="U37" i="195"/>
  <c r="V37" i="195" s="1"/>
  <c r="Y37" i="195" s="1"/>
  <c r="U36" i="195"/>
  <c r="V36" i="195" s="1"/>
  <c r="U35" i="195"/>
  <c r="V35" i="195" s="1"/>
  <c r="Y35" i="195" s="1"/>
  <c r="U34" i="195"/>
  <c r="V34" i="195" s="1"/>
  <c r="U33" i="195"/>
  <c r="V33" i="195" s="1"/>
  <c r="U32" i="195"/>
  <c r="V32" i="195" s="1"/>
  <c r="U31" i="195"/>
  <c r="BB29" i="195"/>
  <c r="BA29" i="195"/>
  <c r="AZ29" i="195"/>
  <c r="AY29" i="195"/>
  <c r="AX29" i="195"/>
  <c r="AW29" i="195"/>
  <c r="AV29" i="195"/>
  <c r="AU29" i="195"/>
  <c r="AT29" i="195"/>
  <c r="AS29" i="195"/>
  <c r="AR29" i="195"/>
  <c r="AQ29" i="195"/>
  <c r="AP29" i="195"/>
  <c r="AO29" i="195"/>
  <c r="AN29" i="195"/>
  <c r="AM29" i="195"/>
  <c r="AL29" i="195"/>
  <c r="AK29" i="195"/>
  <c r="AJ29" i="195"/>
  <c r="AI29" i="195"/>
  <c r="AH29" i="195"/>
  <c r="AG29" i="195"/>
  <c r="AF29" i="195"/>
  <c r="AE29" i="195"/>
  <c r="AD29" i="195"/>
  <c r="AC29" i="195"/>
  <c r="AB29" i="195"/>
  <c r="AA29" i="195"/>
  <c r="Z29" i="195"/>
  <c r="V26" i="195"/>
  <c r="Y26" i="195" s="1"/>
  <c r="V22" i="195"/>
  <c r="Y22" i="195" s="1"/>
  <c r="L72" i="197" s="1"/>
  <c r="V21" i="195"/>
  <c r="V20" i="195"/>
  <c r="Y20" i="195" s="1"/>
  <c r="L70" i="197" s="1"/>
  <c r="V19" i="195"/>
  <c r="V18" i="195"/>
  <c r="Y18" i="195" s="1"/>
  <c r="L68" i="197" s="1"/>
  <c r="AA57" i="194"/>
  <c r="O8" i="195" s="1"/>
  <c r="AA50" i="194"/>
  <c r="AA48" i="194"/>
  <c r="AA28" i="194"/>
  <c r="W24" i="194"/>
  <c r="AA23" i="194"/>
  <c r="AA22" i="194"/>
  <c r="AA21" i="194"/>
  <c r="AA20" i="194"/>
  <c r="AA19" i="194"/>
  <c r="AA18" i="194"/>
  <c r="AF15" i="194"/>
  <c r="L16" i="197"/>
  <c r="W10" i="194"/>
  <c r="V23" i="195" l="1"/>
  <c r="W32" i="195" s="1"/>
  <c r="C15" i="159"/>
  <c r="L62" i="190"/>
  <c r="M75" i="198"/>
  <c r="L64" i="30"/>
  <c r="Y21" i="195"/>
  <c r="Y19" i="195"/>
  <c r="L69" i="197" s="1"/>
  <c r="AA91" i="195"/>
  <c r="AA92" i="195" s="1"/>
  <c r="L20" i="197"/>
  <c r="N20" i="197" s="1"/>
  <c r="AA62" i="194"/>
  <c r="O13" i="195" s="1"/>
  <c r="AA24" i="194"/>
  <c r="AA49" i="194"/>
  <c r="AA51" i="194" s="1"/>
  <c r="L76" i="197"/>
  <c r="Y33" i="195"/>
  <c r="W33" i="195"/>
  <c r="Z18" i="195"/>
  <c r="Y32" i="195"/>
  <c r="W35" i="195"/>
  <c r="W34" i="195"/>
  <c r="Y34" i="195"/>
  <c r="L84" i="197"/>
  <c r="Z35" i="195"/>
  <c r="Z20" i="195"/>
  <c r="Z22" i="195"/>
  <c r="L86" i="197"/>
  <c r="Z37" i="195"/>
  <c r="Y42" i="195"/>
  <c r="Y43" i="195"/>
  <c r="U46" i="195"/>
  <c r="V46" i="195" s="1"/>
  <c r="U45" i="195"/>
  <c r="V45" i="195" s="1"/>
  <c r="W37" i="195"/>
  <c r="V31" i="195"/>
  <c r="Y38" i="195"/>
  <c r="W38" i="195"/>
  <c r="Y39" i="195"/>
  <c r="W39" i="195"/>
  <c r="L90" i="197"/>
  <c r="Z41" i="195"/>
  <c r="W36" i="195"/>
  <c r="W40" i="195"/>
  <c r="Y36" i="195"/>
  <c r="L89" i="197"/>
  <c r="Z40" i="195"/>
  <c r="N16" i="197"/>
  <c r="AA12" i="194"/>
  <c r="AA58" i="194" s="1"/>
  <c r="O9" i="195" s="1"/>
  <c r="V25" i="195"/>
  <c r="Y25" i="195" s="1"/>
  <c r="L93" i="197"/>
  <c r="Z44" i="195"/>
  <c r="U47" i="195"/>
  <c r="V47" i="195" s="1"/>
  <c r="L107" i="197"/>
  <c r="Y95" i="195"/>
  <c r="Y77" i="195"/>
  <c r="L115" i="197" s="1"/>
  <c r="Z63" i="195"/>
  <c r="AB91" i="195" l="1"/>
  <c r="W42" i="195"/>
  <c r="W22" i="195"/>
  <c r="W21" i="195"/>
  <c r="W43" i="195"/>
  <c r="W20" i="195"/>
  <c r="AA22" i="195"/>
  <c r="M72" i="197"/>
  <c r="Z21" i="195"/>
  <c r="L71" i="197"/>
  <c r="AA18" i="195"/>
  <c r="M68" i="197"/>
  <c r="AA20" i="195"/>
  <c r="M70" i="197"/>
  <c r="AA15" i="194"/>
  <c r="AA59" i="194" s="1"/>
  <c r="O10" i="195" s="1"/>
  <c r="W68" i="198"/>
  <c r="Z19" i="195"/>
  <c r="M69" i="197" s="1"/>
  <c r="Y23" i="195"/>
  <c r="L73" i="197" s="1"/>
  <c r="L18" i="197"/>
  <c r="N18" i="197" s="1"/>
  <c r="AA60" i="194"/>
  <c r="O11" i="195" s="1"/>
  <c r="AA67" i="194"/>
  <c r="AA52" i="194"/>
  <c r="AA53" i="194" s="1"/>
  <c r="W25" i="195"/>
  <c r="L75" i="197"/>
  <c r="M89" i="197"/>
  <c r="AA40" i="195"/>
  <c r="M90" i="197"/>
  <c r="AA41" i="195"/>
  <c r="Y45" i="195"/>
  <c r="W45" i="195"/>
  <c r="AB92" i="195"/>
  <c r="AC91" i="195"/>
  <c r="Y47" i="195"/>
  <c r="W47" i="195"/>
  <c r="L87" i="197"/>
  <c r="Z38" i="195"/>
  <c r="Y46" i="195"/>
  <c r="W46" i="195"/>
  <c r="L91" i="197"/>
  <c r="Z42" i="195"/>
  <c r="M93" i="197"/>
  <c r="AA44" i="195"/>
  <c r="L85" i="197"/>
  <c r="Z36" i="195"/>
  <c r="V48" i="195"/>
  <c r="N39" i="197" s="1"/>
  <c r="W31" i="195"/>
  <c r="Y31" i="195"/>
  <c r="M86" i="197"/>
  <c r="AA37" i="195"/>
  <c r="M84" i="197"/>
  <c r="AA35" i="195"/>
  <c r="L81" i="197"/>
  <c r="Z32" i="195"/>
  <c r="L82" i="197"/>
  <c r="Z33" i="195"/>
  <c r="N33" i="197"/>
  <c r="W44" i="195"/>
  <c r="W41" i="195"/>
  <c r="W19" i="195"/>
  <c r="M107" i="197"/>
  <c r="Z95" i="195"/>
  <c r="Z77" i="195"/>
  <c r="AA63" i="195"/>
  <c r="V24" i="195"/>
  <c r="U27" i="195"/>
  <c r="L83" i="197"/>
  <c r="Z34" i="195"/>
  <c r="N36" i="197"/>
  <c r="L36" i="197" s="1"/>
  <c r="Z26" i="195"/>
  <c r="Y96" i="195"/>
  <c r="L88" i="197"/>
  <c r="Z39" i="195"/>
  <c r="U48" i="195"/>
  <c r="L39" i="197" s="1"/>
  <c r="L92" i="197"/>
  <c r="Z43" i="195"/>
  <c r="W18" i="195"/>
  <c r="W26" i="195"/>
  <c r="AB18" i="195" l="1"/>
  <c r="N68" i="197"/>
  <c r="AB22" i="195"/>
  <c r="N72" i="197"/>
  <c r="AB20" i="195"/>
  <c r="N70" i="197"/>
  <c r="AA21" i="195"/>
  <c r="M71" i="197"/>
  <c r="AA19" i="195"/>
  <c r="N69" i="197" s="1"/>
  <c r="Z23" i="195"/>
  <c r="W24" i="195"/>
  <c r="W27" i="195" s="1"/>
  <c r="Y24" i="195"/>
  <c r="L74" i="197" s="1"/>
  <c r="L19" i="197"/>
  <c r="N19" i="197" s="1"/>
  <c r="AA61" i="194"/>
  <c r="AA66" i="194"/>
  <c r="AA18" i="196"/>
  <c r="AA22" i="196" s="1"/>
  <c r="N84" i="197"/>
  <c r="AB35" i="195"/>
  <c r="L80" i="197"/>
  <c r="Z31" i="195"/>
  <c r="L96" i="197"/>
  <c r="Z47" i="195"/>
  <c r="N107" i="197"/>
  <c r="AA95" i="195"/>
  <c r="AA77" i="195"/>
  <c r="N115" i="197" s="1"/>
  <c r="AB63" i="195"/>
  <c r="N35" i="197"/>
  <c r="L35" i="197" s="1"/>
  <c r="M76" i="197"/>
  <c r="AA26" i="195"/>
  <c r="W48" i="195"/>
  <c r="N93" i="197"/>
  <c r="AB44" i="195"/>
  <c r="M115" i="197"/>
  <c r="U77" i="195"/>
  <c r="Y66" i="195"/>
  <c r="N89" i="197"/>
  <c r="AB40" i="195"/>
  <c r="M88" i="197"/>
  <c r="AA39" i="195"/>
  <c r="M83" i="197"/>
  <c r="AA34" i="195"/>
  <c r="M82" i="197"/>
  <c r="AA33" i="195"/>
  <c r="M91" i="197"/>
  <c r="AA42" i="195"/>
  <c r="M87" i="197"/>
  <c r="AA38" i="195"/>
  <c r="AD91" i="195"/>
  <c r="AC92" i="195"/>
  <c r="N90" i="197"/>
  <c r="AB41" i="195"/>
  <c r="M92" i="197"/>
  <c r="AA43" i="195"/>
  <c r="L37" i="197"/>
  <c r="Q35" i="197" s="1"/>
  <c r="U50" i="195"/>
  <c r="M81" i="197"/>
  <c r="AA32" i="195"/>
  <c r="N86" i="197"/>
  <c r="AB37" i="195"/>
  <c r="Z96" i="195"/>
  <c r="V27" i="195"/>
  <c r="M85" i="197"/>
  <c r="AA36" i="195"/>
  <c r="Z25" i="195"/>
  <c r="M75" i="197" s="1"/>
  <c r="L95" i="197"/>
  <c r="Z46" i="195"/>
  <c r="L94" i="197"/>
  <c r="Z45" i="195"/>
  <c r="AB21" i="195" l="1"/>
  <c r="N71" i="197"/>
  <c r="AC22" i="195"/>
  <c r="O72" i="197"/>
  <c r="Z66" i="195"/>
  <c r="M73" i="197"/>
  <c r="AC20" i="195"/>
  <c r="O70" i="197"/>
  <c r="AC18" i="195"/>
  <c r="O68" i="197"/>
  <c r="Z24" i="195"/>
  <c r="M74" i="197" s="1"/>
  <c r="AB19" i="195"/>
  <c r="O69" i="197" s="1"/>
  <c r="AA23" i="195"/>
  <c r="N73" i="197" s="1"/>
  <c r="W50" i="195"/>
  <c r="AA63" i="194"/>
  <c r="O14" i="195" s="1"/>
  <c r="O12" i="195"/>
  <c r="M95" i="197"/>
  <c r="AA46" i="195"/>
  <c r="N81" i="197"/>
  <c r="AB32" i="195"/>
  <c r="N85" i="197"/>
  <c r="AB36" i="195"/>
  <c r="AA25" i="195"/>
  <c r="N75" i="197" s="1"/>
  <c r="N92" i="197"/>
  <c r="AB43" i="195"/>
  <c r="N87" i="197"/>
  <c r="AB38" i="195"/>
  <c r="N83" i="197"/>
  <c r="AB34" i="195"/>
  <c r="O89" i="197"/>
  <c r="AC40" i="195"/>
  <c r="L54" i="197"/>
  <c r="V77" i="195"/>
  <c r="AA96" i="195"/>
  <c r="M80" i="197"/>
  <c r="AA31" i="195"/>
  <c r="M94" i="197"/>
  <c r="AA45" i="195"/>
  <c r="O86" i="197"/>
  <c r="AC37" i="195"/>
  <c r="L41" i="197"/>
  <c r="U69" i="195"/>
  <c r="N34" i="197"/>
  <c r="L34" i="197" s="1"/>
  <c r="N76" i="197"/>
  <c r="AB26" i="195"/>
  <c r="AE91" i="195"/>
  <c r="AD92" i="195"/>
  <c r="N37" i="197"/>
  <c r="V50" i="195"/>
  <c r="O90" i="197"/>
  <c r="AC41" i="195"/>
  <c r="AB42" i="195"/>
  <c r="N91" i="197"/>
  <c r="N82" i="197"/>
  <c r="AB33" i="195"/>
  <c r="N88" i="197"/>
  <c r="AB39" i="195"/>
  <c r="Y27" i="195"/>
  <c r="L77" i="197" s="1"/>
  <c r="O93" i="197"/>
  <c r="AC44" i="195"/>
  <c r="O107" i="197"/>
  <c r="AB95" i="195"/>
  <c r="AB77" i="195"/>
  <c r="O115" i="197" s="1"/>
  <c r="AC63" i="195"/>
  <c r="M96" i="197"/>
  <c r="AA47" i="195"/>
  <c r="O84" i="197"/>
  <c r="AC35" i="195"/>
  <c r="AD20" i="195" l="1"/>
  <c r="P70" i="197"/>
  <c r="AD22" i="195"/>
  <c r="P72" i="197"/>
  <c r="AD18" i="195"/>
  <c r="P68" i="197"/>
  <c r="AC21" i="195"/>
  <c r="O71" i="197"/>
  <c r="Z27" i="195"/>
  <c r="M77" i="197" s="1"/>
  <c r="AA66" i="195"/>
  <c r="AA24" i="195"/>
  <c r="N74" i="197" s="1"/>
  <c r="AC19" i="195"/>
  <c r="P69" i="197" s="1"/>
  <c r="AB23" i="195"/>
  <c r="O73" i="197" s="1"/>
  <c r="Z75" i="195"/>
  <c r="M113" i="197" s="1"/>
  <c r="AB96" i="195"/>
  <c r="O91" i="197"/>
  <c r="AC42" i="195"/>
  <c r="P84" i="197"/>
  <c r="AD35" i="195"/>
  <c r="P107" i="197"/>
  <c r="AC95" i="195"/>
  <c r="AC77" i="195"/>
  <c r="P115" i="197" s="1"/>
  <c r="AD63" i="195"/>
  <c r="O82" i="197"/>
  <c r="AC33" i="195"/>
  <c r="P90" i="197"/>
  <c r="AD41" i="195"/>
  <c r="O76" i="197"/>
  <c r="AC26" i="195"/>
  <c r="N80" i="197"/>
  <c r="AB31" i="195"/>
  <c r="O83" i="197"/>
  <c r="AC34" i="195"/>
  <c r="O92" i="197"/>
  <c r="AC43" i="195"/>
  <c r="O81" i="197"/>
  <c r="AC32" i="195"/>
  <c r="Y48" i="195"/>
  <c r="L97" i="197" s="1"/>
  <c r="P86" i="197"/>
  <c r="AD37" i="195"/>
  <c r="P93" i="197"/>
  <c r="AD44" i="195"/>
  <c r="AE92" i="195"/>
  <c r="AF91" i="195"/>
  <c r="N54" i="197"/>
  <c r="N96" i="197"/>
  <c r="AB47" i="195"/>
  <c r="AB66" i="195"/>
  <c r="AC39" i="195"/>
  <c r="O88" i="197"/>
  <c r="N41" i="197"/>
  <c r="V69" i="195"/>
  <c r="N94" i="197"/>
  <c r="AB45" i="195"/>
  <c r="P89" i="197"/>
  <c r="AD40" i="195"/>
  <c r="O87" i="197"/>
  <c r="AC38" i="195"/>
  <c r="O85" i="197"/>
  <c r="AC36" i="195"/>
  <c r="N95" i="197"/>
  <c r="AB46" i="195"/>
  <c r="AB24" i="195" l="1"/>
  <c r="O74" i="197" s="1"/>
  <c r="AD21" i="195"/>
  <c r="P71" i="197"/>
  <c r="AE22" i="195"/>
  <c r="Q72" i="197"/>
  <c r="AE18" i="195"/>
  <c r="Q68" i="197"/>
  <c r="AE20" i="195"/>
  <c r="Q70" i="197"/>
  <c r="Z48" i="195"/>
  <c r="M97" i="197" s="1"/>
  <c r="AB25" i="195"/>
  <c r="O75" i="197" s="1"/>
  <c r="AA27" i="195"/>
  <c r="N77" i="197" s="1"/>
  <c r="AD19" i="195"/>
  <c r="Q69" i="197" s="1"/>
  <c r="AC23" i="195"/>
  <c r="Z50" i="195"/>
  <c r="M99" i="197" s="1"/>
  <c r="O94" i="197"/>
  <c r="AC45" i="195"/>
  <c r="AF92" i="195"/>
  <c r="AG91" i="195"/>
  <c r="Q84" i="197"/>
  <c r="AE35" i="195"/>
  <c r="P85" i="197"/>
  <c r="AD36" i="195"/>
  <c r="Q89" i="197"/>
  <c r="AE40" i="195"/>
  <c r="P88" i="197"/>
  <c r="AD39" i="195"/>
  <c r="P81" i="197"/>
  <c r="AD32" i="195"/>
  <c r="P83" i="197"/>
  <c r="AD34" i="195"/>
  <c r="P82" i="197"/>
  <c r="AD33" i="195"/>
  <c r="Q93" i="197"/>
  <c r="AE44" i="195"/>
  <c r="Q86" i="197"/>
  <c r="AE37" i="195"/>
  <c r="Y50" i="195"/>
  <c r="P76" i="197"/>
  <c r="AD26" i="195"/>
  <c r="AC96" i="195"/>
  <c r="P91" i="197"/>
  <c r="AD42" i="195"/>
  <c r="O95" i="197"/>
  <c r="AC46" i="195"/>
  <c r="P87" i="197"/>
  <c r="AD38" i="195"/>
  <c r="O96" i="197"/>
  <c r="AC47" i="195"/>
  <c r="P92" i="197"/>
  <c r="AD43" i="195"/>
  <c r="O80" i="197"/>
  <c r="AC31" i="195"/>
  <c r="Q90" i="197"/>
  <c r="AE41" i="195"/>
  <c r="Q107" i="197"/>
  <c r="AD95" i="195"/>
  <c r="AD77" i="195"/>
  <c r="Q115" i="197" s="1"/>
  <c r="AE63" i="195"/>
  <c r="AA48" i="195" l="1"/>
  <c r="N97" i="197" s="1"/>
  <c r="AC66" i="195"/>
  <c r="P73" i="197"/>
  <c r="AF20" i="195"/>
  <c r="R70" i="197"/>
  <c r="AF22" i="195"/>
  <c r="R72" i="197"/>
  <c r="AB27" i="195"/>
  <c r="O77" i="197" s="1"/>
  <c r="AF18" i="195"/>
  <c r="R68" i="197"/>
  <c r="AE21" i="195"/>
  <c r="Q71" i="197"/>
  <c r="AC24" i="195"/>
  <c r="P74" i="197" s="1"/>
  <c r="AA75" i="195"/>
  <c r="N113" i="197" s="1"/>
  <c r="AC25" i="195"/>
  <c r="P75" i="197" s="1"/>
  <c r="AE19" i="195"/>
  <c r="R69" i="197" s="1"/>
  <c r="AD23" i="195"/>
  <c r="Z65" i="195"/>
  <c r="AA50" i="195"/>
  <c r="AA65" i="195" s="1"/>
  <c r="Z69" i="195"/>
  <c r="R90" i="197"/>
  <c r="AF41" i="195"/>
  <c r="Q92" i="197"/>
  <c r="AE43" i="195"/>
  <c r="Q87" i="197"/>
  <c r="AE38" i="195"/>
  <c r="Q91" i="197"/>
  <c r="AE42" i="195"/>
  <c r="Q76" i="197"/>
  <c r="AE26" i="195"/>
  <c r="Q82" i="197"/>
  <c r="AE33" i="195"/>
  <c r="Q83" i="197"/>
  <c r="AE34" i="195"/>
  <c r="R107" i="197"/>
  <c r="AE77" i="195"/>
  <c r="R115" i="197" s="1"/>
  <c r="AE95" i="195"/>
  <c r="AF63" i="195"/>
  <c r="AH91" i="195"/>
  <c r="AG92" i="195"/>
  <c r="Q88" i="197"/>
  <c r="AE39" i="195"/>
  <c r="Q85" i="197"/>
  <c r="AE36" i="195"/>
  <c r="R84" i="197"/>
  <c r="AF35" i="195"/>
  <c r="P94" i="197"/>
  <c r="AD45" i="195"/>
  <c r="R86" i="197"/>
  <c r="AF37" i="195"/>
  <c r="R89" i="197"/>
  <c r="AF40" i="195"/>
  <c r="AD96" i="195"/>
  <c r="P80" i="197"/>
  <c r="AD31" i="195"/>
  <c r="P96" i="197"/>
  <c r="AD47" i="195"/>
  <c r="P95" i="197"/>
  <c r="AD46" i="195"/>
  <c r="L99" i="197"/>
  <c r="Y69" i="195"/>
  <c r="Y65" i="195"/>
  <c r="R93" i="197"/>
  <c r="AF44" i="195"/>
  <c r="Q81" i="197"/>
  <c r="AE32" i="195"/>
  <c r="AB75" i="195" l="1"/>
  <c r="O113" i="197" s="1"/>
  <c r="AD25" i="195"/>
  <c r="Q75" i="197" s="1"/>
  <c r="Q73" i="197"/>
  <c r="AG18" i="195"/>
  <c r="S68" i="197"/>
  <c r="AD66" i="195"/>
  <c r="AG20" i="195"/>
  <c r="S70" i="197"/>
  <c r="AD24" i="195"/>
  <c r="Q74" i="197" s="1"/>
  <c r="AF21" i="195"/>
  <c r="R71" i="197"/>
  <c r="AC27" i="195"/>
  <c r="AC48" i="195" s="1"/>
  <c r="P97" i="197" s="1"/>
  <c r="AB48" i="195"/>
  <c r="O97" i="197" s="1"/>
  <c r="AG22" i="195"/>
  <c r="S72" i="197"/>
  <c r="AF19" i="195"/>
  <c r="S69" i="197" s="1"/>
  <c r="AE23" i="195"/>
  <c r="N99" i="197"/>
  <c r="AA69" i="195"/>
  <c r="S93" i="197"/>
  <c r="AG44" i="195"/>
  <c r="Q95" i="197"/>
  <c r="AE46" i="195"/>
  <c r="S89" i="197"/>
  <c r="AG40" i="195"/>
  <c r="Q94" i="197"/>
  <c r="AE45" i="195"/>
  <c r="R85" i="197"/>
  <c r="AF36" i="195"/>
  <c r="S107" i="197"/>
  <c r="AF95" i="195"/>
  <c r="AF77" i="195"/>
  <c r="S115" i="197" s="1"/>
  <c r="AG63" i="195"/>
  <c r="R83" i="197"/>
  <c r="AF34" i="195"/>
  <c r="R76" i="197"/>
  <c r="AF26" i="195"/>
  <c r="R87" i="197"/>
  <c r="AF38" i="195"/>
  <c r="S90" i="197"/>
  <c r="AG41" i="195"/>
  <c r="R81" i="197"/>
  <c r="AF32" i="195"/>
  <c r="Q80" i="197"/>
  <c r="AE31" i="195"/>
  <c r="S86" i="197"/>
  <c r="AG37" i="195"/>
  <c r="AE96" i="195"/>
  <c r="Q96" i="197"/>
  <c r="AE47" i="195"/>
  <c r="S84" i="197"/>
  <c r="AG35" i="195"/>
  <c r="R88" i="197"/>
  <c r="AF39" i="195"/>
  <c r="AI91" i="195"/>
  <c r="AH92" i="195"/>
  <c r="R82" i="197"/>
  <c r="AF33" i="195"/>
  <c r="R91" i="197"/>
  <c r="AF42" i="195"/>
  <c r="R92" i="197"/>
  <c r="AF43" i="195"/>
  <c r="AC75" i="195" l="1"/>
  <c r="P113" i="197" s="1"/>
  <c r="AD27" i="195"/>
  <c r="AD48" i="195" s="1"/>
  <c r="Q97" i="197" s="1"/>
  <c r="AE25" i="195"/>
  <c r="R75" i="197" s="1"/>
  <c r="AB50" i="195"/>
  <c r="O99" i="197" s="1"/>
  <c r="AH18" i="195"/>
  <c r="T68" i="197"/>
  <c r="P77" i="197"/>
  <c r="AH22" i="195"/>
  <c r="T72" i="197"/>
  <c r="AG21" i="195"/>
  <c r="S71" i="197"/>
  <c r="AH20" i="195"/>
  <c r="T70" i="197"/>
  <c r="AE66" i="195"/>
  <c r="R73" i="197"/>
  <c r="AE24" i="195"/>
  <c r="R74" i="197" s="1"/>
  <c r="AG19" i="195"/>
  <c r="T69" i="197" s="1"/>
  <c r="AF23" i="195"/>
  <c r="S73" i="197" s="1"/>
  <c r="AC50" i="195"/>
  <c r="P99" i="197" s="1"/>
  <c r="AJ91" i="195"/>
  <c r="AI92" i="195"/>
  <c r="R80" i="197"/>
  <c r="AF31" i="195"/>
  <c r="S87" i="197"/>
  <c r="AG38" i="195"/>
  <c r="S83" i="197"/>
  <c r="AG34" i="195"/>
  <c r="S85" i="197"/>
  <c r="AG36" i="195"/>
  <c r="S91" i="197"/>
  <c r="AG42" i="195"/>
  <c r="S88" i="197"/>
  <c r="AG39" i="195"/>
  <c r="R96" i="197"/>
  <c r="AF47" i="195"/>
  <c r="Q77" i="197"/>
  <c r="AD75" i="195"/>
  <c r="Q113" i="197" s="1"/>
  <c r="AF96" i="195"/>
  <c r="T89" i="197"/>
  <c r="AH40" i="195"/>
  <c r="T93" i="197"/>
  <c r="AH44" i="195"/>
  <c r="T86" i="197"/>
  <c r="AH37" i="195"/>
  <c r="T90" i="197"/>
  <c r="AH41" i="195"/>
  <c r="S76" i="197"/>
  <c r="AG26" i="195"/>
  <c r="T107" i="197"/>
  <c r="AG95" i="195"/>
  <c r="AH63" i="195"/>
  <c r="AG77" i="195"/>
  <c r="T115" i="197" s="1"/>
  <c r="R94" i="197"/>
  <c r="AF45" i="195"/>
  <c r="S92" i="197"/>
  <c r="AG43" i="195"/>
  <c r="S82" i="197"/>
  <c r="AG33" i="195"/>
  <c r="T84" i="197"/>
  <c r="AH35" i="195"/>
  <c r="S81" i="197"/>
  <c r="AG32" i="195"/>
  <c r="AF66" i="195"/>
  <c r="R95" i="197"/>
  <c r="AF46" i="195"/>
  <c r="BL104" i="37" l="1"/>
  <c r="BZ104" i="37" s="1"/>
  <c r="AB65" i="195"/>
  <c r="AF25" i="195"/>
  <c r="S75" i="197" s="1"/>
  <c r="AB69" i="195"/>
  <c r="AI22" i="195"/>
  <c r="U72" i="197"/>
  <c r="AH21" i="195"/>
  <c r="T71" i="197"/>
  <c r="AI20" i="195"/>
  <c r="U70" i="197"/>
  <c r="AF24" i="195"/>
  <c r="S74" i="197" s="1"/>
  <c r="AE27" i="195"/>
  <c r="AE75" i="195" s="1"/>
  <c r="R113" i="197" s="1"/>
  <c r="AI18" i="195"/>
  <c r="U68" i="197"/>
  <c r="CE74" i="36"/>
  <c r="C251" i="159"/>
  <c r="AS149" i="37"/>
  <c r="DM74" i="36" s="1"/>
  <c r="AH19" i="195"/>
  <c r="U69" i="197" s="1"/>
  <c r="AG23" i="195"/>
  <c r="AG24" i="195" s="1"/>
  <c r="T74" i="197" s="1"/>
  <c r="AC65" i="195"/>
  <c r="AC69" i="195"/>
  <c r="U89" i="197"/>
  <c r="AI40" i="195"/>
  <c r="R77" i="197"/>
  <c r="T82" i="197"/>
  <c r="AH33" i="195"/>
  <c r="S94" i="197"/>
  <c r="AG45" i="195"/>
  <c r="T85" i="197"/>
  <c r="AH36" i="195"/>
  <c r="T87" i="197"/>
  <c r="AH38" i="195"/>
  <c r="S80" i="197"/>
  <c r="AG31" i="195"/>
  <c r="U107" i="197"/>
  <c r="AH95" i="195"/>
  <c r="AI63" i="195"/>
  <c r="AH77" i="195"/>
  <c r="U115" i="197" s="1"/>
  <c r="AG96" i="195"/>
  <c r="U90" i="197"/>
  <c r="AI41" i="195"/>
  <c r="U93" i="197"/>
  <c r="AI44" i="195"/>
  <c r="AD50" i="195"/>
  <c r="S96" i="197"/>
  <c r="AG47" i="195"/>
  <c r="T76" i="197"/>
  <c r="AH26" i="195"/>
  <c r="T88" i="197"/>
  <c r="AH39" i="195"/>
  <c r="T91" i="197"/>
  <c r="AH42" i="195"/>
  <c r="S95" i="197"/>
  <c r="AG46" i="195"/>
  <c r="T81" i="197"/>
  <c r="AH32" i="195"/>
  <c r="U84" i="197"/>
  <c r="AI35" i="195"/>
  <c r="T92" i="197"/>
  <c r="AH43" i="195"/>
  <c r="U86" i="197"/>
  <c r="AI37" i="195"/>
  <c r="T83" i="197"/>
  <c r="AH34" i="195"/>
  <c r="AJ92" i="195"/>
  <c r="AK91" i="195"/>
  <c r="BL109" i="37" l="1"/>
  <c r="V113" i="30"/>
  <c r="AG25" i="195"/>
  <c r="T75" i="197" s="1"/>
  <c r="AE48" i="195"/>
  <c r="R97" i="197" s="1"/>
  <c r="AG66" i="195"/>
  <c r="T73" i="197"/>
  <c r="AI21" i="195"/>
  <c r="U71" i="197"/>
  <c r="AF27" i="195"/>
  <c r="S77" i="197" s="1"/>
  <c r="AJ18" i="195"/>
  <c r="L127" i="197"/>
  <c r="AJ20" i="195"/>
  <c r="L129" i="197"/>
  <c r="AJ22" i="195"/>
  <c r="L131" i="197"/>
  <c r="O84" i="190"/>
  <c r="O86" i="30"/>
  <c r="AI19" i="195"/>
  <c r="L128" i="197" s="1"/>
  <c r="AH23" i="195"/>
  <c r="U87" i="197"/>
  <c r="AI38" i="195"/>
  <c r="AL91" i="195"/>
  <c r="AK92" i="195"/>
  <c r="U81" i="197"/>
  <c r="AI32" i="195"/>
  <c r="U88" i="197"/>
  <c r="AI39" i="195"/>
  <c r="U83" i="197"/>
  <c r="AI34" i="195"/>
  <c r="L145" i="197"/>
  <c r="AJ37" i="195"/>
  <c r="L143" i="197"/>
  <c r="AJ35" i="195"/>
  <c r="T96" i="197"/>
  <c r="AH47" i="195"/>
  <c r="AH96" i="195"/>
  <c r="T80" i="197"/>
  <c r="AH31" i="195"/>
  <c r="AG27" i="195"/>
  <c r="U85" i="197"/>
  <c r="AI36" i="195"/>
  <c r="U82" i="197"/>
  <c r="AI33" i="195"/>
  <c r="AE50" i="195"/>
  <c r="L148" i="197"/>
  <c r="AJ40" i="195"/>
  <c r="AF48" i="195"/>
  <c r="S97" i="197" s="1"/>
  <c r="L166" i="197"/>
  <c r="AI77" i="195"/>
  <c r="L174" i="197" s="1"/>
  <c r="AJ63" i="195"/>
  <c r="AI95" i="195"/>
  <c r="T94" i="197"/>
  <c r="AH45" i="195"/>
  <c r="Q99" i="197"/>
  <c r="AD69" i="195"/>
  <c r="AD65" i="195"/>
  <c r="T95" i="197"/>
  <c r="AH46" i="195"/>
  <c r="U91" i="197"/>
  <c r="AI42" i="195"/>
  <c r="U76" i="197"/>
  <c r="AI26" i="195"/>
  <c r="L152" i="197"/>
  <c r="AJ44" i="195"/>
  <c r="L149" i="197"/>
  <c r="AJ41" i="195"/>
  <c r="U92" i="197"/>
  <c r="AI43" i="195"/>
  <c r="V118" i="30" l="1"/>
  <c r="AF75" i="195"/>
  <c r="S113" i="197" s="1"/>
  <c r="AH66" i="195"/>
  <c r="U73" i="197"/>
  <c r="AJ21" i="195"/>
  <c r="L130" i="197"/>
  <c r="AH24" i="195"/>
  <c r="U74" i="197" s="1"/>
  <c r="AK22" i="195"/>
  <c r="M131" i="197"/>
  <c r="AK18" i="195"/>
  <c r="M127" i="197"/>
  <c r="AK20" i="195"/>
  <c r="M129" i="197"/>
  <c r="AH25" i="195"/>
  <c r="U75" i="197" s="1"/>
  <c r="AJ19" i="195"/>
  <c r="M128" i="197" s="1"/>
  <c r="AI23" i="195"/>
  <c r="L132" i="197" s="1"/>
  <c r="AF50" i="195"/>
  <c r="AF65" i="195" s="1"/>
  <c r="L151" i="197"/>
  <c r="AJ43" i="195"/>
  <c r="L135" i="197"/>
  <c r="AJ26" i="195"/>
  <c r="U95" i="197"/>
  <c r="AI46" i="195"/>
  <c r="M148" i="197"/>
  <c r="AK40" i="195"/>
  <c r="AL92" i="195"/>
  <c r="AM91" i="195"/>
  <c r="M149" i="197"/>
  <c r="AK41" i="195"/>
  <c r="L141" i="197"/>
  <c r="AJ33" i="195"/>
  <c r="T77" i="197"/>
  <c r="AG48" i="195"/>
  <c r="T97" i="197" s="1"/>
  <c r="AG75" i="195"/>
  <c r="T113" i="197" s="1"/>
  <c r="M143" i="197"/>
  <c r="AK35" i="195"/>
  <c r="L142" i="197"/>
  <c r="AJ34" i="195"/>
  <c r="L140" i="197"/>
  <c r="AJ32" i="195"/>
  <c r="L146" i="197"/>
  <c r="AJ38" i="195"/>
  <c r="L150" i="197"/>
  <c r="AJ42" i="195"/>
  <c r="AI96" i="195"/>
  <c r="R99" i="197"/>
  <c r="AE65" i="195"/>
  <c r="AE69" i="195"/>
  <c r="U80" i="197"/>
  <c r="AI31" i="195"/>
  <c r="M152" i="197"/>
  <c r="AK44" i="195"/>
  <c r="U94" i="197"/>
  <c r="AI45" i="195"/>
  <c r="M166" i="197"/>
  <c r="AJ95" i="195"/>
  <c r="AJ77" i="195"/>
  <c r="M174" i="197" s="1"/>
  <c r="AK63" i="195"/>
  <c r="L144" i="197"/>
  <c r="AJ36" i="195"/>
  <c r="U96" i="197"/>
  <c r="AI47" i="195"/>
  <c r="M145" i="197"/>
  <c r="AK37" i="195"/>
  <c r="L147" i="197"/>
  <c r="AJ39" i="195"/>
  <c r="X213" i="190"/>
  <c r="T213" i="190"/>
  <c r="P213" i="190"/>
  <c r="X212" i="190"/>
  <c r="T212" i="190"/>
  <c r="P212" i="190"/>
  <c r="X211" i="190"/>
  <c r="T211" i="190"/>
  <c r="P211" i="190"/>
  <c r="X210" i="190"/>
  <c r="T210" i="190"/>
  <c r="P210" i="190"/>
  <c r="X209" i="190"/>
  <c r="T209" i="190"/>
  <c r="P209" i="190"/>
  <c r="X208" i="190"/>
  <c r="U208" i="190"/>
  <c r="T208" i="190"/>
  <c r="P208" i="190"/>
  <c r="M208" i="190"/>
  <c r="K208" i="190"/>
  <c r="X207" i="190"/>
  <c r="U207" i="190"/>
  <c r="T207" i="190"/>
  <c r="P207" i="190"/>
  <c r="M207" i="190"/>
  <c r="K207" i="190"/>
  <c r="X206" i="190"/>
  <c r="U206" i="190"/>
  <c r="T206" i="190"/>
  <c r="P206" i="190"/>
  <c r="M206" i="190"/>
  <c r="K206" i="190"/>
  <c r="X205" i="190"/>
  <c r="T205" i="190"/>
  <c r="X204" i="190"/>
  <c r="U204" i="190"/>
  <c r="T204" i="190"/>
  <c r="Q204" i="190"/>
  <c r="P204" i="190"/>
  <c r="M204" i="190"/>
  <c r="K204" i="190"/>
  <c r="X203" i="190"/>
  <c r="U203" i="190"/>
  <c r="T203" i="190"/>
  <c r="Q203" i="190"/>
  <c r="P203" i="190"/>
  <c r="M203" i="190"/>
  <c r="K203" i="190"/>
  <c r="X202" i="190"/>
  <c r="U202" i="190"/>
  <c r="T202" i="190"/>
  <c r="Q202" i="190"/>
  <c r="P202" i="190"/>
  <c r="M202" i="190"/>
  <c r="K202" i="190"/>
  <c r="X201" i="190"/>
  <c r="U201" i="190"/>
  <c r="T201" i="190"/>
  <c r="Q201" i="190"/>
  <c r="P201" i="190"/>
  <c r="M201" i="190"/>
  <c r="K201" i="190"/>
  <c r="X200" i="190"/>
  <c r="U200" i="190"/>
  <c r="T200" i="190"/>
  <c r="Q200" i="190"/>
  <c r="P200" i="190"/>
  <c r="M200" i="190"/>
  <c r="K200" i="190"/>
  <c r="X199" i="190"/>
  <c r="U199" i="190"/>
  <c r="T199" i="190"/>
  <c r="Q199" i="190"/>
  <c r="P199" i="190"/>
  <c r="M199" i="190"/>
  <c r="X198" i="190"/>
  <c r="U198" i="190"/>
  <c r="T198" i="190"/>
  <c r="Q198" i="190"/>
  <c r="P198" i="190"/>
  <c r="M198" i="190"/>
  <c r="K198" i="190"/>
  <c r="X197" i="190"/>
  <c r="U197" i="190"/>
  <c r="T197" i="190"/>
  <c r="Q197" i="190"/>
  <c r="P197" i="190"/>
  <c r="M197" i="190"/>
  <c r="X196" i="190"/>
  <c r="U196" i="190"/>
  <c r="T196" i="190"/>
  <c r="Q196" i="190"/>
  <c r="P196" i="190"/>
  <c r="M196" i="190"/>
  <c r="U193" i="190"/>
  <c r="Q193" i="190"/>
  <c r="M193" i="190"/>
  <c r="K193" i="190"/>
  <c r="U192" i="190"/>
  <c r="Q192" i="190"/>
  <c r="M192" i="190"/>
  <c r="K192" i="190"/>
  <c r="U191" i="190"/>
  <c r="Q191" i="190"/>
  <c r="M191" i="190"/>
  <c r="K191" i="190"/>
  <c r="U189" i="190"/>
  <c r="Q189" i="190"/>
  <c r="M189" i="190"/>
  <c r="U188" i="190"/>
  <c r="Q188" i="190"/>
  <c r="M188" i="190"/>
  <c r="I52" i="190"/>
  <c r="I51" i="190"/>
  <c r="I50" i="190"/>
  <c r="I49" i="190"/>
  <c r="I21" i="190"/>
  <c r="I18" i="190"/>
  <c r="AP3" i="190"/>
  <c r="X176" i="30"/>
  <c r="X175" i="30"/>
  <c r="X174" i="30"/>
  <c r="X173" i="30"/>
  <c r="X172" i="30"/>
  <c r="X171" i="30"/>
  <c r="X170" i="30"/>
  <c r="X169" i="30"/>
  <c r="X168" i="30"/>
  <c r="X167" i="30"/>
  <c r="X166" i="30"/>
  <c r="X165" i="30"/>
  <c r="X164" i="30"/>
  <c r="X163" i="30"/>
  <c r="X162" i="30"/>
  <c r="X161" i="30"/>
  <c r="X160" i="30"/>
  <c r="X159" i="30"/>
  <c r="T176" i="30"/>
  <c r="T175" i="30"/>
  <c r="T174" i="30"/>
  <c r="T173" i="30"/>
  <c r="T172" i="30"/>
  <c r="T171" i="30"/>
  <c r="T170" i="30"/>
  <c r="T169" i="30"/>
  <c r="T168" i="30"/>
  <c r="T167" i="30"/>
  <c r="T166" i="30"/>
  <c r="T165" i="30"/>
  <c r="T164" i="30"/>
  <c r="T163" i="30"/>
  <c r="T162" i="30"/>
  <c r="T161" i="30"/>
  <c r="T160" i="30"/>
  <c r="T159" i="30"/>
  <c r="P176" i="30"/>
  <c r="P175" i="30"/>
  <c r="P174" i="30"/>
  <c r="P173" i="30"/>
  <c r="P172" i="30"/>
  <c r="P171" i="30"/>
  <c r="P170" i="30"/>
  <c r="P169" i="30"/>
  <c r="P167" i="30"/>
  <c r="P166" i="30"/>
  <c r="P165" i="30"/>
  <c r="P164" i="30"/>
  <c r="P163" i="30"/>
  <c r="P162" i="30"/>
  <c r="P161" i="30"/>
  <c r="P160" i="30"/>
  <c r="P159" i="30"/>
  <c r="K171" i="30"/>
  <c r="K170" i="30"/>
  <c r="K169" i="30"/>
  <c r="K167" i="30"/>
  <c r="K166" i="30"/>
  <c r="K165" i="30"/>
  <c r="K164" i="30"/>
  <c r="K163" i="30"/>
  <c r="K161" i="30"/>
  <c r="U171" i="30"/>
  <c r="U170" i="30"/>
  <c r="U169" i="30"/>
  <c r="U167" i="30"/>
  <c r="U166" i="30"/>
  <c r="U165" i="30"/>
  <c r="U164" i="30"/>
  <c r="U163" i="30"/>
  <c r="U162" i="30"/>
  <c r="U161" i="30"/>
  <c r="U160" i="30"/>
  <c r="U159" i="30"/>
  <c r="Q167" i="30"/>
  <c r="Q166" i="30"/>
  <c r="Q165" i="30"/>
  <c r="Q164" i="30"/>
  <c r="Q163" i="30"/>
  <c r="Q162" i="30"/>
  <c r="Q161" i="30"/>
  <c r="Q160" i="30"/>
  <c r="Q159" i="30"/>
  <c r="M171" i="30"/>
  <c r="M170" i="30"/>
  <c r="M169" i="30"/>
  <c r="M167" i="30"/>
  <c r="M166" i="30"/>
  <c r="M165" i="30"/>
  <c r="M164" i="30"/>
  <c r="M163" i="30"/>
  <c r="M162" i="30"/>
  <c r="M161" i="30"/>
  <c r="M160" i="30"/>
  <c r="M159" i="30"/>
  <c r="U156" i="30"/>
  <c r="U155" i="30"/>
  <c r="U154" i="30"/>
  <c r="U152" i="30"/>
  <c r="U151" i="30"/>
  <c r="Q156" i="30"/>
  <c r="Q155" i="30"/>
  <c r="Q154" i="30"/>
  <c r="Q152" i="30"/>
  <c r="Q151" i="30"/>
  <c r="M156" i="30"/>
  <c r="M155" i="30"/>
  <c r="M154" i="30"/>
  <c r="M152" i="30"/>
  <c r="M151" i="30"/>
  <c r="K154" i="30"/>
  <c r="K155" i="30"/>
  <c r="K156" i="30"/>
  <c r="AI66" i="195" l="1"/>
  <c r="AL18" i="195"/>
  <c r="N127" i="197"/>
  <c r="AK21" i="195"/>
  <c r="M130" i="197"/>
  <c r="AH27" i="195"/>
  <c r="U77" i="197" s="1"/>
  <c r="AL20" i="195"/>
  <c r="N129" i="197"/>
  <c r="AL22" i="195"/>
  <c r="N131" i="197"/>
  <c r="AI25" i="195"/>
  <c r="L134" i="197" s="1"/>
  <c r="AI24" i="195"/>
  <c r="L133" i="197" s="1"/>
  <c r="AF69" i="195"/>
  <c r="S99" i="197"/>
  <c r="AK19" i="195"/>
  <c r="N128" i="197" s="1"/>
  <c r="AJ23" i="195"/>
  <c r="M132" i="197" s="1"/>
  <c r="M146" i="197"/>
  <c r="AK38" i="195"/>
  <c r="M141" i="197"/>
  <c r="AK33" i="195"/>
  <c r="M147" i="197"/>
  <c r="AK39" i="195"/>
  <c r="L155" i="197"/>
  <c r="AJ47" i="195"/>
  <c r="AK95" i="195"/>
  <c r="AK77" i="195"/>
  <c r="N174" i="197" s="1"/>
  <c r="N166" i="197"/>
  <c r="AL63" i="195"/>
  <c r="L154" i="197"/>
  <c r="AJ46" i="195"/>
  <c r="M151" i="197"/>
  <c r="AK43" i="195"/>
  <c r="L153" i="197"/>
  <c r="AJ45" i="195"/>
  <c r="N152" i="197"/>
  <c r="AL44" i="195"/>
  <c r="L139" i="197"/>
  <c r="AJ31" i="195"/>
  <c r="M150" i="197"/>
  <c r="AK42" i="195"/>
  <c r="M140" i="197"/>
  <c r="AK32" i="195"/>
  <c r="N143" i="197"/>
  <c r="AL35" i="195"/>
  <c r="AG50" i="195"/>
  <c r="N149" i="197"/>
  <c r="AL41" i="195"/>
  <c r="AN91" i="195"/>
  <c r="AM92" i="195"/>
  <c r="N148" i="197"/>
  <c r="AL40" i="195"/>
  <c r="AJ96" i="195"/>
  <c r="M142" i="197"/>
  <c r="AK34" i="195"/>
  <c r="AH75" i="195"/>
  <c r="U113" i="197" s="1"/>
  <c r="AH48" i="195"/>
  <c r="U97" i="197" s="1"/>
  <c r="N145" i="197"/>
  <c r="AL37" i="195"/>
  <c r="M144" i="197"/>
  <c r="AK36" i="195"/>
  <c r="M135" i="197"/>
  <c r="AK26" i="195"/>
  <c r="D548" i="25"/>
  <c r="L548" i="25"/>
  <c r="N548" i="25"/>
  <c r="D549" i="25"/>
  <c r="L549" i="25"/>
  <c r="N549" i="25"/>
  <c r="D550" i="25"/>
  <c r="L550" i="25"/>
  <c r="N550" i="25"/>
  <c r="D551" i="25"/>
  <c r="L551" i="25"/>
  <c r="N551" i="25"/>
  <c r="D552" i="25"/>
  <c r="L552" i="25"/>
  <c r="N552" i="25"/>
  <c r="D553" i="25"/>
  <c r="L553" i="25"/>
  <c r="N553" i="25"/>
  <c r="D554" i="25"/>
  <c r="L554" i="25"/>
  <c r="N554" i="25"/>
  <c r="D555" i="25"/>
  <c r="L555" i="25"/>
  <c r="N555" i="25"/>
  <c r="D556" i="25"/>
  <c r="L556" i="25"/>
  <c r="N556" i="25"/>
  <c r="D557" i="25"/>
  <c r="L557" i="25"/>
  <c r="N557" i="25"/>
  <c r="D558" i="25"/>
  <c r="L558" i="25"/>
  <c r="N558" i="25"/>
  <c r="D559" i="25"/>
  <c r="L559" i="25"/>
  <c r="N559" i="25"/>
  <c r="D560" i="25"/>
  <c r="L560" i="25"/>
  <c r="N560" i="25"/>
  <c r="D561" i="25"/>
  <c r="L561" i="25"/>
  <c r="N561" i="25"/>
  <c r="D562" i="25"/>
  <c r="L562" i="25"/>
  <c r="N562" i="25"/>
  <c r="D563" i="25"/>
  <c r="L563" i="25"/>
  <c r="N563" i="25"/>
  <c r="D564" i="25"/>
  <c r="L564" i="25"/>
  <c r="N564" i="25"/>
  <c r="D565" i="25"/>
  <c r="L565" i="25"/>
  <c r="N565" i="25"/>
  <c r="D566" i="25"/>
  <c r="L566" i="25"/>
  <c r="N566" i="25"/>
  <c r="D567" i="25"/>
  <c r="L567" i="25"/>
  <c r="N567" i="25"/>
  <c r="D568" i="25"/>
  <c r="L568" i="25"/>
  <c r="N568" i="25"/>
  <c r="D569" i="25"/>
  <c r="L569" i="25"/>
  <c r="N569" i="25"/>
  <c r="D570" i="25"/>
  <c r="L570" i="25"/>
  <c r="N570" i="25"/>
  <c r="D571" i="25"/>
  <c r="L571" i="25"/>
  <c r="N571" i="25"/>
  <c r="D572" i="25"/>
  <c r="L572" i="25"/>
  <c r="N572" i="25"/>
  <c r="D573" i="25"/>
  <c r="L573" i="25"/>
  <c r="N573" i="25"/>
  <c r="D574" i="25"/>
  <c r="L574" i="25"/>
  <c r="N574" i="25"/>
  <c r="D575" i="25"/>
  <c r="L575" i="25"/>
  <c r="N575" i="25"/>
  <c r="D576" i="25"/>
  <c r="L576" i="25"/>
  <c r="N576" i="25"/>
  <c r="D577" i="25"/>
  <c r="L577" i="25"/>
  <c r="N577" i="25"/>
  <c r="D578" i="25"/>
  <c r="L578" i="25"/>
  <c r="N578" i="25"/>
  <c r="D579" i="25"/>
  <c r="L579" i="25"/>
  <c r="N579" i="25"/>
  <c r="D580" i="25"/>
  <c r="L580" i="25"/>
  <c r="N580" i="25"/>
  <c r="D581" i="25"/>
  <c r="L581" i="25"/>
  <c r="N581" i="25"/>
  <c r="D582" i="25"/>
  <c r="L582" i="25"/>
  <c r="N582" i="25"/>
  <c r="D583" i="25"/>
  <c r="L583" i="25"/>
  <c r="N583" i="25"/>
  <c r="D584" i="25"/>
  <c r="L584" i="25"/>
  <c r="N584" i="25"/>
  <c r="D585" i="25"/>
  <c r="L585" i="25"/>
  <c r="N585" i="25"/>
  <c r="D586" i="25"/>
  <c r="L586" i="25"/>
  <c r="N586" i="25"/>
  <c r="D587" i="25"/>
  <c r="L587" i="25"/>
  <c r="N587" i="25"/>
  <c r="N1371" i="25"/>
  <c r="L1371" i="25"/>
  <c r="N1370" i="25"/>
  <c r="L1370" i="25"/>
  <c r="N1369" i="25"/>
  <c r="L1369" i="25"/>
  <c r="N1368" i="25"/>
  <c r="L1368" i="25"/>
  <c r="N1367" i="25"/>
  <c r="L1367" i="25"/>
  <c r="N1366" i="25"/>
  <c r="L1366" i="25"/>
  <c r="N1365" i="25"/>
  <c r="L1365" i="25"/>
  <c r="N1364" i="25"/>
  <c r="L1364" i="25"/>
  <c r="N1363" i="25"/>
  <c r="L1363" i="25"/>
  <c r="N1362" i="25"/>
  <c r="L1362" i="25"/>
  <c r="N1361" i="25"/>
  <c r="L1361" i="25"/>
  <c r="N1360" i="25"/>
  <c r="L1360" i="25"/>
  <c r="N1359" i="25"/>
  <c r="L1359" i="25"/>
  <c r="N1358" i="25"/>
  <c r="L1358" i="25"/>
  <c r="N1357" i="25"/>
  <c r="L1357" i="25"/>
  <c r="N1356" i="25"/>
  <c r="L1356" i="25"/>
  <c r="N1355" i="25"/>
  <c r="L1355" i="25"/>
  <c r="N1354" i="25"/>
  <c r="L1354" i="25"/>
  <c r="N1353" i="25"/>
  <c r="L1353" i="25"/>
  <c r="N1352" i="25"/>
  <c r="L1352" i="25"/>
  <c r="N1351" i="25"/>
  <c r="L1351" i="25"/>
  <c r="N1350" i="25"/>
  <c r="L1350" i="25"/>
  <c r="N1349" i="25"/>
  <c r="L1349" i="25"/>
  <c r="N1348" i="25"/>
  <c r="L1348" i="25"/>
  <c r="N1347" i="25"/>
  <c r="L1347" i="25"/>
  <c r="N1346" i="25"/>
  <c r="L1346" i="25"/>
  <c r="N1345" i="25"/>
  <c r="L1345" i="25"/>
  <c r="N1344" i="25"/>
  <c r="L1344" i="25"/>
  <c r="N1343" i="25"/>
  <c r="L1343" i="25"/>
  <c r="N1342" i="25"/>
  <c r="L1342" i="25"/>
  <c r="N1341" i="25"/>
  <c r="L1341" i="25"/>
  <c r="N1340" i="25"/>
  <c r="L1340" i="25"/>
  <c r="N1339" i="25"/>
  <c r="L1339" i="25"/>
  <c r="N1338" i="25"/>
  <c r="L1338" i="25"/>
  <c r="N1337" i="25"/>
  <c r="L1337" i="25"/>
  <c r="N1336" i="25"/>
  <c r="L1336" i="25"/>
  <c r="N1335" i="25"/>
  <c r="L1335" i="25"/>
  <c r="N1334" i="25"/>
  <c r="L1334" i="25"/>
  <c r="N1333" i="25"/>
  <c r="L1333" i="25"/>
  <c r="N1332" i="25"/>
  <c r="L1332" i="25"/>
  <c r="N1315" i="25"/>
  <c r="L1315" i="25"/>
  <c r="N1314" i="25"/>
  <c r="L1314" i="25"/>
  <c r="N1313" i="25"/>
  <c r="L1313" i="25"/>
  <c r="N1312" i="25"/>
  <c r="L1312" i="25"/>
  <c r="N1311" i="25"/>
  <c r="L1311" i="25"/>
  <c r="N1310" i="25"/>
  <c r="L1310" i="25"/>
  <c r="N1309" i="25"/>
  <c r="L1309" i="25"/>
  <c r="N1308" i="25"/>
  <c r="L1308" i="25"/>
  <c r="N1307" i="25"/>
  <c r="L1307" i="25"/>
  <c r="N1306" i="25"/>
  <c r="L1306" i="25"/>
  <c r="N1305" i="25"/>
  <c r="L1305" i="25"/>
  <c r="N1304" i="25"/>
  <c r="L1304" i="25"/>
  <c r="N1303" i="25"/>
  <c r="L1303" i="25"/>
  <c r="N1302" i="25"/>
  <c r="L1302" i="25"/>
  <c r="N1301" i="25"/>
  <c r="L1301" i="25"/>
  <c r="N1300" i="25"/>
  <c r="L1300" i="25"/>
  <c r="N1299" i="25"/>
  <c r="L1299" i="25"/>
  <c r="N1298" i="25"/>
  <c r="L1298" i="25"/>
  <c r="N1297" i="25"/>
  <c r="L1297" i="25"/>
  <c r="N1296" i="25"/>
  <c r="L1296" i="25"/>
  <c r="N1295" i="25"/>
  <c r="L1295" i="25"/>
  <c r="N1294" i="25"/>
  <c r="L1294" i="25"/>
  <c r="N1293" i="25"/>
  <c r="L1293" i="25"/>
  <c r="N1292" i="25"/>
  <c r="L1292" i="25"/>
  <c r="N1291" i="25"/>
  <c r="L1291" i="25"/>
  <c r="N1290" i="25"/>
  <c r="L1290" i="25"/>
  <c r="N1289" i="25"/>
  <c r="L1289" i="25"/>
  <c r="N1288" i="25"/>
  <c r="L1288" i="25"/>
  <c r="N1287" i="25"/>
  <c r="L1287" i="25"/>
  <c r="N1286" i="25"/>
  <c r="L1286" i="25"/>
  <c r="N1285" i="25"/>
  <c r="L1285" i="25"/>
  <c r="N1284" i="25"/>
  <c r="L1284" i="25"/>
  <c r="N1283" i="25"/>
  <c r="L1283" i="25"/>
  <c r="N1282" i="25"/>
  <c r="L1282" i="25"/>
  <c r="N1281" i="25"/>
  <c r="L1281" i="25"/>
  <c r="N1280" i="25"/>
  <c r="L1280" i="25"/>
  <c r="N1279" i="25"/>
  <c r="L1279" i="25"/>
  <c r="N1278" i="25"/>
  <c r="L1278" i="25"/>
  <c r="N1277" i="25"/>
  <c r="L1277" i="25"/>
  <c r="N1276" i="25"/>
  <c r="L1276" i="25"/>
  <c r="N1259" i="25"/>
  <c r="L1259" i="25"/>
  <c r="N1258" i="25"/>
  <c r="L1258" i="25"/>
  <c r="N1257" i="25"/>
  <c r="L1257" i="25"/>
  <c r="N1256" i="25"/>
  <c r="L1256" i="25"/>
  <c r="N1255" i="25"/>
  <c r="L1255" i="25"/>
  <c r="N1254" i="25"/>
  <c r="L1254" i="25"/>
  <c r="N1253" i="25"/>
  <c r="L1253" i="25"/>
  <c r="N1252" i="25"/>
  <c r="L1252" i="25"/>
  <c r="N1251" i="25"/>
  <c r="L1251" i="25"/>
  <c r="N1250" i="25"/>
  <c r="L1250" i="25"/>
  <c r="N1249" i="25"/>
  <c r="L1249" i="25"/>
  <c r="N1248" i="25"/>
  <c r="L1248" i="25"/>
  <c r="N1247" i="25"/>
  <c r="L1247" i="25"/>
  <c r="N1246" i="25"/>
  <c r="L1246" i="25"/>
  <c r="N1245" i="25"/>
  <c r="L1245" i="25"/>
  <c r="N1244" i="25"/>
  <c r="L1244" i="25"/>
  <c r="N1243" i="25"/>
  <c r="L1243" i="25"/>
  <c r="N1242" i="25"/>
  <c r="L1242" i="25"/>
  <c r="N1241" i="25"/>
  <c r="L1241" i="25"/>
  <c r="N1240" i="25"/>
  <c r="L1240" i="25"/>
  <c r="N1239" i="25"/>
  <c r="L1239" i="25"/>
  <c r="N1238" i="25"/>
  <c r="L1238" i="25"/>
  <c r="N1237" i="25"/>
  <c r="L1237" i="25"/>
  <c r="N1236" i="25"/>
  <c r="L1236" i="25"/>
  <c r="N1235" i="25"/>
  <c r="L1235" i="25"/>
  <c r="N1234" i="25"/>
  <c r="L1234" i="25"/>
  <c r="N1233" i="25"/>
  <c r="L1233" i="25"/>
  <c r="N1232" i="25"/>
  <c r="L1232" i="25"/>
  <c r="N1231" i="25"/>
  <c r="L1231" i="25"/>
  <c r="N1230" i="25"/>
  <c r="L1230" i="25"/>
  <c r="N1229" i="25"/>
  <c r="L1229" i="25"/>
  <c r="N1228" i="25"/>
  <c r="L1228" i="25"/>
  <c r="N1227" i="25"/>
  <c r="L1227" i="25"/>
  <c r="N1226" i="25"/>
  <c r="L1226" i="25"/>
  <c r="N1225" i="25"/>
  <c r="L1225" i="25"/>
  <c r="N1224" i="25"/>
  <c r="L1224" i="25"/>
  <c r="N1223" i="25"/>
  <c r="L1223" i="25"/>
  <c r="N1222" i="25"/>
  <c r="L1222" i="25"/>
  <c r="N1221" i="25"/>
  <c r="L1221" i="25"/>
  <c r="N1220" i="25"/>
  <c r="L1220" i="25"/>
  <c r="N1203" i="25"/>
  <c r="L1203" i="25"/>
  <c r="N1202" i="25"/>
  <c r="L1202" i="25"/>
  <c r="N1201" i="25"/>
  <c r="L1201" i="25"/>
  <c r="N1200" i="25"/>
  <c r="L1200" i="25"/>
  <c r="N1199" i="25"/>
  <c r="L1199" i="25"/>
  <c r="N1198" i="25"/>
  <c r="L1198" i="25"/>
  <c r="N1197" i="25"/>
  <c r="L1197" i="25"/>
  <c r="N1196" i="25"/>
  <c r="L1196" i="25"/>
  <c r="N1195" i="25"/>
  <c r="L1195" i="25"/>
  <c r="N1194" i="25"/>
  <c r="L1194" i="25"/>
  <c r="N1193" i="25"/>
  <c r="L1193" i="25"/>
  <c r="N1192" i="25"/>
  <c r="L1192" i="25"/>
  <c r="N1191" i="25"/>
  <c r="L1191" i="25"/>
  <c r="N1190" i="25"/>
  <c r="L1190" i="25"/>
  <c r="N1189" i="25"/>
  <c r="L1189" i="25"/>
  <c r="N1188" i="25"/>
  <c r="L1188" i="25"/>
  <c r="N1187" i="25"/>
  <c r="L1187" i="25"/>
  <c r="N1186" i="25"/>
  <c r="L1186" i="25"/>
  <c r="N1185" i="25"/>
  <c r="L1185" i="25"/>
  <c r="N1184" i="25"/>
  <c r="L1184" i="25"/>
  <c r="N1183" i="25"/>
  <c r="L1183" i="25"/>
  <c r="N1182" i="25"/>
  <c r="L1182" i="25"/>
  <c r="N1181" i="25"/>
  <c r="L1181" i="25"/>
  <c r="N1180" i="25"/>
  <c r="L1180" i="25"/>
  <c r="N1179" i="25"/>
  <c r="L1179" i="25"/>
  <c r="N1178" i="25"/>
  <c r="L1178" i="25"/>
  <c r="N1177" i="25"/>
  <c r="L1177" i="25"/>
  <c r="N1176" i="25"/>
  <c r="L1176" i="25"/>
  <c r="N1175" i="25"/>
  <c r="L1175" i="25"/>
  <c r="N1174" i="25"/>
  <c r="L1174" i="25"/>
  <c r="N1173" i="25"/>
  <c r="L1173" i="25"/>
  <c r="N1172" i="25"/>
  <c r="L1172" i="25"/>
  <c r="N1171" i="25"/>
  <c r="L1171" i="25"/>
  <c r="N1170" i="25"/>
  <c r="L1170" i="25"/>
  <c r="N1169" i="25"/>
  <c r="L1169" i="25"/>
  <c r="N1168" i="25"/>
  <c r="L1168" i="25"/>
  <c r="N1167" i="25"/>
  <c r="L1167" i="25"/>
  <c r="N1166" i="25"/>
  <c r="L1166" i="25"/>
  <c r="N1165" i="25"/>
  <c r="L1165" i="25"/>
  <c r="N1164" i="25"/>
  <c r="L1164" i="25"/>
  <c r="N1147" i="25"/>
  <c r="L1147" i="25"/>
  <c r="N1146" i="25"/>
  <c r="L1146" i="25"/>
  <c r="N1145" i="25"/>
  <c r="L1145" i="25"/>
  <c r="N1144" i="25"/>
  <c r="L1144" i="25"/>
  <c r="N1143" i="25"/>
  <c r="L1143" i="25"/>
  <c r="N1142" i="25"/>
  <c r="L1142" i="25"/>
  <c r="N1141" i="25"/>
  <c r="L1141" i="25"/>
  <c r="N1140" i="25"/>
  <c r="L1140" i="25"/>
  <c r="N1139" i="25"/>
  <c r="L1139" i="25"/>
  <c r="N1138" i="25"/>
  <c r="L1138" i="25"/>
  <c r="N1137" i="25"/>
  <c r="L1137" i="25"/>
  <c r="N1136" i="25"/>
  <c r="L1136" i="25"/>
  <c r="N1135" i="25"/>
  <c r="L1135" i="25"/>
  <c r="N1134" i="25"/>
  <c r="L1134" i="25"/>
  <c r="N1133" i="25"/>
  <c r="L1133" i="25"/>
  <c r="N1132" i="25"/>
  <c r="L1132" i="25"/>
  <c r="N1131" i="25"/>
  <c r="L1131" i="25"/>
  <c r="N1130" i="25"/>
  <c r="L1130" i="25"/>
  <c r="N1129" i="25"/>
  <c r="L1129" i="25"/>
  <c r="N1128" i="25"/>
  <c r="L1128" i="25"/>
  <c r="N1127" i="25"/>
  <c r="L1127" i="25"/>
  <c r="N1126" i="25"/>
  <c r="L1126" i="25"/>
  <c r="N1125" i="25"/>
  <c r="L1125" i="25"/>
  <c r="N1124" i="25"/>
  <c r="L1124" i="25"/>
  <c r="N1123" i="25"/>
  <c r="L1123" i="25"/>
  <c r="N1122" i="25"/>
  <c r="L1122" i="25"/>
  <c r="N1121" i="25"/>
  <c r="L1121" i="25"/>
  <c r="N1120" i="25"/>
  <c r="L1120" i="25"/>
  <c r="N1119" i="25"/>
  <c r="L1119" i="25"/>
  <c r="N1118" i="25"/>
  <c r="L1118" i="25"/>
  <c r="N1117" i="25"/>
  <c r="L1117" i="25"/>
  <c r="N1116" i="25"/>
  <c r="L1116" i="25"/>
  <c r="N1115" i="25"/>
  <c r="L1115" i="25"/>
  <c r="N1114" i="25"/>
  <c r="L1114" i="25"/>
  <c r="N1113" i="25"/>
  <c r="L1113" i="25"/>
  <c r="N1112" i="25"/>
  <c r="L1112" i="25"/>
  <c r="N1111" i="25"/>
  <c r="L1111" i="25"/>
  <c r="N1110" i="25"/>
  <c r="L1110" i="25"/>
  <c r="N1109" i="25"/>
  <c r="L1109" i="25"/>
  <c r="N1108" i="25"/>
  <c r="L1108" i="25"/>
  <c r="N1091" i="25"/>
  <c r="L1091" i="25"/>
  <c r="N1090" i="25"/>
  <c r="L1090" i="25"/>
  <c r="N1089" i="25"/>
  <c r="L1089" i="25"/>
  <c r="N1088" i="25"/>
  <c r="L1088" i="25"/>
  <c r="N1087" i="25"/>
  <c r="L1087" i="25"/>
  <c r="N1086" i="25"/>
  <c r="L1086" i="25"/>
  <c r="N1085" i="25"/>
  <c r="L1085" i="25"/>
  <c r="N1084" i="25"/>
  <c r="L1084" i="25"/>
  <c r="N1083" i="25"/>
  <c r="L1083" i="25"/>
  <c r="N1082" i="25"/>
  <c r="L1082" i="25"/>
  <c r="N1081" i="25"/>
  <c r="L1081" i="25"/>
  <c r="N1080" i="25"/>
  <c r="L1080" i="25"/>
  <c r="N1079" i="25"/>
  <c r="L1079" i="25"/>
  <c r="N1078" i="25"/>
  <c r="L1078" i="25"/>
  <c r="N1077" i="25"/>
  <c r="L1077" i="25"/>
  <c r="N1076" i="25"/>
  <c r="L1076" i="25"/>
  <c r="N1075" i="25"/>
  <c r="L1075" i="25"/>
  <c r="N1074" i="25"/>
  <c r="L1074" i="25"/>
  <c r="N1073" i="25"/>
  <c r="L1073" i="25"/>
  <c r="N1072" i="25"/>
  <c r="L1072" i="25"/>
  <c r="N1071" i="25"/>
  <c r="L1071" i="25"/>
  <c r="N1070" i="25"/>
  <c r="L1070" i="25"/>
  <c r="N1069" i="25"/>
  <c r="L1069" i="25"/>
  <c r="N1068" i="25"/>
  <c r="L1068" i="25"/>
  <c r="N1067" i="25"/>
  <c r="L1067" i="25"/>
  <c r="N1066" i="25"/>
  <c r="L1066" i="25"/>
  <c r="N1065" i="25"/>
  <c r="L1065" i="25"/>
  <c r="N1064" i="25"/>
  <c r="L1064" i="25"/>
  <c r="N1063" i="25"/>
  <c r="L1063" i="25"/>
  <c r="N1062" i="25"/>
  <c r="L1062" i="25"/>
  <c r="N1061" i="25"/>
  <c r="L1061" i="25"/>
  <c r="N1060" i="25"/>
  <c r="L1060" i="25"/>
  <c r="N1059" i="25"/>
  <c r="L1059" i="25"/>
  <c r="N1058" i="25"/>
  <c r="L1058" i="25"/>
  <c r="N1057" i="25"/>
  <c r="L1057" i="25"/>
  <c r="N1056" i="25"/>
  <c r="L1056" i="25"/>
  <c r="N1055" i="25"/>
  <c r="L1055" i="25"/>
  <c r="N1054" i="25"/>
  <c r="L1054" i="25"/>
  <c r="N1053" i="25"/>
  <c r="L1053" i="25"/>
  <c r="N1052" i="25"/>
  <c r="L1052" i="25"/>
  <c r="N1035" i="25"/>
  <c r="L1035" i="25"/>
  <c r="N1034" i="25"/>
  <c r="L1034" i="25"/>
  <c r="N1033" i="25"/>
  <c r="L1033" i="25"/>
  <c r="N1032" i="25"/>
  <c r="L1032" i="25"/>
  <c r="N1031" i="25"/>
  <c r="L1031" i="25"/>
  <c r="N1030" i="25"/>
  <c r="L1030" i="25"/>
  <c r="N1029" i="25"/>
  <c r="L1029" i="25"/>
  <c r="N1028" i="25"/>
  <c r="L1028" i="25"/>
  <c r="N1027" i="25"/>
  <c r="L1027" i="25"/>
  <c r="N1026" i="25"/>
  <c r="L1026" i="25"/>
  <c r="N1025" i="25"/>
  <c r="L1025" i="25"/>
  <c r="N1024" i="25"/>
  <c r="L1024" i="25"/>
  <c r="N1023" i="25"/>
  <c r="L1023" i="25"/>
  <c r="N1022" i="25"/>
  <c r="L1022" i="25"/>
  <c r="N1021" i="25"/>
  <c r="L1021" i="25"/>
  <c r="N1020" i="25"/>
  <c r="L1020" i="25"/>
  <c r="N1019" i="25"/>
  <c r="L1019" i="25"/>
  <c r="N1018" i="25"/>
  <c r="L1018" i="25"/>
  <c r="N1017" i="25"/>
  <c r="L1017" i="25"/>
  <c r="N1016" i="25"/>
  <c r="L1016" i="25"/>
  <c r="N1015" i="25"/>
  <c r="L1015" i="25"/>
  <c r="N1014" i="25"/>
  <c r="L1014" i="25"/>
  <c r="N1013" i="25"/>
  <c r="L1013" i="25"/>
  <c r="N1012" i="25"/>
  <c r="L1012" i="25"/>
  <c r="N1011" i="25"/>
  <c r="L1011" i="25"/>
  <c r="N1010" i="25"/>
  <c r="L1010" i="25"/>
  <c r="N1009" i="25"/>
  <c r="L1009" i="25"/>
  <c r="N1008" i="25"/>
  <c r="L1008" i="25"/>
  <c r="N1007" i="25"/>
  <c r="L1007" i="25"/>
  <c r="N1006" i="25"/>
  <c r="L1006" i="25"/>
  <c r="N1005" i="25"/>
  <c r="L1005" i="25"/>
  <c r="N1004" i="25"/>
  <c r="L1004" i="25"/>
  <c r="N1003" i="25"/>
  <c r="L1003" i="25"/>
  <c r="N1002" i="25"/>
  <c r="L1002" i="25"/>
  <c r="N1001" i="25"/>
  <c r="L1001" i="25"/>
  <c r="N1000" i="25"/>
  <c r="L1000" i="25"/>
  <c r="N999" i="25"/>
  <c r="L999" i="25"/>
  <c r="N998" i="25"/>
  <c r="L998" i="25"/>
  <c r="N997" i="25"/>
  <c r="L997" i="25"/>
  <c r="N996" i="25"/>
  <c r="L996" i="25"/>
  <c r="N979" i="25"/>
  <c r="L979" i="25"/>
  <c r="N978" i="25"/>
  <c r="L978" i="25"/>
  <c r="N977" i="25"/>
  <c r="L977" i="25"/>
  <c r="N976" i="25"/>
  <c r="L976" i="25"/>
  <c r="N975" i="25"/>
  <c r="L975" i="25"/>
  <c r="N974" i="25"/>
  <c r="L974" i="25"/>
  <c r="N973" i="25"/>
  <c r="L973" i="25"/>
  <c r="N972" i="25"/>
  <c r="L972" i="25"/>
  <c r="N971" i="25"/>
  <c r="L971" i="25"/>
  <c r="N970" i="25"/>
  <c r="L970" i="25"/>
  <c r="N969" i="25"/>
  <c r="L969" i="25"/>
  <c r="N968" i="25"/>
  <c r="L968" i="25"/>
  <c r="N967" i="25"/>
  <c r="L967" i="25"/>
  <c r="N966" i="25"/>
  <c r="L966" i="25"/>
  <c r="N965" i="25"/>
  <c r="L965" i="25"/>
  <c r="N964" i="25"/>
  <c r="L964" i="25"/>
  <c r="N963" i="25"/>
  <c r="L963" i="25"/>
  <c r="N962" i="25"/>
  <c r="L962" i="25"/>
  <c r="N961" i="25"/>
  <c r="L961" i="25"/>
  <c r="N960" i="25"/>
  <c r="L960" i="25"/>
  <c r="N959" i="25"/>
  <c r="L959" i="25"/>
  <c r="N958" i="25"/>
  <c r="L958" i="25"/>
  <c r="N957" i="25"/>
  <c r="L957" i="25"/>
  <c r="N956" i="25"/>
  <c r="L956" i="25"/>
  <c r="N955" i="25"/>
  <c r="L955" i="25"/>
  <c r="N954" i="25"/>
  <c r="L954" i="25"/>
  <c r="N953" i="25"/>
  <c r="L953" i="25"/>
  <c r="N952" i="25"/>
  <c r="L952" i="25"/>
  <c r="N951" i="25"/>
  <c r="L951" i="25"/>
  <c r="N950" i="25"/>
  <c r="L950" i="25"/>
  <c r="N949" i="25"/>
  <c r="L949" i="25"/>
  <c r="N948" i="25"/>
  <c r="L948" i="25"/>
  <c r="N947" i="25"/>
  <c r="L947" i="25"/>
  <c r="N946" i="25"/>
  <c r="L946" i="25"/>
  <c r="N945" i="25"/>
  <c r="L945" i="25"/>
  <c r="N944" i="25"/>
  <c r="L944" i="25"/>
  <c r="N943" i="25"/>
  <c r="L943" i="25"/>
  <c r="N942" i="25"/>
  <c r="L942" i="25"/>
  <c r="N941" i="25"/>
  <c r="L941" i="25"/>
  <c r="N940" i="25"/>
  <c r="L940" i="25"/>
  <c r="N923" i="25"/>
  <c r="L923" i="25"/>
  <c r="N922" i="25"/>
  <c r="L922" i="25"/>
  <c r="N921" i="25"/>
  <c r="L921" i="25"/>
  <c r="N920" i="25"/>
  <c r="L920" i="25"/>
  <c r="N919" i="25"/>
  <c r="L919" i="25"/>
  <c r="N918" i="25"/>
  <c r="L918" i="25"/>
  <c r="N917" i="25"/>
  <c r="L917" i="25"/>
  <c r="N916" i="25"/>
  <c r="L916" i="25"/>
  <c r="N915" i="25"/>
  <c r="L915" i="25"/>
  <c r="N914" i="25"/>
  <c r="L914" i="25"/>
  <c r="N913" i="25"/>
  <c r="L913" i="25"/>
  <c r="N912" i="25"/>
  <c r="L912" i="25"/>
  <c r="N911" i="25"/>
  <c r="L911" i="25"/>
  <c r="N910" i="25"/>
  <c r="L910" i="25"/>
  <c r="N909" i="25"/>
  <c r="L909" i="25"/>
  <c r="N908" i="25"/>
  <c r="L908" i="25"/>
  <c r="N907" i="25"/>
  <c r="L907" i="25"/>
  <c r="N906" i="25"/>
  <c r="L906" i="25"/>
  <c r="N905" i="25"/>
  <c r="L905" i="25"/>
  <c r="N904" i="25"/>
  <c r="L904" i="25"/>
  <c r="N903" i="25"/>
  <c r="L903" i="25"/>
  <c r="N902" i="25"/>
  <c r="L902" i="25"/>
  <c r="N901" i="25"/>
  <c r="L901" i="25"/>
  <c r="N900" i="25"/>
  <c r="L900" i="25"/>
  <c r="N899" i="25"/>
  <c r="L899" i="25"/>
  <c r="N898" i="25"/>
  <c r="L898" i="25"/>
  <c r="N897" i="25"/>
  <c r="L897" i="25"/>
  <c r="N896" i="25"/>
  <c r="L896" i="25"/>
  <c r="N895" i="25"/>
  <c r="L895" i="25"/>
  <c r="N894" i="25"/>
  <c r="L894" i="25"/>
  <c r="N893" i="25"/>
  <c r="L893" i="25"/>
  <c r="N892" i="25"/>
  <c r="L892" i="25"/>
  <c r="N891" i="25"/>
  <c r="L891" i="25"/>
  <c r="N890" i="25"/>
  <c r="L890" i="25"/>
  <c r="N889" i="25"/>
  <c r="L889" i="25"/>
  <c r="N888" i="25"/>
  <c r="L888" i="25"/>
  <c r="N887" i="25"/>
  <c r="L887" i="25"/>
  <c r="N886" i="25"/>
  <c r="L886" i="25"/>
  <c r="N885" i="25"/>
  <c r="L885" i="25"/>
  <c r="N884" i="25"/>
  <c r="L884" i="25"/>
  <c r="N867" i="25"/>
  <c r="L867" i="25"/>
  <c r="N866" i="25"/>
  <c r="L866" i="25"/>
  <c r="N865" i="25"/>
  <c r="L865" i="25"/>
  <c r="N864" i="25"/>
  <c r="L864" i="25"/>
  <c r="N863" i="25"/>
  <c r="L863" i="25"/>
  <c r="N862" i="25"/>
  <c r="L862" i="25"/>
  <c r="N861" i="25"/>
  <c r="L861" i="25"/>
  <c r="N860" i="25"/>
  <c r="L860" i="25"/>
  <c r="N859" i="25"/>
  <c r="L859" i="25"/>
  <c r="N858" i="25"/>
  <c r="L858" i="25"/>
  <c r="N857" i="25"/>
  <c r="L857" i="25"/>
  <c r="N856" i="25"/>
  <c r="L856" i="25"/>
  <c r="N855" i="25"/>
  <c r="L855" i="25"/>
  <c r="N854" i="25"/>
  <c r="L854" i="25"/>
  <c r="N853" i="25"/>
  <c r="L853" i="25"/>
  <c r="N852" i="25"/>
  <c r="L852" i="25"/>
  <c r="N851" i="25"/>
  <c r="L851" i="25"/>
  <c r="N850" i="25"/>
  <c r="L850" i="25"/>
  <c r="N849" i="25"/>
  <c r="L849" i="25"/>
  <c r="N848" i="25"/>
  <c r="L848" i="25"/>
  <c r="N847" i="25"/>
  <c r="L847" i="25"/>
  <c r="N846" i="25"/>
  <c r="L846" i="25"/>
  <c r="N845" i="25"/>
  <c r="L845" i="25"/>
  <c r="N844" i="25"/>
  <c r="L844" i="25"/>
  <c r="N843" i="25"/>
  <c r="L843" i="25"/>
  <c r="N842" i="25"/>
  <c r="L842" i="25"/>
  <c r="N841" i="25"/>
  <c r="L841" i="25"/>
  <c r="N840" i="25"/>
  <c r="L840" i="25"/>
  <c r="N839" i="25"/>
  <c r="L839" i="25"/>
  <c r="N838" i="25"/>
  <c r="L838" i="25"/>
  <c r="N837" i="25"/>
  <c r="L837" i="25"/>
  <c r="N836" i="25"/>
  <c r="L836" i="25"/>
  <c r="N835" i="25"/>
  <c r="L835" i="25"/>
  <c r="N834" i="25"/>
  <c r="L834" i="25"/>
  <c r="N833" i="25"/>
  <c r="L833" i="25"/>
  <c r="N832" i="25"/>
  <c r="L832" i="25"/>
  <c r="N831" i="25"/>
  <c r="L831" i="25"/>
  <c r="N830" i="25"/>
  <c r="L830" i="25"/>
  <c r="N829" i="25"/>
  <c r="L829" i="25"/>
  <c r="N828" i="25"/>
  <c r="L828" i="25"/>
  <c r="N811" i="25"/>
  <c r="L811" i="25"/>
  <c r="N810" i="25"/>
  <c r="L810" i="25"/>
  <c r="N809" i="25"/>
  <c r="L809" i="25"/>
  <c r="N808" i="25"/>
  <c r="L808" i="25"/>
  <c r="N807" i="25"/>
  <c r="L807" i="25"/>
  <c r="N806" i="25"/>
  <c r="L806" i="25"/>
  <c r="N805" i="25"/>
  <c r="L805" i="25"/>
  <c r="N804" i="25"/>
  <c r="L804" i="25"/>
  <c r="N803" i="25"/>
  <c r="L803" i="25"/>
  <c r="N802" i="25"/>
  <c r="L802" i="25"/>
  <c r="N801" i="25"/>
  <c r="L801" i="25"/>
  <c r="N800" i="25"/>
  <c r="L800" i="25"/>
  <c r="N799" i="25"/>
  <c r="L799" i="25"/>
  <c r="N798" i="25"/>
  <c r="L798" i="25"/>
  <c r="N797" i="25"/>
  <c r="L797" i="25"/>
  <c r="N796" i="25"/>
  <c r="L796" i="25"/>
  <c r="N795" i="25"/>
  <c r="L795" i="25"/>
  <c r="N794" i="25"/>
  <c r="L794" i="25"/>
  <c r="N793" i="25"/>
  <c r="L793" i="25"/>
  <c r="N792" i="25"/>
  <c r="L792" i="25"/>
  <c r="N791" i="25"/>
  <c r="L791" i="25"/>
  <c r="N790" i="25"/>
  <c r="L790" i="25"/>
  <c r="N789" i="25"/>
  <c r="L789" i="25"/>
  <c r="N788" i="25"/>
  <c r="L788" i="25"/>
  <c r="N787" i="25"/>
  <c r="L787" i="25"/>
  <c r="N786" i="25"/>
  <c r="L786" i="25"/>
  <c r="N785" i="25"/>
  <c r="L785" i="25"/>
  <c r="N784" i="25"/>
  <c r="L784" i="25"/>
  <c r="N783" i="25"/>
  <c r="L783" i="25"/>
  <c r="N782" i="25"/>
  <c r="L782" i="25"/>
  <c r="N781" i="25"/>
  <c r="L781" i="25"/>
  <c r="N780" i="25"/>
  <c r="L780" i="25"/>
  <c r="N779" i="25"/>
  <c r="L779" i="25"/>
  <c r="N778" i="25"/>
  <c r="L778" i="25"/>
  <c r="N777" i="25"/>
  <c r="L777" i="25"/>
  <c r="N776" i="25"/>
  <c r="L776" i="25"/>
  <c r="N775" i="25"/>
  <c r="L775" i="25"/>
  <c r="N774" i="25"/>
  <c r="L774" i="25"/>
  <c r="N773" i="25"/>
  <c r="L773" i="25"/>
  <c r="N772" i="25"/>
  <c r="L772" i="25"/>
  <c r="N755" i="25"/>
  <c r="L755" i="25"/>
  <c r="N754" i="25"/>
  <c r="L754" i="25"/>
  <c r="N753" i="25"/>
  <c r="L753" i="25"/>
  <c r="N752" i="25"/>
  <c r="L752" i="25"/>
  <c r="N751" i="25"/>
  <c r="L751" i="25"/>
  <c r="N750" i="25"/>
  <c r="L750" i="25"/>
  <c r="N749" i="25"/>
  <c r="L749" i="25"/>
  <c r="N748" i="25"/>
  <c r="L748" i="25"/>
  <c r="N747" i="25"/>
  <c r="L747" i="25"/>
  <c r="N746" i="25"/>
  <c r="L746" i="25"/>
  <c r="N745" i="25"/>
  <c r="L745" i="25"/>
  <c r="N744" i="25"/>
  <c r="L744" i="25"/>
  <c r="N743" i="25"/>
  <c r="L743" i="25"/>
  <c r="N742" i="25"/>
  <c r="L742" i="25"/>
  <c r="N741" i="25"/>
  <c r="L741" i="25"/>
  <c r="N740" i="25"/>
  <c r="L740" i="25"/>
  <c r="N739" i="25"/>
  <c r="L739" i="25"/>
  <c r="N738" i="25"/>
  <c r="L738" i="25"/>
  <c r="N737" i="25"/>
  <c r="L737" i="25"/>
  <c r="N736" i="25"/>
  <c r="L736" i="25"/>
  <c r="N735" i="25"/>
  <c r="L735" i="25"/>
  <c r="N734" i="25"/>
  <c r="L734" i="25"/>
  <c r="N733" i="25"/>
  <c r="L733" i="25"/>
  <c r="N732" i="25"/>
  <c r="L732" i="25"/>
  <c r="N731" i="25"/>
  <c r="L731" i="25"/>
  <c r="N730" i="25"/>
  <c r="L730" i="25"/>
  <c r="N729" i="25"/>
  <c r="L729" i="25"/>
  <c r="N728" i="25"/>
  <c r="L728" i="25"/>
  <c r="N727" i="25"/>
  <c r="L727" i="25"/>
  <c r="N726" i="25"/>
  <c r="L726" i="25"/>
  <c r="N725" i="25"/>
  <c r="L725" i="25"/>
  <c r="N724" i="25"/>
  <c r="L724" i="25"/>
  <c r="N723" i="25"/>
  <c r="L723" i="25"/>
  <c r="N722" i="25"/>
  <c r="L722" i="25"/>
  <c r="N721" i="25"/>
  <c r="L721" i="25"/>
  <c r="N720" i="25"/>
  <c r="L720" i="25"/>
  <c r="N719" i="25"/>
  <c r="L719" i="25"/>
  <c r="N718" i="25"/>
  <c r="L718" i="25"/>
  <c r="N717" i="25"/>
  <c r="L717" i="25"/>
  <c r="N716" i="25"/>
  <c r="L716" i="25"/>
  <c r="N699" i="25"/>
  <c r="L699" i="25"/>
  <c r="N698" i="25"/>
  <c r="L698" i="25"/>
  <c r="N697" i="25"/>
  <c r="L697" i="25"/>
  <c r="N696" i="25"/>
  <c r="L696" i="25"/>
  <c r="N695" i="25"/>
  <c r="L695" i="25"/>
  <c r="N694" i="25"/>
  <c r="L694" i="25"/>
  <c r="N693" i="25"/>
  <c r="L693" i="25"/>
  <c r="N692" i="25"/>
  <c r="L692" i="25"/>
  <c r="N691" i="25"/>
  <c r="L691" i="25"/>
  <c r="N690" i="25"/>
  <c r="L690" i="25"/>
  <c r="N689" i="25"/>
  <c r="L689" i="25"/>
  <c r="N688" i="25"/>
  <c r="L688" i="25"/>
  <c r="N687" i="25"/>
  <c r="L687" i="25"/>
  <c r="N686" i="25"/>
  <c r="L686" i="25"/>
  <c r="N685" i="25"/>
  <c r="L685" i="25"/>
  <c r="N684" i="25"/>
  <c r="L684" i="25"/>
  <c r="N683" i="25"/>
  <c r="L683" i="25"/>
  <c r="N682" i="25"/>
  <c r="L682" i="25"/>
  <c r="N681" i="25"/>
  <c r="L681" i="25"/>
  <c r="N680" i="25"/>
  <c r="L680" i="25"/>
  <c r="N679" i="25"/>
  <c r="L679" i="25"/>
  <c r="N678" i="25"/>
  <c r="L678" i="25"/>
  <c r="N677" i="25"/>
  <c r="L677" i="25"/>
  <c r="N676" i="25"/>
  <c r="L676" i="25"/>
  <c r="N675" i="25"/>
  <c r="L675" i="25"/>
  <c r="N674" i="25"/>
  <c r="L674" i="25"/>
  <c r="N673" i="25"/>
  <c r="L673" i="25"/>
  <c r="N672" i="25"/>
  <c r="L672" i="25"/>
  <c r="N671" i="25"/>
  <c r="L671" i="25"/>
  <c r="N670" i="25"/>
  <c r="L670" i="25"/>
  <c r="N669" i="25"/>
  <c r="L669" i="25"/>
  <c r="N668" i="25"/>
  <c r="L668" i="25"/>
  <c r="N667" i="25"/>
  <c r="L667" i="25"/>
  <c r="N666" i="25"/>
  <c r="L666" i="25"/>
  <c r="N665" i="25"/>
  <c r="L665" i="25"/>
  <c r="N664" i="25"/>
  <c r="L664" i="25"/>
  <c r="N663" i="25"/>
  <c r="L663" i="25"/>
  <c r="N662" i="25"/>
  <c r="L662" i="25"/>
  <c r="N661" i="25"/>
  <c r="L661" i="25"/>
  <c r="N660" i="25"/>
  <c r="L660" i="25"/>
  <c r="N643" i="25"/>
  <c r="L643" i="25"/>
  <c r="N642" i="25"/>
  <c r="L642" i="25"/>
  <c r="N641" i="25"/>
  <c r="L641" i="25"/>
  <c r="N640" i="25"/>
  <c r="L640" i="25"/>
  <c r="N639" i="25"/>
  <c r="L639" i="25"/>
  <c r="N638" i="25"/>
  <c r="L638" i="25"/>
  <c r="N637" i="25"/>
  <c r="L637" i="25"/>
  <c r="N636" i="25"/>
  <c r="L636" i="25"/>
  <c r="N635" i="25"/>
  <c r="L635" i="25"/>
  <c r="N634" i="25"/>
  <c r="L634" i="25"/>
  <c r="N633" i="25"/>
  <c r="L633" i="25"/>
  <c r="N632" i="25"/>
  <c r="L632" i="25"/>
  <c r="N631" i="25"/>
  <c r="L631" i="25"/>
  <c r="N630" i="25"/>
  <c r="L630" i="25"/>
  <c r="N629" i="25"/>
  <c r="L629" i="25"/>
  <c r="N628" i="25"/>
  <c r="L628" i="25"/>
  <c r="N627" i="25"/>
  <c r="L627" i="25"/>
  <c r="N626" i="25"/>
  <c r="L626" i="25"/>
  <c r="N625" i="25"/>
  <c r="L625" i="25"/>
  <c r="N624" i="25"/>
  <c r="L624" i="25"/>
  <c r="N623" i="25"/>
  <c r="L623" i="25"/>
  <c r="N622" i="25"/>
  <c r="L622" i="25"/>
  <c r="N621" i="25"/>
  <c r="L621" i="25"/>
  <c r="N620" i="25"/>
  <c r="L620" i="25"/>
  <c r="N619" i="25"/>
  <c r="L619" i="25"/>
  <c r="N618" i="25"/>
  <c r="L618" i="25"/>
  <c r="N617" i="25"/>
  <c r="L617" i="25"/>
  <c r="N616" i="25"/>
  <c r="L616" i="25"/>
  <c r="N615" i="25"/>
  <c r="L615" i="25"/>
  <c r="N614" i="25"/>
  <c r="L614" i="25"/>
  <c r="N613" i="25"/>
  <c r="L613" i="25"/>
  <c r="N612" i="25"/>
  <c r="L612" i="25"/>
  <c r="N611" i="25"/>
  <c r="L611" i="25"/>
  <c r="N610" i="25"/>
  <c r="L610" i="25"/>
  <c r="N609" i="25"/>
  <c r="L609" i="25"/>
  <c r="N608" i="25"/>
  <c r="L608" i="25"/>
  <c r="N607" i="25"/>
  <c r="L607" i="25"/>
  <c r="N606" i="25"/>
  <c r="L606" i="25"/>
  <c r="N605" i="25"/>
  <c r="L605" i="25"/>
  <c r="N604" i="25"/>
  <c r="L604" i="25"/>
  <c r="N531" i="25"/>
  <c r="L531" i="25"/>
  <c r="N530" i="25"/>
  <c r="L530" i="25"/>
  <c r="N529" i="25"/>
  <c r="L529" i="25"/>
  <c r="N528" i="25"/>
  <c r="L528" i="25"/>
  <c r="N527" i="25"/>
  <c r="L527" i="25"/>
  <c r="N526" i="25"/>
  <c r="L526" i="25"/>
  <c r="N525" i="25"/>
  <c r="L525" i="25"/>
  <c r="N524" i="25"/>
  <c r="L524" i="25"/>
  <c r="N523" i="25"/>
  <c r="L523" i="25"/>
  <c r="N522" i="25"/>
  <c r="L522" i="25"/>
  <c r="N521" i="25"/>
  <c r="L521" i="25"/>
  <c r="N520" i="25"/>
  <c r="L520" i="25"/>
  <c r="N519" i="25"/>
  <c r="L519" i="25"/>
  <c r="N518" i="25"/>
  <c r="L518" i="25"/>
  <c r="N517" i="25"/>
  <c r="L517" i="25"/>
  <c r="N516" i="25"/>
  <c r="L516" i="25"/>
  <c r="N515" i="25"/>
  <c r="L515" i="25"/>
  <c r="N514" i="25"/>
  <c r="L514" i="25"/>
  <c r="N513" i="25"/>
  <c r="L513" i="25"/>
  <c r="N512" i="25"/>
  <c r="L512" i="25"/>
  <c r="N511" i="25"/>
  <c r="L511" i="25"/>
  <c r="N510" i="25"/>
  <c r="L510" i="25"/>
  <c r="N509" i="25"/>
  <c r="L509" i="25"/>
  <c r="N508" i="25"/>
  <c r="L508" i="25"/>
  <c r="N507" i="25"/>
  <c r="L507" i="25"/>
  <c r="N506" i="25"/>
  <c r="L506" i="25"/>
  <c r="N505" i="25"/>
  <c r="L505" i="25"/>
  <c r="N504" i="25"/>
  <c r="L504" i="25"/>
  <c r="N503" i="25"/>
  <c r="L503" i="25"/>
  <c r="N502" i="25"/>
  <c r="L502" i="25"/>
  <c r="N501" i="25"/>
  <c r="L501" i="25"/>
  <c r="N500" i="25"/>
  <c r="L500" i="25"/>
  <c r="N499" i="25"/>
  <c r="L499" i="25"/>
  <c r="N498" i="25"/>
  <c r="L498" i="25"/>
  <c r="N497" i="25"/>
  <c r="L497" i="25"/>
  <c r="N496" i="25"/>
  <c r="L496" i="25"/>
  <c r="N495" i="25"/>
  <c r="L495" i="25"/>
  <c r="N494" i="25"/>
  <c r="L494" i="25"/>
  <c r="N493" i="25"/>
  <c r="L493" i="25"/>
  <c r="N492" i="25"/>
  <c r="L492" i="25"/>
  <c r="N475" i="25"/>
  <c r="L475" i="25"/>
  <c r="N474" i="25"/>
  <c r="L474" i="25"/>
  <c r="N473" i="25"/>
  <c r="L473" i="25"/>
  <c r="N472" i="25"/>
  <c r="L472" i="25"/>
  <c r="N471" i="25"/>
  <c r="L471" i="25"/>
  <c r="N470" i="25"/>
  <c r="L470" i="25"/>
  <c r="N469" i="25"/>
  <c r="L469" i="25"/>
  <c r="N468" i="25"/>
  <c r="L468" i="25"/>
  <c r="N467" i="25"/>
  <c r="L467" i="25"/>
  <c r="N466" i="25"/>
  <c r="L466" i="25"/>
  <c r="N465" i="25"/>
  <c r="L465" i="25"/>
  <c r="N464" i="25"/>
  <c r="L464" i="25"/>
  <c r="N463" i="25"/>
  <c r="L463" i="25"/>
  <c r="N462" i="25"/>
  <c r="L462" i="25"/>
  <c r="N461" i="25"/>
  <c r="L461" i="25"/>
  <c r="N460" i="25"/>
  <c r="L460" i="25"/>
  <c r="N459" i="25"/>
  <c r="L459" i="25"/>
  <c r="N458" i="25"/>
  <c r="L458" i="25"/>
  <c r="N457" i="25"/>
  <c r="L457" i="25"/>
  <c r="N456" i="25"/>
  <c r="L456" i="25"/>
  <c r="N455" i="25"/>
  <c r="L455" i="25"/>
  <c r="N454" i="25"/>
  <c r="L454" i="25"/>
  <c r="N453" i="25"/>
  <c r="L453" i="25"/>
  <c r="N452" i="25"/>
  <c r="L452" i="25"/>
  <c r="N451" i="25"/>
  <c r="L451" i="25"/>
  <c r="N450" i="25"/>
  <c r="L450" i="25"/>
  <c r="N449" i="25"/>
  <c r="L449" i="25"/>
  <c r="N448" i="25"/>
  <c r="L448" i="25"/>
  <c r="N447" i="25"/>
  <c r="L447" i="25"/>
  <c r="N446" i="25"/>
  <c r="L446" i="25"/>
  <c r="N445" i="25"/>
  <c r="L445" i="25"/>
  <c r="N444" i="25"/>
  <c r="L444" i="25"/>
  <c r="N443" i="25"/>
  <c r="L443" i="25"/>
  <c r="N442" i="25"/>
  <c r="L442" i="25"/>
  <c r="N441" i="25"/>
  <c r="L441" i="25"/>
  <c r="N440" i="25"/>
  <c r="L440" i="25"/>
  <c r="N439" i="25"/>
  <c r="L439" i="25"/>
  <c r="N438" i="25"/>
  <c r="L438" i="25"/>
  <c r="N437" i="25"/>
  <c r="L437" i="25"/>
  <c r="N436" i="25"/>
  <c r="L436" i="25"/>
  <c r="N419" i="25"/>
  <c r="L419" i="25"/>
  <c r="N418" i="25"/>
  <c r="L418" i="25"/>
  <c r="N417" i="25"/>
  <c r="L417" i="25"/>
  <c r="N416" i="25"/>
  <c r="L416" i="25"/>
  <c r="N415" i="25"/>
  <c r="L415" i="25"/>
  <c r="N414" i="25"/>
  <c r="L414" i="25"/>
  <c r="N413" i="25"/>
  <c r="L413" i="25"/>
  <c r="N412" i="25"/>
  <c r="L412" i="25"/>
  <c r="N411" i="25"/>
  <c r="L411" i="25"/>
  <c r="N410" i="25"/>
  <c r="L410" i="25"/>
  <c r="N409" i="25"/>
  <c r="L409" i="25"/>
  <c r="N408" i="25"/>
  <c r="L408" i="25"/>
  <c r="N407" i="25"/>
  <c r="L407" i="25"/>
  <c r="N406" i="25"/>
  <c r="L406" i="25"/>
  <c r="N405" i="25"/>
  <c r="L405" i="25"/>
  <c r="N404" i="25"/>
  <c r="L404" i="25"/>
  <c r="N403" i="25"/>
  <c r="L403" i="25"/>
  <c r="N402" i="25"/>
  <c r="L402" i="25"/>
  <c r="N401" i="25"/>
  <c r="L401" i="25"/>
  <c r="N400" i="25"/>
  <c r="L400" i="25"/>
  <c r="N399" i="25"/>
  <c r="L399" i="25"/>
  <c r="N398" i="25"/>
  <c r="L398" i="25"/>
  <c r="N397" i="25"/>
  <c r="L397" i="25"/>
  <c r="N396" i="25"/>
  <c r="L396" i="25"/>
  <c r="N395" i="25"/>
  <c r="L395" i="25"/>
  <c r="N394" i="25"/>
  <c r="L394" i="25"/>
  <c r="N393" i="25"/>
  <c r="L393" i="25"/>
  <c r="N392" i="25"/>
  <c r="L392" i="25"/>
  <c r="N391" i="25"/>
  <c r="L391" i="25"/>
  <c r="N390" i="25"/>
  <c r="L390" i="25"/>
  <c r="N389" i="25"/>
  <c r="L389" i="25"/>
  <c r="N388" i="25"/>
  <c r="L388" i="25"/>
  <c r="N387" i="25"/>
  <c r="L387" i="25"/>
  <c r="N386" i="25"/>
  <c r="L386" i="25"/>
  <c r="N385" i="25"/>
  <c r="L385" i="25"/>
  <c r="N384" i="25"/>
  <c r="L384" i="25"/>
  <c r="N383" i="25"/>
  <c r="L383" i="25"/>
  <c r="N382" i="25"/>
  <c r="L382" i="25"/>
  <c r="N381" i="25"/>
  <c r="L381" i="25"/>
  <c r="N380" i="25"/>
  <c r="L380" i="25"/>
  <c r="N363" i="25"/>
  <c r="L363" i="25"/>
  <c r="N362" i="25"/>
  <c r="L362" i="25"/>
  <c r="N361" i="25"/>
  <c r="L361" i="25"/>
  <c r="N360" i="25"/>
  <c r="L360" i="25"/>
  <c r="N359" i="25"/>
  <c r="L359" i="25"/>
  <c r="N358" i="25"/>
  <c r="L358" i="25"/>
  <c r="N357" i="25"/>
  <c r="L357" i="25"/>
  <c r="N356" i="25"/>
  <c r="L356" i="25"/>
  <c r="N355" i="25"/>
  <c r="L355" i="25"/>
  <c r="N354" i="25"/>
  <c r="L354" i="25"/>
  <c r="N353" i="25"/>
  <c r="L353" i="25"/>
  <c r="N352" i="25"/>
  <c r="L352" i="25"/>
  <c r="N351" i="25"/>
  <c r="L351" i="25"/>
  <c r="N350" i="25"/>
  <c r="L350" i="25"/>
  <c r="N349" i="25"/>
  <c r="L349" i="25"/>
  <c r="N348" i="25"/>
  <c r="L348" i="25"/>
  <c r="N347" i="25"/>
  <c r="L347" i="25"/>
  <c r="N346" i="25"/>
  <c r="L346" i="25"/>
  <c r="N345" i="25"/>
  <c r="L345" i="25"/>
  <c r="N344" i="25"/>
  <c r="L344" i="25"/>
  <c r="N343" i="25"/>
  <c r="L343" i="25"/>
  <c r="N342" i="25"/>
  <c r="L342" i="25"/>
  <c r="N341" i="25"/>
  <c r="L341" i="25"/>
  <c r="N340" i="25"/>
  <c r="L340" i="25"/>
  <c r="N339" i="25"/>
  <c r="L339" i="25"/>
  <c r="N338" i="25"/>
  <c r="L338" i="25"/>
  <c r="N337" i="25"/>
  <c r="L337" i="25"/>
  <c r="N336" i="25"/>
  <c r="L336" i="25"/>
  <c r="N335" i="25"/>
  <c r="L335" i="25"/>
  <c r="N334" i="25"/>
  <c r="L334" i="25"/>
  <c r="N333" i="25"/>
  <c r="L333" i="25"/>
  <c r="N332" i="25"/>
  <c r="L332" i="25"/>
  <c r="N331" i="25"/>
  <c r="L331" i="25"/>
  <c r="N330" i="25"/>
  <c r="L330" i="25"/>
  <c r="N329" i="25"/>
  <c r="L329" i="25"/>
  <c r="N328" i="25"/>
  <c r="L328" i="25"/>
  <c r="N327" i="25"/>
  <c r="L327" i="25"/>
  <c r="N326" i="25"/>
  <c r="L326" i="25"/>
  <c r="N325" i="25"/>
  <c r="L325" i="25"/>
  <c r="N324" i="25"/>
  <c r="L324" i="25"/>
  <c r="N307" i="25"/>
  <c r="L307" i="25"/>
  <c r="N306" i="25"/>
  <c r="L306" i="25"/>
  <c r="N305" i="25"/>
  <c r="L305" i="25"/>
  <c r="N304" i="25"/>
  <c r="L304" i="25"/>
  <c r="N303" i="25"/>
  <c r="L303" i="25"/>
  <c r="N302" i="25"/>
  <c r="L302" i="25"/>
  <c r="N301" i="25"/>
  <c r="L301" i="25"/>
  <c r="N300" i="25"/>
  <c r="L300" i="25"/>
  <c r="N299" i="25"/>
  <c r="L299" i="25"/>
  <c r="N298" i="25"/>
  <c r="L298" i="25"/>
  <c r="N297" i="25"/>
  <c r="L297" i="25"/>
  <c r="N296" i="25"/>
  <c r="L296" i="25"/>
  <c r="N295" i="25"/>
  <c r="L295" i="25"/>
  <c r="N294" i="25"/>
  <c r="L294" i="25"/>
  <c r="N293" i="25"/>
  <c r="L293" i="25"/>
  <c r="N292" i="25"/>
  <c r="L292" i="25"/>
  <c r="N291" i="25"/>
  <c r="L291" i="25"/>
  <c r="N290" i="25"/>
  <c r="L290" i="25"/>
  <c r="N289" i="25"/>
  <c r="L289" i="25"/>
  <c r="N288" i="25"/>
  <c r="L288" i="25"/>
  <c r="N287" i="25"/>
  <c r="L287" i="25"/>
  <c r="N286" i="25"/>
  <c r="L286" i="25"/>
  <c r="N285" i="25"/>
  <c r="L285" i="25"/>
  <c r="N284" i="25"/>
  <c r="L284" i="25"/>
  <c r="N283" i="25"/>
  <c r="L283" i="25"/>
  <c r="N282" i="25"/>
  <c r="L282" i="25"/>
  <c r="N281" i="25"/>
  <c r="L281" i="25"/>
  <c r="N280" i="25"/>
  <c r="L280" i="25"/>
  <c r="N279" i="25"/>
  <c r="L279" i="25"/>
  <c r="N278" i="25"/>
  <c r="L278" i="25"/>
  <c r="N277" i="25"/>
  <c r="L277" i="25"/>
  <c r="N276" i="25"/>
  <c r="L276" i="25"/>
  <c r="N275" i="25"/>
  <c r="L275" i="25"/>
  <c r="N274" i="25"/>
  <c r="L274" i="25"/>
  <c r="N273" i="25"/>
  <c r="L273" i="25"/>
  <c r="N272" i="25"/>
  <c r="L272" i="25"/>
  <c r="N271" i="25"/>
  <c r="L271" i="25"/>
  <c r="N270" i="25"/>
  <c r="L270" i="25"/>
  <c r="N269" i="25"/>
  <c r="L269" i="25"/>
  <c r="N268" i="25"/>
  <c r="L268" i="25"/>
  <c r="N251" i="25"/>
  <c r="L251" i="25"/>
  <c r="N250" i="25"/>
  <c r="L250" i="25"/>
  <c r="N249" i="25"/>
  <c r="L249" i="25"/>
  <c r="N248" i="25"/>
  <c r="L248" i="25"/>
  <c r="N247" i="25"/>
  <c r="L247" i="25"/>
  <c r="N246" i="25"/>
  <c r="L246" i="25"/>
  <c r="N245" i="25"/>
  <c r="L245" i="25"/>
  <c r="N244" i="25"/>
  <c r="L244" i="25"/>
  <c r="N243" i="25"/>
  <c r="L243" i="25"/>
  <c r="N242" i="25"/>
  <c r="L242" i="25"/>
  <c r="N241" i="25"/>
  <c r="L241" i="25"/>
  <c r="N240" i="25"/>
  <c r="L240" i="25"/>
  <c r="N239" i="25"/>
  <c r="L239" i="25"/>
  <c r="N238" i="25"/>
  <c r="L238" i="25"/>
  <c r="N237" i="25"/>
  <c r="L237" i="25"/>
  <c r="N236" i="25"/>
  <c r="L236" i="25"/>
  <c r="N235" i="25"/>
  <c r="L235" i="25"/>
  <c r="N234" i="25"/>
  <c r="L234" i="25"/>
  <c r="N233" i="25"/>
  <c r="L233" i="25"/>
  <c r="N232" i="25"/>
  <c r="L232" i="25"/>
  <c r="N231" i="25"/>
  <c r="L231" i="25"/>
  <c r="N230" i="25"/>
  <c r="L230" i="25"/>
  <c r="N229" i="25"/>
  <c r="L229" i="25"/>
  <c r="N228" i="25"/>
  <c r="L228" i="25"/>
  <c r="N227" i="25"/>
  <c r="L227" i="25"/>
  <c r="N226" i="25"/>
  <c r="L226" i="25"/>
  <c r="N225" i="25"/>
  <c r="L225" i="25"/>
  <c r="N224" i="25"/>
  <c r="L224" i="25"/>
  <c r="N223" i="25"/>
  <c r="L223" i="25"/>
  <c r="N222" i="25"/>
  <c r="L222" i="25"/>
  <c r="N221" i="25"/>
  <c r="L221" i="25"/>
  <c r="N220" i="25"/>
  <c r="L220" i="25"/>
  <c r="N219" i="25"/>
  <c r="L219" i="25"/>
  <c r="N218" i="25"/>
  <c r="L218" i="25"/>
  <c r="N217" i="25"/>
  <c r="L217" i="25"/>
  <c r="N216" i="25"/>
  <c r="L216" i="25"/>
  <c r="N215" i="25"/>
  <c r="L215" i="25"/>
  <c r="N214" i="25"/>
  <c r="L214" i="25"/>
  <c r="N213" i="25"/>
  <c r="L213" i="25"/>
  <c r="N212" i="25"/>
  <c r="L212" i="25"/>
  <c r="N195" i="25"/>
  <c r="L195" i="25"/>
  <c r="N194" i="25"/>
  <c r="L194" i="25"/>
  <c r="N193" i="25"/>
  <c r="L193" i="25"/>
  <c r="N192" i="25"/>
  <c r="L192" i="25"/>
  <c r="N191" i="25"/>
  <c r="L191" i="25"/>
  <c r="N190" i="25"/>
  <c r="L190" i="25"/>
  <c r="N189" i="25"/>
  <c r="L189" i="25"/>
  <c r="N188" i="25"/>
  <c r="L188" i="25"/>
  <c r="N187" i="25"/>
  <c r="L187" i="25"/>
  <c r="N186" i="25"/>
  <c r="L186" i="25"/>
  <c r="N185" i="25"/>
  <c r="L185" i="25"/>
  <c r="N184" i="25"/>
  <c r="L184" i="25"/>
  <c r="N183" i="25"/>
  <c r="L183" i="25"/>
  <c r="N182" i="25"/>
  <c r="L182" i="25"/>
  <c r="N181" i="25"/>
  <c r="L181" i="25"/>
  <c r="N180" i="25"/>
  <c r="L180" i="25"/>
  <c r="N179" i="25"/>
  <c r="L179" i="25"/>
  <c r="N178" i="25"/>
  <c r="L178" i="25"/>
  <c r="N177" i="25"/>
  <c r="L177" i="25"/>
  <c r="N176" i="25"/>
  <c r="L176" i="25"/>
  <c r="N175" i="25"/>
  <c r="L175" i="25"/>
  <c r="N174" i="25"/>
  <c r="L174" i="25"/>
  <c r="N173" i="25"/>
  <c r="L173" i="25"/>
  <c r="N172" i="25"/>
  <c r="L172" i="25"/>
  <c r="N171" i="25"/>
  <c r="L171" i="25"/>
  <c r="N170" i="25"/>
  <c r="L170" i="25"/>
  <c r="N169" i="25"/>
  <c r="L169" i="25"/>
  <c r="N168" i="25"/>
  <c r="L168" i="25"/>
  <c r="N167" i="25"/>
  <c r="L167" i="25"/>
  <c r="N166" i="25"/>
  <c r="L166" i="25"/>
  <c r="N165" i="25"/>
  <c r="L165" i="25"/>
  <c r="N164" i="25"/>
  <c r="L164" i="25"/>
  <c r="N163" i="25"/>
  <c r="L163" i="25"/>
  <c r="N162" i="25"/>
  <c r="L162" i="25"/>
  <c r="N161" i="25"/>
  <c r="L161" i="25"/>
  <c r="N160" i="25"/>
  <c r="L160" i="25"/>
  <c r="N159" i="25"/>
  <c r="L159" i="25"/>
  <c r="N158" i="25"/>
  <c r="L158" i="25"/>
  <c r="N157" i="25"/>
  <c r="L157" i="25"/>
  <c r="N156" i="25"/>
  <c r="L156" i="25"/>
  <c r="N139" i="25"/>
  <c r="L139" i="25"/>
  <c r="N138" i="25"/>
  <c r="L138" i="25"/>
  <c r="N137" i="25"/>
  <c r="L137" i="25"/>
  <c r="N136" i="25"/>
  <c r="L136" i="25"/>
  <c r="N135" i="25"/>
  <c r="L135" i="25"/>
  <c r="N134" i="25"/>
  <c r="L134" i="25"/>
  <c r="N133" i="25"/>
  <c r="L133" i="25"/>
  <c r="N132" i="25"/>
  <c r="L132" i="25"/>
  <c r="N131" i="25"/>
  <c r="L131" i="25"/>
  <c r="N130" i="25"/>
  <c r="L130" i="25"/>
  <c r="N129" i="25"/>
  <c r="L129" i="25"/>
  <c r="N128" i="25"/>
  <c r="L128" i="25"/>
  <c r="N127" i="25"/>
  <c r="L127" i="25"/>
  <c r="N126" i="25"/>
  <c r="L126" i="25"/>
  <c r="N125" i="25"/>
  <c r="L125" i="25"/>
  <c r="N124" i="25"/>
  <c r="L124" i="25"/>
  <c r="N123" i="25"/>
  <c r="L123" i="25"/>
  <c r="N122" i="25"/>
  <c r="L122" i="25"/>
  <c r="N121" i="25"/>
  <c r="L121" i="25"/>
  <c r="N120" i="25"/>
  <c r="L120" i="25"/>
  <c r="N119" i="25"/>
  <c r="L119" i="25"/>
  <c r="N118" i="25"/>
  <c r="L118" i="25"/>
  <c r="N117" i="25"/>
  <c r="L117" i="25"/>
  <c r="N116" i="25"/>
  <c r="L116" i="25"/>
  <c r="N115" i="25"/>
  <c r="L115" i="25"/>
  <c r="N114" i="25"/>
  <c r="L114" i="25"/>
  <c r="N113" i="25"/>
  <c r="L113" i="25"/>
  <c r="N112" i="25"/>
  <c r="L112" i="25"/>
  <c r="N111" i="25"/>
  <c r="L111" i="25"/>
  <c r="N110" i="25"/>
  <c r="L110" i="25"/>
  <c r="N109" i="25"/>
  <c r="L109" i="25"/>
  <c r="N108" i="25"/>
  <c r="L108" i="25"/>
  <c r="N107" i="25"/>
  <c r="L107" i="25"/>
  <c r="N106" i="25"/>
  <c r="L106" i="25"/>
  <c r="N105" i="25"/>
  <c r="L105" i="25"/>
  <c r="N104" i="25"/>
  <c r="L104" i="25"/>
  <c r="N103" i="25"/>
  <c r="L103" i="25"/>
  <c r="N102" i="25"/>
  <c r="L102" i="25"/>
  <c r="N101" i="25"/>
  <c r="L101" i="25"/>
  <c r="N100" i="25"/>
  <c r="L100" i="25"/>
  <c r="N83" i="25"/>
  <c r="L83" i="25"/>
  <c r="N82" i="25"/>
  <c r="L82" i="25"/>
  <c r="N81" i="25"/>
  <c r="L81" i="25"/>
  <c r="N80" i="25"/>
  <c r="L80" i="25"/>
  <c r="N79" i="25"/>
  <c r="L79" i="25"/>
  <c r="N78" i="25"/>
  <c r="L78" i="25"/>
  <c r="N77" i="25"/>
  <c r="L77" i="25"/>
  <c r="N76" i="25"/>
  <c r="L76" i="25"/>
  <c r="N75" i="25"/>
  <c r="L75" i="25"/>
  <c r="N74" i="25"/>
  <c r="L74" i="25"/>
  <c r="N73" i="25"/>
  <c r="L73" i="25"/>
  <c r="N72" i="25"/>
  <c r="L72" i="25"/>
  <c r="N71" i="25"/>
  <c r="L71" i="25"/>
  <c r="N70" i="25"/>
  <c r="L70" i="25"/>
  <c r="N69" i="25"/>
  <c r="L69" i="25"/>
  <c r="N68" i="25"/>
  <c r="L68" i="25"/>
  <c r="N67" i="25"/>
  <c r="L67" i="25"/>
  <c r="N66" i="25"/>
  <c r="L66" i="25"/>
  <c r="N65" i="25"/>
  <c r="L65" i="25"/>
  <c r="N64" i="25"/>
  <c r="L64" i="25"/>
  <c r="N63" i="25"/>
  <c r="L63" i="25"/>
  <c r="N62" i="25"/>
  <c r="L62" i="25"/>
  <c r="N61" i="25"/>
  <c r="L61" i="25"/>
  <c r="N60" i="25"/>
  <c r="L60" i="25"/>
  <c r="N59" i="25"/>
  <c r="L59" i="25"/>
  <c r="N58" i="25"/>
  <c r="L58" i="25"/>
  <c r="N57" i="25"/>
  <c r="L57" i="25"/>
  <c r="N56" i="25"/>
  <c r="L56" i="25"/>
  <c r="N55" i="25"/>
  <c r="L55" i="25"/>
  <c r="N54" i="25"/>
  <c r="L54" i="25"/>
  <c r="N53" i="25"/>
  <c r="L53" i="25"/>
  <c r="N52" i="25"/>
  <c r="L52" i="25"/>
  <c r="N51" i="25"/>
  <c r="L51" i="25"/>
  <c r="N50" i="25"/>
  <c r="L50" i="25"/>
  <c r="N49" i="25"/>
  <c r="L49" i="25"/>
  <c r="N48" i="25"/>
  <c r="L48" i="25"/>
  <c r="N47" i="25"/>
  <c r="L47" i="25"/>
  <c r="N46" i="25"/>
  <c r="L46" i="25"/>
  <c r="N45" i="25"/>
  <c r="L45" i="25"/>
  <c r="N44" i="25"/>
  <c r="L44" i="25"/>
  <c r="L155" i="25" l="1"/>
  <c r="L211" i="25"/>
  <c r="L267" i="25"/>
  <c r="L323" i="25"/>
  <c r="L435" i="25"/>
  <c r="L659" i="25"/>
  <c r="L715" i="25"/>
  <c r="L771" i="25"/>
  <c r="L827" i="25"/>
  <c r="L939" i="25"/>
  <c r="L995" i="25"/>
  <c r="L99" i="25"/>
  <c r="L883" i="25"/>
  <c r="AI27" i="195"/>
  <c r="AM22" i="195"/>
  <c r="O131" i="197"/>
  <c r="AL21" i="195"/>
  <c r="N130" i="197"/>
  <c r="AM20" i="195"/>
  <c r="O129" i="197"/>
  <c r="AM18" i="195"/>
  <c r="O127" i="197"/>
  <c r="L603" i="25"/>
  <c r="L491" i="25"/>
  <c r="L379" i="25"/>
  <c r="AL19" i="195"/>
  <c r="O128" i="197" s="1"/>
  <c r="AK23" i="195"/>
  <c r="N132" i="197" s="1"/>
  <c r="AJ25" i="195"/>
  <c r="M134" i="197" s="1"/>
  <c r="AJ24" i="195"/>
  <c r="M133" i="197" s="1"/>
  <c r="AJ66" i="195"/>
  <c r="N135" i="197"/>
  <c r="AL26" i="195"/>
  <c r="T99" i="197"/>
  <c r="AG69" i="195"/>
  <c r="AG65" i="195"/>
  <c r="O152" i="197"/>
  <c r="AM44" i="195"/>
  <c r="M154" i="197"/>
  <c r="AK46" i="195"/>
  <c r="N144" i="197"/>
  <c r="AL36" i="195"/>
  <c r="AH50" i="195"/>
  <c r="AN92" i="195"/>
  <c r="AO91" i="195"/>
  <c r="O143" i="197"/>
  <c r="AM35" i="195"/>
  <c r="N150" i="197"/>
  <c r="AL42" i="195"/>
  <c r="N147" i="197"/>
  <c r="AL39" i="195"/>
  <c r="N146" i="197"/>
  <c r="AL38" i="195"/>
  <c r="O148" i="197"/>
  <c r="AM40" i="195"/>
  <c r="O149" i="197"/>
  <c r="AM41" i="195"/>
  <c r="M139" i="197"/>
  <c r="AK31" i="195"/>
  <c r="M153" i="197"/>
  <c r="AK45" i="195"/>
  <c r="N151" i="197"/>
  <c r="AL43" i="195"/>
  <c r="L136" i="197"/>
  <c r="AI75" i="195"/>
  <c r="L172" i="197" s="1"/>
  <c r="AI48" i="195"/>
  <c r="L156" i="197" s="1"/>
  <c r="O166" i="197"/>
  <c r="AL95" i="195"/>
  <c r="AM63" i="195"/>
  <c r="AL77" i="195"/>
  <c r="O174" i="197" s="1"/>
  <c r="AK96" i="195"/>
  <c r="O145" i="197"/>
  <c r="AM37" i="195"/>
  <c r="N142" i="197"/>
  <c r="AL34" i="195"/>
  <c r="N140" i="197"/>
  <c r="AL32" i="195"/>
  <c r="AK66" i="195"/>
  <c r="M155" i="197"/>
  <c r="AK47" i="195"/>
  <c r="N141" i="197"/>
  <c r="AL33" i="195"/>
  <c r="L547" i="25"/>
  <c r="L1051" i="25"/>
  <c r="L1107" i="25"/>
  <c r="L1163" i="25"/>
  <c r="L1219" i="25"/>
  <c r="L1275" i="25"/>
  <c r="L1331" i="25"/>
  <c r="D1371" i="25"/>
  <c r="D1370" i="25"/>
  <c r="D1369" i="25"/>
  <c r="D1368" i="25"/>
  <c r="D1367" i="25"/>
  <c r="D1366" i="25"/>
  <c r="D1365" i="25"/>
  <c r="D1364" i="25"/>
  <c r="D1363" i="25"/>
  <c r="D1362" i="25"/>
  <c r="D1361" i="25"/>
  <c r="D1360" i="25"/>
  <c r="D1359" i="25"/>
  <c r="D1358" i="25"/>
  <c r="D1357" i="25"/>
  <c r="D1356" i="25"/>
  <c r="D1355" i="25"/>
  <c r="D1354" i="25"/>
  <c r="D1353" i="25"/>
  <c r="D1352" i="25"/>
  <c r="D1351" i="25"/>
  <c r="D1350" i="25"/>
  <c r="D1349" i="25"/>
  <c r="D1348" i="25"/>
  <c r="D1347" i="25"/>
  <c r="D1346" i="25"/>
  <c r="D1345" i="25"/>
  <c r="D1344" i="25"/>
  <c r="D1343" i="25"/>
  <c r="D1342" i="25"/>
  <c r="D1341" i="25"/>
  <c r="D1340" i="25"/>
  <c r="D1339" i="25"/>
  <c r="D1338" i="25"/>
  <c r="D1337" i="25"/>
  <c r="D1336" i="25"/>
  <c r="D1335" i="25"/>
  <c r="D1334" i="25"/>
  <c r="D1333" i="25"/>
  <c r="D1332" i="25"/>
  <c r="AN18" i="195" l="1"/>
  <c r="P127" i="197"/>
  <c r="AM21" i="195"/>
  <c r="O130" i="197"/>
  <c r="AN20" i="195"/>
  <c r="P129" i="197"/>
  <c r="AN22" i="195"/>
  <c r="P131" i="197"/>
  <c r="AK24" i="195"/>
  <c r="N133" i="197" s="1"/>
  <c r="AJ27" i="195"/>
  <c r="AK25" i="195"/>
  <c r="N134" i="197" s="1"/>
  <c r="AM19" i="195"/>
  <c r="P128" i="197" s="1"/>
  <c r="AL23" i="195"/>
  <c r="O132" i="197" s="1"/>
  <c r="O140" i="197"/>
  <c r="AM32" i="195"/>
  <c r="O142" i="197"/>
  <c r="AM34" i="195"/>
  <c r="N153" i="197"/>
  <c r="AL45" i="195"/>
  <c r="P149" i="197"/>
  <c r="AN41" i="195"/>
  <c r="O146" i="197"/>
  <c r="AM38" i="195"/>
  <c r="P152" i="197"/>
  <c r="AN44" i="195"/>
  <c r="O141" i="197"/>
  <c r="AM33" i="195"/>
  <c r="O150" i="197"/>
  <c r="AM42" i="195"/>
  <c r="M136" i="197"/>
  <c r="AJ48" i="195"/>
  <c r="M156" i="197" s="1"/>
  <c r="AJ75" i="195"/>
  <c r="M172" i="197" s="1"/>
  <c r="AL96" i="195"/>
  <c r="P145" i="197"/>
  <c r="AN37" i="195"/>
  <c r="P166" i="197"/>
  <c r="AM95" i="195"/>
  <c r="AM77" i="195"/>
  <c r="P174" i="197" s="1"/>
  <c r="AN63" i="195"/>
  <c r="AI50" i="195"/>
  <c r="O151" i="197"/>
  <c r="AM43" i="195"/>
  <c r="N139" i="197"/>
  <c r="AL31" i="195"/>
  <c r="P148" i="197"/>
  <c r="AN40" i="195"/>
  <c r="AK27" i="195"/>
  <c r="O147" i="197"/>
  <c r="AM39" i="195"/>
  <c r="U99" i="197"/>
  <c r="AH69" i="195"/>
  <c r="AH65" i="195"/>
  <c r="N154" i="197"/>
  <c r="AL46" i="195"/>
  <c r="N155" i="197"/>
  <c r="AL47" i="195"/>
  <c r="AL24" i="195"/>
  <c r="O133" i="197" s="1"/>
  <c r="AL66" i="195"/>
  <c r="P143" i="197"/>
  <c r="AN35" i="195"/>
  <c r="AP91" i="195"/>
  <c r="AO92" i="195"/>
  <c r="O144" i="197"/>
  <c r="AM36" i="195"/>
  <c r="O135" i="197"/>
  <c r="AM26" i="195"/>
  <c r="D1315" i="25"/>
  <c r="D1314" i="25"/>
  <c r="D1313" i="25"/>
  <c r="D1312" i="25"/>
  <c r="D1311" i="25"/>
  <c r="D1310" i="25"/>
  <c r="D1309" i="25"/>
  <c r="D1308" i="25"/>
  <c r="D1307" i="25"/>
  <c r="D1306" i="25"/>
  <c r="D1305" i="25"/>
  <c r="D1304" i="25"/>
  <c r="D1303" i="25"/>
  <c r="D1302" i="25"/>
  <c r="D1301" i="25"/>
  <c r="D1300" i="25"/>
  <c r="D1299" i="25"/>
  <c r="D1298" i="25"/>
  <c r="D1297" i="25"/>
  <c r="D1296" i="25"/>
  <c r="D1295" i="25"/>
  <c r="D1294" i="25"/>
  <c r="D1293" i="25"/>
  <c r="D1292" i="25"/>
  <c r="D1291" i="25"/>
  <c r="D1290" i="25"/>
  <c r="D1289" i="25"/>
  <c r="D1288" i="25"/>
  <c r="D1287" i="25"/>
  <c r="D1286" i="25"/>
  <c r="D1285" i="25"/>
  <c r="D1284" i="25"/>
  <c r="D1283" i="25"/>
  <c r="D1282" i="25"/>
  <c r="D1281" i="25"/>
  <c r="D1280" i="25"/>
  <c r="D1279" i="25"/>
  <c r="D1278" i="25"/>
  <c r="D1277" i="25"/>
  <c r="D1276" i="25"/>
  <c r="D1259" i="25"/>
  <c r="D1258" i="25"/>
  <c r="D1257" i="25"/>
  <c r="D1256" i="25"/>
  <c r="D1255" i="25"/>
  <c r="D1254" i="25"/>
  <c r="D1253" i="25"/>
  <c r="D1252" i="25"/>
  <c r="D1251" i="25"/>
  <c r="D1250" i="25"/>
  <c r="D1249" i="25"/>
  <c r="D1248" i="25"/>
  <c r="D1247" i="25"/>
  <c r="D1246" i="25"/>
  <c r="D1245" i="25"/>
  <c r="D1244" i="25"/>
  <c r="D1243" i="25"/>
  <c r="D1242" i="25"/>
  <c r="D1241" i="25"/>
  <c r="D1240" i="25"/>
  <c r="D1239" i="25"/>
  <c r="D1238" i="25"/>
  <c r="D1237" i="25"/>
  <c r="D1236" i="25"/>
  <c r="D1235" i="25"/>
  <c r="D1234" i="25"/>
  <c r="D1233" i="25"/>
  <c r="D1232" i="25"/>
  <c r="D1231" i="25"/>
  <c r="D1230" i="25"/>
  <c r="D1229" i="25"/>
  <c r="D1228" i="25"/>
  <c r="D1227" i="25"/>
  <c r="D1226" i="25"/>
  <c r="D1225" i="25"/>
  <c r="D1224" i="25"/>
  <c r="D1223" i="25"/>
  <c r="D1222" i="25"/>
  <c r="D1221" i="25"/>
  <c r="D1220" i="25"/>
  <c r="D1203" i="25"/>
  <c r="D1202" i="25"/>
  <c r="D1201" i="25"/>
  <c r="D1200" i="25"/>
  <c r="D1199" i="25"/>
  <c r="D1198" i="25"/>
  <c r="D1197" i="25"/>
  <c r="D1196" i="25"/>
  <c r="D1195" i="25"/>
  <c r="D1194" i="25"/>
  <c r="D1193" i="25"/>
  <c r="D1192" i="25"/>
  <c r="D1191" i="25"/>
  <c r="D1190" i="25"/>
  <c r="D1189" i="25"/>
  <c r="D1188" i="25"/>
  <c r="D1187" i="25"/>
  <c r="D1186" i="25"/>
  <c r="D1185" i="25"/>
  <c r="D1184" i="25"/>
  <c r="D1183" i="25"/>
  <c r="D1182" i="25"/>
  <c r="D1181" i="25"/>
  <c r="D1180" i="25"/>
  <c r="D1179" i="25"/>
  <c r="D1178" i="25"/>
  <c r="D1177" i="25"/>
  <c r="D1176" i="25"/>
  <c r="D1175" i="25"/>
  <c r="D1174" i="25"/>
  <c r="D1173" i="25"/>
  <c r="D1172" i="25"/>
  <c r="D1171" i="25"/>
  <c r="D1170" i="25"/>
  <c r="D1169" i="25"/>
  <c r="D1168" i="25"/>
  <c r="D1167" i="25"/>
  <c r="D1166" i="25"/>
  <c r="D1165" i="25"/>
  <c r="D1164" i="25"/>
  <c r="D1147" i="25"/>
  <c r="D1146" i="25"/>
  <c r="D1145" i="25"/>
  <c r="D1144" i="25"/>
  <c r="D1143" i="25"/>
  <c r="D1142" i="25"/>
  <c r="D1141" i="25"/>
  <c r="D1140" i="25"/>
  <c r="D1139" i="25"/>
  <c r="D1138" i="25"/>
  <c r="D1137" i="25"/>
  <c r="D1136" i="25"/>
  <c r="D1135" i="25"/>
  <c r="D1134" i="25"/>
  <c r="D1133" i="25"/>
  <c r="D1132" i="25"/>
  <c r="D1131" i="25"/>
  <c r="D1130" i="25"/>
  <c r="D1129" i="25"/>
  <c r="D1128" i="25"/>
  <c r="D1127" i="25"/>
  <c r="D1126" i="25"/>
  <c r="D1125" i="25"/>
  <c r="D1124" i="25"/>
  <c r="D1123" i="25"/>
  <c r="D1122" i="25"/>
  <c r="D1121" i="25"/>
  <c r="D1120" i="25"/>
  <c r="D1119" i="25"/>
  <c r="D1118" i="25"/>
  <c r="D1117" i="25"/>
  <c r="D1116" i="25"/>
  <c r="D1115" i="25"/>
  <c r="D1114" i="25"/>
  <c r="D1113" i="25"/>
  <c r="D1112" i="25"/>
  <c r="D1111" i="25"/>
  <c r="D1110" i="25"/>
  <c r="D1109" i="25"/>
  <c r="D1108" i="25"/>
  <c r="D1091" i="25"/>
  <c r="D1090" i="25"/>
  <c r="D1089" i="25"/>
  <c r="D1088" i="25"/>
  <c r="D1087" i="25"/>
  <c r="D1086" i="25"/>
  <c r="D1085" i="25"/>
  <c r="D1084" i="25"/>
  <c r="D1083" i="25"/>
  <c r="D1082" i="25"/>
  <c r="D1081" i="25"/>
  <c r="D1080" i="25"/>
  <c r="D1079" i="25"/>
  <c r="D1078" i="25"/>
  <c r="D1077" i="25"/>
  <c r="D1076" i="25"/>
  <c r="D1075" i="25"/>
  <c r="D1074" i="25"/>
  <c r="D1073" i="25"/>
  <c r="D1072" i="25"/>
  <c r="D1071" i="25"/>
  <c r="D1070" i="25"/>
  <c r="D1069" i="25"/>
  <c r="D1068" i="25"/>
  <c r="D1067" i="25"/>
  <c r="D1066" i="25"/>
  <c r="D1065" i="25"/>
  <c r="D1064" i="25"/>
  <c r="D1063" i="25"/>
  <c r="D1062" i="25"/>
  <c r="D1061" i="25"/>
  <c r="D1060" i="25"/>
  <c r="D1059" i="25"/>
  <c r="D1058" i="25"/>
  <c r="D1057" i="25"/>
  <c r="D1056" i="25"/>
  <c r="D1055" i="25"/>
  <c r="D1054" i="25"/>
  <c r="D1053" i="25"/>
  <c r="D1052" i="25"/>
  <c r="D1035" i="25"/>
  <c r="D1034" i="25"/>
  <c r="D1033" i="25"/>
  <c r="D1032" i="25"/>
  <c r="D1031" i="25"/>
  <c r="D1030" i="25"/>
  <c r="D1029" i="25"/>
  <c r="D1028" i="25"/>
  <c r="D1027" i="25"/>
  <c r="D1026" i="25"/>
  <c r="D1025" i="25"/>
  <c r="D1024" i="25"/>
  <c r="D1023" i="25"/>
  <c r="D1022" i="25"/>
  <c r="D1021" i="25"/>
  <c r="D1020" i="25"/>
  <c r="D1019" i="25"/>
  <c r="D1018" i="25"/>
  <c r="D1017" i="25"/>
  <c r="D1016" i="25"/>
  <c r="D1015" i="25"/>
  <c r="D1014" i="25"/>
  <c r="D1013" i="25"/>
  <c r="D1012" i="25"/>
  <c r="D1011" i="25"/>
  <c r="D1010" i="25"/>
  <c r="D1009" i="25"/>
  <c r="D1008" i="25"/>
  <c r="D1007" i="25"/>
  <c r="D1006" i="25"/>
  <c r="D1005" i="25"/>
  <c r="D1004" i="25"/>
  <c r="D1003" i="25"/>
  <c r="D1002" i="25"/>
  <c r="D1001" i="25"/>
  <c r="D1000" i="25"/>
  <c r="D999" i="25"/>
  <c r="D998" i="25"/>
  <c r="D997" i="25"/>
  <c r="D996" i="25"/>
  <c r="D979" i="25"/>
  <c r="D978" i="25"/>
  <c r="D977" i="25"/>
  <c r="D976" i="25"/>
  <c r="D975" i="25"/>
  <c r="D974" i="25"/>
  <c r="D973" i="25"/>
  <c r="D972" i="25"/>
  <c r="D971" i="25"/>
  <c r="D970" i="25"/>
  <c r="D969" i="25"/>
  <c r="D968" i="25"/>
  <c r="D967" i="25"/>
  <c r="D966" i="25"/>
  <c r="D965" i="25"/>
  <c r="D964" i="25"/>
  <c r="D963" i="25"/>
  <c r="D962" i="25"/>
  <c r="D961" i="25"/>
  <c r="D960" i="25"/>
  <c r="D959" i="25"/>
  <c r="D958" i="25"/>
  <c r="D957" i="25"/>
  <c r="D956" i="25"/>
  <c r="D955" i="25"/>
  <c r="D954" i="25"/>
  <c r="D953" i="25"/>
  <c r="D952" i="25"/>
  <c r="D951" i="25"/>
  <c r="D950" i="25"/>
  <c r="D949" i="25"/>
  <c r="D948" i="25"/>
  <c r="D947" i="25"/>
  <c r="D946" i="25"/>
  <c r="D945" i="25"/>
  <c r="D944" i="25"/>
  <c r="D943" i="25"/>
  <c r="D942" i="25"/>
  <c r="D941" i="25"/>
  <c r="D940" i="25"/>
  <c r="D923" i="25"/>
  <c r="D922" i="25"/>
  <c r="D921" i="25"/>
  <c r="D920" i="25"/>
  <c r="D919" i="25"/>
  <c r="D918" i="25"/>
  <c r="D917" i="25"/>
  <c r="D916" i="25"/>
  <c r="D915" i="25"/>
  <c r="D914" i="25"/>
  <c r="D913" i="25"/>
  <c r="D912" i="25"/>
  <c r="D911" i="25"/>
  <c r="D910" i="25"/>
  <c r="D909" i="25"/>
  <c r="D908" i="25"/>
  <c r="D907" i="25"/>
  <c r="D906" i="25"/>
  <c r="D905" i="25"/>
  <c r="D904" i="25"/>
  <c r="D903" i="25"/>
  <c r="D902" i="25"/>
  <c r="D901" i="25"/>
  <c r="D900" i="25"/>
  <c r="D899" i="25"/>
  <c r="D898" i="25"/>
  <c r="D897" i="25"/>
  <c r="D896" i="25"/>
  <c r="D895" i="25"/>
  <c r="D894" i="25"/>
  <c r="D893" i="25"/>
  <c r="D892" i="25"/>
  <c r="D891" i="25"/>
  <c r="D890" i="25"/>
  <c r="D889" i="25"/>
  <c r="D888" i="25"/>
  <c r="D887" i="25"/>
  <c r="D886" i="25"/>
  <c r="D885" i="25"/>
  <c r="D884" i="25"/>
  <c r="D867" i="25"/>
  <c r="D866" i="25"/>
  <c r="D865" i="25"/>
  <c r="D864" i="25"/>
  <c r="D863" i="25"/>
  <c r="D862" i="25"/>
  <c r="D861" i="25"/>
  <c r="D860" i="25"/>
  <c r="D859" i="25"/>
  <c r="D858" i="25"/>
  <c r="D857" i="25"/>
  <c r="D856" i="25"/>
  <c r="D855" i="25"/>
  <c r="D854" i="25"/>
  <c r="D853" i="25"/>
  <c r="D852" i="25"/>
  <c r="D851" i="25"/>
  <c r="D850" i="25"/>
  <c r="D849" i="25"/>
  <c r="D848" i="25"/>
  <c r="D847" i="25"/>
  <c r="D846" i="25"/>
  <c r="D845" i="25"/>
  <c r="D844" i="25"/>
  <c r="D843" i="25"/>
  <c r="D842" i="25"/>
  <c r="D841" i="25"/>
  <c r="D840" i="25"/>
  <c r="D839" i="25"/>
  <c r="D838" i="25"/>
  <c r="D837" i="25"/>
  <c r="D836" i="25"/>
  <c r="D835" i="25"/>
  <c r="D834" i="25"/>
  <c r="D833" i="25"/>
  <c r="D832" i="25"/>
  <c r="D831" i="25"/>
  <c r="D830" i="25"/>
  <c r="D829" i="25"/>
  <c r="D828" i="25"/>
  <c r="D811" i="25"/>
  <c r="D810" i="25"/>
  <c r="D809" i="25"/>
  <c r="D808" i="25"/>
  <c r="D807" i="25"/>
  <c r="D806" i="25"/>
  <c r="D805" i="25"/>
  <c r="D804" i="25"/>
  <c r="D803" i="25"/>
  <c r="D802" i="25"/>
  <c r="D801" i="25"/>
  <c r="D800" i="25"/>
  <c r="D799" i="25"/>
  <c r="D798" i="25"/>
  <c r="D797" i="25"/>
  <c r="D796" i="25"/>
  <c r="D795" i="25"/>
  <c r="D794" i="25"/>
  <c r="D793" i="25"/>
  <c r="D792" i="25"/>
  <c r="D791" i="25"/>
  <c r="D790" i="25"/>
  <c r="D789" i="25"/>
  <c r="D788" i="25"/>
  <c r="D787" i="25"/>
  <c r="D786" i="25"/>
  <c r="D785" i="25"/>
  <c r="D784" i="25"/>
  <c r="D783" i="25"/>
  <c r="D782" i="25"/>
  <c r="D781" i="25"/>
  <c r="D780" i="25"/>
  <c r="D779" i="25"/>
  <c r="D778" i="25"/>
  <c r="D777" i="25"/>
  <c r="D776" i="25"/>
  <c r="D775" i="25"/>
  <c r="D774" i="25"/>
  <c r="D773" i="25"/>
  <c r="D772" i="25"/>
  <c r="D755" i="25"/>
  <c r="D754" i="25"/>
  <c r="D753" i="25"/>
  <c r="D752" i="25"/>
  <c r="D751" i="25"/>
  <c r="D750" i="25"/>
  <c r="D749" i="25"/>
  <c r="D748" i="25"/>
  <c r="D747" i="25"/>
  <c r="D746" i="25"/>
  <c r="D745" i="25"/>
  <c r="D744" i="25"/>
  <c r="D743" i="25"/>
  <c r="D742" i="25"/>
  <c r="D741" i="25"/>
  <c r="D740" i="25"/>
  <c r="D739" i="25"/>
  <c r="D738" i="25"/>
  <c r="D737" i="25"/>
  <c r="D736" i="25"/>
  <c r="D735" i="25"/>
  <c r="D734" i="25"/>
  <c r="D733" i="25"/>
  <c r="D732" i="25"/>
  <c r="D731" i="25"/>
  <c r="D730" i="25"/>
  <c r="D729" i="25"/>
  <c r="D728" i="25"/>
  <c r="D727" i="25"/>
  <c r="D726" i="25"/>
  <c r="D725" i="25"/>
  <c r="D724" i="25"/>
  <c r="D723" i="25"/>
  <c r="D722" i="25"/>
  <c r="D721" i="25"/>
  <c r="D720" i="25"/>
  <c r="D719" i="25"/>
  <c r="D718" i="25"/>
  <c r="D717" i="25"/>
  <c r="D716" i="25"/>
  <c r="D699" i="25"/>
  <c r="D698" i="25"/>
  <c r="D697" i="25"/>
  <c r="D696" i="25"/>
  <c r="D695" i="25"/>
  <c r="D694" i="25"/>
  <c r="D693" i="25"/>
  <c r="D692" i="25"/>
  <c r="D691" i="25"/>
  <c r="D690" i="25"/>
  <c r="D689" i="25"/>
  <c r="D688" i="25"/>
  <c r="D687" i="25"/>
  <c r="D686" i="25"/>
  <c r="D685" i="25"/>
  <c r="D684" i="25"/>
  <c r="D683" i="25"/>
  <c r="D682" i="25"/>
  <c r="D681" i="25"/>
  <c r="D680" i="25"/>
  <c r="D679" i="25"/>
  <c r="D678" i="25"/>
  <c r="D677" i="25"/>
  <c r="D676" i="25"/>
  <c r="D675" i="25"/>
  <c r="D674" i="25"/>
  <c r="D673" i="25"/>
  <c r="D672" i="25"/>
  <c r="D671" i="25"/>
  <c r="D670" i="25"/>
  <c r="D669" i="25"/>
  <c r="D668" i="25"/>
  <c r="D667" i="25"/>
  <c r="D666" i="25"/>
  <c r="D665" i="25"/>
  <c r="D664" i="25"/>
  <c r="D663" i="25"/>
  <c r="D662" i="25"/>
  <c r="D661" i="25"/>
  <c r="D660" i="25"/>
  <c r="D643" i="25"/>
  <c r="D642" i="25"/>
  <c r="D641" i="25"/>
  <c r="D640" i="25"/>
  <c r="D639" i="25"/>
  <c r="D638" i="25"/>
  <c r="D637" i="25"/>
  <c r="D636" i="25"/>
  <c r="D635" i="25"/>
  <c r="D634" i="25"/>
  <c r="D633" i="25"/>
  <c r="D632" i="25"/>
  <c r="D631" i="25"/>
  <c r="D630" i="25"/>
  <c r="D629" i="25"/>
  <c r="D628" i="25"/>
  <c r="D627" i="25"/>
  <c r="D626" i="25"/>
  <c r="D625" i="25"/>
  <c r="D624" i="25"/>
  <c r="D623" i="25"/>
  <c r="D622" i="25"/>
  <c r="D621" i="25"/>
  <c r="D620" i="25"/>
  <c r="D619" i="25"/>
  <c r="D618" i="25"/>
  <c r="D617" i="25"/>
  <c r="D616" i="25"/>
  <c r="D615" i="25"/>
  <c r="D614" i="25"/>
  <c r="D613" i="25"/>
  <c r="D612" i="25"/>
  <c r="D611" i="25"/>
  <c r="D610" i="25"/>
  <c r="D609" i="25"/>
  <c r="D608" i="25"/>
  <c r="D607" i="25"/>
  <c r="D606" i="25"/>
  <c r="D605" i="25"/>
  <c r="D604" i="25"/>
  <c r="D531" i="25"/>
  <c r="D530" i="25"/>
  <c r="D529" i="25"/>
  <c r="D528" i="25"/>
  <c r="D527" i="25"/>
  <c r="D526" i="25"/>
  <c r="D525" i="25"/>
  <c r="D524" i="25"/>
  <c r="D523" i="25"/>
  <c r="D522" i="25"/>
  <c r="D521" i="25"/>
  <c r="D520" i="25"/>
  <c r="D519" i="25"/>
  <c r="D518" i="25"/>
  <c r="D517" i="25"/>
  <c r="D516" i="25"/>
  <c r="D515" i="25"/>
  <c r="D514" i="25"/>
  <c r="D513" i="25"/>
  <c r="D512" i="25"/>
  <c r="D511" i="25"/>
  <c r="D510" i="25"/>
  <c r="D509" i="25"/>
  <c r="D508" i="25"/>
  <c r="D507" i="25"/>
  <c r="D506" i="25"/>
  <c r="D505" i="25"/>
  <c r="D504" i="25"/>
  <c r="D503" i="25"/>
  <c r="D502" i="25"/>
  <c r="D501" i="25"/>
  <c r="D500" i="25"/>
  <c r="D499" i="25"/>
  <c r="D498" i="25"/>
  <c r="D497" i="25"/>
  <c r="D496" i="25"/>
  <c r="D495" i="25"/>
  <c r="D494" i="25"/>
  <c r="D493" i="25"/>
  <c r="D492" i="25"/>
  <c r="D475" i="25"/>
  <c r="D474" i="25"/>
  <c r="D473" i="25"/>
  <c r="D472" i="25"/>
  <c r="D471" i="25"/>
  <c r="D470" i="25"/>
  <c r="D469" i="25"/>
  <c r="D468" i="25"/>
  <c r="D467" i="25"/>
  <c r="D466" i="25"/>
  <c r="D465" i="25"/>
  <c r="D464" i="25"/>
  <c r="D463" i="25"/>
  <c r="D462" i="25"/>
  <c r="D461" i="25"/>
  <c r="D460" i="25"/>
  <c r="D459" i="25"/>
  <c r="D458" i="25"/>
  <c r="D457" i="25"/>
  <c r="D456" i="25"/>
  <c r="D455" i="25"/>
  <c r="D454" i="25"/>
  <c r="D453" i="25"/>
  <c r="D452" i="25"/>
  <c r="D451" i="25"/>
  <c r="D450" i="25"/>
  <c r="D449" i="25"/>
  <c r="D448" i="25"/>
  <c r="D447" i="25"/>
  <c r="D446" i="25"/>
  <c r="D445" i="25"/>
  <c r="D444" i="25"/>
  <c r="D443" i="25"/>
  <c r="D442" i="25"/>
  <c r="D441" i="25"/>
  <c r="D440" i="25"/>
  <c r="D439" i="25"/>
  <c r="D438" i="25"/>
  <c r="D437" i="25"/>
  <c r="D436" i="25"/>
  <c r="D419" i="25"/>
  <c r="D418" i="25"/>
  <c r="D417" i="25"/>
  <c r="D416" i="25"/>
  <c r="D415" i="25"/>
  <c r="D414" i="25"/>
  <c r="D413" i="25"/>
  <c r="D412" i="25"/>
  <c r="D411" i="25"/>
  <c r="D410" i="25"/>
  <c r="D409" i="25"/>
  <c r="D408" i="25"/>
  <c r="D407" i="25"/>
  <c r="D406" i="25"/>
  <c r="D405" i="25"/>
  <c r="D404" i="25"/>
  <c r="D403" i="25"/>
  <c r="D402" i="25"/>
  <c r="D401" i="25"/>
  <c r="D400" i="25"/>
  <c r="D399" i="25"/>
  <c r="D398" i="25"/>
  <c r="D397" i="25"/>
  <c r="D396" i="25"/>
  <c r="D395" i="25"/>
  <c r="D394" i="25"/>
  <c r="D393" i="25"/>
  <c r="D392" i="25"/>
  <c r="D391" i="25"/>
  <c r="D390" i="25"/>
  <c r="D389" i="25"/>
  <c r="D388" i="25"/>
  <c r="D387" i="25"/>
  <c r="D386" i="25"/>
  <c r="D385" i="25"/>
  <c r="D384" i="25"/>
  <c r="D383" i="25"/>
  <c r="D382" i="25"/>
  <c r="D381" i="25"/>
  <c r="D380" i="25"/>
  <c r="D363" i="25"/>
  <c r="D362" i="25"/>
  <c r="D361" i="25"/>
  <c r="D360" i="25"/>
  <c r="D359" i="25"/>
  <c r="D358" i="25"/>
  <c r="D357" i="25"/>
  <c r="D356" i="25"/>
  <c r="D355" i="25"/>
  <c r="D354" i="25"/>
  <c r="D353" i="25"/>
  <c r="D352" i="25"/>
  <c r="D351" i="25"/>
  <c r="D350" i="25"/>
  <c r="D349" i="25"/>
  <c r="D348" i="25"/>
  <c r="D347" i="25"/>
  <c r="D346" i="25"/>
  <c r="D345" i="25"/>
  <c r="D344" i="25"/>
  <c r="D343" i="25"/>
  <c r="D342" i="25"/>
  <c r="D341" i="25"/>
  <c r="D340" i="25"/>
  <c r="D339" i="25"/>
  <c r="D338" i="25"/>
  <c r="D337" i="25"/>
  <c r="D336" i="25"/>
  <c r="D335" i="25"/>
  <c r="D334" i="25"/>
  <c r="D333" i="25"/>
  <c r="D332" i="25"/>
  <c r="D331" i="25"/>
  <c r="D330" i="25"/>
  <c r="D329" i="25"/>
  <c r="D328" i="25"/>
  <c r="D327" i="25"/>
  <c r="D326" i="25"/>
  <c r="D325" i="25"/>
  <c r="D324" i="25"/>
  <c r="D307" i="25"/>
  <c r="D306" i="25"/>
  <c r="D305" i="25"/>
  <c r="D304" i="25"/>
  <c r="D303" i="25"/>
  <c r="D302" i="25"/>
  <c r="D301" i="25"/>
  <c r="D300" i="25"/>
  <c r="D299" i="25"/>
  <c r="D298" i="25"/>
  <c r="D297" i="25"/>
  <c r="D296" i="25"/>
  <c r="D295" i="25"/>
  <c r="D294" i="25"/>
  <c r="D293" i="25"/>
  <c r="D292" i="25"/>
  <c r="D291" i="25"/>
  <c r="D290" i="25"/>
  <c r="D289" i="25"/>
  <c r="D288" i="25"/>
  <c r="D287" i="25"/>
  <c r="D286" i="25"/>
  <c r="D285" i="25"/>
  <c r="D284" i="25"/>
  <c r="D283" i="25"/>
  <c r="D282" i="25"/>
  <c r="D281" i="25"/>
  <c r="D280" i="25"/>
  <c r="D279" i="25"/>
  <c r="D278" i="25"/>
  <c r="D277" i="25"/>
  <c r="D276" i="25"/>
  <c r="D275" i="25"/>
  <c r="D274" i="25"/>
  <c r="D273" i="25"/>
  <c r="D272" i="25"/>
  <c r="D271" i="25"/>
  <c r="D270" i="25"/>
  <c r="D269" i="25"/>
  <c r="D268" i="25"/>
  <c r="D251" i="25"/>
  <c r="D250" i="25"/>
  <c r="D249" i="25"/>
  <c r="D248" i="25"/>
  <c r="D247" i="25"/>
  <c r="D246" i="25"/>
  <c r="D245" i="25"/>
  <c r="D244" i="25"/>
  <c r="D243" i="25"/>
  <c r="D242" i="25"/>
  <c r="D241" i="25"/>
  <c r="D240" i="25"/>
  <c r="D239" i="25"/>
  <c r="D238" i="25"/>
  <c r="D237" i="25"/>
  <c r="D236" i="25"/>
  <c r="D235" i="25"/>
  <c r="D234" i="25"/>
  <c r="D233" i="25"/>
  <c r="D232" i="25"/>
  <c r="D231" i="25"/>
  <c r="D230" i="25"/>
  <c r="D229" i="25"/>
  <c r="D228" i="25"/>
  <c r="D227" i="25"/>
  <c r="D226" i="25"/>
  <c r="D225" i="25"/>
  <c r="D224" i="25"/>
  <c r="D223" i="25"/>
  <c r="D222" i="25"/>
  <c r="D221" i="25"/>
  <c r="D220" i="25"/>
  <c r="D219" i="25"/>
  <c r="D218" i="25"/>
  <c r="D217" i="25"/>
  <c r="D216" i="25"/>
  <c r="D215" i="25"/>
  <c r="D214" i="25"/>
  <c r="D213" i="25"/>
  <c r="D212" i="25"/>
  <c r="D195" i="25"/>
  <c r="D194" i="25"/>
  <c r="D193" i="25"/>
  <c r="D192" i="25"/>
  <c r="D191" i="25"/>
  <c r="D190" i="25"/>
  <c r="D189" i="25"/>
  <c r="D188" i="25"/>
  <c r="D187" i="25"/>
  <c r="D186" i="25"/>
  <c r="D185" i="25"/>
  <c r="D184" i="25"/>
  <c r="D183" i="25"/>
  <c r="D182" i="25"/>
  <c r="D181" i="25"/>
  <c r="D180" i="25"/>
  <c r="D179" i="25"/>
  <c r="D178" i="25"/>
  <c r="D177" i="25"/>
  <c r="D176" i="25"/>
  <c r="D175" i="25"/>
  <c r="D174" i="25"/>
  <c r="D173" i="25"/>
  <c r="D172" i="25"/>
  <c r="D171" i="25"/>
  <c r="D170" i="25"/>
  <c r="D169" i="25"/>
  <c r="D168" i="25"/>
  <c r="D167" i="25"/>
  <c r="D166" i="25"/>
  <c r="D165" i="25"/>
  <c r="D164" i="25"/>
  <c r="D163" i="25"/>
  <c r="D162" i="25"/>
  <c r="D161" i="25"/>
  <c r="D160" i="25"/>
  <c r="D159" i="25"/>
  <c r="D158" i="25"/>
  <c r="D157" i="25"/>
  <c r="D156" i="25"/>
  <c r="D139" i="25"/>
  <c r="D138" i="25"/>
  <c r="D137" i="25"/>
  <c r="D136" i="25"/>
  <c r="D135" i="25"/>
  <c r="D134" i="25"/>
  <c r="D133" i="25"/>
  <c r="D132" i="25"/>
  <c r="D131" i="25"/>
  <c r="D130" i="25"/>
  <c r="D129" i="25"/>
  <c r="D128" i="25"/>
  <c r="D127" i="25"/>
  <c r="D126" i="25"/>
  <c r="D125" i="25"/>
  <c r="D124" i="25"/>
  <c r="D123" i="25"/>
  <c r="D122" i="25"/>
  <c r="D121" i="25"/>
  <c r="D120" i="25"/>
  <c r="D119" i="25"/>
  <c r="D118" i="25"/>
  <c r="D117" i="25"/>
  <c r="D116" i="25"/>
  <c r="D115" i="25"/>
  <c r="D114" i="25"/>
  <c r="D113" i="25"/>
  <c r="D112" i="25"/>
  <c r="D111" i="25"/>
  <c r="D110" i="25"/>
  <c r="D109" i="25"/>
  <c r="D108" i="25"/>
  <c r="D107" i="25"/>
  <c r="D106" i="25"/>
  <c r="D105" i="25"/>
  <c r="D104" i="25"/>
  <c r="D103" i="25"/>
  <c r="D102" i="25"/>
  <c r="D101" i="25"/>
  <c r="D100" i="25"/>
  <c r="D83" i="25"/>
  <c r="D82" i="25"/>
  <c r="D81" i="25"/>
  <c r="D80" i="25"/>
  <c r="D79" i="25"/>
  <c r="D78" i="25"/>
  <c r="D77" i="25"/>
  <c r="D76" i="25"/>
  <c r="D75" i="25"/>
  <c r="D74" i="25"/>
  <c r="D73" i="25"/>
  <c r="D72" i="25"/>
  <c r="D71" i="25"/>
  <c r="D70" i="25"/>
  <c r="D69" i="25"/>
  <c r="D68" i="25"/>
  <c r="D67" i="25"/>
  <c r="D66" i="25"/>
  <c r="D65" i="25"/>
  <c r="D64" i="25"/>
  <c r="D63" i="25"/>
  <c r="D62" i="25"/>
  <c r="D61" i="25"/>
  <c r="D60" i="25"/>
  <c r="D59" i="25"/>
  <c r="D58" i="25"/>
  <c r="D57" i="25"/>
  <c r="D56" i="25"/>
  <c r="D55" i="25"/>
  <c r="D54" i="25"/>
  <c r="D53" i="25"/>
  <c r="D52" i="25"/>
  <c r="D51" i="25"/>
  <c r="D50" i="25"/>
  <c r="D49" i="25"/>
  <c r="D48" i="25"/>
  <c r="D47" i="25"/>
  <c r="D46" i="25"/>
  <c r="D45" i="25"/>
  <c r="D44" i="25"/>
  <c r="AN21" i="195" l="1"/>
  <c r="P130" i="197"/>
  <c r="AO22" i="195"/>
  <c r="Q131" i="197"/>
  <c r="AL25" i="195"/>
  <c r="O134" i="197" s="1"/>
  <c r="AO20" i="195"/>
  <c r="Q129" i="197"/>
  <c r="AO18" i="195"/>
  <c r="Q127" i="197"/>
  <c r="AN19" i="195"/>
  <c r="Q128" i="197" s="1"/>
  <c r="AM23" i="195"/>
  <c r="AP92" i="195"/>
  <c r="AQ91" i="195"/>
  <c r="N136" i="197"/>
  <c r="AK75" i="195"/>
  <c r="N172" i="197" s="1"/>
  <c r="AK48" i="195"/>
  <c r="N156" i="197" s="1"/>
  <c r="AJ50" i="195"/>
  <c r="P146" i="197"/>
  <c r="AN38" i="195"/>
  <c r="O153" i="197"/>
  <c r="AM45" i="195"/>
  <c r="AN36" i="195"/>
  <c r="P144" i="197"/>
  <c r="O155" i="197"/>
  <c r="AM47" i="195"/>
  <c r="O139" i="197"/>
  <c r="AM31" i="195"/>
  <c r="P150" i="197"/>
  <c r="AN42" i="195"/>
  <c r="P140" i="197"/>
  <c r="AN32" i="195"/>
  <c r="P135" i="197"/>
  <c r="AN26" i="195"/>
  <c r="Q143" i="197"/>
  <c r="AO35" i="195"/>
  <c r="Q148" i="197"/>
  <c r="AO40" i="195"/>
  <c r="P151" i="197"/>
  <c r="AN43" i="195"/>
  <c r="Q166" i="197"/>
  <c r="AN95" i="195"/>
  <c r="AN77" i="195"/>
  <c r="Q174" i="197" s="1"/>
  <c r="AO63" i="195"/>
  <c r="Q145" i="197"/>
  <c r="AO37" i="195"/>
  <c r="P141" i="197"/>
  <c r="AN33" i="195"/>
  <c r="Q152" i="197"/>
  <c r="AO44" i="195"/>
  <c r="P142" i="197"/>
  <c r="AN34" i="195"/>
  <c r="L158" i="197"/>
  <c r="AI65" i="195"/>
  <c r="AI69" i="195"/>
  <c r="AM96" i="195"/>
  <c r="O154" i="197"/>
  <c r="AM46" i="195"/>
  <c r="P147" i="197"/>
  <c r="AN39" i="195"/>
  <c r="Q149" i="197"/>
  <c r="AO41" i="195"/>
  <c r="AL27" i="195" l="1"/>
  <c r="AL75" i="195" s="1"/>
  <c r="O172" i="197" s="1"/>
  <c r="AP18" i="195"/>
  <c r="R127" i="197"/>
  <c r="AM66" i="195"/>
  <c r="P132" i="197"/>
  <c r="AP22" i="195"/>
  <c r="R131" i="197"/>
  <c r="AP20" i="195"/>
  <c r="R129" i="197"/>
  <c r="O136" i="197"/>
  <c r="AO21" i="195"/>
  <c r="Q130" i="197"/>
  <c r="AM24" i="195"/>
  <c r="P133" i="197" s="1"/>
  <c r="AM25" i="195"/>
  <c r="P134" i="197" s="1"/>
  <c r="AO19" i="195"/>
  <c r="R128" i="197" s="1"/>
  <c r="AN23" i="195"/>
  <c r="AL48" i="195"/>
  <c r="O156" i="197" s="1"/>
  <c r="R145" i="197"/>
  <c r="AP37" i="195"/>
  <c r="Q140" i="197"/>
  <c r="AO32" i="195"/>
  <c r="Q144" i="197"/>
  <c r="AO36" i="195"/>
  <c r="AK50" i="195"/>
  <c r="Q147" i="197"/>
  <c r="AO39" i="195"/>
  <c r="Q142" i="197"/>
  <c r="AO34" i="195"/>
  <c r="AN96" i="195"/>
  <c r="R148" i="197"/>
  <c r="AP40" i="195"/>
  <c r="Q150" i="197"/>
  <c r="AO42" i="195"/>
  <c r="P153" i="197"/>
  <c r="AN45" i="195"/>
  <c r="M158" i="197"/>
  <c r="AJ65" i="195"/>
  <c r="AJ69" i="195"/>
  <c r="R149" i="197"/>
  <c r="AP41" i="195"/>
  <c r="Q141" i="197"/>
  <c r="AO33" i="195"/>
  <c r="R166" i="197"/>
  <c r="AO95" i="195"/>
  <c r="AO77" i="195"/>
  <c r="R174" i="197" s="1"/>
  <c r="AP63" i="195"/>
  <c r="Q135" i="197"/>
  <c r="AO26" i="195"/>
  <c r="AQ92" i="195"/>
  <c r="AR91" i="195"/>
  <c r="P154" i="197"/>
  <c r="AN46" i="195"/>
  <c r="R152" i="197"/>
  <c r="AP44" i="195"/>
  <c r="Q151" i="197"/>
  <c r="AO43" i="195"/>
  <c r="R143" i="197"/>
  <c r="AP35" i="195"/>
  <c r="P139" i="197"/>
  <c r="AN31" i="195"/>
  <c r="P155" i="197"/>
  <c r="AN47" i="195"/>
  <c r="Q146" i="197"/>
  <c r="AO38" i="195"/>
  <c r="AP21" i="195" l="1"/>
  <c r="R130" i="197"/>
  <c r="AN66" i="195"/>
  <c r="Q132" i="197"/>
  <c r="AQ20" i="195"/>
  <c r="S129" i="197"/>
  <c r="AQ22" i="195"/>
  <c r="S131" i="197"/>
  <c r="AQ18" i="195"/>
  <c r="S127" i="197"/>
  <c r="AM27" i="195"/>
  <c r="P136" i="197" s="1"/>
  <c r="AN25" i="195"/>
  <c r="Q134" i="197" s="1"/>
  <c r="AP19" i="195"/>
  <c r="S128" i="197" s="1"/>
  <c r="AO23" i="195"/>
  <c r="AN24" i="195"/>
  <c r="Q133" i="197" s="1"/>
  <c r="AL50" i="195"/>
  <c r="O158" i="197" s="1"/>
  <c r="S143" i="197"/>
  <c r="AQ35" i="195"/>
  <c r="Q153" i="197"/>
  <c r="AO45" i="195"/>
  <c r="R144" i="197"/>
  <c r="AP36" i="195"/>
  <c r="R135" i="197"/>
  <c r="AP26" i="195"/>
  <c r="S148" i="197"/>
  <c r="AQ40" i="195"/>
  <c r="R142" i="197"/>
  <c r="AP34" i="195"/>
  <c r="R146" i="197"/>
  <c r="AP38" i="195"/>
  <c r="Q139" i="197"/>
  <c r="AO31" i="195"/>
  <c r="R151" i="197"/>
  <c r="AP43" i="195"/>
  <c r="AR92" i="195"/>
  <c r="AS91" i="195"/>
  <c r="S152" i="197"/>
  <c r="AQ44" i="195"/>
  <c r="Q154" i="197"/>
  <c r="AO46" i="195"/>
  <c r="AO96" i="195"/>
  <c r="S149" i="197"/>
  <c r="AQ41" i="195"/>
  <c r="R147" i="197"/>
  <c r="AP39" i="195"/>
  <c r="R140" i="197"/>
  <c r="AP32" i="195"/>
  <c r="S166" i="197"/>
  <c r="AP95" i="195"/>
  <c r="AP77" i="195"/>
  <c r="S174" i="197" s="1"/>
  <c r="AQ63" i="195"/>
  <c r="R150" i="197"/>
  <c r="AP42" i="195"/>
  <c r="N158" i="197"/>
  <c r="AK69" i="195"/>
  <c r="AK65" i="195"/>
  <c r="Q155" i="197"/>
  <c r="AO47" i="195"/>
  <c r="S145" i="197"/>
  <c r="AQ37" i="195"/>
  <c r="R141" i="197"/>
  <c r="AP33" i="195"/>
  <c r="B98" i="159"/>
  <c r="B97" i="159"/>
  <c r="B96" i="159"/>
  <c r="B95" i="159"/>
  <c r="B94" i="159"/>
  <c r="B93" i="159"/>
  <c r="B92" i="159"/>
  <c r="B91" i="159"/>
  <c r="B90" i="159"/>
  <c r="B89" i="159"/>
  <c r="B88" i="159"/>
  <c r="B87" i="159"/>
  <c r="B86" i="159"/>
  <c r="B85" i="159"/>
  <c r="B84" i="159"/>
  <c r="B83" i="159"/>
  <c r="B82" i="159"/>
  <c r="B81" i="159"/>
  <c r="B80" i="159"/>
  <c r="B79" i="159"/>
  <c r="B78" i="159"/>
  <c r="B77" i="159"/>
  <c r="B76" i="159"/>
  <c r="B75" i="159"/>
  <c r="AJ82" i="16"/>
  <c r="I56" i="63" s="1"/>
  <c r="AJ81" i="16"/>
  <c r="I55" i="63" s="1"/>
  <c r="AJ80" i="16"/>
  <c r="I54" i="63" s="1"/>
  <c r="AJ79" i="16"/>
  <c r="I53" i="63" s="1"/>
  <c r="AJ78" i="16"/>
  <c r="I52" i="63" s="1"/>
  <c r="AJ77" i="16"/>
  <c r="I51" i="63" s="1"/>
  <c r="AJ76" i="16"/>
  <c r="I50" i="63" s="1"/>
  <c r="AJ75" i="16"/>
  <c r="I49" i="63" s="1"/>
  <c r="Y82" i="16"/>
  <c r="I48" i="63" s="1"/>
  <c r="Y81" i="16"/>
  <c r="I47" i="63" s="1"/>
  <c r="Y80" i="16"/>
  <c r="I46" i="63" s="1"/>
  <c r="Y79" i="16"/>
  <c r="I45" i="63" s="1"/>
  <c r="Y78" i="16"/>
  <c r="I44" i="63" s="1"/>
  <c r="Y77" i="16"/>
  <c r="I43" i="63" s="1"/>
  <c r="Y76" i="16"/>
  <c r="I42" i="63" s="1"/>
  <c r="Y75" i="16"/>
  <c r="I41" i="63" s="1"/>
  <c r="N82" i="16"/>
  <c r="I40" i="63" s="1"/>
  <c r="N81" i="16"/>
  <c r="I39" i="63" s="1"/>
  <c r="N80" i="16"/>
  <c r="I38" i="63" s="1"/>
  <c r="N79" i="16"/>
  <c r="I37" i="63" s="1"/>
  <c r="N78" i="16"/>
  <c r="N77" i="16"/>
  <c r="I35" i="63" s="1"/>
  <c r="N76" i="16"/>
  <c r="I34" i="63" s="1"/>
  <c r="N75" i="16"/>
  <c r="I33" i="63" s="1"/>
  <c r="I36" i="63" l="1"/>
  <c r="AJ15" i="36"/>
  <c r="AO24" i="195"/>
  <c r="R133" i="197" s="1"/>
  <c r="AL65" i="195"/>
  <c r="AN27" i="195"/>
  <c r="AN48" i="195" s="1"/>
  <c r="Q156" i="197" s="1"/>
  <c r="AL69" i="195"/>
  <c r="AO66" i="195"/>
  <c r="R132" i="197"/>
  <c r="AR22" i="195"/>
  <c r="T131" i="197"/>
  <c r="AM75" i="195"/>
  <c r="P172" i="197" s="1"/>
  <c r="AR18" i="195"/>
  <c r="T127" i="197"/>
  <c r="AR20" i="195"/>
  <c r="T129" i="197"/>
  <c r="AQ21" i="195"/>
  <c r="S130" i="197"/>
  <c r="H234" i="190"/>
  <c r="H154" i="198"/>
  <c r="H238" i="190"/>
  <c r="H158" i="198"/>
  <c r="H242" i="190"/>
  <c r="H162" i="198"/>
  <c r="H246" i="190"/>
  <c r="H166" i="198"/>
  <c r="H250" i="190"/>
  <c r="H170" i="198"/>
  <c r="H254" i="190"/>
  <c r="H174" i="198"/>
  <c r="H231" i="190"/>
  <c r="H151" i="198"/>
  <c r="H235" i="190"/>
  <c r="H155" i="198"/>
  <c r="H239" i="190"/>
  <c r="H159" i="198"/>
  <c r="H243" i="190"/>
  <c r="H163" i="198"/>
  <c r="H247" i="190"/>
  <c r="H167" i="198"/>
  <c r="H251" i="190"/>
  <c r="H171" i="198"/>
  <c r="AM48" i="195"/>
  <c r="P156" i="197" s="1"/>
  <c r="H232" i="190"/>
  <c r="H152" i="198"/>
  <c r="H236" i="190"/>
  <c r="H156" i="198"/>
  <c r="H240" i="190"/>
  <c r="H160" i="198"/>
  <c r="H244" i="190"/>
  <c r="H164" i="198"/>
  <c r="H248" i="190"/>
  <c r="H168" i="198"/>
  <c r="H252" i="190"/>
  <c r="H172" i="198"/>
  <c r="H233" i="190"/>
  <c r="H153" i="198"/>
  <c r="H237" i="190"/>
  <c r="H157" i="198"/>
  <c r="H241" i="190"/>
  <c r="H161" i="198"/>
  <c r="H245" i="190"/>
  <c r="H165" i="198"/>
  <c r="H249" i="190"/>
  <c r="H169" i="198"/>
  <c r="H253" i="190"/>
  <c r="H173" i="198"/>
  <c r="AQ19" i="195"/>
  <c r="T128" i="197" s="1"/>
  <c r="AP23" i="195"/>
  <c r="AO25" i="195"/>
  <c r="R134" i="197" s="1"/>
  <c r="AP96" i="195"/>
  <c r="S140" i="197"/>
  <c r="AQ32" i="195"/>
  <c r="S151" i="197"/>
  <c r="AQ43" i="195"/>
  <c r="S146" i="197"/>
  <c r="AQ38" i="195"/>
  <c r="S141" i="197"/>
  <c r="AQ33" i="195"/>
  <c r="Q136" i="197"/>
  <c r="AN75" i="195"/>
  <c r="Q172" i="197" s="1"/>
  <c r="T166" i="197"/>
  <c r="AQ95" i="195"/>
  <c r="AQ77" i="195"/>
  <c r="T174" i="197" s="1"/>
  <c r="AR63" i="195"/>
  <c r="T152" i="197"/>
  <c r="AR44" i="195"/>
  <c r="AT91" i="195"/>
  <c r="AS92" i="195"/>
  <c r="T148" i="197"/>
  <c r="AR40" i="195"/>
  <c r="R139" i="197"/>
  <c r="AP31" i="195"/>
  <c r="S135" i="197"/>
  <c r="AQ26" i="195"/>
  <c r="S144" i="197"/>
  <c r="AQ36" i="195"/>
  <c r="R153" i="197"/>
  <c r="AP45" i="195"/>
  <c r="T143" i="197"/>
  <c r="AR35" i="195"/>
  <c r="S147" i="197"/>
  <c r="AQ39" i="195"/>
  <c r="T149" i="197"/>
  <c r="AR41" i="195"/>
  <c r="R154" i="197"/>
  <c r="AP46" i="195"/>
  <c r="T145" i="197"/>
  <c r="AR37" i="195"/>
  <c r="R155" i="197"/>
  <c r="AP47" i="195"/>
  <c r="S150" i="197"/>
  <c r="AQ42" i="195"/>
  <c r="AP24" i="195"/>
  <c r="S133" i="197" s="1"/>
  <c r="S142" i="197"/>
  <c r="AQ34" i="195"/>
  <c r="Y33" i="187"/>
  <c r="Y32" i="187"/>
  <c r="Y31" i="187"/>
  <c r="Y30" i="187"/>
  <c r="Y29" i="187"/>
  <c r="Y28" i="187"/>
  <c r="Y11" i="187"/>
  <c r="Y12" i="187"/>
  <c r="Y13" i="187"/>
  <c r="Y14" i="187"/>
  <c r="Y15" i="187"/>
  <c r="Y16" i="187"/>
  <c r="Y17" i="187"/>
  <c r="Y18" i="187"/>
  <c r="Y19" i="187"/>
  <c r="Y20" i="187"/>
  <c r="Y21" i="187"/>
  <c r="Y22" i="187"/>
  <c r="Y23" i="187"/>
  <c r="Y24" i="187"/>
  <c r="Y25" i="187"/>
  <c r="Y26" i="187"/>
  <c r="Y27" i="187"/>
  <c r="Y10" i="187"/>
  <c r="AM50" i="195" l="1"/>
  <c r="AM69" i="195" s="1"/>
  <c r="AR21" i="195"/>
  <c r="T130" i="197"/>
  <c r="AP66" i="195"/>
  <c r="S132" i="197"/>
  <c r="AS20" i="195"/>
  <c r="U129" i="197"/>
  <c r="AS18" i="195"/>
  <c r="U127" i="197"/>
  <c r="AS22" i="195"/>
  <c r="U131" i="197"/>
  <c r="AO27" i="195"/>
  <c r="AO75" i="195" s="1"/>
  <c r="R172" i="197" s="1"/>
  <c r="AR19" i="195"/>
  <c r="U128" i="197" s="1"/>
  <c r="AQ23" i="195"/>
  <c r="T132" i="197" s="1"/>
  <c r="AP25" i="195"/>
  <c r="S134" i="197" s="1"/>
  <c r="U152" i="197"/>
  <c r="AS44" i="195"/>
  <c r="T151" i="197"/>
  <c r="AR43" i="195"/>
  <c r="T140" i="197"/>
  <c r="AR32" i="195"/>
  <c r="T150" i="197"/>
  <c r="AR42" i="195"/>
  <c r="T144" i="197"/>
  <c r="AR36" i="195"/>
  <c r="AQ96" i="195"/>
  <c r="S154" i="197"/>
  <c r="AQ46" i="195"/>
  <c r="U145" i="197"/>
  <c r="AS37" i="195"/>
  <c r="U148" i="197"/>
  <c r="AS40" i="195"/>
  <c r="T141" i="197"/>
  <c r="AR33" i="195"/>
  <c r="T146" i="197"/>
  <c r="AR38" i="195"/>
  <c r="T147" i="197"/>
  <c r="AR39" i="195"/>
  <c r="AS41" i="195"/>
  <c r="U149" i="197"/>
  <c r="T142" i="197"/>
  <c r="AR34" i="195"/>
  <c r="S155" i="197"/>
  <c r="AQ47" i="195"/>
  <c r="U143" i="197"/>
  <c r="AS35" i="195"/>
  <c r="S153" i="197"/>
  <c r="AQ45" i="195"/>
  <c r="T135" i="197"/>
  <c r="AR26" i="195"/>
  <c r="S139" i="197"/>
  <c r="AQ31" i="195"/>
  <c r="AU91" i="195"/>
  <c r="AT92" i="195"/>
  <c r="U166" i="197"/>
  <c r="AR95" i="195"/>
  <c r="AR77" i="195"/>
  <c r="U174" i="197" s="1"/>
  <c r="AS63" i="195"/>
  <c r="AN50" i="195"/>
  <c r="AZ89" i="37"/>
  <c r="AL32" i="37"/>
  <c r="AJ32" i="37"/>
  <c r="T32" i="37"/>
  <c r="AL59" i="37"/>
  <c r="AJ59" i="37"/>
  <c r="T59" i="37"/>
  <c r="AT22" i="195" l="1"/>
  <c r="L190" i="197"/>
  <c r="AT20" i="195"/>
  <c r="L188" i="197"/>
  <c r="AS21" i="195"/>
  <c r="U130" i="197"/>
  <c r="AT18" i="195"/>
  <c r="L186" i="197"/>
  <c r="AO48" i="195"/>
  <c r="R156" i="197" s="1"/>
  <c r="R136" i="197"/>
  <c r="AM65" i="195"/>
  <c r="P158" i="197"/>
  <c r="AQ25" i="195"/>
  <c r="T134" i="197" s="1"/>
  <c r="AQ66" i="195"/>
  <c r="AQ24" i="195"/>
  <c r="T133" i="197" s="1"/>
  <c r="AS19" i="195"/>
  <c r="L187" i="197" s="1"/>
  <c r="AR23" i="195"/>
  <c r="AP27" i="195"/>
  <c r="AP75" i="195" s="1"/>
  <c r="S172" i="197" s="1"/>
  <c r="L204" i="197"/>
  <c r="AT37" i="195"/>
  <c r="U144" i="197"/>
  <c r="AS36" i="195"/>
  <c r="U150" i="197"/>
  <c r="AS42" i="195"/>
  <c r="U151" i="197"/>
  <c r="AS43" i="195"/>
  <c r="L211" i="197"/>
  <c r="AT44" i="195"/>
  <c r="T139" i="197"/>
  <c r="AR31" i="195"/>
  <c r="Q158" i="197"/>
  <c r="AN65" i="195"/>
  <c r="AN69" i="195"/>
  <c r="AR96" i="195"/>
  <c r="U135" i="197"/>
  <c r="AS26" i="195"/>
  <c r="L202" i="197"/>
  <c r="AT35" i="195"/>
  <c r="AP48" i="195"/>
  <c r="S156" i="197" s="1"/>
  <c r="L208" i="197"/>
  <c r="AT41" i="195"/>
  <c r="U146" i="197"/>
  <c r="AS38" i="195"/>
  <c r="L225" i="197"/>
  <c r="AS95" i="195"/>
  <c r="AS77" i="195"/>
  <c r="L233" i="197" s="1"/>
  <c r="AT63" i="195"/>
  <c r="AU92" i="195"/>
  <c r="AV91" i="195"/>
  <c r="U142" i="197"/>
  <c r="AS34" i="195"/>
  <c r="U147" i="197"/>
  <c r="AS39" i="195"/>
  <c r="L207" i="197"/>
  <c r="AT40" i="195"/>
  <c r="T154" i="197"/>
  <c r="AR46" i="195"/>
  <c r="U140" i="197"/>
  <c r="AS32" i="195"/>
  <c r="T153" i="197"/>
  <c r="AR45" i="195"/>
  <c r="T155" i="197"/>
  <c r="AR47" i="195"/>
  <c r="U141" i="197"/>
  <c r="AS33" i="195"/>
  <c r="Y9" i="186"/>
  <c r="Y19" i="186"/>
  <c r="Y10" i="186"/>
  <c r="Y20" i="186"/>
  <c r="Y11" i="186"/>
  <c r="Y21" i="186"/>
  <c r="Y12" i="186"/>
  <c r="Y22" i="186"/>
  <c r="Y13" i="186"/>
  <c r="Y23" i="186"/>
  <c r="Y14" i="186"/>
  <c r="Y24" i="186"/>
  <c r="Y15" i="186"/>
  <c r="Y25" i="186"/>
  <c r="Y26" i="186"/>
  <c r="S136" i="197" l="1"/>
  <c r="AO50" i="195"/>
  <c r="R158" i="197" s="1"/>
  <c r="AR25" i="195"/>
  <c r="U134" i="197" s="1"/>
  <c r="AU18" i="195"/>
  <c r="M186" i="197"/>
  <c r="AU20" i="195"/>
  <c r="M188" i="197"/>
  <c r="AR66" i="195"/>
  <c r="U132" i="197"/>
  <c r="AT21" i="195"/>
  <c r="L189" i="197"/>
  <c r="AU22" i="195"/>
  <c r="M190" i="197"/>
  <c r="AR24" i="195"/>
  <c r="U133" i="197" s="1"/>
  <c r="AT19" i="195"/>
  <c r="M187" i="197" s="1"/>
  <c r="AS23" i="195"/>
  <c r="L191" i="197" s="1"/>
  <c r="AQ27" i="195"/>
  <c r="AO65" i="195"/>
  <c r="AP50" i="195"/>
  <c r="AP69" i="195" s="1"/>
  <c r="M225" i="197"/>
  <c r="AT95" i="195"/>
  <c r="AT77" i="195"/>
  <c r="M233" i="197" s="1"/>
  <c r="AU63" i="195"/>
  <c r="M208" i="197"/>
  <c r="AU41" i="195"/>
  <c r="M202" i="197"/>
  <c r="AU35" i="195"/>
  <c r="L210" i="197"/>
  <c r="AT43" i="195"/>
  <c r="L203" i="197"/>
  <c r="AT36" i="195"/>
  <c r="U155" i="197"/>
  <c r="AS47" i="195"/>
  <c r="AS25" i="195"/>
  <c r="L193" i="197" s="1"/>
  <c r="U154" i="197"/>
  <c r="AS46" i="195"/>
  <c r="L206" i="197"/>
  <c r="AT39" i="195"/>
  <c r="L201" i="197"/>
  <c r="AT34" i="195"/>
  <c r="AV92" i="195"/>
  <c r="AW91" i="195"/>
  <c r="AS66" i="195"/>
  <c r="U153" i="197"/>
  <c r="AS45" i="195"/>
  <c r="L199" i="197"/>
  <c r="AT32" i="195"/>
  <c r="L200" i="197"/>
  <c r="AT33" i="195"/>
  <c r="U139" i="197"/>
  <c r="AS31" i="195"/>
  <c r="AS96" i="195"/>
  <c r="L205" i="197"/>
  <c r="AT38" i="195"/>
  <c r="L194" i="197"/>
  <c r="AT26" i="195"/>
  <c r="M211" i="197"/>
  <c r="AU44" i="195"/>
  <c r="L209" i="197"/>
  <c r="AT42" i="195"/>
  <c r="M204" i="197"/>
  <c r="AU37" i="195"/>
  <c r="M207" i="197"/>
  <c r="AU40" i="195"/>
  <c r="R51" i="36"/>
  <c r="AO69" i="195" l="1"/>
  <c r="AU21" i="195"/>
  <c r="M189" i="197"/>
  <c r="AV20" i="195"/>
  <c r="N188" i="197"/>
  <c r="AR27" i="195"/>
  <c r="AS24" i="195"/>
  <c r="L192" i="197" s="1"/>
  <c r="AV22" i="195"/>
  <c r="N190" i="197"/>
  <c r="AV18" i="195"/>
  <c r="N186" i="197"/>
  <c r="S158" i="197"/>
  <c r="T136" i="197"/>
  <c r="AQ48" i="195"/>
  <c r="AQ75" i="195"/>
  <c r="T172" i="197" s="1"/>
  <c r="AU19" i="195"/>
  <c r="N187" i="197" s="1"/>
  <c r="AT23" i="195"/>
  <c r="AP65" i="195"/>
  <c r="AS27" i="195"/>
  <c r="AS75" i="195" s="1"/>
  <c r="L231" i="197" s="1"/>
  <c r="M200" i="197"/>
  <c r="AU33" i="195"/>
  <c r="M209" i="197"/>
  <c r="AU42" i="195"/>
  <c r="M194" i="197"/>
  <c r="AU26" i="195"/>
  <c r="L212" i="197"/>
  <c r="AT45" i="195"/>
  <c r="AX91" i="195"/>
  <c r="AW92" i="195"/>
  <c r="M206" i="197"/>
  <c r="AU39" i="195"/>
  <c r="L214" i="197"/>
  <c r="AT47" i="195"/>
  <c r="M210" i="197"/>
  <c r="AU43" i="195"/>
  <c r="AT96" i="195"/>
  <c r="N207" i="197"/>
  <c r="AV40" i="195"/>
  <c r="U136" i="197"/>
  <c r="AR48" i="195"/>
  <c r="U156" i="197" s="1"/>
  <c r="AR75" i="195"/>
  <c r="U172" i="197" s="1"/>
  <c r="N204" i="197"/>
  <c r="AV37" i="195"/>
  <c r="N211" i="197"/>
  <c r="AV44" i="195"/>
  <c r="M205" i="197"/>
  <c r="AU38" i="195"/>
  <c r="L198" i="197"/>
  <c r="AT31" i="195"/>
  <c r="M199" i="197"/>
  <c r="AU32" i="195"/>
  <c r="M201" i="197"/>
  <c r="AU34" i="195"/>
  <c r="AT46" i="195"/>
  <c r="L213" i="197"/>
  <c r="M203" i="197"/>
  <c r="AU36" i="195"/>
  <c r="N202" i="197"/>
  <c r="AV35" i="195"/>
  <c r="N208" i="197"/>
  <c r="AV41" i="195"/>
  <c r="N225" i="197"/>
  <c r="AU77" i="195"/>
  <c r="N233" i="197" s="1"/>
  <c r="AU95" i="195"/>
  <c r="AV63" i="195"/>
  <c r="I54" i="30"/>
  <c r="I53" i="30"/>
  <c r="I52" i="30"/>
  <c r="I51" i="30"/>
  <c r="AT66" i="195" l="1"/>
  <c r="M191" i="197"/>
  <c r="AW22" i="195"/>
  <c r="O190" i="197"/>
  <c r="AT24" i="195"/>
  <c r="M192" i="197" s="1"/>
  <c r="AW20" i="195"/>
  <c r="O188" i="197"/>
  <c r="AT25" i="195"/>
  <c r="M193" i="197" s="1"/>
  <c r="AW18" i="195"/>
  <c r="O186" i="197"/>
  <c r="AV21" i="195"/>
  <c r="N189" i="197"/>
  <c r="AV19" i="195"/>
  <c r="O187" i="197" s="1"/>
  <c r="AU23" i="195"/>
  <c r="T156" i="197"/>
  <c r="AQ50" i="195"/>
  <c r="AS48" i="195"/>
  <c r="L215" i="197" s="1"/>
  <c r="L195" i="197"/>
  <c r="AR50" i="195"/>
  <c r="AR69" i="195" s="1"/>
  <c r="O202" i="197"/>
  <c r="AW35" i="195"/>
  <c r="N199" i="197"/>
  <c r="AV32" i="195"/>
  <c r="M212" i="197"/>
  <c r="AU45" i="195"/>
  <c r="N194" i="197"/>
  <c r="AV26" i="195"/>
  <c r="N200" i="197"/>
  <c r="AV33" i="195"/>
  <c r="N201" i="197"/>
  <c r="AV34" i="195"/>
  <c r="O211" i="197"/>
  <c r="AW44" i="195"/>
  <c r="M214" i="197"/>
  <c r="AU47" i="195"/>
  <c r="O225" i="197"/>
  <c r="AV95" i="195"/>
  <c r="AV77" i="195"/>
  <c r="O233" i="197" s="1"/>
  <c r="AW63" i="195"/>
  <c r="O208" i="197"/>
  <c r="AW41" i="195"/>
  <c r="N203" i="197"/>
  <c r="AV36" i="195"/>
  <c r="M198" i="197"/>
  <c r="AU31" i="195"/>
  <c r="N205" i="197"/>
  <c r="AV38" i="195"/>
  <c r="O204" i="197"/>
  <c r="AW37" i="195"/>
  <c r="N210" i="197"/>
  <c r="AV43" i="195"/>
  <c r="N206" i="197"/>
  <c r="AV39" i="195"/>
  <c r="AU96" i="195"/>
  <c r="M213" i="197"/>
  <c r="AU46" i="195"/>
  <c r="O207" i="197"/>
  <c r="AW40" i="195"/>
  <c r="AY91" i="195"/>
  <c r="AX92" i="195"/>
  <c r="N209" i="197"/>
  <c r="AV42" i="195"/>
  <c r="F82" i="63"/>
  <c r="F79" i="63"/>
  <c r="AT27" i="195" l="1"/>
  <c r="AS50" i="195"/>
  <c r="AU24" i="195"/>
  <c r="N192" i="197" s="1"/>
  <c r="AU25" i="195"/>
  <c r="N193" i="197" s="1"/>
  <c r="AX22" i="195"/>
  <c r="P190" i="197"/>
  <c r="AR65" i="195"/>
  <c r="AU66" i="195"/>
  <c r="N191" i="197"/>
  <c r="AX20" i="195"/>
  <c r="P188" i="197"/>
  <c r="AW21" i="195"/>
  <c r="O189" i="197"/>
  <c r="U158" i="197"/>
  <c r="AX18" i="195"/>
  <c r="P186" i="197"/>
  <c r="AQ69" i="195"/>
  <c r="T158" i="197"/>
  <c r="AQ65" i="195"/>
  <c r="AW19" i="195"/>
  <c r="P187" i="197" s="1"/>
  <c r="AV23" i="195"/>
  <c r="N213" i="197"/>
  <c r="AV46" i="195"/>
  <c r="P204" i="197"/>
  <c r="AX37" i="195"/>
  <c r="L217" i="197"/>
  <c r="AS69" i="195"/>
  <c r="AS65" i="195"/>
  <c r="AV96" i="195"/>
  <c r="P211" i="197"/>
  <c r="AX44" i="195"/>
  <c r="O201" i="197"/>
  <c r="AW34" i="195"/>
  <c r="O194" i="197"/>
  <c r="AW26" i="195"/>
  <c r="N212" i="197"/>
  <c r="AV45" i="195"/>
  <c r="O199" i="197"/>
  <c r="AW32" i="195"/>
  <c r="O210" i="197"/>
  <c r="AW43" i="195"/>
  <c r="O203" i="197"/>
  <c r="AW36" i="195"/>
  <c r="AW95" i="195"/>
  <c r="P225" i="197"/>
  <c r="AX63" i="195"/>
  <c r="AW77" i="195"/>
  <c r="P233" i="197" s="1"/>
  <c r="O209" i="197"/>
  <c r="AW42" i="195"/>
  <c r="AZ91" i="195"/>
  <c r="AY92" i="195"/>
  <c r="O205" i="197"/>
  <c r="AW38" i="195"/>
  <c r="N198" i="197"/>
  <c r="AV31" i="195"/>
  <c r="N214" i="197"/>
  <c r="AV47" i="195"/>
  <c r="O200" i="197"/>
  <c r="AW33" i="195"/>
  <c r="AU27" i="195"/>
  <c r="P202" i="197"/>
  <c r="AX35" i="195"/>
  <c r="P207" i="197"/>
  <c r="AX40" i="195"/>
  <c r="O206" i="197"/>
  <c r="AW39" i="195"/>
  <c r="P208" i="197"/>
  <c r="AX41" i="195"/>
  <c r="AV24" i="195"/>
  <c r="O192" i="197" s="1"/>
  <c r="M195" i="197"/>
  <c r="AT75" i="195"/>
  <c r="M231" i="197" s="1"/>
  <c r="AT48" i="195"/>
  <c r="M215" i="197" s="1"/>
  <c r="AV25" i="195" l="1"/>
  <c r="O193" i="197" s="1"/>
  <c r="AV66" i="195"/>
  <c r="O191" i="197"/>
  <c r="AY22" i="195"/>
  <c r="Q190" i="197"/>
  <c r="AY18" i="195"/>
  <c r="Q186" i="197"/>
  <c r="AY20" i="195"/>
  <c r="Q188" i="197"/>
  <c r="AX21" i="195"/>
  <c r="P189" i="197"/>
  <c r="AX19" i="195"/>
  <c r="Q187" i="197" s="1"/>
  <c r="AW23" i="195"/>
  <c r="P191" i="197" s="1"/>
  <c r="AT50" i="195"/>
  <c r="M217" i="197" s="1"/>
  <c r="Q208" i="197"/>
  <c r="AY41" i="195"/>
  <c r="P200" i="197"/>
  <c r="AX33" i="195"/>
  <c r="O214" i="197"/>
  <c r="AW47" i="195"/>
  <c r="P205" i="197"/>
  <c r="AX38" i="195"/>
  <c r="P210" i="197"/>
  <c r="AX43" i="195"/>
  <c r="O212" i="197"/>
  <c r="AW45" i="195"/>
  <c r="P201" i="197"/>
  <c r="AX34" i="195"/>
  <c r="Q204" i="197"/>
  <c r="AY37" i="195"/>
  <c r="AV27" i="195"/>
  <c r="Q207" i="197"/>
  <c r="AY40" i="195"/>
  <c r="N195" i="197"/>
  <c r="AU75" i="195"/>
  <c r="N231" i="197" s="1"/>
  <c r="AU48" i="195"/>
  <c r="N215" i="197" s="1"/>
  <c r="AW96" i="195"/>
  <c r="O213" i="197"/>
  <c r="AW46" i="195"/>
  <c r="P206" i="197"/>
  <c r="AX39" i="195"/>
  <c r="O198" i="197"/>
  <c r="AW31" i="195"/>
  <c r="AZ92" i="195"/>
  <c r="BA91" i="195"/>
  <c r="Q225" i="197"/>
  <c r="AX95" i="195"/>
  <c r="AY63" i="195"/>
  <c r="AX77" i="195"/>
  <c r="Q233" i="197" s="1"/>
  <c r="P203" i="197"/>
  <c r="AX36" i="195"/>
  <c r="P199" i="197"/>
  <c r="AX32" i="195"/>
  <c r="P194" i="197"/>
  <c r="AX26" i="195"/>
  <c r="Q211" i="197"/>
  <c r="AY44" i="195"/>
  <c r="Q202" i="197"/>
  <c r="AY35" i="195"/>
  <c r="P209" i="197"/>
  <c r="AX42" i="195"/>
  <c r="BN10" i="69"/>
  <c r="BN9" i="69"/>
  <c r="AZ22" i="195" l="1"/>
  <c r="R190" i="197"/>
  <c r="AW24" i="195"/>
  <c r="P192" i="197" s="1"/>
  <c r="AW66" i="195"/>
  <c r="AZ20" i="195"/>
  <c r="R188" i="197"/>
  <c r="AW25" i="195"/>
  <c r="P193" i="197" s="1"/>
  <c r="AY21" i="195"/>
  <c r="Q189" i="197"/>
  <c r="AZ18" i="195"/>
  <c r="R186" i="197"/>
  <c r="AY19" i="195"/>
  <c r="R187" i="197" s="1"/>
  <c r="AX23" i="195"/>
  <c r="AT65" i="195"/>
  <c r="AT69" i="195"/>
  <c r="AU50" i="195"/>
  <c r="AU69" i="195" s="1"/>
  <c r="R202" i="197"/>
  <c r="AZ35" i="195"/>
  <c r="R211" i="197"/>
  <c r="AZ44" i="195"/>
  <c r="Q199" i="197"/>
  <c r="AY32" i="195"/>
  <c r="R207" i="197"/>
  <c r="AZ40" i="195"/>
  <c r="Q201" i="197"/>
  <c r="AY34" i="195"/>
  <c r="Q210" i="197"/>
  <c r="AY43" i="195"/>
  <c r="Q205" i="197"/>
  <c r="AY38" i="195"/>
  <c r="Q200" i="197"/>
  <c r="AY33" i="195"/>
  <c r="R225" i="197"/>
  <c r="AY77" i="195"/>
  <c r="R233" i="197" s="1"/>
  <c r="AY95" i="195"/>
  <c r="AZ63" i="195"/>
  <c r="P198" i="197"/>
  <c r="AX31" i="195"/>
  <c r="P213" i="197"/>
  <c r="AX46" i="195"/>
  <c r="R204" i="197"/>
  <c r="AZ37" i="195"/>
  <c r="Q209" i="197"/>
  <c r="AY42" i="195"/>
  <c r="Q194" i="197"/>
  <c r="AY26" i="195"/>
  <c r="Q203" i="197"/>
  <c r="AY36" i="195"/>
  <c r="O195" i="197"/>
  <c r="AV75" i="195"/>
  <c r="O231" i="197" s="1"/>
  <c r="AV48" i="195"/>
  <c r="O215" i="197" s="1"/>
  <c r="P212" i="197"/>
  <c r="AX45" i="195"/>
  <c r="P214" i="197"/>
  <c r="AX47" i="195"/>
  <c r="AX96" i="195"/>
  <c r="BB91" i="195"/>
  <c r="BA92" i="195"/>
  <c r="Q206" i="197"/>
  <c r="AY39" i="195"/>
  <c r="R208" i="197"/>
  <c r="AZ41" i="195"/>
  <c r="AX24" i="195" l="1"/>
  <c r="Q192" i="197" s="1"/>
  <c r="BA18" i="195"/>
  <c r="S186" i="197"/>
  <c r="AZ21" i="195"/>
  <c r="R189" i="197"/>
  <c r="AW27" i="195"/>
  <c r="AX25" i="195"/>
  <c r="Q193" i="197" s="1"/>
  <c r="AX66" i="195"/>
  <c r="Q191" i="197"/>
  <c r="BA20" i="195"/>
  <c r="S188" i="197"/>
  <c r="BA22" i="195"/>
  <c r="S190" i="197"/>
  <c r="AZ19" i="195"/>
  <c r="S187" i="197" s="1"/>
  <c r="AY23" i="195"/>
  <c r="AU65" i="195"/>
  <c r="N217" i="197"/>
  <c r="AV50" i="195"/>
  <c r="O217" i="197" s="1"/>
  <c r="R194" i="197"/>
  <c r="AZ26" i="195"/>
  <c r="S225" i="197"/>
  <c r="AZ95" i="195"/>
  <c r="AZ77" i="195"/>
  <c r="S233" i="197" s="1"/>
  <c r="BA63" i="195"/>
  <c r="R210" i="197"/>
  <c r="AZ43" i="195"/>
  <c r="R209" i="197"/>
  <c r="AZ42" i="195"/>
  <c r="Q213" i="197"/>
  <c r="AY46" i="195"/>
  <c r="AY96" i="195"/>
  <c r="Q214" i="197"/>
  <c r="AY47" i="195"/>
  <c r="R203" i="197"/>
  <c r="AZ36" i="195"/>
  <c r="S204" i="197"/>
  <c r="BA37" i="195"/>
  <c r="R205" i="197"/>
  <c r="AZ38" i="195"/>
  <c r="R201" i="197"/>
  <c r="AZ34" i="195"/>
  <c r="S211" i="197"/>
  <c r="BA44" i="195"/>
  <c r="S208" i="197"/>
  <c r="BA41" i="195"/>
  <c r="R206" i="197"/>
  <c r="AZ39" i="195"/>
  <c r="P195" i="197"/>
  <c r="AW75" i="195"/>
  <c r="P231" i="197" s="1"/>
  <c r="AW48" i="195"/>
  <c r="P215" i="197" s="1"/>
  <c r="AY24" i="195"/>
  <c r="R192" i="197" s="1"/>
  <c r="AY25" i="195"/>
  <c r="R193" i="197" s="1"/>
  <c r="Q212" i="197"/>
  <c r="AY45" i="195"/>
  <c r="Q198" i="197"/>
  <c r="AY31" i="195"/>
  <c r="R200" i="197"/>
  <c r="AZ33" i="195"/>
  <c r="S207" i="197"/>
  <c r="BA40" i="195"/>
  <c r="R199" i="197"/>
  <c r="AZ32" i="195"/>
  <c r="S202" i="197"/>
  <c r="BA35" i="195"/>
  <c r="BB92" i="195"/>
  <c r="C185" i="159"/>
  <c r="O1104" i="119"/>
  <c r="J19" i="182"/>
  <c r="I19" i="182"/>
  <c r="G48" i="182"/>
  <c r="O48" i="182" s="1"/>
  <c r="G47" i="182"/>
  <c r="O47" i="182" s="1"/>
  <c r="G46" i="182"/>
  <c r="G45" i="182"/>
  <c r="O45" i="182" s="1"/>
  <c r="G44" i="182"/>
  <c r="G28" i="182"/>
  <c r="O28" i="182" s="1"/>
  <c r="G26" i="182"/>
  <c r="O26" i="182" s="1"/>
  <c r="G25" i="182"/>
  <c r="O25" i="182" s="1"/>
  <c r="G24" i="182"/>
  <c r="O24" i="182" s="1"/>
  <c r="G23" i="182"/>
  <c r="G22" i="182"/>
  <c r="C48" i="182"/>
  <c r="C47" i="182"/>
  <c r="C46" i="182"/>
  <c r="C45" i="182"/>
  <c r="C44" i="182"/>
  <c r="C43" i="182"/>
  <c r="C42" i="182"/>
  <c r="C49" i="182"/>
  <c r="C38" i="182"/>
  <c r="C37" i="182"/>
  <c r="C36" i="182"/>
  <c r="C35" i="182"/>
  <c r="C34" i="182"/>
  <c r="C33" i="182"/>
  <c r="C32" i="182"/>
  <c r="C39" i="182"/>
  <c r="C29" i="182"/>
  <c r="C28" i="182"/>
  <c r="C27" i="182"/>
  <c r="C26" i="182"/>
  <c r="C25" i="182"/>
  <c r="C24" i="182"/>
  <c r="C23" i="182"/>
  <c r="C22" i="182"/>
  <c r="C130" i="159"/>
  <c r="C1089" i="182" s="1"/>
  <c r="C129" i="159"/>
  <c r="C1088" i="182" s="1"/>
  <c r="C128" i="159"/>
  <c r="C1087" i="182" s="1"/>
  <c r="C127" i="159"/>
  <c r="C1086" i="182" s="1"/>
  <c r="C1080" i="182"/>
  <c r="C1079" i="182"/>
  <c r="C1078" i="182"/>
  <c r="C1077" i="182"/>
  <c r="C1076" i="182"/>
  <c r="C1075" i="182"/>
  <c r="C1074" i="182"/>
  <c r="C1073" i="182"/>
  <c r="C1072" i="182"/>
  <c r="C1071" i="182"/>
  <c r="C1070" i="182"/>
  <c r="C1069" i="182"/>
  <c r="C1068" i="182"/>
  <c r="C1067" i="182"/>
  <c r="C1066" i="182"/>
  <c r="C1065" i="182"/>
  <c r="C1064" i="182"/>
  <c r="C1063" i="182"/>
  <c r="C1062" i="182"/>
  <c r="C1061" i="182"/>
  <c r="C1060" i="182"/>
  <c r="C1059" i="182"/>
  <c r="C1058" i="182"/>
  <c r="C1057" i="182"/>
  <c r="C1056" i="182"/>
  <c r="C1055" i="182"/>
  <c r="C1054" i="182"/>
  <c r="C1053" i="182"/>
  <c r="C1052" i="182"/>
  <c r="C1051" i="182"/>
  <c r="C1050" i="182"/>
  <c r="C1049" i="182"/>
  <c r="C1048" i="182"/>
  <c r="C1047" i="182"/>
  <c r="C1046" i="182"/>
  <c r="C1045" i="182"/>
  <c r="C1044" i="182"/>
  <c r="C1043" i="182"/>
  <c r="C1042" i="182"/>
  <c r="C1041" i="182"/>
  <c r="C1037" i="182"/>
  <c r="C1036" i="182"/>
  <c r="C1035" i="182"/>
  <c r="C1034" i="182"/>
  <c r="C1033" i="182"/>
  <c r="C1032" i="182"/>
  <c r="C1031" i="182"/>
  <c r="C1030" i="182"/>
  <c r="C1029" i="182"/>
  <c r="C1028" i="182"/>
  <c r="C1027" i="182"/>
  <c r="C1026" i="182"/>
  <c r="C1025" i="182"/>
  <c r="C1024" i="182"/>
  <c r="C1023" i="182"/>
  <c r="C1022" i="182"/>
  <c r="C1021" i="182"/>
  <c r="C1020" i="182"/>
  <c r="C1019" i="182"/>
  <c r="C1018" i="182"/>
  <c r="C1017" i="182"/>
  <c r="C1016" i="182"/>
  <c r="C1015" i="182"/>
  <c r="C1014" i="182"/>
  <c r="C1013" i="182"/>
  <c r="C1012" i="182"/>
  <c r="C1011" i="182"/>
  <c r="C1010" i="182"/>
  <c r="C1009" i="182"/>
  <c r="C1008" i="182"/>
  <c r="C1007" i="182"/>
  <c r="C1006" i="182"/>
  <c r="C1005" i="182"/>
  <c r="C1004" i="182"/>
  <c r="C1003" i="182"/>
  <c r="C1002" i="182"/>
  <c r="C1001" i="182"/>
  <c r="C1000" i="182"/>
  <c r="C999" i="182"/>
  <c r="C998" i="182"/>
  <c r="C994" i="182"/>
  <c r="C993" i="182"/>
  <c r="C992" i="182"/>
  <c r="C991" i="182"/>
  <c r="C990" i="182"/>
  <c r="C989" i="182"/>
  <c r="C988" i="182"/>
  <c r="C987" i="182"/>
  <c r="C986" i="182"/>
  <c r="C985" i="182"/>
  <c r="C984" i="182"/>
  <c r="C983" i="182"/>
  <c r="C982" i="182"/>
  <c r="C981" i="182"/>
  <c r="C980" i="182"/>
  <c r="C979" i="182"/>
  <c r="C978" i="182"/>
  <c r="C977" i="182"/>
  <c r="C976" i="182"/>
  <c r="C975" i="182"/>
  <c r="C974" i="182"/>
  <c r="C973" i="182"/>
  <c r="C972" i="182"/>
  <c r="C971" i="182"/>
  <c r="C970" i="182"/>
  <c r="C969" i="182"/>
  <c r="C968" i="182"/>
  <c r="C967" i="182"/>
  <c r="C966" i="182"/>
  <c r="C965" i="182"/>
  <c r="C964" i="182"/>
  <c r="C963" i="182"/>
  <c r="C962" i="182"/>
  <c r="C961" i="182"/>
  <c r="C960" i="182"/>
  <c r="C959" i="182"/>
  <c r="C958" i="182"/>
  <c r="C957" i="182"/>
  <c r="C956" i="182"/>
  <c r="C955" i="182"/>
  <c r="C951" i="182"/>
  <c r="C950" i="182"/>
  <c r="C949" i="182"/>
  <c r="C948" i="182"/>
  <c r="C947" i="182"/>
  <c r="C946" i="182"/>
  <c r="C945" i="182"/>
  <c r="C944" i="182"/>
  <c r="C943" i="182"/>
  <c r="C942" i="182"/>
  <c r="C941" i="182"/>
  <c r="C940" i="182"/>
  <c r="C939" i="182"/>
  <c r="C938" i="182"/>
  <c r="C937" i="182"/>
  <c r="C936" i="182"/>
  <c r="C935" i="182"/>
  <c r="C934" i="182"/>
  <c r="C933" i="182"/>
  <c r="C932" i="182"/>
  <c r="C931" i="182"/>
  <c r="C930" i="182"/>
  <c r="C929" i="182"/>
  <c r="C928" i="182"/>
  <c r="C927" i="182"/>
  <c r="C926" i="182"/>
  <c r="C925" i="182"/>
  <c r="C924" i="182"/>
  <c r="C923" i="182"/>
  <c r="C922" i="182"/>
  <c r="C921" i="182"/>
  <c r="C920" i="182"/>
  <c r="C919" i="182"/>
  <c r="C918" i="182"/>
  <c r="C917" i="182"/>
  <c r="C916" i="182"/>
  <c r="C915" i="182"/>
  <c r="C914" i="182"/>
  <c r="C913" i="182"/>
  <c r="C912" i="182"/>
  <c r="C908" i="182"/>
  <c r="C907" i="182"/>
  <c r="C906" i="182"/>
  <c r="C905" i="182"/>
  <c r="C904" i="182"/>
  <c r="C903" i="182"/>
  <c r="C902" i="182"/>
  <c r="C901" i="182"/>
  <c r="C900" i="182"/>
  <c r="C899" i="182"/>
  <c r="C898" i="182"/>
  <c r="C897" i="182"/>
  <c r="C896" i="182"/>
  <c r="C895" i="182"/>
  <c r="C894" i="182"/>
  <c r="C893" i="182"/>
  <c r="C892" i="182"/>
  <c r="C891" i="182"/>
  <c r="C890" i="182"/>
  <c r="C889" i="182"/>
  <c r="C888" i="182"/>
  <c r="C887" i="182"/>
  <c r="C886" i="182"/>
  <c r="C885" i="182"/>
  <c r="C884" i="182"/>
  <c r="C883" i="182"/>
  <c r="C882" i="182"/>
  <c r="C881" i="182"/>
  <c r="C880" i="182"/>
  <c r="C879" i="182"/>
  <c r="C878" i="182"/>
  <c r="C877" i="182"/>
  <c r="C876" i="182"/>
  <c r="C875" i="182"/>
  <c r="C874" i="182"/>
  <c r="C873" i="182"/>
  <c r="C872" i="182"/>
  <c r="C871" i="182"/>
  <c r="C870" i="182"/>
  <c r="C869" i="182"/>
  <c r="C865" i="182"/>
  <c r="C864" i="182"/>
  <c r="C863" i="182"/>
  <c r="C862" i="182"/>
  <c r="C861" i="182"/>
  <c r="C860" i="182"/>
  <c r="C859" i="182"/>
  <c r="C858" i="182"/>
  <c r="C857" i="182"/>
  <c r="C856" i="182"/>
  <c r="C855" i="182"/>
  <c r="C854" i="182"/>
  <c r="C853" i="182"/>
  <c r="C852" i="182"/>
  <c r="C851" i="182"/>
  <c r="C850" i="182"/>
  <c r="C849" i="182"/>
  <c r="C848" i="182"/>
  <c r="C847" i="182"/>
  <c r="C846" i="182"/>
  <c r="C845" i="182"/>
  <c r="C844" i="182"/>
  <c r="C843" i="182"/>
  <c r="C842" i="182"/>
  <c r="C841" i="182"/>
  <c r="C840" i="182"/>
  <c r="C839" i="182"/>
  <c r="C838" i="182"/>
  <c r="C837" i="182"/>
  <c r="C836" i="182"/>
  <c r="C835" i="182"/>
  <c r="C834" i="182"/>
  <c r="C833" i="182"/>
  <c r="C832" i="182"/>
  <c r="C831" i="182"/>
  <c r="C830" i="182"/>
  <c r="C829" i="182"/>
  <c r="C828" i="182"/>
  <c r="C827" i="182"/>
  <c r="C826" i="182"/>
  <c r="C822" i="182"/>
  <c r="C821" i="182"/>
  <c r="C820" i="182"/>
  <c r="C819" i="182"/>
  <c r="C818" i="182"/>
  <c r="C817" i="182"/>
  <c r="C816" i="182"/>
  <c r="C815" i="182"/>
  <c r="C814" i="182"/>
  <c r="C813" i="182"/>
  <c r="C812" i="182"/>
  <c r="C811" i="182"/>
  <c r="C810" i="182"/>
  <c r="C809" i="182"/>
  <c r="C808" i="182"/>
  <c r="C807" i="182"/>
  <c r="C806" i="182"/>
  <c r="C805" i="182"/>
  <c r="C804" i="182"/>
  <c r="C803" i="182"/>
  <c r="C802" i="182"/>
  <c r="C801" i="182"/>
  <c r="C800" i="182"/>
  <c r="C799" i="182"/>
  <c r="C798" i="182"/>
  <c r="C797" i="182"/>
  <c r="C796" i="182"/>
  <c r="C795" i="182"/>
  <c r="C794" i="182"/>
  <c r="C793" i="182"/>
  <c r="C792" i="182"/>
  <c r="C791" i="182"/>
  <c r="C790" i="182"/>
  <c r="C789" i="182"/>
  <c r="C788" i="182"/>
  <c r="C787" i="182"/>
  <c r="C786" i="182"/>
  <c r="C785" i="182"/>
  <c r="C784" i="182"/>
  <c r="C783" i="182"/>
  <c r="C779" i="182"/>
  <c r="C778" i="182"/>
  <c r="C777" i="182"/>
  <c r="C776" i="182"/>
  <c r="C775" i="182"/>
  <c r="C774" i="182"/>
  <c r="C773" i="182"/>
  <c r="C772" i="182"/>
  <c r="C771" i="182"/>
  <c r="C770" i="182"/>
  <c r="C769" i="182"/>
  <c r="C768" i="182"/>
  <c r="C767" i="182"/>
  <c r="C766" i="182"/>
  <c r="C765" i="182"/>
  <c r="C764" i="182"/>
  <c r="C763" i="182"/>
  <c r="C762" i="182"/>
  <c r="C761" i="182"/>
  <c r="C760" i="182"/>
  <c r="C759" i="182"/>
  <c r="C758" i="182"/>
  <c r="C757" i="182"/>
  <c r="C756" i="182"/>
  <c r="C755" i="182"/>
  <c r="C754" i="182"/>
  <c r="C753" i="182"/>
  <c r="C752" i="182"/>
  <c r="C751" i="182"/>
  <c r="C750" i="182"/>
  <c r="C749" i="182"/>
  <c r="C748" i="182"/>
  <c r="C747" i="182"/>
  <c r="C746" i="182"/>
  <c r="C745" i="182"/>
  <c r="C744" i="182"/>
  <c r="C743" i="182"/>
  <c r="C742" i="182"/>
  <c r="C741" i="182"/>
  <c r="C740" i="182"/>
  <c r="C736" i="182"/>
  <c r="C735" i="182"/>
  <c r="C734" i="182"/>
  <c r="C733" i="182"/>
  <c r="C732" i="182"/>
  <c r="C731" i="182"/>
  <c r="C730" i="182"/>
  <c r="C729" i="182"/>
  <c r="C728" i="182"/>
  <c r="C727" i="182"/>
  <c r="C726" i="182"/>
  <c r="C725" i="182"/>
  <c r="C724" i="182"/>
  <c r="C723" i="182"/>
  <c r="C722" i="182"/>
  <c r="C721" i="182"/>
  <c r="C720" i="182"/>
  <c r="C719" i="182"/>
  <c r="C718" i="182"/>
  <c r="C717" i="182"/>
  <c r="C716" i="182"/>
  <c r="C715" i="182"/>
  <c r="C714" i="182"/>
  <c r="C713" i="182"/>
  <c r="C712" i="182"/>
  <c r="C711" i="182"/>
  <c r="C710" i="182"/>
  <c r="C709" i="182"/>
  <c r="C708" i="182"/>
  <c r="C707" i="182"/>
  <c r="C706" i="182"/>
  <c r="C705" i="182"/>
  <c r="C704" i="182"/>
  <c r="C703" i="182"/>
  <c r="C702" i="182"/>
  <c r="C701" i="182"/>
  <c r="C700" i="182"/>
  <c r="C699" i="182"/>
  <c r="C698" i="182"/>
  <c r="C697" i="182"/>
  <c r="C693" i="182"/>
  <c r="C692" i="182"/>
  <c r="C691" i="182"/>
  <c r="C690" i="182"/>
  <c r="C689" i="182"/>
  <c r="C688" i="182"/>
  <c r="C687" i="182"/>
  <c r="C686" i="182"/>
  <c r="C685" i="182"/>
  <c r="C684" i="182"/>
  <c r="C683" i="182"/>
  <c r="C682" i="182"/>
  <c r="C681" i="182"/>
  <c r="C680" i="182"/>
  <c r="C679" i="182"/>
  <c r="C678" i="182"/>
  <c r="C677" i="182"/>
  <c r="C676" i="182"/>
  <c r="C675" i="182"/>
  <c r="C674" i="182"/>
  <c r="C673" i="182"/>
  <c r="C672" i="182"/>
  <c r="C671" i="182"/>
  <c r="C670" i="182"/>
  <c r="C669" i="182"/>
  <c r="C668" i="182"/>
  <c r="C667" i="182"/>
  <c r="C666" i="182"/>
  <c r="C665" i="182"/>
  <c r="C664" i="182"/>
  <c r="C663" i="182"/>
  <c r="C662" i="182"/>
  <c r="C661" i="182"/>
  <c r="C660" i="182"/>
  <c r="C659" i="182"/>
  <c r="C658" i="182"/>
  <c r="C657" i="182"/>
  <c r="C656" i="182"/>
  <c r="C655" i="182"/>
  <c r="C654" i="182"/>
  <c r="C650" i="182"/>
  <c r="C649" i="182"/>
  <c r="C648" i="182"/>
  <c r="C647" i="182"/>
  <c r="C646" i="182"/>
  <c r="C645" i="182"/>
  <c r="C644" i="182"/>
  <c r="C643" i="182"/>
  <c r="C642" i="182"/>
  <c r="C641" i="182"/>
  <c r="C640" i="182"/>
  <c r="C639" i="182"/>
  <c r="C638" i="182"/>
  <c r="C637" i="182"/>
  <c r="C636" i="182"/>
  <c r="C635" i="182"/>
  <c r="C634" i="182"/>
  <c r="C633" i="182"/>
  <c r="C632" i="182"/>
  <c r="C631" i="182"/>
  <c r="C630" i="182"/>
  <c r="C629" i="182"/>
  <c r="C628" i="182"/>
  <c r="C627" i="182"/>
  <c r="C626" i="182"/>
  <c r="C625" i="182"/>
  <c r="C624" i="182"/>
  <c r="C623" i="182"/>
  <c r="C622" i="182"/>
  <c r="C621" i="182"/>
  <c r="C620" i="182"/>
  <c r="C619" i="182"/>
  <c r="C618" i="182"/>
  <c r="C617" i="182"/>
  <c r="C616" i="182"/>
  <c r="C615" i="182"/>
  <c r="C614" i="182"/>
  <c r="C613" i="182"/>
  <c r="C612" i="182"/>
  <c r="C611" i="182"/>
  <c r="C607" i="182"/>
  <c r="C606" i="182"/>
  <c r="C605" i="182"/>
  <c r="C604" i="182"/>
  <c r="C603" i="182"/>
  <c r="C602" i="182"/>
  <c r="C601" i="182"/>
  <c r="C600" i="182"/>
  <c r="C599" i="182"/>
  <c r="C598" i="182"/>
  <c r="C597" i="182"/>
  <c r="C596" i="182"/>
  <c r="C595" i="182"/>
  <c r="C594" i="182"/>
  <c r="C593" i="182"/>
  <c r="C592" i="182"/>
  <c r="C591" i="182"/>
  <c r="C590" i="182"/>
  <c r="C589" i="182"/>
  <c r="C588" i="182"/>
  <c r="C587" i="182"/>
  <c r="C586" i="182"/>
  <c r="C585" i="182"/>
  <c r="C584" i="182"/>
  <c r="C583" i="182"/>
  <c r="C582" i="182"/>
  <c r="C581" i="182"/>
  <c r="C580" i="182"/>
  <c r="C579" i="182"/>
  <c r="C578" i="182"/>
  <c r="C577" i="182"/>
  <c r="C576" i="182"/>
  <c r="C575" i="182"/>
  <c r="C574" i="182"/>
  <c r="C573" i="182"/>
  <c r="C572" i="182"/>
  <c r="C571" i="182"/>
  <c r="C570" i="182"/>
  <c r="C569" i="182"/>
  <c r="C568" i="182"/>
  <c r="C564" i="182"/>
  <c r="C563" i="182"/>
  <c r="C562" i="182"/>
  <c r="C561" i="182"/>
  <c r="C560" i="182"/>
  <c r="C559" i="182"/>
  <c r="C558" i="182"/>
  <c r="C557" i="182"/>
  <c r="C556" i="182"/>
  <c r="C555" i="182"/>
  <c r="C554" i="182"/>
  <c r="C553" i="182"/>
  <c r="C552" i="182"/>
  <c r="C551" i="182"/>
  <c r="C550" i="182"/>
  <c r="C549" i="182"/>
  <c r="C548" i="182"/>
  <c r="C547" i="182"/>
  <c r="C546" i="182"/>
  <c r="C545" i="182"/>
  <c r="C544" i="182"/>
  <c r="C543" i="182"/>
  <c r="C542" i="182"/>
  <c r="C541" i="182"/>
  <c r="C540" i="182"/>
  <c r="C539" i="182"/>
  <c r="C538" i="182"/>
  <c r="C537" i="182"/>
  <c r="C536" i="182"/>
  <c r="C535" i="182"/>
  <c r="C534" i="182"/>
  <c r="C533" i="182"/>
  <c r="C532" i="182"/>
  <c r="C531" i="182"/>
  <c r="C530" i="182"/>
  <c r="C529" i="182"/>
  <c r="C528" i="182"/>
  <c r="C527" i="182"/>
  <c r="C526" i="182"/>
  <c r="C525" i="182"/>
  <c r="C521" i="182"/>
  <c r="C520" i="182"/>
  <c r="C519" i="182"/>
  <c r="C518" i="182"/>
  <c r="C517" i="182"/>
  <c r="C516" i="182"/>
  <c r="C515" i="182"/>
  <c r="C514" i="182"/>
  <c r="C513" i="182"/>
  <c r="C512" i="182"/>
  <c r="C511" i="182"/>
  <c r="C510" i="182"/>
  <c r="C509" i="182"/>
  <c r="C508" i="182"/>
  <c r="C507" i="182"/>
  <c r="C506" i="182"/>
  <c r="C505" i="182"/>
  <c r="C504" i="182"/>
  <c r="C503" i="182"/>
  <c r="C502" i="182"/>
  <c r="C501" i="182"/>
  <c r="C500" i="182"/>
  <c r="C499" i="182"/>
  <c r="C498" i="182"/>
  <c r="C497" i="182"/>
  <c r="C496" i="182"/>
  <c r="C495" i="182"/>
  <c r="C494" i="182"/>
  <c r="C493" i="182"/>
  <c r="C492" i="182"/>
  <c r="C491" i="182"/>
  <c r="C490" i="182"/>
  <c r="C489" i="182"/>
  <c r="C488" i="182"/>
  <c r="C487" i="182"/>
  <c r="C486" i="182"/>
  <c r="C485" i="182"/>
  <c r="C484" i="182"/>
  <c r="C483" i="182"/>
  <c r="C482" i="182"/>
  <c r="C478" i="182"/>
  <c r="C477" i="182"/>
  <c r="C476" i="182"/>
  <c r="C475" i="182"/>
  <c r="C474" i="182"/>
  <c r="C473" i="182"/>
  <c r="C472" i="182"/>
  <c r="C471" i="182"/>
  <c r="C470" i="182"/>
  <c r="C469" i="182"/>
  <c r="C468" i="182"/>
  <c r="C467" i="182"/>
  <c r="C466" i="182"/>
  <c r="C465" i="182"/>
  <c r="C464" i="182"/>
  <c r="C463" i="182"/>
  <c r="C462" i="182"/>
  <c r="C461" i="182"/>
  <c r="C460" i="182"/>
  <c r="C459" i="182"/>
  <c r="C458" i="182"/>
  <c r="C457" i="182"/>
  <c r="C456" i="182"/>
  <c r="C455" i="182"/>
  <c r="C454" i="182"/>
  <c r="C453" i="182"/>
  <c r="C452" i="182"/>
  <c r="C451" i="182"/>
  <c r="C450" i="182"/>
  <c r="C449" i="182"/>
  <c r="C448" i="182"/>
  <c r="C447" i="182"/>
  <c r="C446" i="182"/>
  <c r="C445" i="182"/>
  <c r="C444" i="182"/>
  <c r="C443" i="182"/>
  <c r="C442" i="182"/>
  <c r="C441" i="182"/>
  <c r="C440" i="182"/>
  <c r="C439" i="182"/>
  <c r="C435" i="182"/>
  <c r="C434" i="182"/>
  <c r="C433" i="182"/>
  <c r="C432" i="182"/>
  <c r="C431" i="182"/>
  <c r="C430" i="182"/>
  <c r="C429" i="182"/>
  <c r="C428" i="182"/>
  <c r="C427" i="182"/>
  <c r="C426" i="182"/>
  <c r="C425" i="182"/>
  <c r="C424" i="182"/>
  <c r="C423" i="182"/>
  <c r="C422" i="182"/>
  <c r="C421" i="182"/>
  <c r="C420" i="182"/>
  <c r="C419" i="182"/>
  <c r="C418" i="182"/>
  <c r="C417" i="182"/>
  <c r="C416" i="182"/>
  <c r="C415" i="182"/>
  <c r="C414" i="182"/>
  <c r="C413" i="182"/>
  <c r="C412" i="182"/>
  <c r="C411" i="182"/>
  <c r="C410" i="182"/>
  <c r="C409" i="182"/>
  <c r="C408" i="182"/>
  <c r="C407" i="182"/>
  <c r="C406" i="182"/>
  <c r="C405" i="182"/>
  <c r="C404" i="182"/>
  <c r="C403" i="182"/>
  <c r="C402" i="182"/>
  <c r="C401" i="182"/>
  <c r="C400" i="182"/>
  <c r="C399" i="182"/>
  <c r="C398" i="182"/>
  <c r="C397" i="182"/>
  <c r="C396" i="182"/>
  <c r="C392" i="182"/>
  <c r="C391" i="182"/>
  <c r="C390" i="182"/>
  <c r="C389" i="182"/>
  <c r="C388" i="182"/>
  <c r="C387" i="182"/>
  <c r="C386" i="182"/>
  <c r="C385" i="182"/>
  <c r="C384" i="182"/>
  <c r="C383" i="182"/>
  <c r="C382" i="182"/>
  <c r="C381" i="182"/>
  <c r="C380" i="182"/>
  <c r="C379" i="182"/>
  <c r="C378" i="182"/>
  <c r="C377" i="182"/>
  <c r="C376" i="182"/>
  <c r="C375" i="182"/>
  <c r="C374" i="182"/>
  <c r="C373" i="182"/>
  <c r="C372" i="182"/>
  <c r="C371" i="182"/>
  <c r="C370" i="182"/>
  <c r="C369" i="182"/>
  <c r="C368" i="182"/>
  <c r="C367" i="182"/>
  <c r="C366" i="182"/>
  <c r="C365" i="182"/>
  <c r="C364" i="182"/>
  <c r="C363" i="182"/>
  <c r="C362" i="182"/>
  <c r="C361" i="182"/>
  <c r="C360" i="182"/>
  <c r="C359" i="182"/>
  <c r="C358" i="182"/>
  <c r="C357" i="182"/>
  <c r="C356" i="182"/>
  <c r="C355" i="182"/>
  <c r="C354" i="182"/>
  <c r="C353" i="182"/>
  <c r="C349" i="182"/>
  <c r="C348" i="182"/>
  <c r="C347" i="182"/>
  <c r="C346" i="182"/>
  <c r="C345" i="182"/>
  <c r="C344" i="182"/>
  <c r="C343" i="182"/>
  <c r="C342" i="182"/>
  <c r="C341" i="182"/>
  <c r="C340" i="182"/>
  <c r="C339" i="182"/>
  <c r="C338" i="182"/>
  <c r="C337" i="182"/>
  <c r="C336" i="182"/>
  <c r="C335" i="182"/>
  <c r="C334" i="182"/>
  <c r="C333" i="182"/>
  <c r="C332" i="182"/>
  <c r="C331" i="182"/>
  <c r="C330" i="182"/>
  <c r="C329" i="182"/>
  <c r="C328" i="182"/>
  <c r="C327" i="182"/>
  <c r="C326" i="182"/>
  <c r="C325" i="182"/>
  <c r="C324" i="182"/>
  <c r="C323" i="182"/>
  <c r="C322" i="182"/>
  <c r="C321" i="182"/>
  <c r="C320" i="182"/>
  <c r="C319" i="182"/>
  <c r="C318" i="182"/>
  <c r="C317" i="182"/>
  <c r="C316" i="182"/>
  <c r="C315" i="182"/>
  <c r="C314" i="182"/>
  <c r="C313" i="182"/>
  <c r="C312" i="182"/>
  <c r="C311" i="182"/>
  <c r="C310" i="182"/>
  <c r="C306" i="182"/>
  <c r="C305" i="182"/>
  <c r="C304" i="182"/>
  <c r="C303" i="182"/>
  <c r="C302" i="182"/>
  <c r="C301" i="182"/>
  <c r="C300" i="182"/>
  <c r="C299" i="182"/>
  <c r="C298" i="182"/>
  <c r="C297" i="182"/>
  <c r="C296" i="182"/>
  <c r="C295" i="182"/>
  <c r="C294" i="182"/>
  <c r="C293" i="182"/>
  <c r="C292" i="182"/>
  <c r="C291" i="182"/>
  <c r="C290" i="182"/>
  <c r="C289" i="182"/>
  <c r="C288" i="182"/>
  <c r="C287" i="182"/>
  <c r="C286" i="182"/>
  <c r="C285" i="182"/>
  <c r="C284" i="182"/>
  <c r="C283" i="182"/>
  <c r="C282" i="182"/>
  <c r="C281" i="182"/>
  <c r="C280" i="182"/>
  <c r="C279" i="182"/>
  <c r="C278" i="182"/>
  <c r="C277" i="182"/>
  <c r="C276" i="182"/>
  <c r="C275" i="182"/>
  <c r="C274" i="182"/>
  <c r="C273" i="182"/>
  <c r="C272" i="182"/>
  <c r="C271" i="182"/>
  <c r="C270" i="182"/>
  <c r="C269" i="182"/>
  <c r="C268" i="182"/>
  <c r="C267" i="182"/>
  <c r="C263" i="182"/>
  <c r="C262" i="182"/>
  <c r="C261" i="182"/>
  <c r="C260" i="182"/>
  <c r="C259" i="182"/>
  <c r="C258" i="182"/>
  <c r="C257" i="182"/>
  <c r="C256" i="182"/>
  <c r="C255" i="182"/>
  <c r="C254" i="182"/>
  <c r="C253" i="182"/>
  <c r="C252" i="182"/>
  <c r="C251" i="182"/>
  <c r="C250" i="182"/>
  <c r="C249" i="182"/>
  <c r="C248" i="182"/>
  <c r="C247" i="182"/>
  <c r="C246" i="182"/>
  <c r="C245" i="182"/>
  <c r="C244" i="182"/>
  <c r="C243" i="182"/>
  <c r="C242" i="182"/>
  <c r="C241" i="182"/>
  <c r="C240" i="182"/>
  <c r="C239" i="182"/>
  <c r="C238" i="182"/>
  <c r="C237" i="182"/>
  <c r="C236" i="182"/>
  <c r="C235" i="182"/>
  <c r="C234" i="182"/>
  <c r="C233" i="182"/>
  <c r="C232" i="182"/>
  <c r="C231" i="182"/>
  <c r="C230" i="182"/>
  <c r="C229" i="182"/>
  <c r="C228" i="182"/>
  <c r="C227" i="182"/>
  <c r="C226" i="182"/>
  <c r="C225" i="182"/>
  <c r="C224" i="182"/>
  <c r="C220" i="182"/>
  <c r="C219" i="182"/>
  <c r="C218" i="182"/>
  <c r="C217" i="182"/>
  <c r="C216" i="182"/>
  <c r="C215" i="182"/>
  <c r="C214" i="182"/>
  <c r="C213" i="182"/>
  <c r="C212" i="182"/>
  <c r="C211" i="182"/>
  <c r="C210" i="182"/>
  <c r="C209" i="182"/>
  <c r="C208" i="182"/>
  <c r="C207" i="182"/>
  <c r="C206" i="182"/>
  <c r="C205" i="182"/>
  <c r="C204" i="182"/>
  <c r="C203" i="182"/>
  <c r="C202" i="182"/>
  <c r="C201" i="182"/>
  <c r="C200" i="182"/>
  <c r="C199" i="182"/>
  <c r="C198" i="182"/>
  <c r="C197" i="182"/>
  <c r="C196" i="182"/>
  <c r="C195" i="182"/>
  <c r="C194" i="182"/>
  <c r="C193" i="182"/>
  <c r="C192" i="182"/>
  <c r="C191" i="182"/>
  <c r="C190" i="182"/>
  <c r="C189" i="182"/>
  <c r="C188" i="182"/>
  <c r="C187" i="182"/>
  <c r="C186" i="182"/>
  <c r="C185" i="182"/>
  <c r="C184" i="182"/>
  <c r="C183" i="182"/>
  <c r="C182" i="182"/>
  <c r="C181" i="182"/>
  <c r="C177" i="182"/>
  <c r="C176" i="182"/>
  <c r="C175" i="182"/>
  <c r="C174" i="182"/>
  <c r="C173" i="182"/>
  <c r="C172" i="182"/>
  <c r="C171" i="182"/>
  <c r="C170" i="182"/>
  <c r="C169" i="182"/>
  <c r="C168" i="182"/>
  <c r="C167" i="182"/>
  <c r="C166" i="182"/>
  <c r="C165" i="182"/>
  <c r="C164" i="182"/>
  <c r="C163" i="182"/>
  <c r="C162" i="182"/>
  <c r="C161" i="182"/>
  <c r="C160" i="182"/>
  <c r="C159" i="182"/>
  <c r="C158" i="182"/>
  <c r="C157" i="182"/>
  <c r="C156" i="182"/>
  <c r="C155" i="182"/>
  <c r="C154" i="182"/>
  <c r="C153" i="182"/>
  <c r="C152" i="182"/>
  <c r="C151" i="182"/>
  <c r="C150" i="182"/>
  <c r="C149" i="182"/>
  <c r="C148" i="182"/>
  <c r="C147" i="182"/>
  <c r="C146" i="182"/>
  <c r="C145" i="182"/>
  <c r="C144" i="182"/>
  <c r="C143" i="182"/>
  <c r="C142" i="182"/>
  <c r="C141" i="182"/>
  <c r="C140" i="182"/>
  <c r="C139" i="182"/>
  <c r="C138" i="182"/>
  <c r="C134" i="182"/>
  <c r="C133" i="182"/>
  <c r="C132" i="182"/>
  <c r="C131" i="182"/>
  <c r="C130" i="182"/>
  <c r="C129" i="182"/>
  <c r="C128" i="182"/>
  <c r="C127" i="182"/>
  <c r="C126" i="182"/>
  <c r="C125" i="182"/>
  <c r="C124" i="182"/>
  <c r="C123" i="182"/>
  <c r="C122" i="182"/>
  <c r="C121" i="182"/>
  <c r="C120" i="182"/>
  <c r="C119" i="182"/>
  <c r="C118" i="182"/>
  <c r="C117" i="182"/>
  <c r="C116" i="182"/>
  <c r="C115" i="182"/>
  <c r="C114" i="182"/>
  <c r="C113" i="182"/>
  <c r="C112" i="182"/>
  <c r="C111" i="182"/>
  <c r="C110" i="182"/>
  <c r="C109" i="182"/>
  <c r="C108" i="182"/>
  <c r="C107" i="182"/>
  <c r="C106" i="182"/>
  <c r="C105" i="182"/>
  <c r="C104" i="182"/>
  <c r="C103" i="182"/>
  <c r="C102" i="182"/>
  <c r="C101" i="182"/>
  <c r="C100" i="182"/>
  <c r="C99" i="182"/>
  <c r="C98" i="182"/>
  <c r="C97" i="182"/>
  <c r="C96" i="182"/>
  <c r="C95" i="182"/>
  <c r="C91" i="182"/>
  <c r="C90" i="182"/>
  <c r="C89" i="182"/>
  <c r="C88" i="182"/>
  <c r="C87" i="182"/>
  <c r="C86" i="182"/>
  <c r="C85" i="182"/>
  <c r="C84" i="182"/>
  <c r="C83" i="182"/>
  <c r="C82" i="182"/>
  <c r="C81" i="182"/>
  <c r="C80" i="182"/>
  <c r="C79" i="182"/>
  <c r="C78" i="182"/>
  <c r="C77" i="182"/>
  <c r="C76" i="182"/>
  <c r="C75" i="182"/>
  <c r="C74" i="182"/>
  <c r="C73" i="182"/>
  <c r="C72" i="182"/>
  <c r="C71" i="182"/>
  <c r="C70" i="182"/>
  <c r="C69" i="182"/>
  <c r="C68" i="182"/>
  <c r="C67" i="182"/>
  <c r="C66" i="182"/>
  <c r="C65" i="182"/>
  <c r="C64" i="182"/>
  <c r="C63" i="182"/>
  <c r="C62" i="182"/>
  <c r="C61" i="182"/>
  <c r="C60" i="182"/>
  <c r="C59" i="182"/>
  <c r="C58" i="182"/>
  <c r="C57" i="182"/>
  <c r="C56" i="182"/>
  <c r="C55" i="182"/>
  <c r="C54" i="182"/>
  <c r="C53" i="182"/>
  <c r="C52" i="182"/>
  <c r="C13" i="182"/>
  <c r="M49" i="36"/>
  <c r="I19" i="165" s="1"/>
  <c r="C153" i="159"/>
  <c r="C154" i="159"/>
  <c r="C139" i="159"/>
  <c r="AM88" i="16"/>
  <c r="AM89" i="16"/>
  <c r="BJ89" i="16" s="1"/>
  <c r="AM90" i="16"/>
  <c r="BG90" i="16" s="1"/>
  <c r="AM91" i="16"/>
  <c r="AM92" i="16"/>
  <c r="AD92" i="16" s="1"/>
  <c r="AM93" i="16"/>
  <c r="T78" i="119" s="1"/>
  <c r="AM94" i="16"/>
  <c r="AM95" i="16"/>
  <c r="AM96" i="16"/>
  <c r="AD96" i="16" s="1"/>
  <c r="AM97" i="16"/>
  <c r="T82" i="119" s="1"/>
  <c r="AM98" i="16"/>
  <c r="AD98" i="16" s="1"/>
  <c r="BI98" i="16" s="1"/>
  <c r="AM99" i="16"/>
  <c r="BJ99" i="16" s="1"/>
  <c r="AM100" i="16"/>
  <c r="AD100" i="16" s="1"/>
  <c r="AM101" i="16"/>
  <c r="BJ101" i="16" s="1"/>
  <c r="AM102" i="16"/>
  <c r="T87" i="119" s="1"/>
  <c r="AM103" i="16"/>
  <c r="AM104" i="16"/>
  <c r="AD104" i="16" s="1"/>
  <c r="BI104" i="16" s="1"/>
  <c r="AM105" i="16"/>
  <c r="T90" i="119" s="1"/>
  <c r="AM106" i="16"/>
  <c r="BG106" i="16" s="1"/>
  <c r="AM107" i="16"/>
  <c r="BJ107" i="16" s="1"/>
  <c r="AM108" i="16"/>
  <c r="T93" i="119" s="1"/>
  <c r="AM109" i="16"/>
  <c r="BJ109" i="16" s="1"/>
  <c r="AM110" i="16"/>
  <c r="AD110" i="16" s="1"/>
  <c r="AM111" i="16"/>
  <c r="AM112" i="16"/>
  <c r="AD112" i="16" s="1"/>
  <c r="AM113" i="16"/>
  <c r="T98" i="119" s="1"/>
  <c r="AM114" i="16"/>
  <c r="T99" i="119" s="1"/>
  <c r="AM115" i="16"/>
  <c r="AM116" i="16"/>
  <c r="AD116" i="16" s="1"/>
  <c r="BI116" i="16" s="1"/>
  <c r="AM117" i="16"/>
  <c r="T102" i="119" s="1"/>
  <c r="AM118" i="16"/>
  <c r="AM119" i="16"/>
  <c r="AM120" i="16"/>
  <c r="AD120" i="16" s="1"/>
  <c r="BI120" i="16" s="1"/>
  <c r="AM121" i="16"/>
  <c r="BJ121" i="16" s="1"/>
  <c r="AM122" i="16"/>
  <c r="BJ122" i="16" s="1"/>
  <c r="AM123" i="16"/>
  <c r="BJ123" i="16" s="1"/>
  <c r="AM124" i="16"/>
  <c r="AM125" i="16"/>
  <c r="BG125" i="16" s="1"/>
  <c r="AM126" i="16"/>
  <c r="BJ126" i="16" s="1"/>
  <c r="AM12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J88" i="16"/>
  <c r="BC88" i="16" s="1"/>
  <c r="AJ89" i="16"/>
  <c r="BC89" i="16" s="1"/>
  <c r="AJ90" i="16"/>
  <c r="BC90" i="16" s="1"/>
  <c r="AJ91" i="16"/>
  <c r="BC91" i="16" s="1"/>
  <c r="AJ92" i="16"/>
  <c r="AJ93" i="16"/>
  <c r="BC93" i="16" s="1"/>
  <c r="AJ94" i="16"/>
  <c r="BC94" i="16" s="1"/>
  <c r="AJ95" i="16"/>
  <c r="AJ96" i="16"/>
  <c r="BC96" i="16" s="1"/>
  <c r="AJ97" i="16"/>
  <c r="BC97" i="16" s="1"/>
  <c r="AJ98" i="16"/>
  <c r="AQ98" i="16" s="1"/>
  <c r="AJ99" i="16"/>
  <c r="BC99" i="16" s="1"/>
  <c r="AJ100" i="16"/>
  <c r="BC100" i="16" s="1"/>
  <c r="AJ101" i="16"/>
  <c r="BC101" i="16" s="1"/>
  <c r="AJ102" i="16"/>
  <c r="AJ103" i="16"/>
  <c r="AJ104" i="16"/>
  <c r="BC104" i="16" s="1"/>
  <c r="AJ105" i="16"/>
  <c r="BC105" i="16" s="1"/>
  <c r="AJ106" i="16"/>
  <c r="BC106" i="16" s="1"/>
  <c r="AJ107" i="16"/>
  <c r="AJ108" i="16"/>
  <c r="AJ109" i="16"/>
  <c r="BC109" i="16" s="1"/>
  <c r="AJ110" i="16"/>
  <c r="BC110" i="16" s="1"/>
  <c r="AJ111" i="16"/>
  <c r="AJ112" i="16"/>
  <c r="BC112" i="16" s="1"/>
  <c r="AJ113" i="16"/>
  <c r="BC113" i="16" s="1"/>
  <c r="AJ114" i="16"/>
  <c r="AJ115" i="16"/>
  <c r="BC115" i="16" s="1"/>
  <c r="AJ116" i="16"/>
  <c r="BC116" i="16" s="1"/>
  <c r="AJ117" i="16"/>
  <c r="BC117" i="16" s="1"/>
  <c r="AJ118" i="16"/>
  <c r="BC118" i="16" s="1"/>
  <c r="AJ119" i="16"/>
  <c r="BC119" i="16" s="1"/>
  <c r="AJ120" i="16"/>
  <c r="BC120" i="16" s="1"/>
  <c r="AJ121" i="16"/>
  <c r="BC121" i="16" s="1"/>
  <c r="AJ122" i="16"/>
  <c r="BC122" i="16" s="1"/>
  <c r="AJ123" i="16"/>
  <c r="BC123" i="16" s="1"/>
  <c r="AJ124" i="16"/>
  <c r="AJ125" i="16"/>
  <c r="BC125" i="16" s="1"/>
  <c r="AJ126" i="16"/>
  <c r="BC126" i="16" s="1"/>
  <c r="AJ127" i="16"/>
  <c r="AM133" i="16"/>
  <c r="BJ133" i="16" s="1"/>
  <c r="AM134" i="16"/>
  <c r="AM135" i="16"/>
  <c r="BG135" i="16" s="1"/>
  <c r="AM136" i="16"/>
  <c r="AM137" i="16"/>
  <c r="BJ137" i="16" s="1"/>
  <c r="AM138" i="16"/>
  <c r="AM139" i="16"/>
  <c r="BG139" i="16" s="1"/>
  <c r="AM140" i="16"/>
  <c r="AM141" i="16"/>
  <c r="BJ141" i="16" s="1"/>
  <c r="AM142" i="16"/>
  <c r="AM143" i="16"/>
  <c r="BG143" i="16" s="1"/>
  <c r="AM144" i="16"/>
  <c r="BJ144" i="16" s="1"/>
  <c r="AM145" i="16"/>
  <c r="AM146" i="16"/>
  <c r="AM147" i="16"/>
  <c r="T130" i="119" s="1"/>
  <c r="AM148" i="16"/>
  <c r="AM149" i="16"/>
  <c r="AD149" i="16" s="1"/>
  <c r="AM150" i="16"/>
  <c r="T133" i="119" s="1"/>
  <c r="AM151" i="16"/>
  <c r="BG151" i="16" s="1"/>
  <c r="AM152" i="16"/>
  <c r="BJ152" i="16" s="1"/>
  <c r="AM153" i="16"/>
  <c r="BJ153" i="16" s="1"/>
  <c r="AM154" i="16"/>
  <c r="AM155" i="16"/>
  <c r="AD155" i="16" s="1"/>
  <c r="AM156" i="16"/>
  <c r="BJ156" i="16" s="1"/>
  <c r="AM157" i="16"/>
  <c r="AD157" i="16" s="1"/>
  <c r="AM158" i="16"/>
  <c r="T141" i="119" s="1"/>
  <c r="AM159" i="16"/>
  <c r="BG159" i="16" s="1"/>
  <c r="AM160" i="16"/>
  <c r="T143" i="119" s="1"/>
  <c r="AM161" i="16"/>
  <c r="BJ161" i="16" s="1"/>
  <c r="AM162" i="16"/>
  <c r="AM163" i="16"/>
  <c r="AD163" i="16" s="1"/>
  <c r="AM164" i="16"/>
  <c r="AM165" i="16"/>
  <c r="AM166" i="16"/>
  <c r="AM167" i="16"/>
  <c r="BJ167" i="16" s="1"/>
  <c r="AM168" i="16"/>
  <c r="BG168" i="16" s="1"/>
  <c r="AM169" i="16"/>
  <c r="BG169" i="16" s="1"/>
  <c r="AM170" i="16"/>
  <c r="AM171" i="16"/>
  <c r="T154" i="119" s="1"/>
  <c r="AM172" i="16"/>
  <c r="BG172" i="16" s="1"/>
  <c r="AG133" i="16"/>
  <c r="AG134" i="16"/>
  <c r="V117" i="119" s="1"/>
  <c r="AG135" i="16"/>
  <c r="AG136" i="16"/>
  <c r="AG137" i="16"/>
  <c r="AG138" i="16"/>
  <c r="V121" i="119" s="1"/>
  <c r="AG139" i="16"/>
  <c r="AG140" i="16"/>
  <c r="AG141" i="16"/>
  <c r="AG142" i="16"/>
  <c r="V125" i="119" s="1"/>
  <c r="AG143" i="16"/>
  <c r="V126" i="119" s="1"/>
  <c r="AG144" i="16"/>
  <c r="AG145" i="16"/>
  <c r="AG146" i="16"/>
  <c r="AG147" i="16"/>
  <c r="V130" i="119" s="1"/>
  <c r="AG148" i="16"/>
  <c r="AG149" i="16"/>
  <c r="AG150" i="16"/>
  <c r="AG151" i="16"/>
  <c r="V134" i="119" s="1"/>
  <c r="AG152" i="16"/>
  <c r="AG153" i="16"/>
  <c r="AG154" i="16"/>
  <c r="AG155" i="16"/>
  <c r="AG156" i="16"/>
  <c r="AG157" i="16"/>
  <c r="AG158" i="16"/>
  <c r="AG159" i="16"/>
  <c r="V142" i="119" s="1"/>
  <c r="AG160" i="16"/>
  <c r="AG161" i="16"/>
  <c r="AG162" i="16"/>
  <c r="AG163" i="16"/>
  <c r="BB163" i="16" s="1"/>
  <c r="AG164" i="16"/>
  <c r="AG165" i="16"/>
  <c r="AG166" i="16"/>
  <c r="AG167" i="16"/>
  <c r="V150" i="119" s="1"/>
  <c r="AG168" i="16"/>
  <c r="AG169" i="16"/>
  <c r="AG170" i="16"/>
  <c r="AG171" i="16"/>
  <c r="AG172" i="16"/>
  <c r="AJ133" i="16"/>
  <c r="BC133" i="16" s="1"/>
  <c r="AJ134" i="16"/>
  <c r="BC134" i="16" s="1"/>
  <c r="AJ135" i="16"/>
  <c r="BC135" i="16" s="1"/>
  <c r="AJ136" i="16"/>
  <c r="AJ137" i="16"/>
  <c r="BC137" i="16" s="1"/>
  <c r="AJ138" i="16"/>
  <c r="BC138" i="16" s="1"/>
  <c r="AJ139" i="16"/>
  <c r="BC139" i="16" s="1"/>
  <c r="AJ140" i="16"/>
  <c r="AJ141" i="16"/>
  <c r="BC141" i="16" s="1"/>
  <c r="AJ142" i="16"/>
  <c r="BC142" i="16" s="1"/>
  <c r="AJ143" i="16"/>
  <c r="BC143" i="16" s="1"/>
  <c r="AJ144" i="16"/>
  <c r="AJ145" i="16"/>
  <c r="BC145" i="16" s="1"/>
  <c r="AJ146" i="16"/>
  <c r="BC146" i="16" s="1"/>
  <c r="AJ147" i="16"/>
  <c r="BC147" i="16" s="1"/>
  <c r="AJ148" i="16"/>
  <c r="AJ149" i="16"/>
  <c r="BC149" i="16" s="1"/>
  <c r="AJ150" i="16"/>
  <c r="BC150" i="16" s="1"/>
  <c r="AJ151" i="16"/>
  <c r="BC151" i="16" s="1"/>
  <c r="AJ152" i="16"/>
  <c r="BC152" i="16" s="1"/>
  <c r="AJ153" i="16"/>
  <c r="BC153" i="16" s="1"/>
  <c r="AJ154" i="16"/>
  <c r="BC154" i="16" s="1"/>
  <c r="AJ155" i="16"/>
  <c r="BC155" i="16" s="1"/>
  <c r="AJ156" i="16"/>
  <c r="AJ157" i="16"/>
  <c r="BC157" i="16" s="1"/>
  <c r="AJ158" i="16"/>
  <c r="BC158" i="16" s="1"/>
  <c r="AJ159" i="16"/>
  <c r="BC159" i="16" s="1"/>
  <c r="AJ160" i="16"/>
  <c r="AJ161" i="16"/>
  <c r="BC161" i="16" s="1"/>
  <c r="AJ162" i="16"/>
  <c r="BC162" i="16" s="1"/>
  <c r="AJ163" i="16"/>
  <c r="BC163" i="16" s="1"/>
  <c r="AJ164" i="16"/>
  <c r="AJ165" i="16"/>
  <c r="BC165" i="16" s="1"/>
  <c r="AJ166" i="16"/>
  <c r="BC166" i="16" s="1"/>
  <c r="AJ167" i="16"/>
  <c r="BC167" i="16" s="1"/>
  <c r="AJ168" i="16"/>
  <c r="AJ169" i="16"/>
  <c r="BC169" i="16" s="1"/>
  <c r="AJ170" i="16"/>
  <c r="BC170" i="16" s="1"/>
  <c r="AJ171" i="16"/>
  <c r="BC171" i="16" s="1"/>
  <c r="AJ172" i="16"/>
  <c r="BC172" i="16" s="1"/>
  <c r="AM178" i="16"/>
  <c r="BJ178" i="16" s="1"/>
  <c r="AM179" i="16"/>
  <c r="AM180" i="16"/>
  <c r="AM181" i="16"/>
  <c r="AM182" i="16"/>
  <c r="BJ182" i="16" s="1"/>
  <c r="AM183" i="16"/>
  <c r="AM184" i="16"/>
  <c r="AM185" i="16"/>
  <c r="AM186" i="16"/>
  <c r="AM187" i="16"/>
  <c r="AM188" i="16"/>
  <c r="AM189" i="16"/>
  <c r="AM190" i="16"/>
  <c r="AM191" i="16"/>
  <c r="AM192" i="16"/>
  <c r="AM193" i="16"/>
  <c r="AM194" i="16"/>
  <c r="BJ194" i="16" s="1"/>
  <c r="AM195" i="16"/>
  <c r="AM196" i="16"/>
  <c r="AM197" i="16"/>
  <c r="AM198" i="16"/>
  <c r="AM199" i="16"/>
  <c r="AM200" i="16"/>
  <c r="AM201" i="16"/>
  <c r="AM202" i="16"/>
  <c r="BG202" i="16" s="1"/>
  <c r="AM203" i="16"/>
  <c r="AM204" i="16"/>
  <c r="AM205" i="16"/>
  <c r="AM206" i="16"/>
  <c r="BJ206" i="16"/>
  <c r="AM207" i="16"/>
  <c r="AM208" i="16"/>
  <c r="AM209" i="16"/>
  <c r="AM210" i="16"/>
  <c r="AM211" i="16"/>
  <c r="AM212" i="16"/>
  <c r="AM213" i="16"/>
  <c r="AM214" i="16"/>
  <c r="AM215" i="16"/>
  <c r="AM216" i="16"/>
  <c r="AM217" i="16"/>
  <c r="AG178" i="16"/>
  <c r="AG179" i="16"/>
  <c r="AG180" i="16"/>
  <c r="AG181" i="16"/>
  <c r="AG182" i="16"/>
  <c r="AG183" i="16"/>
  <c r="AG184" i="16"/>
  <c r="BB184" i="16" s="1"/>
  <c r="AG185" i="16"/>
  <c r="AG186" i="16"/>
  <c r="BB186" i="16" s="1"/>
  <c r="AG187" i="16"/>
  <c r="AG188" i="16"/>
  <c r="BB188" i="16"/>
  <c r="AG189" i="16"/>
  <c r="AG190" i="16"/>
  <c r="BB190" i="16"/>
  <c r="AG191" i="16"/>
  <c r="AG192" i="16"/>
  <c r="BB192" i="16" s="1"/>
  <c r="AG193" i="16"/>
  <c r="AG194" i="16"/>
  <c r="BB194" i="16" s="1"/>
  <c r="AG195" i="16"/>
  <c r="AG196" i="16"/>
  <c r="BB196" i="16"/>
  <c r="AG197" i="16"/>
  <c r="AG198" i="16"/>
  <c r="BB198" i="16"/>
  <c r="AG199" i="16"/>
  <c r="AG200" i="16"/>
  <c r="BB200" i="16"/>
  <c r="AG201" i="16"/>
  <c r="AG202" i="16"/>
  <c r="BB202" i="16" s="1"/>
  <c r="AG203" i="16"/>
  <c r="AG204" i="16"/>
  <c r="BB204" i="16"/>
  <c r="AG205" i="16"/>
  <c r="AG206" i="16"/>
  <c r="BB206" i="16"/>
  <c r="AG207" i="16"/>
  <c r="AG208" i="16"/>
  <c r="BB208" i="16" s="1"/>
  <c r="AG209" i="16"/>
  <c r="AG210" i="16"/>
  <c r="BB210" i="16" s="1"/>
  <c r="AG211" i="16"/>
  <c r="AG212" i="16"/>
  <c r="BB212" i="16"/>
  <c r="AG213" i="16"/>
  <c r="AG214" i="16"/>
  <c r="BB214" i="16"/>
  <c r="AG215" i="16"/>
  <c r="AG216" i="16"/>
  <c r="BB216" i="16" s="1"/>
  <c r="AG217" i="16"/>
  <c r="AJ178" i="16"/>
  <c r="BC178" i="16" s="1"/>
  <c r="AJ179" i="16"/>
  <c r="BC179" i="16" s="1"/>
  <c r="AJ180" i="16"/>
  <c r="BC180" i="16" s="1"/>
  <c r="AJ181" i="16"/>
  <c r="BC181" i="16" s="1"/>
  <c r="AJ182" i="16"/>
  <c r="AJ183" i="16"/>
  <c r="BC183" i="16" s="1"/>
  <c r="AJ184" i="16"/>
  <c r="BC184" i="16"/>
  <c r="AJ185" i="16"/>
  <c r="BC185" i="16" s="1"/>
  <c r="AJ186" i="16"/>
  <c r="BC186" i="16" s="1"/>
  <c r="AJ187" i="16"/>
  <c r="BC187" i="16" s="1"/>
  <c r="AJ188" i="16"/>
  <c r="BC188" i="16" s="1"/>
  <c r="AJ189" i="16"/>
  <c r="BC189" i="16" s="1"/>
  <c r="AJ190" i="16"/>
  <c r="BC190" i="16"/>
  <c r="AJ191" i="16"/>
  <c r="BC191" i="16" s="1"/>
  <c r="AJ192" i="16"/>
  <c r="BC192" i="16" s="1"/>
  <c r="AJ193" i="16"/>
  <c r="BC193" i="16" s="1"/>
  <c r="AJ194" i="16"/>
  <c r="BC194" i="16" s="1"/>
  <c r="AJ195" i="16"/>
  <c r="BC195" i="16" s="1"/>
  <c r="AJ196" i="16"/>
  <c r="BC196" i="16" s="1"/>
  <c r="AJ197" i="16"/>
  <c r="BC197" i="16" s="1"/>
  <c r="AJ198" i="16"/>
  <c r="BC198" i="16" s="1"/>
  <c r="AJ199" i="16"/>
  <c r="BC199" i="16" s="1"/>
  <c r="AJ200" i="16"/>
  <c r="BC200" i="16" s="1"/>
  <c r="AJ201" i="16"/>
  <c r="BC201" i="16" s="1"/>
  <c r="AJ202" i="16"/>
  <c r="BC202" i="16" s="1"/>
  <c r="AJ203" i="16"/>
  <c r="BC203" i="16" s="1"/>
  <c r="AJ204" i="16"/>
  <c r="BC204" i="16" s="1"/>
  <c r="AJ205" i="16"/>
  <c r="BC205" i="16" s="1"/>
  <c r="AJ206" i="16"/>
  <c r="BC206" i="16" s="1"/>
  <c r="AJ207" i="16"/>
  <c r="BC207" i="16" s="1"/>
  <c r="AJ208" i="16"/>
  <c r="BC208" i="16" s="1"/>
  <c r="AJ209" i="16"/>
  <c r="BC209" i="16" s="1"/>
  <c r="AJ210" i="16"/>
  <c r="BC210" i="16" s="1"/>
  <c r="AJ211" i="16"/>
  <c r="BC211" i="16" s="1"/>
  <c r="AJ212" i="16"/>
  <c r="BC212" i="16" s="1"/>
  <c r="AJ213" i="16"/>
  <c r="BC213" i="16" s="1"/>
  <c r="AJ214" i="16"/>
  <c r="BC214" i="16" s="1"/>
  <c r="AJ215" i="16"/>
  <c r="BC215" i="16" s="1"/>
  <c r="AJ216" i="16"/>
  <c r="BC216" i="16" s="1"/>
  <c r="AJ217" i="16"/>
  <c r="BC217" i="16" s="1"/>
  <c r="AM223" i="16"/>
  <c r="AD223" i="16" s="1"/>
  <c r="BI223" i="16" s="1"/>
  <c r="AM224" i="16"/>
  <c r="AM225" i="16"/>
  <c r="BJ225" i="16" s="1"/>
  <c r="AM226" i="16"/>
  <c r="AM227" i="16"/>
  <c r="AD227" i="16" s="1"/>
  <c r="AM228" i="16"/>
  <c r="AM229" i="16"/>
  <c r="BJ229" i="16" s="1"/>
  <c r="AM230" i="16"/>
  <c r="AM231" i="16"/>
  <c r="AD231" i="16" s="1"/>
  <c r="BI231" i="16" s="1"/>
  <c r="AM232" i="16"/>
  <c r="T211" i="119" s="1"/>
  <c r="AM233" i="16"/>
  <c r="AM234" i="16"/>
  <c r="AM235" i="16"/>
  <c r="AD235" i="16" s="1"/>
  <c r="BI235" i="16" s="1"/>
  <c r="AM236" i="16"/>
  <c r="AM237" i="16"/>
  <c r="AM238" i="16"/>
  <c r="BJ238" i="16" s="1"/>
  <c r="AM239" i="16"/>
  <c r="AD239" i="16" s="1"/>
  <c r="AM240" i="16"/>
  <c r="AM241" i="16"/>
  <c r="AM242" i="16"/>
  <c r="BJ242" i="16" s="1"/>
  <c r="AM243" i="16"/>
  <c r="AD243" i="16" s="1"/>
  <c r="BI243" i="16" s="1"/>
  <c r="AM244" i="16"/>
  <c r="AM245" i="16"/>
  <c r="AM246" i="16"/>
  <c r="AM247" i="16"/>
  <c r="AM248" i="16"/>
  <c r="AM249" i="16"/>
  <c r="AD249" i="16" s="1"/>
  <c r="AM250" i="16"/>
  <c r="BJ250" i="16" s="1"/>
  <c r="AM251" i="16"/>
  <c r="AM252" i="16"/>
  <c r="AM253" i="16"/>
  <c r="AD253" i="16" s="1"/>
  <c r="AM254" i="16"/>
  <c r="BJ254" i="16" s="1"/>
  <c r="AM255" i="16"/>
  <c r="AM256" i="16"/>
  <c r="AM257" i="16"/>
  <c r="AM258" i="16"/>
  <c r="BJ258" i="16" s="1"/>
  <c r="AM259" i="16"/>
  <c r="AM260" i="16"/>
  <c r="AM261" i="16"/>
  <c r="BJ261" i="16" s="1"/>
  <c r="AM262" i="16"/>
  <c r="AG223" i="16"/>
  <c r="AG224" i="16"/>
  <c r="AG225" i="16"/>
  <c r="AG226" i="16"/>
  <c r="AG227" i="16"/>
  <c r="AG228" i="16"/>
  <c r="AG229" i="16"/>
  <c r="AG230" i="16"/>
  <c r="AG231" i="16"/>
  <c r="AG232" i="16"/>
  <c r="AG233" i="16"/>
  <c r="AG234" i="16"/>
  <c r="AG235" i="16"/>
  <c r="AG236" i="16"/>
  <c r="AG237" i="16"/>
  <c r="AG238" i="16"/>
  <c r="AG239" i="16"/>
  <c r="AG240" i="16"/>
  <c r="AG241" i="16"/>
  <c r="AG242" i="16"/>
  <c r="AG243" i="16"/>
  <c r="AG244" i="16"/>
  <c r="AG245" i="16"/>
  <c r="AG246" i="16"/>
  <c r="AG247" i="16"/>
  <c r="AG248" i="16"/>
  <c r="AG249" i="16"/>
  <c r="AG250" i="16"/>
  <c r="AG251" i="16"/>
  <c r="AG252" i="16"/>
  <c r="AG253" i="16"/>
  <c r="AG254" i="16"/>
  <c r="AG255" i="16"/>
  <c r="AG256" i="16"/>
  <c r="AG257" i="16"/>
  <c r="AG258" i="16"/>
  <c r="AG259" i="16"/>
  <c r="AG260" i="16"/>
  <c r="AG261" i="16"/>
  <c r="AG262" i="16"/>
  <c r="AJ223" i="16"/>
  <c r="BC223" i="16" s="1"/>
  <c r="AJ224" i="16"/>
  <c r="BC224" i="16" s="1"/>
  <c r="AJ225" i="16"/>
  <c r="BC225" i="16" s="1"/>
  <c r="AJ226" i="16"/>
  <c r="BC226" i="16" s="1"/>
  <c r="AJ227" i="16"/>
  <c r="BC227" i="16" s="1"/>
  <c r="AJ228" i="16"/>
  <c r="BC228" i="16" s="1"/>
  <c r="AJ229" i="16"/>
  <c r="BC229" i="16" s="1"/>
  <c r="AJ230" i="16"/>
  <c r="BC230" i="16" s="1"/>
  <c r="AJ231" i="16"/>
  <c r="BC231" i="16" s="1"/>
  <c r="AJ232" i="16"/>
  <c r="BC232" i="16" s="1"/>
  <c r="AJ233" i="16"/>
  <c r="BC233" i="16" s="1"/>
  <c r="AJ234" i="16"/>
  <c r="BC234" i="16" s="1"/>
  <c r="AJ235" i="16"/>
  <c r="BC235" i="16" s="1"/>
  <c r="AJ236" i="16"/>
  <c r="BC236" i="16" s="1"/>
  <c r="AJ237" i="16"/>
  <c r="BC237" i="16" s="1"/>
  <c r="AJ238" i="16"/>
  <c r="BC238" i="16" s="1"/>
  <c r="AJ239" i="16"/>
  <c r="BC239" i="16" s="1"/>
  <c r="AJ240" i="16"/>
  <c r="BC240" i="16" s="1"/>
  <c r="AJ241" i="16"/>
  <c r="BC241" i="16" s="1"/>
  <c r="AJ242" i="16"/>
  <c r="BC242" i="16" s="1"/>
  <c r="AJ243" i="16"/>
  <c r="BC243" i="16" s="1"/>
  <c r="AJ244" i="16"/>
  <c r="BC244" i="16" s="1"/>
  <c r="AJ245" i="16"/>
  <c r="BC245" i="16" s="1"/>
  <c r="AJ246" i="16"/>
  <c r="BC246" i="16" s="1"/>
  <c r="AJ247" i="16"/>
  <c r="BC247" i="16" s="1"/>
  <c r="AJ248" i="16"/>
  <c r="BC248" i="16" s="1"/>
  <c r="AJ249" i="16"/>
  <c r="BC249" i="16" s="1"/>
  <c r="AJ250" i="16"/>
  <c r="BC250" i="16" s="1"/>
  <c r="AJ251" i="16"/>
  <c r="BC251" i="16" s="1"/>
  <c r="AJ252" i="16"/>
  <c r="BC252" i="16" s="1"/>
  <c r="AJ253" i="16"/>
  <c r="BC253" i="16" s="1"/>
  <c r="AJ254" i="16"/>
  <c r="BC254" i="16" s="1"/>
  <c r="AJ255" i="16"/>
  <c r="BC255" i="16" s="1"/>
  <c r="AJ256" i="16"/>
  <c r="BC256" i="16" s="1"/>
  <c r="AJ257" i="16"/>
  <c r="BC257" i="16" s="1"/>
  <c r="AJ258" i="16"/>
  <c r="BC258" i="16" s="1"/>
  <c r="AJ259" i="16"/>
  <c r="BC259" i="16" s="1"/>
  <c r="AJ260" i="16"/>
  <c r="BC260" i="16" s="1"/>
  <c r="AJ261" i="16"/>
  <c r="BC261" i="16" s="1"/>
  <c r="AJ262" i="16"/>
  <c r="BC262" i="16" s="1"/>
  <c r="AM268" i="16"/>
  <c r="AM269" i="16"/>
  <c r="AM270" i="16"/>
  <c r="AD270" i="16" s="1"/>
  <c r="BI270" i="16" s="1"/>
  <c r="AM271" i="16"/>
  <c r="BJ271" i="16" s="1"/>
  <c r="AM272" i="16"/>
  <c r="AM273" i="16"/>
  <c r="AM274" i="16"/>
  <c r="AD274" i="16" s="1"/>
  <c r="BI274" i="16" s="1"/>
  <c r="AM275" i="16"/>
  <c r="BJ275" i="16" s="1"/>
  <c r="AM276" i="16"/>
  <c r="BJ276" i="16" s="1"/>
  <c r="AM277" i="16"/>
  <c r="BJ277" i="16" s="1"/>
  <c r="AM278" i="16"/>
  <c r="AD278" i="16" s="1"/>
  <c r="BI278" i="16" s="1"/>
  <c r="AM279" i="16"/>
  <c r="BJ279" i="16" s="1"/>
  <c r="AM280" i="16"/>
  <c r="AM281" i="16"/>
  <c r="AM282" i="16"/>
  <c r="AM283" i="16"/>
  <c r="AM284" i="16"/>
  <c r="AM285" i="16"/>
  <c r="BJ285" i="16" s="1"/>
  <c r="AM286" i="16"/>
  <c r="AD286" i="16" s="1"/>
  <c r="BI286" i="16" s="1"/>
  <c r="AM287" i="16"/>
  <c r="BG287" i="16" s="1"/>
  <c r="AM288" i="16"/>
  <c r="BJ288" i="16" s="1"/>
  <c r="AM289" i="16"/>
  <c r="BJ289" i="16" s="1"/>
  <c r="AM290" i="16"/>
  <c r="AD290" i="16" s="1"/>
  <c r="BI290" i="16" s="1"/>
  <c r="AM291" i="16"/>
  <c r="AM292" i="16"/>
  <c r="BJ292" i="16" s="1"/>
  <c r="AM293" i="16"/>
  <c r="BJ293" i="16" s="1"/>
  <c r="AM294" i="16"/>
  <c r="AD294" i="16" s="1"/>
  <c r="BI294" i="16" s="1"/>
  <c r="AM295" i="16"/>
  <c r="BJ295" i="16" s="1"/>
  <c r="AD295" i="16"/>
  <c r="BI295" i="16" s="1"/>
  <c r="AM296" i="16"/>
  <c r="BJ296" i="16" s="1"/>
  <c r="AM297" i="16"/>
  <c r="AD297" i="16" s="1"/>
  <c r="AM298" i="16"/>
  <c r="AD298" i="16" s="1"/>
  <c r="BI298" i="16" s="1"/>
  <c r="AM299" i="16"/>
  <c r="BJ299" i="16" s="1"/>
  <c r="AM300" i="16"/>
  <c r="AM301" i="16"/>
  <c r="AM302" i="16"/>
  <c r="AD302" i="16" s="1"/>
  <c r="BI302" i="16" s="1"/>
  <c r="AM303" i="16"/>
  <c r="BJ303" i="16" s="1"/>
  <c r="AM304" i="16"/>
  <c r="AM305" i="16"/>
  <c r="AM306" i="16"/>
  <c r="AD306" i="16" s="1"/>
  <c r="BI306" i="16" s="1"/>
  <c r="AM307" i="16"/>
  <c r="BJ307" i="16" s="1"/>
  <c r="AG268" i="16"/>
  <c r="AG269" i="16"/>
  <c r="AG270" i="16"/>
  <c r="AG271" i="16"/>
  <c r="AG272" i="16"/>
  <c r="AG273" i="16"/>
  <c r="AG274" i="16"/>
  <c r="AG275" i="16"/>
  <c r="AG276" i="16"/>
  <c r="AG277" i="16"/>
  <c r="AG278" i="16"/>
  <c r="AG279" i="16"/>
  <c r="AG280" i="16"/>
  <c r="AG281" i="16"/>
  <c r="AG282" i="16"/>
  <c r="AG283" i="16"/>
  <c r="AG284" i="16"/>
  <c r="AG285" i="16"/>
  <c r="AG286" i="16"/>
  <c r="AG287" i="16"/>
  <c r="AG288" i="16"/>
  <c r="AG289" i="16"/>
  <c r="AG290" i="16"/>
  <c r="AG291" i="16"/>
  <c r="AG292" i="16"/>
  <c r="AG293" i="16"/>
  <c r="AG294" i="16"/>
  <c r="AG295" i="16"/>
  <c r="AG296" i="16"/>
  <c r="AG297" i="16"/>
  <c r="AG298" i="16"/>
  <c r="AG299" i="16"/>
  <c r="AG300" i="16"/>
  <c r="AG301" i="16"/>
  <c r="AG302" i="16"/>
  <c r="AG303" i="16"/>
  <c r="AG304" i="16"/>
  <c r="AG305" i="16"/>
  <c r="AG306" i="16"/>
  <c r="AG307" i="16"/>
  <c r="AJ268" i="16"/>
  <c r="BC268" i="16" s="1"/>
  <c r="AJ269" i="16"/>
  <c r="BC269" i="16" s="1"/>
  <c r="AJ270" i="16"/>
  <c r="BC270" i="16" s="1"/>
  <c r="AJ271" i="16"/>
  <c r="BC271" i="16" s="1"/>
  <c r="AJ272" i="16"/>
  <c r="BC272" i="16" s="1"/>
  <c r="AJ273" i="16"/>
  <c r="BC273" i="16" s="1"/>
  <c r="AJ274" i="16"/>
  <c r="BC274" i="16" s="1"/>
  <c r="AJ275" i="16"/>
  <c r="BC275" i="16" s="1"/>
  <c r="AJ276" i="16"/>
  <c r="BC276" i="16" s="1"/>
  <c r="AJ277" i="16"/>
  <c r="BC277" i="16" s="1"/>
  <c r="AJ278" i="16"/>
  <c r="BC278" i="16" s="1"/>
  <c r="AJ279" i="16"/>
  <c r="BC279" i="16" s="1"/>
  <c r="AJ280" i="16"/>
  <c r="BC280" i="16" s="1"/>
  <c r="AJ281" i="16"/>
  <c r="BC281" i="16" s="1"/>
  <c r="AJ282" i="16"/>
  <c r="BC282" i="16" s="1"/>
  <c r="AJ283" i="16"/>
  <c r="BC283" i="16" s="1"/>
  <c r="AJ284" i="16"/>
  <c r="BC284" i="16" s="1"/>
  <c r="AJ285" i="16"/>
  <c r="BC285" i="16" s="1"/>
  <c r="AJ286" i="16"/>
  <c r="BC286" i="16" s="1"/>
  <c r="AJ287" i="16"/>
  <c r="BC287" i="16" s="1"/>
  <c r="AJ288" i="16"/>
  <c r="BC288" i="16" s="1"/>
  <c r="AJ289" i="16"/>
  <c r="BC289" i="16" s="1"/>
  <c r="AJ290" i="16"/>
  <c r="BC290" i="16" s="1"/>
  <c r="AJ291" i="16"/>
  <c r="BC291" i="16" s="1"/>
  <c r="AJ292" i="16"/>
  <c r="BC292" i="16" s="1"/>
  <c r="AJ293" i="16"/>
  <c r="BC293" i="16" s="1"/>
  <c r="AJ294" i="16"/>
  <c r="BC294" i="16" s="1"/>
  <c r="AJ295" i="16"/>
  <c r="BC295" i="16" s="1"/>
  <c r="AJ296" i="16"/>
  <c r="BC296" i="16" s="1"/>
  <c r="AJ297" i="16"/>
  <c r="BC297" i="16" s="1"/>
  <c r="AJ298" i="16"/>
  <c r="BC298" i="16" s="1"/>
  <c r="AJ299" i="16"/>
  <c r="BC299" i="16" s="1"/>
  <c r="AJ300" i="16"/>
  <c r="BC300" i="16" s="1"/>
  <c r="AJ301" i="16"/>
  <c r="BC301" i="16" s="1"/>
  <c r="AJ302" i="16"/>
  <c r="BC302" i="16" s="1"/>
  <c r="AJ303" i="16"/>
  <c r="BC303" i="16" s="1"/>
  <c r="AJ304" i="16"/>
  <c r="BC304" i="16" s="1"/>
  <c r="AJ305" i="16"/>
  <c r="BC305" i="16" s="1"/>
  <c r="AJ306" i="16"/>
  <c r="BC306" i="16" s="1"/>
  <c r="AJ307" i="16"/>
  <c r="BC307" i="16" s="1"/>
  <c r="AM313" i="16"/>
  <c r="AM314" i="16"/>
  <c r="AM315" i="16"/>
  <c r="BJ315" i="16" s="1"/>
  <c r="AM316" i="16"/>
  <c r="AM317" i="16"/>
  <c r="AM318" i="16"/>
  <c r="AM319" i="16"/>
  <c r="AM320" i="16"/>
  <c r="AM321" i="16"/>
  <c r="AM322" i="16"/>
  <c r="AM323" i="16"/>
  <c r="AM324" i="16"/>
  <c r="BJ324" i="16" s="1"/>
  <c r="AM325" i="16"/>
  <c r="AM326" i="16"/>
  <c r="AM327" i="16"/>
  <c r="BJ327" i="16" s="1"/>
  <c r="AM328" i="16"/>
  <c r="BJ328" i="16" s="1"/>
  <c r="AM329" i="16"/>
  <c r="AM330" i="16"/>
  <c r="AM331" i="16"/>
  <c r="AD331" i="16" s="1"/>
  <c r="BI331" i="16" s="1"/>
  <c r="AM332" i="16"/>
  <c r="AM333" i="16"/>
  <c r="AM334" i="16"/>
  <c r="AM335" i="16"/>
  <c r="AM336" i="16"/>
  <c r="BJ336" i="16" s="1"/>
  <c r="AM337" i="16"/>
  <c r="AM338" i="16"/>
  <c r="AM339" i="16"/>
  <c r="AM340" i="16"/>
  <c r="AM341" i="16"/>
  <c r="AM342" i="16"/>
  <c r="AM343" i="16"/>
  <c r="AD343" i="16" s="1"/>
  <c r="BI343" i="16" s="1"/>
  <c r="AM344" i="16"/>
  <c r="BJ344" i="16" s="1"/>
  <c r="AM345" i="16"/>
  <c r="AM346" i="16"/>
  <c r="AM347" i="16"/>
  <c r="BJ347" i="16" s="1"/>
  <c r="AM348" i="16"/>
  <c r="AM349" i="16"/>
  <c r="AM350" i="16"/>
  <c r="AM351" i="16"/>
  <c r="AM352" i="16"/>
  <c r="AG313" i="16"/>
  <c r="AG314" i="16"/>
  <c r="AG315" i="16"/>
  <c r="AG316" i="16"/>
  <c r="AG317" i="16"/>
  <c r="AG318" i="16"/>
  <c r="AG319" i="16"/>
  <c r="AG320" i="16"/>
  <c r="AG321" i="16"/>
  <c r="AG322" i="16"/>
  <c r="AG323" i="16"/>
  <c r="AG324" i="16"/>
  <c r="AG325" i="16"/>
  <c r="AG326" i="16"/>
  <c r="AG327" i="16"/>
  <c r="AG328" i="16"/>
  <c r="AG329" i="16"/>
  <c r="AG330" i="16"/>
  <c r="AG331" i="16"/>
  <c r="AG332" i="16"/>
  <c r="AG333" i="16"/>
  <c r="AG334" i="16"/>
  <c r="AG335" i="16"/>
  <c r="AG336" i="16"/>
  <c r="BB336" i="16" s="1"/>
  <c r="AG337" i="16"/>
  <c r="AG338" i="16"/>
  <c r="AG339" i="16"/>
  <c r="AG340" i="16"/>
  <c r="AG341" i="16"/>
  <c r="AG342" i="16"/>
  <c r="AG343" i="16"/>
  <c r="AG344" i="16"/>
  <c r="AG345" i="16"/>
  <c r="AG346" i="16"/>
  <c r="AG347" i="16"/>
  <c r="AG348" i="16"/>
  <c r="AG349" i="16"/>
  <c r="AG350" i="16"/>
  <c r="AG351" i="16"/>
  <c r="AG352" i="16"/>
  <c r="AJ313" i="16"/>
  <c r="BC313" i="16" s="1"/>
  <c r="AJ314" i="16"/>
  <c r="BC314" i="16" s="1"/>
  <c r="AJ315" i="16"/>
  <c r="BC315" i="16" s="1"/>
  <c r="AJ316" i="16"/>
  <c r="AJ317" i="16"/>
  <c r="BC317" i="16" s="1"/>
  <c r="AJ318" i="16"/>
  <c r="BC318" i="16" s="1"/>
  <c r="AJ319" i="16"/>
  <c r="BC319" i="16" s="1"/>
  <c r="AJ320" i="16"/>
  <c r="BC320" i="16" s="1"/>
  <c r="AJ321" i="16"/>
  <c r="BC321" i="16" s="1"/>
  <c r="AJ322" i="16"/>
  <c r="BC322" i="16" s="1"/>
  <c r="AJ323" i="16"/>
  <c r="BC323" i="16" s="1"/>
  <c r="AJ324" i="16"/>
  <c r="BC324" i="16" s="1"/>
  <c r="AJ325" i="16"/>
  <c r="BC325" i="16" s="1"/>
  <c r="AJ326" i="16"/>
  <c r="BC326" i="16" s="1"/>
  <c r="AJ327" i="16"/>
  <c r="BC327" i="16" s="1"/>
  <c r="AJ328" i="16"/>
  <c r="BC328" i="16" s="1"/>
  <c r="AJ329" i="16"/>
  <c r="BC329" i="16" s="1"/>
  <c r="AJ330" i="16"/>
  <c r="BC330" i="16" s="1"/>
  <c r="AJ331" i="16"/>
  <c r="BC331" i="16" s="1"/>
  <c r="AJ332" i="16"/>
  <c r="BC332" i="16" s="1"/>
  <c r="AJ333" i="16"/>
  <c r="BC333" i="16" s="1"/>
  <c r="AJ334" i="16"/>
  <c r="BC334" i="16" s="1"/>
  <c r="AJ335" i="16"/>
  <c r="BC335" i="16" s="1"/>
  <c r="AJ336" i="16"/>
  <c r="BC336" i="16" s="1"/>
  <c r="AJ337" i="16"/>
  <c r="BC337" i="16" s="1"/>
  <c r="AJ338" i="16"/>
  <c r="BC338" i="16" s="1"/>
  <c r="AJ339" i="16"/>
  <c r="BC339" i="16" s="1"/>
  <c r="AJ340" i="16"/>
  <c r="BC340" i="16" s="1"/>
  <c r="AJ341" i="16"/>
  <c r="BC341" i="16" s="1"/>
  <c r="AJ342" i="16"/>
  <c r="BC342" i="16" s="1"/>
  <c r="AJ343" i="16"/>
  <c r="BC343" i="16" s="1"/>
  <c r="AJ344" i="16"/>
  <c r="AJ345" i="16"/>
  <c r="BC345" i="16" s="1"/>
  <c r="AJ346" i="16"/>
  <c r="BC346" i="16" s="1"/>
  <c r="AJ347" i="16"/>
  <c r="BC347" i="16" s="1"/>
  <c r="AJ348" i="16"/>
  <c r="AJ349" i="16"/>
  <c r="BC349" i="16" s="1"/>
  <c r="AJ350" i="16"/>
  <c r="BC350" i="16" s="1"/>
  <c r="AJ351" i="16"/>
  <c r="BC351" i="16" s="1"/>
  <c r="AJ352" i="16"/>
  <c r="BC352" i="16" s="1"/>
  <c r="AM358" i="16"/>
  <c r="BJ358" i="16" s="1"/>
  <c r="AM359" i="16"/>
  <c r="BJ359" i="16" s="1"/>
  <c r="AM360" i="16"/>
  <c r="AM361" i="16"/>
  <c r="AM362" i="16"/>
  <c r="AD362" i="16" s="1"/>
  <c r="AM363" i="16"/>
  <c r="AM364" i="16"/>
  <c r="BJ364" i="16" s="1"/>
  <c r="AM365" i="16"/>
  <c r="AM366" i="16"/>
  <c r="AM367" i="16"/>
  <c r="AD367" i="16"/>
  <c r="BI367" i="16" s="1"/>
  <c r="AM368" i="16"/>
  <c r="AM369" i="16"/>
  <c r="AM370" i="16"/>
  <c r="AM371" i="16"/>
  <c r="AM372" i="16"/>
  <c r="BJ372" i="16" s="1"/>
  <c r="AM373" i="16"/>
  <c r="BJ373" i="16" s="1"/>
  <c r="AM374" i="16"/>
  <c r="AM375" i="16"/>
  <c r="AD375" i="16" s="1"/>
  <c r="BI375" i="16" s="1"/>
  <c r="AM376" i="16"/>
  <c r="AM377" i="16"/>
  <c r="AD377" i="16" s="1"/>
  <c r="AM378" i="16"/>
  <c r="AD378" i="16"/>
  <c r="BI378" i="16" s="1"/>
  <c r="AM379" i="16"/>
  <c r="AD379" i="16" s="1"/>
  <c r="AM380" i="16"/>
  <c r="BJ380" i="16" s="1"/>
  <c r="AM381" i="16"/>
  <c r="AM382" i="16"/>
  <c r="AD382" i="16" s="1"/>
  <c r="BI382" i="16" s="1"/>
  <c r="AM383" i="16"/>
  <c r="AM384" i="16"/>
  <c r="BJ384" i="16" s="1"/>
  <c r="AM385" i="16"/>
  <c r="AM386" i="16"/>
  <c r="AD386" i="16" s="1"/>
  <c r="AM387" i="16"/>
  <c r="AD387" i="16" s="1"/>
  <c r="BI387" i="16" s="1"/>
  <c r="AM388" i="16"/>
  <c r="BJ388" i="16" s="1"/>
  <c r="AM389" i="16"/>
  <c r="AM390" i="16"/>
  <c r="AM391" i="16"/>
  <c r="AM392" i="16"/>
  <c r="AM393" i="16"/>
  <c r="AD393" i="16" s="1"/>
  <c r="BI393" i="16" s="1"/>
  <c r="AM394" i="16"/>
  <c r="AD394" i="16" s="1"/>
  <c r="BI394" i="16" s="1"/>
  <c r="AM395" i="16"/>
  <c r="AM396" i="16"/>
  <c r="BJ396" i="16" s="1"/>
  <c r="AM397" i="16"/>
  <c r="BJ397" i="16" s="1"/>
  <c r="AG358" i="16"/>
  <c r="AG359" i="16"/>
  <c r="AG360" i="16"/>
  <c r="AG361" i="16"/>
  <c r="AG362" i="16"/>
  <c r="AG363" i="16"/>
  <c r="AG364" i="16"/>
  <c r="AG365" i="16"/>
  <c r="BB365" i="16"/>
  <c r="AG366" i="16"/>
  <c r="AG367" i="16"/>
  <c r="AG368" i="16"/>
  <c r="AG369" i="16"/>
  <c r="BB369" i="16" s="1"/>
  <c r="AG370" i="16"/>
  <c r="AG371" i="16"/>
  <c r="AG372" i="16"/>
  <c r="AG373" i="16"/>
  <c r="AG374" i="16"/>
  <c r="AG375" i="16"/>
  <c r="AG376" i="16"/>
  <c r="AG377" i="16"/>
  <c r="AG378" i="16"/>
  <c r="AG379" i="16"/>
  <c r="AG380" i="16"/>
  <c r="AG381" i="16"/>
  <c r="AG382" i="16"/>
  <c r="AG383" i="16"/>
  <c r="AG384" i="16"/>
  <c r="AG385" i="16"/>
  <c r="AG386" i="16"/>
  <c r="AG387" i="16"/>
  <c r="AG388" i="16"/>
  <c r="AG389" i="16"/>
  <c r="AG390" i="16"/>
  <c r="AG391" i="16"/>
  <c r="AG392" i="16"/>
  <c r="AG393" i="16"/>
  <c r="AG394" i="16"/>
  <c r="AG395" i="16"/>
  <c r="AG396" i="16"/>
  <c r="AG397" i="16"/>
  <c r="AJ358" i="16"/>
  <c r="BC358" i="16" s="1"/>
  <c r="AJ359" i="16"/>
  <c r="BC359" i="16" s="1"/>
  <c r="AJ360" i="16"/>
  <c r="BC360" i="16" s="1"/>
  <c r="AJ361" i="16"/>
  <c r="BC361" i="16" s="1"/>
  <c r="AJ362" i="16"/>
  <c r="BC362" i="16" s="1"/>
  <c r="AJ363" i="16"/>
  <c r="BC363" i="16" s="1"/>
  <c r="AJ364" i="16"/>
  <c r="BC364" i="16" s="1"/>
  <c r="AJ365" i="16"/>
  <c r="BC365" i="16" s="1"/>
  <c r="AJ366" i="16"/>
  <c r="BC366" i="16" s="1"/>
  <c r="AJ367" i="16"/>
  <c r="AJ368" i="16"/>
  <c r="BC368" i="16" s="1"/>
  <c r="AJ369" i="16"/>
  <c r="BC369" i="16" s="1"/>
  <c r="AJ370" i="16"/>
  <c r="AJ371" i="16"/>
  <c r="BC371" i="16" s="1"/>
  <c r="AJ372" i="16"/>
  <c r="BC372" i="16" s="1"/>
  <c r="AJ373" i="16"/>
  <c r="BC373" i="16" s="1"/>
  <c r="AJ374" i="16"/>
  <c r="AJ375" i="16"/>
  <c r="BC375" i="16" s="1"/>
  <c r="AJ376" i="16"/>
  <c r="BC376" i="16" s="1"/>
  <c r="AJ377" i="16"/>
  <c r="BC377" i="16" s="1"/>
  <c r="AJ378" i="16"/>
  <c r="BC378" i="16" s="1"/>
  <c r="AJ379" i="16"/>
  <c r="BC379" i="16" s="1"/>
  <c r="AJ380" i="16"/>
  <c r="BC380" i="16" s="1"/>
  <c r="AJ381" i="16"/>
  <c r="BC381" i="16" s="1"/>
  <c r="AJ382" i="16"/>
  <c r="AJ383" i="16"/>
  <c r="BC383" i="16" s="1"/>
  <c r="AJ384" i="16"/>
  <c r="BC384" i="16" s="1"/>
  <c r="AJ385" i="16"/>
  <c r="BC385" i="16" s="1"/>
  <c r="AJ386" i="16"/>
  <c r="BC386" i="16" s="1"/>
  <c r="AJ387" i="16"/>
  <c r="BC387" i="16" s="1"/>
  <c r="AJ388" i="16"/>
  <c r="BC388" i="16" s="1"/>
  <c r="AJ389" i="16"/>
  <c r="AJ390" i="16"/>
  <c r="BC390" i="16" s="1"/>
  <c r="AJ391" i="16"/>
  <c r="BC391" i="16" s="1"/>
  <c r="AJ392" i="16"/>
  <c r="BC392" i="16" s="1"/>
  <c r="AJ393" i="16"/>
  <c r="AJ394" i="16"/>
  <c r="BC394" i="16" s="1"/>
  <c r="AJ395" i="16"/>
  <c r="BC395" i="16" s="1"/>
  <c r="AJ396" i="16"/>
  <c r="BC396" i="16" s="1"/>
  <c r="AJ397" i="16"/>
  <c r="AM403" i="16"/>
  <c r="BJ403" i="16" s="1"/>
  <c r="AM404" i="16"/>
  <c r="BJ404" i="16" s="1"/>
  <c r="AM405" i="16"/>
  <c r="AM406" i="16"/>
  <c r="BG406" i="16" s="1"/>
  <c r="AM407" i="16"/>
  <c r="T378" i="119" s="1"/>
  <c r="AM408" i="16"/>
  <c r="BJ408" i="16" s="1"/>
  <c r="AM409" i="16"/>
  <c r="AD409" i="16" s="1"/>
  <c r="BI409" i="16" s="1"/>
  <c r="AM410" i="16"/>
  <c r="BG410" i="16" s="1"/>
  <c r="AM411" i="16"/>
  <c r="BJ411" i="16" s="1"/>
  <c r="AM412" i="16"/>
  <c r="AD412" i="16" s="1"/>
  <c r="BI412" i="16" s="1"/>
  <c r="AM413" i="16"/>
  <c r="AD413" i="16" s="1"/>
  <c r="AM414" i="16"/>
  <c r="AM415" i="16"/>
  <c r="BJ415" i="16" s="1"/>
  <c r="AM416" i="16"/>
  <c r="BG416" i="16" s="1"/>
  <c r="AM417" i="16"/>
  <c r="AD417" i="16" s="1"/>
  <c r="BI417" i="16" s="1"/>
  <c r="AM418" i="16"/>
  <c r="T389" i="119"/>
  <c r="AM419" i="16"/>
  <c r="BJ419" i="16" s="1"/>
  <c r="AM420" i="16"/>
  <c r="BJ420" i="16" s="1"/>
  <c r="AM421" i="16"/>
  <c r="AM422" i="16"/>
  <c r="T393" i="119" s="1"/>
  <c r="AM423" i="16"/>
  <c r="BG423" i="16" s="1"/>
  <c r="AM424" i="16"/>
  <c r="BJ424" i="16" s="1"/>
  <c r="AM425" i="16"/>
  <c r="AD425" i="16" s="1"/>
  <c r="BI425" i="16" s="1"/>
  <c r="AM426" i="16"/>
  <c r="BG426" i="16" s="1"/>
  <c r="AM427" i="16"/>
  <c r="BJ427" i="16" s="1"/>
  <c r="AM428" i="16"/>
  <c r="AD428" i="16" s="1"/>
  <c r="BI428" i="16" s="1"/>
  <c r="AM429" i="16"/>
  <c r="AD429" i="16" s="1"/>
  <c r="BI429" i="16" s="1"/>
  <c r="AM430" i="16"/>
  <c r="BG430" i="16" s="1"/>
  <c r="AM431" i="16"/>
  <c r="BJ431" i="16" s="1"/>
  <c r="AM432" i="16"/>
  <c r="BG432" i="16" s="1"/>
  <c r="AM433" i="16"/>
  <c r="AM434" i="16"/>
  <c r="BG434" i="16" s="1"/>
  <c r="AM435" i="16"/>
  <c r="BJ435" i="16" s="1"/>
  <c r="AM436" i="16"/>
  <c r="BJ436" i="16"/>
  <c r="AM437" i="16"/>
  <c r="T408" i="119" s="1"/>
  <c r="AM438" i="16"/>
  <c r="BG438" i="16" s="1"/>
  <c r="AM439" i="16"/>
  <c r="AM440" i="16"/>
  <c r="BJ440" i="16" s="1"/>
  <c r="AM441" i="16"/>
  <c r="AD441" i="16" s="1"/>
  <c r="AM442" i="16"/>
  <c r="BG442" i="16" s="1"/>
  <c r="AG403" i="16"/>
  <c r="AG404" i="16"/>
  <c r="BB404" i="16" s="1"/>
  <c r="AG405" i="16"/>
  <c r="AG406" i="16"/>
  <c r="BB406" i="16" s="1"/>
  <c r="AG407" i="16"/>
  <c r="AG408" i="16"/>
  <c r="AG409" i="16"/>
  <c r="AG410" i="16"/>
  <c r="AG411" i="16"/>
  <c r="AG412" i="16"/>
  <c r="BB412" i="16" s="1"/>
  <c r="AG413" i="16"/>
  <c r="AG414" i="16"/>
  <c r="BB414" i="16"/>
  <c r="AG415" i="16"/>
  <c r="AG416" i="16"/>
  <c r="AG417" i="16"/>
  <c r="AG418" i="16"/>
  <c r="AG419" i="16"/>
  <c r="AG420" i="16"/>
  <c r="BB420" i="16" s="1"/>
  <c r="AG421" i="16"/>
  <c r="AG422" i="16"/>
  <c r="AG423" i="16"/>
  <c r="AG424" i="16"/>
  <c r="AG425" i="16"/>
  <c r="AG426" i="16"/>
  <c r="AG427" i="16"/>
  <c r="AG428" i="16"/>
  <c r="BB428" i="16"/>
  <c r="AG429" i="16"/>
  <c r="AG430" i="16"/>
  <c r="AG431" i="16"/>
  <c r="AG432" i="16"/>
  <c r="AG433" i="16"/>
  <c r="AG434" i="16"/>
  <c r="AG435" i="16"/>
  <c r="AG436" i="16"/>
  <c r="BB436" i="16" s="1"/>
  <c r="AG437" i="16"/>
  <c r="AG438" i="16"/>
  <c r="AG439" i="16"/>
  <c r="AG440" i="16"/>
  <c r="AG441" i="16"/>
  <c r="AG442" i="16"/>
  <c r="AJ403" i="16"/>
  <c r="BC403" i="16" s="1"/>
  <c r="AJ404" i="16"/>
  <c r="BC404" i="16" s="1"/>
  <c r="AJ405" i="16"/>
  <c r="BC405" i="16" s="1"/>
  <c r="AJ406" i="16"/>
  <c r="BC406" i="16" s="1"/>
  <c r="AJ407" i="16"/>
  <c r="BC407" i="16" s="1"/>
  <c r="AJ408" i="16"/>
  <c r="BC408" i="16" s="1"/>
  <c r="AJ409" i="16"/>
  <c r="BC409" i="16" s="1"/>
  <c r="AJ410" i="16"/>
  <c r="BC410" i="16" s="1"/>
  <c r="AJ411" i="16"/>
  <c r="BC411" i="16" s="1"/>
  <c r="AJ412" i="16"/>
  <c r="BC412" i="16" s="1"/>
  <c r="AJ413" i="16"/>
  <c r="BC413" i="16" s="1"/>
  <c r="AJ414" i="16"/>
  <c r="BC414" i="16" s="1"/>
  <c r="AJ415" i="16"/>
  <c r="BC415" i="16" s="1"/>
  <c r="AJ416" i="16"/>
  <c r="BC416" i="16" s="1"/>
  <c r="AJ417" i="16"/>
  <c r="BC417" i="16" s="1"/>
  <c r="AJ418" i="16"/>
  <c r="BC418" i="16" s="1"/>
  <c r="AJ419" i="16"/>
  <c r="BC419" i="16" s="1"/>
  <c r="AJ420" i="16"/>
  <c r="BC420" i="16" s="1"/>
  <c r="AJ421" i="16"/>
  <c r="BC421" i="16" s="1"/>
  <c r="AJ422" i="16"/>
  <c r="BC422" i="16" s="1"/>
  <c r="AJ423" i="16"/>
  <c r="BC423" i="16" s="1"/>
  <c r="AJ424" i="16"/>
  <c r="BC424" i="16" s="1"/>
  <c r="AJ425" i="16"/>
  <c r="BC425" i="16" s="1"/>
  <c r="AJ426" i="16"/>
  <c r="BC426" i="16" s="1"/>
  <c r="AJ427" i="16"/>
  <c r="BC427" i="16" s="1"/>
  <c r="AJ428" i="16"/>
  <c r="BC428" i="16" s="1"/>
  <c r="AJ429" i="16"/>
  <c r="BC429" i="16" s="1"/>
  <c r="AJ430" i="16"/>
  <c r="BC430" i="16" s="1"/>
  <c r="AJ431" i="16"/>
  <c r="BC431" i="16" s="1"/>
  <c r="AJ432" i="16"/>
  <c r="BC432" i="16" s="1"/>
  <c r="AJ433" i="16"/>
  <c r="BC433" i="16" s="1"/>
  <c r="AJ434" i="16"/>
  <c r="BC434" i="16" s="1"/>
  <c r="AJ435" i="16"/>
  <c r="BC435" i="16" s="1"/>
  <c r="AJ436" i="16"/>
  <c r="BC436" i="16" s="1"/>
  <c r="AJ437" i="16"/>
  <c r="BC437" i="16" s="1"/>
  <c r="AJ438" i="16"/>
  <c r="BC438" i="16" s="1"/>
  <c r="AJ439" i="16"/>
  <c r="BC439" i="16" s="1"/>
  <c r="AJ440" i="16"/>
  <c r="BC440" i="16" s="1"/>
  <c r="AJ441" i="16"/>
  <c r="BC441" i="16" s="1"/>
  <c r="AJ442" i="16"/>
  <c r="BC442" i="16" s="1"/>
  <c r="AM448" i="16"/>
  <c r="BJ448" i="16" s="1"/>
  <c r="AM449" i="16"/>
  <c r="AM450" i="16"/>
  <c r="AM451" i="16"/>
  <c r="BJ451" i="16" s="1"/>
  <c r="AM452" i="16"/>
  <c r="BJ452" i="16" s="1"/>
  <c r="AM453" i="16"/>
  <c r="AD453" i="16" s="1"/>
  <c r="BI453" i="16" s="1"/>
  <c r="AM454" i="16"/>
  <c r="AM455" i="16"/>
  <c r="AM456" i="16"/>
  <c r="AD456" i="16" s="1"/>
  <c r="BI456" i="16" s="1"/>
  <c r="AM457" i="16"/>
  <c r="AD457" i="16" s="1"/>
  <c r="AM458" i="16"/>
  <c r="AM459" i="16"/>
  <c r="BJ459" i="16" s="1"/>
  <c r="AM460" i="16"/>
  <c r="AM461" i="16"/>
  <c r="AD461" i="16" s="1"/>
  <c r="AM462" i="16"/>
  <c r="AM463" i="16"/>
  <c r="BJ463" i="16" s="1"/>
  <c r="AM464" i="16"/>
  <c r="BJ464" i="16" s="1"/>
  <c r="AM465" i="16"/>
  <c r="AM466" i="16"/>
  <c r="AM467" i="16"/>
  <c r="BJ467" i="16" s="1"/>
  <c r="AM468" i="16"/>
  <c r="AD468" i="16" s="1"/>
  <c r="AM469" i="16"/>
  <c r="AM470" i="16"/>
  <c r="AM471" i="16"/>
  <c r="AM472" i="16"/>
  <c r="AD472" i="16" s="1"/>
  <c r="AM473" i="16"/>
  <c r="AD473" i="16" s="1"/>
  <c r="BI473" i="16" s="1"/>
  <c r="AM474" i="16"/>
  <c r="AM475" i="16"/>
  <c r="BJ475" i="16" s="1"/>
  <c r="AM476" i="16"/>
  <c r="AM477" i="16"/>
  <c r="AM478" i="16"/>
  <c r="AM479" i="16"/>
  <c r="AD479" i="16" s="1"/>
  <c r="AM480" i="16"/>
  <c r="AM481" i="16"/>
  <c r="AM482" i="16"/>
  <c r="AM483" i="16"/>
  <c r="BJ483" i="16" s="1"/>
  <c r="AM484" i="16"/>
  <c r="AD484" i="16" s="1"/>
  <c r="AM485" i="16"/>
  <c r="AD485" i="16" s="1"/>
  <c r="BI485" i="16" s="1"/>
  <c r="AM486" i="16"/>
  <c r="AM487" i="16"/>
  <c r="AG448" i="16"/>
  <c r="AG449" i="16"/>
  <c r="AG450" i="16"/>
  <c r="AG451" i="16"/>
  <c r="AG452" i="16"/>
  <c r="AG453" i="16"/>
  <c r="AG454" i="16"/>
  <c r="AG455" i="16"/>
  <c r="AG456" i="16"/>
  <c r="AG457" i="16"/>
  <c r="AG458" i="16"/>
  <c r="AG459" i="16"/>
  <c r="AG460" i="16"/>
  <c r="AG461" i="16"/>
  <c r="AG462" i="16"/>
  <c r="AG463" i="16"/>
  <c r="AG464" i="16"/>
  <c r="AG465" i="16"/>
  <c r="AG466" i="16"/>
  <c r="AG467" i="16"/>
  <c r="AG468" i="16"/>
  <c r="AG469" i="16"/>
  <c r="AG470" i="16"/>
  <c r="AG471" i="16"/>
  <c r="AG472" i="16"/>
  <c r="AG473" i="16"/>
  <c r="AG474" i="16"/>
  <c r="AG475" i="16"/>
  <c r="AG476" i="16"/>
  <c r="AG477" i="16"/>
  <c r="AG478" i="16"/>
  <c r="AG479" i="16"/>
  <c r="AG480" i="16"/>
  <c r="AG481" i="16"/>
  <c r="AG482" i="16"/>
  <c r="AG483" i="16"/>
  <c r="AG484" i="16"/>
  <c r="AG485" i="16"/>
  <c r="AG486" i="16"/>
  <c r="AG487" i="16"/>
  <c r="AJ448" i="16"/>
  <c r="BC448" i="16" s="1"/>
  <c r="AJ449" i="16"/>
  <c r="BC449" i="16" s="1"/>
  <c r="AJ450" i="16"/>
  <c r="BC450" i="16" s="1"/>
  <c r="AJ451" i="16"/>
  <c r="BC451" i="16" s="1"/>
  <c r="AJ452" i="16"/>
  <c r="BC452" i="16" s="1"/>
  <c r="AJ453" i="16"/>
  <c r="BC453" i="16" s="1"/>
  <c r="AJ454" i="16"/>
  <c r="BC454" i="16" s="1"/>
  <c r="AJ455" i="16"/>
  <c r="BC455" i="16" s="1"/>
  <c r="AJ456" i="16"/>
  <c r="AJ457" i="16"/>
  <c r="BC457" i="16" s="1"/>
  <c r="AJ458" i="16"/>
  <c r="BC458" i="16" s="1"/>
  <c r="AJ459" i="16"/>
  <c r="BC459" i="16" s="1"/>
  <c r="AJ460" i="16"/>
  <c r="AJ461" i="16"/>
  <c r="BC461" i="16" s="1"/>
  <c r="AJ462" i="16"/>
  <c r="BC462" i="16" s="1"/>
  <c r="AJ463" i="16"/>
  <c r="BC463" i="16" s="1"/>
  <c r="AJ464" i="16"/>
  <c r="AJ465" i="16"/>
  <c r="BC465" i="16" s="1"/>
  <c r="AJ466" i="16"/>
  <c r="BC466" i="16" s="1"/>
  <c r="AJ467" i="16"/>
  <c r="BC467" i="16" s="1"/>
  <c r="AJ468" i="16"/>
  <c r="AJ469" i="16"/>
  <c r="BC469" i="16" s="1"/>
  <c r="AJ470" i="16"/>
  <c r="BC470" i="16" s="1"/>
  <c r="AJ471" i="16"/>
  <c r="BC471" i="16" s="1"/>
  <c r="AJ472" i="16"/>
  <c r="BC472" i="16" s="1"/>
  <c r="AJ473" i="16"/>
  <c r="BC473" i="16" s="1"/>
  <c r="AJ474" i="16"/>
  <c r="BC474" i="16" s="1"/>
  <c r="AJ475" i="16"/>
  <c r="BC475" i="16" s="1"/>
  <c r="AJ476" i="16"/>
  <c r="AJ477" i="16"/>
  <c r="BC477" i="16" s="1"/>
  <c r="AJ478" i="16"/>
  <c r="BC478" i="16" s="1"/>
  <c r="AJ479" i="16"/>
  <c r="BC479" i="16" s="1"/>
  <c r="AJ480" i="16"/>
  <c r="AJ481" i="16"/>
  <c r="BC481" i="16" s="1"/>
  <c r="AJ482" i="16"/>
  <c r="BC482" i="16" s="1"/>
  <c r="AJ483" i="16"/>
  <c r="BC483" i="16" s="1"/>
  <c r="AJ484" i="16"/>
  <c r="BC484" i="16" s="1"/>
  <c r="AJ485" i="16"/>
  <c r="BC485" i="16" s="1"/>
  <c r="AJ486" i="16"/>
  <c r="BC486" i="16" s="1"/>
  <c r="AJ487" i="16"/>
  <c r="BC487" i="16" s="1"/>
  <c r="AM493" i="16"/>
  <c r="BG493" i="16" s="1"/>
  <c r="AM494" i="16"/>
  <c r="AM495" i="16"/>
  <c r="AD495" i="16" s="1"/>
  <c r="AM496" i="16"/>
  <c r="AD496" i="16" s="1"/>
  <c r="BI496" i="16" s="1"/>
  <c r="AM497" i="16"/>
  <c r="AM498" i="16"/>
  <c r="BJ498" i="16" s="1"/>
  <c r="AM499" i="16"/>
  <c r="AM500" i="16"/>
  <c r="AM501" i="16"/>
  <c r="AM502" i="16"/>
  <c r="BJ502" i="16" s="1"/>
  <c r="AM503" i="16"/>
  <c r="AM504" i="16"/>
  <c r="BG504" i="16" s="1"/>
  <c r="AM505" i="16"/>
  <c r="AM506" i="16"/>
  <c r="BJ506" i="16" s="1"/>
  <c r="AM507" i="16"/>
  <c r="AM508" i="16"/>
  <c r="T475" i="119" s="1"/>
  <c r="AM509" i="16"/>
  <c r="AM510" i="16"/>
  <c r="BJ510" i="16" s="1"/>
  <c r="AM511" i="16"/>
  <c r="AM512" i="16"/>
  <c r="AM513" i="16"/>
  <c r="AM514" i="16"/>
  <c r="BJ514" i="16" s="1"/>
  <c r="AM515" i="16"/>
  <c r="AM516" i="16"/>
  <c r="AM517" i="16"/>
  <c r="AM518" i="16"/>
  <c r="BJ518" i="16" s="1"/>
  <c r="AM519" i="16"/>
  <c r="AM520" i="16"/>
  <c r="T487" i="119" s="1"/>
  <c r="AM521" i="16"/>
  <c r="AM522" i="16"/>
  <c r="BJ522" i="16" s="1"/>
  <c r="AM523" i="16"/>
  <c r="AM524" i="16"/>
  <c r="AM525" i="16"/>
  <c r="AM526" i="16"/>
  <c r="BJ526" i="16" s="1"/>
  <c r="AM527" i="16"/>
  <c r="AM528" i="16"/>
  <c r="T495" i="119" s="1"/>
  <c r="AM529" i="16"/>
  <c r="AM530" i="16"/>
  <c r="BJ530" i="16" s="1"/>
  <c r="AM531" i="16"/>
  <c r="AM532" i="16"/>
  <c r="T499" i="119" s="1"/>
  <c r="AG493" i="16"/>
  <c r="AG494" i="16"/>
  <c r="AG495" i="16"/>
  <c r="AG496" i="16"/>
  <c r="AG497" i="16"/>
  <c r="AG498" i="16"/>
  <c r="AG499" i="16"/>
  <c r="AG500" i="16"/>
  <c r="AG501" i="16"/>
  <c r="AG502" i="16"/>
  <c r="AG503" i="16"/>
  <c r="AG504" i="16"/>
  <c r="AG505" i="16"/>
  <c r="AG506" i="16"/>
  <c r="AG507" i="16"/>
  <c r="BB507" i="16"/>
  <c r="AG508" i="16"/>
  <c r="AG509" i="16"/>
  <c r="AG510" i="16"/>
  <c r="AG511" i="16"/>
  <c r="BB511" i="16" s="1"/>
  <c r="AG512" i="16"/>
  <c r="AG513" i="16"/>
  <c r="AG514" i="16"/>
  <c r="AG515" i="16"/>
  <c r="AG516" i="16"/>
  <c r="AG517" i="16"/>
  <c r="AG518" i="16"/>
  <c r="AG519" i="16"/>
  <c r="AG520" i="16"/>
  <c r="AG521" i="16"/>
  <c r="AG522" i="16"/>
  <c r="AG523" i="16"/>
  <c r="AG524" i="16"/>
  <c r="AG525" i="16"/>
  <c r="AG526" i="16"/>
  <c r="AG527" i="16"/>
  <c r="AG528" i="16"/>
  <c r="AG529" i="16"/>
  <c r="AG530" i="16"/>
  <c r="AG531" i="16"/>
  <c r="AG532" i="16"/>
  <c r="AJ493" i="16"/>
  <c r="BC493" i="16" s="1"/>
  <c r="AJ494" i="16"/>
  <c r="BC494" i="16" s="1"/>
  <c r="AJ495" i="16"/>
  <c r="BC495" i="16" s="1"/>
  <c r="AJ496" i="16"/>
  <c r="BC496" i="16" s="1"/>
  <c r="AJ497" i="16"/>
  <c r="BC497" i="16" s="1"/>
  <c r="AJ498" i="16"/>
  <c r="BC498" i="16" s="1"/>
  <c r="AJ499" i="16"/>
  <c r="BC499" i="16" s="1"/>
  <c r="AJ500" i="16"/>
  <c r="AJ501" i="16"/>
  <c r="BC501" i="16" s="1"/>
  <c r="AJ502" i="16"/>
  <c r="BC502" i="16" s="1"/>
  <c r="AJ503" i="16"/>
  <c r="BC503" i="16" s="1"/>
  <c r="AJ504" i="16"/>
  <c r="AJ505" i="16"/>
  <c r="BC505" i="16" s="1"/>
  <c r="AJ506" i="16"/>
  <c r="BC506" i="16" s="1"/>
  <c r="AJ507" i="16"/>
  <c r="BC507" i="16" s="1"/>
  <c r="AJ508" i="16"/>
  <c r="AJ509" i="16"/>
  <c r="BC509" i="16" s="1"/>
  <c r="AJ510" i="16"/>
  <c r="BC510" i="16" s="1"/>
  <c r="AJ511" i="16"/>
  <c r="BC511" i="16" s="1"/>
  <c r="AJ512" i="16"/>
  <c r="AJ513" i="16"/>
  <c r="BC513" i="16" s="1"/>
  <c r="AJ514" i="16"/>
  <c r="BC514" i="16" s="1"/>
  <c r="AJ515" i="16"/>
  <c r="BC515" i="16" s="1"/>
  <c r="AJ516" i="16"/>
  <c r="AJ517" i="16"/>
  <c r="BC517" i="16" s="1"/>
  <c r="AJ518" i="16"/>
  <c r="BC518" i="16" s="1"/>
  <c r="AJ519" i="16"/>
  <c r="BC519" i="16" s="1"/>
  <c r="AJ520" i="16"/>
  <c r="BC520" i="16" s="1"/>
  <c r="AJ521" i="16"/>
  <c r="BC521" i="16" s="1"/>
  <c r="AJ522" i="16"/>
  <c r="BC522" i="16" s="1"/>
  <c r="AJ523" i="16"/>
  <c r="BC523" i="16" s="1"/>
  <c r="AJ524" i="16"/>
  <c r="AJ525" i="16"/>
  <c r="BC525" i="16" s="1"/>
  <c r="AJ526" i="16"/>
  <c r="BC526" i="16" s="1"/>
  <c r="AJ527" i="16"/>
  <c r="BC527" i="16" s="1"/>
  <c r="AJ528" i="16"/>
  <c r="BC528" i="16" s="1"/>
  <c r="AJ529" i="16"/>
  <c r="BC529" i="16" s="1"/>
  <c r="AJ530" i="16"/>
  <c r="BC530" i="16" s="1"/>
  <c r="AJ531" i="16"/>
  <c r="BC531" i="16" s="1"/>
  <c r="AJ532" i="16"/>
  <c r="AM538" i="16"/>
  <c r="AD538" i="16" s="1"/>
  <c r="BI538" i="16" s="1"/>
  <c r="AM539" i="16"/>
  <c r="AD539" i="16" s="1"/>
  <c r="BI539" i="16" s="1"/>
  <c r="AM540" i="16"/>
  <c r="AM541" i="16"/>
  <c r="AD541" i="16" s="1"/>
  <c r="BI541" i="16" s="1"/>
  <c r="AM542" i="16"/>
  <c r="AM543" i="16"/>
  <c r="AD543" i="16" s="1"/>
  <c r="BI543" i="16" s="1"/>
  <c r="AM544" i="16"/>
  <c r="AM545" i="16"/>
  <c r="AM546" i="16"/>
  <c r="BJ546" i="16"/>
  <c r="AD546" i="16"/>
  <c r="BI546" i="16" s="1"/>
  <c r="AM547" i="16"/>
  <c r="AM548" i="16"/>
  <c r="AM549" i="16"/>
  <c r="AM550" i="16"/>
  <c r="AM551" i="16"/>
  <c r="AD551" i="16" s="1"/>
  <c r="BI551" i="16" s="1"/>
  <c r="AM552" i="16"/>
  <c r="AM553" i="16"/>
  <c r="BJ553" i="16" s="1"/>
  <c r="AM554" i="16"/>
  <c r="AM555" i="16"/>
  <c r="BJ555" i="16" s="1"/>
  <c r="AM556" i="16"/>
  <c r="AM557" i="16"/>
  <c r="BJ557" i="16" s="1"/>
  <c r="AM558" i="16"/>
  <c r="AM559" i="16"/>
  <c r="AM560" i="16"/>
  <c r="AM561" i="16"/>
  <c r="AM562" i="16"/>
  <c r="AD562" i="16" s="1"/>
  <c r="AM563" i="16"/>
  <c r="AD563" i="16" s="1"/>
  <c r="BI563" i="16" s="1"/>
  <c r="AM564" i="16"/>
  <c r="AM565" i="16"/>
  <c r="BG565" i="16" s="1"/>
  <c r="AM566" i="16"/>
  <c r="AM567" i="16"/>
  <c r="AM568" i="16"/>
  <c r="AM569" i="16"/>
  <c r="AM570" i="16"/>
  <c r="AM571" i="16"/>
  <c r="AM572" i="16"/>
  <c r="AM573" i="16"/>
  <c r="AM574" i="16"/>
  <c r="AM575" i="16"/>
  <c r="AD575" i="16" s="1"/>
  <c r="BI575" i="16" s="1"/>
  <c r="AM576" i="16"/>
  <c r="AM577" i="16"/>
  <c r="BJ577" i="16" s="1"/>
  <c r="AG538" i="16"/>
  <c r="AG539" i="16"/>
  <c r="AG540" i="16"/>
  <c r="AG541" i="16"/>
  <c r="AG542" i="16"/>
  <c r="BB542" i="16"/>
  <c r="AG543" i="16"/>
  <c r="AG544" i="16"/>
  <c r="AG545" i="16"/>
  <c r="AG546" i="16"/>
  <c r="AG547" i="16"/>
  <c r="AG548" i="16"/>
  <c r="AG549" i="16"/>
  <c r="AG550" i="16"/>
  <c r="AG551" i="16"/>
  <c r="AG552" i="16"/>
  <c r="AG553" i="16"/>
  <c r="AG554" i="16"/>
  <c r="AG555" i="16"/>
  <c r="AG556" i="16"/>
  <c r="AG557" i="16"/>
  <c r="AG558" i="16"/>
  <c r="AG559" i="16"/>
  <c r="AG560" i="16"/>
  <c r="BB560" i="16" s="1"/>
  <c r="AG561" i="16"/>
  <c r="AG562" i="16"/>
  <c r="AG563" i="16"/>
  <c r="AG564" i="16"/>
  <c r="AG565" i="16"/>
  <c r="AG566" i="16"/>
  <c r="AG567" i="16"/>
  <c r="AG568" i="16"/>
  <c r="AG569" i="16"/>
  <c r="AG570" i="16"/>
  <c r="AG571" i="16"/>
  <c r="AG572" i="16"/>
  <c r="AG573" i="16"/>
  <c r="AG574" i="16"/>
  <c r="AG575" i="16"/>
  <c r="AG576" i="16"/>
  <c r="AG577" i="16"/>
  <c r="AJ538" i="16"/>
  <c r="BC538" i="16" s="1"/>
  <c r="AJ539" i="16"/>
  <c r="AJ540" i="16"/>
  <c r="BC540" i="16" s="1"/>
  <c r="AJ541" i="16"/>
  <c r="BC541" i="16" s="1"/>
  <c r="AJ542" i="16"/>
  <c r="AJ543" i="16"/>
  <c r="BC543" i="16" s="1"/>
  <c r="AJ544" i="16"/>
  <c r="BC544" i="16" s="1"/>
  <c r="AJ545" i="16"/>
  <c r="BC545" i="16" s="1"/>
  <c r="AJ546" i="16"/>
  <c r="BC546" i="16" s="1"/>
  <c r="AJ547" i="16"/>
  <c r="BC547" i="16" s="1"/>
  <c r="AJ548" i="16"/>
  <c r="BC548" i="16" s="1"/>
  <c r="AJ549" i="16"/>
  <c r="BC549" i="16" s="1"/>
  <c r="AJ550" i="16"/>
  <c r="BC550" i="16" s="1"/>
  <c r="AJ551" i="16"/>
  <c r="BC551" i="16" s="1"/>
  <c r="AJ552" i="16"/>
  <c r="AJ553" i="16"/>
  <c r="BC553" i="16" s="1"/>
  <c r="AJ554" i="16"/>
  <c r="BC554" i="16" s="1"/>
  <c r="AJ555" i="16"/>
  <c r="BC555" i="16" s="1"/>
  <c r="AJ556" i="16"/>
  <c r="AJ557" i="16"/>
  <c r="BC557" i="16" s="1"/>
  <c r="AJ558" i="16"/>
  <c r="BC558" i="16" s="1"/>
  <c r="AJ559" i="16"/>
  <c r="BC559" i="16" s="1"/>
  <c r="AJ560" i="16"/>
  <c r="AJ561" i="16"/>
  <c r="BC561" i="16" s="1"/>
  <c r="AJ562" i="16"/>
  <c r="BC562" i="16" s="1"/>
  <c r="AJ563" i="16"/>
  <c r="BC563" i="16" s="1"/>
  <c r="AJ564" i="16"/>
  <c r="AJ565" i="16"/>
  <c r="BC565" i="16" s="1"/>
  <c r="AJ566" i="16"/>
  <c r="BC566" i="16" s="1"/>
  <c r="AJ567" i="16"/>
  <c r="AJ568" i="16"/>
  <c r="BC568" i="16" s="1"/>
  <c r="AJ569" i="16"/>
  <c r="BC569" i="16" s="1"/>
  <c r="AJ570" i="16"/>
  <c r="BC570" i="16" s="1"/>
  <c r="AJ571" i="16"/>
  <c r="AJ572" i="16"/>
  <c r="BC572" i="16" s="1"/>
  <c r="AJ573" i="16"/>
  <c r="BC573" i="16" s="1"/>
  <c r="AJ574" i="16"/>
  <c r="BC574" i="16" s="1"/>
  <c r="AJ575" i="16"/>
  <c r="AJ576" i="16"/>
  <c r="BC576" i="16" s="1"/>
  <c r="AJ577" i="16"/>
  <c r="BC577" i="16" s="1"/>
  <c r="AM583" i="16"/>
  <c r="AM584" i="16"/>
  <c r="AM585" i="16"/>
  <c r="AD585" i="16" s="1"/>
  <c r="BI585" i="16" s="1"/>
  <c r="AM586" i="16"/>
  <c r="AM587" i="16"/>
  <c r="AM588" i="16"/>
  <c r="AM589" i="16"/>
  <c r="BJ589" i="16" s="1"/>
  <c r="AM590" i="16"/>
  <c r="AM591" i="16"/>
  <c r="AM592" i="16"/>
  <c r="BJ592" i="16" s="1"/>
  <c r="AM593" i="16"/>
  <c r="AD593" i="16" s="1"/>
  <c r="BI593" i="16" s="1"/>
  <c r="AM594" i="16"/>
  <c r="AM595" i="16"/>
  <c r="AD595" i="16" s="1"/>
  <c r="AM596" i="16"/>
  <c r="BJ596" i="16" s="1"/>
  <c r="AM597" i="16"/>
  <c r="BJ597" i="16" s="1"/>
  <c r="AM598" i="16"/>
  <c r="BG598" i="16" s="1"/>
  <c r="AM599" i="16"/>
  <c r="AM600" i="16"/>
  <c r="BJ600" i="16" s="1"/>
  <c r="AM601" i="16"/>
  <c r="AM602" i="16"/>
  <c r="BG602" i="16" s="1"/>
  <c r="AM603" i="16"/>
  <c r="AM604" i="16"/>
  <c r="BJ604" i="16" s="1"/>
  <c r="AM605" i="16"/>
  <c r="BJ605" i="16"/>
  <c r="AD605" i="16"/>
  <c r="BI605" i="16" s="1"/>
  <c r="AM606" i="16"/>
  <c r="BJ606" i="16" s="1"/>
  <c r="AM607" i="16"/>
  <c r="AM608" i="16"/>
  <c r="BJ608" i="16" s="1"/>
  <c r="AM609" i="16"/>
  <c r="BJ609" i="16" s="1"/>
  <c r="AM610" i="16"/>
  <c r="T573" i="119" s="1"/>
  <c r="AM611" i="16"/>
  <c r="AM612" i="16"/>
  <c r="BJ612" i="16" s="1"/>
  <c r="AM613" i="16"/>
  <c r="BJ613" i="16"/>
  <c r="AD613" i="16"/>
  <c r="BI613" i="16" s="1"/>
  <c r="AM614" i="16"/>
  <c r="T577" i="119" s="1"/>
  <c r="AM615" i="16"/>
  <c r="AM616" i="16"/>
  <c r="BJ616" i="16" s="1"/>
  <c r="AM617" i="16"/>
  <c r="BJ617" i="16" s="1"/>
  <c r="AM618" i="16"/>
  <c r="AD618" i="16" s="1"/>
  <c r="AM619" i="16"/>
  <c r="AM620" i="16"/>
  <c r="BJ620" i="16"/>
  <c r="AD620" i="16"/>
  <c r="BI620" i="16" s="1"/>
  <c r="AM621" i="16"/>
  <c r="AM622" i="16"/>
  <c r="AG583" i="16"/>
  <c r="AG584" i="16"/>
  <c r="AG585" i="16"/>
  <c r="AG586" i="16"/>
  <c r="BB586" i="16"/>
  <c r="AG587" i="16"/>
  <c r="AG588" i="16"/>
  <c r="BB588" i="16" s="1"/>
  <c r="AG589" i="16"/>
  <c r="AG590" i="16"/>
  <c r="AG591" i="16"/>
  <c r="AG592" i="16"/>
  <c r="AG593" i="16"/>
  <c r="AG594" i="16"/>
  <c r="AG595" i="16"/>
  <c r="AG596" i="16"/>
  <c r="AG597" i="16"/>
  <c r="AG598" i="16"/>
  <c r="AG599" i="16"/>
  <c r="AG600" i="16"/>
  <c r="AG601" i="16"/>
  <c r="AG602" i="16"/>
  <c r="AG603" i="16"/>
  <c r="AG604" i="16"/>
  <c r="AG605" i="16"/>
  <c r="AG606" i="16"/>
  <c r="BB606" i="16" s="1"/>
  <c r="AG607" i="16"/>
  <c r="AG608" i="16"/>
  <c r="AG609" i="16"/>
  <c r="AG610" i="16"/>
  <c r="AG611" i="16"/>
  <c r="AG612" i="16"/>
  <c r="BB612" i="16" s="1"/>
  <c r="AG613" i="16"/>
  <c r="AG614" i="16"/>
  <c r="BB614" i="16"/>
  <c r="AG615" i="16"/>
  <c r="AG616" i="16"/>
  <c r="AG617" i="16"/>
  <c r="AG618" i="16"/>
  <c r="BB618" i="16" s="1"/>
  <c r="AG619" i="16"/>
  <c r="AG620" i="16"/>
  <c r="BB620" i="16"/>
  <c r="AG621" i="16"/>
  <c r="AG622" i="16"/>
  <c r="AJ583" i="16"/>
  <c r="BC583" i="16" s="1"/>
  <c r="AJ584" i="16"/>
  <c r="BC584" i="16" s="1"/>
  <c r="AJ585" i="16"/>
  <c r="BC585" i="16" s="1"/>
  <c r="AJ586" i="16"/>
  <c r="BC586" i="16" s="1"/>
  <c r="AJ587" i="16"/>
  <c r="BC587" i="16" s="1"/>
  <c r="AJ588" i="16"/>
  <c r="BC588" i="16" s="1"/>
  <c r="AJ589" i="16"/>
  <c r="BC589" i="16" s="1"/>
  <c r="AJ590" i="16"/>
  <c r="BC590" i="16"/>
  <c r="AJ591" i="16"/>
  <c r="BC591" i="16" s="1"/>
  <c r="AJ592" i="16"/>
  <c r="BC592" i="16" s="1"/>
  <c r="AJ593" i="16"/>
  <c r="BC593" i="16"/>
  <c r="AJ594" i="16"/>
  <c r="BC594" i="16" s="1"/>
  <c r="AJ595" i="16"/>
  <c r="BC595" i="16" s="1"/>
  <c r="AJ596" i="16"/>
  <c r="BC596" i="16" s="1"/>
  <c r="AJ597" i="16"/>
  <c r="BC597" i="16" s="1"/>
  <c r="AJ598" i="16"/>
  <c r="AJ599" i="16"/>
  <c r="BC599" i="16" s="1"/>
  <c r="AJ600" i="16"/>
  <c r="BC600" i="16" s="1"/>
  <c r="AJ601" i="16"/>
  <c r="BC601" i="16" s="1"/>
  <c r="AJ602" i="16"/>
  <c r="BC602" i="16" s="1"/>
  <c r="AJ603" i="16"/>
  <c r="BC603" i="16" s="1"/>
  <c r="AJ604" i="16"/>
  <c r="BC604" i="16" s="1"/>
  <c r="AJ605" i="16"/>
  <c r="BC605" i="16" s="1"/>
  <c r="AJ606" i="16"/>
  <c r="BC606" i="16" s="1"/>
  <c r="AJ607" i="16"/>
  <c r="BC607" i="16" s="1"/>
  <c r="AJ608" i="16"/>
  <c r="BC608" i="16" s="1"/>
  <c r="AJ609" i="16"/>
  <c r="AJ610" i="16"/>
  <c r="BC610" i="16" s="1"/>
  <c r="AJ611" i="16"/>
  <c r="BC611" i="16" s="1"/>
  <c r="AJ612" i="16"/>
  <c r="BC612" i="16" s="1"/>
  <c r="AJ613" i="16"/>
  <c r="BC613" i="16" s="1"/>
  <c r="AJ614" i="16"/>
  <c r="BC614" i="16" s="1"/>
  <c r="AJ615" i="16"/>
  <c r="AJ616" i="16"/>
  <c r="BC616" i="16"/>
  <c r="AJ617" i="16"/>
  <c r="BC617" i="16" s="1"/>
  <c r="AJ618" i="16"/>
  <c r="BC618" i="16" s="1"/>
  <c r="AJ619" i="16"/>
  <c r="BC619" i="16" s="1"/>
  <c r="AJ620" i="16"/>
  <c r="BC620" i="16" s="1"/>
  <c r="AJ621" i="16"/>
  <c r="BC621" i="16" s="1"/>
  <c r="AJ622" i="16"/>
  <c r="AM628" i="16"/>
  <c r="AD628" i="16" s="1"/>
  <c r="BI628" i="16" s="1"/>
  <c r="AM629" i="16"/>
  <c r="AM630" i="16"/>
  <c r="AM631" i="16"/>
  <c r="BJ631" i="16" s="1"/>
  <c r="AM632" i="16"/>
  <c r="AM633" i="16"/>
  <c r="AM634" i="16"/>
  <c r="AM635" i="16"/>
  <c r="AM636" i="16"/>
  <c r="BJ636" i="16" s="1"/>
  <c r="AM637" i="16"/>
  <c r="AD637" i="16"/>
  <c r="BI637" i="16" s="1"/>
  <c r="AM638" i="16"/>
  <c r="AM639" i="16"/>
  <c r="BJ639" i="16"/>
  <c r="AM640" i="16"/>
  <c r="BJ640" i="16" s="1"/>
  <c r="AM641" i="16"/>
  <c r="BJ641" i="16" s="1"/>
  <c r="AM642" i="16"/>
  <c r="AD642" i="16" s="1"/>
  <c r="BI642" i="16" s="1"/>
  <c r="AM643" i="16"/>
  <c r="AM644" i="16"/>
  <c r="AD644" i="16" s="1"/>
  <c r="BI644" i="16" s="1"/>
  <c r="AM645" i="16"/>
  <c r="AM646" i="16"/>
  <c r="AD646" i="16" s="1"/>
  <c r="BI646" i="16" s="1"/>
  <c r="AM647" i="16"/>
  <c r="AM648" i="16"/>
  <c r="BJ648" i="16" s="1"/>
  <c r="AM649" i="16"/>
  <c r="AM650" i="16"/>
  <c r="AM651" i="16"/>
  <c r="AD651" i="16" s="1"/>
  <c r="BI651" i="16" s="1"/>
  <c r="AM652" i="16"/>
  <c r="BJ652" i="16" s="1"/>
  <c r="AD652" i="16"/>
  <c r="BI652" i="16" s="1"/>
  <c r="AM653" i="16"/>
  <c r="AM654" i="16"/>
  <c r="AM655" i="16"/>
  <c r="AM656" i="16"/>
  <c r="AD656" i="16" s="1"/>
  <c r="BI656" i="16" s="1"/>
  <c r="AM657" i="16"/>
  <c r="BJ657" i="16" s="1"/>
  <c r="AM658" i="16"/>
  <c r="BJ658" i="16" s="1"/>
  <c r="AM659" i="16"/>
  <c r="AM660" i="16"/>
  <c r="BJ660" i="16" s="1"/>
  <c r="AM661" i="16"/>
  <c r="AM662" i="16"/>
  <c r="AM663" i="16"/>
  <c r="AM664" i="16"/>
  <c r="AM665" i="16"/>
  <c r="AD665" i="16" s="1"/>
  <c r="BI665" i="16" s="1"/>
  <c r="AM666" i="16"/>
  <c r="BJ666" i="16" s="1"/>
  <c r="AM667" i="16"/>
  <c r="AG628" i="16"/>
  <c r="AG629" i="16"/>
  <c r="AG630" i="16"/>
  <c r="AG631" i="16"/>
  <c r="AG632" i="16"/>
  <c r="BB632" i="16" s="1"/>
  <c r="AG633" i="16"/>
  <c r="AG634" i="16"/>
  <c r="BB634" i="16"/>
  <c r="AG635" i="16"/>
  <c r="AG636" i="16"/>
  <c r="AG637" i="16"/>
  <c r="AG638" i="16"/>
  <c r="AG639" i="16"/>
  <c r="AG640" i="16"/>
  <c r="AG641" i="16"/>
  <c r="AG642" i="16"/>
  <c r="AG643" i="16"/>
  <c r="AG644" i="16"/>
  <c r="AG645" i="16"/>
  <c r="BB645" i="16"/>
  <c r="AG646" i="16"/>
  <c r="AG647" i="16"/>
  <c r="AG648" i="16"/>
  <c r="AG649" i="16"/>
  <c r="AG650" i="16"/>
  <c r="AG651" i="16"/>
  <c r="AG652" i="16"/>
  <c r="AG653" i="16"/>
  <c r="BB653" i="16" s="1"/>
  <c r="AG654" i="16"/>
  <c r="AG655" i="16"/>
  <c r="AG656" i="16"/>
  <c r="AG657" i="16"/>
  <c r="AG658" i="16"/>
  <c r="AG659" i="16"/>
  <c r="AG660" i="16"/>
  <c r="AG661" i="16"/>
  <c r="BB661" i="16" s="1"/>
  <c r="AG662" i="16"/>
  <c r="AG663" i="16"/>
  <c r="AG664" i="16"/>
  <c r="AG665" i="16"/>
  <c r="AG666" i="16"/>
  <c r="AG667" i="16"/>
  <c r="AJ628" i="16"/>
  <c r="BC628" i="16" s="1"/>
  <c r="AJ629" i="16"/>
  <c r="BC629" i="16"/>
  <c r="AJ630" i="16"/>
  <c r="BC630" i="16" s="1"/>
  <c r="AJ631" i="16"/>
  <c r="BC631" i="16" s="1"/>
  <c r="AJ632" i="16"/>
  <c r="BC632" i="16" s="1"/>
  <c r="AJ633" i="16"/>
  <c r="BC633" i="16" s="1"/>
  <c r="AJ634" i="16"/>
  <c r="BC634" i="16" s="1"/>
  <c r="AJ635" i="16"/>
  <c r="BC635" i="16" s="1"/>
  <c r="AJ636" i="16"/>
  <c r="BC636" i="16" s="1"/>
  <c r="AJ637" i="16"/>
  <c r="BC637" i="16"/>
  <c r="AJ638" i="16"/>
  <c r="BC638" i="16" s="1"/>
  <c r="AJ639" i="16"/>
  <c r="BC639" i="16" s="1"/>
  <c r="AJ640" i="16"/>
  <c r="BC640" i="16" s="1"/>
  <c r="AJ641" i="16"/>
  <c r="BC641" i="16" s="1"/>
  <c r="AJ642" i="16"/>
  <c r="BC642" i="16" s="1"/>
  <c r="AJ643" i="16"/>
  <c r="BC643" i="16" s="1"/>
  <c r="AJ644" i="16"/>
  <c r="BC644" i="16" s="1"/>
  <c r="AJ645" i="16"/>
  <c r="BC645" i="16" s="1"/>
  <c r="AJ646" i="16"/>
  <c r="BC646" i="16" s="1"/>
  <c r="AJ647" i="16"/>
  <c r="BC647" i="16" s="1"/>
  <c r="AJ648" i="16"/>
  <c r="BC648" i="16" s="1"/>
  <c r="AJ649" i="16"/>
  <c r="BC649" i="16" s="1"/>
  <c r="AJ650" i="16"/>
  <c r="BC650" i="16" s="1"/>
  <c r="AJ651" i="16"/>
  <c r="BC651" i="16" s="1"/>
  <c r="AJ652" i="16"/>
  <c r="BC652" i="16" s="1"/>
  <c r="AJ653" i="16"/>
  <c r="BC653" i="16"/>
  <c r="AJ654" i="16"/>
  <c r="BC654" i="16" s="1"/>
  <c r="AJ655" i="16"/>
  <c r="AJ656" i="16"/>
  <c r="BC656" i="16"/>
  <c r="AJ657" i="16"/>
  <c r="BC657" i="16" s="1"/>
  <c r="AJ658" i="16"/>
  <c r="BC658" i="16" s="1"/>
  <c r="AJ659" i="16"/>
  <c r="BC659" i="16" s="1"/>
  <c r="AJ660" i="16"/>
  <c r="BC660" i="16"/>
  <c r="AJ661" i="16"/>
  <c r="BC661" i="16" s="1"/>
  <c r="AJ662" i="16"/>
  <c r="BC662" i="16"/>
  <c r="AJ663" i="16"/>
  <c r="BC663" i="16" s="1"/>
  <c r="AJ664" i="16"/>
  <c r="BC664" i="16"/>
  <c r="AJ665" i="16"/>
  <c r="BC665" i="16" s="1"/>
  <c r="AJ666" i="16"/>
  <c r="BC666" i="16" s="1"/>
  <c r="AJ667" i="16"/>
  <c r="BC667" i="16" s="1"/>
  <c r="AM673" i="16"/>
  <c r="AD673" i="16"/>
  <c r="BI673" i="16" s="1"/>
  <c r="AM674" i="16"/>
  <c r="AM675" i="16"/>
  <c r="AD675" i="16"/>
  <c r="BI675" i="16" s="1"/>
  <c r="AM676" i="16"/>
  <c r="AM677" i="16"/>
  <c r="AD677" i="16" s="1"/>
  <c r="BI677" i="16" s="1"/>
  <c r="AM678" i="16"/>
  <c r="AM679" i="16"/>
  <c r="BJ679" i="16" s="1"/>
  <c r="AM680" i="16"/>
  <c r="BJ680" i="16" s="1"/>
  <c r="AM681" i="16"/>
  <c r="AM682" i="16"/>
  <c r="AM683" i="16"/>
  <c r="AD683" i="16" s="1"/>
  <c r="BI683" i="16" s="1"/>
  <c r="AM684" i="16"/>
  <c r="AD684" i="16"/>
  <c r="BI684" i="16" s="1"/>
  <c r="AM685" i="16"/>
  <c r="AM686" i="16"/>
  <c r="AM687" i="16"/>
  <c r="AM688" i="16"/>
  <c r="AD688" i="16" s="1"/>
  <c r="BI688" i="16" s="1"/>
  <c r="AM689" i="16"/>
  <c r="AD689" i="16" s="1"/>
  <c r="BI689" i="16" s="1"/>
  <c r="AM690" i="16"/>
  <c r="AM691" i="16"/>
  <c r="AM692" i="16"/>
  <c r="AD692" i="16" s="1"/>
  <c r="BI692" i="16" s="1"/>
  <c r="AM693" i="16"/>
  <c r="AM694" i="16"/>
  <c r="AM695" i="16"/>
  <c r="BJ695" i="16" s="1"/>
  <c r="AM696" i="16"/>
  <c r="BJ696" i="16"/>
  <c r="AM697" i="16"/>
  <c r="AD697" i="16" s="1"/>
  <c r="BI697" i="16" s="1"/>
  <c r="AM698" i="16"/>
  <c r="AM699" i="16"/>
  <c r="AM700" i="16"/>
  <c r="AM701" i="16"/>
  <c r="AM702" i="16"/>
  <c r="AM703" i="16"/>
  <c r="BJ703" i="16"/>
  <c r="AM704" i="16"/>
  <c r="BG704" i="16" s="1"/>
  <c r="AM705" i="16"/>
  <c r="AM706" i="16"/>
  <c r="AM707" i="16"/>
  <c r="BJ707" i="16" s="1"/>
  <c r="AM708" i="16"/>
  <c r="T667" i="119"/>
  <c r="AM709" i="16"/>
  <c r="AM710" i="16"/>
  <c r="AM711" i="16"/>
  <c r="BJ711" i="16"/>
  <c r="AM712" i="16"/>
  <c r="AG673" i="16"/>
  <c r="AG674" i="16"/>
  <c r="BB674" i="16" s="1"/>
  <c r="AG675" i="16"/>
  <c r="AG676" i="16"/>
  <c r="AG677" i="16"/>
  <c r="AG678" i="16"/>
  <c r="AG679" i="16"/>
  <c r="AG680" i="16"/>
  <c r="AG681" i="16"/>
  <c r="AG682" i="16"/>
  <c r="BB682" i="16"/>
  <c r="AG683" i="16"/>
  <c r="AG684" i="16"/>
  <c r="AG685" i="16"/>
  <c r="BB685" i="16"/>
  <c r="AG686" i="16"/>
  <c r="AG687" i="16"/>
  <c r="AG688" i="16"/>
  <c r="AG689" i="16"/>
  <c r="AG690" i="16"/>
  <c r="AG691" i="16"/>
  <c r="AG692" i="16"/>
  <c r="AG693" i="16"/>
  <c r="BB693" i="16" s="1"/>
  <c r="AG694" i="16"/>
  <c r="AG695" i="16"/>
  <c r="BB695" i="16" s="1"/>
  <c r="AG696" i="16"/>
  <c r="AG697" i="16"/>
  <c r="AG698" i="16"/>
  <c r="BB698" i="16" s="1"/>
  <c r="AG699" i="16"/>
  <c r="AG700" i="16"/>
  <c r="BB700" i="16" s="1"/>
  <c r="AG701" i="16"/>
  <c r="AG702" i="16"/>
  <c r="BB702" i="16" s="1"/>
  <c r="AG703" i="16"/>
  <c r="AG704" i="16"/>
  <c r="AG705" i="16"/>
  <c r="AG706" i="16"/>
  <c r="AG707" i="16"/>
  <c r="AG708" i="16"/>
  <c r="AG709" i="16"/>
  <c r="AG710" i="16"/>
  <c r="BB710" i="16" s="1"/>
  <c r="AG711" i="16"/>
  <c r="AG712" i="16"/>
  <c r="BB712" i="16" s="1"/>
  <c r="AJ673" i="16"/>
  <c r="BC673" i="16" s="1"/>
  <c r="AJ674" i="16"/>
  <c r="BC674" i="16"/>
  <c r="AJ675" i="16"/>
  <c r="BC675" i="16" s="1"/>
  <c r="AJ676" i="16"/>
  <c r="BC676" i="16" s="1"/>
  <c r="AJ677" i="16"/>
  <c r="BC677" i="16" s="1"/>
  <c r="AJ678" i="16"/>
  <c r="BC678" i="16" s="1"/>
  <c r="AJ679" i="16"/>
  <c r="BC679" i="16" s="1"/>
  <c r="AJ680" i="16"/>
  <c r="BC680" i="16" s="1"/>
  <c r="AJ681" i="16"/>
  <c r="BC681" i="16" s="1"/>
  <c r="AJ682" i="16"/>
  <c r="BC682" i="16" s="1"/>
  <c r="AJ683" i="16"/>
  <c r="BC683" i="16" s="1"/>
  <c r="AJ684" i="16"/>
  <c r="AJ685" i="16"/>
  <c r="BC685" i="16" s="1"/>
  <c r="AJ686" i="16"/>
  <c r="BC686" i="16" s="1"/>
  <c r="AJ687" i="16"/>
  <c r="BC687" i="16" s="1"/>
  <c r="AJ688" i="16"/>
  <c r="BC688" i="16" s="1"/>
  <c r="AJ689" i="16"/>
  <c r="BC689" i="16" s="1"/>
  <c r="AJ690" i="16"/>
  <c r="BC690" i="16" s="1"/>
  <c r="AJ691" i="16"/>
  <c r="BC691" i="16"/>
  <c r="AJ692" i="16"/>
  <c r="AJ693" i="16"/>
  <c r="BC693" i="16" s="1"/>
  <c r="AJ694" i="16"/>
  <c r="BC694" i="16" s="1"/>
  <c r="AJ695" i="16"/>
  <c r="BC695" i="16" s="1"/>
  <c r="AJ696" i="16"/>
  <c r="BC696" i="16"/>
  <c r="AJ697" i="16"/>
  <c r="BC697" i="16" s="1"/>
  <c r="AJ698" i="16"/>
  <c r="BC698" i="16"/>
  <c r="AJ699" i="16"/>
  <c r="BC699" i="16" s="1"/>
  <c r="AJ700" i="16"/>
  <c r="BC700" i="16" s="1"/>
  <c r="AJ701" i="16"/>
  <c r="BC701" i="16" s="1"/>
  <c r="AJ702" i="16"/>
  <c r="BC702" i="16"/>
  <c r="AJ703" i="16"/>
  <c r="BC703" i="16" s="1"/>
  <c r="AJ704" i="16"/>
  <c r="BC704" i="16" s="1"/>
  <c r="AJ705" i="16"/>
  <c r="BC705" i="16" s="1"/>
  <c r="AJ706" i="16"/>
  <c r="BC706" i="16" s="1"/>
  <c r="AJ707" i="16"/>
  <c r="BC707" i="16" s="1"/>
  <c r="AJ708" i="16"/>
  <c r="BC708" i="16" s="1"/>
  <c r="AJ709" i="16"/>
  <c r="BC709" i="16" s="1"/>
  <c r="AJ710" i="16"/>
  <c r="BC710" i="16" s="1"/>
  <c r="AJ711" i="16"/>
  <c r="BC711" i="16" s="1"/>
  <c r="AJ712" i="16"/>
  <c r="BC712" i="16" s="1"/>
  <c r="AM718" i="16"/>
  <c r="BJ718" i="16" s="1"/>
  <c r="AM719" i="16"/>
  <c r="BJ719" i="16" s="1"/>
  <c r="AM720" i="16"/>
  <c r="AM721" i="16"/>
  <c r="T678" i="119" s="1"/>
  <c r="AM722" i="16"/>
  <c r="AM723" i="16"/>
  <c r="BJ723" i="16" s="1"/>
  <c r="AM724" i="16"/>
  <c r="AD724" i="16" s="1"/>
  <c r="BI724" i="16" s="1"/>
  <c r="AM725" i="16"/>
  <c r="T682" i="119"/>
  <c r="AM726" i="16"/>
  <c r="BJ726" i="16" s="1"/>
  <c r="AM727" i="16"/>
  <c r="AD727" i="16" s="1"/>
  <c r="BI727" i="16" s="1"/>
  <c r="AM728" i="16"/>
  <c r="AD728" i="16" s="1"/>
  <c r="BI728" i="16" s="1"/>
  <c r="AM729" i="16"/>
  <c r="AM730" i="16"/>
  <c r="BJ730" i="16" s="1"/>
  <c r="AM731" i="16"/>
  <c r="AM732" i="16"/>
  <c r="AD732" i="16" s="1"/>
  <c r="BI732" i="16" s="1"/>
  <c r="AM733" i="16"/>
  <c r="AM734" i="16"/>
  <c r="BJ734" i="16" s="1"/>
  <c r="AM735" i="16"/>
  <c r="BJ735" i="16" s="1"/>
  <c r="AM736" i="16"/>
  <c r="AM737" i="16"/>
  <c r="AM738" i="16"/>
  <c r="AM739" i="16"/>
  <c r="AD739" i="16" s="1"/>
  <c r="AM740" i="16"/>
  <c r="AD740" i="16"/>
  <c r="BI740" i="16" s="1"/>
  <c r="AM741" i="16"/>
  <c r="T698" i="119" s="1"/>
  <c r="AM742" i="16"/>
  <c r="BJ742" i="16"/>
  <c r="AM743" i="16"/>
  <c r="AD743" i="16" s="1"/>
  <c r="BI743" i="16" s="1"/>
  <c r="AM744" i="16"/>
  <c r="AD744" i="16" s="1"/>
  <c r="BI744" i="16" s="1"/>
  <c r="AM745" i="16"/>
  <c r="AM746" i="16"/>
  <c r="BJ746" i="16"/>
  <c r="AM747" i="16"/>
  <c r="AM748" i="16"/>
  <c r="AD748" i="16"/>
  <c r="BI748" i="16" s="1"/>
  <c r="AM749" i="16"/>
  <c r="AM750" i="16"/>
  <c r="BJ750" i="16"/>
  <c r="AM751" i="16"/>
  <c r="BJ751" i="16" s="1"/>
  <c r="AM752" i="16"/>
  <c r="T709" i="119" s="1"/>
  <c r="AM753" i="16"/>
  <c r="AM754" i="16"/>
  <c r="AM755" i="16"/>
  <c r="AD755" i="16" s="1"/>
  <c r="AM756" i="16"/>
  <c r="T713" i="119" s="1"/>
  <c r="AM757" i="16"/>
  <c r="BJ757" i="16" s="1"/>
  <c r="AG718" i="16"/>
  <c r="AG719" i="16"/>
  <c r="AG720" i="16"/>
  <c r="BB720" i="16" s="1"/>
  <c r="AG721" i="16"/>
  <c r="AG722" i="16"/>
  <c r="AG723" i="16"/>
  <c r="AG724" i="16"/>
  <c r="AG725" i="16"/>
  <c r="AG726" i="16"/>
  <c r="AG727" i="16"/>
  <c r="AG728" i="16"/>
  <c r="AG729" i="16"/>
  <c r="AG730" i="16"/>
  <c r="AG731" i="16"/>
  <c r="AG732" i="16"/>
  <c r="AG733" i="16"/>
  <c r="AG734" i="16"/>
  <c r="AG735" i="16"/>
  <c r="AG736" i="16"/>
  <c r="AG737" i="16"/>
  <c r="AG738" i="16"/>
  <c r="BB738" i="16" s="1"/>
  <c r="AG739" i="16"/>
  <c r="AG740" i="16"/>
  <c r="BB740" i="16"/>
  <c r="AG741" i="16"/>
  <c r="AG742" i="16"/>
  <c r="AG743" i="16"/>
  <c r="AG744" i="16"/>
  <c r="AG745" i="16"/>
  <c r="AG746" i="16"/>
  <c r="AG747" i="16"/>
  <c r="BB747" i="16"/>
  <c r="AG748" i="16"/>
  <c r="AG749" i="16"/>
  <c r="BB749" i="16" s="1"/>
  <c r="AG750" i="16"/>
  <c r="AG751" i="16"/>
  <c r="AG752" i="16"/>
  <c r="AG753" i="16"/>
  <c r="AG754" i="16"/>
  <c r="AG755" i="16"/>
  <c r="AG756" i="16"/>
  <c r="AG757" i="16"/>
  <c r="AJ718" i="16"/>
  <c r="BC718" i="16" s="1"/>
  <c r="AJ719" i="16"/>
  <c r="BC719" i="16" s="1"/>
  <c r="AJ720" i="16"/>
  <c r="BC720" i="16" s="1"/>
  <c r="AJ721" i="16"/>
  <c r="BC721" i="16" s="1"/>
  <c r="AJ722" i="16"/>
  <c r="AJ723" i="16"/>
  <c r="BC723" i="16" s="1"/>
  <c r="AJ724" i="16"/>
  <c r="BC724" i="16" s="1"/>
  <c r="AJ725" i="16"/>
  <c r="BC725" i="16" s="1"/>
  <c r="AJ726" i="16"/>
  <c r="BC726" i="16" s="1"/>
  <c r="AJ727" i="16"/>
  <c r="BC727" i="16" s="1"/>
  <c r="AJ728" i="16"/>
  <c r="BC728" i="16" s="1"/>
  <c r="AJ729" i="16"/>
  <c r="BC729" i="16" s="1"/>
  <c r="AJ730" i="16"/>
  <c r="AJ731" i="16"/>
  <c r="BC731" i="16" s="1"/>
  <c r="AJ732" i="16"/>
  <c r="BC732" i="16" s="1"/>
  <c r="AJ733" i="16"/>
  <c r="BC733" i="16" s="1"/>
  <c r="AJ734" i="16"/>
  <c r="AJ735" i="16"/>
  <c r="BC735" i="16" s="1"/>
  <c r="AJ736" i="16"/>
  <c r="BC736" i="16" s="1"/>
  <c r="AJ737" i="16"/>
  <c r="BC737" i="16" s="1"/>
  <c r="AJ738" i="16"/>
  <c r="BC738" i="16" s="1"/>
  <c r="AJ739" i="16"/>
  <c r="BC739" i="16" s="1"/>
  <c r="AJ740" i="16"/>
  <c r="BC740" i="16" s="1"/>
  <c r="AJ741" i="16"/>
  <c r="BC741" i="16" s="1"/>
  <c r="AJ742" i="16"/>
  <c r="BC742" i="16" s="1"/>
  <c r="AJ743" i="16"/>
  <c r="BC743" i="16" s="1"/>
  <c r="AJ744" i="16"/>
  <c r="BC744" i="16" s="1"/>
  <c r="AJ745" i="16"/>
  <c r="BC745" i="16" s="1"/>
  <c r="AJ746" i="16"/>
  <c r="BC746" i="16" s="1"/>
  <c r="AJ747" i="16"/>
  <c r="BC747" i="16" s="1"/>
  <c r="AJ748" i="16"/>
  <c r="BC748" i="16" s="1"/>
  <c r="AJ749" i="16"/>
  <c r="BC749" i="16" s="1"/>
  <c r="AJ750" i="16"/>
  <c r="BC750" i="16" s="1"/>
  <c r="AJ751" i="16"/>
  <c r="BC751" i="16" s="1"/>
  <c r="AJ752" i="16"/>
  <c r="BC752" i="16" s="1"/>
  <c r="AJ753" i="16"/>
  <c r="BC753" i="16" s="1"/>
  <c r="AJ754" i="16"/>
  <c r="BC754" i="16" s="1"/>
  <c r="AJ755" i="16"/>
  <c r="BC755" i="16" s="1"/>
  <c r="AJ756" i="16"/>
  <c r="BC756" i="16" s="1"/>
  <c r="AJ757" i="16"/>
  <c r="BC757" i="16" s="1"/>
  <c r="AM763" i="16"/>
  <c r="AM764" i="16"/>
  <c r="BJ764" i="16" s="1"/>
  <c r="AM765" i="16"/>
  <c r="BJ765" i="16" s="1"/>
  <c r="AM766" i="16"/>
  <c r="AD766" i="16" s="1"/>
  <c r="BI766" i="16" s="1"/>
  <c r="AM767" i="16"/>
  <c r="AM768" i="16"/>
  <c r="AM769" i="16"/>
  <c r="AD769" i="16"/>
  <c r="BI769" i="16" s="1"/>
  <c r="AM770" i="16"/>
  <c r="AD770" i="16" s="1"/>
  <c r="BI770" i="16" s="1"/>
  <c r="AM771" i="16"/>
  <c r="BG771" i="16" s="1"/>
  <c r="AM772" i="16"/>
  <c r="AD772" i="16" s="1"/>
  <c r="BI772" i="16" s="1"/>
  <c r="AM773" i="16"/>
  <c r="AM774" i="16"/>
  <c r="AM775" i="16"/>
  <c r="AM776" i="16"/>
  <c r="BJ776" i="16" s="1"/>
  <c r="AM777" i="16"/>
  <c r="AD777" i="16"/>
  <c r="AM778" i="16"/>
  <c r="AM779" i="16"/>
  <c r="AM780" i="16"/>
  <c r="BJ780" i="16"/>
  <c r="AM781" i="16"/>
  <c r="BJ781" i="16" s="1"/>
  <c r="AM782" i="16"/>
  <c r="AD782" i="16" s="1"/>
  <c r="BI782" i="16" s="1"/>
  <c r="AM783" i="16"/>
  <c r="AM784" i="16"/>
  <c r="AM785" i="16"/>
  <c r="AD785" i="16" s="1"/>
  <c r="BI785" i="16" s="1"/>
  <c r="AM786" i="16"/>
  <c r="AD786" i="16" s="1"/>
  <c r="AM787" i="16"/>
  <c r="AM788" i="16"/>
  <c r="BJ788" i="16" s="1"/>
  <c r="AM789" i="16"/>
  <c r="AM790" i="16"/>
  <c r="AD790" i="16" s="1"/>
  <c r="BI790" i="16" s="1"/>
  <c r="AM791" i="16"/>
  <c r="AM792" i="16"/>
  <c r="BJ792" i="16" s="1"/>
  <c r="AM793" i="16"/>
  <c r="BJ793" i="16" s="1"/>
  <c r="AM794" i="16"/>
  <c r="AM795" i="16"/>
  <c r="AM796" i="16"/>
  <c r="BJ796" i="16" s="1"/>
  <c r="AM797" i="16"/>
  <c r="BJ797" i="16" s="1"/>
  <c r="AM798" i="16"/>
  <c r="AD798" i="16"/>
  <c r="BI798" i="16" s="1"/>
  <c r="AM799" i="16"/>
  <c r="AM800" i="16"/>
  <c r="AM801" i="16"/>
  <c r="AD801" i="16" s="1"/>
  <c r="BI801" i="16" s="1"/>
  <c r="AM802" i="16"/>
  <c r="AD802" i="16" s="1"/>
  <c r="AG763" i="16"/>
  <c r="AG764" i="16"/>
  <c r="BB764" i="16" s="1"/>
  <c r="AG765" i="16"/>
  <c r="AG766" i="16"/>
  <c r="BB766" i="16" s="1"/>
  <c r="BE766" i="16" s="1"/>
  <c r="AG767" i="16"/>
  <c r="AG768" i="16"/>
  <c r="AG769" i="16"/>
  <c r="AG770" i="16"/>
  <c r="BB770" i="16" s="1"/>
  <c r="AG771" i="16"/>
  <c r="AG772" i="16"/>
  <c r="BB772" i="16" s="1"/>
  <c r="BE772" i="16" s="1"/>
  <c r="AG773" i="16"/>
  <c r="AG774" i="16"/>
  <c r="AG775" i="16"/>
  <c r="AG776" i="16"/>
  <c r="AG777" i="16"/>
  <c r="AG778" i="16"/>
  <c r="BB778" i="16"/>
  <c r="AG779" i="16"/>
  <c r="AG780" i="16"/>
  <c r="BB780" i="16" s="1"/>
  <c r="AG781" i="16"/>
  <c r="AG782" i="16"/>
  <c r="AG783" i="16"/>
  <c r="AG784" i="16"/>
  <c r="AG785" i="16"/>
  <c r="AG786" i="16"/>
  <c r="BB786" i="16" s="1"/>
  <c r="AG787" i="16"/>
  <c r="AG788" i="16"/>
  <c r="BB788" i="16" s="1"/>
  <c r="AG789" i="16"/>
  <c r="AG790" i="16"/>
  <c r="AG791" i="16"/>
  <c r="AG792" i="16"/>
  <c r="AG793" i="16"/>
  <c r="AG794" i="16"/>
  <c r="BB794" i="16"/>
  <c r="AG795" i="16"/>
  <c r="AG796" i="16"/>
  <c r="BB796" i="16" s="1"/>
  <c r="AG797" i="16"/>
  <c r="AG798" i="16"/>
  <c r="BB798" i="16" s="1"/>
  <c r="AG799" i="16"/>
  <c r="AG800" i="16"/>
  <c r="AG801" i="16"/>
  <c r="AG802" i="16"/>
  <c r="BB802" i="16" s="1"/>
  <c r="AJ763" i="16"/>
  <c r="BC763" i="16" s="1"/>
  <c r="AJ764" i="16"/>
  <c r="BC764" i="16" s="1"/>
  <c r="AJ765" i="16"/>
  <c r="BC765" i="16" s="1"/>
  <c r="AJ766" i="16"/>
  <c r="BC766" i="16" s="1"/>
  <c r="AJ767" i="16"/>
  <c r="BC767" i="16" s="1"/>
  <c r="AJ768" i="16"/>
  <c r="BC768" i="16" s="1"/>
  <c r="AJ769" i="16"/>
  <c r="BC769" i="16" s="1"/>
  <c r="AJ770" i="16"/>
  <c r="BC770" i="16" s="1"/>
  <c r="AJ771" i="16"/>
  <c r="BC771" i="16" s="1"/>
  <c r="AJ772" i="16"/>
  <c r="BC772" i="16"/>
  <c r="AJ773" i="16"/>
  <c r="BC773" i="16" s="1"/>
  <c r="AJ774" i="16"/>
  <c r="BC774" i="16" s="1"/>
  <c r="AJ775" i="16"/>
  <c r="BC775" i="16" s="1"/>
  <c r="AJ776" i="16"/>
  <c r="BC776" i="16" s="1"/>
  <c r="AJ777" i="16"/>
  <c r="BC777" i="16" s="1"/>
  <c r="AJ778" i="16"/>
  <c r="BC778" i="16" s="1"/>
  <c r="AJ779" i="16"/>
  <c r="BC779" i="16" s="1"/>
  <c r="AJ780" i="16"/>
  <c r="BC780" i="16" s="1"/>
  <c r="AJ781" i="16"/>
  <c r="BC781" i="16" s="1"/>
  <c r="AJ782" i="16"/>
  <c r="BC782" i="16" s="1"/>
  <c r="AJ783" i="16"/>
  <c r="BC783" i="16" s="1"/>
  <c r="AJ784" i="16"/>
  <c r="BC784" i="16" s="1"/>
  <c r="AJ785" i="16"/>
  <c r="BC785" i="16" s="1"/>
  <c r="AJ786" i="16"/>
  <c r="BC786" i="16" s="1"/>
  <c r="AJ787" i="16"/>
  <c r="BC787" i="16" s="1"/>
  <c r="AJ788" i="16"/>
  <c r="BC788" i="16"/>
  <c r="AJ789" i="16"/>
  <c r="BC789" i="16" s="1"/>
  <c r="AJ790" i="16"/>
  <c r="BC790" i="16" s="1"/>
  <c r="AJ791" i="16"/>
  <c r="BC791" i="16" s="1"/>
  <c r="AJ792" i="16"/>
  <c r="BC792" i="16" s="1"/>
  <c r="AJ793" i="16"/>
  <c r="BC793" i="16" s="1"/>
  <c r="AJ794" i="16"/>
  <c r="BC794" i="16" s="1"/>
  <c r="AJ795" i="16"/>
  <c r="BC795" i="16" s="1"/>
  <c r="AJ796" i="16"/>
  <c r="BC796" i="16" s="1"/>
  <c r="AJ797" i="16"/>
  <c r="BC797" i="16" s="1"/>
  <c r="AJ798" i="16"/>
  <c r="BC798" i="16" s="1"/>
  <c r="AJ799" i="16"/>
  <c r="BC799" i="16" s="1"/>
  <c r="AJ800" i="16"/>
  <c r="BC800" i="16" s="1"/>
  <c r="AJ801" i="16"/>
  <c r="BC801" i="16" s="1"/>
  <c r="AJ802" i="16"/>
  <c r="BC802" i="16" s="1"/>
  <c r="AM808" i="16"/>
  <c r="AD808" i="16" s="1"/>
  <c r="AM809" i="16"/>
  <c r="AM810" i="16"/>
  <c r="AM811" i="16"/>
  <c r="BJ811" i="16" s="1"/>
  <c r="AM812" i="16"/>
  <c r="AM813" i="16"/>
  <c r="AD813" i="16"/>
  <c r="BI813" i="16"/>
  <c r="AM814" i="16"/>
  <c r="AM815" i="16"/>
  <c r="AM816" i="16"/>
  <c r="AD816" i="16"/>
  <c r="BI816" i="16" s="1"/>
  <c r="AM817" i="16"/>
  <c r="AD817" i="16"/>
  <c r="BI817" i="16" s="1"/>
  <c r="AM818" i="16"/>
  <c r="AM819" i="16"/>
  <c r="BJ819" i="16"/>
  <c r="AM820" i="16"/>
  <c r="AM821" i="16"/>
  <c r="AD821" i="16" s="1"/>
  <c r="BI821" i="16" s="1"/>
  <c r="AM822" i="16"/>
  <c r="AM823" i="16"/>
  <c r="AM824" i="16"/>
  <c r="BJ824" i="16" s="1"/>
  <c r="AM825" i="16"/>
  <c r="AM826" i="16"/>
  <c r="AM827" i="16"/>
  <c r="BJ827" i="16" s="1"/>
  <c r="AM828" i="16"/>
  <c r="BJ828" i="16"/>
  <c r="AM829" i="16"/>
  <c r="AD829" i="16" s="1"/>
  <c r="BI829" i="16" s="1"/>
  <c r="AM830" i="16"/>
  <c r="AM831" i="16"/>
  <c r="AM832" i="16"/>
  <c r="AD832" i="16" s="1"/>
  <c r="BI832" i="16" s="1"/>
  <c r="AM833" i="16"/>
  <c r="AD833" i="16" s="1"/>
  <c r="BI833" i="16" s="1"/>
  <c r="AM834" i="16"/>
  <c r="AM835" i="16"/>
  <c r="BJ835" i="16"/>
  <c r="AM836" i="16"/>
  <c r="AM837" i="16"/>
  <c r="AD837" i="16" s="1"/>
  <c r="BI837" i="16" s="1"/>
  <c r="AM838" i="16"/>
  <c r="AM839" i="16"/>
  <c r="BJ839" i="16" s="1"/>
  <c r="AM840" i="16"/>
  <c r="BJ840" i="16" s="1"/>
  <c r="AM841" i="16"/>
  <c r="AM842" i="16"/>
  <c r="AM843" i="16"/>
  <c r="BJ843" i="16" s="1"/>
  <c r="AM844" i="16"/>
  <c r="BJ844" i="16" s="1"/>
  <c r="AM845" i="16"/>
  <c r="AM846" i="16"/>
  <c r="AM847" i="16"/>
  <c r="AG808" i="16"/>
  <c r="AG809" i="16"/>
  <c r="AG810" i="16"/>
  <c r="BB810" i="16"/>
  <c r="AG811" i="16"/>
  <c r="AG812" i="16"/>
  <c r="BB812" i="16" s="1"/>
  <c r="AG813" i="16"/>
  <c r="AG814" i="16"/>
  <c r="AG815" i="16"/>
  <c r="AG816" i="16"/>
  <c r="AG817" i="16"/>
  <c r="AG818" i="16"/>
  <c r="BB818" i="16" s="1"/>
  <c r="AG819" i="16"/>
  <c r="AG820" i="16"/>
  <c r="BB820" i="16" s="1"/>
  <c r="AG821" i="16"/>
  <c r="AG822" i="16"/>
  <c r="BB822" i="16"/>
  <c r="AG823" i="16"/>
  <c r="AG824" i="16"/>
  <c r="AG825" i="16"/>
  <c r="AG826" i="16"/>
  <c r="BB826" i="16" s="1"/>
  <c r="AG827" i="16"/>
  <c r="AG828" i="16"/>
  <c r="AG829" i="16"/>
  <c r="AG830" i="16"/>
  <c r="AG831" i="16"/>
  <c r="BB831" i="16" s="1"/>
  <c r="AG832" i="16"/>
  <c r="AG833" i="16"/>
  <c r="BB833" i="16" s="1"/>
  <c r="AG834" i="16"/>
  <c r="AG835" i="16"/>
  <c r="BB835" i="16" s="1"/>
  <c r="AG836" i="16"/>
  <c r="AG837" i="16"/>
  <c r="BB837" i="16"/>
  <c r="AG838" i="16"/>
  <c r="AG839" i="16"/>
  <c r="BB839" i="16" s="1"/>
  <c r="AG840" i="16"/>
  <c r="AG841" i="16"/>
  <c r="BB841" i="16" s="1"/>
  <c r="AG842" i="16"/>
  <c r="AG843" i="16"/>
  <c r="AG844" i="16"/>
  <c r="AG845" i="16"/>
  <c r="AG846" i="16"/>
  <c r="BB846" i="16"/>
  <c r="AG847" i="16"/>
  <c r="AJ808" i="16"/>
  <c r="BC808" i="16" s="1"/>
  <c r="AJ809" i="16"/>
  <c r="BC809" i="16" s="1"/>
  <c r="AJ810" i="16"/>
  <c r="BC810" i="16"/>
  <c r="AJ811" i="16"/>
  <c r="BC811" i="16" s="1"/>
  <c r="AJ812" i="16"/>
  <c r="BC812" i="16" s="1"/>
  <c r="AJ813" i="16"/>
  <c r="BC813" i="16" s="1"/>
  <c r="AJ814" i="16"/>
  <c r="BC814" i="16" s="1"/>
  <c r="AJ815" i="16"/>
  <c r="BC815" i="16" s="1"/>
  <c r="AJ816" i="16"/>
  <c r="BC816" i="16" s="1"/>
  <c r="AJ817" i="16"/>
  <c r="BC817" i="16" s="1"/>
  <c r="AJ818" i="16"/>
  <c r="BC818" i="16" s="1"/>
  <c r="AJ819" i="16"/>
  <c r="BC819" i="16" s="1"/>
  <c r="AJ820" i="16"/>
  <c r="BC820" i="16" s="1"/>
  <c r="AJ821" i="16"/>
  <c r="BC821" i="16" s="1"/>
  <c r="AJ822" i="16"/>
  <c r="BC822" i="16" s="1"/>
  <c r="AJ823" i="16"/>
  <c r="BC823" i="16" s="1"/>
  <c r="AJ824" i="16"/>
  <c r="BC824" i="16" s="1"/>
  <c r="AJ825" i="16"/>
  <c r="BC825" i="16" s="1"/>
  <c r="AJ826" i="16"/>
  <c r="BC826" i="16" s="1"/>
  <c r="AJ827" i="16"/>
  <c r="BC827" i="16" s="1"/>
  <c r="AJ828" i="16"/>
  <c r="BC828" i="16" s="1"/>
  <c r="AJ829" i="16"/>
  <c r="BC829" i="16" s="1"/>
  <c r="AJ830" i="16"/>
  <c r="BC830" i="16"/>
  <c r="AJ831" i="16"/>
  <c r="BC831" i="16" s="1"/>
  <c r="AJ832" i="16"/>
  <c r="AJ833" i="16"/>
  <c r="BC833" i="16"/>
  <c r="AJ834" i="16"/>
  <c r="BC834" i="16" s="1"/>
  <c r="AJ835" i="16"/>
  <c r="BC835" i="16"/>
  <c r="AJ836" i="16"/>
  <c r="BC836" i="16" s="1"/>
  <c r="AJ837" i="16"/>
  <c r="BC837" i="16"/>
  <c r="AJ838" i="16"/>
  <c r="BC838" i="16" s="1"/>
  <c r="AJ839" i="16"/>
  <c r="BC839" i="16" s="1"/>
  <c r="AJ840" i="16"/>
  <c r="BC840" i="16" s="1"/>
  <c r="AJ841" i="16"/>
  <c r="BC841" i="16" s="1"/>
  <c r="AJ842" i="16"/>
  <c r="BC842" i="16"/>
  <c r="AJ843" i="16"/>
  <c r="BC843" i="16" s="1"/>
  <c r="AJ844" i="16"/>
  <c r="BC844" i="16" s="1"/>
  <c r="AJ845" i="16"/>
  <c r="BC845" i="16" s="1"/>
  <c r="AJ846" i="16"/>
  <c r="BC846" i="16" s="1"/>
  <c r="AJ847" i="16"/>
  <c r="BC847" i="16" s="1"/>
  <c r="AM853" i="16"/>
  <c r="AM854" i="16"/>
  <c r="AM855" i="16"/>
  <c r="AD855" i="16" s="1"/>
  <c r="AM856" i="16"/>
  <c r="AM857" i="16"/>
  <c r="AM858" i="16"/>
  <c r="BJ858" i="16" s="1"/>
  <c r="AM859" i="16"/>
  <c r="BJ859" i="16" s="1"/>
  <c r="AM860" i="16"/>
  <c r="AD860" i="16"/>
  <c r="BI860" i="16" s="1"/>
  <c r="AM861" i="16"/>
  <c r="AM862" i="16"/>
  <c r="BJ862" i="16"/>
  <c r="AM863" i="16"/>
  <c r="AM864" i="16"/>
  <c r="AD864" i="16" s="1"/>
  <c r="BI864" i="16" s="1"/>
  <c r="AM865" i="16"/>
  <c r="AM866" i="16"/>
  <c r="BJ866" i="16" s="1"/>
  <c r="AM867" i="16"/>
  <c r="AD867" i="16"/>
  <c r="BI867" i="16" s="1"/>
  <c r="AM868" i="16"/>
  <c r="AD868" i="16" s="1"/>
  <c r="BI868" i="16" s="1"/>
  <c r="AM869" i="16"/>
  <c r="AM870" i="16"/>
  <c r="AM871" i="16"/>
  <c r="AD871" i="16"/>
  <c r="AM872" i="16"/>
  <c r="AD872" i="16" s="1"/>
  <c r="BI872" i="16" s="1"/>
  <c r="AM873" i="16"/>
  <c r="AM874" i="16"/>
  <c r="AM875" i="16"/>
  <c r="AD875" i="16" s="1"/>
  <c r="AM876" i="16"/>
  <c r="AD876" i="16" s="1"/>
  <c r="BI876" i="16" s="1"/>
  <c r="AM877" i="16"/>
  <c r="AM878" i="16"/>
  <c r="BJ878" i="16" s="1"/>
  <c r="AM879" i="16"/>
  <c r="AM880" i="16"/>
  <c r="AD880" i="16" s="1"/>
  <c r="BI880" i="16" s="1"/>
  <c r="AM881" i="16"/>
  <c r="AM882" i="16"/>
  <c r="AM883" i="16"/>
  <c r="AD883" i="16"/>
  <c r="BI883" i="16" s="1"/>
  <c r="AM884" i="16"/>
  <c r="AD884" i="16" s="1"/>
  <c r="BI884" i="16" s="1"/>
  <c r="AM885" i="16"/>
  <c r="AM886" i="16"/>
  <c r="AM887" i="16"/>
  <c r="AM888" i="16"/>
  <c r="AD888" i="16" s="1"/>
  <c r="BI888" i="16" s="1"/>
  <c r="AM889" i="16"/>
  <c r="AM890" i="16"/>
  <c r="AM891" i="16"/>
  <c r="BJ891" i="16" s="1"/>
  <c r="AM892" i="16"/>
  <c r="AD892" i="16" s="1"/>
  <c r="AG853" i="16"/>
  <c r="AG854" i="16"/>
  <c r="AG855" i="16"/>
  <c r="BB855" i="16" s="1"/>
  <c r="AG856" i="16"/>
  <c r="AG857" i="16"/>
  <c r="BB857" i="16" s="1"/>
  <c r="AG858" i="16"/>
  <c r="AG859" i="16"/>
  <c r="AG860" i="16"/>
  <c r="AG861" i="16"/>
  <c r="AG862" i="16"/>
  <c r="AG863" i="16"/>
  <c r="BB863" i="16"/>
  <c r="AG864" i="16"/>
  <c r="AG865" i="16"/>
  <c r="BB865" i="16"/>
  <c r="AG866" i="16"/>
  <c r="AG867" i="16"/>
  <c r="AG868" i="16"/>
  <c r="AG869" i="16"/>
  <c r="AG870" i="16"/>
  <c r="BB870" i="16" s="1"/>
  <c r="AG871" i="16"/>
  <c r="AG872" i="16"/>
  <c r="BB872" i="16"/>
  <c r="AG873" i="16"/>
  <c r="AG874" i="16"/>
  <c r="AG875" i="16"/>
  <c r="BB875" i="16"/>
  <c r="AG876" i="16"/>
  <c r="AG877" i="16"/>
  <c r="AG878" i="16"/>
  <c r="AG879" i="16"/>
  <c r="AG880" i="16"/>
  <c r="AG881" i="16"/>
  <c r="AG882" i="16"/>
  <c r="AG883" i="16"/>
  <c r="AG884" i="16"/>
  <c r="AG885" i="16"/>
  <c r="AG886" i="16"/>
  <c r="AG887" i="16"/>
  <c r="AG888" i="16"/>
  <c r="AG889" i="16"/>
  <c r="AG890" i="16"/>
  <c r="AG891" i="16"/>
  <c r="AG892" i="16"/>
  <c r="AJ853" i="16"/>
  <c r="AJ854" i="16"/>
  <c r="BC854" i="16" s="1"/>
  <c r="AJ855" i="16"/>
  <c r="BC855" i="16" s="1"/>
  <c r="AJ856" i="16"/>
  <c r="AJ857" i="16"/>
  <c r="BC857" i="16" s="1"/>
  <c r="AJ858" i="16"/>
  <c r="BC858" i="16" s="1"/>
  <c r="AJ859" i="16"/>
  <c r="BC859" i="16" s="1"/>
  <c r="AJ860" i="16"/>
  <c r="BC860" i="16" s="1"/>
  <c r="AJ861" i="16"/>
  <c r="BC861" i="16" s="1"/>
  <c r="AJ862" i="16"/>
  <c r="BC862" i="16"/>
  <c r="AJ863" i="16"/>
  <c r="BC863" i="16" s="1"/>
  <c r="AJ864" i="16"/>
  <c r="AJ865" i="16"/>
  <c r="BC865" i="16" s="1"/>
  <c r="AJ866" i="16"/>
  <c r="BC866" i="16" s="1"/>
  <c r="AJ867" i="16"/>
  <c r="BC867" i="16" s="1"/>
  <c r="AJ868" i="16"/>
  <c r="BC868" i="16" s="1"/>
  <c r="AJ869" i="16"/>
  <c r="BC869" i="16" s="1"/>
  <c r="AJ870" i="16"/>
  <c r="BC870" i="16" s="1"/>
  <c r="AJ871" i="16"/>
  <c r="BC871" i="16" s="1"/>
  <c r="AJ872" i="16"/>
  <c r="AJ873" i="16"/>
  <c r="BC873" i="16"/>
  <c r="AJ874" i="16"/>
  <c r="BC874" i="16" s="1"/>
  <c r="AJ875" i="16"/>
  <c r="BC875" i="16"/>
  <c r="AJ876" i="16"/>
  <c r="BC876" i="16" s="1"/>
  <c r="AJ877" i="16"/>
  <c r="BC877" i="16" s="1"/>
  <c r="AJ878" i="16"/>
  <c r="BC878" i="16" s="1"/>
  <c r="AJ879" i="16"/>
  <c r="BC879" i="16" s="1"/>
  <c r="AJ880" i="16"/>
  <c r="BC880" i="16" s="1"/>
  <c r="AJ881" i="16"/>
  <c r="BC881" i="16" s="1"/>
  <c r="AJ882" i="16"/>
  <c r="BC882" i="16" s="1"/>
  <c r="AJ883" i="16"/>
  <c r="BC883" i="16"/>
  <c r="AJ884" i="16"/>
  <c r="BC884" i="16" s="1"/>
  <c r="AJ885" i="16"/>
  <c r="BC885" i="16" s="1"/>
  <c r="AJ886" i="16"/>
  <c r="BC886" i="16" s="1"/>
  <c r="AJ887" i="16"/>
  <c r="BC887" i="16" s="1"/>
  <c r="AJ888" i="16"/>
  <c r="BC888" i="16" s="1"/>
  <c r="AJ889" i="16"/>
  <c r="BC889" i="16" s="1"/>
  <c r="AJ890" i="16"/>
  <c r="BC890" i="16" s="1"/>
  <c r="AJ891" i="16"/>
  <c r="BC891" i="16"/>
  <c r="AJ892" i="16"/>
  <c r="BC892" i="16" s="1"/>
  <c r="AM898" i="16"/>
  <c r="AD898" i="16" s="1"/>
  <c r="BI898" i="16" s="1"/>
  <c r="AM899" i="16"/>
  <c r="AD899" i="16"/>
  <c r="BI899" i="16" s="1"/>
  <c r="AM900" i="16"/>
  <c r="AM901" i="16"/>
  <c r="AM902" i="16"/>
  <c r="AM903" i="16"/>
  <c r="AD903" i="16" s="1"/>
  <c r="AM904" i="16"/>
  <c r="AM905" i="16"/>
  <c r="AM906" i="16"/>
  <c r="BJ906" i="16" s="1"/>
  <c r="AM907" i="16"/>
  <c r="AD907" i="16" s="1"/>
  <c r="BI907" i="16" s="1"/>
  <c r="AM908" i="16"/>
  <c r="AM909" i="16"/>
  <c r="BJ909" i="16" s="1"/>
  <c r="AM910" i="16"/>
  <c r="AM911" i="16"/>
  <c r="AD911" i="16" s="1"/>
  <c r="BI911" i="16" s="1"/>
  <c r="AM912" i="16"/>
  <c r="AM913" i="16"/>
  <c r="BJ913" i="16" s="1"/>
  <c r="AM914" i="16"/>
  <c r="AM915" i="16"/>
  <c r="AD915" i="16" s="1"/>
  <c r="BI915" i="16" s="1"/>
  <c r="AM916" i="16"/>
  <c r="AM917" i="16"/>
  <c r="T866" i="119"/>
  <c r="AM918" i="16"/>
  <c r="BJ918" i="16" s="1"/>
  <c r="AM919" i="16"/>
  <c r="AD919" i="16" s="1"/>
  <c r="AM920" i="16"/>
  <c r="AM921" i="16"/>
  <c r="BJ921" i="16" s="1"/>
  <c r="AM922" i="16"/>
  <c r="BJ922" i="16" s="1"/>
  <c r="AM923" i="16"/>
  <c r="AD923" i="16" s="1"/>
  <c r="BI923" i="16" s="1"/>
  <c r="AM924" i="16"/>
  <c r="AM925" i="16"/>
  <c r="BJ925" i="16" s="1"/>
  <c r="AM926" i="16"/>
  <c r="AM927" i="16"/>
  <c r="AD927" i="16" s="1"/>
  <c r="BI927" i="16" s="1"/>
  <c r="AM928" i="16"/>
  <c r="AM929" i="16"/>
  <c r="BJ929" i="16" s="1"/>
  <c r="AM930" i="16"/>
  <c r="AD930" i="16" s="1"/>
  <c r="AM931" i="16"/>
  <c r="AD931" i="16" s="1"/>
  <c r="BI931" i="16" s="1"/>
  <c r="AM932" i="16"/>
  <c r="AM933" i="16"/>
  <c r="BG933" i="16" s="1"/>
  <c r="AM934" i="16"/>
  <c r="BJ934" i="16" s="1"/>
  <c r="AM935" i="16"/>
  <c r="AD935" i="16" s="1"/>
  <c r="BI935" i="16" s="1"/>
  <c r="AM936" i="16"/>
  <c r="AM937" i="16"/>
  <c r="BJ937" i="16" s="1"/>
  <c r="AG898" i="16"/>
  <c r="AG899" i="16"/>
  <c r="AG900" i="16"/>
  <c r="AG901" i="16"/>
  <c r="AG902" i="16"/>
  <c r="AG903" i="16"/>
  <c r="AG904" i="16"/>
  <c r="BB904" i="16" s="1"/>
  <c r="AG905" i="16"/>
  <c r="AG906" i="16"/>
  <c r="AG907" i="16"/>
  <c r="AG908" i="16"/>
  <c r="AG909" i="16"/>
  <c r="AG910" i="16"/>
  <c r="AG911" i="16"/>
  <c r="AG912" i="16"/>
  <c r="AG913" i="16"/>
  <c r="AG914" i="16"/>
  <c r="AG915" i="16"/>
  <c r="BB915" i="16" s="1"/>
  <c r="AG916" i="16"/>
  <c r="AG917" i="16"/>
  <c r="AG918" i="16"/>
  <c r="AG919" i="16"/>
  <c r="AG920" i="16"/>
  <c r="AG921" i="16"/>
  <c r="AG922" i="16"/>
  <c r="AG923" i="16"/>
  <c r="AG924" i="16"/>
  <c r="AG925" i="16"/>
  <c r="AG926" i="16"/>
  <c r="AG927" i="16"/>
  <c r="AG928" i="16"/>
  <c r="AG929" i="16"/>
  <c r="AG930" i="16"/>
  <c r="AG931" i="16"/>
  <c r="AG932" i="16"/>
  <c r="AG933" i="16"/>
  <c r="AG934" i="16"/>
  <c r="AG935" i="16"/>
  <c r="AG936" i="16"/>
  <c r="AG937" i="16"/>
  <c r="AJ898" i="16"/>
  <c r="BC898" i="16" s="1"/>
  <c r="AJ899" i="16"/>
  <c r="BC899" i="16" s="1"/>
  <c r="AJ900" i="16"/>
  <c r="BC900" i="16" s="1"/>
  <c r="AJ901" i="16"/>
  <c r="BC901" i="16" s="1"/>
  <c r="AJ902" i="16"/>
  <c r="BC902" i="16" s="1"/>
  <c r="AJ903" i="16"/>
  <c r="BC903" i="16" s="1"/>
  <c r="AJ904" i="16"/>
  <c r="BC904" i="16" s="1"/>
  <c r="AJ905" i="16"/>
  <c r="BC905" i="16" s="1"/>
  <c r="AJ906" i="16"/>
  <c r="BC906" i="16" s="1"/>
  <c r="AJ907" i="16"/>
  <c r="BC907" i="16" s="1"/>
  <c r="AJ908" i="16"/>
  <c r="BC908" i="16" s="1"/>
  <c r="AJ909" i="16"/>
  <c r="BC909" i="16" s="1"/>
  <c r="AJ910" i="16"/>
  <c r="BC910" i="16" s="1"/>
  <c r="AJ911" i="16"/>
  <c r="BC911" i="16" s="1"/>
  <c r="AJ912" i="16"/>
  <c r="BC912" i="16" s="1"/>
  <c r="AJ913" i="16"/>
  <c r="BC913" i="16" s="1"/>
  <c r="AJ914" i="16"/>
  <c r="BC914" i="16" s="1"/>
  <c r="AJ915" i="16"/>
  <c r="BC915" i="16" s="1"/>
  <c r="AJ916" i="16"/>
  <c r="BC916" i="16" s="1"/>
  <c r="AJ917" i="16"/>
  <c r="BC917" i="16" s="1"/>
  <c r="AJ918" i="16"/>
  <c r="BC918" i="16" s="1"/>
  <c r="AJ919" i="16"/>
  <c r="BC919" i="16" s="1"/>
  <c r="AJ920" i="16"/>
  <c r="BC920" i="16" s="1"/>
  <c r="AJ921" i="16"/>
  <c r="BC921" i="16" s="1"/>
  <c r="AJ922" i="16"/>
  <c r="BC922" i="16" s="1"/>
  <c r="AJ923" i="16"/>
  <c r="BC923" i="16" s="1"/>
  <c r="AJ924" i="16"/>
  <c r="BC924" i="16" s="1"/>
  <c r="AJ925" i="16"/>
  <c r="BC925" i="16" s="1"/>
  <c r="AJ926" i="16"/>
  <c r="BC926" i="16" s="1"/>
  <c r="AJ927" i="16"/>
  <c r="BC927" i="16" s="1"/>
  <c r="AJ928" i="16"/>
  <c r="BC928" i="16" s="1"/>
  <c r="AJ929" i="16"/>
  <c r="BC929" i="16" s="1"/>
  <c r="AJ930" i="16"/>
  <c r="BC930" i="16" s="1"/>
  <c r="AJ931" i="16"/>
  <c r="BC931" i="16" s="1"/>
  <c r="AJ932" i="16"/>
  <c r="BC932" i="16" s="1"/>
  <c r="AJ933" i="16"/>
  <c r="BC933" i="16" s="1"/>
  <c r="AJ934" i="16"/>
  <c r="BC934" i="16" s="1"/>
  <c r="AJ935" i="16"/>
  <c r="BC935" i="16" s="1"/>
  <c r="AJ936" i="16"/>
  <c r="BC936" i="16" s="1"/>
  <c r="AJ937" i="16"/>
  <c r="BC937" i="16" s="1"/>
  <c r="AM943" i="16"/>
  <c r="AM944" i="16"/>
  <c r="BJ944" i="16" s="1"/>
  <c r="AM945" i="16"/>
  <c r="BJ945" i="16" s="1"/>
  <c r="AM946" i="16"/>
  <c r="AD946" i="16" s="1"/>
  <c r="BI946" i="16" s="1"/>
  <c r="AM947" i="16"/>
  <c r="T894" i="119" s="1"/>
  <c r="AM948" i="16"/>
  <c r="AM949" i="16"/>
  <c r="BJ949" i="16" s="1"/>
  <c r="AM950" i="16"/>
  <c r="T897" i="119" s="1"/>
  <c r="AM951" i="16"/>
  <c r="AM952" i="16"/>
  <c r="AM953" i="16"/>
  <c r="AD953" i="16" s="1"/>
  <c r="BI953" i="16" s="1"/>
  <c r="AM954" i="16"/>
  <c r="AD954" i="16"/>
  <c r="BI954" i="16" s="1"/>
  <c r="AM955" i="16"/>
  <c r="AD955" i="16" s="1"/>
  <c r="BI955" i="16" s="1"/>
  <c r="AM956" i="16"/>
  <c r="AM957" i="16"/>
  <c r="AM958" i="16"/>
  <c r="AD958" i="16" s="1"/>
  <c r="BI958" i="16" s="1"/>
  <c r="AM959" i="16"/>
  <c r="AD959" i="16" s="1"/>
  <c r="BI959" i="16" s="1"/>
  <c r="AM960" i="16"/>
  <c r="AM961" i="16"/>
  <c r="AM962" i="16"/>
  <c r="AD962" i="16" s="1"/>
  <c r="AM963" i="16"/>
  <c r="AD963" i="16" s="1"/>
  <c r="BI963" i="16" s="1"/>
  <c r="AM964" i="16"/>
  <c r="AM965" i="16"/>
  <c r="AD965" i="16" s="1"/>
  <c r="BJ965" i="16"/>
  <c r="AM966" i="16"/>
  <c r="BJ966" i="16" s="1"/>
  <c r="AM967" i="16"/>
  <c r="AD967" i="16" s="1"/>
  <c r="BI967" i="16" s="1"/>
  <c r="AM968" i="16"/>
  <c r="AM969" i="16"/>
  <c r="AM970" i="16"/>
  <c r="BG970" i="16" s="1"/>
  <c r="AM971" i="16"/>
  <c r="AD971" i="16" s="1"/>
  <c r="BI971" i="16" s="1"/>
  <c r="AM972" i="16"/>
  <c r="AM973" i="16"/>
  <c r="BJ973" i="16" s="1"/>
  <c r="AM974" i="16"/>
  <c r="AM975" i="16"/>
  <c r="AD975" i="16" s="1"/>
  <c r="BI975" i="16" s="1"/>
  <c r="AM976" i="16"/>
  <c r="AM977" i="16"/>
  <c r="AD977" i="16" s="1"/>
  <c r="BI977" i="16" s="1"/>
  <c r="AM978" i="16"/>
  <c r="AM979" i="16"/>
  <c r="AD979" i="16" s="1"/>
  <c r="BI979" i="16" s="1"/>
  <c r="AM980" i="16"/>
  <c r="AM981" i="16"/>
  <c r="AD981" i="16" s="1"/>
  <c r="BI981" i="16" s="1"/>
  <c r="AM982" i="16"/>
  <c r="AG943" i="16"/>
  <c r="AG944" i="16"/>
  <c r="AG945" i="16"/>
  <c r="AG946" i="16"/>
  <c r="AG947" i="16"/>
  <c r="AG948" i="16"/>
  <c r="AG949" i="16"/>
  <c r="AG950" i="16"/>
  <c r="AG951" i="16"/>
  <c r="AG952" i="16"/>
  <c r="AG953" i="16"/>
  <c r="AG954" i="16"/>
  <c r="AG955" i="16"/>
  <c r="AG956" i="16"/>
  <c r="AG957" i="16"/>
  <c r="AG958" i="16"/>
  <c r="AG959" i="16"/>
  <c r="AG960" i="16"/>
  <c r="AG961" i="16"/>
  <c r="AG962" i="16"/>
  <c r="AG963" i="16"/>
  <c r="AG964" i="16"/>
  <c r="AG965" i="16"/>
  <c r="AG966" i="16"/>
  <c r="AG967" i="16"/>
  <c r="AG968" i="16"/>
  <c r="AG969" i="16"/>
  <c r="AG970" i="16"/>
  <c r="AG971" i="16"/>
  <c r="AG972" i="16"/>
  <c r="AG973" i="16"/>
  <c r="AG974" i="16"/>
  <c r="AG975" i="16"/>
  <c r="AG976" i="16"/>
  <c r="AG977" i="16"/>
  <c r="AG978" i="16"/>
  <c r="AG979" i="16"/>
  <c r="AG980" i="16"/>
  <c r="AG981" i="16"/>
  <c r="AG982" i="16"/>
  <c r="AJ943" i="16"/>
  <c r="BC943" i="16" s="1"/>
  <c r="AJ944" i="16"/>
  <c r="BC944" i="16" s="1"/>
  <c r="AJ945" i="16"/>
  <c r="BC945" i="16" s="1"/>
  <c r="AJ946" i="16"/>
  <c r="BC946" i="16" s="1"/>
  <c r="AJ947" i="16"/>
  <c r="BC947" i="16" s="1"/>
  <c r="AJ948" i="16"/>
  <c r="BC948" i="16" s="1"/>
  <c r="AJ949" i="16"/>
  <c r="BC949" i="16" s="1"/>
  <c r="AJ950" i="16"/>
  <c r="BC950" i="16" s="1"/>
  <c r="AJ951" i="16"/>
  <c r="BC951" i="16" s="1"/>
  <c r="AJ952" i="16"/>
  <c r="BC952" i="16" s="1"/>
  <c r="AJ953" i="16"/>
  <c r="BC953" i="16" s="1"/>
  <c r="AJ954" i="16"/>
  <c r="BC954" i="16" s="1"/>
  <c r="AJ955" i="16"/>
  <c r="BC955" i="16" s="1"/>
  <c r="AJ956" i="16"/>
  <c r="BC956" i="16" s="1"/>
  <c r="AJ957" i="16"/>
  <c r="BC957" i="16" s="1"/>
  <c r="AJ958" i="16"/>
  <c r="BC958" i="16" s="1"/>
  <c r="AJ959" i="16"/>
  <c r="BC959" i="16" s="1"/>
  <c r="AJ960" i="16"/>
  <c r="BC960" i="16" s="1"/>
  <c r="AJ961" i="16"/>
  <c r="BC961" i="16" s="1"/>
  <c r="AJ962" i="16"/>
  <c r="BC962" i="16" s="1"/>
  <c r="AJ963" i="16"/>
  <c r="BC963" i="16" s="1"/>
  <c r="AJ964" i="16"/>
  <c r="BC964" i="16" s="1"/>
  <c r="AJ965" i="16"/>
  <c r="BC965" i="16" s="1"/>
  <c r="AJ966" i="16"/>
  <c r="BC966" i="16" s="1"/>
  <c r="AJ967" i="16"/>
  <c r="BC967" i="16" s="1"/>
  <c r="AJ968" i="16"/>
  <c r="BC968" i="16" s="1"/>
  <c r="AJ969" i="16"/>
  <c r="BC969" i="16" s="1"/>
  <c r="AJ970" i="16"/>
  <c r="BC970" i="16" s="1"/>
  <c r="AJ971" i="16"/>
  <c r="BC971" i="16" s="1"/>
  <c r="AJ972" i="16"/>
  <c r="BC972" i="16" s="1"/>
  <c r="AJ973" i="16"/>
  <c r="BC973" i="16" s="1"/>
  <c r="AJ974" i="16"/>
  <c r="BC974" i="16" s="1"/>
  <c r="AJ975" i="16"/>
  <c r="BC975" i="16" s="1"/>
  <c r="AJ976" i="16"/>
  <c r="BC976" i="16" s="1"/>
  <c r="AJ977" i="16"/>
  <c r="BC977" i="16" s="1"/>
  <c r="AJ978" i="16"/>
  <c r="BC978" i="16" s="1"/>
  <c r="AJ979" i="16"/>
  <c r="BC979" i="16" s="1"/>
  <c r="AJ980" i="16"/>
  <c r="BC980" i="16" s="1"/>
  <c r="AJ981" i="16"/>
  <c r="BC981" i="16" s="1"/>
  <c r="AJ982" i="16"/>
  <c r="BC982" i="16" s="1"/>
  <c r="AM988" i="16"/>
  <c r="BJ988" i="16" s="1"/>
  <c r="AM989" i="16"/>
  <c r="BJ989" i="16" s="1"/>
  <c r="AM990" i="16"/>
  <c r="AD990" i="16" s="1"/>
  <c r="BI990" i="16" s="1"/>
  <c r="AM991" i="16"/>
  <c r="AM992" i="16"/>
  <c r="BJ992" i="16" s="1"/>
  <c r="AM993" i="16"/>
  <c r="BJ993" i="16" s="1"/>
  <c r="AM994" i="16"/>
  <c r="AD994" i="16" s="1"/>
  <c r="BI994" i="16" s="1"/>
  <c r="AM995" i="16"/>
  <c r="AM996" i="16"/>
  <c r="BJ996" i="16" s="1"/>
  <c r="AM997" i="16"/>
  <c r="AD997" i="16" s="1"/>
  <c r="AM998" i="16"/>
  <c r="AD998" i="16" s="1"/>
  <c r="BI998" i="16" s="1"/>
  <c r="AM999" i="16"/>
  <c r="AM1000" i="16"/>
  <c r="BJ1000" i="16" s="1"/>
  <c r="AM1001" i="16"/>
  <c r="AD1001" i="16"/>
  <c r="AM1002" i="16"/>
  <c r="AM1003" i="16"/>
  <c r="AM1004" i="16"/>
  <c r="AD1004" i="16"/>
  <c r="BI1004" i="16" s="1"/>
  <c r="AM1005" i="16"/>
  <c r="AD1005" i="16" s="1"/>
  <c r="BI1005" i="16" s="1"/>
  <c r="AM1006" i="16"/>
  <c r="AM1007" i="16"/>
  <c r="AM1008" i="16"/>
  <c r="AM1009" i="16"/>
  <c r="AD1009" i="16" s="1"/>
  <c r="BI1009" i="16" s="1"/>
  <c r="AM1010" i="16"/>
  <c r="AD1010" i="16" s="1"/>
  <c r="BI1010" i="16" s="1"/>
  <c r="AM1011" i="16"/>
  <c r="AM1012" i="16"/>
  <c r="AM1013" i="16"/>
  <c r="AD1013" i="16" s="1"/>
  <c r="BI1013" i="16" s="1"/>
  <c r="AM1014" i="16"/>
  <c r="AD1014" i="16" s="1"/>
  <c r="AM1015" i="16"/>
  <c r="AM1016" i="16"/>
  <c r="AM1017" i="16"/>
  <c r="AD1017" i="16" s="1"/>
  <c r="BI1017" i="16" s="1"/>
  <c r="AM1018" i="16"/>
  <c r="AD1018" i="16" s="1"/>
  <c r="AM1019" i="16"/>
  <c r="AM1020" i="16"/>
  <c r="AD1020" i="16"/>
  <c r="BJ1020" i="16"/>
  <c r="AM1021" i="16"/>
  <c r="BJ1021" i="16" s="1"/>
  <c r="AM1022" i="16"/>
  <c r="AM1023" i="16"/>
  <c r="AM1024" i="16"/>
  <c r="BJ1024" i="16" s="1"/>
  <c r="AM1025" i="16"/>
  <c r="BJ1025" i="16" s="1"/>
  <c r="AD1025" i="16"/>
  <c r="BI1025" i="16" s="1"/>
  <c r="AM1026" i="16"/>
  <c r="AD1026" i="16" s="1"/>
  <c r="BI1026" i="16" s="1"/>
  <c r="AM1027" i="16"/>
  <c r="AG988" i="16"/>
  <c r="AG989" i="16"/>
  <c r="AG990" i="16"/>
  <c r="AG991" i="16"/>
  <c r="AG992" i="16"/>
  <c r="AG993" i="16"/>
  <c r="AG994" i="16"/>
  <c r="AG995" i="16"/>
  <c r="AG996" i="16"/>
  <c r="AG997" i="16"/>
  <c r="AG998" i="16"/>
  <c r="AG999" i="16"/>
  <c r="AG1000" i="16"/>
  <c r="AG1001" i="16"/>
  <c r="AG1002" i="16"/>
  <c r="AG1003" i="16"/>
  <c r="AG1004" i="16"/>
  <c r="AG1005" i="16"/>
  <c r="AG1006" i="16"/>
  <c r="AG1007" i="16"/>
  <c r="AG1008" i="16"/>
  <c r="AG1009" i="16"/>
  <c r="AG1010" i="16"/>
  <c r="AG1011" i="16"/>
  <c r="AG1012" i="16"/>
  <c r="AG1013" i="16"/>
  <c r="AG1014" i="16"/>
  <c r="AG1015" i="16"/>
  <c r="AG1016" i="16"/>
  <c r="AG1017" i="16"/>
  <c r="AG1018" i="16"/>
  <c r="AG1019" i="16"/>
  <c r="AG1020" i="16"/>
  <c r="AG1021" i="16"/>
  <c r="AG1022" i="16"/>
  <c r="BB1022" i="16" s="1"/>
  <c r="AG1023" i="16"/>
  <c r="AG1024" i="16"/>
  <c r="AG1025" i="16"/>
  <c r="AG1026" i="16"/>
  <c r="AG1027" i="16"/>
  <c r="AJ988" i="16"/>
  <c r="BC988" i="16" s="1"/>
  <c r="AJ989" i="16"/>
  <c r="BC989" i="16" s="1"/>
  <c r="AJ990" i="16"/>
  <c r="BC990" i="16" s="1"/>
  <c r="AJ991" i="16"/>
  <c r="BC991" i="16" s="1"/>
  <c r="AJ992" i="16"/>
  <c r="BC992" i="16" s="1"/>
  <c r="AJ993" i="16"/>
  <c r="BC993" i="16" s="1"/>
  <c r="AJ994" i="16"/>
  <c r="BC994" i="16" s="1"/>
  <c r="AJ995" i="16"/>
  <c r="BC995" i="16" s="1"/>
  <c r="AJ996" i="16"/>
  <c r="BC996" i="16" s="1"/>
  <c r="AJ997" i="16"/>
  <c r="BC997" i="16" s="1"/>
  <c r="AJ998" i="16"/>
  <c r="BC998" i="16"/>
  <c r="AJ999" i="16"/>
  <c r="BC999" i="16" s="1"/>
  <c r="AJ1000" i="16"/>
  <c r="BC1000" i="16" s="1"/>
  <c r="AJ1001" i="16"/>
  <c r="BC1001" i="16" s="1"/>
  <c r="AJ1002" i="16"/>
  <c r="BC1002" i="16" s="1"/>
  <c r="AJ1003" i="16"/>
  <c r="BC1003" i="16" s="1"/>
  <c r="AJ1004" i="16"/>
  <c r="BC1004" i="16" s="1"/>
  <c r="AJ1005" i="16"/>
  <c r="BC1005" i="16" s="1"/>
  <c r="AJ1006" i="16"/>
  <c r="BC1006" i="16" s="1"/>
  <c r="AJ1007" i="16"/>
  <c r="BC1007" i="16" s="1"/>
  <c r="AJ1008" i="16"/>
  <c r="BC1008" i="16" s="1"/>
  <c r="AJ1009" i="16"/>
  <c r="BC1009" i="16" s="1"/>
  <c r="AJ1010" i="16"/>
  <c r="BC1010" i="16" s="1"/>
  <c r="AJ1011" i="16"/>
  <c r="BC1011" i="16" s="1"/>
  <c r="AJ1012" i="16"/>
  <c r="BC1012" i="16" s="1"/>
  <c r="AJ1013" i="16"/>
  <c r="BC1013" i="16" s="1"/>
  <c r="AJ1014" i="16"/>
  <c r="BC1014" i="16" s="1"/>
  <c r="AJ1015" i="16"/>
  <c r="BC1015" i="16" s="1"/>
  <c r="AJ1016" i="16"/>
  <c r="BC1016" i="16" s="1"/>
  <c r="AJ1017" i="16"/>
  <c r="BC1017" i="16" s="1"/>
  <c r="AJ1018" i="16"/>
  <c r="BC1018" i="16"/>
  <c r="AJ1019" i="16"/>
  <c r="BC1019" i="16" s="1"/>
  <c r="AJ1020" i="16"/>
  <c r="BC1020" i="16" s="1"/>
  <c r="AJ1021" i="16"/>
  <c r="BC1021" i="16" s="1"/>
  <c r="AJ1022" i="16"/>
  <c r="BC1022" i="16" s="1"/>
  <c r="AJ1023" i="16"/>
  <c r="BC1023" i="16" s="1"/>
  <c r="AJ1024" i="16"/>
  <c r="BC1024" i="16" s="1"/>
  <c r="AJ1025" i="16"/>
  <c r="BC1025" i="16" s="1"/>
  <c r="AJ1026" i="16"/>
  <c r="BC1026" i="16"/>
  <c r="AJ1027" i="16"/>
  <c r="BC1027" i="16" s="1"/>
  <c r="AM1078" i="16"/>
  <c r="AD1078" i="16" s="1"/>
  <c r="AM1079" i="16"/>
  <c r="AM1080" i="16"/>
  <c r="AD1080" i="16" s="1"/>
  <c r="AM1081" i="16"/>
  <c r="BJ1081" i="16" s="1"/>
  <c r="AM1082" i="16"/>
  <c r="AM1083" i="16"/>
  <c r="AM1084" i="16"/>
  <c r="AD1084" i="16" s="1"/>
  <c r="BI1084" i="16" s="1"/>
  <c r="AM1085" i="16"/>
  <c r="AD1085" i="16" s="1"/>
  <c r="AM1086" i="16"/>
  <c r="AD1086" i="16" s="1"/>
  <c r="AM1087" i="16"/>
  <c r="AM1088" i="16"/>
  <c r="AD1088" i="16" s="1"/>
  <c r="AM1089" i="16"/>
  <c r="BJ1089" i="16" s="1"/>
  <c r="AM1090" i="16"/>
  <c r="AD1090" i="16" s="1"/>
  <c r="AM1091" i="16"/>
  <c r="AM1092" i="16"/>
  <c r="AD1092" i="16" s="1"/>
  <c r="AM1093" i="16"/>
  <c r="AD1093" i="16" s="1"/>
  <c r="AM1094" i="16"/>
  <c r="AD1094" i="16" s="1"/>
  <c r="BI1094" i="16" s="1"/>
  <c r="AM1095" i="16"/>
  <c r="AM1096" i="16"/>
  <c r="AM1097" i="16"/>
  <c r="AM1098" i="16"/>
  <c r="AM1099" i="16"/>
  <c r="AM1100" i="16"/>
  <c r="AD1100" i="16" s="1"/>
  <c r="AM1101" i="16"/>
  <c r="AM1102" i="16"/>
  <c r="AD1102" i="16" s="1"/>
  <c r="AM1103" i="16"/>
  <c r="AM1104" i="16"/>
  <c r="AD1104" i="16" s="1"/>
  <c r="BI1104" i="16" s="1"/>
  <c r="AM1105" i="16"/>
  <c r="AM1106" i="16"/>
  <c r="AD1106" i="16" s="1"/>
  <c r="BI1106" i="16" s="1"/>
  <c r="AM1107" i="16"/>
  <c r="AM1108" i="16"/>
  <c r="AM1109" i="16"/>
  <c r="AD1109" i="16" s="1"/>
  <c r="BI1109" i="16" s="1"/>
  <c r="AM1110" i="16"/>
  <c r="AM1111" i="16"/>
  <c r="AM1112" i="16"/>
  <c r="AD1112" i="16" s="1"/>
  <c r="BI1112" i="16" s="1"/>
  <c r="AM1113" i="16"/>
  <c r="AM1114" i="16"/>
  <c r="AD1114" i="16" s="1"/>
  <c r="BI1114" i="16" s="1"/>
  <c r="AM1115" i="16"/>
  <c r="AM1116" i="16"/>
  <c r="AD1116" i="16" s="1"/>
  <c r="BI1116" i="16" s="1"/>
  <c r="AM1117" i="16"/>
  <c r="AG1078" i="16"/>
  <c r="AG1079" i="16"/>
  <c r="AG1080" i="16"/>
  <c r="AG1081" i="16"/>
  <c r="BB1081" i="16" s="1"/>
  <c r="AG1082" i="16"/>
  <c r="AG1083" i="16"/>
  <c r="AG1084" i="16"/>
  <c r="AG1085" i="16"/>
  <c r="AG1086" i="16"/>
  <c r="AG1087" i="16"/>
  <c r="AG1088" i="16"/>
  <c r="AG1089" i="16"/>
  <c r="BB1089" i="16" s="1"/>
  <c r="AG1090" i="16"/>
  <c r="AG1091" i="16"/>
  <c r="AG1092" i="16"/>
  <c r="AG1093" i="16"/>
  <c r="AG1094" i="16"/>
  <c r="AG1095" i="16"/>
  <c r="AG1096" i="16"/>
  <c r="AG1097" i="16"/>
  <c r="BB1097" i="16"/>
  <c r="AG1098" i="16"/>
  <c r="AG1099" i="16"/>
  <c r="AG1100" i="16"/>
  <c r="AG1101" i="16"/>
  <c r="AG1102" i="16"/>
  <c r="AG1103" i="16"/>
  <c r="AG1104" i="16"/>
  <c r="AG1105" i="16"/>
  <c r="AG1106" i="16"/>
  <c r="AG1107" i="16"/>
  <c r="AG1108" i="16"/>
  <c r="AG1109" i="16"/>
  <c r="AG1110" i="16"/>
  <c r="AG1111" i="16"/>
  <c r="AG1112" i="16"/>
  <c r="AG1113" i="16"/>
  <c r="AG1114" i="16"/>
  <c r="AG1115" i="16"/>
  <c r="AG1116" i="16"/>
  <c r="AG1117" i="16"/>
  <c r="AJ1078" i="16"/>
  <c r="BC1078" i="16" s="1"/>
  <c r="AJ1079" i="16"/>
  <c r="BC1079" i="16" s="1"/>
  <c r="AJ1080" i="16"/>
  <c r="BC1080" i="16" s="1"/>
  <c r="AJ1081" i="16"/>
  <c r="BC1081" i="16" s="1"/>
  <c r="AJ1082" i="16"/>
  <c r="BC1082" i="16" s="1"/>
  <c r="AJ1083" i="16"/>
  <c r="BC1083" i="16" s="1"/>
  <c r="AJ1084" i="16"/>
  <c r="BC1084" i="16" s="1"/>
  <c r="AJ1085" i="16"/>
  <c r="BC1085" i="16" s="1"/>
  <c r="AJ1086" i="16"/>
  <c r="BC1086" i="16" s="1"/>
  <c r="AJ1087" i="16"/>
  <c r="BC1087" i="16" s="1"/>
  <c r="AJ1088" i="16"/>
  <c r="BC1088" i="16" s="1"/>
  <c r="AJ1089" i="16"/>
  <c r="BC1089" i="16" s="1"/>
  <c r="AJ1090" i="16"/>
  <c r="BC1090" i="16" s="1"/>
  <c r="AJ1091" i="16"/>
  <c r="BC1091" i="16"/>
  <c r="AJ1092" i="16"/>
  <c r="BC1092" i="16" s="1"/>
  <c r="AJ1093" i="16"/>
  <c r="BC1093" i="16" s="1"/>
  <c r="AJ1094" i="16"/>
  <c r="BC1094" i="16" s="1"/>
  <c r="AJ1095" i="16"/>
  <c r="BC1095" i="16" s="1"/>
  <c r="AJ1096" i="16"/>
  <c r="BC1096" i="16" s="1"/>
  <c r="AJ1097" i="16"/>
  <c r="BC1097" i="16" s="1"/>
  <c r="AJ1098" i="16"/>
  <c r="BC1098" i="16" s="1"/>
  <c r="AJ1099" i="16"/>
  <c r="BC1099" i="16"/>
  <c r="AJ1100" i="16"/>
  <c r="BC1100" i="16" s="1"/>
  <c r="AJ1101" i="16"/>
  <c r="BC1101" i="16" s="1"/>
  <c r="AJ1102" i="16"/>
  <c r="BC1102" i="16" s="1"/>
  <c r="AJ1103" i="16"/>
  <c r="BC1103" i="16" s="1"/>
  <c r="AJ1104" i="16"/>
  <c r="BC1104" i="16" s="1"/>
  <c r="AJ1105" i="16"/>
  <c r="BC1105" i="16" s="1"/>
  <c r="AJ1106" i="16"/>
  <c r="BC1106" i="16" s="1"/>
  <c r="AJ1107" i="16"/>
  <c r="BC1107" i="16" s="1"/>
  <c r="AJ1108" i="16"/>
  <c r="BC1108" i="16" s="1"/>
  <c r="AJ1109" i="16"/>
  <c r="BC1109" i="16" s="1"/>
  <c r="AJ1110" i="16"/>
  <c r="BC1110" i="16" s="1"/>
  <c r="AJ1111" i="16"/>
  <c r="BC1111" i="16" s="1"/>
  <c r="AJ1112" i="16"/>
  <c r="BC1112" i="16" s="1"/>
  <c r="AJ1113" i="16"/>
  <c r="BC1113" i="16" s="1"/>
  <c r="AJ1114" i="16"/>
  <c r="BC1114" i="16" s="1"/>
  <c r="AJ1115" i="16"/>
  <c r="BC1115" i="16"/>
  <c r="AJ1116" i="16"/>
  <c r="BC1116" i="16" s="1"/>
  <c r="AJ1117" i="16"/>
  <c r="BC1117" i="16" s="1"/>
  <c r="AM1123" i="16"/>
  <c r="AD1123" i="16" s="1"/>
  <c r="BI1123" i="16" s="1"/>
  <c r="AM1124" i="16"/>
  <c r="BJ1124" i="16" s="1"/>
  <c r="AM1125" i="16"/>
  <c r="BJ1125" i="16" s="1"/>
  <c r="AM1126" i="16"/>
  <c r="AM1127" i="16"/>
  <c r="AD1127" i="16" s="1"/>
  <c r="BI1127" i="16" s="1"/>
  <c r="AM1128" i="16"/>
  <c r="AD1128" i="16" s="1"/>
  <c r="BI1128" i="16" s="1"/>
  <c r="AM1129" i="16"/>
  <c r="BJ1129" i="16" s="1"/>
  <c r="AM1130" i="16"/>
  <c r="AM1131" i="16"/>
  <c r="AD1131" i="16" s="1"/>
  <c r="AM1132" i="16"/>
  <c r="BJ1132" i="16" s="1"/>
  <c r="AM1133" i="16"/>
  <c r="BJ1133" i="16" s="1"/>
  <c r="AM1134" i="16"/>
  <c r="AM1135" i="16"/>
  <c r="AD1135" i="16" s="1"/>
  <c r="AM1136" i="16"/>
  <c r="BJ1136" i="16" s="1"/>
  <c r="AM1137" i="16"/>
  <c r="AD1137" i="16" s="1"/>
  <c r="AM1138" i="16"/>
  <c r="AM1139" i="16"/>
  <c r="AD1139" i="16" s="1"/>
  <c r="BI1139" i="16" s="1"/>
  <c r="AM1140" i="16"/>
  <c r="BJ1140" i="16" s="1"/>
  <c r="AM1141" i="16"/>
  <c r="AD1141" i="16" s="1"/>
  <c r="AM1142" i="16"/>
  <c r="AM1143" i="16"/>
  <c r="AD1143" i="16" s="1"/>
  <c r="AM1144" i="16"/>
  <c r="BJ1144" i="16"/>
  <c r="AM1145" i="16"/>
  <c r="BJ1145" i="16" s="1"/>
  <c r="AM1146" i="16"/>
  <c r="AM1147" i="16"/>
  <c r="AD1147" i="16"/>
  <c r="BI1147" i="16" s="1"/>
  <c r="AM1148" i="16"/>
  <c r="BJ1148" i="16" s="1"/>
  <c r="AM1149" i="16"/>
  <c r="BJ1149" i="16" s="1"/>
  <c r="AM1150" i="16"/>
  <c r="AM1151" i="16"/>
  <c r="AD1151" i="16" s="1"/>
  <c r="BI1151" i="16" s="1"/>
  <c r="AM1152" i="16"/>
  <c r="BJ1152" i="16" s="1"/>
  <c r="AM1153" i="16"/>
  <c r="BJ1153" i="16" s="1"/>
  <c r="AD1153" i="16"/>
  <c r="BI1153" i="16" s="1"/>
  <c r="AM1154" i="16"/>
  <c r="AM1155" i="16"/>
  <c r="AD1155" i="16" s="1"/>
  <c r="AM1156" i="16"/>
  <c r="BJ1156" i="16" s="1"/>
  <c r="AM1157" i="16"/>
  <c r="BJ1157" i="16" s="1"/>
  <c r="AM1158" i="16"/>
  <c r="AM1159" i="16"/>
  <c r="AD1159" i="16" s="1"/>
  <c r="AM1160" i="16"/>
  <c r="AD1160" i="16" s="1"/>
  <c r="AM1161" i="16"/>
  <c r="AD1161" i="16" s="1"/>
  <c r="AM1162" i="16"/>
  <c r="AG1123" i="16"/>
  <c r="AG1124" i="16"/>
  <c r="AG1125" i="16"/>
  <c r="AG1126" i="16"/>
  <c r="AG1127" i="16"/>
  <c r="AG1128" i="16"/>
  <c r="AG1129" i="16"/>
  <c r="AG1130" i="16"/>
  <c r="AG1131" i="16"/>
  <c r="AG1132" i="16"/>
  <c r="AG1133" i="16"/>
  <c r="AG1134" i="16"/>
  <c r="AG1135" i="16"/>
  <c r="AG1136" i="16"/>
  <c r="AG1137" i="16"/>
  <c r="AG1138" i="16"/>
  <c r="AG1139" i="16"/>
  <c r="AG1140" i="16"/>
  <c r="AG1141" i="16"/>
  <c r="AG1142" i="16"/>
  <c r="AG1143" i="16"/>
  <c r="AG1144" i="16"/>
  <c r="AG1145" i="16"/>
  <c r="AG1146" i="16"/>
  <c r="AG1147" i="16"/>
  <c r="AG1148" i="16"/>
  <c r="AG1149" i="16"/>
  <c r="AG1150" i="16"/>
  <c r="AG1151" i="16"/>
  <c r="AG1152" i="16"/>
  <c r="AG1153" i="16"/>
  <c r="AG1154" i="16"/>
  <c r="AG1155" i="16"/>
  <c r="AG1156" i="16"/>
  <c r="AG1157" i="16"/>
  <c r="AG1158" i="16"/>
  <c r="AG1159" i="16"/>
  <c r="AG1160" i="16"/>
  <c r="AG1161" i="16"/>
  <c r="AG1162" i="16"/>
  <c r="AJ1123" i="16"/>
  <c r="BC1123" i="16" s="1"/>
  <c r="AJ1124" i="16"/>
  <c r="BC1124" i="16" s="1"/>
  <c r="AJ1125" i="16"/>
  <c r="BC1125" i="16" s="1"/>
  <c r="AJ1126" i="16"/>
  <c r="BC1126" i="16" s="1"/>
  <c r="AJ1127" i="16"/>
  <c r="BC1127" i="16" s="1"/>
  <c r="AJ1128" i="16"/>
  <c r="BC1128" i="16" s="1"/>
  <c r="AJ1129" i="16"/>
  <c r="BC1129" i="16" s="1"/>
  <c r="AJ1130" i="16"/>
  <c r="BC1130" i="16" s="1"/>
  <c r="AJ1131" i="16"/>
  <c r="BC1131" i="16" s="1"/>
  <c r="AJ1132" i="16"/>
  <c r="BC1132" i="16" s="1"/>
  <c r="AJ1133" i="16"/>
  <c r="BC1133" i="16" s="1"/>
  <c r="AJ1134" i="16"/>
  <c r="BC1134" i="16" s="1"/>
  <c r="AJ1135" i="16"/>
  <c r="BC1135" i="16" s="1"/>
  <c r="AJ1136" i="16"/>
  <c r="BC1136" i="16" s="1"/>
  <c r="AJ1137" i="16"/>
  <c r="BC1137" i="16" s="1"/>
  <c r="AJ1138" i="16"/>
  <c r="BC1138" i="16" s="1"/>
  <c r="AJ1139" i="16"/>
  <c r="BC1139" i="16" s="1"/>
  <c r="AJ1140" i="16"/>
  <c r="BC1140" i="16" s="1"/>
  <c r="AJ1141" i="16"/>
  <c r="BC1141" i="16" s="1"/>
  <c r="AJ1142" i="16"/>
  <c r="BC1142" i="16" s="1"/>
  <c r="AJ1143" i="16"/>
  <c r="BC1143" i="16" s="1"/>
  <c r="AJ1144" i="16"/>
  <c r="BC1144" i="16" s="1"/>
  <c r="AJ1145" i="16"/>
  <c r="BC1145" i="16"/>
  <c r="AJ1146" i="16"/>
  <c r="BC1146" i="16" s="1"/>
  <c r="AJ1147" i="16"/>
  <c r="BC1147" i="16" s="1"/>
  <c r="AJ1148" i="16"/>
  <c r="BC1148" i="16" s="1"/>
  <c r="AJ1149" i="16"/>
  <c r="BC1149" i="16" s="1"/>
  <c r="AJ1150" i="16"/>
  <c r="BC1150" i="16" s="1"/>
  <c r="AJ1151" i="16"/>
  <c r="BC1151" i="16" s="1"/>
  <c r="AJ1152" i="16"/>
  <c r="BC1152" i="16" s="1"/>
  <c r="AJ1153" i="16"/>
  <c r="BC1153" i="16"/>
  <c r="AJ1154" i="16"/>
  <c r="BC1154" i="16" s="1"/>
  <c r="AJ1155" i="16"/>
  <c r="BC1155" i="16" s="1"/>
  <c r="AJ1156" i="16"/>
  <c r="BC1156" i="16" s="1"/>
  <c r="AJ1157" i="16"/>
  <c r="BC1157" i="16" s="1"/>
  <c r="AJ1158" i="16"/>
  <c r="BC1158" i="16" s="1"/>
  <c r="AJ1159" i="16"/>
  <c r="BC1159" i="16" s="1"/>
  <c r="AJ1160" i="16"/>
  <c r="BC1160" i="16" s="1"/>
  <c r="AJ1161" i="16"/>
  <c r="BC1161" i="16"/>
  <c r="AJ1162" i="16"/>
  <c r="BC1162" i="16" s="1"/>
  <c r="W48" i="25"/>
  <c r="W59" i="25"/>
  <c r="W62" i="25"/>
  <c r="W68" i="25"/>
  <c r="W73" i="25"/>
  <c r="W105" i="25"/>
  <c r="W452" i="25"/>
  <c r="W1138" i="25"/>
  <c r="AA57" i="36"/>
  <c r="G42" i="182" s="1"/>
  <c r="AA59" i="36"/>
  <c r="G43" i="182" s="1"/>
  <c r="N26" i="63"/>
  <c r="M26" i="63"/>
  <c r="N25" i="63"/>
  <c r="M25" i="63"/>
  <c r="N24" i="63"/>
  <c r="M24" i="63"/>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Y1387" i="25" s="1"/>
  <c r="X1331"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275"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19" i="25"/>
  <c r="X1218"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163"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07"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051"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995"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39"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883"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27"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771"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15"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659"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03"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547"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491"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35"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379"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23"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267"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11"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155"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99"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43" i="25"/>
  <c r="W61" i="25"/>
  <c r="W74" i="25"/>
  <c r="O13" i="25"/>
  <c r="O14" i="25"/>
  <c r="O15" i="25"/>
  <c r="O16" i="25"/>
  <c r="O17" i="25"/>
  <c r="O18" i="25"/>
  <c r="O19" i="25"/>
  <c r="O12" i="25"/>
  <c r="J13" i="25"/>
  <c r="J14" i="25"/>
  <c r="J15" i="25"/>
  <c r="J16" i="25"/>
  <c r="J17" i="25"/>
  <c r="J18" i="25"/>
  <c r="J19" i="25"/>
  <c r="J12" i="25"/>
  <c r="D19" i="25"/>
  <c r="D18" i="25"/>
  <c r="D17" i="25"/>
  <c r="D16" i="25"/>
  <c r="D15" i="25"/>
  <c r="D14" i="25"/>
  <c r="D13" i="25"/>
  <c r="N19" i="25"/>
  <c r="N18" i="25"/>
  <c r="N17" i="25"/>
  <c r="N16" i="25"/>
  <c r="N15" i="25"/>
  <c r="N14" i="25"/>
  <c r="N13" i="25"/>
  <c r="I19" i="25"/>
  <c r="I18" i="25"/>
  <c r="I17" i="25"/>
  <c r="I16" i="25"/>
  <c r="I15" i="25"/>
  <c r="I14" i="25"/>
  <c r="I13" i="25"/>
  <c r="E19" i="25"/>
  <c r="E14" i="25"/>
  <c r="E15" i="25"/>
  <c r="E16" i="25"/>
  <c r="E17" i="25"/>
  <c r="E18" i="25"/>
  <c r="E13" i="25"/>
  <c r="E12" i="25"/>
  <c r="AX82" i="16"/>
  <c r="AX81" i="16"/>
  <c r="AX80" i="16"/>
  <c r="AX79" i="16"/>
  <c r="AX78" i="16"/>
  <c r="AX77" i="16"/>
  <c r="I26" i="63"/>
  <c r="I25" i="63"/>
  <c r="BG118" i="36"/>
  <c r="AX118" i="36"/>
  <c r="AX116" i="36"/>
  <c r="AX115" i="36"/>
  <c r="Q26" i="63"/>
  <c r="Q25" i="63"/>
  <c r="Q24" i="63"/>
  <c r="O26" i="63"/>
  <c r="S26" i="63" s="1"/>
  <c r="O25" i="63"/>
  <c r="S25" i="63" s="1"/>
  <c r="O24" i="63"/>
  <c r="S24" i="63" s="1"/>
  <c r="I24" i="63"/>
  <c r="I92" i="178"/>
  <c r="I91" i="178"/>
  <c r="I90" i="178"/>
  <c r="I89" i="178"/>
  <c r="I88" i="178"/>
  <c r="I87" i="178"/>
  <c r="F83" i="178"/>
  <c r="F68" i="178"/>
  <c r="I77" i="178"/>
  <c r="I76" i="178"/>
  <c r="I75" i="178"/>
  <c r="I74" i="178"/>
  <c r="I73" i="178"/>
  <c r="I72" i="178"/>
  <c r="F81" i="178"/>
  <c r="F66" i="178"/>
  <c r="W29" i="178"/>
  <c r="W28" i="178"/>
  <c r="W27" i="178"/>
  <c r="W26" i="178"/>
  <c r="W25" i="178"/>
  <c r="W24" i="178"/>
  <c r="W23" i="178"/>
  <c r="W22" i="178"/>
  <c r="W21" i="178"/>
  <c r="W20" i="178"/>
  <c r="S29" i="178"/>
  <c r="S28" i="178"/>
  <c r="S27" i="178"/>
  <c r="S26" i="178"/>
  <c r="S25" i="178"/>
  <c r="S24" i="178"/>
  <c r="S23" i="178"/>
  <c r="S22" i="178"/>
  <c r="S21" i="178"/>
  <c r="S20" i="178"/>
  <c r="O29" i="178"/>
  <c r="O28" i="178"/>
  <c r="O27" i="178"/>
  <c r="O26" i="178"/>
  <c r="O25" i="178"/>
  <c r="O24" i="178"/>
  <c r="O23" i="178"/>
  <c r="O22" i="178"/>
  <c r="O21" i="178"/>
  <c r="O20" i="178"/>
  <c r="K29" i="178"/>
  <c r="K28" i="178"/>
  <c r="K27" i="178"/>
  <c r="K26" i="178"/>
  <c r="K25" i="178"/>
  <c r="K24" i="178"/>
  <c r="K23" i="178"/>
  <c r="K22" i="178"/>
  <c r="K21" i="178"/>
  <c r="K20" i="178"/>
  <c r="T33" i="178"/>
  <c r="T29" i="178"/>
  <c r="T28" i="178"/>
  <c r="T27" i="178"/>
  <c r="T26" i="178"/>
  <c r="T25" i="178"/>
  <c r="T24" i="178"/>
  <c r="T23" i="178"/>
  <c r="T22" i="178"/>
  <c r="T21" i="178"/>
  <c r="T20" i="178"/>
  <c r="P33" i="178"/>
  <c r="P29" i="178"/>
  <c r="P28" i="178"/>
  <c r="P27" i="178"/>
  <c r="P26" i="178"/>
  <c r="P25" i="178"/>
  <c r="P24" i="178"/>
  <c r="P23" i="178"/>
  <c r="P22" i="178"/>
  <c r="P21" i="178"/>
  <c r="P20" i="178"/>
  <c r="L33" i="178"/>
  <c r="L29" i="178"/>
  <c r="L28" i="178"/>
  <c r="L27" i="178"/>
  <c r="L26" i="178"/>
  <c r="L25" i="178"/>
  <c r="L24" i="178"/>
  <c r="L23" i="178"/>
  <c r="L22" i="178"/>
  <c r="L21" i="178"/>
  <c r="L20" i="178"/>
  <c r="H33" i="178"/>
  <c r="H29" i="178"/>
  <c r="H28" i="178"/>
  <c r="H27" i="178"/>
  <c r="H26" i="178"/>
  <c r="H25" i="178"/>
  <c r="H24" i="178"/>
  <c r="P10" i="178"/>
  <c r="S123" i="178"/>
  <c r="V123" i="178" s="1"/>
  <c r="S122" i="178"/>
  <c r="V122" i="178" s="1"/>
  <c r="S121" i="178"/>
  <c r="V121" i="178" s="1"/>
  <c r="Q123" i="178"/>
  <c r="Q122" i="178"/>
  <c r="Q121" i="178"/>
  <c r="M123" i="178"/>
  <c r="M122" i="178"/>
  <c r="M121" i="178"/>
  <c r="T17" i="178"/>
  <c r="T16" i="178"/>
  <c r="T15" i="178"/>
  <c r="T14" i="178"/>
  <c r="T13" i="178"/>
  <c r="T12" i="178"/>
  <c r="T11" i="178"/>
  <c r="T10" i="178"/>
  <c r="P17" i="178"/>
  <c r="P16" i="178"/>
  <c r="P15" i="178"/>
  <c r="P14" i="178"/>
  <c r="P13" i="178"/>
  <c r="P12" i="178"/>
  <c r="P11" i="178"/>
  <c r="L17" i="178"/>
  <c r="L16" i="178"/>
  <c r="L15" i="178"/>
  <c r="L14" i="178"/>
  <c r="L13" i="178"/>
  <c r="L12" i="178"/>
  <c r="L11" i="178"/>
  <c r="L10" i="178"/>
  <c r="H120" i="178"/>
  <c r="H123" i="178"/>
  <c r="H122" i="178"/>
  <c r="H121" i="178"/>
  <c r="S125" i="178"/>
  <c r="N125" i="178"/>
  <c r="J125" i="178"/>
  <c r="E125" i="178"/>
  <c r="S95" i="178"/>
  <c r="N95" i="178"/>
  <c r="J95" i="178"/>
  <c r="E95" i="178"/>
  <c r="E48" i="178"/>
  <c r="J48" i="178"/>
  <c r="N48" i="178"/>
  <c r="S48" i="178"/>
  <c r="I62" i="178"/>
  <c r="I61" i="178"/>
  <c r="I60" i="178"/>
  <c r="I59" i="178"/>
  <c r="I58" i="178"/>
  <c r="I57" i="178"/>
  <c r="F51" i="178"/>
  <c r="F53" i="178"/>
  <c r="H17" i="178"/>
  <c r="H16" i="178"/>
  <c r="H15" i="178"/>
  <c r="W49" i="178"/>
  <c r="W96" i="178"/>
  <c r="W6" i="178"/>
  <c r="BJ33" i="167"/>
  <c r="AW33" i="167"/>
  <c r="AJ33" i="167"/>
  <c r="I27" i="119"/>
  <c r="C51" i="119"/>
  <c r="C257" i="159"/>
  <c r="C11" i="159"/>
  <c r="C14" i="159"/>
  <c r="H22" i="178"/>
  <c r="C13" i="159"/>
  <c r="C12" i="159"/>
  <c r="W9" i="167" s="1"/>
  <c r="K109" i="198" s="1"/>
  <c r="C9" i="159"/>
  <c r="H100" i="30" s="1"/>
  <c r="C8" i="159"/>
  <c r="W6" i="167" s="1"/>
  <c r="O115" i="69"/>
  <c r="N124" i="36"/>
  <c r="BL32" i="166"/>
  <c r="BC32" i="166"/>
  <c r="BL31" i="166"/>
  <c r="BC31" i="166"/>
  <c r="BL30" i="166"/>
  <c r="BC30" i="166"/>
  <c r="BL29" i="166"/>
  <c r="BC29" i="166"/>
  <c r="CH18" i="165"/>
  <c r="BS26" i="165"/>
  <c r="C30" i="159"/>
  <c r="BO12" i="36" s="1"/>
  <c r="BS24" i="165"/>
  <c r="C191" i="159"/>
  <c r="C204" i="159"/>
  <c r="C202" i="159"/>
  <c r="C221" i="159"/>
  <c r="C232" i="159"/>
  <c r="C234" i="159"/>
  <c r="C188" i="159"/>
  <c r="C195" i="159"/>
  <c r="C189" i="159"/>
  <c r="C218" i="159"/>
  <c r="C200" i="159"/>
  <c r="C230" i="159"/>
  <c r="C219" i="159"/>
  <c r="AZ26" i="37"/>
  <c r="C31" i="159"/>
  <c r="C63" i="159"/>
  <c r="C64" i="159"/>
  <c r="C65" i="159"/>
  <c r="C66" i="159"/>
  <c r="C67" i="159"/>
  <c r="BG137" i="16"/>
  <c r="T123" i="119"/>
  <c r="T150" i="119"/>
  <c r="AO3" i="30"/>
  <c r="AJ11" i="36"/>
  <c r="AJ13" i="36"/>
  <c r="B103" i="159" s="1"/>
  <c r="AJ17" i="36"/>
  <c r="AJ19" i="36"/>
  <c r="AJ21" i="36"/>
  <c r="AJ23" i="36"/>
  <c r="AJ25" i="36"/>
  <c r="AJ27" i="36"/>
  <c r="AJ29" i="36"/>
  <c r="AJ31" i="36"/>
  <c r="AJ33" i="36"/>
  <c r="AJ35" i="36"/>
  <c r="AJ37" i="36"/>
  <c r="B115" i="159" s="1"/>
  <c r="AJ39" i="36"/>
  <c r="AJ41" i="36"/>
  <c r="AJ43" i="36"/>
  <c r="AJ45" i="36"/>
  <c r="AJ47" i="36"/>
  <c r="AJ49" i="36"/>
  <c r="AJ51" i="36"/>
  <c r="AJ53" i="36"/>
  <c r="AJ55" i="36"/>
  <c r="AJ9" i="36"/>
  <c r="B101" i="159" s="1"/>
  <c r="AO69" i="16"/>
  <c r="Z69" i="16"/>
  <c r="K69" i="16"/>
  <c r="C36" i="159"/>
  <c r="B67" i="159"/>
  <c r="B66" i="159"/>
  <c r="B65" i="159"/>
  <c r="B62" i="159"/>
  <c r="B63" i="159"/>
  <c r="B64" i="159"/>
  <c r="B61" i="159"/>
  <c r="C45" i="159"/>
  <c r="C43" i="159"/>
  <c r="C42" i="159"/>
  <c r="C41" i="159"/>
  <c r="C40" i="159"/>
  <c r="C39" i="159"/>
  <c r="B45" i="159"/>
  <c r="B44" i="159"/>
  <c r="B43" i="159"/>
  <c r="B40" i="159"/>
  <c r="B41" i="159"/>
  <c r="B42" i="159"/>
  <c r="B39" i="159"/>
  <c r="B56" i="159"/>
  <c r="B55" i="159"/>
  <c r="B54" i="159"/>
  <c r="B51" i="159"/>
  <c r="B52" i="159"/>
  <c r="B53" i="159"/>
  <c r="B50" i="159"/>
  <c r="C27" i="159"/>
  <c r="C26" i="159"/>
  <c r="C25" i="159"/>
  <c r="C24" i="159"/>
  <c r="C23" i="159"/>
  <c r="C22" i="159"/>
  <c r="C7" i="159"/>
  <c r="C6" i="159"/>
  <c r="AT1122" i="16"/>
  <c r="AT1164" i="16" s="1"/>
  <c r="AT1077" i="16"/>
  <c r="AT1119" i="16" s="1"/>
  <c r="AT1032" i="16"/>
  <c r="AT1074" i="16" s="1"/>
  <c r="AT987" i="16"/>
  <c r="AT1029" i="16" s="1"/>
  <c r="AT942" i="16"/>
  <c r="AT984" i="16" s="1"/>
  <c r="AT897" i="16"/>
  <c r="AT939" i="16" s="1"/>
  <c r="AT852" i="16"/>
  <c r="AT807" i="16"/>
  <c r="AT849" i="16"/>
  <c r="AT762" i="16"/>
  <c r="AT804" i="16" s="1"/>
  <c r="AT717" i="16"/>
  <c r="AT759" i="16"/>
  <c r="AT672" i="16"/>
  <c r="AT714" i="16" s="1"/>
  <c r="AT627" i="16"/>
  <c r="AT669" i="16"/>
  <c r="AT582" i="16"/>
  <c r="AT624" i="16" s="1"/>
  <c r="AT537" i="16"/>
  <c r="AT579" i="16"/>
  <c r="AT492" i="16"/>
  <c r="AT534" i="16" s="1"/>
  <c r="AT447" i="16"/>
  <c r="AT489" i="16"/>
  <c r="AT402" i="16"/>
  <c r="AT444" i="16" s="1"/>
  <c r="AT357" i="16"/>
  <c r="AT399" i="16"/>
  <c r="AT312" i="16"/>
  <c r="AT354" i="16" s="1"/>
  <c r="AT267" i="16"/>
  <c r="AT309" i="16"/>
  <c r="AT222" i="16"/>
  <c r="AT264" i="16" s="1"/>
  <c r="AT177" i="16"/>
  <c r="AT219" i="16"/>
  <c r="AT132" i="16"/>
  <c r="AT174" i="16" s="1"/>
  <c r="AT87" i="16"/>
  <c r="AT129" i="16"/>
  <c r="M64" i="119"/>
  <c r="J64" i="119"/>
  <c r="H64" i="119"/>
  <c r="C64" i="119"/>
  <c r="C44" i="119"/>
  <c r="C45" i="119"/>
  <c r="C46" i="119"/>
  <c r="C47" i="119"/>
  <c r="C48" i="119"/>
  <c r="C49" i="119"/>
  <c r="C50" i="119"/>
  <c r="C43" i="119"/>
  <c r="C41" i="119"/>
  <c r="C42" i="119"/>
  <c r="C40" i="119"/>
  <c r="C38" i="119"/>
  <c r="C39" i="119"/>
  <c r="C37" i="119"/>
  <c r="C36" i="119"/>
  <c r="C35" i="119"/>
  <c r="C34" i="119"/>
  <c r="C33" i="119"/>
  <c r="C32" i="119"/>
  <c r="C28" i="119"/>
  <c r="C29" i="119"/>
  <c r="C30" i="119"/>
  <c r="C31" i="119"/>
  <c r="C27" i="119"/>
  <c r="AL53" i="37"/>
  <c r="AL26" i="37"/>
  <c r="D1122" i="16"/>
  <c r="D1077" i="16"/>
  <c r="D1032" i="16"/>
  <c r="AV1067" i="16" s="1"/>
  <c r="D987" i="16"/>
  <c r="D942" i="16"/>
  <c r="D897" i="16"/>
  <c r="AV935" i="16"/>
  <c r="D852" i="16"/>
  <c r="D807" i="16"/>
  <c r="D762" i="16"/>
  <c r="D717" i="16"/>
  <c r="AV742" i="16" s="1"/>
  <c r="D672" i="16"/>
  <c r="D627" i="16"/>
  <c r="D582" i="16"/>
  <c r="D537" i="16"/>
  <c r="D492" i="16"/>
  <c r="D447" i="16"/>
  <c r="D402" i="16"/>
  <c r="D357" i="16"/>
  <c r="D312" i="16"/>
  <c r="D267" i="16"/>
  <c r="AV306" i="16" s="1"/>
  <c r="D222" i="16"/>
  <c r="D177" i="16"/>
  <c r="D132" i="16"/>
  <c r="V172" i="119"/>
  <c r="T165" i="119"/>
  <c r="T168" i="119"/>
  <c r="T169" i="119"/>
  <c r="T177" i="119"/>
  <c r="T180" i="119"/>
  <c r="T181" i="119"/>
  <c r="BG201" i="16"/>
  <c r="T185" i="119"/>
  <c r="T187" i="119"/>
  <c r="BG207" i="16"/>
  <c r="BG211" i="16"/>
  <c r="BG212" i="16"/>
  <c r="T197" i="119"/>
  <c r="T198" i="119"/>
  <c r="W165" i="119"/>
  <c r="W177" i="119"/>
  <c r="W181" i="119"/>
  <c r="W190" i="119"/>
  <c r="V211" i="119"/>
  <c r="V212" i="119"/>
  <c r="V216" i="119"/>
  <c r="T213" i="119"/>
  <c r="T219" i="119"/>
  <c r="T223" i="119"/>
  <c r="T235" i="119"/>
  <c r="T239" i="119"/>
  <c r="W214" i="119"/>
  <c r="W238" i="119"/>
  <c r="T249" i="119"/>
  <c r="T253" i="119"/>
  <c r="T257" i="119"/>
  <c r="BG284" i="16"/>
  <c r="T265" i="119"/>
  <c r="BG291" i="16"/>
  <c r="T269" i="119"/>
  <c r="BA294" i="16"/>
  <c r="T273" i="119"/>
  <c r="T281" i="119"/>
  <c r="V288" i="119"/>
  <c r="V320" i="119"/>
  <c r="T291" i="119"/>
  <c r="BG324" i="16"/>
  <c r="BG328" i="16"/>
  <c r="BG333" i="16"/>
  <c r="T317" i="119"/>
  <c r="T323" i="119"/>
  <c r="T327" i="119"/>
  <c r="W288" i="119"/>
  <c r="V342" i="119"/>
  <c r="V347" i="119"/>
  <c r="V366" i="119"/>
  <c r="BG358" i="16"/>
  <c r="T333" i="119"/>
  <c r="BG361" i="16"/>
  <c r="T336" i="119"/>
  <c r="T337" i="119"/>
  <c r="T343" i="119"/>
  <c r="T345" i="119"/>
  <c r="T346" i="119"/>
  <c r="BG376" i="16"/>
  <c r="BG379" i="16"/>
  <c r="T353" i="119"/>
  <c r="T354" i="119"/>
  <c r="T357" i="119"/>
  <c r="T361" i="119"/>
  <c r="T365" i="119"/>
  <c r="BG393" i="16"/>
  <c r="BG396" i="16"/>
  <c r="T370" i="119"/>
  <c r="W337" i="119"/>
  <c r="W338" i="119"/>
  <c r="W350" i="119"/>
  <c r="W357" i="119"/>
  <c r="BG409" i="16"/>
  <c r="V417" i="119"/>
  <c r="T421" i="119"/>
  <c r="BA453" i="16"/>
  <c r="T424" i="119"/>
  <c r="T425" i="119"/>
  <c r="T428" i="119"/>
  <c r="T429" i="119"/>
  <c r="T430" i="119"/>
  <c r="T433" i="119"/>
  <c r="T437" i="119"/>
  <c r="BG472" i="16"/>
  <c r="T443" i="119"/>
  <c r="T444" i="119"/>
  <c r="T445" i="119"/>
  <c r="BG478" i="16"/>
  <c r="T451" i="119"/>
  <c r="T453" i="119"/>
  <c r="BA485" i="16"/>
  <c r="T456" i="119"/>
  <c r="W434" i="119"/>
  <c r="W440" i="119"/>
  <c r="V476" i="119"/>
  <c r="V477" i="119"/>
  <c r="V484" i="119"/>
  <c r="BG494" i="16"/>
  <c r="T470" i="119"/>
  <c r="BG505" i="16"/>
  <c r="BG506" i="16"/>
  <c r="T482" i="119"/>
  <c r="T486" i="119"/>
  <c r="T488" i="119"/>
  <c r="T491" i="119"/>
  <c r="W460" i="119"/>
  <c r="W481" i="119"/>
  <c r="W489" i="119"/>
  <c r="T504" i="119"/>
  <c r="BG541" i="16"/>
  <c r="T508" i="119"/>
  <c r="T509" i="119"/>
  <c r="T511" i="119"/>
  <c r="T513" i="119"/>
  <c r="BG552" i="16"/>
  <c r="T520" i="119"/>
  <c r="T525" i="119"/>
  <c r="T528" i="119"/>
  <c r="T529" i="119"/>
  <c r="T536" i="119"/>
  <c r="T537" i="119"/>
  <c r="BG573" i="16"/>
  <c r="T541" i="119"/>
  <c r="BG577" i="16"/>
  <c r="W518" i="119"/>
  <c r="V546" i="119"/>
  <c r="V581" i="119"/>
  <c r="BG583" i="16"/>
  <c r="T550" i="119"/>
  <c r="T556" i="119"/>
  <c r="T561" i="119"/>
  <c r="T564" i="119"/>
  <c r="BG605" i="16"/>
  <c r="T572" i="119"/>
  <c r="BG613" i="16"/>
  <c r="T580" i="119"/>
  <c r="T584" i="119"/>
  <c r="W560" i="119"/>
  <c r="W566" i="119"/>
  <c r="W584" i="119"/>
  <c r="V591" i="119"/>
  <c r="V593" i="119"/>
  <c r="V595" i="119"/>
  <c r="V601" i="119"/>
  <c r="V603" i="119"/>
  <c r="V605" i="119"/>
  <c r="V607" i="119"/>
  <c r="V615" i="119"/>
  <c r="BG632" i="16"/>
  <c r="BG639" i="16"/>
  <c r="T613" i="119"/>
  <c r="T616" i="119"/>
  <c r="T617" i="119"/>
  <c r="T621" i="119"/>
  <c r="T625" i="119"/>
  <c r="BG667" i="16"/>
  <c r="W607" i="119"/>
  <c r="V638" i="119"/>
  <c r="V640" i="119"/>
  <c r="V646" i="119"/>
  <c r="V648" i="119"/>
  <c r="V656" i="119"/>
  <c r="T635" i="119"/>
  <c r="T639" i="119"/>
  <c r="BG682" i="16"/>
  <c r="BG684" i="16"/>
  <c r="BG686" i="16"/>
  <c r="T646" i="119"/>
  <c r="BG688" i="16"/>
  <c r="T650" i="119"/>
  <c r="T651" i="119"/>
  <c r="T655" i="119"/>
  <c r="BG697" i="16"/>
  <c r="T660" i="119"/>
  <c r="BG703" i="16"/>
  <c r="T663" i="119"/>
  <c r="T665" i="119"/>
  <c r="BG709" i="16"/>
  <c r="W632" i="119"/>
  <c r="W644" i="119"/>
  <c r="W662" i="119"/>
  <c r="W668" i="119"/>
  <c r="T677" i="119"/>
  <c r="T681" i="119"/>
  <c r="T685" i="119"/>
  <c r="T689" i="119"/>
  <c r="T693" i="119"/>
  <c r="T696" i="119"/>
  <c r="BG740" i="16"/>
  <c r="BG741" i="16"/>
  <c r="T701" i="119"/>
  <c r="T704" i="119"/>
  <c r="T705" i="119"/>
  <c r="BG749" i="16"/>
  <c r="BG750" i="16"/>
  <c r="T710" i="119"/>
  <c r="W702" i="119"/>
  <c r="W709" i="119"/>
  <c r="V720" i="119"/>
  <c r="V731" i="119"/>
  <c r="V733" i="119"/>
  <c r="V744" i="119"/>
  <c r="V750" i="119"/>
  <c r="BG764" i="16"/>
  <c r="T723" i="119"/>
  <c r="T725" i="119"/>
  <c r="BG777" i="16"/>
  <c r="BG779" i="16"/>
  <c r="BG780" i="16"/>
  <c r="BG782" i="16"/>
  <c r="T739" i="119"/>
  <c r="BG785" i="16"/>
  <c r="BG788" i="16"/>
  <c r="T747" i="119"/>
  <c r="T748" i="119"/>
  <c r="T749" i="119"/>
  <c r="T751" i="119"/>
  <c r="W727" i="119"/>
  <c r="W738" i="119"/>
  <c r="W746" i="119"/>
  <c r="V763" i="119"/>
  <c r="T764" i="119"/>
  <c r="T767" i="119"/>
  <c r="BG815" i="16"/>
  <c r="T769" i="119"/>
  <c r="BG819" i="16"/>
  <c r="T776" i="119"/>
  <c r="T780" i="119"/>
  <c r="T781" i="119"/>
  <c r="T784" i="119"/>
  <c r="BG832" i="16"/>
  <c r="T788" i="119"/>
  <c r="T789" i="119"/>
  <c r="BG838" i="16"/>
  <c r="T793" i="119"/>
  <c r="T797" i="119"/>
  <c r="T799" i="119"/>
  <c r="T800" i="119"/>
  <c r="W792" i="119"/>
  <c r="V810" i="119"/>
  <c r="V811" i="119"/>
  <c r="V814" i="119"/>
  <c r="V818" i="119"/>
  <c r="V822" i="119"/>
  <c r="V826" i="119"/>
  <c r="V830" i="119"/>
  <c r="V838" i="119"/>
  <c r="V842" i="119"/>
  <c r="T810" i="119"/>
  <c r="BG860" i="16"/>
  <c r="T813" i="119"/>
  <c r="BG863" i="16"/>
  <c r="T815" i="119"/>
  <c r="T817" i="119"/>
  <c r="T818" i="119"/>
  <c r="BG868" i="16"/>
  <c r="BG872" i="16"/>
  <c r="BG874" i="16"/>
  <c r="T831" i="119"/>
  <c r="BA883" i="16"/>
  <c r="T842" i="119"/>
  <c r="T843" i="119"/>
  <c r="W825" i="119"/>
  <c r="V865" i="119"/>
  <c r="V882" i="119"/>
  <c r="BG898" i="16"/>
  <c r="T848" i="119"/>
  <c r="BG902" i="16"/>
  <c r="BG905" i="16"/>
  <c r="S856" i="119"/>
  <c r="T857" i="119"/>
  <c r="T858" i="119"/>
  <c r="S860" i="119"/>
  <c r="T861" i="119"/>
  <c r="BG915" i="16"/>
  <c r="BG916" i="16"/>
  <c r="BG918" i="16"/>
  <c r="T869" i="119"/>
  <c r="T870" i="119"/>
  <c r="BA923" i="16"/>
  <c r="T873" i="119"/>
  <c r="T877" i="119"/>
  <c r="T881" i="119"/>
  <c r="T885" i="119"/>
  <c r="T886" i="119"/>
  <c r="W847" i="119"/>
  <c r="W848" i="119"/>
  <c r="W862" i="119"/>
  <c r="W868" i="119"/>
  <c r="W871" i="119"/>
  <c r="V890" i="119"/>
  <c r="V905" i="119"/>
  <c r="V909" i="119"/>
  <c r="V912" i="119"/>
  <c r="T890" i="119"/>
  <c r="T893" i="119"/>
  <c r="T895" i="119"/>
  <c r="T898" i="119"/>
  <c r="BG952" i="16"/>
  <c r="S901" i="119"/>
  <c r="BG955" i="16"/>
  <c r="BG956" i="16"/>
  <c r="T904" i="119"/>
  <c r="T905" i="119"/>
  <c r="T906" i="119"/>
  <c r="T907" i="119"/>
  <c r="BG961" i="16"/>
  <c r="T911" i="119"/>
  <c r="T915" i="119"/>
  <c r="T919" i="119"/>
  <c r="T922" i="119"/>
  <c r="BG976" i="16"/>
  <c r="T926" i="119"/>
  <c r="T927" i="119"/>
  <c r="W899" i="119"/>
  <c r="W915" i="119"/>
  <c r="W927" i="119"/>
  <c r="V935" i="119"/>
  <c r="V936" i="119"/>
  <c r="T937" i="119"/>
  <c r="BG996" i="16"/>
  <c r="T945" i="119"/>
  <c r="BG1001" i="16"/>
  <c r="T956" i="119"/>
  <c r="T957" i="119"/>
  <c r="T961" i="119"/>
  <c r="T965" i="119"/>
  <c r="T969" i="119"/>
  <c r="T970" i="119"/>
  <c r="BG1027" i="16"/>
  <c r="W934" i="119"/>
  <c r="W945" i="119"/>
  <c r="W952" i="119"/>
  <c r="W959" i="119"/>
  <c r="AG1033" i="16"/>
  <c r="BB1033" i="16" s="1"/>
  <c r="BE1033" i="16" s="1"/>
  <c r="AG1034" i="16"/>
  <c r="AG1035" i="16"/>
  <c r="V978" i="119"/>
  <c r="AG1036" i="16"/>
  <c r="AG1037" i="16"/>
  <c r="AG1038" i="16"/>
  <c r="AG1039" i="16"/>
  <c r="AG1040" i="16"/>
  <c r="AG1041" i="16"/>
  <c r="AG1042" i="16"/>
  <c r="AG1043" i="16"/>
  <c r="AG1044" i="16"/>
  <c r="V987" i="119"/>
  <c r="AG1045" i="16"/>
  <c r="AG1046" i="16"/>
  <c r="V989" i="119" s="1"/>
  <c r="AG1047" i="16"/>
  <c r="AG1048" i="16"/>
  <c r="AG1049" i="16"/>
  <c r="AG1050" i="16"/>
  <c r="AG1051" i="16"/>
  <c r="AG1052" i="16"/>
  <c r="BB1052" i="16" s="1"/>
  <c r="AG1053" i="16"/>
  <c r="AG1054" i="16"/>
  <c r="AM1054" i="16"/>
  <c r="AD1054" i="16" s="1"/>
  <c r="AJ1054" i="16"/>
  <c r="AG1055" i="16"/>
  <c r="AG1056" i="16"/>
  <c r="BB1056" i="16" s="1"/>
  <c r="AG1057" i="16"/>
  <c r="AM1057" i="16"/>
  <c r="AD1057" i="16"/>
  <c r="AJ1057" i="16"/>
  <c r="BC1057" i="16" s="1"/>
  <c r="AG1058" i="16"/>
  <c r="AG1059" i="16"/>
  <c r="AG1060" i="16"/>
  <c r="AG1061" i="16"/>
  <c r="AG1062" i="16"/>
  <c r="AG1063" i="16"/>
  <c r="AG1064" i="16"/>
  <c r="AG1065" i="16"/>
  <c r="AM1065" i="16"/>
  <c r="AD1065" i="16" s="1"/>
  <c r="AJ1065" i="16"/>
  <c r="AG1066" i="16"/>
  <c r="BB1066" i="16" s="1"/>
  <c r="AG1067" i="16"/>
  <c r="AG1068" i="16"/>
  <c r="BB1068" i="16"/>
  <c r="AG1069" i="16"/>
  <c r="AM1069" i="16"/>
  <c r="AJ1069" i="16"/>
  <c r="AG1070" i="16"/>
  <c r="AG1071" i="16"/>
  <c r="AG1072" i="16"/>
  <c r="AM1033" i="16"/>
  <c r="BJ1033" i="16" s="1"/>
  <c r="AM1034" i="16"/>
  <c r="AM1035" i="16"/>
  <c r="AD1035" i="16" s="1"/>
  <c r="AM1036" i="16"/>
  <c r="BJ1036" i="16" s="1"/>
  <c r="AM1037" i="16"/>
  <c r="AD1037" i="16" s="1"/>
  <c r="AM1038" i="16"/>
  <c r="BJ1038" i="16" s="1"/>
  <c r="AM1039" i="16"/>
  <c r="AD1039" i="16" s="1"/>
  <c r="AM1040" i="16"/>
  <c r="T983" i="119" s="1"/>
  <c r="AM1041" i="16"/>
  <c r="BG1041" i="16" s="1"/>
  <c r="AM1042" i="16"/>
  <c r="BG1042" i="16"/>
  <c r="AM1043" i="16"/>
  <c r="T986" i="119" s="1"/>
  <c r="AM1044" i="16"/>
  <c r="AM1045" i="16"/>
  <c r="BJ1045" i="16"/>
  <c r="AM1046" i="16"/>
  <c r="T989" i="119" s="1"/>
  <c r="AM1047" i="16"/>
  <c r="AD1047" i="16"/>
  <c r="AM1048" i="16"/>
  <c r="AM1049" i="16"/>
  <c r="AD1049" i="16" s="1"/>
  <c r="AM1050" i="16"/>
  <c r="BG1050" i="16" s="1"/>
  <c r="AM1051" i="16"/>
  <c r="AD1051" i="16" s="1"/>
  <c r="AM1052" i="16"/>
  <c r="T995" i="119" s="1"/>
  <c r="AM1053" i="16"/>
  <c r="BJ1053" i="16" s="1"/>
  <c r="BG1054" i="16"/>
  <c r="AM1055" i="16"/>
  <c r="BJ1055" i="16" s="1"/>
  <c r="AM1056" i="16"/>
  <c r="T999" i="119" s="1"/>
  <c r="AM1058" i="16"/>
  <c r="BG1058" i="16" s="1"/>
  <c r="AM1059" i="16"/>
  <c r="BJ1059" i="16" s="1"/>
  <c r="AM1060" i="16"/>
  <c r="T1003" i="119" s="1"/>
  <c r="AM1061" i="16"/>
  <c r="AM1062" i="16"/>
  <c r="T1005" i="119" s="1"/>
  <c r="AM1063" i="16"/>
  <c r="BJ1063" i="16"/>
  <c r="AM1064" i="16"/>
  <c r="AM1066" i="16"/>
  <c r="BG1066" i="16" s="1"/>
  <c r="AM1067" i="16"/>
  <c r="AM1068" i="16"/>
  <c r="BG1068" i="16" s="1"/>
  <c r="AM1070" i="16"/>
  <c r="T1013" i="119" s="1"/>
  <c r="AM1071" i="16"/>
  <c r="BJ1071" i="16" s="1"/>
  <c r="AM1072" i="16"/>
  <c r="AD1072" i="16" s="1"/>
  <c r="AJ1033" i="16"/>
  <c r="W976" i="119" s="1"/>
  <c r="AJ1034" i="16"/>
  <c r="BC1034" i="16"/>
  <c r="AJ1035" i="16"/>
  <c r="BC1035" i="16" s="1"/>
  <c r="AJ1036" i="16"/>
  <c r="AJ1037" i="16"/>
  <c r="W980" i="119"/>
  <c r="AJ1038" i="16"/>
  <c r="AJ1039" i="16"/>
  <c r="BC1039" i="16" s="1"/>
  <c r="AJ1040" i="16"/>
  <c r="AJ1041" i="16"/>
  <c r="BC1041" i="16" s="1"/>
  <c r="AJ1042" i="16"/>
  <c r="BC1042" i="16" s="1"/>
  <c r="AJ1043" i="16"/>
  <c r="BC1043" i="16" s="1"/>
  <c r="AJ1044" i="16"/>
  <c r="BC1044" i="16" s="1"/>
  <c r="AJ1045" i="16"/>
  <c r="W988" i="119" s="1"/>
  <c r="AJ1046" i="16"/>
  <c r="AJ1047" i="16"/>
  <c r="BC1047" i="16" s="1"/>
  <c r="AJ1048" i="16"/>
  <c r="W991" i="119" s="1"/>
  <c r="AJ1049" i="16"/>
  <c r="AJ1050" i="16"/>
  <c r="AJ1051" i="16"/>
  <c r="BC1051" i="16" s="1"/>
  <c r="AJ1052" i="16"/>
  <c r="BC1052" i="16" s="1"/>
  <c r="AJ1053" i="16"/>
  <c r="BC1053" i="16" s="1"/>
  <c r="AJ1055" i="16"/>
  <c r="BC1055" i="16" s="1"/>
  <c r="AJ1056" i="16"/>
  <c r="AJ1058" i="16"/>
  <c r="BC1058" i="16" s="1"/>
  <c r="AJ1059" i="16"/>
  <c r="BC1059" i="16"/>
  <c r="AJ1060" i="16"/>
  <c r="BC1060" i="16" s="1"/>
  <c r="AJ1061" i="16"/>
  <c r="W1004" i="119" s="1"/>
  <c r="AJ1062" i="16"/>
  <c r="AJ1063" i="16"/>
  <c r="AJ1064" i="16"/>
  <c r="BC1064" i="16" s="1"/>
  <c r="AJ1066" i="16"/>
  <c r="BC1066" i="16" s="1"/>
  <c r="AJ1067" i="16"/>
  <c r="W1010" i="119" s="1"/>
  <c r="AJ1068" i="16"/>
  <c r="BC1068" i="16" s="1"/>
  <c r="W1012" i="119"/>
  <c r="AJ1070" i="16"/>
  <c r="AJ1071" i="16"/>
  <c r="BC1071" i="16" s="1"/>
  <c r="AJ1072" i="16"/>
  <c r="V1019" i="119"/>
  <c r="BG1078" i="16"/>
  <c r="BG1080" i="16"/>
  <c r="BG1082" i="16"/>
  <c r="BG1090" i="16"/>
  <c r="BG1093" i="16"/>
  <c r="BG1094" i="16"/>
  <c r="BG1098" i="16"/>
  <c r="BG1099" i="16"/>
  <c r="BG1104" i="16"/>
  <c r="BG1105" i="16"/>
  <c r="BG1106" i="16"/>
  <c r="BG1109" i="16"/>
  <c r="T1051" i="119"/>
  <c r="T1055" i="119"/>
  <c r="W1019" i="119"/>
  <c r="W1022" i="119"/>
  <c r="W1029" i="119"/>
  <c r="W1037" i="119"/>
  <c r="W1039" i="119"/>
  <c r="AQ1112" i="16"/>
  <c r="W1056" i="119"/>
  <c r="V1062" i="119"/>
  <c r="V1067" i="119"/>
  <c r="AT1151" i="16"/>
  <c r="BG1125" i="16"/>
  <c r="BG1126" i="16"/>
  <c r="BG1130" i="16"/>
  <c r="BG1132" i="16"/>
  <c r="T1073" i="119"/>
  <c r="T1074" i="119"/>
  <c r="T1077" i="119"/>
  <c r="BG1140" i="16"/>
  <c r="T1080" i="119"/>
  <c r="T1081" i="119"/>
  <c r="T1082" i="119"/>
  <c r="T1083" i="119"/>
  <c r="T1085" i="119"/>
  <c r="BG1150" i="16"/>
  <c r="T1091" i="119"/>
  <c r="BG1156" i="16"/>
  <c r="W1067" i="119"/>
  <c r="W1081" i="119"/>
  <c r="W193" i="25"/>
  <c r="W194" i="25"/>
  <c r="W218" i="25"/>
  <c r="W299" i="25"/>
  <c r="W442" i="25"/>
  <c r="W444" i="25"/>
  <c r="W445" i="25"/>
  <c r="W451" i="25"/>
  <c r="W582" i="25"/>
  <c r="Y582" i="25" s="1"/>
  <c r="W695" i="25"/>
  <c r="W721" i="25"/>
  <c r="W746" i="25"/>
  <c r="Y746" i="25" s="1"/>
  <c r="W751" i="25"/>
  <c r="W853" i="25"/>
  <c r="W867" i="25"/>
  <c r="W908" i="25"/>
  <c r="Y908" i="25" s="1"/>
  <c r="W961" i="25"/>
  <c r="W1056" i="25"/>
  <c r="Y1056" i="25" s="1"/>
  <c r="W1188" i="25"/>
  <c r="T1099" i="119"/>
  <c r="W1079" i="119"/>
  <c r="W1071" i="119"/>
  <c r="W1052" i="119"/>
  <c r="T1044" i="119"/>
  <c r="V1036" i="119"/>
  <c r="T1024" i="119"/>
  <c r="T1020" i="119"/>
  <c r="W993" i="119"/>
  <c r="W953" i="119"/>
  <c r="W949" i="119"/>
  <c r="W906" i="119"/>
  <c r="W895" i="119"/>
  <c r="V883" i="119"/>
  <c r="V867" i="119"/>
  <c r="V847" i="119"/>
  <c r="T840" i="119"/>
  <c r="W812" i="119"/>
  <c r="V808" i="119"/>
  <c r="V798" i="119"/>
  <c r="V786" i="119"/>
  <c r="T782" i="119"/>
  <c r="V774" i="119"/>
  <c r="T774" i="119"/>
  <c r="V770" i="119"/>
  <c r="T770" i="119"/>
  <c r="T766" i="119"/>
  <c r="T755" i="119"/>
  <c r="T752" i="119"/>
  <c r="V742" i="119"/>
  <c r="V738" i="119"/>
  <c r="T731" i="119"/>
  <c r="W726" i="119"/>
  <c r="V726" i="119"/>
  <c r="T712" i="119"/>
  <c r="T708" i="119"/>
  <c r="V705" i="119"/>
  <c r="W703" i="119"/>
  <c r="T703" i="119"/>
  <c r="W700" i="119"/>
  <c r="T700" i="119"/>
  <c r="T699" i="119"/>
  <c r="T692" i="119"/>
  <c r="W684" i="119"/>
  <c r="T684" i="119"/>
  <c r="W676" i="119"/>
  <c r="V669" i="119"/>
  <c r="W661" i="119"/>
  <c r="T661" i="119"/>
  <c r="V657" i="119"/>
  <c r="T657" i="119"/>
  <c r="W645" i="119"/>
  <c r="W627" i="119"/>
  <c r="T622" i="119"/>
  <c r="T618" i="119"/>
  <c r="W615" i="119"/>
  <c r="V610" i="119"/>
  <c r="T609" i="119"/>
  <c r="T607" i="119"/>
  <c r="V602" i="119"/>
  <c r="T594" i="119"/>
  <c r="W590" i="119"/>
  <c r="V590" i="119"/>
  <c r="T583" i="119"/>
  <c r="V582" i="119"/>
  <c r="W579" i="119"/>
  <c r="T579" i="119"/>
  <c r="T578" i="119"/>
  <c r="W574" i="119"/>
  <c r="W571" i="119"/>
  <c r="T567" i="119"/>
  <c r="V566" i="119"/>
  <c r="T559" i="119"/>
  <c r="W547" i="119"/>
  <c r="W546" i="119"/>
  <c r="W541" i="119"/>
  <c r="W535" i="119"/>
  <c r="T533" i="119"/>
  <c r="V517" i="119"/>
  <c r="W515" i="119"/>
  <c r="V515" i="119"/>
  <c r="T515" i="119"/>
  <c r="W511" i="119"/>
  <c r="W482" i="119"/>
  <c r="T464" i="119"/>
  <c r="T462" i="119"/>
  <c r="V454" i="119"/>
  <c r="T454" i="119"/>
  <c r="T450" i="119"/>
  <c r="V442" i="119"/>
  <c r="W441" i="119"/>
  <c r="V435" i="119"/>
  <c r="T431" i="119"/>
  <c r="V423" i="119"/>
  <c r="W422" i="119"/>
  <c r="T417" i="119"/>
  <c r="T398" i="119"/>
  <c r="T392" i="119"/>
  <c r="V386" i="119"/>
  <c r="W382" i="119"/>
  <c r="T368" i="119"/>
  <c r="T367" i="119"/>
  <c r="W364" i="119"/>
  <c r="V364" i="119"/>
  <c r="T363" i="119"/>
  <c r="T362" i="119"/>
  <c r="W360" i="119"/>
  <c r="T360" i="119"/>
  <c r="S360" i="119"/>
  <c r="T359" i="119"/>
  <c r="V356" i="119"/>
  <c r="T356" i="119"/>
  <c r="W352" i="119"/>
  <c r="T352" i="119"/>
  <c r="W351" i="119"/>
  <c r="T351" i="119"/>
  <c r="W348" i="119"/>
  <c r="V348" i="119"/>
  <c r="W344" i="119"/>
  <c r="T344" i="119"/>
  <c r="S340" i="119"/>
  <c r="W335" i="119"/>
  <c r="V333" i="119"/>
  <c r="V332" i="119"/>
  <c r="W331" i="119"/>
  <c r="V326" i="119"/>
  <c r="V325" i="119"/>
  <c r="T325" i="119"/>
  <c r="V322" i="119"/>
  <c r="W321" i="119"/>
  <c r="V321" i="119"/>
  <c r="T321" i="119"/>
  <c r="W318" i="119"/>
  <c r="V318" i="119"/>
  <c r="W313" i="119"/>
  <c r="T313" i="119"/>
  <c r="W312" i="119"/>
  <c r="W310" i="119"/>
  <c r="V310" i="119"/>
  <c r="V309" i="119"/>
  <c r="T309" i="119"/>
  <c r="V306" i="119"/>
  <c r="V305" i="119"/>
  <c r="T305" i="119"/>
  <c r="W302" i="119"/>
  <c r="V302" i="119"/>
  <c r="T302" i="119"/>
  <c r="V301" i="119"/>
  <c r="T301" i="119"/>
  <c r="W297" i="119"/>
  <c r="W294" i="119"/>
  <c r="V294" i="119"/>
  <c r="T293" i="119"/>
  <c r="V290" i="119"/>
  <c r="W289" i="119"/>
  <c r="T289" i="119"/>
  <c r="V283" i="119"/>
  <c r="T283" i="119"/>
  <c r="T277" i="119"/>
  <c r="V275" i="119"/>
  <c r="W270" i="119"/>
  <c r="T270" i="119"/>
  <c r="W269" i="119"/>
  <c r="V267" i="119"/>
  <c r="T267" i="119"/>
  <c r="T266" i="119"/>
  <c r="W265" i="119"/>
  <c r="T263" i="119"/>
  <c r="T262" i="119"/>
  <c r="W261" i="119"/>
  <c r="V259" i="119"/>
  <c r="V258" i="119"/>
  <c r="T255" i="119"/>
  <c r="T254" i="119"/>
  <c r="V251" i="119"/>
  <c r="T251" i="119"/>
  <c r="V247" i="119"/>
  <c r="T246" i="119"/>
  <c r="W240" i="119"/>
  <c r="T238" i="119"/>
  <c r="W236" i="119"/>
  <c r="W234" i="119"/>
  <c r="T230" i="119"/>
  <c r="T228" i="119"/>
  <c r="W226" i="119"/>
  <c r="V226" i="119"/>
  <c r="T224" i="119"/>
  <c r="T222" i="119"/>
  <c r="W220" i="119"/>
  <c r="T216" i="119"/>
  <c r="T212" i="119"/>
  <c r="V206" i="119"/>
  <c r="W204" i="119"/>
  <c r="T204" i="119"/>
  <c r="V202" i="119"/>
  <c r="W188" i="119"/>
  <c r="BD1123" i="16"/>
  <c r="BD1124" i="16"/>
  <c r="BD1125" i="16"/>
  <c r="BD1126" i="16"/>
  <c r="BD1127" i="16"/>
  <c r="BD1128" i="16"/>
  <c r="BD1129" i="16"/>
  <c r="BD1130" i="16"/>
  <c r="BD1131" i="16"/>
  <c r="BD1132" i="16"/>
  <c r="BD1133" i="16"/>
  <c r="BD1134" i="16"/>
  <c r="BD1135" i="16"/>
  <c r="BD1136" i="16"/>
  <c r="BD1137" i="16"/>
  <c r="BD1138" i="16"/>
  <c r="BD1139" i="16"/>
  <c r="BD1140" i="16"/>
  <c r="BD1141" i="16"/>
  <c r="BD1142" i="16"/>
  <c r="BD1143" i="16"/>
  <c r="BD1144" i="16"/>
  <c r="BD1145" i="16"/>
  <c r="BD1146" i="16"/>
  <c r="BD1147" i="16"/>
  <c r="BD1148" i="16"/>
  <c r="BD1149" i="16"/>
  <c r="BD1150" i="16"/>
  <c r="BD1151" i="16"/>
  <c r="BD1152" i="16"/>
  <c r="BD1153" i="16"/>
  <c r="BD1154" i="16"/>
  <c r="BD1155" i="16"/>
  <c r="BD1156" i="16"/>
  <c r="BD1157" i="16"/>
  <c r="BD1158" i="16"/>
  <c r="BD1159" i="16"/>
  <c r="BD1160" i="16"/>
  <c r="BD1161" i="16"/>
  <c r="BD1162" i="16"/>
  <c r="BD1078" i="16"/>
  <c r="BD1079" i="16"/>
  <c r="BD1080" i="16"/>
  <c r="BD1081" i="16"/>
  <c r="BD1082" i="16"/>
  <c r="BD1083" i="16"/>
  <c r="BD1084" i="16"/>
  <c r="BD1085" i="16"/>
  <c r="BD1086" i="16"/>
  <c r="BD1087" i="16"/>
  <c r="BD1088" i="16"/>
  <c r="BD1089" i="16"/>
  <c r="BD1090" i="16"/>
  <c r="BD1091" i="16"/>
  <c r="BD1092" i="16"/>
  <c r="BD1093" i="16"/>
  <c r="BD1094" i="16"/>
  <c r="BD1095" i="16"/>
  <c r="BD1096" i="16"/>
  <c r="BD1097" i="16"/>
  <c r="BD1098" i="16"/>
  <c r="BD1099" i="16"/>
  <c r="BD1100" i="16"/>
  <c r="BD1101" i="16"/>
  <c r="BD1102" i="16"/>
  <c r="BD1103" i="16"/>
  <c r="BD1104" i="16"/>
  <c r="BD1105" i="16"/>
  <c r="BD1106" i="16"/>
  <c r="BD1107" i="16"/>
  <c r="BD1108" i="16"/>
  <c r="BD1109" i="16"/>
  <c r="BD1110" i="16"/>
  <c r="BD1111" i="16"/>
  <c r="BD1112" i="16"/>
  <c r="BD1113" i="16"/>
  <c r="BD1114" i="16"/>
  <c r="BD1115" i="16"/>
  <c r="BD1116" i="16"/>
  <c r="BD1117" i="16"/>
  <c r="BD1033" i="16"/>
  <c r="BD1034" i="16"/>
  <c r="BD1035" i="16"/>
  <c r="BD1036" i="16"/>
  <c r="BD1037" i="16"/>
  <c r="BD1038" i="16"/>
  <c r="BD1039" i="16"/>
  <c r="BD1040" i="16"/>
  <c r="BD1041" i="16"/>
  <c r="BD1042" i="16"/>
  <c r="BD1043" i="16"/>
  <c r="BD1044" i="16"/>
  <c r="BD1045" i="16"/>
  <c r="BD1046" i="16"/>
  <c r="BD1047" i="16"/>
  <c r="BD1048" i="16"/>
  <c r="BD1049" i="16"/>
  <c r="BD1050" i="16"/>
  <c r="BD1051" i="16"/>
  <c r="BD1052" i="16"/>
  <c r="BD1053" i="16"/>
  <c r="BD1054" i="16"/>
  <c r="BD1055" i="16"/>
  <c r="BD1056" i="16"/>
  <c r="BD1057" i="16"/>
  <c r="BD1058" i="16"/>
  <c r="BD1059" i="16"/>
  <c r="BD1060" i="16"/>
  <c r="BD1061" i="16"/>
  <c r="BD1062" i="16"/>
  <c r="BD1063" i="16"/>
  <c r="BD1064" i="16"/>
  <c r="BD1065" i="16"/>
  <c r="BD1066" i="16"/>
  <c r="BD1067" i="16"/>
  <c r="BD1068" i="16"/>
  <c r="BD1069" i="16"/>
  <c r="BD1070" i="16"/>
  <c r="BD1071" i="16"/>
  <c r="BD1072" i="16"/>
  <c r="BD988" i="16"/>
  <c r="BD989" i="16"/>
  <c r="BD990" i="16"/>
  <c r="BD991" i="16"/>
  <c r="BD992" i="16"/>
  <c r="BD993" i="16"/>
  <c r="BD994" i="16"/>
  <c r="BD995" i="16"/>
  <c r="BD996" i="16"/>
  <c r="BD997" i="16"/>
  <c r="BD998" i="16"/>
  <c r="BD999" i="16"/>
  <c r="BD1000" i="16"/>
  <c r="BD1001" i="16"/>
  <c r="BD1002" i="16"/>
  <c r="BD1003" i="16"/>
  <c r="BD1004" i="16"/>
  <c r="BD1005" i="16"/>
  <c r="BD1006" i="16"/>
  <c r="BD1007" i="16"/>
  <c r="BD1008" i="16"/>
  <c r="BD1009" i="16"/>
  <c r="BD1010" i="16"/>
  <c r="BD1011" i="16"/>
  <c r="BD1012" i="16"/>
  <c r="BD1013" i="16"/>
  <c r="BD1014" i="16"/>
  <c r="BD1015" i="16"/>
  <c r="BD1016" i="16"/>
  <c r="BD1017" i="16"/>
  <c r="BD1018" i="16"/>
  <c r="BD1019" i="16"/>
  <c r="BD1020" i="16"/>
  <c r="BD1021" i="16"/>
  <c r="BD1022" i="16"/>
  <c r="BD1023" i="16"/>
  <c r="BD1024" i="16"/>
  <c r="BD1025" i="16"/>
  <c r="BD1026" i="16"/>
  <c r="BD1027" i="16"/>
  <c r="BD943" i="16"/>
  <c r="BD944" i="16"/>
  <c r="BD945" i="16"/>
  <c r="BD946" i="16"/>
  <c r="BD947" i="16"/>
  <c r="BD948" i="16"/>
  <c r="BD949" i="16"/>
  <c r="BD950" i="16"/>
  <c r="BD951" i="16"/>
  <c r="BD952" i="16"/>
  <c r="BD953" i="16"/>
  <c r="BD954" i="16"/>
  <c r="BD955" i="16"/>
  <c r="BD956" i="16"/>
  <c r="BD957" i="16"/>
  <c r="BD958" i="16"/>
  <c r="BD959" i="16"/>
  <c r="BD960" i="16"/>
  <c r="BD961" i="16"/>
  <c r="BD962" i="16"/>
  <c r="BD963" i="16"/>
  <c r="BD964" i="16"/>
  <c r="BD965" i="16"/>
  <c r="BD966" i="16"/>
  <c r="BD967" i="16"/>
  <c r="BD968" i="16"/>
  <c r="BD969" i="16"/>
  <c r="BD970" i="16"/>
  <c r="BD971" i="16"/>
  <c r="BD972" i="16"/>
  <c r="BD973" i="16"/>
  <c r="BD974" i="16"/>
  <c r="BD975" i="16"/>
  <c r="BD976" i="16"/>
  <c r="BD977" i="16"/>
  <c r="BD978" i="16"/>
  <c r="BD979" i="16"/>
  <c r="BD980" i="16"/>
  <c r="BD981" i="16"/>
  <c r="BD982" i="16"/>
  <c r="BD898" i="16"/>
  <c r="BD899" i="16"/>
  <c r="BD900" i="16"/>
  <c r="BD901" i="16"/>
  <c r="BD902" i="16"/>
  <c r="BD903" i="16"/>
  <c r="BD904" i="16"/>
  <c r="BD905" i="16"/>
  <c r="BD906" i="16"/>
  <c r="BD907" i="16"/>
  <c r="BD908" i="16"/>
  <c r="BD909" i="16"/>
  <c r="BD910" i="16"/>
  <c r="BD911" i="16"/>
  <c r="BD912" i="16"/>
  <c r="BD913" i="16"/>
  <c r="BD914" i="16"/>
  <c r="BD915" i="16"/>
  <c r="BD916" i="16"/>
  <c r="BD917" i="16"/>
  <c r="BD918" i="16"/>
  <c r="BD919" i="16"/>
  <c r="BD920" i="16"/>
  <c r="BD921" i="16"/>
  <c r="BD922" i="16"/>
  <c r="BD923" i="16"/>
  <c r="BD924" i="16"/>
  <c r="BD925" i="16"/>
  <c r="BD926" i="16"/>
  <c r="BD927" i="16"/>
  <c r="BD928" i="16"/>
  <c r="BD929" i="16"/>
  <c r="BD930" i="16"/>
  <c r="BD931" i="16"/>
  <c r="BD932" i="16"/>
  <c r="BD933" i="16"/>
  <c r="BD934" i="16"/>
  <c r="BD935" i="16"/>
  <c r="BD936" i="16"/>
  <c r="BD937" i="16"/>
  <c r="BD853" i="16"/>
  <c r="BD854" i="16"/>
  <c r="BD855" i="16"/>
  <c r="BD856" i="16"/>
  <c r="BD857" i="16"/>
  <c r="BD858" i="16"/>
  <c r="BD859" i="16"/>
  <c r="BD860" i="16"/>
  <c r="BD861" i="16"/>
  <c r="BD862" i="16"/>
  <c r="BD863" i="16"/>
  <c r="BD864" i="16"/>
  <c r="BD865" i="16"/>
  <c r="BD866" i="16"/>
  <c r="BD867" i="16"/>
  <c r="BD868" i="16"/>
  <c r="BD869" i="16"/>
  <c r="BD870" i="16"/>
  <c r="BD871" i="16"/>
  <c r="BD872" i="16"/>
  <c r="BD873" i="16"/>
  <c r="BD874" i="16"/>
  <c r="BD875" i="16"/>
  <c r="BD876" i="16"/>
  <c r="BD877" i="16"/>
  <c r="BD878" i="16"/>
  <c r="BD879" i="16"/>
  <c r="BD880" i="16"/>
  <c r="BD881" i="16"/>
  <c r="BD882" i="16"/>
  <c r="BD883" i="16"/>
  <c r="BD884" i="16"/>
  <c r="BD885" i="16"/>
  <c r="BD886" i="16"/>
  <c r="BD887" i="16"/>
  <c r="BD888" i="16"/>
  <c r="BD889" i="16"/>
  <c r="BD890" i="16"/>
  <c r="BD891" i="16"/>
  <c r="BD892" i="16"/>
  <c r="BD808" i="16"/>
  <c r="BD809" i="16"/>
  <c r="BD810" i="16"/>
  <c r="BD811" i="16"/>
  <c r="BD812" i="16"/>
  <c r="BD813" i="16"/>
  <c r="BD814" i="16"/>
  <c r="BD815" i="16"/>
  <c r="BD816" i="16"/>
  <c r="BD817" i="16"/>
  <c r="BD818" i="16"/>
  <c r="BD819" i="16"/>
  <c r="BD820" i="16"/>
  <c r="BD821" i="16"/>
  <c r="BD822" i="16"/>
  <c r="BD823" i="16"/>
  <c r="BD824" i="16"/>
  <c r="BD825" i="16"/>
  <c r="BD826" i="16"/>
  <c r="BD827" i="16"/>
  <c r="BD828" i="16"/>
  <c r="BD829" i="16"/>
  <c r="BD830" i="16"/>
  <c r="BD831" i="16"/>
  <c r="BD832" i="16"/>
  <c r="BD833" i="16"/>
  <c r="BD834" i="16"/>
  <c r="BD835" i="16"/>
  <c r="BD836" i="16"/>
  <c r="BD837" i="16"/>
  <c r="BD838" i="16"/>
  <c r="BD839" i="16"/>
  <c r="BD840" i="16"/>
  <c r="BD841" i="16"/>
  <c r="BD842" i="16"/>
  <c r="BD843" i="16"/>
  <c r="BD844" i="16"/>
  <c r="BD845" i="16"/>
  <c r="BD846" i="16"/>
  <c r="BD847" i="16"/>
  <c r="BD628" i="16"/>
  <c r="BD629" i="16"/>
  <c r="BD630" i="16"/>
  <c r="BD631" i="16"/>
  <c r="BD632" i="16"/>
  <c r="BD633" i="16"/>
  <c r="BD634" i="16"/>
  <c r="BD635" i="16"/>
  <c r="BD636" i="16"/>
  <c r="BD637" i="16"/>
  <c r="BD638" i="16"/>
  <c r="BD639" i="16"/>
  <c r="BD640" i="16"/>
  <c r="BD641" i="16"/>
  <c r="BD642" i="16"/>
  <c r="BD643" i="16"/>
  <c r="BD644" i="16"/>
  <c r="BD645" i="16"/>
  <c r="BD646" i="16"/>
  <c r="BD647" i="16"/>
  <c r="BD648" i="16"/>
  <c r="BD649" i="16"/>
  <c r="BD650" i="16"/>
  <c r="BD651" i="16"/>
  <c r="BD652" i="16"/>
  <c r="BD653" i="16"/>
  <c r="BD654" i="16"/>
  <c r="BD655" i="16"/>
  <c r="BD656" i="16"/>
  <c r="BD657" i="16"/>
  <c r="BD658" i="16"/>
  <c r="BD659" i="16"/>
  <c r="BD660" i="16"/>
  <c r="BD661" i="16"/>
  <c r="BD662" i="16"/>
  <c r="BD663" i="16"/>
  <c r="BD664" i="16"/>
  <c r="BD665" i="16"/>
  <c r="BD666" i="16"/>
  <c r="BD667" i="16"/>
  <c r="BD583" i="16"/>
  <c r="BD584" i="16"/>
  <c r="BD585" i="16"/>
  <c r="BD586" i="16"/>
  <c r="BD587" i="16"/>
  <c r="BD588" i="16"/>
  <c r="BD589" i="16"/>
  <c r="BD590" i="16"/>
  <c r="BD591" i="16"/>
  <c r="BD592" i="16"/>
  <c r="BD593" i="16"/>
  <c r="BD594" i="16"/>
  <c r="BD595" i="16"/>
  <c r="BD596" i="16"/>
  <c r="BD597" i="16"/>
  <c r="BD598" i="16"/>
  <c r="BD599" i="16"/>
  <c r="BD600" i="16"/>
  <c r="BD601" i="16"/>
  <c r="BD602" i="16"/>
  <c r="BD603" i="16"/>
  <c r="BD604" i="16"/>
  <c r="BD605" i="16"/>
  <c r="BD606" i="16"/>
  <c r="BD607" i="16"/>
  <c r="BD608" i="16"/>
  <c r="BD609" i="16"/>
  <c r="BD610" i="16"/>
  <c r="BD611" i="16"/>
  <c r="BD612" i="16"/>
  <c r="BD613" i="16"/>
  <c r="BD614" i="16"/>
  <c r="BD615" i="16"/>
  <c r="BD616" i="16"/>
  <c r="BD617" i="16"/>
  <c r="BD618" i="16"/>
  <c r="BD619" i="16"/>
  <c r="BD620" i="16"/>
  <c r="BD621" i="16"/>
  <c r="BD622" i="16"/>
  <c r="BD538" i="16"/>
  <c r="BD539" i="16"/>
  <c r="BD540" i="16"/>
  <c r="BD541" i="16"/>
  <c r="BD542" i="16"/>
  <c r="BD543" i="16"/>
  <c r="BD544" i="16"/>
  <c r="BD545" i="16"/>
  <c r="BD546" i="16"/>
  <c r="BD547" i="16"/>
  <c r="BD548" i="16"/>
  <c r="BD549" i="16"/>
  <c r="BD550" i="16"/>
  <c r="BD551" i="16"/>
  <c r="BD552" i="16"/>
  <c r="BD553" i="16"/>
  <c r="BD554" i="16"/>
  <c r="BD555" i="16"/>
  <c r="BD556" i="16"/>
  <c r="BD557" i="16"/>
  <c r="BD558" i="16"/>
  <c r="BD559" i="16"/>
  <c r="BD560" i="16"/>
  <c r="BD561" i="16"/>
  <c r="BD562" i="16"/>
  <c r="BD563" i="16"/>
  <c r="BD564" i="16"/>
  <c r="BD565" i="16"/>
  <c r="BD566" i="16"/>
  <c r="BD567" i="16"/>
  <c r="BD568" i="16"/>
  <c r="BD569" i="16"/>
  <c r="BD570" i="16"/>
  <c r="BD571" i="16"/>
  <c r="BD572" i="16"/>
  <c r="BD573" i="16"/>
  <c r="BD574" i="16"/>
  <c r="BD575" i="16"/>
  <c r="BD576" i="16"/>
  <c r="BD577" i="16"/>
  <c r="BD493" i="16"/>
  <c r="BD494" i="16"/>
  <c r="BD495" i="16"/>
  <c r="BD496" i="16"/>
  <c r="BD497" i="16"/>
  <c r="BD498" i="16"/>
  <c r="BD499" i="16"/>
  <c r="BD500" i="16"/>
  <c r="BD501" i="16"/>
  <c r="BD502" i="16"/>
  <c r="BD503" i="16"/>
  <c r="BD504" i="16"/>
  <c r="BD505" i="16"/>
  <c r="BD506" i="16"/>
  <c r="BD507" i="16"/>
  <c r="BD508" i="16"/>
  <c r="BD509" i="16"/>
  <c r="BD510" i="16"/>
  <c r="BD511" i="16"/>
  <c r="BD512" i="16"/>
  <c r="BD513" i="16"/>
  <c r="BD514" i="16"/>
  <c r="BD515" i="16"/>
  <c r="BD516" i="16"/>
  <c r="BD517" i="16"/>
  <c r="BD518" i="16"/>
  <c r="BD519" i="16"/>
  <c r="BD520" i="16"/>
  <c r="BD521" i="16"/>
  <c r="BD522" i="16"/>
  <c r="BD523" i="16"/>
  <c r="BD524" i="16"/>
  <c r="BD525" i="16"/>
  <c r="BD526" i="16"/>
  <c r="BD527" i="16"/>
  <c r="BD528" i="16"/>
  <c r="BD529" i="16"/>
  <c r="BD530" i="16"/>
  <c r="BD531" i="16"/>
  <c r="BD532" i="16"/>
  <c r="BD448" i="16"/>
  <c r="BD449" i="16"/>
  <c r="BD450" i="16"/>
  <c r="BD451" i="16"/>
  <c r="BD452" i="16"/>
  <c r="BD453" i="16"/>
  <c r="BD454" i="16"/>
  <c r="BD455" i="16"/>
  <c r="BD456" i="16"/>
  <c r="BD457" i="16"/>
  <c r="BD458" i="16"/>
  <c r="BD459" i="16"/>
  <c r="BD460" i="16"/>
  <c r="BD461" i="16"/>
  <c r="BD462" i="16"/>
  <c r="BD463" i="16"/>
  <c r="BD464" i="16"/>
  <c r="BD465" i="16"/>
  <c r="BD466" i="16"/>
  <c r="BD467" i="16"/>
  <c r="BD468" i="16"/>
  <c r="BD469" i="16"/>
  <c r="BD470" i="16"/>
  <c r="BD471" i="16"/>
  <c r="BD472" i="16"/>
  <c r="BD473" i="16"/>
  <c r="BD474" i="16"/>
  <c r="BD475" i="16"/>
  <c r="BD476" i="16"/>
  <c r="BD477" i="16"/>
  <c r="BD478" i="16"/>
  <c r="BD479" i="16"/>
  <c r="BD480" i="16"/>
  <c r="BD481" i="16"/>
  <c r="BD482" i="16"/>
  <c r="BD483" i="16"/>
  <c r="BD484" i="16"/>
  <c r="BD485" i="16"/>
  <c r="BD486" i="16"/>
  <c r="BD487" i="16"/>
  <c r="BD403" i="16"/>
  <c r="BD404" i="16"/>
  <c r="BD405" i="16"/>
  <c r="BD406" i="16"/>
  <c r="BD407" i="16"/>
  <c r="BD408" i="16"/>
  <c r="BD409" i="16"/>
  <c r="BD410" i="16"/>
  <c r="BD411" i="16"/>
  <c r="BD412" i="16"/>
  <c r="BD413" i="16"/>
  <c r="BD414" i="16"/>
  <c r="BD415" i="16"/>
  <c r="BD416" i="16"/>
  <c r="BD417" i="16"/>
  <c r="BD418" i="16"/>
  <c r="BD419" i="16"/>
  <c r="BD420" i="16"/>
  <c r="BD421" i="16"/>
  <c r="BD422" i="16"/>
  <c r="BD423" i="16"/>
  <c r="BD424" i="16"/>
  <c r="BD425" i="16"/>
  <c r="BD426" i="16"/>
  <c r="BD427" i="16"/>
  <c r="BD428" i="16"/>
  <c r="BD429" i="16"/>
  <c r="BD430" i="16"/>
  <c r="BD431" i="16"/>
  <c r="BD432" i="16"/>
  <c r="BD433" i="16"/>
  <c r="BD434" i="16"/>
  <c r="BD435" i="16"/>
  <c r="BD436" i="16"/>
  <c r="BD437" i="16"/>
  <c r="BD438" i="16"/>
  <c r="BD439" i="16"/>
  <c r="BD440" i="16"/>
  <c r="BD441" i="16"/>
  <c r="BD442" i="16"/>
  <c r="BA367" i="16"/>
  <c r="BA387" i="16"/>
  <c r="BD358" i="16"/>
  <c r="BD359" i="16"/>
  <c r="BD360" i="16"/>
  <c r="BD361" i="16"/>
  <c r="BD362" i="16"/>
  <c r="BD363" i="16"/>
  <c r="BD364" i="16"/>
  <c r="BD365" i="16"/>
  <c r="BD366" i="16"/>
  <c r="BD367" i="16"/>
  <c r="BD368" i="16"/>
  <c r="BD369" i="16"/>
  <c r="BD370" i="16"/>
  <c r="BD371" i="16"/>
  <c r="BD372" i="16"/>
  <c r="BD373" i="16"/>
  <c r="BD374" i="16"/>
  <c r="BD375" i="16"/>
  <c r="BD376" i="16"/>
  <c r="BD377" i="16"/>
  <c r="BD378" i="16"/>
  <c r="BD379" i="16"/>
  <c r="BD380" i="16"/>
  <c r="BD381" i="16"/>
  <c r="BD382" i="16"/>
  <c r="BD383" i="16"/>
  <c r="BD384" i="16"/>
  <c r="BD385" i="16"/>
  <c r="BD386" i="16"/>
  <c r="BD387" i="16"/>
  <c r="BD388" i="16"/>
  <c r="BD389" i="16"/>
  <c r="BD390" i="16"/>
  <c r="BD391" i="16"/>
  <c r="BD392" i="16"/>
  <c r="BD393" i="16"/>
  <c r="BD394" i="16"/>
  <c r="BD395" i="16"/>
  <c r="BD396" i="16"/>
  <c r="BD397" i="16"/>
  <c r="BD313" i="16"/>
  <c r="BD314" i="16"/>
  <c r="BD315" i="16"/>
  <c r="BD316" i="16"/>
  <c r="BD317" i="16"/>
  <c r="BD318" i="16"/>
  <c r="BD319" i="16"/>
  <c r="BD320" i="16"/>
  <c r="BD321" i="16"/>
  <c r="BD322" i="16"/>
  <c r="BD323" i="16"/>
  <c r="BD324" i="16"/>
  <c r="BD325" i="16"/>
  <c r="BD326" i="16"/>
  <c r="BD327" i="16"/>
  <c r="BD328" i="16"/>
  <c r="BD329" i="16"/>
  <c r="BD330" i="16"/>
  <c r="BD331" i="16"/>
  <c r="BD332" i="16"/>
  <c r="BD333" i="16"/>
  <c r="BD334" i="16"/>
  <c r="BD335" i="16"/>
  <c r="BD336" i="16"/>
  <c r="BD337" i="16"/>
  <c r="BD338" i="16"/>
  <c r="BD339" i="16"/>
  <c r="BD340" i="16"/>
  <c r="BD341" i="16"/>
  <c r="BD342" i="16"/>
  <c r="BD343" i="16"/>
  <c r="BD344" i="16"/>
  <c r="BD345" i="16"/>
  <c r="BD346" i="16"/>
  <c r="BD347" i="16"/>
  <c r="BD348" i="16"/>
  <c r="BD349" i="16"/>
  <c r="BD350" i="16"/>
  <c r="BD351" i="16"/>
  <c r="BD352" i="16"/>
  <c r="BD268" i="16"/>
  <c r="BD269" i="16"/>
  <c r="BD270" i="16"/>
  <c r="BD271" i="16"/>
  <c r="BD272" i="16"/>
  <c r="BD273" i="16"/>
  <c r="BD274" i="16"/>
  <c r="BD275" i="16"/>
  <c r="BD276" i="16"/>
  <c r="BD277" i="16"/>
  <c r="BD278" i="16"/>
  <c r="BD279" i="16"/>
  <c r="BD280" i="16"/>
  <c r="BD281" i="16"/>
  <c r="BD282" i="16"/>
  <c r="BD283" i="16"/>
  <c r="BD284" i="16"/>
  <c r="BD285" i="16"/>
  <c r="BD286" i="16"/>
  <c r="BD287" i="16"/>
  <c r="BD288" i="16"/>
  <c r="BD289" i="16"/>
  <c r="BD290" i="16"/>
  <c r="BD291" i="16"/>
  <c r="BD292" i="16"/>
  <c r="BD293" i="16"/>
  <c r="BD294" i="16"/>
  <c r="BD295" i="16"/>
  <c r="BD296" i="16"/>
  <c r="BD297" i="16"/>
  <c r="BD298" i="16"/>
  <c r="BD299" i="16"/>
  <c r="BD300" i="16"/>
  <c r="BD301" i="16"/>
  <c r="BD302" i="16"/>
  <c r="BD303" i="16"/>
  <c r="BD304" i="16"/>
  <c r="BD305" i="16"/>
  <c r="BD306" i="16"/>
  <c r="BD307" i="16"/>
  <c r="BD223" i="16"/>
  <c r="BD224" i="16"/>
  <c r="BD225" i="16"/>
  <c r="BD226" i="16"/>
  <c r="BD227" i="16"/>
  <c r="BD228" i="16"/>
  <c r="BD229" i="16"/>
  <c r="BD230" i="16"/>
  <c r="BD231" i="16"/>
  <c r="BD232" i="16"/>
  <c r="BD233" i="16"/>
  <c r="BD234" i="16"/>
  <c r="BD235" i="16"/>
  <c r="BD236" i="16"/>
  <c r="BD237" i="16"/>
  <c r="BD238" i="16"/>
  <c r="BD239" i="16"/>
  <c r="BD240" i="16"/>
  <c r="BD241" i="16"/>
  <c r="BD242" i="16"/>
  <c r="BD243" i="16"/>
  <c r="BD244" i="16"/>
  <c r="BD245" i="16"/>
  <c r="BD246" i="16"/>
  <c r="BD247" i="16"/>
  <c r="BD248" i="16"/>
  <c r="BD249" i="16"/>
  <c r="BD250" i="16"/>
  <c r="BD251" i="16"/>
  <c r="BD252" i="16"/>
  <c r="BD253" i="16"/>
  <c r="BD254" i="16"/>
  <c r="BD255" i="16"/>
  <c r="BD256" i="16"/>
  <c r="BD257" i="16"/>
  <c r="BD258" i="16"/>
  <c r="BD259" i="16"/>
  <c r="BD260" i="16"/>
  <c r="BD261" i="16"/>
  <c r="BD262" i="16"/>
  <c r="BD178" i="16"/>
  <c r="BD179" i="16"/>
  <c r="BD180" i="16"/>
  <c r="BD181" i="16"/>
  <c r="BD182" i="16"/>
  <c r="BD183" i="16"/>
  <c r="BD184" i="16"/>
  <c r="BD185" i="16"/>
  <c r="BD186" i="16"/>
  <c r="BD187" i="16"/>
  <c r="BD188" i="16"/>
  <c r="BD189" i="16"/>
  <c r="BD190" i="16"/>
  <c r="BD191" i="16"/>
  <c r="BD192" i="16"/>
  <c r="BD193" i="16"/>
  <c r="BD194" i="16"/>
  <c r="BD195" i="16"/>
  <c r="BD196" i="16"/>
  <c r="BD197" i="16"/>
  <c r="BD198" i="16"/>
  <c r="BD199" i="16"/>
  <c r="BD200" i="16"/>
  <c r="BD201" i="16"/>
  <c r="BD202" i="16"/>
  <c r="BD203" i="16"/>
  <c r="BD204" i="16"/>
  <c r="BD205" i="16"/>
  <c r="BD206" i="16"/>
  <c r="BD207" i="16"/>
  <c r="BD208" i="16"/>
  <c r="BD209" i="16"/>
  <c r="BD210" i="16"/>
  <c r="BD211" i="16"/>
  <c r="BD212" i="16"/>
  <c r="BD213" i="16"/>
  <c r="BD214" i="16"/>
  <c r="BD215" i="16"/>
  <c r="BD216" i="16"/>
  <c r="BD217" i="16"/>
  <c r="I1067" i="119"/>
  <c r="J1067" i="119"/>
  <c r="I1068" i="119"/>
  <c r="P1068" i="119" s="1"/>
  <c r="J1068" i="119"/>
  <c r="I1069" i="119"/>
  <c r="P1069" i="119" s="1"/>
  <c r="J1069" i="119"/>
  <c r="I1070" i="119"/>
  <c r="P1070" i="119" s="1"/>
  <c r="J1070" i="119"/>
  <c r="I1071" i="119"/>
  <c r="P1071" i="119" s="1"/>
  <c r="J1071" i="119"/>
  <c r="I1072" i="119"/>
  <c r="P1072" i="119" s="1"/>
  <c r="J1072" i="119"/>
  <c r="I1073" i="119"/>
  <c r="P1073" i="119" s="1"/>
  <c r="J1073" i="119"/>
  <c r="I1074" i="119"/>
  <c r="P1074" i="119" s="1"/>
  <c r="J1074" i="119"/>
  <c r="I1075" i="119"/>
  <c r="P1075" i="119" s="1"/>
  <c r="J1075" i="119"/>
  <c r="I1076" i="119"/>
  <c r="P1076" i="119" s="1"/>
  <c r="J1076" i="119"/>
  <c r="I1077" i="119"/>
  <c r="P1077" i="119" s="1"/>
  <c r="J1077" i="119"/>
  <c r="I1078" i="119"/>
  <c r="P1078" i="119" s="1"/>
  <c r="J1078" i="119"/>
  <c r="I1079" i="119"/>
  <c r="P1079" i="119" s="1"/>
  <c r="J1079" i="119"/>
  <c r="I1080" i="119"/>
  <c r="P1080" i="119" s="1"/>
  <c r="J1080" i="119"/>
  <c r="I1081" i="119"/>
  <c r="P1081" i="119" s="1"/>
  <c r="J1081" i="119"/>
  <c r="I1082" i="119"/>
  <c r="P1082" i="119" s="1"/>
  <c r="J1082" i="119"/>
  <c r="I1083" i="119"/>
  <c r="P1083" i="119" s="1"/>
  <c r="J1083" i="119"/>
  <c r="I1084" i="119"/>
  <c r="P1084" i="119" s="1"/>
  <c r="J1084" i="119"/>
  <c r="I1085" i="119"/>
  <c r="P1085" i="119" s="1"/>
  <c r="J1085" i="119"/>
  <c r="I1086" i="119"/>
  <c r="P1086" i="119" s="1"/>
  <c r="J1086" i="119"/>
  <c r="I1087" i="119"/>
  <c r="P1087" i="119" s="1"/>
  <c r="J1087" i="119"/>
  <c r="I1088" i="119"/>
  <c r="P1088" i="119" s="1"/>
  <c r="J1088" i="119"/>
  <c r="I1089" i="119"/>
  <c r="P1089" i="119" s="1"/>
  <c r="J1089" i="119"/>
  <c r="I1090" i="119"/>
  <c r="P1090" i="119" s="1"/>
  <c r="J1090" i="119"/>
  <c r="I1091" i="119"/>
  <c r="P1091" i="119" s="1"/>
  <c r="J1091" i="119"/>
  <c r="I1092" i="119"/>
  <c r="P1092" i="119" s="1"/>
  <c r="J1092" i="119"/>
  <c r="I1093" i="119"/>
  <c r="P1093" i="119" s="1"/>
  <c r="J1093" i="119"/>
  <c r="I1094" i="119"/>
  <c r="P1094" i="119" s="1"/>
  <c r="J1094" i="119"/>
  <c r="I1095" i="119"/>
  <c r="P1095" i="119" s="1"/>
  <c r="J1095" i="119"/>
  <c r="I1096" i="119"/>
  <c r="P1096" i="119" s="1"/>
  <c r="J1096" i="119"/>
  <c r="I1097" i="119"/>
  <c r="P1097" i="119" s="1"/>
  <c r="J1097" i="119"/>
  <c r="I1098" i="119"/>
  <c r="P1098" i="119" s="1"/>
  <c r="J1098" i="119"/>
  <c r="I1099" i="119"/>
  <c r="P1099" i="119" s="1"/>
  <c r="J1099" i="119"/>
  <c r="I1100" i="119"/>
  <c r="P1100" i="119" s="1"/>
  <c r="J1100" i="119"/>
  <c r="I1101" i="119"/>
  <c r="P1101" i="119" s="1"/>
  <c r="J1101" i="119"/>
  <c r="C1065" i="119"/>
  <c r="C1066" i="119"/>
  <c r="C1067" i="119"/>
  <c r="C1068" i="119"/>
  <c r="C1069" i="119"/>
  <c r="C1070" i="119"/>
  <c r="C1071" i="119"/>
  <c r="C1072" i="119"/>
  <c r="C1073" i="119"/>
  <c r="C1074" i="119"/>
  <c r="C1075" i="119"/>
  <c r="C1076" i="119"/>
  <c r="C1077" i="119"/>
  <c r="C1078" i="119"/>
  <c r="C1079" i="119"/>
  <c r="C1080" i="119"/>
  <c r="C1081" i="119"/>
  <c r="C1082" i="119"/>
  <c r="C1083" i="119"/>
  <c r="C1084" i="119"/>
  <c r="C1085" i="119"/>
  <c r="C1086" i="119"/>
  <c r="C1087" i="119"/>
  <c r="C1088" i="119"/>
  <c r="C1089" i="119"/>
  <c r="C1090" i="119"/>
  <c r="C1091" i="119"/>
  <c r="C1092" i="119"/>
  <c r="C1093" i="119"/>
  <c r="C1094" i="119"/>
  <c r="C1095" i="119"/>
  <c r="C1096" i="119"/>
  <c r="C1097" i="119"/>
  <c r="C1098" i="119"/>
  <c r="C1099" i="119"/>
  <c r="C1100" i="119"/>
  <c r="C1101" i="119"/>
  <c r="I1036" i="119"/>
  <c r="P1036" i="119" s="1"/>
  <c r="J1036" i="119"/>
  <c r="I1037" i="119"/>
  <c r="P1037" i="119" s="1"/>
  <c r="J1037" i="119"/>
  <c r="I1038" i="119"/>
  <c r="P1038" i="119" s="1"/>
  <c r="J1038" i="119"/>
  <c r="I1039" i="119"/>
  <c r="P1039" i="119" s="1"/>
  <c r="J1039" i="119"/>
  <c r="I1040" i="119"/>
  <c r="P1040" i="119" s="1"/>
  <c r="J1040" i="119"/>
  <c r="I1041" i="119"/>
  <c r="P1041" i="119" s="1"/>
  <c r="J1041" i="119"/>
  <c r="I1042" i="119"/>
  <c r="P1042" i="119" s="1"/>
  <c r="J1042" i="119"/>
  <c r="I1043" i="119"/>
  <c r="P1043" i="119" s="1"/>
  <c r="J1043" i="119"/>
  <c r="I1044" i="119"/>
  <c r="P1044" i="119" s="1"/>
  <c r="J1044" i="119"/>
  <c r="I1045" i="119"/>
  <c r="P1045" i="119" s="1"/>
  <c r="J1045" i="119"/>
  <c r="I1046" i="119"/>
  <c r="P1046" i="119" s="1"/>
  <c r="J1046" i="119"/>
  <c r="I1047" i="119"/>
  <c r="P1047" i="119" s="1"/>
  <c r="J1047" i="119"/>
  <c r="I1048" i="119"/>
  <c r="P1048" i="119" s="1"/>
  <c r="J1048" i="119"/>
  <c r="I1049" i="119"/>
  <c r="P1049" i="119" s="1"/>
  <c r="J1049" i="119"/>
  <c r="I1050" i="119"/>
  <c r="P1050" i="119" s="1"/>
  <c r="J1050" i="119"/>
  <c r="I1051" i="119"/>
  <c r="P1051" i="119" s="1"/>
  <c r="J1051" i="119"/>
  <c r="I1052" i="119"/>
  <c r="P1052" i="119" s="1"/>
  <c r="J1052" i="119"/>
  <c r="I1053" i="119"/>
  <c r="P1053" i="119" s="1"/>
  <c r="J1053" i="119"/>
  <c r="I1054" i="119"/>
  <c r="P1054" i="119" s="1"/>
  <c r="J1054" i="119"/>
  <c r="I1055" i="119"/>
  <c r="P1055" i="119" s="1"/>
  <c r="J1055" i="119"/>
  <c r="I1056" i="119"/>
  <c r="P1056" i="119" s="1"/>
  <c r="J1056" i="119"/>
  <c r="I1057" i="119"/>
  <c r="P1057" i="119" s="1"/>
  <c r="J1057" i="119"/>
  <c r="I1058" i="119"/>
  <c r="P1058" i="119" s="1"/>
  <c r="J1058" i="119"/>
  <c r="C1036" i="119"/>
  <c r="C1037" i="119"/>
  <c r="C1038" i="119"/>
  <c r="C1039" i="119"/>
  <c r="C1040" i="119"/>
  <c r="C1041" i="119"/>
  <c r="C1042" i="119"/>
  <c r="C1043" i="119"/>
  <c r="C1044" i="119"/>
  <c r="C1045" i="119"/>
  <c r="C1046" i="119"/>
  <c r="C1047" i="119"/>
  <c r="C1048" i="119"/>
  <c r="C1049" i="119"/>
  <c r="C1050" i="119"/>
  <c r="C1051" i="119"/>
  <c r="C1052" i="119"/>
  <c r="C1053" i="119"/>
  <c r="C1054" i="119"/>
  <c r="C1055" i="119"/>
  <c r="C1056" i="119"/>
  <c r="C1057" i="119"/>
  <c r="C1058" i="119"/>
  <c r="I991" i="119"/>
  <c r="P991" i="119" s="1"/>
  <c r="J991" i="119"/>
  <c r="I992" i="119"/>
  <c r="P992" i="119" s="1"/>
  <c r="J992" i="119"/>
  <c r="I993" i="119"/>
  <c r="P993" i="119" s="1"/>
  <c r="J993" i="119"/>
  <c r="I994" i="119"/>
  <c r="P994" i="119" s="1"/>
  <c r="J994" i="119"/>
  <c r="I995" i="119"/>
  <c r="P995" i="119" s="1"/>
  <c r="J995" i="119"/>
  <c r="I996" i="119"/>
  <c r="P996" i="119" s="1"/>
  <c r="J996" i="119"/>
  <c r="I997" i="119"/>
  <c r="P997" i="119" s="1"/>
  <c r="J997" i="119"/>
  <c r="I998" i="119"/>
  <c r="P998" i="119" s="1"/>
  <c r="J998" i="119"/>
  <c r="I999" i="119"/>
  <c r="P999" i="119" s="1"/>
  <c r="J999" i="119"/>
  <c r="I1000" i="119"/>
  <c r="P1000" i="119" s="1"/>
  <c r="J1000" i="119"/>
  <c r="I1001" i="119"/>
  <c r="P1001" i="119" s="1"/>
  <c r="J1001" i="119"/>
  <c r="I1002" i="119"/>
  <c r="P1002" i="119" s="1"/>
  <c r="J1002" i="119"/>
  <c r="I1003" i="119"/>
  <c r="P1003" i="119" s="1"/>
  <c r="J1003" i="119"/>
  <c r="I1004" i="119"/>
  <c r="P1004" i="119" s="1"/>
  <c r="J1004" i="119"/>
  <c r="I1005" i="119"/>
  <c r="P1005" i="119" s="1"/>
  <c r="J1005" i="119"/>
  <c r="I1006" i="119"/>
  <c r="P1006" i="119" s="1"/>
  <c r="J1006" i="119"/>
  <c r="I1007" i="119"/>
  <c r="P1007" i="119" s="1"/>
  <c r="J1007" i="119"/>
  <c r="I1008" i="119"/>
  <c r="P1008" i="119" s="1"/>
  <c r="J1008" i="119"/>
  <c r="I1009" i="119"/>
  <c r="P1009" i="119" s="1"/>
  <c r="J1009" i="119"/>
  <c r="I1010" i="119"/>
  <c r="P1010" i="119" s="1"/>
  <c r="J1010" i="119"/>
  <c r="I1011" i="119"/>
  <c r="P1011" i="119" s="1"/>
  <c r="J1011" i="119"/>
  <c r="I1012" i="119"/>
  <c r="P1012" i="119" s="1"/>
  <c r="J1012" i="119"/>
  <c r="I1013" i="119"/>
  <c r="P1013" i="119" s="1"/>
  <c r="J1013" i="119"/>
  <c r="I1014" i="119"/>
  <c r="P1014" i="119" s="1"/>
  <c r="J1014" i="119"/>
  <c r="I1015" i="119"/>
  <c r="P1015" i="119" s="1"/>
  <c r="J1015" i="119"/>
  <c r="C991" i="119"/>
  <c r="C992" i="119"/>
  <c r="C993" i="119"/>
  <c r="C994" i="119"/>
  <c r="C995" i="119"/>
  <c r="C996" i="119"/>
  <c r="C997" i="119"/>
  <c r="C998" i="119"/>
  <c r="C999" i="119"/>
  <c r="C1000" i="119"/>
  <c r="C1001" i="119"/>
  <c r="C1002" i="119"/>
  <c r="C1003" i="119"/>
  <c r="C1004" i="119"/>
  <c r="C1005" i="119"/>
  <c r="C1006" i="119"/>
  <c r="C1007" i="119"/>
  <c r="C1008" i="119"/>
  <c r="C1009" i="119"/>
  <c r="C1010" i="119"/>
  <c r="C1011" i="119"/>
  <c r="C1012" i="119"/>
  <c r="C1013" i="119"/>
  <c r="C1014" i="119"/>
  <c r="C1015" i="119"/>
  <c r="I949" i="119"/>
  <c r="P949" i="119" s="1"/>
  <c r="J949" i="119"/>
  <c r="I950" i="119"/>
  <c r="P950" i="119" s="1"/>
  <c r="J950" i="119"/>
  <c r="I951" i="119"/>
  <c r="P951" i="119" s="1"/>
  <c r="J951" i="119"/>
  <c r="I952" i="119"/>
  <c r="P952" i="119" s="1"/>
  <c r="J952" i="119"/>
  <c r="I953" i="119"/>
  <c r="P953" i="119" s="1"/>
  <c r="J953" i="119"/>
  <c r="I954" i="119"/>
  <c r="P954" i="119" s="1"/>
  <c r="J954" i="119"/>
  <c r="I955" i="119"/>
  <c r="P955" i="119" s="1"/>
  <c r="J955" i="119"/>
  <c r="I956" i="119"/>
  <c r="P956" i="119" s="1"/>
  <c r="J956" i="119"/>
  <c r="I957" i="119"/>
  <c r="P957" i="119" s="1"/>
  <c r="J957" i="119"/>
  <c r="I958" i="119"/>
  <c r="P958" i="119" s="1"/>
  <c r="J958" i="119"/>
  <c r="I959" i="119"/>
  <c r="P959" i="119" s="1"/>
  <c r="J959" i="119"/>
  <c r="I960" i="119"/>
  <c r="P960" i="119" s="1"/>
  <c r="J960" i="119"/>
  <c r="I961" i="119"/>
  <c r="P961" i="119" s="1"/>
  <c r="J961" i="119"/>
  <c r="I962" i="119"/>
  <c r="P962" i="119" s="1"/>
  <c r="J962" i="119"/>
  <c r="I963" i="119"/>
  <c r="P963" i="119" s="1"/>
  <c r="J963" i="119"/>
  <c r="I964" i="119"/>
  <c r="P964" i="119" s="1"/>
  <c r="J964" i="119"/>
  <c r="I965" i="119"/>
  <c r="P965" i="119" s="1"/>
  <c r="J965" i="119"/>
  <c r="I966" i="119"/>
  <c r="P966" i="119" s="1"/>
  <c r="J966" i="119"/>
  <c r="I967" i="119"/>
  <c r="P967" i="119" s="1"/>
  <c r="J967" i="119"/>
  <c r="I968" i="119"/>
  <c r="P968" i="119" s="1"/>
  <c r="J968" i="119"/>
  <c r="I969" i="119"/>
  <c r="P969" i="119" s="1"/>
  <c r="J969" i="119"/>
  <c r="I970" i="119"/>
  <c r="P970" i="119" s="1"/>
  <c r="J970" i="119"/>
  <c r="I971" i="119"/>
  <c r="P971" i="119" s="1"/>
  <c r="J971" i="119"/>
  <c r="I972" i="119"/>
  <c r="P972" i="119" s="1"/>
  <c r="J972" i="119"/>
  <c r="C949" i="119"/>
  <c r="C950" i="119"/>
  <c r="C951" i="119"/>
  <c r="C952" i="119"/>
  <c r="C953" i="119"/>
  <c r="C954" i="119"/>
  <c r="C955" i="119"/>
  <c r="C956" i="119"/>
  <c r="C957" i="119"/>
  <c r="C958" i="119"/>
  <c r="C959" i="119"/>
  <c r="C960" i="119"/>
  <c r="C961" i="119"/>
  <c r="C962" i="119"/>
  <c r="C963" i="119"/>
  <c r="C964" i="119"/>
  <c r="C965" i="119"/>
  <c r="C966" i="119"/>
  <c r="C967" i="119"/>
  <c r="C968" i="119"/>
  <c r="C969" i="119"/>
  <c r="C970" i="119"/>
  <c r="C971" i="119"/>
  <c r="C972" i="119"/>
  <c r="I907" i="119"/>
  <c r="P907" i="119" s="1"/>
  <c r="J907" i="119"/>
  <c r="I908" i="119"/>
  <c r="P908" i="119" s="1"/>
  <c r="J908" i="119"/>
  <c r="I909" i="119"/>
  <c r="P909" i="119" s="1"/>
  <c r="J909" i="119"/>
  <c r="I910" i="119"/>
  <c r="P910" i="119" s="1"/>
  <c r="J910" i="119"/>
  <c r="I911" i="119"/>
  <c r="P911" i="119" s="1"/>
  <c r="J911" i="119"/>
  <c r="I912" i="119"/>
  <c r="P912" i="119" s="1"/>
  <c r="J912" i="119"/>
  <c r="I913" i="119"/>
  <c r="P913" i="119" s="1"/>
  <c r="J913" i="119"/>
  <c r="I914" i="119"/>
  <c r="P914" i="119" s="1"/>
  <c r="J914" i="119"/>
  <c r="I915" i="119"/>
  <c r="P915" i="119" s="1"/>
  <c r="J915" i="119"/>
  <c r="I916" i="119"/>
  <c r="P916" i="119" s="1"/>
  <c r="J916" i="119"/>
  <c r="I917" i="119"/>
  <c r="P917" i="119" s="1"/>
  <c r="J917" i="119"/>
  <c r="I918" i="119"/>
  <c r="P918" i="119" s="1"/>
  <c r="J918" i="119"/>
  <c r="I919" i="119"/>
  <c r="P919" i="119" s="1"/>
  <c r="J919" i="119"/>
  <c r="I920" i="119"/>
  <c r="P920" i="119" s="1"/>
  <c r="J920" i="119"/>
  <c r="I921" i="119"/>
  <c r="P921" i="119" s="1"/>
  <c r="J921" i="119"/>
  <c r="I922" i="119"/>
  <c r="P922" i="119" s="1"/>
  <c r="J922" i="119"/>
  <c r="I923" i="119"/>
  <c r="P923" i="119" s="1"/>
  <c r="J923" i="119"/>
  <c r="I924" i="119"/>
  <c r="P924" i="119" s="1"/>
  <c r="J924" i="119"/>
  <c r="I925" i="119"/>
  <c r="P925" i="119" s="1"/>
  <c r="J925" i="119"/>
  <c r="I926" i="119"/>
  <c r="P926" i="119" s="1"/>
  <c r="J926" i="119"/>
  <c r="I927" i="119"/>
  <c r="P927" i="119" s="1"/>
  <c r="J927" i="119"/>
  <c r="I928" i="119"/>
  <c r="P928" i="119" s="1"/>
  <c r="J928" i="119"/>
  <c r="I929" i="119"/>
  <c r="P929" i="119" s="1"/>
  <c r="J929" i="119"/>
  <c r="C899" i="119"/>
  <c r="C900" i="119"/>
  <c r="C901" i="119"/>
  <c r="C902" i="119"/>
  <c r="C903" i="119"/>
  <c r="C904" i="119"/>
  <c r="C905" i="119"/>
  <c r="C906" i="119"/>
  <c r="C907" i="119"/>
  <c r="C908" i="119"/>
  <c r="C909" i="119"/>
  <c r="C910" i="119"/>
  <c r="C911" i="119"/>
  <c r="C912" i="119"/>
  <c r="C913" i="119"/>
  <c r="C914" i="119"/>
  <c r="C915" i="119"/>
  <c r="C916" i="119"/>
  <c r="C917" i="119"/>
  <c r="C918" i="119"/>
  <c r="C919" i="119"/>
  <c r="C920" i="119"/>
  <c r="C921" i="119"/>
  <c r="C922" i="119"/>
  <c r="C923" i="119"/>
  <c r="C924" i="119"/>
  <c r="C925" i="119"/>
  <c r="C926" i="119"/>
  <c r="C927" i="119"/>
  <c r="C928" i="119"/>
  <c r="C929" i="119"/>
  <c r="I862" i="119"/>
  <c r="P862" i="119" s="1"/>
  <c r="J862" i="119"/>
  <c r="I863" i="119"/>
  <c r="P863" i="119" s="1"/>
  <c r="J863" i="119"/>
  <c r="I864" i="119"/>
  <c r="P864" i="119" s="1"/>
  <c r="J864" i="119"/>
  <c r="I865" i="119"/>
  <c r="P865" i="119" s="1"/>
  <c r="J865" i="119"/>
  <c r="I866" i="119"/>
  <c r="P866" i="119" s="1"/>
  <c r="J866" i="119"/>
  <c r="I867" i="119"/>
  <c r="P867" i="119" s="1"/>
  <c r="J867" i="119"/>
  <c r="I868" i="119"/>
  <c r="P868" i="119" s="1"/>
  <c r="J868" i="119"/>
  <c r="I869" i="119"/>
  <c r="P869" i="119" s="1"/>
  <c r="J869" i="119"/>
  <c r="I870" i="119"/>
  <c r="P870" i="119" s="1"/>
  <c r="J870" i="119"/>
  <c r="I871" i="119"/>
  <c r="P871" i="119" s="1"/>
  <c r="J871" i="119"/>
  <c r="I872" i="119"/>
  <c r="P872" i="119" s="1"/>
  <c r="J872" i="119"/>
  <c r="I873" i="119"/>
  <c r="P873" i="119" s="1"/>
  <c r="J873" i="119"/>
  <c r="I874" i="119"/>
  <c r="P874" i="119" s="1"/>
  <c r="J874" i="119"/>
  <c r="I875" i="119"/>
  <c r="P875" i="119" s="1"/>
  <c r="J875" i="119"/>
  <c r="I876" i="119"/>
  <c r="P876" i="119" s="1"/>
  <c r="J876" i="119"/>
  <c r="I877" i="119"/>
  <c r="P877" i="119" s="1"/>
  <c r="J877" i="119"/>
  <c r="I878" i="119"/>
  <c r="P878" i="119" s="1"/>
  <c r="J878" i="119"/>
  <c r="I879" i="119"/>
  <c r="P879" i="119" s="1"/>
  <c r="J879" i="119"/>
  <c r="I880" i="119"/>
  <c r="P880" i="119" s="1"/>
  <c r="J880" i="119"/>
  <c r="I881" i="119"/>
  <c r="P881" i="119" s="1"/>
  <c r="J881" i="119"/>
  <c r="I882" i="119"/>
  <c r="P882" i="119" s="1"/>
  <c r="J882" i="119"/>
  <c r="I883" i="119"/>
  <c r="P883" i="119" s="1"/>
  <c r="J883" i="119"/>
  <c r="I884" i="119"/>
  <c r="P884" i="119" s="1"/>
  <c r="J884" i="119"/>
  <c r="I885" i="119"/>
  <c r="P885" i="119" s="1"/>
  <c r="J885" i="119"/>
  <c r="I886" i="119"/>
  <c r="P886" i="119" s="1"/>
  <c r="J886" i="119"/>
  <c r="C862" i="119"/>
  <c r="C863" i="119"/>
  <c r="C864" i="119"/>
  <c r="C865" i="119"/>
  <c r="C866" i="119"/>
  <c r="C867" i="119"/>
  <c r="C868" i="119"/>
  <c r="C869" i="119"/>
  <c r="C870" i="119"/>
  <c r="C871" i="119"/>
  <c r="C872" i="119"/>
  <c r="C873" i="119"/>
  <c r="C874" i="119"/>
  <c r="C875" i="119"/>
  <c r="C876" i="119"/>
  <c r="C877" i="119"/>
  <c r="C878" i="119"/>
  <c r="C879" i="119"/>
  <c r="C880" i="119"/>
  <c r="C881" i="119"/>
  <c r="C882" i="119"/>
  <c r="C883" i="119"/>
  <c r="C884" i="119"/>
  <c r="C885" i="119"/>
  <c r="C886" i="119"/>
  <c r="I823" i="119"/>
  <c r="P823" i="119" s="1"/>
  <c r="J823" i="119"/>
  <c r="I824" i="119"/>
  <c r="P824" i="119" s="1"/>
  <c r="J824" i="119"/>
  <c r="I825" i="119"/>
  <c r="P825" i="119" s="1"/>
  <c r="J825" i="119"/>
  <c r="I826" i="119"/>
  <c r="P826" i="119" s="1"/>
  <c r="J826" i="119"/>
  <c r="I827" i="119"/>
  <c r="P827" i="119" s="1"/>
  <c r="J827" i="119"/>
  <c r="I828" i="119"/>
  <c r="P828" i="119" s="1"/>
  <c r="J828" i="119"/>
  <c r="I829" i="119"/>
  <c r="P829" i="119" s="1"/>
  <c r="J829" i="119"/>
  <c r="I830" i="119"/>
  <c r="P830" i="119" s="1"/>
  <c r="J830" i="119"/>
  <c r="I831" i="119"/>
  <c r="P831" i="119" s="1"/>
  <c r="J831" i="119"/>
  <c r="I832" i="119"/>
  <c r="P832" i="119" s="1"/>
  <c r="J832" i="119"/>
  <c r="I833" i="119"/>
  <c r="P833" i="119" s="1"/>
  <c r="J833" i="119"/>
  <c r="I834" i="119"/>
  <c r="P834" i="119" s="1"/>
  <c r="J834" i="119"/>
  <c r="I835" i="119"/>
  <c r="P835" i="119" s="1"/>
  <c r="J835" i="119"/>
  <c r="I836" i="119"/>
  <c r="P836" i="119" s="1"/>
  <c r="J836" i="119"/>
  <c r="I837" i="119"/>
  <c r="P837" i="119" s="1"/>
  <c r="J837" i="119"/>
  <c r="I838" i="119"/>
  <c r="P838" i="119" s="1"/>
  <c r="J838" i="119"/>
  <c r="I839" i="119"/>
  <c r="P839" i="119" s="1"/>
  <c r="J839" i="119"/>
  <c r="I840" i="119"/>
  <c r="P840" i="119" s="1"/>
  <c r="J840" i="119"/>
  <c r="I841" i="119"/>
  <c r="P841" i="119" s="1"/>
  <c r="J841" i="119"/>
  <c r="I842" i="119"/>
  <c r="P842" i="119" s="1"/>
  <c r="J842" i="119"/>
  <c r="I843" i="119"/>
  <c r="P843" i="119" s="1"/>
  <c r="J843" i="119"/>
  <c r="C824" i="119"/>
  <c r="C825" i="119"/>
  <c r="C826" i="119"/>
  <c r="C827" i="119"/>
  <c r="C828" i="119"/>
  <c r="C829" i="119"/>
  <c r="C830" i="119"/>
  <c r="C831" i="119"/>
  <c r="C832" i="119"/>
  <c r="C833" i="119"/>
  <c r="C834" i="119"/>
  <c r="C835" i="119"/>
  <c r="C836" i="119"/>
  <c r="C837" i="119"/>
  <c r="C838" i="119"/>
  <c r="C839" i="119"/>
  <c r="C840" i="119"/>
  <c r="C841" i="119"/>
  <c r="C842" i="119"/>
  <c r="C843" i="119"/>
  <c r="I778" i="119"/>
  <c r="P778" i="119" s="1"/>
  <c r="J778" i="119"/>
  <c r="I779" i="119"/>
  <c r="P779" i="119" s="1"/>
  <c r="J779" i="119"/>
  <c r="I780" i="119"/>
  <c r="P780" i="119" s="1"/>
  <c r="J780" i="119"/>
  <c r="I781" i="119"/>
  <c r="P781" i="119" s="1"/>
  <c r="J781" i="119"/>
  <c r="I782" i="119"/>
  <c r="P782" i="119" s="1"/>
  <c r="J782" i="119"/>
  <c r="I783" i="119"/>
  <c r="P783" i="119" s="1"/>
  <c r="J783" i="119"/>
  <c r="I784" i="119"/>
  <c r="P784" i="119" s="1"/>
  <c r="J784" i="119"/>
  <c r="I785" i="119"/>
  <c r="P785" i="119" s="1"/>
  <c r="J785" i="119"/>
  <c r="I786" i="119"/>
  <c r="P786" i="119" s="1"/>
  <c r="J786" i="119"/>
  <c r="I787" i="119"/>
  <c r="P787" i="119" s="1"/>
  <c r="J787" i="119"/>
  <c r="I788" i="119"/>
  <c r="P788" i="119" s="1"/>
  <c r="J788" i="119"/>
  <c r="I789" i="119"/>
  <c r="P789" i="119" s="1"/>
  <c r="J789" i="119"/>
  <c r="I790" i="119"/>
  <c r="P790" i="119" s="1"/>
  <c r="J790" i="119"/>
  <c r="I791" i="119"/>
  <c r="P791" i="119" s="1"/>
  <c r="J791" i="119"/>
  <c r="I792" i="119"/>
  <c r="P792" i="119" s="1"/>
  <c r="J792" i="119"/>
  <c r="I793" i="119"/>
  <c r="P793" i="119" s="1"/>
  <c r="J793" i="119"/>
  <c r="I794" i="119"/>
  <c r="P794" i="119" s="1"/>
  <c r="J794" i="119"/>
  <c r="I795" i="119"/>
  <c r="P795" i="119" s="1"/>
  <c r="J795" i="119"/>
  <c r="I796" i="119"/>
  <c r="P796" i="119" s="1"/>
  <c r="J796" i="119"/>
  <c r="I797" i="119"/>
  <c r="P797" i="119" s="1"/>
  <c r="J797" i="119"/>
  <c r="I798" i="119"/>
  <c r="P798" i="119" s="1"/>
  <c r="J798" i="119"/>
  <c r="I799" i="119"/>
  <c r="P799" i="119" s="1"/>
  <c r="J799" i="119"/>
  <c r="I800" i="119"/>
  <c r="P800" i="119" s="1"/>
  <c r="J800" i="119"/>
  <c r="C778" i="119"/>
  <c r="C779" i="119"/>
  <c r="C780" i="119"/>
  <c r="C781" i="119"/>
  <c r="C782" i="119"/>
  <c r="C783" i="119"/>
  <c r="C784" i="119"/>
  <c r="C785" i="119"/>
  <c r="C786" i="119"/>
  <c r="C787" i="119"/>
  <c r="C788" i="119"/>
  <c r="C789" i="119"/>
  <c r="C790" i="119"/>
  <c r="C791" i="119"/>
  <c r="C792" i="119"/>
  <c r="C793" i="119"/>
  <c r="C794" i="119"/>
  <c r="C795" i="119"/>
  <c r="C796" i="119"/>
  <c r="C797" i="119"/>
  <c r="C798" i="119"/>
  <c r="C799" i="119"/>
  <c r="C800" i="119"/>
  <c r="I735" i="119"/>
  <c r="P735" i="119" s="1"/>
  <c r="J735" i="119"/>
  <c r="I736" i="119"/>
  <c r="P736" i="119" s="1"/>
  <c r="J736" i="119"/>
  <c r="I737" i="119"/>
  <c r="P737" i="119" s="1"/>
  <c r="J737" i="119"/>
  <c r="I738" i="119"/>
  <c r="P738" i="119" s="1"/>
  <c r="J738" i="119"/>
  <c r="I739" i="119"/>
  <c r="P739" i="119" s="1"/>
  <c r="J739" i="119"/>
  <c r="I740" i="119"/>
  <c r="P740" i="119" s="1"/>
  <c r="J740" i="119"/>
  <c r="I741" i="119"/>
  <c r="P741" i="119" s="1"/>
  <c r="J741" i="119"/>
  <c r="I742" i="119"/>
  <c r="P742" i="119" s="1"/>
  <c r="J742" i="119"/>
  <c r="I743" i="119"/>
  <c r="P743" i="119" s="1"/>
  <c r="J743" i="119"/>
  <c r="I744" i="119"/>
  <c r="P744" i="119" s="1"/>
  <c r="J744" i="119"/>
  <c r="I745" i="119"/>
  <c r="P745" i="119" s="1"/>
  <c r="J745" i="119"/>
  <c r="I746" i="119"/>
  <c r="P746" i="119" s="1"/>
  <c r="J746" i="119"/>
  <c r="I747" i="119"/>
  <c r="P747" i="119" s="1"/>
  <c r="J747" i="119"/>
  <c r="I748" i="119"/>
  <c r="P748" i="119" s="1"/>
  <c r="J748" i="119"/>
  <c r="I749" i="119"/>
  <c r="P749" i="119" s="1"/>
  <c r="J749" i="119"/>
  <c r="I750" i="119"/>
  <c r="P750" i="119" s="1"/>
  <c r="J750" i="119"/>
  <c r="I751" i="119"/>
  <c r="P751" i="119" s="1"/>
  <c r="J751" i="119"/>
  <c r="I752" i="119"/>
  <c r="P752" i="119" s="1"/>
  <c r="J752" i="119"/>
  <c r="I753" i="119"/>
  <c r="P753" i="119" s="1"/>
  <c r="J753" i="119"/>
  <c r="I754" i="119"/>
  <c r="P754" i="119" s="1"/>
  <c r="J754" i="119"/>
  <c r="I755" i="119"/>
  <c r="P755" i="119" s="1"/>
  <c r="J755" i="119"/>
  <c r="I756" i="119"/>
  <c r="P756" i="119" s="1"/>
  <c r="J756" i="119"/>
  <c r="I757" i="119"/>
  <c r="P757" i="119" s="1"/>
  <c r="J757" i="119"/>
  <c r="C735" i="119"/>
  <c r="C736" i="119"/>
  <c r="C737" i="119"/>
  <c r="C738" i="119"/>
  <c r="C739" i="119"/>
  <c r="C740" i="119"/>
  <c r="C741" i="119"/>
  <c r="C742" i="119"/>
  <c r="C743" i="119"/>
  <c r="C744" i="119"/>
  <c r="C745" i="119"/>
  <c r="C746" i="119"/>
  <c r="C747" i="119"/>
  <c r="C748" i="119"/>
  <c r="C749" i="119"/>
  <c r="C750" i="119"/>
  <c r="C751" i="119"/>
  <c r="C752" i="119"/>
  <c r="C753" i="119"/>
  <c r="C754" i="119"/>
  <c r="C755" i="119"/>
  <c r="C756" i="119"/>
  <c r="C757" i="119"/>
  <c r="I692" i="119"/>
  <c r="P692" i="119" s="1"/>
  <c r="J692" i="119"/>
  <c r="I693" i="119"/>
  <c r="P693" i="119" s="1"/>
  <c r="J693" i="119"/>
  <c r="I694" i="119"/>
  <c r="P694" i="119" s="1"/>
  <c r="J694" i="119"/>
  <c r="I695" i="119"/>
  <c r="P695" i="119" s="1"/>
  <c r="J695" i="119"/>
  <c r="I696" i="119"/>
  <c r="P696" i="119" s="1"/>
  <c r="J696" i="119"/>
  <c r="I697" i="119"/>
  <c r="P697" i="119" s="1"/>
  <c r="J697" i="119"/>
  <c r="I698" i="119"/>
  <c r="P698" i="119" s="1"/>
  <c r="J698" i="119"/>
  <c r="I699" i="119"/>
  <c r="P699" i="119" s="1"/>
  <c r="J699" i="119"/>
  <c r="I700" i="119"/>
  <c r="P700" i="119" s="1"/>
  <c r="J700" i="119"/>
  <c r="I701" i="119"/>
  <c r="P701" i="119" s="1"/>
  <c r="J701" i="119"/>
  <c r="I702" i="119"/>
  <c r="P702" i="119" s="1"/>
  <c r="J702" i="119"/>
  <c r="I703" i="119"/>
  <c r="P703" i="119" s="1"/>
  <c r="J703" i="119"/>
  <c r="I704" i="119"/>
  <c r="P704" i="119" s="1"/>
  <c r="J704" i="119"/>
  <c r="I705" i="119"/>
  <c r="P705" i="119" s="1"/>
  <c r="J705" i="119"/>
  <c r="I706" i="119"/>
  <c r="P706" i="119" s="1"/>
  <c r="J706" i="119"/>
  <c r="I707" i="119"/>
  <c r="P707" i="119" s="1"/>
  <c r="J707" i="119"/>
  <c r="I708" i="119"/>
  <c r="P708" i="119" s="1"/>
  <c r="J708" i="119"/>
  <c r="I709" i="119"/>
  <c r="P709" i="119" s="1"/>
  <c r="J709" i="119"/>
  <c r="I710" i="119"/>
  <c r="P710" i="119" s="1"/>
  <c r="J710" i="119"/>
  <c r="I711" i="119"/>
  <c r="P711" i="119" s="1"/>
  <c r="J711" i="119"/>
  <c r="I712" i="119"/>
  <c r="P712" i="119" s="1"/>
  <c r="J712" i="119"/>
  <c r="I713" i="119"/>
  <c r="P713" i="119" s="1"/>
  <c r="J713" i="119"/>
  <c r="I714" i="119"/>
  <c r="P714" i="119" s="1"/>
  <c r="J714" i="119"/>
  <c r="C692" i="119"/>
  <c r="C693" i="119"/>
  <c r="C694" i="119"/>
  <c r="C695" i="119"/>
  <c r="C696" i="119"/>
  <c r="C697" i="119"/>
  <c r="C698" i="119"/>
  <c r="C699" i="119"/>
  <c r="C700" i="119"/>
  <c r="C701" i="119"/>
  <c r="C702" i="119"/>
  <c r="C703" i="119"/>
  <c r="C704" i="119"/>
  <c r="C705" i="119"/>
  <c r="C706" i="119"/>
  <c r="C707" i="119"/>
  <c r="C708" i="119"/>
  <c r="C709" i="119"/>
  <c r="C710" i="119"/>
  <c r="C711" i="119"/>
  <c r="C712" i="119"/>
  <c r="C713" i="119"/>
  <c r="C714" i="119"/>
  <c r="I650" i="119"/>
  <c r="P650" i="119" s="1"/>
  <c r="J650" i="119"/>
  <c r="I651" i="119"/>
  <c r="P651" i="119" s="1"/>
  <c r="J651" i="119"/>
  <c r="I652" i="119"/>
  <c r="P652" i="119" s="1"/>
  <c r="J652" i="119"/>
  <c r="I653" i="119"/>
  <c r="P653" i="119" s="1"/>
  <c r="J653" i="119"/>
  <c r="I654" i="119"/>
  <c r="P654" i="119" s="1"/>
  <c r="J654" i="119"/>
  <c r="I655" i="119"/>
  <c r="P655" i="119" s="1"/>
  <c r="J655" i="119"/>
  <c r="I656" i="119"/>
  <c r="P656" i="119" s="1"/>
  <c r="J656" i="119"/>
  <c r="I657" i="119"/>
  <c r="P657" i="119" s="1"/>
  <c r="J657" i="119"/>
  <c r="I658" i="119"/>
  <c r="P658" i="119" s="1"/>
  <c r="J658" i="119"/>
  <c r="I659" i="119"/>
  <c r="P659" i="119" s="1"/>
  <c r="J659" i="119"/>
  <c r="I660" i="119"/>
  <c r="P660" i="119" s="1"/>
  <c r="J660" i="119"/>
  <c r="I661" i="119"/>
  <c r="P661" i="119" s="1"/>
  <c r="J661" i="119"/>
  <c r="I662" i="119"/>
  <c r="P662" i="119" s="1"/>
  <c r="J662" i="119"/>
  <c r="I663" i="119"/>
  <c r="P663" i="119" s="1"/>
  <c r="J663" i="119"/>
  <c r="I664" i="119"/>
  <c r="P664" i="119" s="1"/>
  <c r="J664" i="119"/>
  <c r="I665" i="119"/>
  <c r="P665" i="119" s="1"/>
  <c r="J665" i="119"/>
  <c r="I666" i="119"/>
  <c r="P666" i="119" s="1"/>
  <c r="J666" i="119"/>
  <c r="I667" i="119"/>
  <c r="P667" i="119" s="1"/>
  <c r="J667" i="119"/>
  <c r="I668" i="119"/>
  <c r="P668" i="119" s="1"/>
  <c r="J668" i="119"/>
  <c r="I669" i="119"/>
  <c r="P669" i="119" s="1"/>
  <c r="J669" i="119"/>
  <c r="I670" i="119"/>
  <c r="P670" i="119" s="1"/>
  <c r="J670" i="119"/>
  <c r="I671" i="119"/>
  <c r="J671" i="119"/>
  <c r="C650" i="119"/>
  <c r="C651" i="119"/>
  <c r="C652" i="119"/>
  <c r="C653" i="119"/>
  <c r="C654" i="119"/>
  <c r="C655" i="119"/>
  <c r="C656" i="119"/>
  <c r="C657" i="119"/>
  <c r="C658" i="119"/>
  <c r="C659" i="119"/>
  <c r="C660" i="119"/>
  <c r="C661" i="119"/>
  <c r="C662" i="119"/>
  <c r="C663" i="119"/>
  <c r="C664" i="119"/>
  <c r="C665" i="119"/>
  <c r="C666" i="119"/>
  <c r="C667" i="119"/>
  <c r="C668" i="119"/>
  <c r="C669" i="119"/>
  <c r="C670" i="119"/>
  <c r="C671" i="119"/>
  <c r="P671" i="119"/>
  <c r="I607" i="119"/>
  <c r="P607" i="119" s="1"/>
  <c r="J607" i="119"/>
  <c r="I608" i="119"/>
  <c r="P608" i="119" s="1"/>
  <c r="J608" i="119"/>
  <c r="I609" i="119"/>
  <c r="P609" i="119" s="1"/>
  <c r="J609" i="119"/>
  <c r="I610" i="119"/>
  <c r="P610" i="119" s="1"/>
  <c r="J610" i="119"/>
  <c r="I611" i="119"/>
  <c r="P611" i="119" s="1"/>
  <c r="J611" i="119"/>
  <c r="I612" i="119"/>
  <c r="P612" i="119" s="1"/>
  <c r="J612" i="119"/>
  <c r="I613" i="119"/>
  <c r="P613" i="119" s="1"/>
  <c r="J613" i="119"/>
  <c r="I614" i="119"/>
  <c r="P614" i="119" s="1"/>
  <c r="J614" i="119"/>
  <c r="I615" i="119"/>
  <c r="P615" i="119" s="1"/>
  <c r="J615" i="119"/>
  <c r="I616" i="119"/>
  <c r="P616" i="119" s="1"/>
  <c r="J616" i="119"/>
  <c r="I617" i="119"/>
  <c r="P617" i="119" s="1"/>
  <c r="J617" i="119"/>
  <c r="I618" i="119"/>
  <c r="P618" i="119" s="1"/>
  <c r="J618" i="119"/>
  <c r="I619" i="119"/>
  <c r="P619" i="119" s="1"/>
  <c r="J619" i="119"/>
  <c r="I620" i="119"/>
  <c r="P620" i="119" s="1"/>
  <c r="J620" i="119"/>
  <c r="I621" i="119"/>
  <c r="P621" i="119" s="1"/>
  <c r="J621" i="119"/>
  <c r="I622" i="119"/>
  <c r="P622" i="119" s="1"/>
  <c r="J622" i="119"/>
  <c r="I623" i="119"/>
  <c r="P623" i="119" s="1"/>
  <c r="J623" i="119"/>
  <c r="I624" i="119"/>
  <c r="P624" i="119" s="1"/>
  <c r="J624" i="119"/>
  <c r="I625" i="119"/>
  <c r="P625" i="119" s="1"/>
  <c r="J625" i="119"/>
  <c r="I626" i="119"/>
  <c r="P626" i="119" s="1"/>
  <c r="J626" i="119"/>
  <c r="I627" i="119"/>
  <c r="P627" i="119" s="1"/>
  <c r="J627" i="119"/>
  <c r="I628" i="119"/>
  <c r="J628" i="119"/>
  <c r="C607" i="119"/>
  <c r="C608" i="119"/>
  <c r="C609" i="119"/>
  <c r="C610" i="119"/>
  <c r="C611" i="119"/>
  <c r="C612" i="119"/>
  <c r="C613" i="119"/>
  <c r="C614" i="119"/>
  <c r="C615" i="119"/>
  <c r="C616" i="119"/>
  <c r="C617" i="119"/>
  <c r="C618" i="119"/>
  <c r="C619" i="119"/>
  <c r="C620" i="119"/>
  <c r="C621" i="119"/>
  <c r="C622" i="119"/>
  <c r="C623" i="119"/>
  <c r="C624" i="119"/>
  <c r="C625" i="119"/>
  <c r="C626" i="119"/>
  <c r="C627" i="119"/>
  <c r="C628" i="119"/>
  <c r="P628" i="119"/>
  <c r="I564" i="119"/>
  <c r="P564" i="119" s="1"/>
  <c r="J564" i="119"/>
  <c r="I565" i="119"/>
  <c r="P565" i="119" s="1"/>
  <c r="J565" i="119"/>
  <c r="I566" i="119"/>
  <c r="P566" i="119" s="1"/>
  <c r="J566" i="119"/>
  <c r="I567" i="119"/>
  <c r="P567" i="119" s="1"/>
  <c r="J567" i="119"/>
  <c r="I568" i="119"/>
  <c r="P568" i="119" s="1"/>
  <c r="J568" i="119"/>
  <c r="I569" i="119"/>
  <c r="P569" i="119" s="1"/>
  <c r="J569" i="119"/>
  <c r="I570" i="119"/>
  <c r="P570" i="119" s="1"/>
  <c r="J570" i="119"/>
  <c r="I571" i="119"/>
  <c r="P571" i="119" s="1"/>
  <c r="J571" i="119"/>
  <c r="I572" i="119"/>
  <c r="P572" i="119" s="1"/>
  <c r="J572" i="119"/>
  <c r="I573" i="119"/>
  <c r="P573" i="119" s="1"/>
  <c r="J573" i="119"/>
  <c r="I574" i="119"/>
  <c r="P574" i="119" s="1"/>
  <c r="J574" i="119"/>
  <c r="I575" i="119"/>
  <c r="P575" i="119" s="1"/>
  <c r="J575" i="119"/>
  <c r="I576" i="119"/>
  <c r="P576" i="119" s="1"/>
  <c r="J576" i="119"/>
  <c r="I577" i="119"/>
  <c r="P577" i="119" s="1"/>
  <c r="J577" i="119"/>
  <c r="I578" i="119"/>
  <c r="P578" i="119" s="1"/>
  <c r="J578" i="119"/>
  <c r="I579" i="119"/>
  <c r="P579" i="119" s="1"/>
  <c r="J579" i="119"/>
  <c r="I580" i="119"/>
  <c r="P580" i="119" s="1"/>
  <c r="J580" i="119"/>
  <c r="I581" i="119"/>
  <c r="P581" i="119" s="1"/>
  <c r="J581" i="119"/>
  <c r="I582" i="119"/>
  <c r="P582" i="119" s="1"/>
  <c r="J582" i="119"/>
  <c r="I583" i="119"/>
  <c r="P583" i="119" s="1"/>
  <c r="J583" i="119"/>
  <c r="I584" i="119"/>
  <c r="P584" i="119" s="1"/>
  <c r="J584" i="119"/>
  <c r="I585" i="119"/>
  <c r="P585" i="119" s="1"/>
  <c r="J585" i="119"/>
  <c r="C564" i="119"/>
  <c r="C565" i="119"/>
  <c r="C566" i="119"/>
  <c r="C567" i="119"/>
  <c r="C568" i="119"/>
  <c r="C569" i="119"/>
  <c r="C570" i="119"/>
  <c r="C571" i="119"/>
  <c r="C572" i="119"/>
  <c r="C573" i="119"/>
  <c r="C574" i="119"/>
  <c r="C575" i="119"/>
  <c r="C576" i="119"/>
  <c r="C577" i="119"/>
  <c r="C578" i="119"/>
  <c r="C579" i="119"/>
  <c r="C580" i="119"/>
  <c r="C581" i="119"/>
  <c r="C582" i="119"/>
  <c r="C583" i="119"/>
  <c r="C584" i="119"/>
  <c r="C585" i="119"/>
  <c r="I515" i="119"/>
  <c r="P515" i="119" s="1"/>
  <c r="J515" i="119"/>
  <c r="I516" i="119"/>
  <c r="P516" i="119" s="1"/>
  <c r="J516" i="119"/>
  <c r="I517" i="119"/>
  <c r="P517" i="119" s="1"/>
  <c r="J517" i="119"/>
  <c r="I518" i="119"/>
  <c r="P518" i="119" s="1"/>
  <c r="J518" i="119"/>
  <c r="I519" i="119"/>
  <c r="P519" i="119" s="1"/>
  <c r="J519" i="119"/>
  <c r="I520" i="119"/>
  <c r="P520" i="119" s="1"/>
  <c r="J520" i="119"/>
  <c r="I521" i="119"/>
  <c r="P521" i="119" s="1"/>
  <c r="J521" i="119"/>
  <c r="I522" i="119"/>
  <c r="P522" i="119" s="1"/>
  <c r="J522" i="119"/>
  <c r="I523" i="119"/>
  <c r="P523" i="119" s="1"/>
  <c r="J523" i="119"/>
  <c r="I524" i="119"/>
  <c r="P524" i="119" s="1"/>
  <c r="J524" i="119"/>
  <c r="I525" i="119"/>
  <c r="P525" i="119" s="1"/>
  <c r="J525" i="119"/>
  <c r="I526" i="119"/>
  <c r="P526" i="119" s="1"/>
  <c r="J526" i="119"/>
  <c r="I527" i="119"/>
  <c r="P527" i="119" s="1"/>
  <c r="J527" i="119"/>
  <c r="I528" i="119"/>
  <c r="P528" i="119" s="1"/>
  <c r="J528" i="119"/>
  <c r="I529" i="119"/>
  <c r="P529" i="119" s="1"/>
  <c r="J529" i="119"/>
  <c r="I530" i="119"/>
  <c r="P530" i="119" s="1"/>
  <c r="J530" i="119"/>
  <c r="I531" i="119"/>
  <c r="P531" i="119" s="1"/>
  <c r="J531" i="119"/>
  <c r="I532" i="119"/>
  <c r="P532" i="119" s="1"/>
  <c r="J532" i="119"/>
  <c r="I533" i="119"/>
  <c r="P533" i="119" s="1"/>
  <c r="J533" i="119"/>
  <c r="I534" i="119"/>
  <c r="P534" i="119" s="1"/>
  <c r="J534" i="119"/>
  <c r="I535" i="119"/>
  <c r="P535" i="119" s="1"/>
  <c r="J535" i="119"/>
  <c r="I536" i="119"/>
  <c r="P536" i="119" s="1"/>
  <c r="J536" i="119"/>
  <c r="I537" i="119"/>
  <c r="P537" i="119" s="1"/>
  <c r="J537" i="119"/>
  <c r="I538" i="119"/>
  <c r="P538" i="119" s="1"/>
  <c r="J538" i="119"/>
  <c r="I539" i="119"/>
  <c r="P539" i="119" s="1"/>
  <c r="J539" i="119"/>
  <c r="I540" i="119"/>
  <c r="P540" i="119" s="1"/>
  <c r="J540" i="119"/>
  <c r="I541" i="119"/>
  <c r="P541" i="119" s="1"/>
  <c r="J541" i="119"/>
  <c r="I542" i="119"/>
  <c r="P542" i="119" s="1"/>
  <c r="J542" i="119"/>
  <c r="C515" i="119"/>
  <c r="C516" i="119"/>
  <c r="C517" i="119"/>
  <c r="C518" i="119"/>
  <c r="C519" i="119"/>
  <c r="C520" i="119"/>
  <c r="C521" i="119"/>
  <c r="C522" i="119"/>
  <c r="C523" i="119"/>
  <c r="C524" i="119"/>
  <c r="C525" i="119"/>
  <c r="C526" i="119"/>
  <c r="C527" i="119"/>
  <c r="C528" i="119"/>
  <c r="C529" i="119"/>
  <c r="C530" i="119"/>
  <c r="C531" i="119"/>
  <c r="C532" i="119"/>
  <c r="C533" i="119"/>
  <c r="C534" i="119"/>
  <c r="C535" i="119"/>
  <c r="C536" i="119"/>
  <c r="C537" i="119"/>
  <c r="C538" i="119"/>
  <c r="C539" i="119"/>
  <c r="C540" i="119"/>
  <c r="C541" i="119"/>
  <c r="C542" i="119"/>
  <c r="I465" i="119"/>
  <c r="P465" i="119" s="1"/>
  <c r="J465" i="119"/>
  <c r="I466" i="119"/>
  <c r="P466" i="119" s="1"/>
  <c r="J466" i="119"/>
  <c r="I467" i="119"/>
  <c r="P467" i="119" s="1"/>
  <c r="J467" i="119"/>
  <c r="I468" i="119"/>
  <c r="P468" i="119" s="1"/>
  <c r="J468" i="119"/>
  <c r="I469" i="119"/>
  <c r="P469" i="119" s="1"/>
  <c r="J469" i="119"/>
  <c r="I470" i="119"/>
  <c r="P470" i="119" s="1"/>
  <c r="J470" i="119"/>
  <c r="I471" i="119"/>
  <c r="P471" i="119" s="1"/>
  <c r="J471" i="119"/>
  <c r="I472" i="119"/>
  <c r="P472" i="119" s="1"/>
  <c r="J472" i="119"/>
  <c r="I473" i="119"/>
  <c r="P473" i="119" s="1"/>
  <c r="J473" i="119"/>
  <c r="I474" i="119"/>
  <c r="P474" i="119" s="1"/>
  <c r="J474" i="119"/>
  <c r="I475" i="119"/>
  <c r="P475" i="119" s="1"/>
  <c r="J475" i="119"/>
  <c r="I476" i="119"/>
  <c r="P476" i="119" s="1"/>
  <c r="J476" i="119"/>
  <c r="I477" i="119"/>
  <c r="P477" i="119" s="1"/>
  <c r="J477" i="119"/>
  <c r="I478" i="119"/>
  <c r="P478" i="119" s="1"/>
  <c r="J478" i="119"/>
  <c r="I479" i="119"/>
  <c r="P479" i="119" s="1"/>
  <c r="J479" i="119"/>
  <c r="I480" i="119"/>
  <c r="P480" i="119" s="1"/>
  <c r="J480" i="119"/>
  <c r="I481" i="119"/>
  <c r="P481" i="119" s="1"/>
  <c r="J481" i="119"/>
  <c r="I482" i="119"/>
  <c r="P482" i="119" s="1"/>
  <c r="J482" i="119"/>
  <c r="I483" i="119"/>
  <c r="P483" i="119" s="1"/>
  <c r="J483" i="119"/>
  <c r="I484" i="119"/>
  <c r="P484" i="119" s="1"/>
  <c r="J484" i="119"/>
  <c r="I485" i="119"/>
  <c r="P485" i="119" s="1"/>
  <c r="J485" i="119"/>
  <c r="I486" i="119"/>
  <c r="P486" i="119" s="1"/>
  <c r="J486" i="119"/>
  <c r="I487" i="119"/>
  <c r="P487" i="119" s="1"/>
  <c r="J487" i="119"/>
  <c r="I488" i="119"/>
  <c r="P488" i="119" s="1"/>
  <c r="J488" i="119"/>
  <c r="I489" i="119"/>
  <c r="P489" i="119" s="1"/>
  <c r="J489" i="119"/>
  <c r="I490" i="119"/>
  <c r="P490" i="119" s="1"/>
  <c r="J490" i="119"/>
  <c r="I491" i="119"/>
  <c r="P491" i="119" s="1"/>
  <c r="J491" i="119"/>
  <c r="I492" i="119"/>
  <c r="P492" i="119" s="1"/>
  <c r="J492" i="119"/>
  <c r="I493" i="119"/>
  <c r="P493" i="119" s="1"/>
  <c r="J493" i="119"/>
  <c r="I494" i="119"/>
  <c r="P494" i="119" s="1"/>
  <c r="J494" i="119"/>
  <c r="I495" i="119"/>
  <c r="P495" i="119" s="1"/>
  <c r="J495" i="119"/>
  <c r="I496" i="119"/>
  <c r="P496" i="119" s="1"/>
  <c r="J496" i="119"/>
  <c r="I497" i="119"/>
  <c r="P497" i="119" s="1"/>
  <c r="J497" i="119"/>
  <c r="I498" i="119"/>
  <c r="P498" i="119" s="1"/>
  <c r="J498" i="119"/>
  <c r="I499" i="119"/>
  <c r="P499" i="119" s="1"/>
  <c r="J499" i="119"/>
  <c r="C465" i="119"/>
  <c r="C466" i="119"/>
  <c r="C467" i="119"/>
  <c r="C468" i="119"/>
  <c r="C469" i="119"/>
  <c r="C470" i="119"/>
  <c r="C471" i="119"/>
  <c r="C472" i="119"/>
  <c r="C473" i="119"/>
  <c r="C474" i="119"/>
  <c r="C475" i="119"/>
  <c r="C476" i="119"/>
  <c r="C477" i="119"/>
  <c r="C478" i="119"/>
  <c r="C479" i="119"/>
  <c r="C480" i="119"/>
  <c r="C481" i="119"/>
  <c r="C482" i="119"/>
  <c r="C483" i="119"/>
  <c r="C484" i="119"/>
  <c r="C485" i="119"/>
  <c r="C486" i="119"/>
  <c r="C487" i="119"/>
  <c r="C488" i="119"/>
  <c r="C489" i="119"/>
  <c r="C490" i="119"/>
  <c r="C491" i="119"/>
  <c r="C492" i="119"/>
  <c r="C493" i="119"/>
  <c r="C494" i="119"/>
  <c r="C495" i="119"/>
  <c r="C496" i="119"/>
  <c r="C497" i="119"/>
  <c r="C498" i="119"/>
  <c r="C499" i="119"/>
  <c r="I431" i="119"/>
  <c r="P431" i="119" s="1"/>
  <c r="J431" i="119"/>
  <c r="I432" i="119"/>
  <c r="P432" i="119" s="1"/>
  <c r="J432" i="119"/>
  <c r="I433" i="119"/>
  <c r="P433" i="119" s="1"/>
  <c r="J433" i="119"/>
  <c r="I434" i="119"/>
  <c r="P434" i="119" s="1"/>
  <c r="J434" i="119"/>
  <c r="I435" i="119"/>
  <c r="P435" i="119" s="1"/>
  <c r="J435" i="119"/>
  <c r="I436" i="119"/>
  <c r="P436" i="119" s="1"/>
  <c r="J436" i="119"/>
  <c r="I437" i="119"/>
  <c r="P437" i="119" s="1"/>
  <c r="J437" i="119"/>
  <c r="I438" i="119"/>
  <c r="P438" i="119" s="1"/>
  <c r="J438" i="119"/>
  <c r="I439" i="119"/>
  <c r="P439" i="119" s="1"/>
  <c r="J439" i="119"/>
  <c r="I440" i="119"/>
  <c r="P440" i="119" s="1"/>
  <c r="J440" i="119"/>
  <c r="I441" i="119"/>
  <c r="P441" i="119" s="1"/>
  <c r="J441" i="119"/>
  <c r="I442" i="119"/>
  <c r="P442" i="119" s="1"/>
  <c r="J442" i="119"/>
  <c r="I443" i="119"/>
  <c r="P443" i="119" s="1"/>
  <c r="J443" i="119"/>
  <c r="I444" i="119"/>
  <c r="P444" i="119" s="1"/>
  <c r="J444" i="119"/>
  <c r="I445" i="119"/>
  <c r="P445" i="119" s="1"/>
  <c r="J445" i="119"/>
  <c r="I446" i="119"/>
  <c r="P446" i="119" s="1"/>
  <c r="J446" i="119"/>
  <c r="I447" i="119"/>
  <c r="P447" i="119" s="1"/>
  <c r="J447" i="119"/>
  <c r="I448" i="119"/>
  <c r="P448" i="119" s="1"/>
  <c r="J448" i="119"/>
  <c r="I449" i="119"/>
  <c r="P449" i="119" s="1"/>
  <c r="J449" i="119"/>
  <c r="I450" i="119"/>
  <c r="P450" i="119" s="1"/>
  <c r="J450" i="119"/>
  <c r="I451" i="119"/>
  <c r="P451" i="119" s="1"/>
  <c r="J451" i="119"/>
  <c r="I452" i="119"/>
  <c r="P452" i="119" s="1"/>
  <c r="J452" i="119"/>
  <c r="I453" i="119"/>
  <c r="P453" i="119" s="1"/>
  <c r="J453" i="119"/>
  <c r="I454" i="119"/>
  <c r="P454" i="119" s="1"/>
  <c r="J454" i="119"/>
  <c r="I455" i="119"/>
  <c r="P455" i="119" s="1"/>
  <c r="J455" i="119"/>
  <c r="I456" i="119"/>
  <c r="J456" i="119"/>
  <c r="C431" i="119"/>
  <c r="C432" i="119"/>
  <c r="C433" i="119"/>
  <c r="C434" i="119"/>
  <c r="C435" i="119"/>
  <c r="C436" i="119"/>
  <c r="C437" i="119"/>
  <c r="C438" i="119"/>
  <c r="C439" i="119"/>
  <c r="C440" i="119"/>
  <c r="C441" i="119"/>
  <c r="C442" i="119"/>
  <c r="C443" i="119"/>
  <c r="C444" i="119"/>
  <c r="C445" i="119"/>
  <c r="C446" i="119"/>
  <c r="C447" i="119"/>
  <c r="C448" i="119"/>
  <c r="C449" i="119"/>
  <c r="C450" i="119"/>
  <c r="C451" i="119"/>
  <c r="C452" i="119"/>
  <c r="C453" i="119"/>
  <c r="C454" i="119"/>
  <c r="C455" i="119"/>
  <c r="C456" i="119"/>
  <c r="P456" i="119"/>
  <c r="I393" i="119"/>
  <c r="P393" i="119" s="1"/>
  <c r="J393" i="119"/>
  <c r="I394" i="119"/>
  <c r="P394" i="119" s="1"/>
  <c r="J394" i="119"/>
  <c r="I395" i="119"/>
  <c r="P395" i="119" s="1"/>
  <c r="J395" i="119"/>
  <c r="I396" i="119"/>
  <c r="P396" i="119" s="1"/>
  <c r="J396" i="119"/>
  <c r="I397" i="119"/>
  <c r="P397" i="119" s="1"/>
  <c r="J397" i="119"/>
  <c r="I398" i="119"/>
  <c r="P398" i="119" s="1"/>
  <c r="J398" i="119"/>
  <c r="I399" i="119"/>
  <c r="P399" i="119" s="1"/>
  <c r="J399" i="119"/>
  <c r="I400" i="119"/>
  <c r="P400" i="119" s="1"/>
  <c r="J400" i="119"/>
  <c r="I401" i="119"/>
  <c r="P401" i="119" s="1"/>
  <c r="J401" i="119"/>
  <c r="I402" i="119"/>
  <c r="P402" i="119" s="1"/>
  <c r="J402" i="119"/>
  <c r="I403" i="119"/>
  <c r="P403" i="119" s="1"/>
  <c r="J403" i="119"/>
  <c r="I404" i="119"/>
  <c r="P404" i="119" s="1"/>
  <c r="J404" i="119"/>
  <c r="I405" i="119"/>
  <c r="P405" i="119" s="1"/>
  <c r="J405" i="119"/>
  <c r="I406" i="119"/>
  <c r="P406" i="119" s="1"/>
  <c r="J406" i="119"/>
  <c r="I407" i="119"/>
  <c r="P407" i="119" s="1"/>
  <c r="J407" i="119"/>
  <c r="I408" i="119"/>
  <c r="P408" i="119" s="1"/>
  <c r="J408" i="119"/>
  <c r="I409" i="119"/>
  <c r="P409" i="119" s="1"/>
  <c r="J409" i="119"/>
  <c r="I410" i="119"/>
  <c r="P410" i="119" s="1"/>
  <c r="J410" i="119"/>
  <c r="I411" i="119"/>
  <c r="P411" i="119" s="1"/>
  <c r="J411" i="119"/>
  <c r="I412" i="119"/>
  <c r="P412" i="119" s="1"/>
  <c r="J412" i="119"/>
  <c r="I413" i="119"/>
  <c r="P413" i="119" s="1"/>
  <c r="J413" i="119"/>
  <c r="C393" i="119"/>
  <c r="C394" i="119"/>
  <c r="C395" i="119"/>
  <c r="C396" i="119"/>
  <c r="C397" i="119"/>
  <c r="C398" i="119"/>
  <c r="C399" i="119"/>
  <c r="C400" i="119"/>
  <c r="C401" i="119"/>
  <c r="C402" i="119"/>
  <c r="C403" i="119"/>
  <c r="C404" i="119"/>
  <c r="C405" i="119"/>
  <c r="C406" i="119"/>
  <c r="C407" i="119"/>
  <c r="C408" i="119"/>
  <c r="C409" i="119"/>
  <c r="C410" i="119"/>
  <c r="C411" i="119"/>
  <c r="C412" i="119"/>
  <c r="C413" i="119"/>
  <c r="I347" i="119"/>
  <c r="P347" i="119" s="1"/>
  <c r="J347" i="119"/>
  <c r="I348" i="119"/>
  <c r="P348" i="119" s="1"/>
  <c r="J348" i="119"/>
  <c r="I349" i="119"/>
  <c r="P349" i="119" s="1"/>
  <c r="J349" i="119"/>
  <c r="I350" i="119"/>
  <c r="P350" i="119" s="1"/>
  <c r="J350" i="119"/>
  <c r="I351" i="119"/>
  <c r="P351" i="119" s="1"/>
  <c r="J351" i="119"/>
  <c r="I352" i="119"/>
  <c r="P352" i="119" s="1"/>
  <c r="J352" i="119"/>
  <c r="I353" i="119"/>
  <c r="P353" i="119" s="1"/>
  <c r="J353" i="119"/>
  <c r="I354" i="119"/>
  <c r="P354" i="119" s="1"/>
  <c r="J354" i="119"/>
  <c r="I355" i="119"/>
  <c r="P355" i="119" s="1"/>
  <c r="J355" i="119"/>
  <c r="I356" i="119"/>
  <c r="P356" i="119" s="1"/>
  <c r="J356" i="119"/>
  <c r="I357" i="119"/>
  <c r="P357" i="119" s="1"/>
  <c r="J357" i="119"/>
  <c r="I358" i="119"/>
  <c r="P358" i="119" s="1"/>
  <c r="J358" i="119"/>
  <c r="I359" i="119"/>
  <c r="P359" i="119" s="1"/>
  <c r="J359" i="119"/>
  <c r="I360" i="119"/>
  <c r="P360" i="119" s="1"/>
  <c r="J360" i="119"/>
  <c r="I361" i="119"/>
  <c r="P361" i="119" s="1"/>
  <c r="J361" i="119"/>
  <c r="I362" i="119"/>
  <c r="P362" i="119" s="1"/>
  <c r="J362" i="119"/>
  <c r="I363" i="119"/>
  <c r="P363" i="119" s="1"/>
  <c r="J363" i="119"/>
  <c r="I364" i="119"/>
  <c r="P364" i="119" s="1"/>
  <c r="J364" i="119"/>
  <c r="I365" i="119"/>
  <c r="P365" i="119" s="1"/>
  <c r="J365" i="119"/>
  <c r="I366" i="119"/>
  <c r="P366" i="119" s="1"/>
  <c r="J366" i="119"/>
  <c r="I367" i="119"/>
  <c r="P367" i="119" s="1"/>
  <c r="J367" i="119"/>
  <c r="I368" i="119"/>
  <c r="P368" i="119" s="1"/>
  <c r="J368" i="119"/>
  <c r="I369" i="119"/>
  <c r="P369" i="119" s="1"/>
  <c r="J369" i="119"/>
  <c r="I370" i="119"/>
  <c r="P370" i="119" s="1"/>
  <c r="J370" i="119"/>
  <c r="C347" i="119"/>
  <c r="C348" i="119"/>
  <c r="C349" i="119"/>
  <c r="C350" i="119"/>
  <c r="C351" i="119"/>
  <c r="C352" i="119"/>
  <c r="C353" i="119"/>
  <c r="C354" i="119"/>
  <c r="C355" i="119"/>
  <c r="C356" i="119"/>
  <c r="C357" i="119"/>
  <c r="C358" i="119"/>
  <c r="C359" i="119"/>
  <c r="C360" i="119"/>
  <c r="C361" i="119"/>
  <c r="C362" i="119"/>
  <c r="C363" i="119"/>
  <c r="C364" i="119"/>
  <c r="C365" i="119"/>
  <c r="C366" i="119"/>
  <c r="C367" i="119"/>
  <c r="C368" i="119"/>
  <c r="C369" i="119"/>
  <c r="C370" i="119"/>
  <c r="I304" i="119"/>
  <c r="P304" i="119" s="1"/>
  <c r="J304" i="119"/>
  <c r="I305" i="119"/>
  <c r="J305" i="119"/>
  <c r="I306" i="119"/>
  <c r="P306" i="119" s="1"/>
  <c r="J306" i="119"/>
  <c r="I307" i="119"/>
  <c r="P307" i="119" s="1"/>
  <c r="J307" i="119"/>
  <c r="I308" i="119"/>
  <c r="P308" i="119" s="1"/>
  <c r="J308" i="119"/>
  <c r="I309" i="119"/>
  <c r="P309" i="119" s="1"/>
  <c r="J309" i="119"/>
  <c r="I310" i="119"/>
  <c r="P310" i="119" s="1"/>
  <c r="J310" i="119"/>
  <c r="I311" i="119"/>
  <c r="P311" i="119" s="1"/>
  <c r="J311" i="119"/>
  <c r="I312" i="119"/>
  <c r="P312" i="119" s="1"/>
  <c r="J312" i="119"/>
  <c r="I313" i="119"/>
  <c r="P313" i="119" s="1"/>
  <c r="J313" i="119"/>
  <c r="I314" i="119"/>
  <c r="P314" i="119" s="1"/>
  <c r="J314" i="119"/>
  <c r="I315" i="119"/>
  <c r="P315" i="119" s="1"/>
  <c r="J315" i="119"/>
  <c r="I316" i="119"/>
  <c r="P316" i="119" s="1"/>
  <c r="J316" i="119"/>
  <c r="I317" i="119"/>
  <c r="P317" i="119" s="1"/>
  <c r="J317" i="119"/>
  <c r="I318" i="119"/>
  <c r="P318" i="119" s="1"/>
  <c r="J318" i="119"/>
  <c r="I319" i="119"/>
  <c r="P319" i="119" s="1"/>
  <c r="J319" i="119"/>
  <c r="I320" i="119"/>
  <c r="P320" i="119" s="1"/>
  <c r="J320" i="119"/>
  <c r="I321" i="119"/>
  <c r="P321" i="119" s="1"/>
  <c r="J321" i="119"/>
  <c r="I322" i="119"/>
  <c r="P322" i="119" s="1"/>
  <c r="J322" i="119"/>
  <c r="I323" i="119"/>
  <c r="P323" i="119" s="1"/>
  <c r="J323" i="119"/>
  <c r="I324" i="119"/>
  <c r="P324" i="119" s="1"/>
  <c r="J324" i="119"/>
  <c r="I325" i="119"/>
  <c r="P325" i="119" s="1"/>
  <c r="J325" i="119"/>
  <c r="I326" i="119"/>
  <c r="P326" i="119" s="1"/>
  <c r="J326" i="119"/>
  <c r="I327" i="119"/>
  <c r="P327" i="119" s="1"/>
  <c r="J327" i="119"/>
  <c r="C304" i="119"/>
  <c r="C305" i="119"/>
  <c r="C306" i="119"/>
  <c r="C307" i="119"/>
  <c r="C308" i="119"/>
  <c r="C309" i="119"/>
  <c r="C310" i="119"/>
  <c r="C311" i="119"/>
  <c r="C312" i="119"/>
  <c r="C313" i="119"/>
  <c r="C314" i="119"/>
  <c r="C315" i="119"/>
  <c r="C316" i="119"/>
  <c r="C317" i="119"/>
  <c r="C318" i="119"/>
  <c r="C319" i="119"/>
  <c r="C320" i="119"/>
  <c r="C321" i="119"/>
  <c r="C322" i="119"/>
  <c r="C323" i="119"/>
  <c r="C324" i="119"/>
  <c r="C325" i="119"/>
  <c r="C326" i="119"/>
  <c r="C327" i="119"/>
  <c r="I257" i="119"/>
  <c r="P257" i="119" s="1"/>
  <c r="J257" i="119"/>
  <c r="I258" i="119"/>
  <c r="P258" i="119" s="1"/>
  <c r="J258" i="119"/>
  <c r="I259" i="119"/>
  <c r="P259" i="119" s="1"/>
  <c r="J259" i="119"/>
  <c r="I260" i="119"/>
  <c r="P260" i="119" s="1"/>
  <c r="J260" i="119"/>
  <c r="I261" i="119"/>
  <c r="P261" i="119" s="1"/>
  <c r="J261" i="119"/>
  <c r="I262" i="119"/>
  <c r="P262" i="119" s="1"/>
  <c r="J262" i="119"/>
  <c r="I263" i="119"/>
  <c r="P263" i="119" s="1"/>
  <c r="J263" i="119"/>
  <c r="I264" i="119"/>
  <c r="P264" i="119" s="1"/>
  <c r="J264" i="119"/>
  <c r="I265" i="119"/>
  <c r="P265" i="119" s="1"/>
  <c r="J265" i="119"/>
  <c r="I266" i="119"/>
  <c r="P266" i="119" s="1"/>
  <c r="J266" i="119"/>
  <c r="I267" i="119"/>
  <c r="P267" i="119" s="1"/>
  <c r="J267" i="119"/>
  <c r="I268" i="119"/>
  <c r="P268" i="119" s="1"/>
  <c r="J268" i="119"/>
  <c r="I269" i="119"/>
  <c r="P269" i="119" s="1"/>
  <c r="J269" i="119"/>
  <c r="I270" i="119"/>
  <c r="P270" i="119" s="1"/>
  <c r="J270" i="119"/>
  <c r="I271" i="119"/>
  <c r="P271" i="119" s="1"/>
  <c r="J271" i="119"/>
  <c r="I272" i="119"/>
  <c r="P272" i="119" s="1"/>
  <c r="J272" i="119"/>
  <c r="I273" i="119"/>
  <c r="P273" i="119" s="1"/>
  <c r="J273" i="119"/>
  <c r="I274" i="119"/>
  <c r="P274" i="119" s="1"/>
  <c r="J274" i="119"/>
  <c r="I275" i="119"/>
  <c r="P275" i="119" s="1"/>
  <c r="J275" i="119"/>
  <c r="I276" i="119"/>
  <c r="P276" i="119" s="1"/>
  <c r="J276" i="119"/>
  <c r="I277" i="119"/>
  <c r="P277" i="119" s="1"/>
  <c r="J277" i="119"/>
  <c r="I278" i="119"/>
  <c r="P278" i="119" s="1"/>
  <c r="J278" i="119"/>
  <c r="I279" i="119"/>
  <c r="P279" i="119" s="1"/>
  <c r="J279" i="119"/>
  <c r="I280" i="119"/>
  <c r="P280" i="119" s="1"/>
  <c r="J280" i="119"/>
  <c r="I281" i="119"/>
  <c r="P281" i="119" s="1"/>
  <c r="J281" i="119"/>
  <c r="I282" i="119"/>
  <c r="P282" i="119" s="1"/>
  <c r="J282" i="119"/>
  <c r="I283" i="119"/>
  <c r="P283" i="119" s="1"/>
  <c r="J283" i="119"/>
  <c r="I284" i="119"/>
  <c r="P284" i="119" s="1"/>
  <c r="J284" i="119"/>
  <c r="C257" i="119"/>
  <c r="C258" i="119"/>
  <c r="C259" i="119"/>
  <c r="C260" i="119"/>
  <c r="C261" i="119"/>
  <c r="C262" i="119"/>
  <c r="C263" i="119"/>
  <c r="C264" i="119"/>
  <c r="C265" i="119"/>
  <c r="C266" i="119"/>
  <c r="C267" i="119"/>
  <c r="C268" i="119"/>
  <c r="C269" i="119"/>
  <c r="C270" i="119"/>
  <c r="C271" i="119"/>
  <c r="C272" i="119"/>
  <c r="C273" i="119"/>
  <c r="C274" i="119"/>
  <c r="C275" i="119"/>
  <c r="C276" i="119"/>
  <c r="C277" i="119"/>
  <c r="C278" i="119"/>
  <c r="C279" i="119"/>
  <c r="C280" i="119"/>
  <c r="C281" i="119"/>
  <c r="C282" i="119"/>
  <c r="C283" i="119"/>
  <c r="C284" i="119"/>
  <c r="I221" i="119"/>
  <c r="P221" i="119" s="1"/>
  <c r="J221" i="119"/>
  <c r="I222" i="119"/>
  <c r="P222" i="119" s="1"/>
  <c r="J222" i="119"/>
  <c r="I223" i="119"/>
  <c r="P223" i="119" s="1"/>
  <c r="J223" i="119"/>
  <c r="I224" i="119"/>
  <c r="P224" i="119" s="1"/>
  <c r="J224" i="119"/>
  <c r="I225" i="119"/>
  <c r="P225" i="119" s="1"/>
  <c r="J225" i="119"/>
  <c r="I226" i="119"/>
  <c r="P226" i="119" s="1"/>
  <c r="J226" i="119"/>
  <c r="I227" i="119"/>
  <c r="P227" i="119" s="1"/>
  <c r="J227" i="119"/>
  <c r="I228" i="119"/>
  <c r="P228" i="119" s="1"/>
  <c r="J228" i="119"/>
  <c r="I229" i="119"/>
  <c r="P229" i="119" s="1"/>
  <c r="J229" i="119"/>
  <c r="I230" i="119"/>
  <c r="P230" i="119" s="1"/>
  <c r="J230" i="119"/>
  <c r="I231" i="119"/>
  <c r="P231" i="119" s="1"/>
  <c r="J231" i="119"/>
  <c r="I232" i="119"/>
  <c r="P232" i="119" s="1"/>
  <c r="J232" i="119"/>
  <c r="I233" i="119"/>
  <c r="P233" i="119" s="1"/>
  <c r="J233" i="119"/>
  <c r="I234" i="119"/>
  <c r="P234" i="119" s="1"/>
  <c r="J234" i="119"/>
  <c r="I235" i="119"/>
  <c r="P235" i="119" s="1"/>
  <c r="J235" i="119"/>
  <c r="I236" i="119"/>
  <c r="P236" i="119" s="1"/>
  <c r="J236" i="119"/>
  <c r="I237" i="119"/>
  <c r="P237" i="119" s="1"/>
  <c r="J237" i="119"/>
  <c r="I238" i="119"/>
  <c r="P238" i="119" s="1"/>
  <c r="J238" i="119"/>
  <c r="I239" i="119"/>
  <c r="P239" i="119" s="1"/>
  <c r="J239" i="119"/>
  <c r="I240" i="119"/>
  <c r="P240" i="119" s="1"/>
  <c r="J240" i="119"/>
  <c r="I241" i="119"/>
  <c r="P241" i="119" s="1"/>
  <c r="J241" i="119"/>
  <c r="C221" i="119"/>
  <c r="C222" i="119"/>
  <c r="C223" i="119"/>
  <c r="C224" i="119"/>
  <c r="C225" i="119"/>
  <c r="C226" i="119"/>
  <c r="C227" i="119"/>
  <c r="C228" i="119"/>
  <c r="C229" i="119"/>
  <c r="C230" i="119"/>
  <c r="C231" i="119"/>
  <c r="C232" i="119"/>
  <c r="C233" i="119"/>
  <c r="C234" i="119"/>
  <c r="C235" i="119"/>
  <c r="C236" i="119"/>
  <c r="C237" i="119"/>
  <c r="C238" i="119"/>
  <c r="C239" i="119"/>
  <c r="C240" i="119"/>
  <c r="C241" i="119"/>
  <c r="I179" i="119"/>
  <c r="P179" i="119" s="1"/>
  <c r="J179" i="119"/>
  <c r="I180" i="119"/>
  <c r="P180" i="119" s="1"/>
  <c r="J180" i="119"/>
  <c r="I181" i="119"/>
  <c r="P181" i="119" s="1"/>
  <c r="J181" i="119"/>
  <c r="I182" i="119"/>
  <c r="P182" i="119" s="1"/>
  <c r="J182" i="119"/>
  <c r="I183" i="119"/>
  <c r="P183" i="119" s="1"/>
  <c r="J183" i="119"/>
  <c r="I184" i="119"/>
  <c r="P184" i="119" s="1"/>
  <c r="J184" i="119"/>
  <c r="I185" i="119"/>
  <c r="P185" i="119" s="1"/>
  <c r="J185" i="119"/>
  <c r="I186" i="119"/>
  <c r="P186" i="119" s="1"/>
  <c r="J186" i="119"/>
  <c r="I187" i="119"/>
  <c r="P187" i="119" s="1"/>
  <c r="J187" i="119"/>
  <c r="I188" i="119"/>
  <c r="P188" i="119" s="1"/>
  <c r="J188" i="119"/>
  <c r="I189" i="119"/>
  <c r="P189" i="119" s="1"/>
  <c r="J189" i="119"/>
  <c r="I190" i="119"/>
  <c r="P190" i="119" s="1"/>
  <c r="J190" i="119"/>
  <c r="I191" i="119"/>
  <c r="P191" i="119" s="1"/>
  <c r="J191" i="119"/>
  <c r="I192" i="119"/>
  <c r="P192" i="119" s="1"/>
  <c r="J192" i="119"/>
  <c r="I193" i="119"/>
  <c r="P193" i="119" s="1"/>
  <c r="J193" i="119"/>
  <c r="I194" i="119"/>
  <c r="P194" i="119" s="1"/>
  <c r="J194" i="119"/>
  <c r="I195" i="119"/>
  <c r="P195" i="119" s="1"/>
  <c r="J195" i="119"/>
  <c r="I196" i="119"/>
  <c r="P196" i="119" s="1"/>
  <c r="J196" i="119"/>
  <c r="I197" i="119"/>
  <c r="P197" i="119" s="1"/>
  <c r="J197" i="119"/>
  <c r="I198" i="119"/>
  <c r="P198" i="119" s="1"/>
  <c r="J198" i="119"/>
  <c r="C179" i="119"/>
  <c r="C180" i="119"/>
  <c r="C181" i="119"/>
  <c r="C182" i="119"/>
  <c r="C183" i="119"/>
  <c r="C184" i="119"/>
  <c r="C185" i="119"/>
  <c r="C186" i="119"/>
  <c r="C187" i="119"/>
  <c r="C188" i="119"/>
  <c r="C189" i="119"/>
  <c r="C190" i="119"/>
  <c r="C191" i="119"/>
  <c r="C192" i="119"/>
  <c r="C193" i="119"/>
  <c r="C194" i="119"/>
  <c r="C195" i="119"/>
  <c r="C196" i="119"/>
  <c r="C197" i="119"/>
  <c r="C198" i="119"/>
  <c r="I134" i="119"/>
  <c r="P134" i="119" s="1"/>
  <c r="J134" i="119"/>
  <c r="I135" i="119"/>
  <c r="P135" i="119" s="1"/>
  <c r="J135" i="119"/>
  <c r="I136" i="119"/>
  <c r="P136" i="119" s="1"/>
  <c r="J136" i="119"/>
  <c r="I137" i="119"/>
  <c r="P137" i="119" s="1"/>
  <c r="J137" i="119"/>
  <c r="I138" i="119"/>
  <c r="P138" i="119" s="1"/>
  <c r="J138" i="119"/>
  <c r="I139" i="119"/>
  <c r="P139" i="119" s="1"/>
  <c r="J139" i="119"/>
  <c r="I140" i="119"/>
  <c r="P140" i="119" s="1"/>
  <c r="J140" i="119"/>
  <c r="I141" i="119"/>
  <c r="P141" i="119" s="1"/>
  <c r="J141" i="119"/>
  <c r="I142" i="119"/>
  <c r="P142" i="119" s="1"/>
  <c r="J142" i="119"/>
  <c r="I143" i="119"/>
  <c r="P143" i="119" s="1"/>
  <c r="J143" i="119"/>
  <c r="I144" i="119"/>
  <c r="P144" i="119" s="1"/>
  <c r="J144" i="119"/>
  <c r="I145" i="119"/>
  <c r="P145" i="119" s="1"/>
  <c r="J145" i="119"/>
  <c r="I146" i="119"/>
  <c r="P146" i="119" s="1"/>
  <c r="J146" i="119"/>
  <c r="I147" i="119"/>
  <c r="P147" i="119" s="1"/>
  <c r="J147" i="119"/>
  <c r="I148" i="119"/>
  <c r="P148" i="119" s="1"/>
  <c r="J148" i="119"/>
  <c r="I149" i="119"/>
  <c r="P149" i="119" s="1"/>
  <c r="J149" i="119"/>
  <c r="I150" i="119"/>
  <c r="P150" i="119" s="1"/>
  <c r="J150" i="119"/>
  <c r="I151" i="119"/>
  <c r="P151" i="119" s="1"/>
  <c r="J151" i="119"/>
  <c r="I152" i="119"/>
  <c r="P152" i="119" s="1"/>
  <c r="J152" i="119"/>
  <c r="I153" i="119"/>
  <c r="P153" i="119" s="1"/>
  <c r="J153" i="119"/>
  <c r="I154" i="119"/>
  <c r="P154" i="119" s="1"/>
  <c r="J154" i="119"/>
  <c r="I155" i="119"/>
  <c r="P155" i="119" s="1"/>
  <c r="J155" i="119"/>
  <c r="C134" i="119"/>
  <c r="C135" i="119"/>
  <c r="C136" i="119"/>
  <c r="C137" i="119"/>
  <c r="C138" i="119"/>
  <c r="C139" i="119"/>
  <c r="C140" i="119"/>
  <c r="C141" i="119"/>
  <c r="C142" i="119"/>
  <c r="C143" i="119"/>
  <c r="C144" i="119"/>
  <c r="C145" i="119"/>
  <c r="C146" i="119"/>
  <c r="C147" i="119"/>
  <c r="C148" i="119"/>
  <c r="C149" i="119"/>
  <c r="C150" i="119"/>
  <c r="C151" i="119"/>
  <c r="C152" i="119"/>
  <c r="C153" i="119"/>
  <c r="C154" i="119"/>
  <c r="C155" i="119"/>
  <c r="I76" i="119"/>
  <c r="P76" i="119" s="1"/>
  <c r="J76" i="119"/>
  <c r="I77" i="119"/>
  <c r="P77" i="119" s="1"/>
  <c r="J77" i="119"/>
  <c r="I78" i="119"/>
  <c r="P78" i="119" s="1"/>
  <c r="J78" i="119"/>
  <c r="I79" i="119"/>
  <c r="P79" i="119" s="1"/>
  <c r="J79" i="119"/>
  <c r="I80" i="119"/>
  <c r="P80" i="119" s="1"/>
  <c r="J80" i="119"/>
  <c r="I81" i="119"/>
  <c r="P81" i="119" s="1"/>
  <c r="J81" i="119"/>
  <c r="I82" i="119"/>
  <c r="P82" i="119" s="1"/>
  <c r="J82" i="119"/>
  <c r="I83" i="119"/>
  <c r="P83" i="119" s="1"/>
  <c r="J83" i="119"/>
  <c r="I84" i="119"/>
  <c r="P84" i="119" s="1"/>
  <c r="J84" i="119"/>
  <c r="I85" i="119"/>
  <c r="P85" i="119" s="1"/>
  <c r="J85" i="119"/>
  <c r="I86" i="119"/>
  <c r="P86" i="119" s="1"/>
  <c r="J86" i="119"/>
  <c r="I87" i="119"/>
  <c r="P87" i="119" s="1"/>
  <c r="J87" i="119"/>
  <c r="I88" i="119"/>
  <c r="P88" i="119" s="1"/>
  <c r="J88" i="119"/>
  <c r="I89" i="119"/>
  <c r="P89" i="119" s="1"/>
  <c r="J89" i="119"/>
  <c r="I90" i="119"/>
  <c r="P90" i="119" s="1"/>
  <c r="J90" i="119"/>
  <c r="I91" i="119"/>
  <c r="P91" i="119" s="1"/>
  <c r="J91" i="119"/>
  <c r="I92" i="119"/>
  <c r="P92" i="119" s="1"/>
  <c r="J92" i="119"/>
  <c r="I93" i="119"/>
  <c r="P93" i="119" s="1"/>
  <c r="J93" i="119"/>
  <c r="I94" i="119"/>
  <c r="P94" i="119" s="1"/>
  <c r="J94" i="119"/>
  <c r="I95" i="119"/>
  <c r="P95" i="119" s="1"/>
  <c r="J95" i="119"/>
  <c r="I96" i="119"/>
  <c r="P96" i="119" s="1"/>
  <c r="J96" i="119"/>
  <c r="I97" i="119"/>
  <c r="P97" i="119" s="1"/>
  <c r="J97" i="119"/>
  <c r="I98" i="119"/>
  <c r="P98" i="119" s="1"/>
  <c r="J98" i="119"/>
  <c r="I99" i="119"/>
  <c r="P99" i="119" s="1"/>
  <c r="J99" i="119"/>
  <c r="I100" i="119"/>
  <c r="P100" i="119" s="1"/>
  <c r="J100" i="119"/>
  <c r="I101" i="119"/>
  <c r="P101" i="119" s="1"/>
  <c r="J101" i="119"/>
  <c r="I102" i="119"/>
  <c r="P102" i="119" s="1"/>
  <c r="J102" i="119"/>
  <c r="I103" i="119"/>
  <c r="P103" i="119" s="1"/>
  <c r="J103" i="119"/>
  <c r="I104" i="119"/>
  <c r="P104" i="119" s="1"/>
  <c r="J104" i="119"/>
  <c r="I105" i="119"/>
  <c r="P105" i="119" s="1"/>
  <c r="J105" i="119"/>
  <c r="I106" i="119"/>
  <c r="P106" i="119" s="1"/>
  <c r="J106" i="119"/>
  <c r="I107" i="119"/>
  <c r="P107" i="119" s="1"/>
  <c r="J107" i="119"/>
  <c r="I108" i="119"/>
  <c r="P108" i="119" s="1"/>
  <c r="J108" i="119"/>
  <c r="I109" i="119"/>
  <c r="P109" i="119" s="1"/>
  <c r="J109" i="119"/>
  <c r="I110" i="119"/>
  <c r="P110" i="119" s="1"/>
  <c r="J110" i="119"/>
  <c r="I111" i="119"/>
  <c r="P111" i="119" s="1"/>
  <c r="J111" i="119"/>
  <c r="I112" i="119"/>
  <c r="P112" i="119" s="1"/>
  <c r="J112" i="119"/>
  <c r="C80" i="119"/>
  <c r="C81" i="119"/>
  <c r="C82" i="119"/>
  <c r="C83" i="119"/>
  <c r="C84" i="119"/>
  <c r="C85" i="119"/>
  <c r="C86" i="119"/>
  <c r="C87" i="119"/>
  <c r="C88" i="119"/>
  <c r="C89" i="119"/>
  <c r="C90" i="119"/>
  <c r="C91" i="119"/>
  <c r="C92" i="119"/>
  <c r="C93" i="119"/>
  <c r="C94" i="119"/>
  <c r="C95" i="119"/>
  <c r="C96" i="119"/>
  <c r="C97" i="119"/>
  <c r="C98" i="119"/>
  <c r="C99" i="119"/>
  <c r="C100" i="119"/>
  <c r="C101" i="119"/>
  <c r="C102" i="119"/>
  <c r="C103" i="119"/>
  <c r="C104" i="119"/>
  <c r="C105" i="119"/>
  <c r="C106" i="119"/>
  <c r="C107" i="119"/>
  <c r="C108" i="119"/>
  <c r="C109" i="119"/>
  <c r="C110" i="119"/>
  <c r="C111" i="119"/>
  <c r="C112" i="119"/>
  <c r="BD802" i="16"/>
  <c r="BD801" i="16"/>
  <c r="BD800" i="16"/>
  <c r="BD799" i="16"/>
  <c r="BD798" i="16"/>
  <c r="BD797" i="16"/>
  <c r="BD796" i="16"/>
  <c r="BD795" i="16"/>
  <c r="BD794" i="16"/>
  <c r="BD793" i="16"/>
  <c r="BD792" i="16"/>
  <c r="BD791" i="16"/>
  <c r="BD790" i="16"/>
  <c r="BD789" i="16"/>
  <c r="BD788" i="16"/>
  <c r="BD787" i="16"/>
  <c r="BD786" i="16"/>
  <c r="BD785" i="16"/>
  <c r="BD784" i="16"/>
  <c r="BD783" i="16"/>
  <c r="BD757" i="16"/>
  <c r="BD756" i="16"/>
  <c r="BD755" i="16"/>
  <c r="BD754" i="16"/>
  <c r="BD753" i="16"/>
  <c r="BD752" i="16"/>
  <c r="BD751" i="16"/>
  <c r="BD750" i="16"/>
  <c r="BD749" i="16"/>
  <c r="BD748" i="16"/>
  <c r="BD747" i="16"/>
  <c r="BD746" i="16"/>
  <c r="BD745" i="16"/>
  <c r="BD744" i="16"/>
  <c r="BD743" i="16"/>
  <c r="BD742" i="16"/>
  <c r="BD741" i="16"/>
  <c r="BD740" i="16"/>
  <c r="BD739" i="16"/>
  <c r="BD738" i="16"/>
  <c r="BD712" i="16"/>
  <c r="BD711" i="16"/>
  <c r="BD710" i="16"/>
  <c r="BD709" i="16"/>
  <c r="BD708" i="16"/>
  <c r="BD707" i="16"/>
  <c r="BD706" i="16"/>
  <c r="BD705" i="16"/>
  <c r="BD704" i="16"/>
  <c r="BD703" i="16"/>
  <c r="BD696" i="16"/>
  <c r="BD695" i="16"/>
  <c r="BD694" i="16"/>
  <c r="BD693" i="16"/>
  <c r="BD692" i="16"/>
  <c r="BD691" i="16"/>
  <c r="BD702" i="16"/>
  <c r="BD701" i="16"/>
  <c r="BD700" i="16"/>
  <c r="BD699" i="16"/>
  <c r="BG527" i="16"/>
  <c r="BG439" i="16"/>
  <c r="BG282" i="16"/>
  <c r="BD164" i="16"/>
  <c r="BD163" i="16"/>
  <c r="BD168" i="16"/>
  <c r="BD167" i="16"/>
  <c r="BD166" i="16"/>
  <c r="BD165" i="16"/>
  <c r="BD158" i="16"/>
  <c r="BD157" i="16"/>
  <c r="BD156" i="16"/>
  <c r="BD155" i="16"/>
  <c r="BD154" i="16"/>
  <c r="BD153" i="16"/>
  <c r="BD152" i="16"/>
  <c r="BD151" i="16"/>
  <c r="BD162" i="16"/>
  <c r="BD161" i="16"/>
  <c r="BD160" i="16"/>
  <c r="BD159" i="16"/>
  <c r="BD170" i="16"/>
  <c r="BD169" i="16"/>
  <c r="BD127" i="16"/>
  <c r="BD126" i="16"/>
  <c r="BD125" i="16"/>
  <c r="BD124" i="16"/>
  <c r="BD123" i="16"/>
  <c r="BD113" i="16"/>
  <c r="BD112" i="16"/>
  <c r="BD111" i="16"/>
  <c r="BD110" i="16"/>
  <c r="BD109" i="16"/>
  <c r="BD108" i="16"/>
  <c r="BD107" i="16"/>
  <c r="BD106" i="16"/>
  <c r="BD105" i="16"/>
  <c r="BD116" i="16"/>
  <c r="BD115" i="16"/>
  <c r="BD114" i="16"/>
  <c r="BD119" i="16"/>
  <c r="BD118" i="16"/>
  <c r="BD117" i="16"/>
  <c r="J1066" i="119"/>
  <c r="I1066" i="119"/>
  <c r="P1066" i="119" s="1"/>
  <c r="J1065" i="119"/>
  <c r="I1065" i="119"/>
  <c r="P1065" i="119" s="1"/>
  <c r="J1064" i="119"/>
  <c r="I1064" i="119"/>
  <c r="P1064" i="119" s="1"/>
  <c r="J1063" i="119"/>
  <c r="I1063" i="119"/>
  <c r="P1063" i="119" s="1"/>
  <c r="J1062" i="119"/>
  <c r="I1062" i="119"/>
  <c r="P1062" i="119" s="1"/>
  <c r="J1035" i="119"/>
  <c r="I1035" i="119"/>
  <c r="P1035" i="119" s="1"/>
  <c r="J1034" i="119"/>
  <c r="I1034" i="119"/>
  <c r="P1034" i="119" s="1"/>
  <c r="J1033" i="119"/>
  <c r="I1033" i="119"/>
  <c r="P1033" i="119" s="1"/>
  <c r="J1032" i="119"/>
  <c r="I1032" i="119"/>
  <c r="P1032" i="119" s="1"/>
  <c r="J1031" i="119"/>
  <c r="I1031" i="119"/>
  <c r="P1031" i="119" s="1"/>
  <c r="J1030" i="119"/>
  <c r="I1030" i="119"/>
  <c r="P1030" i="119" s="1"/>
  <c r="J1029" i="119"/>
  <c r="I1029" i="119"/>
  <c r="P1029" i="119" s="1"/>
  <c r="J1028" i="119"/>
  <c r="I1028" i="119"/>
  <c r="P1028" i="119" s="1"/>
  <c r="J1027" i="119"/>
  <c r="I1027" i="119"/>
  <c r="P1027" i="119" s="1"/>
  <c r="J1026" i="119"/>
  <c r="I1026" i="119"/>
  <c r="P1026" i="119" s="1"/>
  <c r="J1025" i="119"/>
  <c r="I1025" i="119"/>
  <c r="P1025" i="119" s="1"/>
  <c r="J1024" i="119"/>
  <c r="I1024" i="119"/>
  <c r="P1024" i="119" s="1"/>
  <c r="J1023" i="119"/>
  <c r="I1023" i="119"/>
  <c r="P1023" i="119" s="1"/>
  <c r="J1022" i="119"/>
  <c r="I1022" i="119"/>
  <c r="P1022" i="119" s="1"/>
  <c r="J1021" i="119"/>
  <c r="I1021" i="119"/>
  <c r="P1021" i="119" s="1"/>
  <c r="J1020" i="119"/>
  <c r="I1020" i="119"/>
  <c r="P1020" i="119" s="1"/>
  <c r="J1019" i="119"/>
  <c r="I1019" i="119"/>
  <c r="P1019" i="119" s="1"/>
  <c r="J990" i="119"/>
  <c r="I990" i="119"/>
  <c r="P990" i="119" s="1"/>
  <c r="J989" i="119"/>
  <c r="I989" i="119"/>
  <c r="P989" i="119" s="1"/>
  <c r="J988" i="119"/>
  <c r="I988" i="119"/>
  <c r="P988" i="119" s="1"/>
  <c r="J987" i="119"/>
  <c r="I987" i="119"/>
  <c r="P987" i="119" s="1"/>
  <c r="J986" i="119"/>
  <c r="I986" i="119"/>
  <c r="P986" i="119" s="1"/>
  <c r="J985" i="119"/>
  <c r="I985" i="119"/>
  <c r="P985" i="119" s="1"/>
  <c r="J984" i="119"/>
  <c r="I984" i="119"/>
  <c r="P984" i="119" s="1"/>
  <c r="J983" i="119"/>
  <c r="I983" i="119"/>
  <c r="P983" i="119" s="1"/>
  <c r="J982" i="119"/>
  <c r="I982" i="119"/>
  <c r="P982" i="119" s="1"/>
  <c r="J981" i="119"/>
  <c r="I981" i="119"/>
  <c r="P981" i="119" s="1"/>
  <c r="J980" i="119"/>
  <c r="I980" i="119"/>
  <c r="P980" i="119" s="1"/>
  <c r="J979" i="119"/>
  <c r="I979" i="119"/>
  <c r="P979" i="119" s="1"/>
  <c r="J978" i="119"/>
  <c r="I978" i="119"/>
  <c r="P978" i="119" s="1"/>
  <c r="J977" i="119"/>
  <c r="I977" i="119"/>
  <c r="P977" i="119" s="1"/>
  <c r="J976" i="119"/>
  <c r="I976" i="119"/>
  <c r="P976" i="119" s="1"/>
  <c r="J948" i="119"/>
  <c r="I948" i="119"/>
  <c r="P948" i="119" s="1"/>
  <c r="J947" i="119"/>
  <c r="I947" i="119"/>
  <c r="P947" i="119" s="1"/>
  <c r="J946" i="119"/>
  <c r="I946" i="119"/>
  <c r="P946" i="119" s="1"/>
  <c r="J945" i="119"/>
  <c r="I945" i="119"/>
  <c r="P945" i="119" s="1"/>
  <c r="J944" i="119"/>
  <c r="I944" i="119"/>
  <c r="P944" i="119" s="1"/>
  <c r="J943" i="119"/>
  <c r="I943" i="119"/>
  <c r="P943" i="119" s="1"/>
  <c r="J942" i="119"/>
  <c r="I942" i="119"/>
  <c r="P942" i="119" s="1"/>
  <c r="J941" i="119"/>
  <c r="I941" i="119"/>
  <c r="P941" i="119" s="1"/>
  <c r="J940" i="119"/>
  <c r="I940" i="119"/>
  <c r="P940" i="119" s="1"/>
  <c r="J939" i="119"/>
  <c r="I939" i="119"/>
  <c r="P939" i="119" s="1"/>
  <c r="J938" i="119"/>
  <c r="I938" i="119"/>
  <c r="P938" i="119" s="1"/>
  <c r="J937" i="119"/>
  <c r="I937" i="119"/>
  <c r="P937" i="119" s="1"/>
  <c r="J936" i="119"/>
  <c r="I936" i="119"/>
  <c r="P936" i="119" s="1"/>
  <c r="J935" i="119"/>
  <c r="I935" i="119"/>
  <c r="P935" i="119" s="1"/>
  <c r="J934" i="119"/>
  <c r="I934" i="119"/>
  <c r="P934" i="119" s="1"/>
  <c r="J933" i="119"/>
  <c r="I933" i="119"/>
  <c r="P933" i="119" s="1"/>
  <c r="J906" i="119"/>
  <c r="I906" i="119"/>
  <c r="P906" i="119" s="1"/>
  <c r="J905" i="119"/>
  <c r="I905" i="119"/>
  <c r="P905" i="119" s="1"/>
  <c r="J904" i="119"/>
  <c r="I904" i="119"/>
  <c r="P904" i="119" s="1"/>
  <c r="J903" i="119"/>
  <c r="I903" i="119"/>
  <c r="P903" i="119" s="1"/>
  <c r="J902" i="119"/>
  <c r="I902" i="119"/>
  <c r="P902" i="119" s="1"/>
  <c r="J901" i="119"/>
  <c r="I901" i="119"/>
  <c r="P901" i="119" s="1"/>
  <c r="J900" i="119"/>
  <c r="I900" i="119"/>
  <c r="P900" i="119" s="1"/>
  <c r="J899" i="119"/>
  <c r="I899" i="119"/>
  <c r="P899" i="119" s="1"/>
  <c r="J898" i="119"/>
  <c r="I898" i="119"/>
  <c r="P898" i="119" s="1"/>
  <c r="J897" i="119"/>
  <c r="I897" i="119"/>
  <c r="P897" i="119" s="1"/>
  <c r="J896" i="119"/>
  <c r="I896" i="119"/>
  <c r="P896" i="119" s="1"/>
  <c r="J895" i="119"/>
  <c r="I895" i="119"/>
  <c r="P895" i="119" s="1"/>
  <c r="J894" i="119"/>
  <c r="I894" i="119"/>
  <c r="P894" i="119" s="1"/>
  <c r="J893" i="119"/>
  <c r="I893" i="119"/>
  <c r="P893" i="119" s="1"/>
  <c r="J892" i="119"/>
  <c r="I892" i="119"/>
  <c r="P892" i="119" s="1"/>
  <c r="J891" i="119"/>
  <c r="I891" i="119"/>
  <c r="P891" i="119" s="1"/>
  <c r="J890" i="119"/>
  <c r="I890" i="119"/>
  <c r="P890" i="119" s="1"/>
  <c r="J861" i="119"/>
  <c r="I861" i="119"/>
  <c r="P861" i="119" s="1"/>
  <c r="J860" i="119"/>
  <c r="I860" i="119"/>
  <c r="P860" i="119" s="1"/>
  <c r="J859" i="119"/>
  <c r="I859" i="119"/>
  <c r="P859" i="119" s="1"/>
  <c r="J858" i="119"/>
  <c r="I858" i="119"/>
  <c r="P858" i="119" s="1"/>
  <c r="J857" i="119"/>
  <c r="I857" i="119"/>
  <c r="P857" i="119" s="1"/>
  <c r="J856" i="119"/>
  <c r="I856" i="119"/>
  <c r="P856" i="119" s="1"/>
  <c r="J855" i="119"/>
  <c r="I855" i="119"/>
  <c r="P855" i="119" s="1"/>
  <c r="J854" i="119"/>
  <c r="I854" i="119"/>
  <c r="P854" i="119" s="1"/>
  <c r="J853" i="119"/>
  <c r="I853" i="119"/>
  <c r="P853" i="119" s="1"/>
  <c r="J852" i="119"/>
  <c r="I852" i="119"/>
  <c r="P852" i="119" s="1"/>
  <c r="J851" i="119"/>
  <c r="I851" i="119"/>
  <c r="P851" i="119" s="1"/>
  <c r="J850" i="119"/>
  <c r="I850" i="119"/>
  <c r="P850" i="119" s="1"/>
  <c r="J849" i="119"/>
  <c r="I849" i="119"/>
  <c r="P849" i="119" s="1"/>
  <c r="J848" i="119"/>
  <c r="I848" i="119"/>
  <c r="J847" i="119"/>
  <c r="I847" i="119"/>
  <c r="P847" i="119" s="1"/>
  <c r="J822" i="119"/>
  <c r="I822" i="119"/>
  <c r="P822" i="119" s="1"/>
  <c r="J821" i="119"/>
  <c r="I821" i="119"/>
  <c r="P821" i="119" s="1"/>
  <c r="J820" i="119"/>
  <c r="I820" i="119"/>
  <c r="P820" i="119" s="1"/>
  <c r="J819" i="119"/>
  <c r="I819" i="119"/>
  <c r="P819" i="119" s="1"/>
  <c r="J818" i="119"/>
  <c r="I818" i="119"/>
  <c r="P818" i="119" s="1"/>
  <c r="J817" i="119"/>
  <c r="I817" i="119"/>
  <c r="P817" i="119" s="1"/>
  <c r="J816" i="119"/>
  <c r="I816" i="119"/>
  <c r="P816" i="119" s="1"/>
  <c r="J815" i="119"/>
  <c r="I815" i="119"/>
  <c r="P815" i="119" s="1"/>
  <c r="J814" i="119"/>
  <c r="I814" i="119"/>
  <c r="P814" i="119" s="1"/>
  <c r="J813" i="119"/>
  <c r="I813" i="119"/>
  <c r="P813" i="119" s="1"/>
  <c r="J812" i="119"/>
  <c r="I812" i="119"/>
  <c r="P812" i="119" s="1"/>
  <c r="J811" i="119"/>
  <c r="I811" i="119"/>
  <c r="P811" i="119" s="1"/>
  <c r="J810" i="119"/>
  <c r="I810" i="119"/>
  <c r="P810" i="119" s="1"/>
  <c r="J809" i="119"/>
  <c r="I809" i="119"/>
  <c r="P809" i="119" s="1"/>
  <c r="J808" i="119"/>
  <c r="I808" i="119"/>
  <c r="P808" i="119" s="1"/>
  <c r="J807" i="119"/>
  <c r="I807" i="119"/>
  <c r="P807" i="119" s="1"/>
  <c r="J806" i="119"/>
  <c r="I806" i="119"/>
  <c r="P806" i="119" s="1"/>
  <c r="J805" i="119"/>
  <c r="I805" i="119"/>
  <c r="P805" i="119" s="1"/>
  <c r="J804" i="119"/>
  <c r="I804" i="119"/>
  <c r="P804" i="119" s="1"/>
  <c r="J777" i="119"/>
  <c r="I777" i="119"/>
  <c r="P777" i="119" s="1"/>
  <c r="J776" i="119"/>
  <c r="I776" i="119"/>
  <c r="P776" i="119" s="1"/>
  <c r="J775" i="119"/>
  <c r="I775" i="119"/>
  <c r="P775" i="119" s="1"/>
  <c r="J774" i="119"/>
  <c r="I774" i="119"/>
  <c r="P774" i="119" s="1"/>
  <c r="J773" i="119"/>
  <c r="I773" i="119"/>
  <c r="P773" i="119" s="1"/>
  <c r="J772" i="119"/>
  <c r="I772" i="119"/>
  <c r="P772" i="119" s="1"/>
  <c r="J771" i="119"/>
  <c r="I771" i="119"/>
  <c r="P771" i="119" s="1"/>
  <c r="J770" i="119"/>
  <c r="I770" i="119"/>
  <c r="P770" i="119" s="1"/>
  <c r="J769" i="119"/>
  <c r="I769" i="119"/>
  <c r="P769" i="119" s="1"/>
  <c r="J768" i="119"/>
  <c r="I768" i="119"/>
  <c r="P768" i="119" s="1"/>
  <c r="J767" i="119"/>
  <c r="I767" i="119"/>
  <c r="P767" i="119" s="1"/>
  <c r="J766" i="119"/>
  <c r="I766" i="119"/>
  <c r="P766" i="119" s="1"/>
  <c r="J765" i="119"/>
  <c r="I765" i="119"/>
  <c r="P765" i="119" s="1"/>
  <c r="J764" i="119"/>
  <c r="I764" i="119"/>
  <c r="P764" i="119" s="1"/>
  <c r="J763" i="119"/>
  <c r="I763" i="119"/>
  <c r="J762" i="119"/>
  <c r="I762" i="119"/>
  <c r="P762" i="119" s="1"/>
  <c r="J761" i="119"/>
  <c r="I761" i="119"/>
  <c r="P761" i="119" s="1"/>
  <c r="J734" i="119"/>
  <c r="I734" i="119"/>
  <c r="P734" i="119" s="1"/>
  <c r="J733" i="119"/>
  <c r="I733" i="119"/>
  <c r="P733" i="119" s="1"/>
  <c r="J732" i="119"/>
  <c r="I732" i="119"/>
  <c r="P732" i="119" s="1"/>
  <c r="J731" i="119"/>
  <c r="I731" i="119"/>
  <c r="P731" i="119" s="1"/>
  <c r="J730" i="119"/>
  <c r="I730" i="119"/>
  <c r="P730" i="119" s="1"/>
  <c r="J729" i="119"/>
  <c r="I729" i="119"/>
  <c r="P729" i="119" s="1"/>
  <c r="J728" i="119"/>
  <c r="I728" i="119"/>
  <c r="P728" i="119" s="1"/>
  <c r="J727" i="119"/>
  <c r="I727" i="119"/>
  <c r="P727" i="119" s="1"/>
  <c r="J726" i="119"/>
  <c r="I726" i="119"/>
  <c r="P726" i="119" s="1"/>
  <c r="J725" i="119"/>
  <c r="I725" i="119"/>
  <c r="P725" i="119" s="1"/>
  <c r="J724" i="119"/>
  <c r="I724" i="119"/>
  <c r="P724" i="119" s="1"/>
  <c r="J723" i="119"/>
  <c r="I723" i="119"/>
  <c r="P723" i="119" s="1"/>
  <c r="J722" i="119"/>
  <c r="I722" i="119"/>
  <c r="P722" i="119" s="1"/>
  <c r="J721" i="119"/>
  <c r="I721" i="119"/>
  <c r="P721" i="119" s="1"/>
  <c r="J720" i="119"/>
  <c r="I720" i="119"/>
  <c r="P720" i="119" s="1"/>
  <c r="J719" i="119"/>
  <c r="I719" i="119"/>
  <c r="P719" i="119" s="1"/>
  <c r="J718" i="119"/>
  <c r="I718" i="119"/>
  <c r="P718" i="119" s="1"/>
  <c r="J691" i="119"/>
  <c r="I691" i="119"/>
  <c r="P691" i="119" s="1"/>
  <c r="J690" i="119"/>
  <c r="I690" i="119"/>
  <c r="P690" i="119" s="1"/>
  <c r="J689" i="119"/>
  <c r="I689" i="119"/>
  <c r="P689" i="119" s="1"/>
  <c r="J688" i="119"/>
  <c r="I688" i="119"/>
  <c r="P688" i="119" s="1"/>
  <c r="J687" i="119"/>
  <c r="I687" i="119"/>
  <c r="P687" i="119" s="1"/>
  <c r="J686" i="119"/>
  <c r="I686" i="119"/>
  <c r="P686" i="119" s="1"/>
  <c r="J685" i="119"/>
  <c r="I685" i="119"/>
  <c r="P685" i="119" s="1"/>
  <c r="J684" i="119"/>
  <c r="I684" i="119"/>
  <c r="P684" i="119" s="1"/>
  <c r="J683" i="119"/>
  <c r="I683" i="119"/>
  <c r="P683" i="119" s="1"/>
  <c r="J682" i="119"/>
  <c r="I682" i="119"/>
  <c r="P682" i="119" s="1"/>
  <c r="J681" i="119"/>
  <c r="I681" i="119"/>
  <c r="P681" i="119" s="1"/>
  <c r="J680" i="119"/>
  <c r="I680" i="119"/>
  <c r="P680" i="119" s="1"/>
  <c r="J679" i="119"/>
  <c r="I679" i="119"/>
  <c r="P679" i="119" s="1"/>
  <c r="J678" i="119"/>
  <c r="I678" i="119"/>
  <c r="P678" i="119" s="1"/>
  <c r="J677" i="119"/>
  <c r="I677" i="119"/>
  <c r="P677" i="119" s="1"/>
  <c r="J676" i="119"/>
  <c r="I676" i="119"/>
  <c r="P676" i="119" s="1"/>
  <c r="J675" i="119"/>
  <c r="I675" i="119"/>
  <c r="P675" i="119" s="1"/>
  <c r="J649" i="119"/>
  <c r="I649" i="119"/>
  <c r="P649" i="119" s="1"/>
  <c r="J648" i="119"/>
  <c r="I648" i="119"/>
  <c r="P648" i="119" s="1"/>
  <c r="J647" i="119"/>
  <c r="I647" i="119"/>
  <c r="P647" i="119" s="1"/>
  <c r="J646" i="119"/>
  <c r="I646" i="119"/>
  <c r="P646" i="119" s="1"/>
  <c r="J645" i="119"/>
  <c r="I645" i="119"/>
  <c r="P645" i="119" s="1"/>
  <c r="J644" i="119"/>
  <c r="I644" i="119"/>
  <c r="P644" i="119" s="1"/>
  <c r="J643" i="119"/>
  <c r="I643" i="119"/>
  <c r="P643" i="119" s="1"/>
  <c r="J642" i="119"/>
  <c r="I642" i="119"/>
  <c r="P642" i="119" s="1"/>
  <c r="J641" i="119"/>
  <c r="I641" i="119"/>
  <c r="P641" i="119" s="1"/>
  <c r="J640" i="119"/>
  <c r="I640" i="119"/>
  <c r="P640" i="119" s="1"/>
  <c r="J639" i="119"/>
  <c r="I639" i="119"/>
  <c r="P639" i="119" s="1"/>
  <c r="J638" i="119"/>
  <c r="I638" i="119"/>
  <c r="P638" i="119" s="1"/>
  <c r="J637" i="119"/>
  <c r="I637" i="119"/>
  <c r="P637" i="119" s="1"/>
  <c r="J636" i="119"/>
  <c r="I636" i="119"/>
  <c r="P636" i="119" s="1"/>
  <c r="J635" i="119"/>
  <c r="I635" i="119"/>
  <c r="P635" i="119" s="1"/>
  <c r="J634" i="119"/>
  <c r="I634" i="119"/>
  <c r="P634" i="119" s="1"/>
  <c r="J633" i="119"/>
  <c r="I633" i="119"/>
  <c r="P633" i="119" s="1"/>
  <c r="J632" i="119"/>
  <c r="I632" i="119"/>
  <c r="P632" i="119" s="1"/>
  <c r="J606" i="119"/>
  <c r="I606" i="119"/>
  <c r="P606" i="119" s="1"/>
  <c r="J605" i="119"/>
  <c r="I605" i="119"/>
  <c r="P605" i="119" s="1"/>
  <c r="J604" i="119"/>
  <c r="I604" i="119"/>
  <c r="P604" i="119" s="1"/>
  <c r="J603" i="119"/>
  <c r="I603" i="119"/>
  <c r="P603" i="119" s="1"/>
  <c r="J602" i="119"/>
  <c r="I602" i="119"/>
  <c r="P602" i="119" s="1"/>
  <c r="J601" i="119"/>
  <c r="I601" i="119"/>
  <c r="P601" i="119" s="1"/>
  <c r="J600" i="119"/>
  <c r="I600" i="119"/>
  <c r="P600" i="119" s="1"/>
  <c r="J599" i="119"/>
  <c r="I599" i="119"/>
  <c r="P599" i="119" s="1"/>
  <c r="J598" i="119"/>
  <c r="I598" i="119"/>
  <c r="P598" i="119" s="1"/>
  <c r="J597" i="119"/>
  <c r="I597" i="119"/>
  <c r="P597" i="119" s="1"/>
  <c r="J596" i="119"/>
  <c r="I596" i="119"/>
  <c r="P596" i="119" s="1"/>
  <c r="J595" i="119"/>
  <c r="I595" i="119"/>
  <c r="P595" i="119" s="1"/>
  <c r="J594" i="119"/>
  <c r="I594" i="119"/>
  <c r="P594" i="119" s="1"/>
  <c r="J593" i="119"/>
  <c r="I593" i="119"/>
  <c r="P593" i="119" s="1"/>
  <c r="J592" i="119"/>
  <c r="I592" i="119"/>
  <c r="P592" i="119" s="1"/>
  <c r="J591" i="119"/>
  <c r="I591" i="119"/>
  <c r="P591" i="119" s="1"/>
  <c r="J590" i="119"/>
  <c r="I590" i="119"/>
  <c r="P590" i="119" s="1"/>
  <c r="J589" i="119"/>
  <c r="I589" i="119"/>
  <c r="P589" i="119" s="1"/>
  <c r="J563" i="119"/>
  <c r="I563" i="119"/>
  <c r="P563" i="119" s="1"/>
  <c r="J562" i="119"/>
  <c r="I562" i="119"/>
  <c r="P562" i="119" s="1"/>
  <c r="J561" i="119"/>
  <c r="I561" i="119"/>
  <c r="P561" i="119" s="1"/>
  <c r="J560" i="119"/>
  <c r="I560" i="119"/>
  <c r="P560" i="119" s="1"/>
  <c r="J559" i="119"/>
  <c r="I559" i="119"/>
  <c r="P559" i="119" s="1"/>
  <c r="J558" i="119"/>
  <c r="I558" i="119"/>
  <c r="P558" i="119" s="1"/>
  <c r="J557" i="119"/>
  <c r="I557" i="119"/>
  <c r="P557" i="119" s="1"/>
  <c r="J556" i="119"/>
  <c r="I556" i="119"/>
  <c r="P556" i="119" s="1"/>
  <c r="J555" i="119"/>
  <c r="I555" i="119"/>
  <c r="P555" i="119" s="1"/>
  <c r="J554" i="119"/>
  <c r="I554" i="119"/>
  <c r="J553" i="119"/>
  <c r="I553" i="119"/>
  <c r="P553" i="119" s="1"/>
  <c r="J552" i="119"/>
  <c r="I552" i="119"/>
  <c r="P552" i="119" s="1"/>
  <c r="J551" i="119"/>
  <c r="I551" i="119"/>
  <c r="P551" i="119" s="1"/>
  <c r="J550" i="119"/>
  <c r="I550" i="119"/>
  <c r="P550" i="119" s="1"/>
  <c r="J549" i="119"/>
  <c r="I549" i="119"/>
  <c r="P549" i="119" s="1"/>
  <c r="J548" i="119"/>
  <c r="I548" i="119"/>
  <c r="P548" i="119" s="1"/>
  <c r="J547" i="119"/>
  <c r="I547" i="119"/>
  <c r="P547" i="119" s="1"/>
  <c r="J546" i="119"/>
  <c r="I546" i="119"/>
  <c r="P546" i="119" s="1"/>
  <c r="J514" i="119"/>
  <c r="I514" i="119"/>
  <c r="P514" i="119" s="1"/>
  <c r="J513" i="119"/>
  <c r="I513" i="119"/>
  <c r="P513" i="119" s="1"/>
  <c r="J512" i="119"/>
  <c r="I512" i="119"/>
  <c r="P512" i="119" s="1"/>
  <c r="J511" i="119"/>
  <c r="I511" i="119"/>
  <c r="P511" i="119" s="1"/>
  <c r="J510" i="119"/>
  <c r="I510" i="119"/>
  <c r="P510" i="119" s="1"/>
  <c r="J509" i="119"/>
  <c r="I509" i="119"/>
  <c r="P509" i="119" s="1"/>
  <c r="J508" i="119"/>
  <c r="I508" i="119"/>
  <c r="P508" i="119" s="1"/>
  <c r="J507" i="119"/>
  <c r="I507" i="119"/>
  <c r="J506" i="119"/>
  <c r="I506" i="119"/>
  <c r="P506" i="119" s="1"/>
  <c r="J505" i="119"/>
  <c r="I505" i="119"/>
  <c r="P505" i="119" s="1"/>
  <c r="J504" i="119"/>
  <c r="I504" i="119"/>
  <c r="P504" i="119" s="1"/>
  <c r="J503" i="119"/>
  <c r="I503" i="119"/>
  <c r="P503" i="119" s="1"/>
  <c r="J464" i="119"/>
  <c r="I464" i="119"/>
  <c r="P464" i="119" s="1"/>
  <c r="J463" i="119"/>
  <c r="I463" i="119"/>
  <c r="P463" i="119" s="1"/>
  <c r="J462" i="119"/>
  <c r="I462" i="119"/>
  <c r="P462" i="119" s="1"/>
  <c r="J461" i="119"/>
  <c r="I461" i="119"/>
  <c r="P461" i="119" s="1"/>
  <c r="J460" i="119"/>
  <c r="I460" i="119"/>
  <c r="J430" i="119"/>
  <c r="I430" i="119"/>
  <c r="P430" i="119" s="1"/>
  <c r="J429" i="119"/>
  <c r="I429" i="119"/>
  <c r="P429" i="119" s="1"/>
  <c r="J428" i="119"/>
  <c r="I428" i="119"/>
  <c r="P428" i="119" s="1"/>
  <c r="J427" i="119"/>
  <c r="I427" i="119"/>
  <c r="P427" i="119" s="1"/>
  <c r="J426" i="119"/>
  <c r="I426" i="119"/>
  <c r="P426" i="119" s="1"/>
  <c r="J425" i="119"/>
  <c r="I425" i="119"/>
  <c r="P425" i="119" s="1"/>
  <c r="J424" i="119"/>
  <c r="I424" i="119"/>
  <c r="P424" i="119" s="1"/>
  <c r="J423" i="119"/>
  <c r="I423" i="119"/>
  <c r="P423" i="119" s="1"/>
  <c r="J422" i="119"/>
  <c r="I422" i="119"/>
  <c r="P422" i="119" s="1"/>
  <c r="J421" i="119"/>
  <c r="I421" i="119"/>
  <c r="P421" i="119" s="1"/>
  <c r="J420" i="119"/>
  <c r="I420" i="119"/>
  <c r="P420" i="119" s="1"/>
  <c r="J419" i="119"/>
  <c r="I419" i="119"/>
  <c r="P419" i="119" s="1"/>
  <c r="J418" i="119"/>
  <c r="I418" i="119"/>
  <c r="P418" i="119" s="1"/>
  <c r="J417" i="119"/>
  <c r="I417" i="119"/>
  <c r="P417" i="119" s="1"/>
  <c r="J392" i="119"/>
  <c r="I392" i="119"/>
  <c r="P392" i="119" s="1"/>
  <c r="J391" i="119"/>
  <c r="I391" i="119"/>
  <c r="P391" i="119" s="1"/>
  <c r="J390" i="119"/>
  <c r="I390" i="119"/>
  <c r="P390" i="119" s="1"/>
  <c r="J389" i="119"/>
  <c r="I389" i="119"/>
  <c r="P389" i="119" s="1"/>
  <c r="J388" i="119"/>
  <c r="I388" i="119"/>
  <c r="P388" i="119" s="1"/>
  <c r="J387" i="119"/>
  <c r="I387" i="119"/>
  <c r="P387" i="119" s="1"/>
  <c r="J386" i="119"/>
  <c r="I386" i="119"/>
  <c r="P386" i="119" s="1"/>
  <c r="J385" i="119"/>
  <c r="I385" i="119"/>
  <c r="P385" i="119" s="1"/>
  <c r="J384" i="119"/>
  <c r="I384" i="119"/>
  <c r="P384" i="119" s="1"/>
  <c r="J383" i="119"/>
  <c r="I383" i="119"/>
  <c r="P383" i="119" s="1"/>
  <c r="J382" i="119"/>
  <c r="I382" i="119"/>
  <c r="P382" i="119" s="1"/>
  <c r="J381" i="119"/>
  <c r="I381" i="119"/>
  <c r="P381" i="119" s="1"/>
  <c r="J380" i="119"/>
  <c r="I380" i="119"/>
  <c r="P380" i="119" s="1"/>
  <c r="J379" i="119"/>
  <c r="I379" i="119"/>
  <c r="P379" i="119" s="1"/>
  <c r="J378" i="119"/>
  <c r="I378" i="119"/>
  <c r="P378" i="119" s="1"/>
  <c r="J377" i="119"/>
  <c r="I377" i="119"/>
  <c r="P377" i="119" s="1"/>
  <c r="J376" i="119"/>
  <c r="I376" i="119"/>
  <c r="P376" i="119" s="1"/>
  <c r="J375" i="119"/>
  <c r="I375" i="119"/>
  <c r="P375" i="119" s="1"/>
  <c r="J374" i="119"/>
  <c r="I374" i="119"/>
  <c r="P374" i="119" s="1"/>
  <c r="J346" i="119"/>
  <c r="I346" i="119"/>
  <c r="P346" i="119" s="1"/>
  <c r="J345" i="119"/>
  <c r="I345" i="119"/>
  <c r="P345" i="119" s="1"/>
  <c r="J344" i="119"/>
  <c r="I344" i="119"/>
  <c r="P344" i="119" s="1"/>
  <c r="J343" i="119"/>
  <c r="I343" i="119"/>
  <c r="P343" i="119" s="1"/>
  <c r="J342" i="119"/>
  <c r="I342" i="119"/>
  <c r="P342" i="119" s="1"/>
  <c r="J341" i="119"/>
  <c r="I341" i="119"/>
  <c r="P341" i="119" s="1"/>
  <c r="J340" i="119"/>
  <c r="I340" i="119"/>
  <c r="P340" i="119" s="1"/>
  <c r="J339" i="119"/>
  <c r="I339" i="119"/>
  <c r="P339" i="119" s="1"/>
  <c r="J338" i="119"/>
  <c r="I338" i="119"/>
  <c r="P338" i="119" s="1"/>
  <c r="J337" i="119"/>
  <c r="I337" i="119"/>
  <c r="P337" i="119" s="1"/>
  <c r="J336" i="119"/>
  <c r="I336" i="119"/>
  <c r="P336" i="119" s="1"/>
  <c r="J335" i="119"/>
  <c r="I335" i="119"/>
  <c r="P335" i="119" s="1"/>
  <c r="J334" i="119"/>
  <c r="I334" i="119"/>
  <c r="P334" i="119" s="1"/>
  <c r="J333" i="119"/>
  <c r="I333" i="119"/>
  <c r="P333" i="119" s="1"/>
  <c r="J332" i="119"/>
  <c r="I332" i="119"/>
  <c r="P332" i="119" s="1"/>
  <c r="J331" i="119"/>
  <c r="I331" i="119"/>
  <c r="J303" i="119"/>
  <c r="I303" i="119"/>
  <c r="P303" i="119" s="1"/>
  <c r="J302" i="119"/>
  <c r="I302" i="119"/>
  <c r="P302" i="119" s="1"/>
  <c r="J301" i="119"/>
  <c r="I301" i="119"/>
  <c r="P301" i="119" s="1"/>
  <c r="J300" i="119"/>
  <c r="I300" i="119"/>
  <c r="P300" i="119" s="1"/>
  <c r="J299" i="119"/>
  <c r="I299" i="119"/>
  <c r="P299" i="119" s="1"/>
  <c r="J298" i="119"/>
  <c r="I298" i="119"/>
  <c r="P298" i="119" s="1"/>
  <c r="J297" i="119"/>
  <c r="I297" i="119"/>
  <c r="P297" i="119" s="1"/>
  <c r="J296" i="119"/>
  <c r="I296" i="119"/>
  <c r="P296" i="119" s="1"/>
  <c r="J295" i="119"/>
  <c r="I295" i="119"/>
  <c r="P295" i="119" s="1"/>
  <c r="J294" i="119"/>
  <c r="I294" i="119"/>
  <c r="P294" i="119" s="1"/>
  <c r="J293" i="119"/>
  <c r="I293" i="119"/>
  <c r="P293" i="119" s="1"/>
  <c r="J292" i="119"/>
  <c r="I292" i="119"/>
  <c r="P292" i="119" s="1"/>
  <c r="J291" i="119"/>
  <c r="I291" i="119"/>
  <c r="P291" i="119" s="1"/>
  <c r="J290" i="119"/>
  <c r="I290" i="119"/>
  <c r="P290" i="119" s="1"/>
  <c r="J289" i="119"/>
  <c r="I289" i="119"/>
  <c r="P289" i="119" s="1"/>
  <c r="J288" i="119"/>
  <c r="I288" i="119"/>
  <c r="P288" i="119" s="1"/>
  <c r="J256" i="119"/>
  <c r="I256" i="119"/>
  <c r="P256" i="119" s="1"/>
  <c r="J255" i="119"/>
  <c r="I255" i="119"/>
  <c r="P255" i="119" s="1"/>
  <c r="J254" i="119"/>
  <c r="I254" i="119"/>
  <c r="P254" i="119" s="1"/>
  <c r="J253" i="119"/>
  <c r="I253" i="119"/>
  <c r="P253" i="119" s="1"/>
  <c r="J252" i="119"/>
  <c r="I252" i="119"/>
  <c r="P252" i="119" s="1"/>
  <c r="J251" i="119"/>
  <c r="I251" i="119"/>
  <c r="P251" i="119" s="1"/>
  <c r="J250" i="119"/>
  <c r="I250" i="119"/>
  <c r="P250" i="119" s="1"/>
  <c r="J249" i="119"/>
  <c r="I249" i="119"/>
  <c r="P249" i="119" s="1"/>
  <c r="J248" i="119"/>
  <c r="I248" i="119"/>
  <c r="P248" i="119" s="1"/>
  <c r="J247" i="119"/>
  <c r="I247" i="119"/>
  <c r="P247" i="119" s="1"/>
  <c r="J246" i="119"/>
  <c r="I246" i="119"/>
  <c r="P246" i="119" s="1"/>
  <c r="J245" i="119"/>
  <c r="I245" i="119"/>
  <c r="P245" i="119" s="1"/>
  <c r="J220" i="119"/>
  <c r="I220" i="119"/>
  <c r="P220" i="119" s="1"/>
  <c r="J219" i="119"/>
  <c r="I219" i="119"/>
  <c r="P219" i="119" s="1"/>
  <c r="J218" i="119"/>
  <c r="I218" i="119"/>
  <c r="P218" i="119" s="1"/>
  <c r="J217" i="119"/>
  <c r="I217" i="119"/>
  <c r="P217" i="119" s="1"/>
  <c r="J216" i="119"/>
  <c r="I216" i="119"/>
  <c r="P216" i="119" s="1"/>
  <c r="J215" i="119"/>
  <c r="I215" i="119"/>
  <c r="P215" i="119" s="1"/>
  <c r="J214" i="119"/>
  <c r="I214" i="119"/>
  <c r="P214" i="119" s="1"/>
  <c r="J213" i="119"/>
  <c r="I213" i="119"/>
  <c r="P213" i="119" s="1"/>
  <c r="J212" i="119"/>
  <c r="I212" i="119"/>
  <c r="P212" i="119" s="1"/>
  <c r="J211" i="119"/>
  <c r="I211" i="119"/>
  <c r="P211" i="119" s="1"/>
  <c r="J210" i="119"/>
  <c r="I210" i="119"/>
  <c r="P210" i="119" s="1"/>
  <c r="J209" i="119"/>
  <c r="I209" i="119"/>
  <c r="P209" i="119" s="1"/>
  <c r="J208" i="119"/>
  <c r="I208" i="119"/>
  <c r="P208" i="119" s="1"/>
  <c r="J207" i="119"/>
  <c r="I207" i="119"/>
  <c r="P207" i="119" s="1"/>
  <c r="J206" i="119"/>
  <c r="I206" i="119"/>
  <c r="P206" i="119" s="1"/>
  <c r="J205" i="119"/>
  <c r="I205" i="119"/>
  <c r="J204" i="119"/>
  <c r="I204" i="119"/>
  <c r="P204" i="119" s="1"/>
  <c r="J203" i="119"/>
  <c r="I203" i="119"/>
  <c r="P203" i="119" s="1"/>
  <c r="J202" i="119"/>
  <c r="I202" i="119"/>
  <c r="P202" i="119" s="1"/>
  <c r="J178" i="119"/>
  <c r="I178" i="119"/>
  <c r="P178" i="119" s="1"/>
  <c r="J177" i="119"/>
  <c r="I177" i="119"/>
  <c r="P177" i="119" s="1"/>
  <c r="J176" i="119"/>
  <c r="I176" i="119"/>
  <c r="P176" i="119" s="1"/>
  <c r="J175" i="119"/>
  <c r="I175" i="119"/>
  <c r="P175" i="119" s="1"/>
  <c r="J174" i="119"/>
  <c r="I174" i="119"/>
  <c r="P174" i="119" s="1"/>
  <c r="J173" i="119"/>
  <c r="I173" i="119"/>
  <c r="P173" i="119" s="1"/>
  <c r="J172" i="119"/>
  <c r="I172" i="119"/>
  <c r="P172" i="119" s="1"/>
  <c r="J171" i="119"/>
  <c r="I171" i="119"/>
  <c r="P171" i="119" s="1"/>
  <c r="J170" i="119"/>
  <c r="I170" i="119"/>
  <c r="P170" i="119" s="1"/>
  <c r="J169" i="119"/>
  <c r="I169" i="119"/>
  <c r="P169" i="119" s="1"/>
  <c r="J168" i="119"/>
  <c r="I168" i="119"/>
  <c r="P168" i="119" s="1"/>
  <c r="J167" i="119"/>
  <c r="I167" i="119"/>
  <c r="P167" i="119" s="1"/>
  <c r="J166" i="119"/>
  <c r="I166" i="119"/>
  <c r="P166" i="119" s="1"/>
  <c r="J165" i="119"/>
  <c r="I165" i="119"/>
  <c r="P165" i="119" s="1"/>
  <c r="J164" i="119"/>
  <c r="I164" i="119"/>
  <c r="P164" i="119" s="1"/>
  <c r="J163" i="119"/>
  <c r="I163" i="119"/>
  <c r="P163" i="119" s="1"/>
  <c r="J162" i="119"/>
  <c r="I162" i="119"/>
  <c r="P162" i="119" s="1"/>
  <c r="J161" i="119"/>
  <c r="I161" i="119"/>
  <c r="P161" i="119" s="1"/>
  <c r="J160" i="119"/>
  <c r="I160" i="119"/>
  <c r="P160" i="119" s="1"/>
  <c r="J159" i="119"/>
  <c r="I159" i="119"/>
  <c r="P159" i="119" s="1"/>
  <c r="J133" i="119"/>
  <c r="I133" i="119"/>
  <c r="P133" i="119" s="1"/>
  <c r="J132" i="119"/>
  <c r="I132" i="119"/>
  <c r="P132" i="119" s="1"/>
  <c r="J131" i="119"/>
  <c r="I131" i="119"/>
  <c r="P131" i="119" s="1"/>
  <c r="J130" i="119"/>
  <c r="I130" i="119"/>
  <c r="P130" i="119" s="1"/>
  <c r="J129" i="119"/>
  <c r="I129" i="119"/>
  <c r="P129" i="119" s="1"/>
  <c r="J128" i="119"/>
  <c r="I128" i="119"/>
  <c r="P128" i="119" s="1"/>
  <c r="J127" i="119"/>
  <c r="I127" i="119"/>
  <c r="P127" i="119" s="1"/>
  <c r="J126" i="119"/>
  <c r="I126" i="119"/>
  <c r="P126" i="119" s="1"/>
  <c r="J125" i="119"/>
  <c r="I125" i="119"/>
  <c r="P125" i="119" s="1"/>
  <c r="J124" i="119"/>
  <c r="I124" i="119"/>
  <c r="P124" i="119" s="1"/>
  <c r="J123" i="119"/>
  <c r="I123" i="119"/>
  <c r="P123" i="119" s="1"/>
  <c r="J122" i="119"/>
  <c r="I122" i="119"/>
  <c r="P122" i="119" s="1"/>
  <c r="J121" i="119"/>
  <c r="I121" i="119"/>
  <c r="P121" i="119" s="1"/>
  <c r="J120" i="119"/>
  <c r="I120" i="119"/>
  <c r="P120" i="119" s="1"/>
  <c r="J119" i="119"/>
  <c r="I119" i="119"/>
  <c r="P119" i="119" s="1"/>
  <c r="J118" i="119"/>
  <c r="I118" i="119"/>
  <c r="P118" i="119" s="1"/>
  <c r="J117" i="119"/>
  <c r="I117" i="119"/>
  <c r="P117" i="119" s="1"/>
  <c r="J116" i="119"/>
  <c r="I116" i="119"/>
  <c r="J75" i="119"/>
  <c r="J74" i="119"/>
  <c r="J73" i="119"/>
  <c r="I75" i="119"/>
  <c r="P75" i="119" s="1"/>
  <c r="I74" i="119"/>
  <c r="P74" i="119" s="1"/>
  <c r="I73" i="119"/>
  <c r="BG1000" i="16"/>
  <c r="AJ26" i="37"/>
  <c r="AJ30" i="37"/>
  <c r="AJ28" i="37"/>
  <c r="BD6" i="37"/>
  <c r="AE6" i="37"/>
  <c r="AP6" i="37"/>
  <c r="AJ57" i="37"/>
  <c r="AJ55" i="37"/>
  <c r="AJ53" i="37"/>
  <c r="T57" i="37"/>
  <c r="T55" i="37"/>
  <c r="T53" i="37"/>
  <c r="T30" i="37"/>
  <c r="T28" i="37"/>
  <c r="T26" i="37"/>
  <c r="C1064" i="119"/>
  <c r="C1063" i="119"/>
  <c r="C1062" i="119"/>
  <c r="C1035" i="119"/>
  <c r="C1034" i="119"/>
  <c r="C1033" i="119"/>
  <c r="C1032" i="119"/>
  <c r="C1031" i="119"/>
  <c r="C1030" i="119"/>
  <c r="C1029" i="119"/>
  <c r="C1028" i="119"/>
  <c r="C1027" i="119"/>
  <c r="C1026" i="119"/>
  <c r="C1025" i="119"/>
  <c r="C1024" i="119"/>
  <c r="C1023" i="119"/>
  <c r="C1022" i="119"/>
  <c r="C1021" i="119"/>
  <c r="C1020" i="119"/>
  <c r="C1019" i="119"/>
  <c r="C990" i="119"/>
  <c r="C989" i="119"/>
  <c r="C988" i="119"/>
  <c r="C987" i="119"/>
  <c r="C986" i="119"/>
  <c r="C985" i="119"/>
  <c r="C984" i="119"/>
  <c r="C983" i="119"/>
  <c r="C982" i="119"/>
  <c r="C981" i="119"/>
  <c r="C980" i="119"/>
  <c r="C979" i="119"/>
  <c r="C978" i="119"/>
  <c r="C977" i="119"/>
  <c r="C976" i="119"/>
  <c r="C948" i="119"/>
  <c r="C947" i="119"/>
  <c r="C946" i="119"/>
  <c r="C945" i="119"/>
  <c r="C944" i="119"/>
  <c r="C943" i="119"/>
  <c r="C942" i="119"/>
  <c r="C941" i="119"/>
  <c r="C940" i="119"/>
  <c r="C939" i="119"/>
  <c r="C938" i="119"/>
  <c r="C937" i="119"/>
  <c r="C936" i="119"/>
  <c r="C935" i="119"/>
  <c r="C934" i="119"/>
  <c r="C933" i="119"/>
  <c r="C898" i="119"/>
  <c r="C897" i="119"/>
  <c r="C896" i="119"/>
  <c r="C895" i="119"/>
  <c r="C894" i="119"/>
  <c r="C893" i="119"/>
  <c r="C892" i="119"/>
  <c r="C891" i="119"/>
  <c r="C890" i="119"/>
  <c r="C861" i="119"/>
  <c r="C860" i="119"/>
  <c r="C859" i="119"/>
  <c r="C858" i="119"/>
  <c r="C857" i="119"/>
  <c r="C856" i="119"/>
  <c r="C855" i="119"/>
  <c r="C854" i="119"/>
  <c r="C853" i="119"/>
  <c r="C852" i="119"/>
  <c r="C851" i="119"/>
  <c r="C850" i="119"/>
  <c r="C849" i="119"/>
  <c r="C848" i="119"/>
  <c r="C847" i="119"/>
  <c r="C823" i="119"/>
  <c r="C822" i="119"/>
  <c r="C821" i="119"/>
  <c r="C820" i="119"/>
  <c r="C819" i="119"/>
  <c r="C818" i="119"/>
  <c r="C817" i="119"/>
  <c r="C816" i="119"/>
  <c r="C815" i="119"/>
  <c r="C814" i="119"/>
  <c r="C813" i="119"/>
  <c r="C812" i="119"/>
  <c r="C811" i="119"/>
  <c r="C810" i="119"/>
  <c r="C809" i="119"/>
  <c r="C808" i="119"/>
  <c r="C807" i="119"/>
  <c r="C806" i="119"/>
  <c r="C805" i="119"/>
  <c r="C804" i="119"/>
  <c r="C777" i="119"/>
  <c r="C776" i="119"/>
  <c r="C775" i="119"/>
  <c r="C774" i="119"/>
  <c r="C773" i="119"/>
  <c r="C772" i="119"/>
  <c r="C771" i="119"/>
  <c r="C770" i="119"/>
  <c r="C769" i="119"/>
  <c r="C768" i="119"/>
  <c r="C767" i="119"/>
  <c r="C766" i="119"/>
  <c r="C765" i="119"/>
  <c r="C764" i="119"/>
  <c r="C763" i="119"/>
  <c r="C762" i="119"/>
  <c r="C761" i="119"/>
  <c r="C734" i="119"/>
  <c r="C733" i="119"/>
  <c r="C732" i="119"/>
  <c r="C731" i="119"/>
  <c r="C730" i="119"/>
  <c r="C729" i="119"/>
  <c r="C728" i="119"/>
  <c r="C727" i="119"/>
  <c r="C726" i="119"/>
  <c r="C725" i="119"/>
  <c r="C724" i="119"/>
  <c r="C723" i="119"/>
  <c r="C722" i="119"/>
  <c r="C721" i="119"/>
  <c r="C720" i="119"/>
  <c r="C719" i="119"/>
  <c r="C718" i="119"/>
  <c r="C691" i="119"/>
  <c r="C690" i="119"/>
  <c r="C689" i="119"/>
  <c r="C688" i="119"/>
  <c r="C687" i="119"/>
  <c r="C686" i="119"/>
  <c r="C685" i="119"/>
  <c r="C684" i="119"/>
  <c r="C683" i="119"/>
  <c r="C682" i="119"/>
  <c r="C681" i="119"/>
  <c r="C680" i="119"/>
  <c r="C679" i="119"/>
  <c r="C678" i="119"/>
  <c r="C677" i="119"/>
  <c r="C676" i="119"/>
  <c r="C675" i="119"/>
  <c r="C649" i="119"/>
  <c r="C648" i="119"/>
  <c r="C647" i="119"/>
  <c r="C646" i="119"/>
  <c r="C645" i="119"/>
  <c r="C644" i="119"/>
  <c r="C643" i="119"/>
  <c r="C642" i="119"/>
  <c r="C641" i="119"/>
  <c r="C640" i="119"/>
  <c r="C639" i="119"/>
  <c r="C638" i="119"/>
  <c r="C637" i="119"/>
  <c r="C636" i="119"/>
  <c r="C635" i="119"/>
  <c r="C634" i="119"/>
  <c r="C633" i="119"/>
  <c r="C632" i="119"/>
  <c r="C606" i="119"/>
  <c r="C605" i="119"/>
  <c r="C604" i="119"/>
  <c r="C603" i="119"/>
  <c r="C602" i="119"/>
  <c r="C601" i="119"/>
  <c r="C600" i="119"/>
  <c r="C599" i="119"/>
  <c r="C598" i="119"/>
  <c r="C597" i="119"/>
  <c r="C596" i="119"/>
  <c r="C595" i="119"/>
  <c r="C594" i="119"/>
  <c r="C593" i="119"/>
  <c r="C592" i="119"/>
  <c r="C591" i="119"/>
  <c r="C590" i="119"/>
  <c r="C589" i="119"/>
  <c r="C563" i="119"/>
  <c r="C562" i="119"/>
  <c r="C561" i="119"/>
  <c r="C560" i="119"/>
  <c r="C559" i="119"/>
  <c r="C558" i="119"/>
  <c r="C557" i="119"/>
  <c r="C556" i="119"/>
  <c r="C555" i="119"/>
  <c r="C554" i="119"/>
  <c r="C553" i="119"/>
  <c r="C552" i="119"/>
  <c r="C551" i="119"/>
  <c r="C550" i="119"/>
  <c r="C549" i="119"/>
  <c r="C548" i="119"/>
  <c r="C547" i="119"/>
  <c r="C546" i="119"/>
  <c r="C514" i="119"/>
  <c r="C513" i="119"/>
  <c r="C512" i="119"/>
  <c r="C511" i="119"/>
  <c r="C510" i="119"/>
  <c r="C509" i="119"/>
  <c r="C508" i="119"/>
  <c r="C507" i="119"/>
  <c r="C506" i="119"/>
  <c r="C505" i="119"/>
  <c r="C504" i="119"/>
  <c r="C503" i="119"/>
  <c r="C464" i="119"/>
  <c r="C463" i="119"/>
  <c r="C462" i="119"/>
  <c r="C461" i="119"/>
  <c r="C460" i="119"/>
  <c r="C430" i="119"/>
  <c r="C429" i="119"/>
  <c r="C428" i="119"/>
  <c r="C427" i="119"/>
  <c r="C426" i="119"/>
  <c r="C425" i="119"/>
  <c r="C424" i="119"/>
  <c r="C423" i="119"/>
  <c r="C422" i="119"/>
  <c r="C421" i="119"/>
  <c r="C420" i="119"/>
  <c r="C419" i="119"/>
  <c r="C418" i="119"/>
  <c r="C417" i="119"/>
  <c r="C392" i="119"/>
  <c r="C391" i="119"/>
  <c r="C390" i="119"/>
  <c r="C389" i="119"/>
  <c r="C388" i="119"/>
  <c r="C387" i="119"/>
  <c r="C386" i="119"/>
  <c r="C385" i="119"/>
  <c r="C384" i="119"/>
  <c r="C383" i="119"/>
  <c r="C382" i="119"/>
  <c r="C381" i="119"/>
  <c r="C380" i="119"/>
  <c r="C379" i="119"/>
  <c r="C378" i="119"/>
  <c r="C377" i="119"/>
  <c r="C376" i="119"/>
  <c r="C375" i="119"/>
  <c r="C374" i="119"/>
  <c r="C346" i="119"/>
  <c r="C345" i="119"/>
  <c r="C344" i="119"/>
  <c r="C343" i="119"/>
  <c r="C342" i="119"/>
  <c r="C341" i="119"/>
  <c r="C340" i="119"/>
  <c r="C339" i="119"/>
  <c r="C338" i="119"/>
  <c r="C337" i="119"/>
  <c r="C336" i="119"/>
  <c r="C335" i="119"/>
  <c r="C334" i="119"/>
  <c r="C333" i="119"/>
  <c r="C332" i="119"/>
  <c r="C331" i="119"/>
  <c r="C303" i="119"/>
  <c r="C302" i="119"/>
  <c r="C301" i="119"/>
  <c r="C300" i="119"/>
  <c r="C299" i="119"/>
  <c r="C298" i="119"/>
  <c r="C297" i="119"/>
  <c r="C296" i="119"/>
  <c r="C295" i="119"/>
  <c r="C294" i="119"/>
  <c r="C293" i="119"/>
  <c r="C292" i="119"/>
  <c r="C291" i="119"/>
  <c r="C290" i="119"/>
  <c r="C289" i="119"/>
  <c r="C288" i="119"/>
  <c r="C256" i="119"/>
  <c r="C255" i="119"/>
  <c r="C254" i="119"/>
  <c r="C253" i="119"/>
  <c r="C252" i="119"/>
  <c r="C251" i="119"/>
  <c r="C250" i="119"/>
  <c r="C249" i="119"/>
  <c r="C248" i="119"/>
  <c r="C247" i="119"/>
  <c r="C246" i="119"/>
  <c r="C245" i="119"/>
  <c r="C220" i="119"/>
  <c r="C219" i="119"/>
  <c r="C218" i="119"/>
  <c r="C217" i="119"/>
  <c r="C216" i="119"/>
  <c r="C215" i="119"/>
  <c r="C214" i="119"/>
  <c r="C213" i="119"/>
  <c r="C212" i="119"/>
  <c r="C211" i="119"/>
  <c r="C210" i="119"/>
  <c r="C209" i="119"/>
  <c r="C208" i="119"/>
  <c r="C207" i="119"/>
  <c r="C206" i="119"/>
  <c r="C205" i="119"/>
  <c r="C204" i="119"/>
  <c r="C203" i="119"/>
  <c r="C202" i="119"/>
  <c r="C178" i="119"/>
  <c r="C177" i="119"/>
  <c r="C176" i="119"/>
  <c r="C175" i="119"/>
  <c r="C174" i="119"/>
  <c r="C173" i="119"/>
  <c r="C172" i="119"/>
  <c r="C171" i="119"/>
  <c r="C170" i="119"/>
  <c r="C169" i="119"/>
  <c r="C168" i="119"/>
  <c r="C167" i="119"/>
  <c r="C166" i="119"/>
  <c r="C165" i="119"/>
  <c r="C164" i="119"/>
  <c r="C163" i="119"/>
  <c r="C162" i="119"/>
  <c r="C161" i="119"/>
  <c r="C160" i="119"/>
  <c r="C159" i="119"/>
  <c r="C133" i="119"/>
  <c r="C132" i="119"/>
  <c r="C131" i="119"/>
  <c r="C130" i="119"/>
  <c r="C129" i="119"/>
  <c r="C128" i="119"/>
  <c r="C127" i="119"/>
  <c r="C126" i="119"/>
  <c r="C125" i="119"/>
  <c r="C124" i="119"/>
  <c r="C123" i="119"/>
  <c r="C122" i="119"/>
  <c r="C121" i="119"/>
  <c r="C120" i="119"/>
  <c r="C119" i="119"/>
  <c r="C118" i="119"/>
  <c r="C117" i="119"/>
  <c r="C116" i="119"/>
  <c r="C79" i="119"/>
  <c r="C78" i="119"/>
  <c r="C77" i="119"/>
  <c r="C76" i="119"/>
  <c r="C75" i="119"/>
  <c r="C74" i="119"/>
  <c r="C73" i="119"/>
  <c r="BD782" i="16"/>
  <c r="BD781" i="16"/>
  <c r="BD780" i="16"/>
  <c r="BD779" i="16"/>
  <c r="BD778" i="16"/>
  <c r="BD777" i="16"/>
  <c r="BD776" i="16"/>
  <c r="BD775" i="16"/>
  <c r="BD774" i="16"/>
  <c r="BD773" i="16"/>
  <c r="BD772" i="16"/>
  <c r="BD771" i="16"/>
  <c r="BD770" i="16"/>
  <c r="BD769" i="16"/>
  <c r="BD768" i="16"/>
  <c r="BD767" i="16"/>
  <c r="BD766" i="16"/>
  <c r="BD765" i="16"/>
  <c r="BD764" i="16"/>
  <c r="BD763" i="16"/>
  <c r="BD737" i="16"/>
  <c r="BD736" i="16"/>
  <c r="BD735" i="16"/>
  <c r="BD734" i="16"/>
  <c r="BD733" i="16"/>
  <c r="BD732" i="16"/>
  <c r="BD731" i="16"/>
  <c r="BD730" i="16"/>
  <c r="BD729" i="16"/>
  <c r="BD728" i="16"/>
  <c r="BD727" i="16"/>
  <c r="BD726" i="16"/>
  <c r="BD725" i="16"/>
  <c r="BD724" i="16"/>
  <c r="BD723" i="16"/>
  <c r="BD722" i="16"/>
  <c r="BD721" i="16"/>
  <c r="BD720" i="16"/>
  <c r="BD719" i="16"/>
  <c r="BD718" i="16"/>
  <c r="BD698" i="16"/>
  <c r="BD697" i="16"/>
  <c r="BD690" i="16"/>
  <c r="BD689" i="16"/>
  <c r="BD688" i="16"/>
  <c r="BD687" i="16"/>
  <c r="BD686" i="16"/>
  <c r="BD685" i="16"/>
  <c r="BD684" i="16"/>
  <c r="BD683" i="16"/>
  <c r="BD682" i="16"/>
  <c r="BD681" i="16"/>
  <c r="BD680" i="16"/>
  <c r="BD679" i="16"/>
  <c r="BD678" i="16"/>
  <c r="BD677" i="16"/>
  <c r="BD676" i="16"/>
  <c r="BD675" i="16"/>
  <c r="BD674" i="16"/>
  <c r="BD673" i="16"/>
  <c r="BD172" i="16"/>
  <c r="BD171" i="16"/>
  <c r="BD150" i="16"/>
  <c r="BD149" i="16"/>
  <c r="BD148" i="16"/>
  <c r="BD147" i="16"/>
  <c r="BD146" i="16"/>
  <c r="BD145" i="16"/>
  <c r="BD144" i="16"/>
  <c r="BD143" i="16"/>
  <c r="BD142" i="16"/>
  <c r="BD141" i="16"/>
  <c r="BD140" i="16"/>
  <c r="BD139" i="16"/>
  <c r="BD138" i="16"/>
  <c r="BD137" i="16"/>
  <c r="BD136" i="16"/>
  <c r="BD135" i="16"/>
  <c r="BD134" i="16"/>
  <c r="BD133" i="16"/>
  <c r="AV985" i="16"/>
  <c r="AV772" i="16"/>
  <c r="AV595" i="16"/>
  <c r="BL1207" i="16"/>
  <c r="BL1206" i="16"/>
  <c r="BL1202" i="16"/>
  <c r="BL1220" i="16"/>
  <c r="U72" i="63"/>
  <c r="P72" i="63"/>
  <c r="M72" i="63"/>
  <c r="I72" i="63"/>
  <c r="AX111" i="36"/>
  <c r="AX113" i="36"/>
  <c r="AX110" i="36"/>
  <c r="K109" i="36"/>
  <c r="O99" i="69" s="1"/>
  <c r="BD88" i="16"/>
  <c r="BD89" i="16"/>
  <c r="BD90" i="16"/>
  <c r="BD91" i="16"/>
  <c r="BD92" i="16"/>
  <c r="BD93" i="16"/>
  <c r="BD94" i="16"/>
  <c r="BD95" i="16"/>
  <c r="BD96" i="16"/>
  <c r="BD97" i="16"/>
  <c r="BD98" i="16"/>
  <c r="BD99" i="16"/>
  <c r="BD100" i="16"/>
  <c r="BD101" i="16"/>
  <c r="BD102" i="16"/>
  <c r="BD103" i="16"/>
  <c r="BD104" i="16"/>
  <c r="BD120" i="16"/>
  <c r="BD121" i="16"/>
  <c r="BD122" i="16"/>
  <c r="EK32" i="36"/>
  <c r="CB34" i="69"/>
  <c r="S23" i="25"/>
  <c r="AB103" i="13"/>
  <c r="BG85" i="16"/>
  <c r="BF85" i="16"/>
  <c r="M12" i="13"/>
  <c r="I20" i="30"/>
  <c r="I23" i="30"/>
  <c r="BG1037" i="16"/>
  <c r="BG901" i="16"/>
  <c r="BG913" i="16"/>
  <c r="BG766" i="16"/>
  <c r="BG676" i="16"/>
  <c r="BG900" i="16"/>
  <c r="BG367" i="16"/>
  <c r="BG861" i="16"/>
  <c r="BG553" i="16"/>
  <c r="BG816" i="16"/>
  <c r="BG857" i="16"/>
  <c r="BG853" i="16"/>
  <c r="BG544" i="16"/>
  <c r="BG371" i="16"/>
  <c r="BG503" i="16"/>
  <c r="BG183" i="16"/>
  <c r="BG240" i="16"/>
  <c r="BG273" i="16"/>
  <c r="BG314" i="16"/>
  <c r="BG912" i="16"/>
  <c r="BG289" i="16"/>
  <c r="BG269" i="16"/>
  <c r="BG330" i="16"/>
  <c r="BG326" i="16"/>
  <c r="BG417" i="16"/>
  <c r="BG507" i="16"/>
  <c r="BG775" i="16"/>
  <c r="BG726" i="16"/>
  <c r="BG722" i="16"/>
  <c r="BG550" i="16"/>
  <c r="BG362" i="16"/>
  <c r="BG292" i="16"/>
  <c r="BG223" i="16"/>
  <c r="BG730" i="16"/>
  <c r="BG366" i="16"/>
  <c r="BG734" i="16"/>
  <c r="BG718" i="16"/>
  <c r="BG1091" i="16"/>
  <c r="BG230" i="16"/>
  <c r="BG1141" i="16"/>
  <c r="BG1092" i="16"/>
  <c r="BG1084" i="16"/>
  <c r="BG295" i="16"/>
  <c r="BG262" i="16"/>
  <c r="BG193" i="16"/>
  <c r="BG365" i="16"/>
  <c r="BG727" i="16"/>
  <c r="BG194" i="16"/>
  <c r="BG448" i="16"/>
  <c r="BG962" i="16"/>
  <c r="BG995" i="16"/>
  <c r="BG556" i="16"/>
  <c r="BG548" i="16"/>
  <c r="BG646" i="16"/>
  <c r="BG634" i="16"/>
  <c r="BG827" i="16"/>
  <c r="BG680" i="16"/>
  <c r="BG643" i="16"/>
  <c r="BG774" i="16"/>
  <c r="BG770" i="16"/>
  <c r="BG1039" i="16"/>
  <c r="BG1035" i="16"/>
  <c r="BG508" i="16"/>
  <c r="BG487" i="16"/>
  <c r="BG451" i="16"/>
  <c r="BG725" i="16"/>
  <c r="BG185" i="16"/>
  <c r="BL1209" i="16"/>
  <c r="AI29" i="69"/>
  <c r="BI1217" i="16"/>
  <c r="AX29" i="69"/>
  <c r="K121" i="36"/>
  <c r="O111" i="69" s="1"/>
  <c r="BG1049" i="16"/>
  <c r="BG959" i="16"/>
  <c r="AX15" i="69"/>
  <c r="K113" i="36"/>
  <c r="O103" i="69" s="1"/>
  <c r="AX13" i="69"/>
  <c r="BI1213" i="16"/>
  <c r="K104" i="36"/>
  <c r="O94" i="69" s="1"/>
  <c r="BL1210" i="16"/>
  <c r="BI1216" i="16"/>
  <c r="K106" i="36"/>
  <c r="O96" i="69" s="1"/>
  <c r="AI23" i="69"/>
  <c r="AX21" i="69"/>
  <c r="K111" i="36"/>
  <c r="O101" i="69" s="1"/>
  <c r="AI17" i="69"/>
  <c r="K99" i="36"/>
  <c r="O89" i="69" s="1"/>
  <c r="AI19" i="69"/>
  <c r="K116" i="36"/>
  <c r="O106" i="69" s="1"/>
  <c r="W1066" i="25"/>
  <c r="Y1066" i="25" s="1"/>
  <c r="BI1199" i="16"/>
  <c r="BL1204" i="16"/>
  <c r="AI25" i="69"/>
  <c r="BI1207" i="16"/>
  <c r="BL1211" i="16"/>
  <c r="K114" i="36"/>
  <c r="O104" i="69" s="1"/>
  <c r="BL1218" i="16"/>
  <c r="K118" i="36"/>
  <c r="O108" i="69" s="1"/>
  <c r="BI1218" i="16"/>
  <c r="BI1206" i="16"/>
  <c r="BI1208" i="16"/>
  <c r="K107" i="36"/>
  <c r="O97" i="69" s="1"/>
  <c r="K117" i="36"/>
  <c r="O107" i="69" s="1"/>
  <c r="AX9" i="69"/>
  <c r="AX23" i="69"/>
  <c r="BI1221" i="16"/>
  <c r="BI1210" i="16"/>
  <c r="BI1204" i="16"/>
  <c r="BI1211" i="16"/>
  <c r="BI1214" i="16"/>
  <c r="BL1217" i="16"/>
  <c r="AI21" i="69"/>
  <c r="K105" i="36"/>
  <c r="O95" i="69" s="1"/>
  <c r="BL1205" i="16"/>
  <c r="BI1205" i="16"/>
  <c r="AI27" i="69"/>
  <c r="K108" i="36"/>
  <c r="O98" i="69" s="1"/>
  <c r="K112" i="36"/>
  <c r="O102" i="69" s="1"/>
  <c r="BL1215" i="16"/>
  <c r="K115" i="36"/>
  <c r="O105" i="69" s="1"/>
  <c r="AX17" i="69"/>
  <c r="BI1215" i="16"/>
  <c r="BI1219" i="16"/>
  <c r="AX25" i="69"/>
  <c r="K119" i="36"/>
  <c r="O109" i="69" s="1"/>
  <c r="AI9" i="69"/>
  <c r="BI1209" i="16"/>
  <c r="AX19" i="69"/>
  <c r="BL1199" i="16"/>
  <c r="BL1213" i="16"/>
  <c r="BL1221" i="16"/>
  <c r="BL1219" i="16"/>
  <c r="BL1214" i="16"/>
  <c r="W270" i="25"/>
  <c r="Y270" i="25" s="1"/>
  <c r="W388" i="25"/>
  <c r="W455" i="25"/>
  <c r="W895" i="25"/>
  <c r="BL1216" i="16"/>
  <c r="BL1208" i="16"/>
  <c r="K120" i="36"/>
  <c r="O110" i="69" s="1"/>
  <c r="AX27" i="69"/>
  <c r="BI1220" i="16"/>
  <c r="K102" i="36"/>
  <c r="O92" i="69" s="1"/>
  <c r="AI15" i="69"/>
  <c r="BI1202" i="16"/>
  <c r="BI1200" i="16"/>
  <c r="BG495" i="16"/>
  <c r="BG1083" i="16"/>
  <c r="BG1051" i="16"/>
  <c r="BG992" i="16"/>
  <c r="BG960" i="16"/>
  <c r="BG948" i="16"/>
  <c r="BG825" i="16"/>
  <c r="BG821" i="16"/>
  <c r="BG817" i="16"/>
  <c r="BG813" i="16"/>
  <c r="BG809" i="16"/>
  <c r="BG776" i="16"/>
  <c r="BG735" i="16"/>
  <c r="BG731" i="16"/>
  <c r="BG629" i="16"/>
  <c r="BG600" i="16"/>
  <c r="BG596" i="16"/>
  <c r="BG555" i="16"/>
  <c r="BG510" i="16"/>
  <c r="BG453" i="16"/>
  <c r="BG449" i="16"/>
  <c r="BG421" i="16"/>
  <c r="BG405" i="16"/>
  <c r="BG372" i="16"/>
  <c r="BG360" i="16"/>
  <c r="BG331" i="16"/>
  <c r="BG327" i="16"/>
  <c r="BG319" i="16"/>
  <c r="BG278" i="16"/>
  <c r="BG274" i="16"/>
  <c r="BG237" i="16"/>
  <c r="BG225" i="16"/>
  <c r="BG1003" i="16"/>
  <c r="BG865" i="16"/>
  <c r="W100" i="25"/>
  <c r="Y100" i="25" s="1"/>
  <c r="W220" i="25"/>
  <c r="BA727" i="16"/>
  <c r="BG675" i="16"/>
  <c r="BG96" i="16"/>
  <c r="BG1116" i="16"/>
  <c r="BG746" i="16"/>
  <c r="W851" i="25"/>
  <c r="W798" i="25"/>
  <c r="Y798" i="25" s="1"/>
  <c r="W734" i="25"/>
  <c r="Y734" i="25" s="1"/>
  <c r="W742" i="25"/>
  <c r="Y742" i="25" s="1"/>
  <c r="BG622" i="16"/>
  <c r="W682" i="25"/>
  <c r="Y682" i="25" s="1"/>
  <c r="W694" i="25"/>
  <c r="Y694" i="25" s="1"/>
  <c r="W699" i="25"/>
  <c r="W619" i="25"/>
  <c r="W623" i="25"/>
  <c r="W616" i="25"/>
  <c r="Y616" i="25" s="1"/>
  <c r="W620" i="25"/>
  <c r="Y620" i="25" s="1"/>
  <c r="W624" i="25"/>
  <c r="Y624" i="25" s="1"/>
  <c r="W640" i="25"/>
  <c r="Y640" i="25" s="1"/>
  <c r="W558" i="25"/>
  <c r="Y558" i="25" s="1"/>
  <c r="W559" i="25"/>
  <c r="W571" i="25"/>
  <c r="Y571" i="25" s="1"/>
  <c r="BG523" i="16"/>
  <c r="W515" i="25"/>
  <c r="Y515" i="25" s="1"/>
  <c r="W523" i="25"/>
  <c r="W530" i="25"/>
  <c r="W462" i="25"/>
  <c r="Y462" i="25" s="1"/>
  <c r="W398" i="25"/>
  <c r="Y398" i="25" s="1"/>
  <c r="W406" i="25"/>
  <c r="Y406" i="25" s="1"/>
  <c r="W414" i="25"/>
  <c r="Y414" i="25" s="1"/>
  <c r="W343" i="25"/>
  <c r="W348" i="25"/>
  <c r="Y348" i="25" s="1"/>
  <c r="W286" i="25"/>
  <c r="Y286" i="25" s="1"/>
  <c r="W290" i="25"/>
  <c r="Y290" i="25" s="1"/>
  <c r="W302" i="25"/>
  <c r="Y302" i="25" s="1"/>
  <c r="W306" i="25"/>
  <c r="Y306" i="25" s="1"/>
  <c r="W301" i="25"/>
  <c r="W280" i="25"/>
  <c r="Y280" i="25" s="1"/>
  <c r="W292" i="25"/>
  <c r="BG275" i="16"/>
  <c r="W234" i="25"/>
  <c r="Y234" i="25" s="1"/>
  <c r="W250" i="25"/>
  <c r="Y250" i="25" s="1"/>
  <c r="W235" i="25"/>
  <c r="W176" i="25"/>
  <c r="Y176" i="25" s="1"/>
  <c r="W184" i="25"/>
  <c r="W183" i="25"/>
  <c r="W187" i="25"/>
  <c r="W191" i="25"/>
  <c r="W195" i="25"/>
  <c r="BG1112" i="16"/>
  <c r="BG1117" i="16"/>
  <c r="BG1108" i="16"/>
  <c r="BG1026" i="16"/>
  <c r="BG975" i="16"/>
  <c r="BG979" i="16"/>
  <c r="BG963" i="16"/>
  <c r="BG978" i="16"/>
  <c r="BG593" i="16"/>
  <c r="BG531" i="16"/>
  <c r="BG431" i="16"/>
  <c r="BG391" i="16"/>
  <c r="BG352" i="16"/>
  <c r="W272" i="25"/>
  <c r="W328" i="25"/>
  <c r="Y328" i="25" s="1"/>
  <c r="W383" i="25"/>
  <c r="W387" i="25"/>
  <c r="W438" i="25"/>
  <c r="Y438" i="25" s="1"/>
  <c r="W604" i="25"/>
  <c r="Y604" i="25" s="1"/>
  <c r="BG209" i="16"/>
  <c r="BG1157" i="16"/>
  <c r="BG1161" i="16"/>
  <c r="BG1151" i="16"/>
  <c r="BG1100" i="16"/>
  <c r="BG1103" i="16"/>
  <c r="BG1101" i="16"/>
  <c r="BG1111" i="16"/>
  <c r="BG1113" i="16"/>
  <c r="BG1053" i="16"/>
  <c r="BG1069" i="16"/>
  <c r="BG1057" i="16"/>
  <c r="BG1063" i="16"/>
  <c r="BG1065" i="16"/>
  <c r="BG1018" i="16"/>
  <c r="BG982" i="16"/>
  <c r="BG968" i="16"/>
  <c r="BG972" i="16"/>
  <c r="BG966" i="16"/>
  <c r="BG925" i="16"/>
  <c r="BG926" i="16"/>
  <c r="BG921" i="16"/>
  <c r="BG928" i="16"/>
  <c r="BG924" i="16"/>
  <c r="BG930" i="16"/>
  <c r="BG886" i="16"/>
  <c r="BG877" i="16"/>
  <c r="BG878" i="16"/>
  <c r="BG889" i="16"/>
  <c r="BG892" i="16"/>
  <c r="BG880" i="16"/>
  <c r="BG885" i="16"/>
  <c r="BG887" i="16"/>
  <c r="BG829" i="16"/>
  <c r="BG847" i="16"/>
  <c r="BG828" i="16"/>
  <c r="BG833" i="16"/>
  <c r="BG837" i="16"/>
  <c r="BG831" i="16"/>
  <c r="BG835" i="16"/>
  <c r="BG841" i="16"/>
  <c r="BG845" i="16"/>
  <c r="BG800" i="16"/>
  <c r="BG794" i="16"/>
  <c r="BG783" i="16"/>
  <c r="BG787" i="16"/>
  <c r="BG791" i="16"/>
  <c r="BG784" i="16"/>
  <c r="BG795" i="16"/>
  <c r="BG799" i="16"/>
  <c r="BG748" i="16"/>
  <c r="BG742" i="16"/>
  <c r="BG739" i="16"/>
  <c r="BG754" i="16"/>
  <c r="BG743" i="16"/>
  <c r="BG757" i="16"/>
  <c r="BG753" i="16"/>
  <c r="BG751" i="16"/>
  <c r="BG755" i="16"/>
  <c r="BG699" i="16"/>
  <c r="BG702" i="16"/>
  <c r="BG691" i="16"/>
  <c r="BG695" i="16"/>
  <c r="BG710" i="16"/>
  <c r="BG644" i="16"/>
  <c r="W720" i="25"/>
  <c r="Y720" i="25" s="1"/>
  <c r="BG637" i="16"/>
  <c r="BG633" i="16"/>
  <c r="BG641" i="16"/>
  <c r="BG640" i="16"/>
  <c r="BG631" i="16"/>
  <c r="BG636" i="16"/>
  <c r="BG665" i="16"/>
  <c r="BG661" i="16"/>
  <c r="BG648" i="16"/>
  <c r="BG652" i="16"/>
  <c r="BG666" i="16"/>
  <c r="BG651" i="16"/>
  <c r="BG655" i="16"/>
  <c r="BG656" i="16"/>
  <c r="BG660" i="16"/>
  <c r="BG664" i="16"/>
  <c r="BG663" i="16"/>
  <c r="BG657" i="16"/>
  <c r="BG659" i="16"/>
  <c r="BG658" i="16"/>
  <c r="BG620" i="16"/>
  <c r="BG599" i="16"/>
  <c r="BG616" i="16"/>
  <c r="BG618" i="16"/>
  <c r="BG607" i="16"/>
  <c r="BG611" i="16"/>
  <c r="BG612" i="16"/>
  <c r="BG615" i="16"/>
  <c r="BG604" i="16"/>
  <c r="BG562" i="16"/>
  <c r="BG545" i="16"/>
  <c r="BG563" i="16"/>
  <c r="BG575" i="16"/>
  <c r="BG560" i="16"/>
  <c r="BG564" i="16"/>
  <c r="BG568" i="16"/>
  <c r="BG515" i="16"/>
  <c r="BG520" i="16"/>
  <c r="BG530" i="16"/>
  <c r="BG525" i="16"/>
  <c r="BG473" i="16"/>
  <c r="BG479" i="16"/>
  <c r="BG481" i="16"/>
  <c r="BG471" i="16"/>
  <c r="BG475" i="16"/>
  <c r="BG427" i="16"/>
  <c r="BG435" i="16"/>
  <c r="BG390" i="16"/>
  <c r="BG383" i="16"/>
  <c r="BG387" i="16"/>
  <c r="BG394" i="16"/>
  <c r="BG397" i="16"/>
  <c r="BG378" i="16"/>
  <c r="BG382" i="16"/>
  <c r="BG386" i="16"/>
  <c r="BG395" i="16"/>
  <c r="W324" i="25"/>
  <c r="Y324" i="25" s="1"/>
  <c r="W332" i="25"/>
  <c r="Y332" i="25" s="1"/>
  <c r="BG342" i="16"/>
  <c r="BG339" i="16"/>
  <c r="BG347" i="16"/>
  <c r="BG351" i="16"/>
  <c r="BG348" i="16"/>
  <c r="BG334" i="16"/>
  <c r="BG338" i="16"/>
  <c r="BG346" i="16"/>
  <c r="BG281" i="16"/>
  <c r="BG283" i="16"/>
  <c r="BG285" i="16"/>
  <c r="BG286" i="16"/>
  <c r="BG298" i="16"/>
  <c r="BG301" i="16"/>
  <c r="BG302" i="16"/>
  <c r="BG303" i="16"/>
  <c r="BG305" i="16"/>
  <c r="BG306" i="16"/>
  <c r="BG256" i="16"/>
  <c r="BG243" i="16"/>
  <c r="BG245" i="16"/>
  <c r="BG249" i="16"/>
  <c r="BG251" i="16"/>
  <c r="BG259" i="16"/>
  <c r="BL1212" i="16"/>
  <c r="AX11" i="69"/>
  <c r="BI1212" i="16"/>
  <c r="AX7" i="69"/>
  <c r="K110" i="36"/>
  <c r="O100" i="69" s="1"/>
  <c r="BI1203" i="16"/>
  <c r="K103" i="36"/>
  <c r="O93" i="69" s="1"/>
  <c r="BL1203" i="16"/>
  <c r="BL1201" i="16"/>
  <c r="K101" i="36"/>
  <c r="O91" i="69" s="1"/>
  <c r="AI13" i="69"/>
  <c r="BI1201" i="16"/>
  <c r="K100" i="36"/>
  <c r="O90" i="69" s="1"/>
  <c r="BL1200" i="16"/>
  <c r="AI11" i="69"/>
  <c r="AQ387" i="16"/>
  <c r="AT387" i="16"/>
  <c r="AQ331" i="16"/>
  <c r="AT343" i="16"/>
  <c r="D87" i="16"/>
  <c r="BI1198" i="16"/>
  <c r="BL1198" i="16"/>
  <c r="K98" i="36"/>
  <c r="O88" i="69" s="1"/>
  <c r="AI7" i="69"/>
  <c r="W289" i="25"/>
  <c r="W725" i="25"/>
  <c r="Y725" i="25" s="1"/>
  <c r="T1035" i="119"/>
  <c r="V1039" i="119"/>
  <c r="W1035" i="119"/>
  <c r="W1047" i="119"/>
  <c r="W182" i="25"/>
  <c r="Y182" i="25" s="1"/>
  <c r="W238" i="25"/>
  <c r="W294" i="25"/>
  <c r="W282" i="25"/>
  <c r="Y282" i="25" s="1"/>
  <c r="W586" i="25"/>
  <c r="Y586" i="25" s="1"/>
  <c r="W578" i="25"/>
  <c r="Y578" i="25" s="1"/>
  <c r="W562" i="25"/>
  <c r="Y562" i="25" s="1"/>
  <c r="W554" i="25"/>
  <c r="Y554" i="25" s="1"/>
  <c r="W642" i="25"/>
  <c r="Y642" i="25" s="1"/>
  <c r="W690" i="25"/>
  <c r="Y690" i="25" s="1"/>
  <c r="W754" i="25"/>
  <c r="Y754" i="25" s="1"/>
  <c r="W222" i="25"/>
  <c r="Y222" i="25" s="1"/>
  <c r="W326" i="25"/>
  <c r="Y326" i="25" s="1"/>
  <c r="W418" i="25"/>
  <c r="Y418" i="25" s="1"/>
  <c r="W474" i="25"/>
  <c r="Y474" i="25" s="1"/>
  <c r="W570" i="25"/>
  <c r="Y570" i="25" s="1"/>
  <c r="W802" i="25"/>
  <c r="Y802" i="25" s="1"/>
  <c r="W922" i="25"/>
  <c r="Y922" i="25" s="1"/>
  <c r="W229" i="25"/>
  <c r="W245" i="25"/>
  <c r="W573" i="119"/>
  <c r="W448" i="119"/>
  <c r="V881" i="119"/>
  <c r="V967" i="119"/>
  <c r="V1002" i="119"/>
  <c r="V1025" i="119"/>
  <c r="V1092" i="119"/>
  <c r="W944" i="25"/>
  <c r="Y944" i="25" s="1"/>
  <c r="W1065" i="25"/>
  <c r="W241" i="25"/>
  <c r="W233" i="25"/>
  <c r="W281" i="25"/>
  <c r="W621" i="25"/>
  <c r="W1061" i="25"/>
  <c r="W293" i="25"/>
  <c r="W629" i="25"/>
  <c r="W1183" i="25"/>
  <c r="Y1183" i="25" s="1"/>
  <c r="T643" i="119"/>
  <c r="V671" i="119"/>
  <c r="W1361" i="25"/>
  <c r="Y1361" i="25" s="1"/>
  <c r="W1141" i="25"/>
  <c r="W1013" i="25"/>
  <c r="W605" i="25"/>
  <c r="W585" i="25"/>
  <c r="Y585" i="25" s="1"/>
  <c r="W573" i="25"/>
  <c r="W565" i="25"/>
  <c r="W513" i="25"/>
  <c r="W237" i="25"/>
  <c r="Y237" i="25" s="1"/>
  <c r="W913" i="119"/>
  <c r="AQ958" i="16"/>
  <c r="W854" i="119"/>
  <c r="W850" i="119"/>
  <c r="BG937" i="16"/>
  <c r="W839" i="119"/>
  <c r="T835" i="119"/>
  <c r="BG884" i="16"/>
  <c r="T827" i="119"/>
  <c r="BG876" i="16"/>
  <c r="V823" i="119"/>
  <c r="W800" i="119"/>
  <c r="W772" i="119"/>
  <c r="W768" i="119"/>
  <c r="W764" i="119"/>
  <c r="T796" i="119"/>
  <c r="BG843" i="16"/>
  <c r="T792" i="119"/>
  <c r="BG839" i="16"/>
  <c r="AQ798" i="16"/>
  <c r="BG798" i="16"/>
  <c r="BG790" i="16"/>
  <c r="AT766" i="16"/>
  <c r="W706" i="119"/>
  <c r="V714" i="119"/>
  <c r="V698" i="119"/>
  <c r="V612" i="119"/>
  <c r="W565" i="119"/>
  <c r="T581" i="119"/>
  <c r="V577" i="119"/>
  <c r="V557" i="119"/>
  <c r="V549" i="119"/>
  <c r="T506" i="119"/>
  <c r="T471" i="119"/>
  <c r="BG483" i="16"/>
  <c r="T315" i="119"/>
  <c r="BG340" i="16"/>
  <c r="V264" i="119"/>
  <c r="V241" i="119"/>
  <c r="W178" i="119"/>
  <c r="W174" i="119"/>
  <c r="W1097" i="119"/>
  <c r="W1065" i="119"/>
  <c r="V1101" i="119"/>
  <c r="W1058" i="119"/>
  <c r="W1042" i="119"/>
  <c r="W1038" i="119"/>
  <c r="W1030" i="119"/>
  <c r="T1054" i="119"/>
  <c r="AQ1109" i="16"/>
  <c r="T1046" i="119"/>
  <c r="T979" i="119"/>
  <c r="W960" i="119"/>
  <c r="T940" i="119"/>
  <c r="W901" i="119"/>
  <c r="W897" i="119"/>
  <c r="T917" i="119"/>
  <c r="T909" i="119"/>
  <c r="BG946" i="16"/>
  <c r="V929" i="119"/>
  <c r="V917" i="119"/>
  <c r="V913" i="119"/>
  <c r="V901" i="119"/>
  <c r="W886" i="119"/>
  <c r="W882" i="119"/>
  <c r="W874" i="119"/>
  <c r="W858" i="119"/>
  <c r="T862" i="119"/>
  <c r="T854" i="119"/>
  <c r="T850" i="119"/>
  <c r="V870" i="119"/>
  <c r="BG888" i="16"/>
  <c r="T839" i="119"/>
  <c r="V839" i="119"/>
  <c r="V831" i="119"/>
  <c r="V819" i="119"/>
  <c r="V807" i="119"/>
  <c r="W796" i="119"/>
  <c r="W784" i="119"/>
  <c r="W780" i="119"/>
  <c r="W776" i="119"/>
  <c r="W741" i="119"/>
  <c r="W737" i="119"/>
  <c r="W729" i="119"/>
  <c r="W721" i="119"/>
  <c r="T737" i="119"/>
  <c r="V749" i="119"/>
  <c r="V745" i="119"/>
  <c r="V729" i="119"/>
  <c r="W714" i="119"/>
  <c r="W710" i="119"/>
  <c r="W698" i="119"/>
  <c r="W694" i="119"/>
  <c r="W690" i="119"/>
  <c r="W678" i="119"/>
  <c r="T714" i="119"/>
  <c r="T706" i="119"/>
  <c r="BG721" i="16"/>
  <c r="V706" i="119"/>
  <c r="V690" i="119"/>
  <c r="V686" i="119"/>
  <c r="V682" i="119"/>
  <c r="V678" i="119"/>
  <c r="V647" i="119"/>
  <c r="W612" i="119"/>
  <c r="W608" i="119"/>
  <c r="W600" i="119"/>
  <c r="W592" i="119"/>
  <c r="AQ651" i="16"/>
  <c r="T612" i="119"/>
  <c r="T596" i="119"/>
  <c r="V628" i="119"/>
  <c r="V620" i="119"/>
  <c r="V616" i="119"/>
  <c r="V604" i="119"/>
  <c r="V596" i="119"/>
  <c r="T585" i="119"/>
  <c r="BG590" i="16"/>
  <c r="BG586" i="16"/>
  <c r="V585" i="119"/>
  <c r="V573" i="119"/>
  <c r="V569" i="119"/>
  <c r="V565" i="119"/>
  <c r="V561" i="119"/>
  <c r="V553" i="119"/>
  <c r="W506" i="119"/>
  <c r="T538" i="119"/>
  <c r="V518" i="119"/>
  <c r="V510" i="119"/>
  <c r="W495" i="119"/>
  <c r="V475" i="119"/>
  <c r="W456" i="119"/>
  <c r="T1042" i="119"/>
  <c r="W1046" i="119"/>
  <c r="V205" i="119"/>
  <c r="V233" i="119"/>
  <c r="V237" i="119"/>
  <c r="V252" i="119"/>
  <c r="V256" i="119"/>
  <c r="V307" i="119"/>
  <c r="T190" i="119"/>
  <c r="W205" i="119"/>
  <c r="T217" i="119"/>
  <c r="V229" i="119"/>
  <c r="W233" i="119"/>
  <c r="V260" i="119"/>
  <c r="V268" i="119"/>
  <c r="V280" i="119"/>
  <c r="V315" i="119"/>
  <c r="V452" i="119"/>
  <c r="W170" i="119"/>
  <c r="T174" i="119"/>
  <c r="W182" i="119"/>
  <c r="W186" i="119"/>
  <c r="V190" i="119"/>
  <c r="T209" i="119"/>
  <c r="V213" i="119"/>
  <c r="W217" i="119"/>
  <c r="T241" i="119"/>
  <c r="W272" i="119"/>
  <c r="V284" i="119"/>
  <c r="W346" i="119"/>
  <c r="V448" i="119"/>
  <c r="V533" i="119"/>
  <c r="V537" i="119"/>
  <c r="V584" i="119"/>
  <c r="T654" i="119"/>
  <c r="W849" i="119"/>
  <c r="W869" i="119"/>
  <c r="V924" i="119"/>
  <c r="W990" i="119"/>
  <c r="T994" i="119"/>
  <c r="T1021" i="119"/>
  <c r="V1029" i="119"/>
  <c r="T1033" i="119"/>
  <c r="T1057" i="119"/>
  <c r="V521" i="119"/>
  <c r="V556" i="119"/>
  <c r="T603" i="119"/>
  <c r="V623" i="119"/>
  <c r="V654" i="119"/>
  <c r="W826" i="119"/>
  <c r="T955" i="119"/>
  <c r="V982" i="119"/>
  <c r="V994" i="119"/>
  <c r="V1006" i="119"/>
  <c r="V1033" i="119"/>
  <c r="T1041" i="119"/>
  <c r="T1049" i="119"/>
  <c r="V1057" i="119"/>
  <c r="T1100" i="119"/>
  <c r="T490" i="119"/>
  <c r="T494" i="119"/>
  <c r="T517" i="119"/>
  <c r="V599" i="119"/>
  <c r="S634" i="119"/>
  <c r="T658" i="119"/>
  <c r="W865" i="119"/>
  <c r="W877" i="119"/>
  <c r="T1025" i="119"/>
  <c r="V1049" i="119"/>
  <c r="V1053" i="119"/>
  <c r="V1100" i="119"/>
  <c r="AQ829" i="16"/>
  <c r="W899" i="25"/>
  <c r="W503" i="25"/>
  <c r="W399" i="25"/>
  <c r="W631" i="25"/>
  <c r="W1339" i="25"/>
  <c r="Y1339" i="25" s="1"/>
  <c r="W1347" i="25"/>
  <c r="Y1347" i="25" s="1"/>
  <c r="W1055" i="25"/>
  <c r="W391" i="25"/>
  <c r="W247" i="25"/>
  <c r="W355" i="25"/>
  <c r="W419" i="25"/>
  <c r="W527" i="25"/>
  <c r="W519" i="25"/>
  <c r="W583" i="25"/>
  <c r="W643" i="25"/>
  <c r="W679" i="25"/>
  <c r="W975" i="25"/>
  <c r="W1019" i="25"/>
  <c r="W499" i="25"/>
  <c r="W887" i="25"/>
  <c r="W947" i="25"/>
  <c r="W159" i="25"/>
  <c r="W795" i="25"/>
  <c r="Y795" i="25" s="1"/>
  <c r="W847" i="25"/>
  <c r="W1199" i="25"/>
  <c r="Y1199" i="25" s="1"/>
  <c r="W663" i="25"/>
  <c r="W807" i="25"/>
  <c r="W1303" i="25"/>
  <c r="W999" i="25"/>
  <c r="W611" i="25"/>
  <c r="W189" i="119"/>
  <c r="V186" i="119"/>
  <c r="V178" i="119"/>
  <c r="V162" i="119"/>
  <c r="W135" i="119"/>
  <c r="T162" i="119"/>
  <c r="V739" i="119"/>
  <c r="T1090" i="119"/>
  <c r="W1044" i="119"/>
  <c r="BB1060" i="16"/>
  <c r="V1003" i="119"/>
  <c r="BB1048" i="16"/>
  <c r="BB1044" i="16"/>
  <c r="BB1040" i="16"/>
  <c r="BB1036" i="16"/>
  <c r="V979" i="119"/>
  <c r="W972" i="119"/>
  <c r="V953" i="119"/>
  <c r="V949" i="119"/>
  <c r="T829" i="119"/>
  <c r="T821" i="119"/>
  <c r="V789" i="119"/>
  <c r="V773" i="119"/>
  <c r="W750" i="119"/>
  <c r="W730" i="119"/>
  <c r="W718" i="119"/>
  <c r="T754" i="119"/>
  <c r="T750" i="119"/>
  <c r="T742" i="119"/>
  <c r="T738" i="119"/>
  <c r="T734" i="119"/>
  <c r="V278" i="119"/>
  <c r="V274" i="119"/>
  <c r="V270" i="119"/>
  <c r="V262" i="119"/>
  <c r="V751" i="119"/>
  <c r="T388" i="119"/>
  <c r="T376" i="119"/>
  <c r="W327" i="119"/>
  <c r="W307" i="119"/>
  <c r="BG336" i="16"/>
  <c r="T311" i="119"/>
  <c r="V323" i="119"/>
  <c r="V299" i="119"/>
  <c r="V291" i="119"/>
  <c r="W280" i="119"/>
  <c r="W264" i="119"/>
  <c r="W256" i="119"/>
  <c r="W252" i="119"/>
  <c r="V174" i="119"/>
  <c r="T683" i="119"/>
  <c r="V695" i="119"/>
  <c r="V679" i="119"/>
  <c r="V644" i="119"/>
  <c r="V632" i="119"/>
  <c r="W597" i="119"/>
  <c r="T597" i="119"/>
  <c r="V621" i="119"/>
  <c r="V609" i="119"/>
  <c r="W550" i="119"/>
  <c r="T574" i="119"/>
  <c r="T570" i="119"/>
  <c r="T562" i="119"/>
  <c r="V567" i="119"/>
  <c r="W508" i="119"/>
  <c r="W473" i="119"/>
  <c r="T489" i="119"/>
  <c r="W431" i="119"/>
  <c r="W427" i="119"/>
  <c r="V425" i="119"/>
  <c r="W402" i="119"/>
  <c r="W398" i="119"/>
  <c r="W386" i="119"/>
  <c r="W374" i="119"/>
  <c r="W1024" i="25"/>
  <c r="Y1024" i="25" s="1"/>
  <c r="W964" i="25"/>
  <c r="Y964" i="25" s="1"/>
  <c r="W960" i="25"/>
  <c r="Y960" i="25" s="1"/>
  <c r="W912" i="25"/>
  <c r="Y912" i="25" s="1"/>
  <c r="W864" i="25"/>
  <c r="Y864" i="25" s="1"/>
  <c r="W860" i="25"/>
  <c r="Y860" i="25" s="1"/>
  <c r="W752" i="25"/>
  <c r="Y752" i="25" s="1"/>
  <c r="W748" i="25"/>
  <c r="Y748" i="25" s="1"/>
  <c r="W740" i="25"/>
  <c r="Y740" i="25" s="1"/>
  <c r="W684" i="25"/>
  <c r="Y684" i="25" s="1"/>
  <c r="W612" i="25"/>
  <c r="Y612" i="25" s="1"/>
  <c r="W608" i="25"/>
  <c r="Y608" i="25" s="1"/>
  <c r="W572" i="25"/>
  <c r="Y572" i="25" s="1"/>
  <c r="W516" i="25"/>
  <c r="Y516" i="25" s="1"/>
  <c r="W436" i="25"/>
  <c r="Y436" i="25" s="1"/>
  <c r="W412" i="25"/>
  <c r="Y412" i="25" s="1"/>
  <c r="W400" i="25"/>
  <c r="Y400" i="25" s="1"/>
  <c r="W380" i="25"/>
  <c r="Y380" i="25" s="1"/>
  <c r="W360" i="25"/>
  <c r="Y360" i="25" s="1"/>
  <c r="W336" i="25"/>
  <c r="Y336" i="25" s="1"/>
  <c r="W304" i="25"/>
  <c r="Y304" i="25" s="1"/>
  <c r="W296" i="25"/>
  <c r="Y296" i="25" s="1"/>
  <c r="W284" i="25"/>
  <c r="Y284" i="25" s="1"/>
  <c r="W276" i="25"/>
  <c r="Y276" i="25" s="1"/>
  <c r="W244" i="25"/>
  <c r="Y244" i="25" s="1"/>
  <c r="W216" i="25"/>
  <c r="Y216" i="25" s="1"/>
  <c r="W212" i="25"/>
  <c r="Y212" i="25" s="1"/>
  <c r="W1362" i="25"/>
  <c r="W1346" i="25"/>
  <c r="W1282" i="25"/>
  <c r="Y1282" i="25" s="1"/>
  <c r="W1230" i="25"/>
  <c r="Y1230" i="25" s="1"/>
  <c r="W1190" i="25"/>
  <c r="W962" i="25"/>
  <c r="Y962" i="25" s="1"/>
  <c r="W1198" i="25"/>
  <c r="W1082" i="25"/>
  <c r="W1014" i="25"/>
  <c r="Y1014" i="25" s="1"/>
  <c r="W162" i="25"/>
  <c r="Y162" i="25" s="1"/>
  <c r="W1069" i="25"/>
  <c r="W805" i="25"/>
  <c r="W497" i="25"/>
  <c r="W409" i="25"/>
  <c r="W357" i="25"/>
  <c r="W285" i="25"/>
  <c r="W277" i="25"/>
  <c r="W1370" i="25"/>
  <c r="W1338" i="25"/>
  <c r="W1310" i="25"/>
  <c r="Y1310" i="25" s="1"/>
  <c r="W1306" i="25"/>
  <c r="Y1306" i="25" s="1"/>
  <c r="W1302" i="25"/>
  <c r="Y1302" i="25" s="1"/>
  <c r="W1242" i="25"/>
  <c r="Y1242" i="25" s="1"/>
  <c r="W1226" i="25"/>
  <c r="Y1226" i="25" s="1"/>
  <c r="W1194" i="25"/>
  <c r="Y1194" i="25" s="1"/>
  <c r="W1186" i="25"/>
  <c r="W1078" i="25"/>
  <c r="Y1078" i="25" s="1"/>
  <c r="W1074" i="25"/>
  <c r="Y1074" i="25" s="1"/>
  <c r="W1070" i="25"/>
  <c r="Y1070" i="25" s="1"/>
  <c r="W1062" i="25"/>
  <c r="Y1062" i="25" s="1"/>
  <c r="W1034" i="25"/>
  <c r="Y1034" i="25" s="1"/>
  <c r="W1026" i="25"/>
  <c r="Y1026" i="25" s="1"/>
  <c r="W786" i="25"/>
  <c r="Y786" i="25" s="1"/>
  <c r="W778" i="25"/>
  <c r="Y778" i="25" s="1"/>
  <c r="W730" i="25"/>
  <c r="Y730" i="25" s="1"/>
  <c r="W718" i="25"/>
  <c r="Y718" i="25" s="1"/>
  <c r="W662" i="25"/>
  <c r="Y662" i="25" s="1"/>
  <c r="W274" i="25"/>
  <c r="Y274" i="25" s="1"/>
  <c r="W230" i="25"/>
  <c r="Y230" i="25" s="1"/>
  <c r="W166" i="25"/>
  <c r="Y166" i="25" s="1"/>
  <c r="W1350" i="25"/>
  <c r="W1174" i="25"/>
  <c r="Y1174" i="25" s="1"/>
  <c r="W1058" i="25"/>
  <c r="Y1058" i="25" s="1"/>
  <c r="W886" i="25"/>
  <c r="Y886" i="25" s="1"/>
  <c r="W1314" i="25"/>
  <c r="Y1314" i="25" s="1"/>
  <c r="W1222" i="25"/>
  <c r="Y1222" i="25" s="1"/>
  <c r="W1002" i="25"/>
  <c r="Y1002" i="25" s="1"/>
  <c r="W1112" i="25"/>
  <c r="Y1112" i="25" s="1"/>
  <c r="W1080" i="25"/>
  <c r="Y1080" i="25" s="1"/>
  <c r="W976" i="25"/>
  <c r="Y976" i="25" s="1"/>
  <c r="W1341" i="25"/>
  <c r="Y1341" i="25" s="1"/>
  <c r="W1257" i="25"/>
  <c r="W1145" i="25"/>
  <c r="W1089" i="25"/>
  <c r="W1029" i="25"/>
  <c r="W1021" i="25"/>
  <c r="W977" i="25"/>
  <c r="W917" i="25"/>
  <c r="W905" i="25"/>
  <c r="W857" i="25"/>
  <c r="W849" i="25"/>
  <c r="W749" i="25"/>
  <c r="T272" i="119"/>
  <c r="W251" i="119"/>
  <c r="T260" i="119"/>
  <c r="W247" i="119"/>
  <c r="W1241" i="25"/>
  <c r="W1337" i="25"/>
  <c r="Y1337" i="25" s="1"/>
  <c r="W1249" i="25"/>
  <c r="Y1249" i="25" s="1"/>
  <c r="W1364" i="25"/>
  <c r="W1356" i="25"/>
  <c r="W1349" i="25"/>
  <c r="Y1349" i="25" s="1"/>
  <c r="W1333" i="25"/>
  <c r="Y1333" i="25" s="1"/>
  <c r="W1297" i="25"/>
  <c r="W997" i="25"/>
  <c r="W172" i="25"/>
  <c r="Y172" i="25" s="1"/>
  <c r="W833" i="25"/>
  <c r="Y833" i="25" s="1"/>
  <c r="W449" i="25"/>
  <c r="W329" i="25"/>
  <c r="W1289" i="25"/>
  <c r="W613" i="25"/>
  <c r="W493" i="25"/>
  <c r="W453" i="25"/>
  <c r="W441" i="25"/>
  <c r="W325" i="25"/>
  <c r="W273" i="25"/>
  <c r="V956" i="119"/>
  <c r="V960" i="119"/>
  <c r="V554" i="119"/>
  <c r="V570" i="119"/>
  <c r="V578" i="119"/>
  <c r="W692" i="25"/>
  <c r="Y692" i="25" s="1"/>
  <c r="T553" i="119"/>
  <c r="BG601" i="16"/>
  <c r="V562" i="119"/>
  <c r="BG463" i="16"/>
  <c r="BG455" i="16"/>
  <c r="W524" i="25"/>
  <c r="Y524" i="25" s="1"/>
  <c r="W520" i="25"/>
  <c r="Y520" i="25" s="1"/>
  <c r="BG459" i="16"/>
  <c r="W453" i="119"/>
  <c r="BG485" i="16"/>
  <c r="W528" i="25"/>
  <c r="Y528" i="25" s="1"/>
  <c r="W418" i="119"/>
  <c r="V422" i="119"/>
  <c r="T432" i="119"/>
  <c r="V445" i="119"/>
  <c r="BG521" i="16"/>
  <c r="W584" i="25"/>
  <c r="Y584" i="25" s="1"/>
  <c r="V464" i="119"/>
  <c r="V480" i="119"/>
  <c r="BG497" i="16"/>
  <c r="T468" i="119"/>
  <c r="W480" i="119"/>
  <c r="BG529" i="16"/>
  <c r="V468" i="119"/>
  <c r="W472" i="119"/>
  <c r="W488" i="119"/>
  <c r="V496" i="119"/>
  <c r="S506" i="119"/>
  <c r="BG1016" i="16"/>
  <c r="T943" i="119"/>
  <c r="BG1010" i="16"/>
  <c r="BG1020" i="16"/>
  <c r="BG1012" i="16"/>
  <c r="BG998" i="16"/>
  <c r="W835" i="25"/>
  <c r="W839" i="25"/>
  <c r="W831" i="25"/>
  <c r="W1179" i="25"/>
  <c r="Y1179" i="25" s="1"/>
  <c r="W955" i="25"/>
  <c r="W1015" i="25"/>
  <c r="W1285" i="25"/>
  <c r="W1281" i="25"/>
  <c r="W1113" i="25"/>
  <c r="W1109" i="25"/>
  <c r="W901" i="25"/>
  <c r="W841" i="25"/>
  <c r="W774" i="25"/>
  <c r="Y774" i="25" s="1"/>
  <c r="W726" i="25"/>
  <c r="Y726" i="25" s="1"/>
  <c r="W678" i="25"/>
  <c r="Y678" i="25" s="1"/>
  <c r="W447" i="25"/>
  <c r="W507" i="25"/>
  <c r="W1312" i="25"/>
  <c r="Y1312" i="25" s="1"/>
  <c r="W1308" i="25"/>
  <c r="Y1308" i="25" s="1"/>
  <c r="W1300" i="25"/>
  <c r="Y1300" i="25" s="1"/>
  <c r="W1296" i="25"/>
  <c r="Y1296" i="25" s="1"/>
  <c r="W1292" i="25"/>
  <c r="Y1292" i="25" s="1"/>
  <c r="W1288" i="25"/>
  <c r="Y1288" i="25" s="1"/>
  <c r="W1284" i="25"/>
  <c r="Y1284" i="25" s="1"/>
  <c r="W1280" i="25"/>
  <c r="Y1280" i="25" s="1"/>
  <c r="W1276" i="25"/>
  <c r="Y1276" i="25" s="1"/>
  <c r="W1252" i="25"/>
  <c r="Y1252" i="25" s="1"/>
  <c r="W1244" i="25"/>
  <c r="Y1244" i="25" s="1"/>
  <c r="W1224" i="25"/>
  <c r="Y1224" i="25" s="1"/>
  <c r="W1200" i="25"/>
  <c r="W1196" i="25"/>
  <c r="W1172" i="25"/>
  <c r="W1168" i="25"/>
  <c r="W996" i="25"/>
  <c r="Y996" i="25" s="1"/>
  <c r="W829" i="25"/>
  <c r="W781" i="25"/>
  <c r="W773" i="25"/>
  <c r="W498" i="25"/>
  <c r="Y498" i="25" s="1"/>
  <c r="W335" i="25"/>
  <c r="W215" i="25"/>
  <c r="W171" i="25"/>
  <c r="W618" i="25"/>
  <c r="Y618" i="25" s="1"/>
  <c r="W685" i="25"/>
  <c r="W809" i="25"/>
  <c r="W797" i="25"/>
  <c r="W789" i="25"/>
  <c r="W920" i="25"/>
  <c r="Y920" i="25" s="1"/>
  <c r="W1016" i="25"/>
  <c r="Y1016" i="25" s="1"/>
  <c r="W1072" i="25"/>
  <c r="Y1072" i="25" s="1"/>
  <c r="W1184" i="25"/>
  <c r="W279" i="25"/>
  <c r="W693" i="25"/>
  <c r="W753" i="25"/>
  <c r="W745" i="25"/>
  <c r="W737" i="25"/>
  <c r="Y737" i="25" s="1"/>
  <c r="W801" i="25"/>
  <c r="W848" i="25"/>
  <c r="Y848" i="25" s="1"/>
  <c r="W904" i="25"/>
  <c r="Y904" i="25" s="1"/>
  <c r="W1032" i="25"/>
  <c r="Y1032" i="25" s="1"/>
  <c r="W1084" i="25"/>
  <c r="Y1084" i="25" s="1"/>
  <c r="W1128" i="25"/>
  <c r="Y1128" i="25" s="1"/>
  <c r="W892" i="25"/>
  <c r="Y892" i="25" s="1"/>
  <c r="W1120" i="25"/>
  <c r="Y1120" i="25" s="1"/>
  <c r="W856" i="25"/>
  <c r="Y856" i="25" s="1"/>
  <c r="W1068" i="25"/>
  <c r="Y1068" i="25" s="1"/>
  <c r="W1005" i="25"/>
  <c r="W163" i="25"/>
  <c r="W838" i="25"/>
  <c r="Y838" i="25" s="1"/>
  <c r="W677" i="25"/>
  <c r="W673" i="25"/>
  <c r="W669" i="25"/>
  <c r="W665" i="25"/>
  <c r="W661" i="25"/>
  <c r="W614" i="25"/>
  <c r="Y614" i="25" s="1"/>
  <c r="W1225" i="25"/>
  <c r="Y1225" i="25" s="1"/>
  <c r="W626" i="25"/>
  <c r="Y626" i="25" s="1"/>
  <c r="W736" i="25"/>
  <c r="Y736" i="25" s="1"/>
  <c r="W862" i="25"/>
  <c r="Y862" i="25" s="1"/>
  <c r="W1064" i="25"/>
  <c r="Y1064" i="25" s="1"/>
  <c r="W953" i="25"/>
  <c r="W949" i="25"/>
  <c r="W1255" i="25"/>
  <c r="W1315" i="25"/>
  <c r="W1307" i="25"/>
  <c r="W1343" i="25"/>
  <c r="Y1343" i="25" s="1"/>
  <c r="W1335" i="25"/>
  <c r="Y1335" i="25" s="1"/>
  <c r="W772" i="25"/>
  <c r="Y772" i="25" s="1"/>
  <c r="W386" i="25"/>
  <c r="Y386" i="25" s="1"/>
  <c r="W382" i="25"/>
  <c r="Y382" i="25" s="1"/>
  <c r="W338" i="25"/>
  <c r="Y338" i="25" s="1"/>
  <c r="W330" i="25"/>
  <c r="Y330" i="25" s="1"/>
  <c r="W1165" i="25"/>
  <c r="Y1165" i="25" s="1"/>
  <c r="W1291" i="25"/>
  <c r="W784" i="25"/>
  <c r="Y784" i="25" s="1"/>
  <c r="W548" i="25"/>
  <c r="Y548" i="25" s="1"/>
  <c r="W500" i="25"/>
  <c r="Y500" i="25" s="1"/>
  <c r="W440" i="25"/>
  <c r="Y440" i="25" s="1"/>
  <c r="BG1046" i="16"/>
  <c r="W102" i="25"/>
  <c r="Y102" i="25" s="1"/>
  <c r="T971" i="119"/>
  <c r="T993" i="119"/>
  <c r="T1000" i="119"/>
  <c r="T1022" i="119"/>
  <c r="T1030" i="119"/>
  <c r="W1032" i="119"/>
  <c r="T410" i="119"/>
  <c r="V486" i="119"/>
  <c r="T496" i="119"/>
  <c r="V505" i="119"/>
  <c r="V509" i="119"/>
  <c r="T518" i="119"/>
  <c r="W594" i="119"/>
  <c r="W598" i="119"/>
  <c r="W606" i="119"/>
  <c r="W618" i="119"/>
  <c r="W653" i="119"/>
  <c r="W701" i="119"/>
  <c r="T729" i="119"/>
  <c r="V735" i="119"/>
  <c r="W753" i="119"/>
  <c r="T809" i="119"/>
  <c r="W837" i="119"/>
  <c r="T1004" i="119"/>
  <c r="W1020" i="119"/>
  <c r="T1086" i="119"/>
  <c r="V337" i="119"/>
  <c r="V341" i="119"/>
  <c r="W356" i="119"/>
  <c r="W367" i="119"/>
  <c r="W378" i="119"/>
  <c r="V402" i="119"/>
  <c r="T406" i="119"/>
  <c r="V410" i="119"/>
  <c r="V478" i="119"/>
  <c r="T510" i="119"/>
  <c r="W522" i="119"/>
  <c r="W533" i="119"/>
  <c r="V564" i="119"/>
  <c r="V572" i="119"/>
  <c r="T595" i="119"/>
  <c r="W602" i="119"/>
  <c r="W622" i="119"/>
  <c r="T675" i="119"/>
  <c r="W713" i="119"/>
  <c r="T745" i="119"/>
  <c r="W782" i="119"/>
  <c r="T805" i="119"/>
  <c r="T819" i="119"/>
  <c r="T903" i="119"/>
  <c r="T925" i="119"/>
  <c r="W935" i="119"/>
  <c r="T960" i="119"/>
  <c r="BJ1050" i="16"/>
  <c r="W1287" i="25"/>
  <c r="BG1081" i="16"/>
  <c r="V1022" i="119"/>
  <c r="T1034" i="119"/>
  <c r="T1038" i="119"/>
  <c r="W1055" i="119"/>
  <c r="BG1089" i="16"/>
  <c r="W1024" i="119"/>
  <c r="W1036" i="119"/>
  <c r="V1042" i="119"/>
  <c r="T1056" i="119"/>
  <c r="V1058" i="119"/>
  <c r="BG1115" i="16"/>
  <c r="W1283" i="25"/>
  <c r="BG1097" i="16"/>
  <c r="W1040" i="119"/>
  <c r="V1046" i="119"/>
  <c r="BA1112" i="16"/>
  <c r="W985" i="119"/>
  <c r="T1001" i="119"/>
  <c r="W1007" i="119"/>
  <c r="T1009" i="119"/>
  <c r="BG1070" i="16"/>
  <c r="W1258" i="25"/>
  <c r="Y1258" i="25" s="1"/>
  <c r="W1254" i="25"/>
  <c r="Y1254" i="25" s="1"/>
  <c r="W1240" i="25"/>
  <c r="Y1240" i="25" s="1"/>
  <c r="BG1045" i="16"/>
  <c r="W977" i="119"/>
  <c r="T988" i="119"/>
  <c r="W996" i="119"/>
  <c r="AD1045" i="16"/>
  <c r="BI1045" i="16" s="1"/>
  <c r="W1232" i="25"/>
  <c r="Y1232" i="25" s="1"/>
  <c r="AD1071" i="16"/>
  <c r="BI1071" i="16" s="1"/>
  <c r="BJ1049" i="16"/>
  <c r="BJ1037" i="16"/>
  <c r="BJ1034" i="16"/>
  <c r="V941" i="119"/>
  <c r="T948" i="119"/>
  <c r="W1177" i="25"/>
  <c r="Y1177" i="25" s="1"/>
  <c r="W963" i="119"/>
  <c r="W967" i="119"/>
  <c r="BG1007" i="16"/>
  <c r="BG999" i="16"/>
  <c r="T944" i="119"/>
  <c r="V957" i="119"/>
  <c r="T968" i="119"/>
  <c r="W1125" i="25"/>
  <c r="Y1125" i="25" s="1"/>
  <c r="W890" i="119"/>
  <c r="W894" i="119"/>
  <c r="T902" i="119"/>
  <c r="V926" i="119"/>
  <c r="BG951" i="16"/>
  <c r="V918" i="119"/>
  <c r="BG943" i="16"/>
  <c r="W1122" i="25"/>
  <c r="Y1122" i="25" s="1"/>
  <c r="V895" i="119"/>
  <c r="V899" i="119"/>
  <c r="W921" i="119"/>
  <c r="W929" i="119"/>
  <c r="W1133" i="25"/>
  <c r="V898" i="119"/>
  <c r="V902" i="119"/>
  <c r="V906" i="119"/>
  <c r="V910" i="119"/>
  <c r="V914" i="119"/>
  <c r="W918" i="119"/>
  <c r="W1115" i="25"/>
  <c r="W922" i="119"/>
  <c r="T916" i="119"/>
  <c r="V921" i="119"/>
  <c r="V925" i="119"/>
  <c r="W1091" i="25"/>
  <c r="W1059" i="25"/>
  <c r="V872" i="119"/>
  <c r="W1083" i="25"/>
  <c r="BG890" i="16"/>
  <c r="W1035" i="25"/>
  <c r="W1006" i="25"/>
  <c r="Y1006" i="25" s="1"/>
  <c r="W809" i="119"/>
  <c r="W813" i="119"/>
  <c r="W828" i="119"/>
  <c r="W1031" i="25"/>
  <c r="W1027" i="25"/>
  <c r="BG858" i="16"/>
  <c r="W1022" i="25"/>
  <c r="Y1022" i="25" s="1"/>
  <c r="V829" i="119"/>
  <c r="W836" i="119"/>
  <c r="V764" i="119"/>
  <c r="W766" i="119"/>
  <c r="W786" i="119"/>
  <c r="W798" i="119"/>
  <c r="W790" i="119"/>
  <c r="W968" i="25"/>
  <c r="Y968" i="25" s="1"/>
  <c r="BG811" i="16"/>
  <c r="W762" i="119"/>
  <c r="V788" i="119"/>
  <c r="T790" i="119"/>
  <c r="W793" i="119"/>
  <c r="T798" i="119"/>
  <c r="W972" i="25"/>
  <c r="Y972" i="25" s="1"/>
  <c r="W945" i="25"/>
  <c r="W769" i="119"/>
  <c r="V776" i="119"/>
  <c r="W777" i="119"/>
  <c r="T786" i="119"/>
  <c r="T794" i="119"/>
  <c r="V796" i="119"/>
  <c r="W765" i="119"/>
  <c r="T768" i="119"/>
  <c r="V784" i="119"/>
  <c r="V792" i="119"/>
  <c r="BG711" i="16"/>
  <c r="W804" i="25"/>
  <c r="Y804" i="25" s="1"/>
  <c r="W638" i="119"/>
  <c r="W652" i="119"/>
  <c r="T648" i="119"/>
  <c r="W783" i="25"/>
  <c r="W779" i="25"/>
  <c r="V618" i="119"/>
  <c r="V622" i="119"/>
  <c r="T601" i="119"/>
  <c r="W609" i="119"/>
  <c r="W625" i="119"/>
  <c r="W589" i="119"/>
  <c r="V614" i="119"/>
  <c r="W621" i="119"/>
  <c r="T626" i="119"/>
  <c r="W509" i="119"/>
  <c r="W609" i="25"/>
  <c r="V531" i="119"/>
  <c r="W516" i="119"/>
  <c r="W524" i="119"/>
  <c r="V499" i="119"/>
  <c r="W550" i="25"/>
  <c r="Y550" i="25" s="1"/>
  <c r="V462" i="119"/>
  <c r="T474" i="119"/>
  <c r="T478" i="119"/>
  <c r="W494" i="119"/>
  <c r="W498" i="119"/>
  <c r="W447" i="119"/>
  <c r="T452" i="119"/>
  <c r="W424" i="119"/>
  <c r="W443" i="119"/>
  <c r="W451" i="119"/>
  <c r="W435" i="119"/>
  <c r="T440" i="119"/>
  <c r="T422" i="119"/>
  <c r="W432" i="119"/>
  <c r="V439" i="119"/>
  <c r="T448" i="119"/>
  <c r="V455" i="119"/>
  <c r="W504" i="25"/>
  <c r="Y504" i="25" s="1"/>
  <c r="V420" i="119"/>
  <c r="V436" i="119"/>
  <c r="W439" i="119"/>
  <c r="T349" i="119"/>
  <c r="V353" i="119"/>
  <c r="V345" i="119"/>
  <c r="V349" i="119"/>
  <c r="V361" i="119"/>
  <c r="V369" i="119"/>
  <c r="BG364" i="16"/>
  <c r="W349" i="119"/>
  <c r="V289" i="119"/>
  <c r="V293" i="119"/>
  <c r="V297" i="119"/>
  <c r="W303" i="119"/>
  <c r="W311" i="119"/>
  <c r="BG343" i="16"/>
  <c r="W295" i="119"/>
  <c r="V313" i="119"/>
  <c r="W315" i="119"/>
  <c r="S318" i="119"/>
  <c r="AQ343" i="16"/>
  <c r="BG318" i="16"/>
  <c r="W341" i="25"/>
  <c r="BA343" i="16"/>
  <c r="T318" i="119"/>
  <c r="W267" i="119"/>
  <c r="W248" i="119"/>
  <c r="W255" i="119"/>
  <c r="W259" i="119"/>
  <c r="T252" i="119"/>
  <c r="V261" i="119"/>
  <c r="W275" i="119"/>
  <c r="T278" i="119"/>
  <c r="W283" i="119"/>
  <c r="S283" i="119"/>
  <c r="AQ306" i="16"/>
  <c r="BA286" i="16"/>
  <c r="W137" i="119"/>
  <c r="W153" i="119"/>
  <c r="BG1147" i="16"/>
  <c r="BG1155" i="16"/>
  <c r="W1078" i="119"/>
  <c r="V1082" i="119"/>
  <c r="T1098" i="119"/>
  <c r="W1359" i="25"/>
  <c r="Y1359" i="25" s="1"/>
  <c r="BG1159" i="16"/>
  <c r="BG1131" i="16"/>
  <c r="BG1127" i="16"/>
  <c r="W1089" i="119"/>
  <c r="T1094" i="119"/>
  <c r="V1097" i="119"/>
  <c r="AD1063" i="16"/>
  <c r="AD1053" i="16"/>
  <c r="BB1067" i="16"/>
  <c r="S774" i="119"/>
  <c r="U774" i="119" s="1"/>
  <c r="BA302" i="16"/>
  <c r="AQ790" i="16"/>
  <c r="G724" i="182"/>
  <c r="BA642" i="16"/>
  <c r="W1367" i="25"/>
  <c r="Y1367" i="25" s="1"/>
  <c r="W1332" i="25"/>
  <c r="BG1142" i="16"/>
  <c r="V1084" i="119"/>
  <c r="BG1149" i="16"/>
  <c r="W1371" i="25"/>
  <c r="Y1371" i="25" s="1"/>
  <c r="W1336" i="25"/>
  <c r="T1066" i="119"/>
  <c r="V1068" i="119"/>
  <c r="W1084" i="119"/>
  <c r="S1062" i="119"/>
  <c r="BG1146" i="16"/>
  <c r="BG1138" i="16"/>
  <c r="T1088" i="119"/>
  <c r="AG1164" i="16"/>
  <c r="AG1122" i="16" s="1"/>
  <c r="W1313" i="25"/>
  <c r="W1294" i="25"/>
  <c r="Y1294" i="25" s="1"/>
  <c r="W1290" i="25"/>
  <c r="Y1290" i="25" s="1"/>
  <c r="W1278" i="25"/>
  <c r="V1027" i="119"/>
  <c r="V1034" i="119"/>
  <c r="T1048" i="119"/>
  <c r="BG1107" i="16"/>
  <c r="W1305" i="25"/>
  <c r="BG1087" i="16"/>
  <c r="W1027" i="119"/>
  <c r="V1045" i="119"/>
  <c r="V1048" i="119"/>
  <c r="V1056" i="119"/>
  <c r="BG1096" i="16"/>
  <c r="V1020" i="119"/>
  <c r="W1031" i="119"/>
  <c r="T1037" i="119"/>
  <c r="V1038" i="119"/>
  <c r="W1048" i="119"/>
  <c r="W1051" i="119"/>
  <c r="BG1062" i="16"/>
  <c r="W1238" i="25"/>
  <c r="Y1238" i="25" s="1"/>
  <c r="W1256" i="25"/>
  <c r="Y1256" i="25" s="1"/>
  <c r="W1231" i="25"/>
  <c r="W1228" i="25"/>
  <c r="Y1228" i="25" s="1"/>
  <c r="V980" i="119"/>
  <c r="T998" i="119"/>
  <c r="V1011" i="119"/>
  <c r="BC1069" i="16"/>
  <c r="BC1037" i="16"/>
  <c r="W1243" i="25"/>
  <c r="W1236" i="25"/>
  <c r="Y1236" i="25" s="1"/>
  <c r="W1220" i="25"/>
  <c r="Y1220" i="25" s="1"/>
  <c r="W1223" i="25"/>
  <c r="BG1038" i="16"/>
  <c r="W984" i="119"/>
  <c r="V998" i="119"/>
  <c r="BC1033" i="16"/>
  <c r="AD1038" i="16"/>
  <c r="BB1035" i="16"/>
  <c r="BG1055" i="16"/>
  <c r="T981" i="119"/>
  <c r="V992" i="119"/>
  <c r="W994" i="119"/>
  <c r="BC1061" i="16"/>
  <c r="BC1045" i="16"/>
  <c r="BB1043" i="16"/>
  <c r="W1182" i="25"/>
  <c r="V944" i="119"/>
  <c r="V948" i="119"/>
  <c r="W962" i="119"/>
  <c r="AT998" i="16"/>
  <c r="W1175" i="25"/>
  <c r="Y1175" i="25" s="1"/>
  <c r="W940" i="119"/>
  <c r="W943" i="119"/>
  <c r="V933" i="119"/>
  <c r="BG990" i="16"/>
  <c r="T941" i="119"/>
  <c r="V969" i="119"/>
  <c r="V972" i="119"/>
  <c r="W1137" i="25"/>
  <c r="W1129" i="25"/>
  <c r="W1111" i="25"/>
  <c r="V897" i="119"/>
  <c r="W898" i="119"/>
  <c r="V903" i="119"/>
  <c r="W1126" i="25"/>
  <c r="Y1126" i="25" s="1"/>
  <c r="W1135" i="25"/>
  <c r="T913" i="119"/>
  <c r="V919" i="119"/>
  <c r="W926" i="119"/>
  <c r="V894" i="119"/>
  <c r="W914" i="119"/>
  <c r="V922" i="119"/>
  <c r="BG920" i="16"/>
  <c r="W1063" i="25"/>
  <c r="W863" i="119"/>
  <c r="V875" i="119"/>
  <c r="V885" i="119"/>
  <c r="W1081" i="25"/>
  <c r="W1077" i="25"/>
  <c r="W1052" i="25"/>
  <c r="Y1052" i="25" s="1"/>
  <c r="BG908" i="16"/>
  <c r="W873" i="119"/>
  <c r="W885" i="119"/>
  <c r="BG936" i="16"/>
  <c r="W1071" i="25"/>
  <c r="W866" i="119"/>
  <c r="V871" i="119"/>
  <c r="V878" i="119"/>
  <c r="W1033" i="25"/>
  <c r="BG862" i="16"/>
  <c r="W1012" i="25"/>
  <c r="Y1012" i="25" s="1"/>
  <c r="W1003" i="25"/>
  <c r="W1000" i="25"/>
  <c r="Y1000" i="25" s="1"/>
  <c r="V837" i="119"/>
  <c r="V827" i="119"/>
  <c r="W1020" i="25"/>
  <c r="Y1020" i="25" s="1"/>
  <c r="W1017" i="25"/>
  <c r="BG881" i="16"/>
  <c r="T832" i="119"/>
  <c r="V815" i="119"/>
  <c r="V821" i="119"/>
  <c r="W1028" i="25"/>
  <c r="Y1028" i="25" s="1"/>
  <c r="W1025" i="25"/>
  <c r="W834" i="119"/>
  <c r="T820" i="119"/>
  <c r="BG869" i="16"/>
  <c r="T811" i="119"/>
  <c r="T806" i="119"/>
  <c r="W948" i="25"/>
  <c r="Y948" i="25" s="1"/>
  <c r="W954" i="25"/>
  <c r="Y954" i="25" s="1"/>
  <c r="W957" i="25"/>
  <c r="V768" i="119"/>
  <c r="W774" i="119"/>
  <c r="W778" i="119"/>
  <c r="W781" i="119"/>
  <c r="AQ817" i="16"/>
  <c r="W940" i="25"/>
  <c r="Y940" i="25" s="1"/>
  <c r="BG823" i="16"/>
  <c r="BG840" i="16"/>
  <c r="V772" i="119"/>
  <c r="V794" i="119"/>
  <c r="AQ813" i="16"/>
  <c r="W739" i="119"/>
  <c r="W900" i="25"/>
  <c r="Y900" i="25" s="1"/>
  <c r="W742" i="119"/>
  <c r="BG772" i="16"/>
  <c r="T727" i="119"/>
  <c r="V725" i="119"/>
  <c r="V721" i="119"/>
  <c r="W914" i="25"/>
  <c r="Y914" i="25" s="1"/>
  <c r="W916" i="25"/>
  <c r="Y916" i="25" s="1"/>
  <c r="W745" i="119"/>
  <c r="W722" i="119"/>
  <c r="V741" i="119"/>
  <c r="V737" i="119"/>
  <c r="V734" i="119"/>
  <c r="W754" i="119"/>
  <c r="V718" i="119"/>
  <c r="BG802" i="16"/>
  <c r="T720" i="119"/>
  <c r="T757" i="119"/>
  <c r="BG786" i="16"/>
  <c r="T741" i="119"/>
  <c r="V757" i="119"/>
  <c r="V753" i="119"/>
  <c r="BG747" i="16"/>
  <c r="AQ727" i="16"/>
  <c r="BG723" i="16"/>
  <c r="V688" i="119"/>
  <c r="T695" i="119"/>
  <c r="V696" i="119"/>
  <c r="V702" i="119"/>
  <c r="BG738" i="16"/>
  <c r="W866" i="25"/>
  <c r="Y866" i="25" s="1"/>
  <c r="T680" i="119"/>
  <c r="V692" i="119"/>
  <c r="W696" i="119"/>
  <c r="V712" i="119"/>
  <c r="W842" i="25"/>
  <c r="W837" i="25"/>
  <c r="W686" i="119"/>
  <c r="W692" i="119"/>
  <c r="W707" i="119"/>
  <c r="W800" i="25"/>
  <c r="Y800" i="25" s="1"/>
  <c r="W776" i="25"/>
  <c r="Y776" i="25" s="1"/>
  <c r="W669" i="119"/>
  <c r="W803" i="25"/>
  <c r="W790" i="25"/>
  <c r="Y790" i="25" s="1"/>
  <c r="W788" i="25"/>
  <c r="Y788" i="25" s="1"/>
  <c r="BG687" i="16"/>
  <c r="T637" i="119"/>
  <c r="W666" i="119"/>
  <c r="W724" i="25"/>
  <c r="Y724" i="25" s="1"/>
  <c r="W604" i="119"/>
  <c r="T620" i="119"/>
  <c r="W628" i="119"/>
  <c r="BA665" i="16"/>
  <c r="T592" i="119"/>
  <c r="W601" i="119"/>
  <c r="T605" i="119"/>
  <c r="V608" i="119"/>
  <c r="V611" i="119"/>
  <c r="W624" i="119"/>
  <c r="V592" i="119"/>
  <c r="V619" i="119"/>
  <c r="BG619" i="16"/>
  <c r="BG592" i="16"/>
  <c r="W668" i="25"/>
  <c r="Y668" i="25" s="1"/>
  <c r="T555" i="119"/>
  <c r="T566" i="119"/>
  <c r="T571" i="119"/>
  <c r="T582" i="119"/>
  <c r="BG608" i="16"/>
  <c r="BG603" i="16"/>
  <c r="W683" i="25"/>
  <c r="BG594" i="16"/>
  <c r="W549" i="119"/>
  <c r="T557" i="119"/>
  <c r="V558" i="119"/>
  <c r="W559" i="119"/>
  <c r="V574" i="119"/>
  <c r="BG576" i="16"/>
  <c r="V507" i="119"/>
  <c r="V529" i="119"/>
  <c r="V539" i="119"/>
  <c r="V542" i="119"/>
  <c r="BG572" i="16"/>
  <c r="W628" i="25"/>
  <c r="Y628" i="25" s="1"/>
  <c r="W637" i="25"/>
  <c r="W630" i="25"/>
  <c r="Y630" i="25" s="1"/>
  <c r="BG557" i="16"/>
  <c r="W507" i="119"/>
  <c r="V513" i="119"/>
  <c r="T522" i="119"/>
  <c r="V523" i="119"/>
  <c r="V526" i="119"/>
  <c r="V460" i="119"/>
  <c r="BG519" i="16"/>
  <c r="W577" i="25"/>
  <c r="Y577" i="25" s="1"/>
  <c r="BG502" i="16"/>
  <c r="V488" i="119"/>
  <c r="T498" i="119"/>
  <c r="W587" i="25"/>
  <c r="Y587" i="25" s="1"/>
  <c r="W461" i="119"/>
  <c r="W464" i="119"/>
  <c r="V472" i="119"/>
  <c r="W484" i="119"/>
  <c r="V492" i="119"/>
  <c r="W580" i="25"/>
  <c r="Y580" i="25" s="1"/>
  <c r="W575" i="25"/>
  <c r="W564" i="25"/>
  <c r="Y564" i="25" s="1"/>
  <c r="BG511" i="16"/>
  <c r="T480" i="119"/>
  <c r="W490" i="119"/>
  <c r="W420" i="119"/>
  <c r="T436" i="119"/>
  <c r="V450" i="119"/>
  <c r="W502" i="25"/>
  <c r="Y502" i="25" s="1"/>
  <c r="W495" i="25"/>
  <c r="BG486" i="16"/>
  <c r="W423" i="119"/>
  <c r="W455" i="119"/>
  <c r="BG467" i="16"/>
  <c r="BG469" i="16"/>
  <c r="V431" i="119"/>
  <c r="V447" i="119"/>
  <c r="T384" i="119"/>
  <c r="W387" i="119"/>
  <c r="W390" i="119"/>
  <c r="W410" i="119"/>
  <c r="W464" i="25"/>
  <c r="Y464" i="25" s="1"/>
  <c r="W437" i="25"/>
  <c r="BG413" i="16"/>
  <c r="V394" i="119"/>
  <c r="BG441" i="16"/>
  <c r="V378" i="119"/>
  <c r="W394" i="119"/>
  <c r="W403" i="119"/>
  <c r="W406" i="119"/>
  <c r="W410" i="25"/>
  <c r="Y410" i="25" s="1"/>
  <c r="W408" i="25"/>
  <c r="Y408" i="25" s="1"/>
  <c r="W394" i="25"/>
  <c r="Y394" i="25" s="1"/>
  <c r="W396" i="25"/>
  <c r="Y396" i="25" s="1"/>
  <c r="W336" i="119"/>
  <c r="V352" i="119"/>
  <c r="T355" i="119"/>
  <c r="V362" i="119"/>
  <c r="W363" i="119"/>
  <c r="BG389" i="16"/>
  <c r="W416" i="25"/>
  <c r="Y416" i="25" s="1"/>
  <c r="AQ367" i="16"/>
  <c r="W381" i="25"/>
  <c r="BG373" i="16"/>
  <c r="T332" i="119"/>
  <c r="W413" i="25"/>
  <c r="W401" i="25"/>
  <c r="BG359" i="16"/>
  <c r="V340" i="119"/>
  <c r="AT331" i="16"/>
  <c r="BG350" i="16"/>
  <c r="W349" i="25"/>
  <c r="Y349" i="25" s="1"/>
  <c r="W327" i="25"/>
  <c r="W331" i="25"/>
  <c r="BG316" i="16"/>
  <c r="T299" i="119"/>
  <c r="T303" i="119"/>
  <c r="T306" i="119"/>
  <c r="W316" i="119"/>
  <c r="T322" i="119"/>
  <c r="W326" i="119"/>
  <c r="W353" i="25"/>
  <c r="W345" i="25"/>
  <c r="T314" i="119"/>
  <c r="BG322" i="16"/>
  <c r="W293" i="119"/>
  <c r="W299" i="119"/>
  <c r="W305" i="119"/>
  <c r="V317" i="119"/>
  <c r="AQ286" i="16"/>
  <c r="G242" i="182" s="1"/>
  <c r="BG307" i="16"/>
  <c r="BG299" i="16"/>
  <c r="W303" i="25"/>
  <c r="BG279" i="16"/>
  <c r="T247" i="119"/>
  <c r="W279" i="119"/>
  <c r="W287" i="25"/>
  <c r="W298" i="25"/>
  <c r="Y298" i="25" s="1"/>
  <c r="BG290" i="16"/>
  <c r="V254" i="119"/>
  <c r="W263" i="119"/>
  <c r="W266" i="119"/>
  <c r="W273" i="119"/>
  <c r="T276" i="119"/>
  <c r="S267" i="119"/>
  <c r="AQ270" i="16"/>
  <c r="BG270" i="16"/>
  <c r="T256" i="119"/>
  <c r="W257" i="119"/>
  <c r="V272" i="119"/>
  <c r="V276" i="119"/>
  <c r="T284" i="119"/>
  <c r="W231" i="25"/>
  <c r="W223" i="25"/>
  <c r="BG241" i="16"/>
  <c r="W212" i="119"/>
  <c r="W232" i="119"/>
  <c r="W227" i="25"/>
  <c r="W243" i="25"/>
  <c r="W216" i="119"/>
  <c r="W228" i="119"/>
  <c r="BG238" i="16"/>
  <c r="W209" i="119"/>
  <c r="V230" i="119"/>
  <c r="W241" i="119"/>
  <c r="BG204" i="16"/>
  <c r="W192" i="25"/>
  <c r="Y192" i="25" s="1"/>
  <c r="BG198" i="16"/>
  <c r="BG181" i="16"/>
  <c r="W178" i="25"/>
  <c r="Y178" i="25" s="1"/>
  <c r="V170" i="119"/>
  <c r="W191" i="119"/>
  <c r="BG145" i="16"/>
  <c r="W117" i="119"/>
  <c r="W149" i="119"/>
  <c r="BG171" i="16"/>
  <c r="BG144" i="16"/>
  <c r="W106" i="25"/>
  <c r="Y106" i="25" s="1"/>
  <c r="BG186" i="16"/>
  <c r="BG191" i="16"/>
  <c r="V166" i="119"/>
  <c r="W180" i="25"/>
  <c r="Y180" i="25" s="1"/>
  <c r="W189" i="25"/>
  <c r="W174" i="25"/>
  <c r="Y174" i="25" s="1"/>
  <c r="W166" i="119"/>
  <c r="W179" i="119"/>
  <c r="V187" i="119"/>
  <c r="W158" i="25"/>
  <c r="Y158" i="25" s="1"/>
  <c r="W164" i="25"/>
  <c r="Y164" i="25" s="1"/>
  <c r="T167" i="119"/>
  <c r="V198" i="119"/>
  <c r="W236" i="25"/>
  <c r="Y236" i="25" s="1"/>
  <c r="BG234" i="16"/>
  <c r="V240" i="119"/>
  <c r="V208" i="119"/>
  <c r="W228" i="25"/>
  <c r="Y228" i="25" s="1"/>
  <c r="W232" i="25"/>
  <c r="Y232" i="25" s="1"/>
  <c r="W222" i="119"/>
  <c r="W240" i="25"/>
  <c r="Y240" i="25" s="1"/>
  <c r="W230" i="119"/>
  <c r="W221" i="25"/>
  <c r="W217" i="25"/>
  <c r="W213" i="25"/>
  <c r="W276" i="119"/>
  <c r="W260" i="119"/>
  <c r="T280" i="119"/>
  <c r="BG277" i="16"/>
  <c r="BA274" i="16"/>
  <c r="AQ274" i="16"/>
  <c r="V279" i="119"/>
  <c r="V263" i="119"/>
  <c r="V246" i="119"/>
  <c r="S251" i="119"/>
  <c r="U251" i="119" s="1"/>
  <c r="V282" i="119"/>
  <c r="V266" i="119"/>
  <c r="V248" i="119"/>
  <c r="W284" i="119"/>
  <c r="W268" i="119"/>
  <c r="BA306" i="16"/>
  <c r="T275" i="119"/>
  <c r="S275" i="119"/>
  <c r="BG271" i="16"/>
  <c r="T248" i="119"/>
  <c r="V271" i="119"/>
  <c r="V250" i="119"/>
  <c r="W278" i="25"/>
  <c r="Y278" i="25" s="1"/>
  <c r="W275" i="25"/>
  <c r="W271" i="119"/>
  <c r="BG293" i="16"/>
  <c r="T259" i="119"/>
  <c r="S255" i="119"/>
  <c r="BA278" i="16"/>
  <c r="AQ278" i="16"/>
  <c r="V255" i="119"/>
  <c r="BG323" i="16"/>
  <c r="T298" i="119"/>
  <c r="T290" i="119"/>
  <c r="BG315" i="16"/>
  <c r="V303" i="119"/>
  <c r="V319" i="119"/>
  <c r="W362" i="25"/>
  <c r="Y362" i="25" s="1"/>
  <c r="W358" i="25"/>
  <c r="Y358" i="25" s="1"/>
  <c r="W354" i="25"/>
  <c r="Y354" i="25" s="1"/>
  <c r="W350" i="25"/>
  <c r="Y350" i="25" s="1"/>
  <c r="W346" i="25"/>
  <c r="Y346" i="25" s="1"/>
  <c r="W342" i="25"/>
  <c r="Y342" i="25" s="1"/>
  <c r="W339" i="25"/>
  <c r="W306" i="119"/>
  <c r="T310" i="119"/>
  <c r="BG335" i="16"/>
  <c r="BG332" i="16"/>
  <c r="W301" i="119"/>
  <c r="T324" i="119"/>
  <c r="W317" i="119"/>
  <c r="W314" i="119"/>
  <c r="V327" i="119"/>
  <c r="V311" i="119"/>
  <c r="V295" i="119"/>
  <c r="W298" i="119"/>
  <c r="BG320" i="16"/>
  <c r="T295" i="119"/>
  <c r="W325" i="119"/>
  <c r="W322" i="119"/>
  <c r="W290" i="119"/>
  <c r="V314" i="119"/>
  <c r="V298" i="119"/>
  <c r="W385" i="25"/>
  <c r="W332" i="119"/>
  <c r="W417" i="25"/>
  <c r="W404" i="25"/>
  <c r="Y404" i="25" s="1"/>
  <c r="V360" i="119"/>
  <c r="V344" i="119"/>
  <c r="V339" i="119"/>
  <c r="W395" i="25"/>
  <c r="S367" i="119"/>
  <c r="T364" i="119"/>
  <c r="BA375" i="16"/>
  <c r="T348" i="119"/>
  <c r="BG375" i="16"/>
  <c r="W359" i="119"/>
  <c r="T341" i="119"/>
  <c r="BG368" i="16"/>
  <c r="BG363" i="16"/>
  <c r="V406" i="119"/>
  <c r="W408" i="119"/>
  <c r="V409" i="119"/>
  <c r="T400" i="119"/>
  <c r="T380" i="119"/>
  <c r="V390" i="119"/>
  <c r="W443" i="25"/>
  <c r="W439" i="25"/>
  <c r="V398" i="119"/>
  <c r="V382" i="119"/>
  <c r="V374" i="119"/>
  <c r="W400" i="119"/>
  <c r="T409" i="119"/>
  <c r="W496" i="25"/>
  <c r="Y496" i="25" s="1"/>
  <c r="T442" i="119"/>
  <c r="V419" i="119"/>
  <c r="W501" i="25"/>
  <c r="BG461" i="16"/>
  <c r="T426" i="119"/>
  <c r="BG457" i="16"/>
  <c r="T420" i="119"/>
  <c r="V443" i="119"/>
  <c r="V427" i="119"/>
  <c r="W476" i="119"/>
  <c r="T476" i="119"/>
  <c r="V495" i="119"/>
  <c r="V463" i="119"/>
  <c r="W487" i="119"/>
  <c r="T466" i="119"/>
  <c r="BG499" i="16"/>
  <c r="V498" i="119"/>
  <c r="V466" i="119"/>
  <c r="W560" i="25"/>
  <c r="Y560" i="25" s="1"/>
  <c r="W492" i="119"/>
  <c r="W463" i="119"/>
  <c r="T492" i="119"/>
  <c r="V487" i="119"/>
  <c r="W553" i="25"/>
  <c r="Y553" i="25" s="1"/>
  <c r="W468" i="119"/>
  <c r="BG496" i="16"/>
  <c r="T463" i="119"/>
  <c r="T460" i="119"/>
  <c r="V465" i="119"/>
  <c r="W478" i="119"/>
  <c r="W486" i="119"/>
  <c r="T530" i="119"/>
  <c r="BG540" i="16"/>
  <c r="T505" i="119"/>
  <c r="W634" i="25"/>
  <c r="Y634" i="25" s="1"/>
  <c r="W615" i="25"/>
  <c r="T540" i="119"/>
  <c r="BG542" i="16"/>
  <c r="T507" i="119"/>
  <c r="V538" i="119"/>
  <c r="V522" i="119"/>
  <c r="V506" i="119"/>
  <c r="W639" i="25"/>
  <c r="W610" i="25"/>
  <c r="Y610" i="25" s="1"/>
  <c r="W513" i="119"/>
  <c r="V535" i="119"/>
  <c r="W622" i="25"/>
  <c r="Y622" i="25" s="1"/>
  <c r="W537" i="119"/>
  <c r="W505" i="119"/>
  <c r="BG538" i="16"/>
  <c r="T503" i="119"/>
  <c r="V527" i="119"/>
  <c r="BG546" i="16"/>
  <c r="W632" i="25"/>
  <c r="Y632" i="25" s="1"/>
  <c r="W526" i="119"/>
  <c r="V514" i="119"/>
  <c r="V580" i="119"/>
  <c r="W558" i="119"/>
  <c r="W554" i="119"/>
  <c r="W551" i="119"/>
  <c r="W564" i="119"/>
  <c r="W696" i="25"/>
  <c r="Y696" i="25" s="1"/>
  <c r="W664" i="25"/>
  <c r="Y664" i="25" s="1"/>
  <c r="BG597" i="16"/>
  <c r="V548" i="119"/>
  <c r="T560" i="119"/>
  <c r="W581" i="119"/>
  <c r="W569" i="119"/>
  <c r="W553" i="119"/>
  <c r="W557" i="119"/>
  <c r="W563" i="119"/>
  <c r="W583" i="119"/>
  <c r="T549" i="119"/>
  <c r="W617" i="119"/>
  <c r="W750" i="25"/>
  <c r="Y750" i="25" s="1"/>
  <c r="W741" i="25"/>
  <c r="W623" i="119"/>
  <c r="W620" i="119"/>
  <c r="W593" i="119"/>
  <c r="T604" i="119"/>
  <c r="V627" i="119"/>
  <c r="T628" i="119"/>
  <c r="T614" i="119"/>
  <c r="BG653" i="16"/>
  <c r="W614" i="119"/>
  <c r="W596" i="119"/>
  <c r="T590" i="119"/>
  <c r="W610" i="119"/>
  <c r="W731" i="25"/>
  <c r="V624" i="119"/>
  <c r="W605" i="119"/>
  <c r="T600" i="119"/>
  <c r="T602" i="119"/>
  <c r="W619" i="119"/>
  <c r="BD627" i="16"/>
  <c r="BD670" i="16" s="1"/>
  <c r="T598" i="119"/>
  <c r="T624" i="119"/>
  <c r="V626" i="119"/>
  <c r="BG693" i="16"/>
  <c r="W806" i="25"/>
  <c r="Y806" i="25" s="1"/>
  <c r="W657" i="119"/>
  <c r="W782" i="25"/>
  <c r="Y782" i="25" s="1"/>
  <c r="W665" i="119"/>
  <c r="W633" i="119"/>
  <c r="BG706" i="16"/>
  <c r="W641" i="119"/>
  <c r="T669" i="119"/>
  <c r="BG681" i="16"/>
  <c r="V659" i="119"/>
  <c r="V635" i="119"/>
  <c r="W796" i="25"/>
  <c r="Y796" i="25" s="1"/>
  <c r="V651" i="119"/>
  <c r="W775" i="25"/>
  <c r="W649" i="119"/>
  <c r="AQ697" i="16"/>
  <c r="T632" i="119"/>
  <c r="W850" i="25"/>
  <c r="Y850" i="25" s="1"/>
  <c r="W688" i="119"/>
  <c r="V687" i="119"/>
  <c r="W859" i="25"/>
  <c r="W845" i="25"/>
  <c r="T711" i="119"/>
  <c r="V710" i="119"/>
  <c r="V704" i="119"/>
  <c r="V700" i="119"/>
  <c r="V694" i="119"/>
  <c r="W865" i="25"/>
  <c r="W712" i="119"/>
  <c r="W699" i="119"/>
  <c r="T691" i="119"/>
  <c r="T687" i="119"/>
  <c r="BG719" i="16"/>
  <c r="T676" i="119"/>
  <c r="W682" i="119"/>
  <c r="W675" i="119"/>
  <c r="T707" i="119"/>
  <c r="W711" i="119"/>
  <c r="W902" i="25"/>
  <c r="Y902" i="25" s="1"/>
  <c r="W906" i="25"/>
  <c r="Y906" i="25" s="1"/>
  <c r="W890" i="25"/>
  <c r="Y890" i="25" s="1"/>
  <c r="W749" i="119"/>
  <c r="T746" i="119"/>
  <c r="BG778" i="16"/>
  <c r="T733" i="119"/>
  <c r="T730" i="119"/>
  <c r="V755" i="119"/>
  <c r="T719" i="119"/>
  <c r="W910" i="25"/>
  <c r="Y910" i="25" s="1"/>
  <c r="W894" i="25"/>
  <c r="Y894" i="25" s="1"/>
  <c r="W757" i="119"/>
  <c r="W725" i="119"/>
  <c r="S725" i="119"/>
  <c r="W918" i="25"/>
  <c r="Y918" i="25" s="1"/>
  <c r="W898" i="25"/>
  <c r="Y898" i="25" s="1"/>
  <c r="W888" i="25"/>
  <c r="Y888" i="25" s="1"/>
  <c r="W733" i="119"/>
  <c r="V747" i="119"/>
  <c r="V722" i="119"/>
  <c r="W735" i="119"/>
  <c r="V746" i="119"/>
  <c r="T753" i="119"/>
  <c r="W719" i="119"/>
  <c r="V730" i="119"/>
  <c r="W743" i="119"/>
  <c r="V754" i="119"/>
  <c r="W963" i="25"/>
  <c r="W956" i="25"/>
  <c r="Y956" i="25" s="1"/>
  <c r="T765" i="119"/>
  <c r="BG812" i="16"/>
  <c r="W969" i="25"/>
  <c r="W959" i="25"/>
  <c r="W950" i="25"/>
  <c r="Y950" i="25" s="1"/>
  <c r="W942" i="25"/>
  <c r="Y942" i="25" s="1"/>
  <c r="W797" i="119"/>
  <c r="W794" i="119"/>
  <c r="W773" i="119"/>
  <c r="W770" i="119"/>
  <c r="V800" i="119"/>
  <c r="V793" i="119"/>
  <c r="W973" i="25"/>
  <c r="V783" i="119"/>
  <c r="W965" i="25"/>
  <c r="T778" i="119"/>
  <c r="AT813" i="16"/>
  <c r="V766" i="119"/>
  <c r="W788" i="119"/>
  <c r="BG844" i="16"/>
  <c r="W946" i="25"/>
  <c r="Y946" i="25" s="1"/>
  <c r="W761" i="119"/>
  <c r="V780" i="119"/>
  <c r="V809" i="119"/>
  <c r="W811" i="119"/>
  <c r="W819" i="119"/>
  <c r="V825" i="119"/>
  <c r="W843" i="119"/>
  <c r="W1004" i="25"/>
  <c r="Y1004" i="25" s="1"/>
  <c r="W1010" i="25"/>
  <c r="Y1010" i="25" s="1"/>
  <c r="T804" i="119"/>
  <c r="W808" i="119"/>
  <c r="V817" i="119"/>
  <c r="W824" i="119"/>
  <c r="V804" i="119"/>
  <c r="W816" i="119"/>
  <c r="T828" i="119"/>
  <c r="W832" i="119"/>
  <c r="W840" i="119"/>
  <c r="W1073" i="25"/>
  <c r="W1054" i="25"/>
  <c r="V874" i="119"/>
  <c r="W851" i="119"/>
  <c r="W1060" i="25"/>
  <c r="Y1060" i="25" s="1"/>
  <c r="W861" i="119"/>
  <c r="W857" i="119"/>
  <c r="T867" i="119"/>
  <c r="BG904" i="16"/>
  <c r="T853" i="119"/>
  <c r="V859" i="119"/>
  <c r="V855" i="119"/>
  <c r="W1076" i="25"/>
  <c r="Y1076" i="25" s="1"/>
  <c r="T882" i="119"/>
  <c r="T874" i="119"/>
  <c r="V877" i="119"/>
  <c r="W1088" i="25"/>
  <c r="Y1088" i="25" s="1"/>
  <c r="W1085" i="25"/>
  <c r="W1067" i="25"/>
  <c r="BG909" i="16"/>
  <c r="V886" i="119"/>
  <c r="W1079" i="25"/>
  <c r="W881" i="119"/>
  <c r="T851" i="119"/>
  <c r="V850" i="119"/>
  <c r="V891" i="119"/>
  <c r="W1136" i="25"/>
  <c r="Y1136" i="25" s="1"/>
  <c r="W1131" i="25"/>
  <c r="W909" i="119"/>
  <c r="W893" i="119"/>
  <c r="T899" i="119"/>
  <c r="T891" i="119"/>
  <c r="W1127" i="25"/>
  <c r="W1114" i="25"/>
  <c r="Y1114" i="25" s="1"/>
  <c r="W928" i="119"/>
  <c r="W1144" i="25"/>
  <c r="Y1144" i="25" s="1"/>
  <c r="W917" i="119"/>
  <c r="T929" i="119"/>
  <c r="BG971" i="16"/>
  <c r="T918" i="119"/>
  <c r="BG950" i="16"/>
  <c r="BG947" i="16"/>
  <c r="V907" i="119"/>
  <c r="V943" i="119"/>
  <c r="V971" i="119"/>
  <c r="W1173" i="25"/>
  <c r="Y1173" i="25" s="1"/>
  <c r="W1170" i="25"/>
  <c r="BA994" i="16"/>
  <c r="T939" i="119"/>
  <c r="BG994" i="16"/>
  <c r="BG991" i="16"/>
  <c r="T936" i="119"/>
  <c r="W969" i="119"/>
  <c r="W939" i="119"/>
  <c r="V964" i="119"/>
  <c r="W1167" i="25"/>
  <c r="Y1167" i="25" s="1"/>
  <c r="T972" i="119"/>
  <c r="V955" i="119"/>
  <c r="V952" i="119"/>
  <c r="S943" i="119"/>
  <c r="BA998" i="16"/>
  <c r="BG1013" i="16"/>
  <c r="T951" i="119"/>
  <c r="BG1006" i="16"/>
  <c r="V961" i="119"/>
  <c r="V940" i="119"/>
  <c r="V939" i="119"/>
  <c r="W944" i="119"/>
  <c r="T952" i="119"/>
  <c r="T963" i="119"/>
  <c r="W968" i="119"/>
  <c r="T947" i="119"/>
  <c r="V951" i="119"/>
  <c r="V963" i="119"/>
  <c r="V997" i="119"/>
  <c r="W1248" i="25"/>
  <c r="Y1248" i="25" s="1"/>
  <c r="BJ1041" i="16"/>
  <c r="T984" i="119"/>
  <c r="AD1041" i="16"/>
  <c r="BI1041" i="16" s="1"/>
  <c r="V976" i="119"/>
  <c r="W1233" i="25"/>
  <c r="BJ1046" i="16"/>
  <c r="AD1046" i="16"/>
  <c r="AT1046" i="16" s="1"/>
  <c r="BJ1042" i="16"/>
  <c r="T985" i="119"/>
  <c r="AD1042" i="16"/>
  <c r="BC1067" i="16"/>
  <c r="V1008" i="119"/>
  <c r="V999" i="119"/>
  <c r="W1001" i="119"/>
  <c r="T1006" i="119"/>
  <c r="BJ1065" i="16"/>
  <c r="AD1059" i="16"/>
  <c r="BJ1057" i="16"/>
  <c r="T992" i="119"/>
  <c r="W1009" i="119"/>
  <c r="W1025" i="119"/>
  <c r="BG1085" i="16"/>
  <c r="W1304" i="25"/>
  <c r="Y1304" i="25" s="1"/>
  <c r="W1311" i="25"/>
  <c r="W1034" i="119"/>
  <c r="W1028" i="119"/>
  <c r="T1052" i="119"/>
  <c r="T1045" i="119"/>
  <c r="BG1079" i="16"/>
  <c r="AT1109" i="16"/>
  <c r="T1026" i="119"/>
  <c r="V1050" i="119"/>
  <c r="W1295" i="25"/>
  <c r="V1041" i="119"/>
  <c r="V1024" i="119"/>
  <c r="T1029" i="119"/>
  <c r="BG1088" i="16"/>
  <c r="V1054" i="119"/>
  <c r="W1298" i="25"/>
  <c r="Y1298" i="25" s="1"/>
  <c r="W1286" i="25"/>
  <c r="Y1286" i="25" s="1"/>
  <c r="W1054" i="119"/>
  <c r="W1050" i="119"/>
  <c r="T1058" i="119"/>
  <c r="T1036" i="119"/>
  <c r="BG1095" i="16"/>
  <c r="V1030" i="119"/>
  <c r="BA1084" i="16"/>
  <c r="W1360" i="25"/>
  <c r="W1358" i="25"/>
  <c r="W1354" i="25"/>
  <c r="V1063" i="119"/>
  <c r="T1078" i="119"/>
  <c r="W1086" i="119"/>
  <c r="T1089" i="119"/>
  <c r="W1093" i="119"/>
  <c r="AT1153" i="16"/>
  <c r="BG1153" i="16"/>
  <c r="T1062" i="119"/>
  <c r="T1071" i="119"/>
  <c r="W1076" i="119"/>
  <c r="V1091" i="119"/>
  <c r="BG1139" i="16"/>
  <c r="BG1123" i="16"/>
  <c r="V1081" i="119"/>
  <c r="V1087" i="119"/>
  <c r="S1078" i="119"/>
  <c r="V112" i="119"/>
  <c r="W81" i="119"/>
  <c r="W124" i="25"/>
  <c r="Y124" i="25" s="1"/>
  <c r="T148" i="119"/>
  <c r="BG152" i="16"/>
  <c r="V145" i="119"/>
  <c r="V141" i="119"/>
  <c r="W101" i="25"/>
  <c r="W1357" i="25"/>
  <c r="Y1357" i="25" s="1"/>
  <c r="BG1154" i="16"/>
  <c r="T1093" i="119"/>
  <c r="BG1143" i="16"/>
  <c r="V1099" i="119"/>
  <c r="W1069" i="119"/>
  <c r="T1084" i="119"/>
  <c r="BG1145" i="16"/>
  <c r="W1368" i="25"/>
  <c r="Y1368" i="25" s="1"/>
  <c r="W1101" i="119"/>
  <c r="W1094" i="119"/>
  <c r="W1365" i="25"/>
  <c r="Y1365" i="25" s="1"/>
  <c r="W1355" i="25"/>
  <c r="Y1355" i="25" s="1"/>
  <c r="W1351" i="25"/>
  <c r="Y1351" i="25" s="1"/>
  <c r="W1348" i="25"/>
  <c r="W1344" i="25"/>
  <c r="W1340" i="25"/>
  <c r="W1085" i="119"/>
  <c r="V1083" i="119"/>
  <c r="V1076" i="119"/>
  <c r="V1079" i="119"/>
  <c r="W1087" i="119"/>
  <c r="V1089" i="119"/>
  <c r="T1096" i="119"/>
  <c r="BA1127" i="16"/>
  <c r="BA1153" i="16"/>
  <c r="T1067" i="119"/>
  <c r="W1068" i="119"/>
  <c r="T1070" i="119"/>
  <c r="V1073" i="119"/>
  <c r="T1092" i="119"/>
  <c r="V1095" i="119"/>
  <c r="W1099" i="119"/>
  <c r="W1064" i="119"/>
  <c r="BG1133" i="16"/>
  <c r="T1072" i="119"/>
  <c r="V1096" i="119"/>
  <c r="V1093" i="119"/>
  <c r="V1080" i="119"/>
  <c r="V1077" i="119"/>
  <c r="V1064" i="119"/>
  <c r="T1075" i="119"/>
  <c r="BG1136" i="16"/>
  <c r="W1091" i="119"/>
  <c r="W1075" i="119"/>
  <c r="W1072" i="119"/>
  <c r="BG1135" i="16"/>
  <c r="BG1129" i="16"/>
  <c r="T1068" i="119"/>
  <c r="V1088" i="119"/>
  <c r="V1085" i="119"/>
  <c r="V1072" i="119"/>
  <c r="V1069" i="119"/>
  <c r="T1101" i="119"/>
  <c r="BG1162" i="16"/>
  <c r="V236" i="119"/>
  <c r="W187" i="119"/>
  <c r="W171" i="119"/>
  <c r="T175" i="119"/>
  <c r="T170" i="119"/>
  <c r="BG189" i="16"/>
  <c r="AV165" i="16"/>
  <c r="AV169" i="16"/>
  <c r="AV168" i="16"/>
  <c r="AV356" i="16"/>
  <c r="AV318" i="16"/>
  <c r="AV535" i="16"/>
  <c r="AV695" i="16"/>
  <c r="AV686" i="16"/>
  <c r="AV868" i="16"/>
  <c r="AV863" i="16"/>
  <c r="AV870" i="16"/>
  <c r="AV1048" i="16"/>
  <c r="AV1049" i="16"/>
  <c r="W1221" i="25"/>
  <c r="AV854" i="16"/>
  <c r="AV700" i="16"/>
  <c r="BD267" i="16"/>
  <c r="BD308" i="16" s="1"/>
  <c r="W1117" i="25"/>
  <c r="BD1122" i="16"/>
  <c r="BD1164" i="16" s="1"/>
  <c r="W492" i="25"/>
  <c r="Y492" i="25" s="1"/>
  <c r="T865" i="119"/>
  <c r="T849" i="119"/>
  <c r="W814" i="119"/>
  <c r="W806" i="119"/>
  <c r="BA872" i="16"/>
  <c r="T823" i="119"/>
  <c r="V843" i="119"/>
  <c r="V835" i="119"/>
  <c r="W971" i="119"/>
  <c r="W878" i="119"/>
  <c r="W528" i="119"/>
  <c r="W520" i="119"/>
  <c r="W512" i="119"/>
  <c r="T387" i="119"/>
  <c r="V550" i="119"/>
  <c r="V728" i="119"/>
  <c r="S1047" i="119"/>
  <c r="V1044" i="119"/>
  <c r="BC1070" i="16"/>
  <c r="W1013" i="119"/>
  <c r="BC1062" i="16"/>
  <c r="W1005" i="119"/>
  <c r="BC1054" i="16"/>
  <c r="W997" i="119"/>
  <c r="BC1046" i="16"/>
  <c r="W989" i="119"/>
  <c r="BC1038" i="16"/>
  <c r="W981" i="119"/>
  <c r="T785" i="119"/>
  <c r="T772" i="119"/>
  <c r="T407" i="119"/>
  <c r="T1064" i="119"/>
  <c r="W1021" i="119"/>
  <c r="W923" i="119"/>
  <c r="W907" i="119"/>
  <c r="W891" i="119"/>
  <c r="AT963" i="16"/>
  <c r="T910" i="119"/>
  <c r="T688" i="119"/>
  <c r="W613" i="119"/>
  <c r="W595" i="119"/>
  <c r="W1098" i="119"/>
  <c r="W1090" i="119"/>
  <c r="W1082" i="119"/>
  <c r="W1074" i="119"/>
  <c r="W1066" i="119"/>
  <c r="S700" i="119"/>
  <c r="W965" i="119"/>
  <c r="W955" i="119"/>
  <c r="AT816" i="16"/>
  <c r="AT975" i="16"/>
  <c r="BJ1070" i="16"/>
  <c r="AD1070" i="16"/>
  <c r="BJ1066" i="16"/>
  <c r="AD1066" i="16"/>
  <c r="AQ1066" i="16" s="1"/>
  <c r="BJ1062" i="16"/>
  <c r="AD1062" i="16"/>
  <c r="BA1062" i="16"/>
  <c r="BJ1058" i="16"/>
  <c r="AD1058" i="16"/>
  <c r="AQ744" i="16"/>
  <c r="AD1040" i="16"/>
  <c r="BA1040" i="16" s="1"/>
  <c r="BA656" i="16"/>
  <c r="BJ1052" i="16"/>
  <c r="AQ888" i="16"/>
  <c r="G818" i="182" s="1"/>
  <c r="BA884" i="16"/>
  <c r="S827" i="119"/>
  <c r="S811" i="119"/>
  <c r="S605" i="119"/>
  <c r="S589" i="119"/>
  <c r="W108" i="25"/>
  <c r="Y108" i="25" s="1"/>
  <c r="V155" i="119"/>
  <c r="BG120" i="16"/>
  <c r="W44" i="25"/>
  <c r="Y44" i="25" s="1"/>
  <c r="T81" i="119"/>
  <c r="V92" i="119"/>
  <c r="T77" i="119"/>
  <c r="V183" i="119"/>
  <c r="W197" i="119"/>
  <c r="T192" i="119"/>
  <c r="T182" i="119"/>
  <c r="V196" i="119"/>
  <c r="W192" i="119"/>
  <c r="BG217" i="16"/>
  <c r="T176" i="119"/>
  <c r="BG195" i="16"/>
  <c r="T171" i="119"/>
  <c r="T166" i="119"/>
  <c r="T159" i="119"/>
  <c r="BG178" i="16"/>
  <c r="V188" i="119"/>
  <c r="V164" i="119"/>
  <c r="W169" i="25"/>
  <c r="W159" i="119"/>
  <c r="V191" i="119"/>
  <c r="V180" i="119"/>
  <c r="W167" i="25"/>
  <c r="L49" i="69"/>
  <c r="Z45" i="69" s="1"/>
  <c r="AT651" i="16"/>
  <c r="BA1109" i="16"/>
  <c r="S1050" i="119"/>
  <c r="BA378" i="16"/>
  <c r="AQ541" i="16"/>
  <c r="BA541" i="16"/>
  <c r="AT821" i="16"/>
  <c r="S263" i="119"/>
  <c r="U263" i="119" s="1"/>
  <c r="BA1151" i="16"/>
  <c r="S1090" i="119"/>
  <c r="BA1139" i="16"/>
  <c r="BA821" i="16"/>
  <c r="AQ821" i="16"/>
  <c r="BI1053" i="16"/>
  <c r="BA1053" i="16"/>
  <c r="S996" i="119"/>
  <c r="AT1053" i="16"/>
  <c r="S745" i="119"/>
  <c r="BA790" i="16"/>
  <c r="AT790" i="16"/>
  <c r="S1086" i="119"/>
  <c r="BA1038" i="16"/>
  <c r="AT833" i="16"/>
  <c r="AT817" i="16"/>
  <c r="S770" i="119"/>
  <c r="BA817" i="16"/>
  <c r="BA813" i="16"/>
  <c r="BF790" i="16"/>
  <c r="BF727" i="16"/>
  <c r="S626" i="119"/>
  <c r="U626" i="119" s="1"/>
  <c r="S247" i="119"/>
  <c r="AQ375" i="16"/>
  <c r="S511" i="119"/>
  <c r="U511" i="119" s="1"/>
  <c r="BA546" i="16"/>
  <c r="BA538" i="16"/>
  <c r="BA575" i="16"/>
  <c r="S540" i="119"/>
  <c r="S556" i="119"/>
  <c r="BA593" i="16"/>
  <c r="BF817" i="16"/>
  <c r="BI1059" i="16"/>
  <c r="AT1059" i="16"/>
  <c r="AQ1046" i="16"/>
  <c r="S1025" i="119"/>
  <c r="S823" i="119"/>
  <c r="S613" i="119"/>
  <c r="BA496" i="16"/>
  <c r="BI1058" i="16"/>
  <c r="S1001" i="119"/>
  <c r="BA1058" i="16"/>
  <c r="AQ1058" i="16"/>
  <c r="S1009" i="119"/>
  <c r="S906" i="119"/>
  <c r="BA959" i="16"/>
  <c r="BA975" i="16"/>
  <c r="S926" i="119"/>
  <c r="BA979" i="16"/>
  <c r="AQ979" i="16"/>
  <c r="AT979" i="16"/>
  <c r="S785" i="119"/>
  <c r="BA832" i="16"/>
  <c r="AQ832" i="16"/>
  <c r="AT832" i="16"/>
  <c r="BD1165" i="16"/>
  <c r="BA876" i="16"/>
  <c r="AT644" i="16"/>
  <c r="AT1004" i="16"/>
  <c r="S617" i="119"/>
  <c r="AQ967" i="16"/>
  <c r="G893" i="182"/>
  <c r="O893" i="182" s="1"/>
  <c r="BA743" i="16"/>
  <c r="AT743" i="16"/>
  <c r="S910" i="119"/>
  <c r="BA963" i="16"/>
  <c r="EK35" i="36"/>
  <c r="BA967" i="16"/>
  <c r="S922" i="119"/>
  <c r="U922" i="119" s="1"/>
  <c r="AQ975" i="16"/>
  <c r="AT958" i="16"/>
  <c r="W942" i="119"/>
  <c r="T950" i="119"/>
  <c r="W950" i="119"/>
  <c r="BG989" i="16"/>
  <c r="BD987" i="16"/>
  <c r="BD1030" i="16" s="1"/>
  <c r="AV550" i="16"/>
  <c r="AV397" i="16"/>
  <c r="AV902" i="16"/>
  <c r="AV1083" i="16"/>
  <c r="AV208" i="16"/>
  <c r="AV932" i="16"/>
  <c r="AV938" i="16"/>
  <c r="AV1119" i="16"/>
  <c r="AV1103" i="16"/>
  <c r="BD1163" i="16"/>
  <c r="AT1139" i="16"/>
  <c r="V1090" i="119"/>
  <c r="V1074" i="119"/>
  <c r="V1098" i="119"/>
  <c r="V1078" i="119"/>
  <c r="W1092" i="119"/>
  <c r="W1100" i="119"/>
  <c r="BG1148" i="16"/>
  <c r="W1063" i="119"/>
  <c r="W1096" i="119"/>
  <c r="W1088" i="119"/>
  <c r="W1080" i="119"/>
  <c r="T1079" i="119"/>
  <c r="BG1160" i="16"/>
  <c r="AJ1164" i="16"/>
  <c r="AJ1122" i="16" s="1"/>
  <c r="W1070" i="119"/>
  <c r="BG1134" i="16"/>
  <c r="T1095" i="119"/>
  <c r="BG1152" i="16"/>
  <c r="T1065" i="119"/>
  <c r="V1070" i="119"/>
  <c r="W1073" i="119"/>
  <c r="AQ1147" i="16"/>
  <c r="AQ1151" i="16"/>
  <c r="G1069" i="182"/>
  <c r="O1069" i="182" s="1"/>
  <c r="W1077" i="119"/>
  <c r="V1086" i="119"/>
  <c r="V1066" i="119"/>
  <c r="V1094" i="119"/>
  <c r="T1076" i="119"/>
  <c r="BG1137" i="16"/>
  <c r="BG1144" i="16"/>
  <c r="W1045" i="119"/>
  <c r="W1053" i="119"/>
  <c r="W1041" i="119"/>
  <c r="T1019" i="119"/>
  <c r="V1031" i="119"/>
  <c r="W1023" i="119"/>
  <c r="V1043" i="119"/>
  <c r="V1035" i="119"/>
  <c r="T1023" i="119"/>
  <c r="BG1086" i="16"/>
  <c r="AT1106" i="16"/>
  <c r="T1031" i="119"/>
  <c r="T1039" i="119"/>
  <c r="BG1110" i="16"/>
  <c r="AM1119" i="16"/>
  <c r="AM1077" i="16" s="1"/>
  <c r="BG1077" i="16" s="1"/>
  <c r="W1033" i="119"/>
  <c r="W1026" i="119"/>
  <c r="V1055" i="119"/>
  <c r="T1027" i="119"/>
  <c r="T1047" i="119"/>
  <c r="W1057" i="119"/>
  <c r="AG1119" i="16"/>
  <c r="AG1077" i="16" s="1"/>
  <c r="AT1116" i="16"/>
  <c r="V1047" i="119"/>
  <c r="V1051" i="119"/>
  <c r="BG1114" i="16"/>
  <c r="AT1038" i="16"/>
  <c r="S1005" i="119"/>
  <c r="U1005" i="119" s="1"/>
  <c r="AT1058" i="16"/>
  <c r="S989" i="119"/>
  <c r="BI1038" i="16"/>
  <c r="BB1054" i="16"/>
  <c r="BJ1040" i="16"/>
  <c r="V981" i="119"/>
  <c r="V977" i="119"/>
  <c r="AJ1074" i="16"/>
  <c r="AJ1032" i="16" s="1"/>
  <c r="AG1074" i="16"/>
  <c r="AG1032" i="16" s="1"/>
  <c r="V1005" i="119"/>
  <c r="V985" i="119"/>
  <c r="W995" i="119"/>
  <c r="BG1036" i="16"/>
  <c r="S981" i="119"/>
  <c r="BI1063" i="16"/>
  <c r="AD1048" i="16"/>
  <c r="BA1048" i="16" s="1"/>
  <c r="V1009" i="119"/>
  <c r="AD1064" i="16"/>
  <c r="AT1064" i="16" s="1"/>
  <c r="T1011" i="119"/>
  <c r="BA1070" i="16"/>
  <c r="BA1041" i="16"/>
  <c r="AD1036" i="16"/>
  <c r="S979" i="119" s="1"/>
  <c r="BB1046" i="16"/>
  <c r="T976" i="119"/>
  <c r="S1014" i="119"/>
  <c r="AM1074" i="16"/>
  <c r="AM1032" i="16" s="1"/>
  <c r="BG1032" i="16" s="1"/>
  <c r="BJ1056" i="16"/>
  <c r="W1003" i="119"/>
  <c r="BG1072" i="16"/>
  <c r="AQ1059" i="16"/>
  <c r="AQ1053" i="16"/>
  <c r="BJ1043" i="16"/>
  <c r="T1014" i="119"/>
  <c r="BB1065" i="16"/>
  <c r="AD1060" i="16"/>
  <c r="AQ1060" i="16" s="1"/>
  <c r="AD1068" i="16"/>
  <c r="BB1038" i="16"/>
  <c r="AD1033" i="16"/>
  <c r="BI1033" i="16" s="1"/>
  <c r="BK1033" i="16" s="1"/>
  <c r="W1002" i="119"/>
  <c r="BG1043" i="16"/>
  <c r="BG1059" i="16"/>
  <c r="BJ1051" i="16"/>
  <c r="BJ1035" i="16"/>
  <c r="BJ1072" i="16"/>
  <c r="BJ1047" i="16"/>
  <c r="BJ1039" i="16"/>
  <c r="V1001" i="119"/>
  <c r="W1011" i="119"/>
  <c r="T1015" i="119"/>
  <c r="W987" i="119"/>
  <c r="W1014" i="119"/>
  <c r="W986" i="119"/>
  <c r="V1015" i="119"/>
  <c r="BC1048" i="16"/>
  <c r="BG1060" i="16"/>
  <c r="BG1052" i="16"/>
  <c r="BG1033" i="16"/>
  <c r="V1012" i="119"/>
  <c r="S1013" i="119"/>
  <c r="AQ1041" i="16"/>
  <c r="AQ1071" i="16"/>
  <c r="BF1058" i="16"/>
  <c r="BF1046" i="16"/>
  <c r="AQ1062" i="16"/>
  <c r="AT1066" i="16"/>
  <c r="BA1046" i="16"/>
  <c r="AD1052" i="16"/>
  <c r="BI1052" i="16" s="1"/>
  <c r="BK1052" i="16" s="1"/>
  <c r="AD1043" i="16"/>
  <c r="S986" i="119" s="1"/>
  <c r="AD1044" i="16"/>
  <c r="AD1067" i="16"/>
  <c r="AT1067" i="16" s="1"/>
  <c r="AQ1037" i="16"/>
  <c r="BJ1060" i="16"/>
  <c r="BJ1068" i="16"/>
  <c r="V1000" i="119"/>
  <c r="T1002" i="119"/>
  <c r="W978" i="119"/>
  <c r="AD1055" i="16"/>
  <c r="BJ1064" i="16"/>
  <c r="V993" i="119"/>
  <c r="AD1056" i="16"/>
  <c r="W982" i="119"/>
  <c r="W998" i="119"/>
  <c r="T982" i="119"/>
  <c r="T978" i="119"/>
  <c r="BG1056" i="16"/>
  <c r="V1014" i="119"/>
  <c r="BA1004" i="16"/>
  <c r="W938" i="119"/>
  <c r="T934" i="119"/>
  <c r="W966" i="119"/>
  <c r="T958" i="119"/>
  <c r="T946" i="119"/>
  <c r="T954" i="119"/>
  <c r="V946" i="119"/>
  <c r="V954" i="119"/>
  <c r="BG1009" i="16"/>
  <c r="S949" i="119"/>
  <c r="AT994" i="16"/>
  <c r="W958" i="119"/>
  <c r="BG1005" i="16"/>
  <c r="BG1021" i="16"/>
  <c r="AQ1004" i="16"/>
  <c r="W954" i="119"/>
  <c r="V966" i="119"/>
  <c r="T912" i="119"/>
  <c r="W924" i="119"/>
  <c r="BD942" i="16"/>
  <c r="BD983" i="16"/>
  <c r="AQ963" i="16"/>
  <c r="S914" i="119"/>
  <c r="T923" i="119"/>
  <c r="V896" i="119"/>
  <c r="BG944" i="16"/>
  <c r="T900" i="119"/>
  <c r="W912" i="119"/>
  <c r="BG980" i="16"/>
  <c r="BG964" i="16"/>
  <c r="W919" i="119"/>
  <c r="BF979" i="16"/>
  <c r="W911" i="119"/>
  <c r="BG973" i="16"/>
  <c r="BD985" i="16"/>
  <c r="BD984" i="16"/>
  <c r="BD986" i="16" s="1"/>
  <c r="V928" i="119"/>
  <c r="V920" i="119"/>
  <c r="W904" i="119"/>
  <c r="T892" i="119"/>
  <c r="W892" i="119"/>
  <c r="T896" i="119"/>
  <c r="V908" i="119"/>
  <c r="W900" i="119"/>
  <c r="V900" i="119"/>
  <c r="V916" i="119"/>
  <c r="BG977" i="16"/>
  <c r="AQ955" i="16"/>
  <c r="BF955" i="16"/>
  <c r="W896" i="119"/>
  <c r="BG953" i="16"/>
  <c r="AJ984" i="16"/>
  <c r="AJ942" i="16"/>
  <c r="W908" i="119"/>
  <c r="BG957" i="16"/>
  <c r="T920" i="119"/>
  <c r="BG981" i="16"/>
  <c r="T924" i="119"/>
  <c r="T908" i="119"/>
  <c r="BG949" i="16"/>
  <c r="AT981" i="16"/>
  <c r="W916" i="119"/>
  <c r="BG969" i="16"/>
  <c r="BD897" i="16"/>
  <c r="BD940" i="16" s="1"/>
  <c r="T864" i="119"/>
  <c r="W852" i="119"/>
  <c r="BA931" i="16"/>
  <c r="BG907" i="16"/>
  <c r="V857" i="119"/>
  <c r="BG931" i="16"/>
  <c r="T856" i="119"/>
  <c r="V861" i="119"/>
  <c r="W860" i="119"/>
  <c r="BD939" i="16"/>
  <c r="BD941" i="16"/>
  <c r="BD938" i="16"/>
  <c r="AT915" i="16"/>
  <c r="BA911" i="16"/>
  <c r="BG911" i="16"/>
  <c r="T860" i="119"/>
  <c r="W872" i="119"/>
  <c r="BG927" i="16"/>
  <c r="V868" i="119"/>
  <c r="V848" i="119"/>
  <c r="V852" i="119"/>
  <c r="W876" i="119"/>
  <c r="BG903" i="16"/>
  <c r="W864" i="119"/>
  <c r="T880" i="119"/>
  <c r="W856" i="119"/>
  <c r="AQ935" i="16"/>
  <c r="V856" i="119"/>
  <c r="T872" i="119"/>
  <c r="W884" i="119"/>
  <c r="V849" i="119"/>
  <c r="BG922" i="16"/>
  <c r="BG906" i="16"/>
  <c r="BG899" i="16"/>
  <c r="T871" i="119"/>
  <c r="S848" i="119"/>
  <c r="U848" i="119" s="1"/>
  <c r="V864" i="119"/>
  <c r="W855" i="119"/>
  <c r="V860" i="119"/>
  <c r="W880" i="119"/>
  <c r="T876" i="119"/>
  <c r="T852" i="119"/>
  <c r="V853" i="119"/>
  <c r="BG910" i="16"/>
  <c r="T855" i="119"/>
  <c r="T875" i="119"/>
  <c r="BD852" i="16"/>
  <c r="BD895" i="16" s="1"/>
  <c r="S815" i="119"/>
  <c r="S819" i="119"/>
  <c r="W822" i="119"/>
  <c r="V841" i="119"/>
  <c r="T841" i="119"/>
  <c r="W805" i="119"/>
  <c r="V805" i="119"/>
  <c r="W821" i="119"/>
  <c r="T825" i="119"/>
  <c r="BG870" i="16"/>
  <c r="BG867" i="16"/>
  <c r="T837" i="119"/>
  <c r="AQ860" i="16"/>
  <c r="S839" i="119"/>
  <c r="W830" i="119"/>
  <c r="V833" i="119"/>
  <c r="AM894" i="16"/>
  <c r="AM852" i="16" s="1"/>
  <c r="BG852" i="16" s="1"/>
  <c r="T826" i="119"/>
  <c r="T830" i="119"/>
  <c r="W817" i="119"/>
  <c r="BG854" i="16"/>
  <c r="W841" i="119"/>
  <c r="BA864" i="16"/>
  <c r="BG855" i="16"/>
  <c r="BG891" i="16"/>
  <c r="BG875" i="16"/>
  <c r="W810" i="119"/>
  <c r="T814" i="119"/>
  <c r="T822" i="119"/>
  <c r="T838" i="119"/>
  <c r="BG883" i="16"/>
  <c r="BG871" i="16"/>
  <c r="W842" i="119"/>
  <c r="W818" i="119"/>
  <c r="S834" i="119"/>
  <c r="BG859" i="16"/>
  <c r="BG879" i="16"/>
  <c r="V834" i="119"/>
  <c r="T834" i="119"/>
  <c r="AT883" i="16"/>
  <c r="T791" i="119"/>
  <c r="T779" i="119"/>
  <c r="BG834" i="16"/>
  <c r="BG818" i="16"/>
  <c r="T763" i="119"/>
  <c r="W783" i="119"/>
  <c r="W779" i="119"/>
  <c r="W791" i="119"/>
  <c r="V775" i="119"/>
  <c r="BG842" i="16"/>
  <c r="T795" i="119"/>
  <c r="W763" i="119"/>
  <c r="V791" i="119"/>
  <c r="W799" i="119"/>
  <c r="T775" i="119"/>
  <c r="V767" i="119"/>
  <c r="BG830" i="16"/>
  <c r="T771" i="119"/>
  <c r="BG814" i="16"/>
  <c r="W767" i="119"/>
  <c r="W771" i="119"/>
  <c r="T787" i="119"/>
  <c r="W775" i="119"/>
  <c r="W787" i="119"/>
  <c r="W795" i="119"/>
  <c r="V787" i="119"/>
  <c r="V799" i="119"/>
  <c r="V771" i="119"/>
  <c r="BG846" i="16"/>
  <c r="BG810" i="16"/>
  <c r="S766" i="119"/>
  <c r="T783" i="119"/>
  <c r="V795" i="119"/>
  <c r="BG822" i="16"/>
  <c r="BG826" i="16"/>
  <c r="AG804" i="16"/>
  <c r="AG762" i="16" s="1"/>
  <c r="W740" i="119"/>
  <c r="W720" i="119"/>
  <c r="W736" i="119"/>
  <c r="W744" i="119"/>
  <c r="BG793" i="16"/>
  <c r="BG769" i="16"/>
  <c r="AQ801" i="16"/>
  <c r="S756" i="119"/>
  <c r="AT801" i="16"/>
  <c r="BA801" i="16"/>
  <c r="AQ766" i="16"/>
  <c r="W748" i="119"/>
  <c r="W732" i="119"/>
  <c r="BG797" i="16"/>
  <c r="T728" i="119"/>
  <c r="T740" i="119"/>
  <c r="V736" i="119"/>
  <c r="V723" i="119"/>
  <c r="T756" i="119"/>
  <c r="AM804" i="16"/>
  <c r="AM762" i="16" s="1"/>
  <c r="BG765" i="16"/>
  <c r="T732" i="119"/>
  <c r="V724" i="119"/>
  <c r="W728" i="119"/>
  <c r="V748" i="119"/>
  <c r="W756" i="119"/>
  <c r="W724" i="119"/>
  <c r="BG789" i="16"/>
  <c r="BG801" i="16"/>
  <c r="BG773" i="16"/>
  <c r="T724" i="119"/>
  <c r="V732" i="119"/>
  <c r="T743" i="119"/>
  <c r="V756" i="119"/>
  <c r="V752" i="119"/>
  <c r="T744" i="119"/>
  <c r="W752" i="119"/>
  <c r="T736" i="119"/>
  <c r="BG792" i="16"/>
  <c r="BG796" i="16"/>
  <c r="BG768" i="16"/>
  <c r="BG781" i="16"/>
  <c r="T735" i="119"/>
  <c r="V743" i="119"/>
  <c r="W705" i="119"/>
  <c r="AQ743" i="16"/>
  <c r="S701" i="119"/>
  <c r="U701" i="119" s="1"/>
  <c r="W677" i="119"/>
  <c r="V693" i="119"/>
  <c r="V680" i="119"/>
  <c r="V708" i="119"/>
  <c r="BG732" i="16"/>
  <c r="V697" i="119"/>
  <c r="BG736" i="16"/>
  <c r="BG724" i="16"/>
  <c r="S684" i="119"/>
  <c r="W708" i="119"/>
  <c r="BA724" i="16"/>
  <c r="AT744" i="16"/>
  <c r="T697" i="119"/>
  <c r="W689" i="119"/>
  <c r="AM759" i="16"/>
  <c r="AM717" i="16" s="1"/>
  <c r="BJ717" i="16" s="1"/>
  <c r="W693" i="119"/>
  <c r="W697" i="119"/>
  <c r="V689" i="119"/>
  <c r="BG744" i="16"/>
  <c r="BG752" i="16"/>
  <c r="V685" i="119"/>
  <c r="AQ732" i="16"/>
  <c r="AT724" i="16"/>
  <c r="BA744" i="16"/>
  <c r="V709" i="119"/>
  <c r="W681" i="119"/>
  <c r="W685" i="119"/>
  <c r="BG728" i="16"/>
  <c r="V701" i="119"/>
  <c r="V713" i="119"/>
  <c r="V681" i="119"/>
  <c r="BG720" i="16"/>
  <c r="BG756" i="16"/>
  <c r="S647" i="119"/>
  <c r="T640" i="119"/>
  <c r="W670" i="119"/>
  <c r="T662" i="119"/>
  <c r="W654" i="119"/>
  <c r="BG673" i="16"/>
  <c r="V668" i="119"/>
  <c r="BG696" i="16"/>
  <c r="T670" i="119"/>
  <c r="T647" i="119"/>
  <c r="W634" i="119"/>
  <c r="W642" i="119"/>
  <c r="T666" i="119"/>
  <c r="V660" i="119"/>
  <c r="V636" i="119"/>
  <c r="V652" i="119"/>
  <c r="W658" i="119"/>
  <c r="V664" i="119"/>
  <c r="BG707" i="16"/>
  <c r="W646" i="119"/>
  <c r="BG692" i="16"/>
  <c r="AT656" i="16"/>
  <c r="AQ644" i="16"/>
  <c r="T615" i="119"/>
  <c r="T623" i="119"/>
  <c r="W599" i="119"/>
  <c r="T619" i="119"/>
  <c r="T627" i="119"/>
  <c r="W591" i="119"/>
  <c r="BG662" i="16"/>
  <c r="V617" i="119"/>
  <c r="AG669" i="16"/>
  <c r="AG627" i="16" s="1"/>
  <c r="T599" i="119"/>
  <c r="V613" i="119"/>
  <c r="V625" i="119"/>
  <c r="W611" i="119"/>
  <c r="BG654" i="16"/>
  <c r="BG628" i="16"/>
  <c r="BG635" i="16"/>
  <c r="BG642" i="16"/>
  <c r="V597" i="119"/>
  <c r="AQ656" i="16"/>
  <c r="AQ652" i="16"/>
  <c r="T589" i="119"/>
  <c r="T593" i="119"/>
  <c r="V589" i="119"/>
  <c r="T611" i="119"/>
  <c r="W603" i="119"/>
  <c r="BG650" i="16"/>
  <c r="BG638" i="16"/>
  <c r="W548" i="119"/>
  <c r="BG609" i="16"/>
  <c r="V547" i="119"/>
  <c r="V575" i="119"/>
  <c r="T576" i="119"/>
  <c r="V551" i="119"/>
  <c r="V579" i="119"/>
  <c r="BG587" i="16"/>
  <c r="AQ593" i="16"/>
  <c r="W556" i="119"/>
  <c r="BG621" i="16"/>
  <c r="V559" i="119"/>
  <c r="V583" i="119"/>
  <c r="W568" i="119"/>
  <c r="T546" i="119"/>
  <c r="BG617" i="16"/>
  <c r="W576" i="119"/>
  <c r="T568" i="119"/>
  <c r="BA613" i="16"/>
  <c r="W580" i="119"/>
  <c r="T554" i="119"/>
  <c r="BG591" i="16"/>
  <c r="BG551" i="16"/>
  <c r="W503" i="119"/>
  <c r="W531" i="119"/>
  <c r="W527" i="119"/>
  <c r="V516" i="119"/>
  <c r="V540" i="119"/>
  <c r="AT541" i="16"/>
  <c r="W523" i="119"/>
  <c r="W519" i="119"/>
  <c r="V532" i="119"/>
  <c r="BG547" i="16"/>
  <c r="W539" i="119"/>
  <c r="BG543" i="16"/>
  <c r="AQ543" i="16"/>
  <c r="S503" i="119"/>
  <c r="W534" i="119"/>
  <c r="T535" i="119"/>
  <c r="BA543" i="16"/>
  <c r="T516" i="119"/>
  <c r="W538" i="119"/>
  <c r="T512" i="119"/>
  <c r="W514" i="119"/>
  <c r="BG558" i="16"/>
  <c r="V520" i="119"/>
  <c r="T527" i="119"/>
  <c r="W510" i="119"/>
  <c r="W542" i="119"/>
  <c r="BG570" i="16"/>
  <c r="V504" i="119"/>
  <c r="V512" i="119"/>
  <c r="V528" i="119"/>
  <c r="V536" i="119"/>
  <c r="T542" i="119"/>
  <c r="W530" i="119"/>
  <c r="AT563" i="16"/>
  <c r="AM579" i="16"/>
  <c r="AM537" i="16" s="1"/>
  <c r="BG537" i="16" s="1"/>
  <c r="BG539" i="16"/>
  <c r="T523" i="119"/>
  <c r="V473" i="119"/>
  <c r="BG526" i="16"/>
  <c r="W469" i="119"/>
  <c r="T481" i="119"/>
  <c r="T461" i="119"/>
  <c r="BG514" i="16"/>
  <c r="V489" i="119"/>
  <c r="T493" i="119"/>
  <c r="T485" i="119"/>
  <c r="T477" i="119"/>
  <c r="T497" i="119"/>
  <c r="W493" i="119"/>
  <c r="BG522" i="16"/>
  <c r="BG498" i="16"/>
  <c r="T473" i="119"/>
  <c r="V485" i="119"/>
  <c r="W477" i="119"/>
  <c r="V481" i="119"/>
  <c r="BG518" i="16"/>
  <c r="V469" i="119"/>
  <c r="V497" i="119"/>
  <c r="V490" i="119"/>
  <c r="T472" i="119"/>
  <c r="W497" i="119"/>
  <c r="BG513" i="16"/>
  <c r="V470" i="119"/>
  <c r="V461" i="119"/>
  <c r="BG509" i="16"/>
  <c r="T469" i="119"/>
  <c r="V482" i="119"/>
  <c r="W462" i="119"/>
  <c r="V494" i="119"/>
  <c r="T465" i="119"/>
  <c r="W485" i="119"/>
  <c r="W466" i="119"/>
  <c r="V467" i="119"/>
  <c r="BG532" i="16"/>
  <c r="BG524" i="16"/>
  <c r="W470" i="119"/>
  <c r="T484" i="119"/>
  <c r="V474" i="119"/>
  <c r="AG534" i="16"/>
  <c r="AG492" i="16" s="1"/>
  <c r="BG517" i="16"/>
  <c r="BG528" i="16"/>
  <c r="W474" i="119"/>
  <c r="V456" i="119"/>
  <c r="BG474" i="16"/>
  <c r="T427" i="119"/>
  <c r="BG458" i="16"/>
  <c r="V430" i="119"/>
  <c r="V453" i="119"/>
  <c r="T455" i="119"/>
  <c r="BG466" i="16"/>
  <c r="BG470" i="16"/>
  <c r="V438" i="119"/>
  <c r="BG482" i="16"/>
  <c r="AQ485" i="16"/>
  <c r="V418" i="119"/>
  <c r="W446" i="119"/>
  <c r="W450" i="119"/>
  <c r="W430" i="119"/>
  <c r="V449" i="119"/>
  <c r="BG462" i="16"/>
  <c r="BD447" i="16"/>
  <c r="BD488" i="16" s="1"/>
  <c r="W419" i="119"/>
  <c r="W426" i="119"/>
  <c r="W438" i="119"/>
  <c r="AT485" i="16"/>
  <c r="T447" i="119"/>
  <c r="V434" i="119"/>
  <c r="AJ489" i="16"/>
  <c r="AJ447" i="16" s="1"/>
  <c r="W442" i="119"/>
  <c r="V426" i="119"/>
  <c r="T435" i="119"/>
  <c r="V446" i="119"/>
  <c r="W454" i="119"/>
  <c r="V432" i="119"/>
  <c r="V444" i="119"/>
  <c r="V424" i="119"/>
  <c r="T418" i="119"/>
  <c r="BG480" i="16"/>
  <c r="BG468" i="16"/>
  <c r="BG464" i="16"/>
  <c r="S442" i="119"/>
  <c r="V451" i="119"/>
  <c r="AM489" i="16"/>
  <c r="AM447" i="16" s="1"/>
  <c r="W428" i="119"/>
  <c r="BG476" i="16"/>
  <c r="V428" i="119"/>
  <c r="AG489" i="16"/>
  <c r="AG447" i="16" s="1"/>
  <c r="W417" i="119"/>
  <c r="V421" i="119"/>
  <c r="W444" i="119"/>
  <c r="BG460" i="16"/>
  <c r="BG452" i="16"/>
  <c r="BG456" i="16"/>
  <c r="V440" i="119"/>
  <c r="W452" i="119"/>
  <c r="W436" i="119"/>
  <c r="T441" i="119"/>
  <c r="BG484" i="16"/>
  <c r="W405" i="119"/>
  <c r="T394" i="119"/>
  <c r="BG412" i="16"/>
  <c r="BG404" i="16"/>
  <c r="V405" i="119"/>
  <c r="T401" i="119"/>
  <c r="W393" i="119"/>
  <c r="AT375" i="16"/>
  <c r="BG370" i="16"/>
  <c r="V355" i="119"/>
  <c r="V343" i="119"/>
  <c r="V359" i="119"/>
  <c r="T366" i="119"/>
  <c r="W342" i="119"/>
  <c r="AT394" i="16"/>
  <c r="BG385" i="16"/>
  <c r="BD357" i="16"/>
  <c r="BD399" i="16" s="1"/>
  <c r="BD401" i="16" s="1"/>
  <c r="V367" i="119"/>
  <c r="S348" i="119"/>
  <c r="T331" i="119"/>
  <c r="BA393" i="16"/>
  <c r="W369" i="119"/>
  <c r="W358" i="119"/>
  <c r="T358" i="119"/>
  <c r="BG381" i="16"/>
  <c r="BG374" i="16"/>
  <c r="T347" i="119"/>
  <c r="W365" i="119"/>
  <c r="T339" i="119"/>
  <c r="T350" i="119"/>
  <c r="W354" i="119"/>
  <c r="W334" i="119"/>
  <c r="BG377" i="16"/>
  <c r="T335" i="119"/>
  <c r="S351" i="119"/>
  <c r="U351" i="119" s="1"/>
  <c r="BG388" i="16"/>
  <c r="W368" i="119"/>
  <c r="V331" i="119"/>
  <c r="BG384" i="16"/>
  <c r="AM399" i="16"/>
  <c r="AM357" i="16" s="1"/>
  <c r="V346" i="119"/>
  <c r="W345" i="119"/>
  <c r="W341" i="119"/>
  <c r="V338" i="119"/>
  <c r="V350" i="119"/>
  <c r="V358" i="119"/>
  <c r="V370" i="119"/>
  <c r="T338" i="119"/>
  <c r="W361" i="119"/>
  <c r="T342" i="119"/>
  <c r="W333" i="119"/>
  <c r="T369" i="119"/>
  <c r="BG380" i="16"/>
  <c r="BG392" i="16"/>
  <c r="BF375" i="16"/>
  <c r="AJ399" i="16"/>
  <c r="AJ357" i="16" s="1"/>
  <c r="W353" i="119"/>
  <c r="V334" i="119"/>
  <c r="T334" i="119"/>
  <c r="BG369" i="16"/>
  <c r="BG345" i="16"/>
  <c r="BD312" i="16"/>
  <c r="BD354" i="16" s="1"/>
  <c r="BD356" i="16" s="1"/>
  <c r="W296" i="119"/>
  <c r="BG313" i="16"/>
  <c r="V308" i="119"/>
  <c r="T296" i="119"/>
  <c r="W300" i="119"/>
  <c r="V316" i="119"/>
  <c r="T304" i="119"/>
  <c r="BG349" i="16"/>
  <c r="V292" i="119"/>
  <c r="V324" i="119"/>
  <c r="BG329" i="16"/>
  <c r="BG341" i="16"/>
  <c r="BG317" i="16"/>
  <c r="T292" i="119"/>
  <c r="W324" i="119"/>
  <c r="V304" i="119"/>
  <c r="AM354" i="16"/>
  <c r="AM312" i="16" s="1"/>
  <c r="BJ312" i="16" s="1"/>
  <c r="BG337" i="16"/>
  <c r="BG325" i="16"/>
  <c r="W292" i="119"/>
  <c r="T300" i="119"/>
  <c r="W304" i="119"/>
  <c r="W308" i="119"/>
  <c r="AJ354" i="16"/>
  <c r="AJ312" i="16" s="1"/>
  <c r="T312" i="119"/>
  <c r="BG321" i="16"/>
  <c r="V296" i="119"/>
  <c r="V300" i="119"/>
  <c r="V312" i="119"/>
  <c r="T316" i="119"/>
  <c r="T320" i="119"/>
  <c r="AM309" i="16"/>
  <c r="AM267" i="16" s="1"/>
  <c r="BG267" i="16" s="1"/>
  <c r="AQ298" i="16"/>
  <c r="BG304" i="16"/>
  <c r="BG300" i="16"/>
  <c r="W245" i="119"/>
  <c r="W277" i="119"/>
  <c r="BA298" i="16"/>
  <c r="W249" i="119"/>
  <c r="V257" i="119"/>
  <c r="W253" i="119"/>
  <c r="W281" i="119"/>
  <c r="AQ290" i="16"/>
  <c r="BG296" i="16"/>
  <c r="BG280" i="16"/>
  <c r="BG288" i="16"/>
  <c r="T261" i="119"/>
  <c r="BA295" i="16"/>
  <c r="S272" i="119"/>
  <c r="AQ295" i="16"/>
  <c r="S271" i="119"/>
  <c r="W254" i="119"/>
  <c r="BG268" i="16"/>
  <c r="W282" i="119"/>
  <c r="V281" i="119"/>
  <c r="BG294" i="16"/>
  <c r="BG272" i="16"/>
  <c r="W274" i="119"/>
  <c r="W278" i="119"/>
  <c r="V269" i="119"/>
  <c r="BG276" i="16"/>
  <c r="T274" i="119"/>
  <c r="V273" i="119"/>
  <c r="V253" i="119"/>
  <c r="V277" i="119"/>
  <c r="V245" i="119"/>
  <c r="W258" i="119"/>
  <c r="T264" i="119"/>
  <c r="W246" i="119"/>
  <c r="BG297" i="16"/>
  <c r="AJ309" i="16"/>
  <c r="AJ267" i="16" s="1"/>
  <c r="T245" i="119"/>
  <c r="AG309" i="16"/>
  <c r="AG267" i="16" s="1"/>
  <c r="T268" i="119"/>
  <c r="T271" i="119"/>
  <c r="V265" i="119"/>
  <c r="W250" i="119"/>
  <c r="W262" i="119"/>
  <c r="T282" i="119"/>
  <c r="W227" i="119"/>
  <c r="BG244" i="16"/>
  <c r="V203" i="119"/>
  <c r="BG199" i="16"/>
  <c r="BG214" i="16"/>
  <c r="BG206" i="16"/>
  <c r="W196" i="119"/>
  <c r="V175" i="119"/>
  <c r="V119" i="119"/>
  <c r="BG148" i="16"/>
  <c r="T151" i="119"/>
  <c r="BG160" i="16"/>
  <c r="W155" i="119"/>
  <c r="T127" i="119"/>
  <c r="BG156" i="16"/>
  <c r="W154" i="119"/>
  <c r="T135" i="119"/>
  <c r="T155" i="119"/>
  <c r="W104" i="119"/>
  <c r="V88" i="119"/>
  <c r="BG107" i="16"/>
  <c r="W100" i="119"/>
  <c r="W84" i="119"/>
  <c r="V84" i="119"/>
  <c r="T108" i="119"/>
  <c r="V96" i="119"/>
  <c r="BG123" i="16"/>
  <c r="V100" i="119"/>
  <c r="BG99" i="16"/>
  <c r="T92" i="119"/>
  <c r="T84" i="119"/>
  <c r="V108" i="119"/>
  <c r="V80" i="119"/>
  <c r="T88" i="119"/>
  <c r="BA684" i="16"/>
  <c r="W640" i="119"/>
  <c r="T645" i="119"/>
  <c r="V649" i="119"/>
  <c r="V633" i="119"/>
  <c r="W663" i="119"/>
  <c r="W635" i="119"/>
  <c r="BG674" i="16"/>
  <c r="S643" i="119"/>
  <c r="V637" i="119"/>
  <c r="AJ714" i="16"/>
  <c r="AJ672" i="16" s="1"/>
  <c r="W639" i="119"/>
  <c r="BG705" i="16"/>
  <c r="BG694" i="16"/>
  <c r="BG701" i="16"/>
  <c r="T634" i="119"/>
  <c r="W664" i="119"/>
  <c r="V662" i="119"/>
  <c r="W660" i="119"/>
  <c r="V658" i="119"/>
  <c r="T664" i="119"/>
  <c r="W636" i="119"/>
  <c r="W656" i="119"/>
  <c r="V650" i="119"/>
  <c r="S642" i="119"/>
  <c r="BA683" i="16"/>
  <c r="BG698" i="16"/>
  <c r="T653" i="119"/>
  <c r="T633" i="119"/>
  <c r="V661" i="119"/>
  <c r="T652" i="119"/>
  <c r="BG685" i="16"/>
  <c r="AG714" i="16"/>
  <c r="AG672" i="16" s="1"/>
  <c r="T649" i="119"/>
  <c r="AQ689" i="16"/>
  <c r="W671" i="119"/>
  <c r="AQ683" i="16"/>
  <c r="T638" i="119"/>
  <c r="W647" i="119"/>
  <c r="W655" i="119"/>
  <c r="W667" i="119"/>
  <c r="BG708" i="16"/>
  <c r="BA675" i="16"/>
  <c r="BG683" i="16"/>
  <c r="V653" i="119"/>
  <c r="V665" i="119"/>
  <c r="W648" i="119"/>
  <c r="T656" i="119"/>
  <c r="T644" i="119"/>
  <c r="AQ675" i="16"/>
  <c r="V645" i="119"/>
  <c r="BG678" i="16"/>
  <c r="BG690" i="16"/>
  <c r="BG689" i="16"/>
  <c r="V641" i="119"/>
  <c r="T668" i="119"/>
  <c r="V670" i="119"/>
  <c r="T642" i="119"/>
  <c r="V634" i="119"/>
  <c r="BG679" i="16"/>
  <c r="V642" i="119"/>
  <c r="V666" i="119"/>
  <c r="BF832" i="16"/>
  <c r="S991" i="119"/>
  <c r="AT1062" i="16"/>
  <c r="BI1062" i="16"/>
  <c r="BK1062" i="16" s="1"/>
  <c r="AQ1070" i="16"/>
  <c r="BI1070" i="16"/>
  <c r="BK1070" i="16" s="1"/>
  <c r="BA1052" i="16"/>
  <c r="S835" i="119"/>
  <c r="V778" i="119"/>
  <c r="V790" i="119"/>
  <c r="T812" i="119"/>
  <c r="V828" i="119"/>
  <c r="W867" i="119"/>
  <c r="W957" i="119"/>
  <c r="W1000" i="119"/>
  <c r="T762" i="119"/>
  <c r="V782" i="119"/>
  <c r="T816" i="119"/>
  <c r="W903" i="119"/>
  <c r="W946" i="119"/>
  <c r="V970" i="119"/>
  <c r="BF1004" i="16"/>
  <c r="BF967" i="16"/>
  <c r="BF821" i="16"/>
  <c r="BD310" i="16"/>
  <c r="AQ748" i="16"/>
  <c r="AT1052" i="16"/>
  <c r="AQ907" i="16"/>
  <c r="AT907" i="16"/>
  <c r="BA907" i="16"/>
  <c r="BD309" i="16"/>
  <c r="BD311" i="16" s="1"/>
  <c r="S705" i="119"/>
  <c r="BA688" i="16"/>
  <c r="AQ994" i="16"/>
  <c r="BF1053" i="16"/>
  <c r="AT748" i="16"/>
  <c r="BA868" i="16"/>
  <c r="S939" i="119"/>
  <c r="S782" i="119"/>
  <c r="AT829" i="16"/>
  <c r="S905" i="119"/>
  <c r="BA958" i="16"/>
  <c r="S1000" i="119"/>
  <c r="V1075" i="119"/>
  <c r="V984" i="119"/>
  <c r="V1040" i="119"/>
  <c r="T1008" i="119"/>
  <c r="AV289" i="16"/>
  <c r="AV184" i="16"/>
  <c r="AV554" i="16"/>
  <c r="AV906" i="16"/>
  <c r="AV1087" i="16"/>
  <c r="AV920" i="16"/>
  <c r="AV936" i="16"/>
  <c r="AV1107" i="16"/>
  <c r="AV910" i="16"/>
  <c r="AV1091" i="16"/>
  <c r="AV216" i="16"/>
  <c r="AV924" i="16"/>
  <c r="AV1111" i="16"/>
  <c r="AV192" i="16"/>
  <c r="AV546" i="16"/>
  <c r="AV898" i="16"/>
  <c r="AV914" i="16"/>
  <c r="AV1079" i="16"/>
  <c r="AV1095" i="16"/>
  <c r="AV210" i="16"/>
  <c r="AV928" i="16"/>
  <c r="AV1099" i="16"/>
  <c r="AV1115" i="16"/>
  <c r="AC759" i="16"/>
  <c r="AV177" i="16"/>
  <c r="AV185" i="16"/>
  <c r="AV193" i="16"/>
  <c r="AV221" i="16"/>
  <c r="AV366" i="16"/>
  <c r="AV547" i="16"/>
  <c r="AV899" i="16"/>
  <c r="AV903" i="16"/>
  <c r="AV907" i="16"/>
  <c r="AV911" i="16"/>
  <c r="AV915" i="16"/>
  <c r="AV939" i="16"/>
  <c r="AV1080" i="16"/>
  <c r="AV1084" i="16"/>
  <c r="AV1088" i="16"/>
  <c r="AV1092" i="16"/>
  <c r="AV1096" i="16"/>
  <c r="AV1120" i="16"/>
  <c r="AV217" i="16"/>
  <c r="AV209" i="16"/>
  <c r="AV205" i="16"/>
  <c r="AV561" i="16"/>
  <c r="AV577" i="16"/>
  <c r="AV921" i="16"/>
  <c r="AV925" i="16"/>
  <c r="AV929" i="16"/>
  <c r="AV933" i="16"/>
  <c r="AV937" i="16"/>
  <c r="AV1100" i="16"/>
  <c r="AV1104" i="16"/>
  <c r="AV1108" i="16"/>
  <c r="AV1112" i="16"/>
  <c r="AV1116" i="16"/>
  <c r="AC939" i="16"/>
  <c r="C866" i="182" s="1"/>
  <c r="AV178" i="16"/>
  <c r="AV186" i="16"/>
  <c r="AV194" i="16"/>
  <c r="AV548" i="16"/>
  <c r="AV730" i="16"/>
  <c r="AV900" i="16"/>
  <c r="AV904" i="16"/>
  <c r="AV908" i="16"/>
  <c r="AV912" i="16"/>
  <c r="AV916" i="16"/>
  <c r="AV940" i="16"/>
  <c r="AV1077" i="16"/>
  <c r="AV1081" i="16"/>
  <c r="AV1085" i="16"/>
  <c r="AV1089" i="16"/>
  <c r="AV1093" i="16"/>
  <c r="AV1097" i="16"/>
  <c r="AV1121" i="16"/>
  <c r="C846" i="119"/>
  <c r="C1018" i="119"/>
  <c r="AV214" i="16"/>
  <c r="AV198" i="16"/>
  <c r="AV206" i="16"/>
  <c r="AV391" i="16"/>
  <c r="AV558" i="16"/>
  <c r="AV574" i="16"/>
  <c r="AV918" i="16"/>
  <c r="AV922" i="16"/>
  <c r="AV926" i="16"/>
  <c r="AV930" i="16"/>
  <c r="AV934" i="16"/>
  <c r="AV1101" i="16"/>
  <c r="AV1105" i="16"/>
  <c r="AV1109" i="16"/>
  <c r="AV1113" i="16"/>
  <c r="AV1117" i="16"/>
  <c r="AC1119" i="16"/>
  <c r="C1038" i="182" s="1"/>
  <c r="AV183" i="16"/>
  <c r="AV191" i="16"/>
  <c r="AV219" i="16"/>
  <c r="AV549" i="16"/>
  <c r="AV735" i="16"/>
  <c r="AV897" i="16"/>
  <c r="AV901" i="16"/>
  <c r="AV905" i="16"/>
  <c r="AV909" i="16"/>
  <c r="AV913" i="16"/>
  <c r="AV917" i="16"/>
  <c r="AV941" i="16"/>
  <c r="AV1078" i="16"/>
  <c r="AV1082" i="16"/>
  <c r="AV1086" i="16"/>
  <c r="AV1090" i="16"/>
  <c r="AV1094" i="16"/>
  <c r="AV1118" i="16"/>
  <c r="AV215" i="16"/>
  <c r="AV199" i="16"/>
  <c r="AV207" i="16"/>
  <c r="AV559" i="16"/>
  <c r="AV575" i="16"/>
  <c r="AV919" i="16"/>
  <c r="AV923" i="16"/>
  <c r="AV927" i="16"/>
  <c r="AV931" i="16"/>
  <c r="AV1098" i="16"/>
  <c r="AV1102" i="16"/>
  <c r="AV1106" i="16"/>
  <c r="AV1110" i="16"/>
  <c r="T152" i="119"/>
  <c r="BG133" i="16"/>
  <c r="W148" i="119"/>
  <c r="BG141" i="16"/>
  <c r="BG149" i="16"/>
  <c r="W89" i="119"/>
  <c r="W73" i="119"/>
  <c r="BG92" i="16"/>
  <c r="W85" i="119"/>
  <c r="BG112" i="16"/>
  <c r="V73" i="119"/>
  <c r="BG116" i="16"/>
  <c r="V89" i="119"/>
  <c r="T97" i="119"/>
  <c r="V105" i="119"/>
  <c r="T101" i="119"/>
  <c r="W97" i="119"/>
  <c r="BA1043" i="16"/>
  <c r="BE1043" i="16" s="1"/>
  <c r="AT1043" i="16"/>
  <c r="BI1043" i="16"/>
  <c r="AQ1043" i="16"/>
  <c r="S727" i="119"/>
  <c r="AQ772" i="16"/>
  <c r="AT772" i="16"/>
  <c r="AQ1044" i="16"/>
  <c r="BA772" i="16"/>
  <c r="BA816" i="16"/>
  <c r="BF651" i="16"/>
  <c r="BD398" i="16"/>
  <c r="AT1084" i="16"/>
  <c r="BF1037" i="16"/>
  <c r="AT785" i="16"/>
  <c r="BD668" i="16"/>
  <c r="AT473" i="16"/>
  <c r="BA689" i="16"/>
  <c r="S612" i="119"/>
  <c r="AT740" i="16"/>
  <c r="AQ1084" i="16"/>
  <c r="AQ785" i="16"/>
  <c r="BD669" i="16"/>
  <c r="BD671" i="16" s="1"/>
  <c r="BA605" i="16"/>
  <c r="BA473" i="16"/>
  <c r="S648" i="119"/>
  <c r="U648" i="119" s="1"/>
  <c r="AQ378" i="16"/>
  <c r="AT378" i="16"/>
  <c r="BA954" i="16"/>
  <c r="AT954" i="16"/>
  <c r="AQ473" i="16"/>
  <c r="BA290" i="16"/>
  <c r="BA651" i="16"/>
  <c r="BG1023" i="16"/>
  <c r="T833" i="119"/>
  <c r="BG882" i="16"/>
  <c r="AV428" i="16"/>
  <c r="AV583" i="16"/>
  <c r="AV800" i="16"/>
  <c r="AV792" i="16"/>
  <c r="AV784" i="16"/>
  <c r="AV804" i="16"/>
  <c r="AV768" i="16"/>
  <c r="AV802" i="16"/>
  <c r="AV794" i="16"/>
  <c r="AV786" i="16"/>
  <c r="AV796" i="16"/>
  <c r="AV788" i="16"/>
  <c r="AV976" i="16"/>
  <c r="AC984" i="16"/>
  <c r="AV979" i="16"/>
  <c r="AV1161" i="16"/>
  <c r="AV1134" i="16"/>
  <c r="AV1153" i="16"/>
  <c r="W853" i="119"/>
  <c r="BG1015" i="16"/>
  <c r="BG1040" i="16"/>
  <c r="AV410" i="16"/>
  <c r="AV776" i="16"/>
  <c r="AV949" i="16"/>
  <c r="AT1147" i="16"/>
  <c r="BA1071" i="16"/>
  <c r="AJ939" i="16"/>
  <c r="AJ897" i="16" s="1"/>
  <c r="W936" i="119"/>
  <c r="W970" i="119"/>
  <c r="T990" i="119"/>
  <c r="V1026" i="119"/>
  <c r="T921" i="119"/>
  <c r="AT1010" i="16"/>
  <c r="BG836" i="16"/>
  <c r="BG932" i="16"/>
  <c r="AV414" i="16"/>
  <c r="AV780" i="16"/>
  <c r="AV1122" i="16"/>
  <c r="AV608" i="16"/>
  <c r="AV790" i="16"/>
  <c r="W905" i="119"/>
  <c r="BG1011" i="16"/>
  <c r="BG974" i="16"/>
  <c r="BG1047" i="16"/>
  <c r="AV764" i="16"/>
  <c r="AV961" i="16"/>
  <c r="AV798" i="16"/>
  <c r="T105" i="119"/>
  <c r="T116" i="119"/>
  <c r="V1037" i="119"/>
  <c r="BG967" i="16"/>
  <c r="T914" i="119"/>
  <c r="V77" i="119"/>
  <c r="T124" i="119"/>
  <c r="V1028" i="119"/>
  <c r="W883" i="119"/>
  <c r="W859" i="119"/>
  <c r="T879" i="119"/>
  <c r="V769" i="119"/>
  <c r="W755" i="119"/>
  <c r="W723" i="119"/>
  <c r="V727" i="119"/>
  <c r="V719" i="119"/>
  <c r="V683" i="119"/>
  <c r="T641" i="119"/>
  <c r="T132" i="119"/>
  <c r="V675" i="119"/>
  <c r="W1095" i="119"/>
  <c r="W1008" i="119"/>
  <c r="BC1065" i="16"/>
  <c r="T402" i="119"/>
  <c r="BF387" i="16"/>
  <c r="BA971" i="16"/>
  <c r="BD489" i="16"/>
  <c r="BD491" i="16" s="1"/>
  <c r="BA1114" i="16"/>
  <c r="BA955" i="16"/>
  <c r="S976" i="119"/>
  <c r="AT665" i="16"/>
  <c r="AQ1009" i="16"/>
  <c r="AQ981" i="16"/>
  <c r="BA981" i="16"/>
  <c r="S928" i="119"/>
  <c r="BF1151" i="16"/>
  <c r="BD400" i="16"/>
  <c r="AQ971" i="16"/>
  <c r="S918" i="119"/>
  <c r="S1055" i="119"/>
  <c r="U1055" i="119" s="1"/>
  <c r="S902" i="119"/>
  <c r="BF1109" i="16"/>
  <c r="BA899" i="16"/>
  <c r="AQ665" i="16"/>
  <c r="BA673" i="16"/>
  <c r="AT1009" i="16"/>
  <c r="AQ393" i="16"/>
  <c r="BA782" i="16"/>
  <c r="S737" i="119"/>
  <c r="AQ782" i="16"/>
  <c r="AT782" i="16"/>
  <c r="AT971" i="16"/>
  <c r="AT1114" i="16"/>
  <c r="AT955" i="16"/>
  <c r="AQ673" i="16"/>
  <c r="BA1009" i="16"/>
  <c r="BE1038" i="16"/>
  <c r="S583" i="119"/>
  <c r="U583" i="119" s="1"/>
  <c r="BA946" i="16"/>
  <c r="S893" i="119"/>
  <c r="U893" i="119" s="1"/>
  <c r="AQ1116" i="16"/>
  <c r="S1057" i="119"/>
  <c r="BA1116" i="16"/>
  <c r="T1097" i="119"/>
  <c r="BG1158" i="16"/>
  <c r="BJ1054" i="16"/>
  <c r="T997" i="119"/>
  <c r="BB1045" i="16"/>
  <c r="V988" i="119"/>
  <c r="T953" i="119"/>
  <c r="BG1008" i="16"/>
  <c r="BG1004" i="16"/>
  <c r="T949" i="119"/>
  <c r="V950" i="119"/>
  <c r="V942" i="119"/>
  <c r="V938" i="119"/>
  <c r="T901" i="119"/>
  <c r="BG954" i="16"/>
  <c r="S876" i="119"/>
  <c r="BA927" i="16"/>
  <c r="W833" i="119"/>
  <c r="T836" i="119"/>
  <c r="T824" i="119"/>
  <c r="BG873" i="16"/>
  <c r="BG866" i="16"/>
  <c r="T808" i="119"/>
  <c r="AJ1119" i="16"/>
  <c r="AJ1077" i="16" s="1"/>
  <c r="T1043" i="119"/>
  <c r="BG1102" i="16"/>
  <c r="T1032" i="119"/>
  <c r="V1032" i="119"/>
  <c r="W961" i="119"/>
  <c r="W947" i="119"/>
  <c r="V965" i="119"/>
  <c r="BG934" i="16"/>
  <c r="T883" i="119"/>
  <c r="S880" i="119"/>
  <c r="W820" i="119"/>
  <c r="W789" i="119"/>
  <c r="AV474" i="16"/>
  <c r="AV478" i="16"/>
  <c r="AV845" i="16"/>
  <c r="AQ302" i="16"/>
  <c r="G258" i="182" s="1"/>
  <c r="O258" i="182" s="1"/>
  <c r="S279" i="119"/>
  <c r="BG1128" i="16"/>
  <c r="W1043" i="119"/>
  <c r="BC1050" i="16"/>
  <c r="T935" i="119"/>
  <c r="W870" i="119"/>
  <c r="T847" i="119"/>
  <c r="V863" i="119"/>
  <c r="T777" i="119"/>
  <c r="BG824" i="16"/>
  <c r="W751" i="119"/>
  <c r="AJ804" i="16"/>
  <c r="AJ762" i="16" s="1"/>
  <c r="T721" i="119"/>
  <c r="V740" i="119"/>
  <c r="AJ759" i="16"/>
  <c r="AJ717" i="16" s="1"/>
  <c r="AT727" i="16"/>
  <c r="V684" i="119"/>
  <c r="V677" i="119"/>
  <c r="W659" i="119"/>
  <c r="W626" i="119"/>
  <c r="AJ669" i="16"/>
  <c r="AJ627" i="16" s="1"/>
  <c r="BG645" i="16"/>
  <c r="T606" i="119"/>
  <c r="AM669" i="16"/>
  <c r="AM627" i="16" s="1"/>
  <c r="V606" i="119"/>
  <c r="T575" i="119"/>
  <c r="BG588" i="16"/>
  <c r="T551" i="119"/>
  <c r="T547" i="119"/>
  <c r="BG584" i="16"/>
  <c r="T526" i="119"/>
  <c r="V525" i="119"/>
  <c r="W465" i="119"/>
  <c r="AJ534" i="16"/>
  <c r="AJ492" i="16" s="1"/>
  <c r="T479" i="119"/>
  <c r="BG512" i="16"/>
  <c r="AM534" i="16"/>
  <c r="AM492" i="16" s="1"/>
  <c r="V493" i="119"/>
  <c r="T423" i="119"/>
  <c r="BG454" i="16"/>
  <c r="W340" i="119"/>
  <c r="AQ394" i="16"/>
  <c r="BA394" i="16"/>
  <c r="AG399" i="16"/>
  <c r="AG357" i="16" s="1"/>
  <c r="V335" i="119"/>
  <c r="T319" i="119"/>
  <c r="BG344" i="16"/>
  <c r="T308" i="119"/>
  <c r="T297" i="119"/>
  <c r="AG354" i="16"/>
  <c r="AG312" i="16" s="1"/>
  <c r="T250" i="119"/>
  <c r="T220" i="119"/>
  <c r="V1065" i="119"/>
  <c r="BG914" i="16"/>
  <c r="T863" i="119"/>
  <c r="AT911" i="16"/>
  <c r="AQ911" i="16"/>
  <c r="BA331" i="16"/>
  <c r="V218" i="119"/>
  <c r="V249" i="119"/>
  <c r="T258" i="119"/>
  <c r="S306" i="119"/>
  <c r="T340" i="119"/>
  <c r="U340" i="119" s="1"/>
  <c r="W650" i="119"/>
  <c r="V816" i="119"/>
  <c r="W829" i="119"/>
  <c r="W879" i="119"/>
  <c r="T996" i="119"/>
  <c r="V1004" i="119"/>
  <c r="T1040" i="119"/>
  <c r="W1049" i="119"/>
  <c r="T1069" i="119"/>
  <c r="BB1047" i="16"/>
  <c r="T110" i="119"/>
  <c r="BD1077" i="16"/>
  <c r="S978" i="119"/>
  <c r="T1053" i="119"/>
  <c r="V1021" i="119"/>
  <c r="V959" i="119"/>
  <c r="T1050" i="119"/>
  <c r="BG923" i="16"/>
  <c r="BG1024" i="16"/>
  <c r="BG1071" i="16"/>
  <c r="BG864" i="16"/>
  <c r="AQ1035" i="16"/>
  <c r="BG501" i="16"/>
  <c r="BG1044" i="16"/>
  <c r="BD672" i="16"/>
  <c r="BD714" i="16" s="1"/>
  <c r="BD716" i="16" s="1"/>
  <c r="BD717" i="16"/>
  <c r="BD762" i="16"/>
  <c r="T288" i="119"/>
  <c r="V363" i="119"/>
  <c r="T439" i="119"/>
  <c r="V598" i="119"/>
  <c r="T726" i="119"/>
  <c r="V813" i="119"/>
  <c r="V836" i="119"/>
  <c r="T859" i="119"/>
  <c r="W875" i="119"/>
  <c r="T966" i="119"/>
  <c r="T1028" i="119"/>
  <c r="AT637" i="16"/>
  <c r="S1066" i="119"/>
  <c r="AQ1127" i="16"/>
  <c r="AT1127" i="16"/>
  <c r="BA1147" i="16"/>
  <c r="BA1123" i="16"/>
  <c r="S1092" i="119"/>
  <c r="AQ1153" i="16"/>
  <c r="BJ1077" i="16"/>
  <c r="AQ1106" i="16"/>
  <c r="BA1106" i="16"/>
  <c r="S1053" i="119"/>
  <c r="S983" i="119"/>
  <c r="AQ1048" i="16"/>
  <c r="AT1033" i="16"/>
  <c r="BI1042" i="16"/>
  <c r="S988" i="119"/>
  <c r="AQ1045" i="16"/>
  <c r="G967" i="182"/>
  <c r="BI1056" i="16"/>
  <c r="BK1056" i="16" s="1"/>
  <c r="AQ1040" i="16"/>
  <c r="G962" i="182"/>
  <c r="AT1048" i="16"/>
  <c r="BI1048" i="16"/>
  <c r="BA1033" i="16"/>
  <c r="S998" i="119"/>
  <c r="AT1045" i="16"/>
  <c r="BA1055" i="16"/>
  <c r="AT1040" i="16"/>
  <c r="AQ1033" i="16"/>
  <c r="BA1045" i="16"/>
  <c r="BE1045" i="16" s="1"/>
  <c r="S864" i="119"/>
  <c r="AQ915" i="16"/>
  <c r="BA915" i="16"/>
  <c r="BF888" i="16"/>
  <c r="AT888" i="16"/>
  <c r="BA880" i="16"/>
  <c r="AQ883" i="16"/>
  <c r="BF860" i="16"/>
  <c r="BA860" i="16"/>
  <c r="AT868" i="16"/>
  <c r="BA888" i="16"/>
  <c r="AQ880" i="16"/>
  <c r="S831" i="119"/>
  <c r="AT860" i="16"/>
  <c r="AQ868" i="16"/>
  <c r="S769" i="119"/>
  <c r="S786" i="119"/>
  <c r="U786" i="119" s="1"/>
  <c r="AQ816" i="16"/>
  <c r="BA829" i="16"/>
  <c r="AQ833" i="16"/>
  <c r="BA833" i="16"/>
  <c r="BF798" i="16"/>
  <c r="BG762" i="16"/>
  <c r="BJ762" i="16"/>
  <c r="BA770" i="16"/>
  <c r="S753" i="119"/>
  <c r="S721" i="119"/>
  <c r="BF766" i="16"/>
  <c r="AT770" i="16"/>
  <c r="AT798" i="16"/>
  <c r="BA766" i="16"/>
  <c r="AQ770" i="16"/>
  <c r="BA798" i="16"/>
  <c r="BF689" i="16"/>
  <c r="BF697" i="16"/>
  <c r="AQ684" i="16"/>
  <c r="G622" i="182"/>
  <c r="BA697" i="16"/>
  <c r="S636" i="119"/>
  <c r="S632" i="119"/>
  <c r="AQ628" i="16"/>
  <c r="AQ642" i="16"/>
  <c r="BA644" i="16"/>
  <c r="AT628" i="16"/>
  <c r="BA652" i="16"/>
  <c r="AT642" i="16"/>
  <c r="AT646" i="16"/>
  <c r="BA637" i="16"/>
  <c r="AQ637" i="16"/>
  <c r="BA628" i="16"/>
  <c r="AT652" i="16"/>
  <c r="S603" i="119"/>
  <c r="AQ646" i="16"/>
  <c r="S598" i="119"/>
  <c r="U598" i="119" s="1"/>
  <c r="BF593" i="16"/>
  <c r="S576" i="119"/>
  <c r="AQ620" i="16"/>
  <c r="AT593" i="16"/>
  <c r="AQ613" i="16"/>
  <c r="S508" i="119"/>
  <c r="AQ496" i="16"/>
  <c r="S463" i="119"/>
  <c r="U463" i="119" s="1"/>
  <c r="AT496" i="16"/>
  <c r="AT456" i="16"/>
  <c r="S425" i="119"/>
  <c r="S454" i="119"/>
  <c r="AQ456" i="16"/>
  <c r="S422" i="119"/>
  <c r="AT453" i="16"/>
  <c r="AQ453" i="16"/>
  <c r="BG357" i="16"/>
  <c r="BJ357" i="16"/>
  <c r="S366" i="119"/>
  <c r="BF367" i="16"/>
  <c r="AT393" i="16"/>
  <c r="BF270" i="16"/>
  <c r="BF278" i="16"/>
  <c r="BF286" i="16"/>
  <c r="BA270" i="16"/>
  <c r="AQ294" i="16"/>
  <c r="BF306" i="16"/>
  <c r="BG113" i="16"/>
  <c r="BG158" i="16"/>
  <c r="V137" i="119"/>
  <c r="T153" i="119"/>
  <c r="V184" i="119"/>
  <c r="T172" i="119"/>
  <c r="T160" i="119"/>
  <c r="W180" i="119"/>
  <c r="V192" i="119"/>
  <c r="T164" i="119"/>
  <c r="T196" i="119"/>
  <c r="W194" i="119"/>
  <c r="BG203" i="16"/>
  <c r="BG215" i="16"/>
  <c r="BG179" i="16"/>
  <c r="W172" i="119"/>
  <c r="W184" i="119"/>
  <c r="V177" i="119"/>
  <c r="V173" i="119"/>
  <c r="T193" i="119"/>
  <c r="V165" i="119"/>
  <c r="V161" i="119"/>
  <c r="BG184" i="16"/>
  <c r="W185" i="119"/>
  <c r="V181" i="119"/>
  <c r="V185" i="119"/>
  <c r="V169" i="119"/>
  <c r="S222" i="119"/>
  <c r="U222" i="119" s="1"/>
  <c r="BA243" i="16"/>
  <c r="W203" i="119"/>
  <c r="T206" i="119"/>
  <c r="BG227" i="16"/>
  <c r="V227" i="119"/>
  <c r="W210" i="119"/>
  <c r="V234" i="119"/>
  <c r="W206" i="119"/>
  <c r="V221" i="119"/>
  <c r="W221" i="119"/>
  <c r="T202" i="119"/>
  <c r="T226" i="119"/>
  <c r="V238" i="119"/>
  <c r="W211" i="119"/>
  <c r="V224" i="119"/>
  <c r="V219" i="119"/>
  <c r="V217" i="119"/>
  <c r="V239" i="119"/>
  <c r="BG247" i="16"/>
  <c r="BG232" i="16"/>
  <c r="S214" i="119"/>
  <c r="V222" i="119"/>
  <c r="V232" i="119"/>
  <c r="AQ235" i="16"/>
  <c r="V214" i="119"/>
  <c r="BG253" i="16"/>
  <c r="BG260" i="16"/>
  <c r="V210" i="119"/>
  <c r="T214" i="119"/>
  <c r="T232" i="119"/>
  <c r="T236" i="119"/>
  <c r="W225" i="119"/>
  <c r="AQ243" i="16"/>
  <c r="W229" i="119"/>
  <c r="BG257" i="16"/>
  <c r="BG235" i="16"/>
  <c r="BA235" i="16"/>
  <c r="W218" i="119"/>
  <c r="BG250" i="16"/>
  <c r="T229" i="119"/>
  <c r="T207" i="119"/>
  <c r="BG228" i="16"/>
  <c r="T203" i="119"/>
  <c r="AM264" i="16"/>
  <c r="AM222" i="16" s="1"/>
  <c r="V228" i="119"/>
  <c r="AG264" i="16"/>
  <c r="AG222" i="16" s="1"/>
  <c r="V204" i="119"/>
  <c r="W237" i="119"/>
  <c r="W224" i="119"/>
  <c r="W207" i="119"/>
  <c r="T231" i="119"/>
  <c r="BG252" i="16"/>
  <c r="BG246" i="16"/>
  <c r="T225" i="119"/>
  <c r="BG231" i="16"/>
  <c r="T210" i="119"/>
  <c r="V231" i="119"/>
  <c r="V209" i="119"/>
  <c r="BG224" i="16"/>
  <c r="BG261" i="16"/>
  <c r="T240" i="119"/>
  <c r="BG258" i="16"/>
  <c r="T234" i="119"/>
  <c r="BG255" i="16"/>
  <c r="BG233" i="16"/>
  <c r="BG226" i="16"/>
  <c r="T205" i="119"/>
  <c r="W215" i="119"/>
  <c r="AJ264" i="16"/>
  <c r="AJ222" i="16" s="1"/>
  <c r="W202" i="119"/>
  <c r="T227" i="119"/>
  <c r="BG248" i="16"/>
  <c r="BG239" i="16"/>
  <c r="BG236" i="16"/>
  <c r="T215" i="119"/>
  <c r="V225" i="119"/>
  <c r="V220" i="119"/>
  <c r="W167" i="119"/>
  <c r="V195" i="119"/>
  <c r="AG219" i="16"/>
  <c r="AG177" i="16" s="1"/>
  <c r="V160" i="119"/>
  <c r="W175" i="119"/>
  <c r="T183" i="119"/>
  <c r="BD177" i="16"/>
  <c r="BD218" i="16" s="1"/>
  <c r="V176" i="119"/>
  <c r="W183" i="119"/>
  <c r="BG196" i="16"/>
  <c r="V159" i="119"/>
  <c r="T188" i="119"/>
  <c r="BG200" i="16"/>
  <c r="V167" i="119"/>
  <c r="V179" i="119"/>
  <c r="BG188" i="16"/>
  <c r="W173" i="119"/>
  <c r="V193" i="119"/>
  <c r="BG216" i="16"/>
  <c r="T184" i="119"/>
  <c r="W161" i="119"/>
  <c r="W169" i="119"/>
  <c r="W195" i="119"/>
  <c r="V182" i="119"/>
  <c r="BG170" i="16"/>
  <c r="V116" i="119"/>
  <c r="V132" i="119"/>
  <c r="V144" i="119"/>
  <c r="W136" i="119"/>
  <c r="T131" i="119"/>
  <c r="BG157" i="16"/>
  <c r="W144" i="119"/>
  <c r="V120" i="119"/>
  <c r="V124" i="119"/>
  <c r="W132" i="119"/>
  <c r="V140" i="119"/>
  <c r="V148" i="119"/>
  <c r="T140" i="119"/>
  <c r="W128" i="119"/>
  <c r="W116" i="119"/>
  <c r="W120" i="119"/>
  <c r="V128" i="119"/>
  <c r="V152" i="119"/>
  <c r="BG155" i="16"/>
  <c r="W140" i="119"/>
  <c r="W124" i="119"/>
  <c r="BG161" i="16"/>
  <c r="V136" i="119"/>
  <c r="T144" i="119"/>
  <c r="W152" i="119"/>
  <c r="AV462" i="16"/>
  <c r="AV639" i="16"/>
  <c r="AV816" i="16"/>
  <c r="AV280" i="16"/>
  <c r="AV658" i="16"/>
  <c r="AV475" i="16"/>
  <c r="AV299" i="16"/>
  <c r="AV1021" i="16"/>
  <c r="AV108" i="16"/>
  <c r="AV236" i="16"/>
  <c r="AV247" i="16"/>
  <c r="AV423" i="16"/>
  <c r="AV439" i="16"/>
  <c r="AV445" i="16"/>
  <c r="AV417" i="16"/>
  <c r="AV409" i="16"/>
  <c r="AV426" i="16"/>
  <c r="AV433" i="16"/>
  <c r="AV438" i="16"/>
  <c r="AV444" i="16"/>
  <c r="AV416" i="16"/>
  <c r="AV408" i="16"/>
  <c r="AC444" i="16"/>
  <c r="C393" i="182" s="1"/>
  <c r="AV435" i="16"/>
  <c r="AV440" i="16"/>
  <c r="AV443" i="16"/>
  <c r="AV415" i="16"/>
  <c r="AV407" i="16"/>
  <c r="AV611" i="16"/>
  <c r="AV621" i="16"/>
  <c r="AV594" i="16"/>
  <c r="AV610" i="16"/>
  <c r="AV620" i="16"/>
  <c r="AV593" i="16"/>
  <c r="AV605" i="16"/>
  <c r="C545" i="119"/>
  <c r="AV592" i="16"/>
  <c r="AV803" i="16"/>
  <c r="AV779" i="16"/>
  <c r="AV775" i="16"/>
  <c r="AV771" i="16"/>
  <c r="AV767" i="16"/>
  <c r="AV763" i="16"/>
  <c r="AV801" i="16"/>
  <c r="AV799" i="16"/>
  <c r="AV797" i="16"/>
  <c r="AV795" i="16"/>
  <c r="AV793" i="16"/>
  <c r="AV791" i="16"/>
  <c r="AV789" i="16"/>
  <c r="AV787" i="16"/>
  <c r="AV785" i="16"/>
  <c r="AV783" i="16"/>
  <c r="C717" i="119"/>
  <c r="AV806" i="16"/>
  <c r="AV782" i="16"/>
  <c r="AV778" i="16"/>
  <c r="AV774" i="16"/>
  <c r="AV770" i="16"/>
  <c r="AV766" i="16"/>
  <c r="AV762" i="16"/>
  <c r="AC804" i="16"/>
  <c r="AV805" i="16"/>
  <c r="AV781" i="16"/>
  <c r="AV777" i="16"/>
  <c r="AV773" i="16"/>
  <c r="AV769" i="16"/>
  <c r="AV765" i="16"/>
  <c r="AV982" i="16"/>
  <c r="AV975" i="16"/>
  <c r="AV967" i="16"/>
  <c r="AV984" i="16"/>
  <c r="AV956" i="16"/>
  <c r="AV948" i="16"/>
  <c r="AV981" i="16"/>
  <c r="AV970" i="16"/>
  <c r="AV983" i="16"/>
  <c r="AV955" i="16"/>
  <c r="AV947" i="16"/>
  <c r="AV980" i="16"/>
  <c r="AV973" i="16"/>
  <c r="AV965" i="16"/>
  <c r="AV986" i="16"/>
  <c r="AV958" i="16"/>
  <c r="AV950" i="16"/>
  <c r="AV942" i="16"/>
  <c r="AV1156" i="16"/>
  <c r="AV1148" i="16"/>
  <c r="AV1141" i="16"/>
  <c r="AV1133" i="16"/>
  <c r="AV1125" i="16"/>
  <c r="AV1155" i="16"/>
  <c r="AV1147" i="16"/>
  <c r="AV1164" i="16"/>
  <c r="AV1136" i="16"/>
  <c r="AV1128" i="16"/>
  <c r="AC1164" i="16"/>
  <c r="C1081" i="182" s="1"/>
  <c r="AV1162" i="16"/>
  <c r="AV1154" i="16"/>
  <c r="AV1146" i="16"/>
  <c r="AV1163" i="16"/>
  <c r="AV1135" i="16"/>
  <c r="AV1127" i="16"/>
  <c r="AV269" i="16"/>
  <c r="AV293" i="16"/>
  <c r="AV450" i="16"/>
  <c r="AV486" i="16"/>
  <c r="AV627" i="16"/>
  <c r="AV643" i="16"/>
  <c r="AV820" i="16"/>
  <c r="AV303" i="16"/>
  <c r="AV468" i="16"/>
  <c r="AV662" i="16"/>
  <c r="AV838" i="16"/>
  <c r="AV273" i="16"/>
  <c r="AV309" i="16"/>
  <c r="AV454" i="16"/>
  <c r="AV490" i="16"/>
  <c r="AV631" i="16"/>
  <c r="AV647" i="16"/>
  <c r="AV824" i="16"/>
  <c r="AV989" i="16"/>
  <c r="AV283" i="16"/>
  <c r="AV307" i="16"/>
  <c r="AV484" i="16"/>
  <c r="AV650" i="16"/>
  <c r="AV666" i="16"/>
  <c r="AV1013" i="16"/>
  <c r="AC309" i="16"/>
  <c r="C264" i="182" s="1"/>
  <c r="AV277" i="16"/>
  <c r="AV458" i="16"/>
  <c r="AV635" i="16"/>
  <c r="AV671" i="16"/>
  <c r="AV848" i="16"/>
  <c r="AV287" i="16"/>
  <c r="AV482" i="16"/>
  <c r="AV471" i="16"/>
  <c r="AV654" i="16"/>
  <c r="AV846" i="16"/>
  <c r="C115" i="119"/>
  <c r="AV149" i="16"/>
  <c r="AV141" i="16"/>
  <c r="AV175" i="16"/>
  <c r="AV144" i="16"/>
  <c r="AV166" i="16"/>
  <c r="AV170" i="16"/>
  <c r="AV147" i="16"/>
  <c r="AV343" i="16"/>
  <c r="AV320" i="16"/>
  <c r="AV322" i="16"/>
  <c r="AV344" i="16"/>
  <c r="AV335" i="16"/>
  <c r="AV494" i="16"/>
  <c r="AV522" i="16"/>
  <c r="AV508" i="16"/>
  <c r="AV493" i="16"/>
  <c r="AV706" i="16"/>
  <c r="AV673" i="16"/>
  <c r="AV702" i="16"/>
  <c r="AV690" i="16"/>
  <c r="AV696" i="16"/>
  <c r="AV711" i="16"/>
  <c r="AV697" i="16"/>
  <c r="AV879" i="16"/>
  <c r="AV875" i="16"/>
  <c r="AV896" i="16"/>
  <c r="AV894" i="16"/>
  <c r="AV885" i="16"/>
  <c r="AV856" i="16"/>
  <c r="AV893" i="16"/>
  <c r="AV1060" i="16"/>
  <c r="AV1040" i="16"/>
  <c r="AV1070" i="16"/>
  <c r="AV1061" i="16"/>
  <c r="AV1068" i="16"/>
  <c r="W1169" i="25"/>
  <c r="Y1169" i="25" s="1"/>
  <c r="W1147" i="25"/>
  <c r="W295" i="25"/>
  <c r="W288" i="25"/>
  <c r="Y288" i="25" s="1"/>
  <c r="W137" i="25"/>
  <c r="W125" i="25"/>
  <c r="W337" i="25"/>
  <c r="W307" i="25"/>
  <c r="W728" i="25"/>
  <c r="Y728" i="25" s="1"/>
  <c r="W722" i="25"/>
  <c r="Y722" i="25" s="1"/>
  <c r="W627" i="25"/>
  <c r="W561" i="25"/>
  <c r="W556" i="25"/>
  <c r="Y556" i="25" s="1"/>
  <c r="W522" i="25"/>
  <c r="Y522" i="25" s="1"/>
  <c r="W415" i="25"/>
  <c r="W403" i="25"/>
  <c r="W392" i="25"/>
  <c r="Y392" i="25" s="1"/>
  <c r="W356" i="25"/>
  <c r="Y356" i="25" s="1"/>
  <c r="W352" i="25"/>
  <c r="Y352" i="25" s="1"/>
  <c r="W351" i="25"/>
  <c r="W344" i="25"/>
  <c r="Y344" i="25" s="1"/>
  <c r="W1090" i="25"/>
  <c r="Y1090" i="25" s="1"/>
  <c r="W1023" i="25"/>
  <c r="W1009" i="25"/>
  <c r="W998" i="25"/>
  <c r="Y998" i="25" s="1"/>
  <c r="W885" i="25"/>
  <c r="W747" i="25"/>
  <c r="BF1112" i="16"/>
  <c r="BD893" i="16"/>
  <c r="BD894" i="16"/>
  <c r="BD896" i="16" s="1"/>
  <c r="S697" i="119"/>
  <c r="AQ740" i="16"/>
  <c r="BF1153" i="16"/>
  <c r="S1010" i="119"/>
  <c r="BA1067" i="16"/>
  <c r="BE1067" i="16" s="1"/>
  <c r="AQ1067" i="16"/>
  <c r="BI1067" i="16"/>
  <c r="AT1042" i="16"/>
  <c r="BA1042" i="16"/>
  <c r="AQ1013" i="16"/>
  <c r="BA1013" i="16"/>
  <c r="AT1013" i="16"/>
  <c r="AQ563" i="16"/>
  <c r="S504" i="119"/>
  <c r="U504" i="119" s="1"/>
  <c r="AT539" i="16"/>
  <c r="AQ688" i="16"/>
  <c r="G626" i="182"/>
  <c r="BF1071" i="16"/>
  <c r="AQ1139" i="16"/>
  <c r="S656" i="119"/>
  <c r="BF1147" i="16"/>
  <c r="BA769" i="16"/>
  <c r="BK1042" i="16"/>
  <c r="AQ223" i="16"/>
  <c r="AT362" i="16"/>
  <c r="BF295" i="16"/>
  <c r="BI1039" i="16"/>
  <c r="BK1039" i="16" s="1"/>
  <c r="AQ1039" i="16"/>
  <c r="BA1039" i="16"/>
  <c r="S982" i="119"/>
  <c r="AT1039" i="16"/>
  <c r="AT1112" i="16"/>
  <c r="AT923" i="16"/>
  <c r="AQ923" i="16"/>
  <c r="S872" i="119"/>
  <c r="W1203" i="25"/>
  <c r="Y1203" i="25" s="1"/>
  <c r="W907" i="25"/>
  <c r="Y907" i="25" s="1"/>
  <c r="W1119" i="25"/>
  <c r="T294" i="119"/>
  <c r="W309" i="119"/>
  <c r="T679" i="119"/>
  <c r="W731" i="119"/>
  <c r="W933" i="119"/>
  <c r="V945" i="119"/>
  <c r="T980" i="119"/>
  <c r="V1052" i="119"/>
  <c r="V1071" i="119"/>
  <c r="W675" i="25"/>
  <c r="Y675" i="25" s="1"/>
  <c r="W1239" i="25"/>
  <c r="W794" i="25"/>
  <c r="Y794" i="25" s="1"/>
  <c r="W638" i="25"/>
  <c r="Y638" i="25" s="1"/>
  <c r="W339" i="119"/>
  <c r="V351" i="119"/>
  <c r="W496" i="119"/>
  <c r="W683" i="119"/>
  <c r="W704" i="119"/>
  <c r="V879" i="119"/>
  <c r="W937" i="119"/>
  <c r="W1083" i="119"/>
  <c r="BG140" i="16"/>
  <c r="W1146" i="25"/>
  <c r="Y1146" i="25" s="1"/>
  <c r="W884" i="25"/>
  <c r="Y884" i="25" s="1"/>
  <c r="W1123" i="25"/>
  <c r="W691" i="25"/>
  <c r="W1259" i="25"/>
  <c r="W208" i="119"/>
  <c r="T279" i="119"/>
  <c r="W320" i="119"/>
  <c r="T563" i="119"/>
  <c r="W680" i="119"/>
  <c r="W695" i="119"/>
  <c r="W734" i="119"/>
  <c r="W747" i="119"/>
  <c r="V762" i="119"/>
  <c r="V832" i="119"/>
  <c r="W941" i="119"/>
  <c r="V1023" i="119"/>
  <c r="T1087" i="119"/>
  <c r="W1235" i="25"/>
  <c r="W283" i="25"/>
  <c r="W1251" i="25"/>
  <c r="W407" i="25"/>
  <c r="W512" i="25"/>
  <c r="Y512" i="25" s="1"/>
  <c r="W808" i="25"/>
  <c r="Y808" i="25" s="1"/>
  <c r="W246" i="25"/>
  <c r="Y246" i="25" s="1"/>
  <c r="W239" i="25"/>
  <c r="W333" i="25"/>
  <c r="W676" i="25"/>
  <c r="Y676" i="25" s="1"/>
  <c r="W384" i="25"/>
  <c r="Y384" i="25" s="1"/>
  <c r="W123" i="25"/>
  <c r="W1366" i="25"/>
  <c r="W1247" i="25"/>
  <c r="W1108" i="25"/>
  <c r="Y1108" i="25" s="1"/>
  <c r="W1086" i="25"/>
  <c r="Y1086" i="25" s="1"/>
  <c r="W909" i="25"/>
  <c r="W792" i="25"/>
  <c r="Y792" i="25" s="1"/>
  <c r="W551" i="25"/>
  <c r="W1250" i="25"/>
  <c r="Y1250" i="25" s="1"/>
  <c r="W1227" i="25"/>
  <c r="Y1227" i="25" s="1"/>
  <c r="W1116" i="25"/>
  <c r="Y1116" i="25" s="1"/>
  <c r="W793" i="25"/>
  <c r="W1143" i="25"/>
  <c r="W1008" i="25"/>
  <c r="Y1008" i="25" s="1"/>
  <c r="W1301" i="25"/>
  <c r="W1299" i="25"/>
  <c r="Y1299" i="25" s="1"/>
  <c r="W1171" i="25"/>
  <c r="Y1171" i="25" s="1"/>
  <c r="W903" i="25"/>
  <c r="W1279" i="25"/>
  <c r="W1187" i="25"/>
  <c r="Y1187" i="25" s="1"/>
  <c r="W1139" i="25"/>
  <c r="W733" i="25"/>
  <c r="W1363" i="25"/>
  <c r="Y1363" i="25" s="1"/>
  <c r="W1309" i="25"/>
  <c r="W1246" i="25"/>
  <c r="Y1246" i="25" s="1"/>
  <c r="W1237" i="25"/>
  <c r="W1234" i="25"/>
  <c r="Y1234" i="25" s="1"/>
  <c r="W1181" i="25"/>
  <c r="Y1181" i="25" s="1"/>
  <c r="W1118" i="25"/>
  <c r="Y1118" i="25" s="1"/>
  <c r="W1110" i="25"/>
  <c r="Y1110" i="25" s="1"/>
  <c r="W1087" i="25"/>
  <c r="W970" i="25"/>
  <c r="Y970" i="25" s="1"/>
  <c r="W844" i="25"/>
  <c r="Y844" i="25" s="1"/>
  <c r="W672" i="25"/>
  <c r="Y672" i="25" s="1"/>
  <c r="W1342" i="25"/>
  <c r="W1075" i="25"/>
  <c r="W1018" i="25"/>
  <c r="Y1018" i="25" s="1"/>
  <c r="W666" i="25"/>
  <c r="Y666" i="25" s="1"/>
  <c r="W576" i="25"/>
  <c r="Y576" i="25" s="1"/>
  <c r="W555" i="25"/>
  <c r="W514" i="25"/>
  <c r="Y514" i="25" s="1"/>
  <c r="W300" i="25"/>
  <c r="Y300" i="25" s="1"/>
  <c r="W1053" i="25"/>
  <c r="W1011" i="25"/>
  <c r="W1007" i="25"/>
  <c r="W697" i="25"/>
  <c r="W670" i="25"/>
  <c r="Y670" i="25" s="1"/>
  <c r="W667" i="25"/>
  <c r="W635" i="25"/>
  <c r="W291" i="25"/>
  <c r="W966" i="25"/>
  <c r="Y966" i="25" s="1"/>
  <c r="W951" i="25"/>
  <c r="W911" i="25"/>
  <c r="W791" i="25"/>
  <c r="W727" i="25"/>
  <c r="W723" i="25"/>
  <c r="W674" i="25"/>
  <c r="Y674" i="25" s="1"/>
  <c r="W671" i="25"/>
  <c r="W633" i="25"/>
  <c r="W607" i="25"/>
  <c r="W557" i="25"/>
  <c r="W549" i="25"/>
  <c r="W531" i="25"/>
  <c r="W529" i="25"/>
  <c r="W525" i="25"/>
  <c r="W334" i="25"/>
  <c r="Y334" i="25" s="1"/>
  <c r="W226" i="25"/>
  <c r="Y226" i="25" s="1"/>
  <c r="W219" i="25"/>
  <c r="W411" i="25"/>
  <c r="W393" i="25"/>
  <c r="W269" i="25"/>
  <c r="W242" i="25"/>
  <c r="Y242" i="25" s="1"/>
  <c r="W225" i="25"/>
  <c r="W863" i="25"/>
  <c r="W744" i="25"/>
  <c r="Y744" i="25" s="1"/>
  <c r="W687" i="25"/>
  <c r="W617" i="25"/>
  <c r="W517" i="25"/>
  <c r="Y517" i="25" s="1"/>
  <c r="W494" i="25"/>
  <c r="Y494" i="25" s="1"/>
  <c r="W1245" i="25"/>
  <c r="W1201" i="25"/>
  <c r="Y1201" i="25" s="1"/>
  <c r="W1193" i="25"/>
  <c r="Y1193" i="25" s="1"/>
  <c r="W1124" i="25"/>
  <c r="Y1124" i="25" s="1"/>
  <c r="W1121" i="25"/>
  <c r="W1057" i="25"/>
  <c r="W743" i="25"/>
  <c r="W686" i="25"/>
  <c r="Y686" i="25" s="1"/>
  <c r="W574" i="25"/>
  <c r="Y574" i="25" s="1"/>
  <c r="W855" i="25"/>
  <c r="Y855" i="25" s="1"/>
  <c r="W780" i="25"/>
  <c r="Y780" i="25" s="1"/>
  <c r="W719" i="25"/>
  <c r="Y719" i="25" s="1"/>
  <c r="W689" i="25"/>
  <c r="W625" i="25"/>
  <c r="W552" i="25"/>
  <c r="Y552" i="25" s="1"/>
  <c r="W518" i="25"/>
  <c r="Y518" i="25" s="1"/>
  <c r="W1369" i="25"/>
  <c r="Y1369" i="25" s="1"/>
  <c r="W1353" i="25"/>
  <c r="Y1353" i="25" s="1"/>
  <c r="W1352" i="25"/>
  <c r="Y1352" i="25" s="1"/>
  <c r="W1345" i="25"/>
  <c r="Y1345" i="25" s="1"/>
  <c r="W1293" i="25"/>
  <c r="W1277" i="25"/>
  <c r="W1253" i="25"/>
  <c r="W1229" i="25"/>
  <c r="W1197" i="25"/>
  <c r="Y1197" i="25" s="1"/>
  <c r="W1185" i="25"/>
  <c r="Y1185" i="25" s="1"/>
  <c r="W1142" i="25"/>
  <c r="Y1142" i="25" s="1"/>
  <c r="W1030" i="25"/>
  <c r="Y1030" i="25" s="1"/>
  <c r="W1001" i="25"/>
  <c r="W897" i="25"/>
  <c r="Y897" i="25" s="1"/>
  <c r="W688" i="25"/>
  <c r="Y688" i="25" s="1"/>
  <c r="W581" i="25"/>
  <c r="W569" i="25"/>
  <c r="W224" i="25"/>
  <c r="Y224" i="25" s="1"/>
  <c r="W170" i="25"/>
  <c r="Y170" i="25" s="1"/>
  <c r="W134" i="25"/>
  <c r="Y134" i="25" s="1"/>
  <c r="W115" i="25"/>
  <c r="W958" i="25"/>
  <c r="Y958" i="25" s="1"/>
  <c r="W891" i="25"/>
  <c r="W858" i="25"/>
  <c r="Y858" i="25" s="1"/>
  <c r="W840" i="25"/>
  <c r="Y840" i="25" s="1"/>
  <c r="W799" i="25"/>
  <c r="W717" i="25"/>
  <c r="W579" i="25"/>
  <c r="W568" i="25"/>
  <c r="Y568" i="25" s="1"/>
  <c r="W567" i="25"/>
  <c r="Y567" i="25" s="1"/>
  <c r="W566" i="25"/>
  <c r="Y566" i="25" s="1"/>
  <c r="W563" i="25"/>
  <c r="W509" i="25"/>
  <c r="W508" i="25"/>
  <c r="Y508" i="25" s="1"/>
  <c r="W186" i="25"/>
  <c r="Y186" i="25" s="1"/>
  <c r="W157" i="25"/>
  <c r="W943" i="25"/>
  <c r="W921" i="25"/>
  <c r="W896" i="25"/>
  <c r="Y896" i="25" s="1"/>
  <c r="W889" i="25"/>
  <c r="W861" i="25"/>
  <c r="W854" i="25"/>
  <c r="Y854" i="25" s="1"/>
  <c r="W852" i="25"/>
  <c r="Y852" i="25" s="1"/>
  <c r="W846" i="25"/>
  <c r="Y846" i="25" s="1"/>
  <c r="W811" i="25"/>
  <c r="W810" i="25"/>
  <c r="Y810" i="25" s="1"/>
  <c r="W755" i="25"/>
  <c r="W739" i="25"/>
  <c r="W738" i="25"/>
  <c r="Y738" i="25" s="1"/>
  <c r="W735" i="25"/>
  <c r="W732" i="25"/>
  <c r="Y732" i="25" s="1"/>
  <c r="W729" i="25"/>
  <c r="Y729" i="25" s="1"/>
  <c r="W716" i="25"/>
  <c r="Y716" i="25" s="1"/>
  <c r="W681" i="25"/>
  <c r="W680" i="25"/>
  <c r="Y680" i="25" s="1"/>
  <c r="W641" i="25"/>
  <c r="W526" i="25"/>
  <c r="Y526" i="25" s="1"/>
  <c r="W521" i="25"/>
  <c r="W511" i="25"/>
  <c r="W510" i="25"/>
  <c r="Y510" i="25" s="1"/>
  <c r="W506" i="25"/>
  <c r="Y506" i="25" s="1"/>
  <c r="W505" i="25"/>
  <c r="W405" i="25"/>
  <c r="W402" i="25"/>
  <c r="Y402" i="25" s="1"/>
  <c r="W347" i="25"/>
  <c r="W271" i="25"/>
  <c r="W249" i="25"/>
  <c r="W214" i="25"/>
  <c r="Y214" i="25" s="1"/>
  <c r="W114" i="25"/>
  <c r="Y114" i="25" s="1"/>
  <c r="W971" i="25"/>
  <c r="W843" i="25"/>
  <c r="W830" i="25"/>
  <c r="Y830" i="25" s="1"/>
  <c r="W397" i="25"/>
  <c r="W390" i="25"/>
  <c r="Y390" i="25" s="1"/>
  <c r="W389" i="25"/>
  <c r="W359" i="25"/>
  <c r="W305" i="25"/>
  <c r="W297" i="25"/>
  <c r="W161" i="25"/>
  <c r="W251" i="25"/>
  <c r="W248" i="25"/>
  <c r="Y248" i="25" s="1"/>
  <c r="W127" i="25"/>
  <c r="W111" i="25"/>
  <c r="AV145" i="16"/>
  <c r="AV134" i="16"/>
  <c r="AV163" i="16"/>
  <c r="AV155" i="16"/>
  <c r="AV172" i="16"/>
  <c r="AV136" i="16"/>
  <c r="AV161" i="16"/>
  <c r="AV160" i="16"/>
  <c r="AV138" i="16"/>
  <c r="AV162" i="16"/>
  <c r="AV137" i="16"/>
  <c r="AV171" i="16"/>
  <c r="AV139" i="16"/>
  <c r="AV167" i="16"/>
  <c r="AV153" i="16"/>
  <c r="AV148" i="16"/>
  <c r="AV132" i="16"/>
  <c r="AV159" i="16"/>
  <c r="AV174" i="16"/>
  <c r="AV133" i="16"/>
  <c r="AV173" i="16"/>
  <c r="AC174" i="16"/>
  <c r="AV146" i="16"/>
  <c r="AV156" i="16"/>
  <c r="AV164" i="16"/>
  <c r="AV157" i="16"/>
  <c r="AV176" i="16"/>
  <c r="AV140" i="16"/>
  <c r="AV151" i="16"/>
  <c r="AV158" i="16"/>
  <c r="AV143" i="16"/>
  <c r="AV152" i="16"/>
  <c r="AV142" i="16"/>
  <c r="AV154" i="16"/>
  <c r="AV135" i="16"/>
  <c r="AV150" i="16"/>
  <c r="AV354" i="16"/>
  <c r="AV352" i="16"/>
  <c r="AV338" i="16"/>
  <c r="AV315" i="16"/>
  <c r="AV312" i="16"/>
  <c r="AV347" i="16"/>
  <c r="AV333" i="16"/>
  <c r="AV326" i="16"/>
  <c r="AV331" i="16"/>
  <c r="AV346" i="16"/>
  <c r="AV355" i="16"/>
  <c r="AV329" i="16"/>
  <c r="AV345" i="16"/>
  <c r="AV348" i="16"/>
  <c r="AV334" i="16"/>
  <c r="AV319" i="16"/>
  <c r="AC354" i="16"/>
  <c r="C307" i="182" s="1"/>
  <c r="AV337" i="16"/>
  <c r="AV353" i="16"/>
  <c r="AV349" i="16"/>
  <c r="AV317" i="16"/>
  <c r="AV342" i="16"/>
  <c r="AV313" i="16"/>
  <c r="AV325" i="16"/>
  <c r="AV341" i="16"/>
  <c r="AV332" i="16"/>
  <c r="AV327" i="16"/>
  <c r="AV351" i="16"/>
  <c r="AV339" i="16"/>
  <c r="AV321" i="16"/>
  <c r="AV336" i="16"/>
  <c r="AV328" i="16"/>
  <c r="C287" i="119"/>
  <c r="AV324" i="16"/>
  <c r="AV507" i="16"/>
  <c r="AV524" i="16"/>
  <c r="AV536" i="16"/>
  <c r="AV500" i="16"/>
  <c r="AV527" i="16"/>
  <c r="AV513" i="16"/>
  <c r="AV511" i="16"/>
  <c r="AV515" i="16"/>
  <c r="AV505" i="16"/>
  <c r="AV532" i="16"/>
  <c r="AV503" i="16"/>
  <c r="AV519" i="16"/>
  <c r="AV497" i="16"/>
  <c r="AV521" i="16"/>
  <c r="AV512" i="16"/>
  <c r="AV496" i="16"/>
  <c r="AV523" i="16"/>
  <c r="AV528" i="16"/>
  <c r="AV506" i="16"/>
  <c r="C459" i="119"/>
  <c r="AV499" i="16"/>
  <c r="AV526" i="16"/>
  <c r="AV498" i="16"/>
  <c r="AV502" i="16"/>
  <c r="AV529" i="16"/>
  <c r="AV531" i="16"/>
  <c r="AV514" i="16"/>
  <c r="AV504" i="16"/>
  <c r="AV530" i="16"/>
  <c r="AV517" i="16"/>
  <c r="AV516" i="16"/>
  <c r="AV495" i="16"/>
  <c r="AV510" i="16"/>
  <c r="AC534" i="16"/>
  <c r="C479" i="182" s="1"/>
  <c r="AV509" i="16"/>
  <c r="AV681" i="16"/>
  <c r="AV710" i="16"/>
  <c r="AV694" i="16"/>
  <c r="AV684" i="16"/>
  <c r="AV701" i="16"/>
  <c r="AV691" i="16"/>
  <c r="AV679" i="16"/>
  <c r="AV714" i="16"/>
  <c r="AV708" i="16"/>
  <c r="AV716" i="16"/>
  <c r="AV680" i="16"/>
  <c r="AV704" i="16"/>
  <c r="AV699" i="16"/>
  <c r="AV715" i="16"/>
  <c r="AV674" i="16"/>
  <c r="AV689" i="16"/>
  <c r="AV705" i="16"/>
  <c r="AV677" i="16"/>
  <c r="AC714" i="16"/>
  <c r="C651" i="182" s="1"/>
  <c r="AV712" i="16"/>
  <c r="AV703" i="16"/>
  <c r="AV688" i="16"/>
  <c r="AV672" i="16"/>
  <c r="AV692" i="16"/>
  <c r="AV709" i="16"/>
  <c r="AV685" i="16"/>
  <c r="AV693" i="16"/>
  <c r="AV678" i="16"/>
  <c r="AV687" i="16"/>
  <c r="AV707" i="16"/>
  <c r="AV865" i="16"/>
  <c r="W1178" i="25"/>
  <c r="Y1178" i="25" s="1"/>
  <c r="W1202" i="25"/>
  <c r="W1195" i="25"/>
  <c r="Y1195" i="25" s="1"/>
  <c r="W1192" i="25"/>
  <c r="W948" i="119"/>
  <c r="AJ1029" i="16"/>
  <c r="AJ987" i="16" s="1"/>
  <c r="BG1025" i="16"/>
  <c r="T967" i="119"/>
  <c r="BG1022" i="16"/>
  <c r="T959" i="119"/>
  <c r="BG1014" i="16"/>
  <c r="AG1029" i="16"/>
  <c r="AG987" i="16" s="1"/>
  <c r="V934" i="119"/>
  <c r="W964" i="119"/>
  <c r="W951" i="119"/>
  <c r="T962" i="119"/>
  <c r="BG1017" i="16"/>
  <c r="T942" i="119"/>
  <c r="BG997" i="16"/>
  <c r="T938" i="119"/>
  <c r="BG993" i="16"/>
  <c r="V962" i="119"/>
  <c r="V958" i="119"/>
  <c r="V947" i="119"/>
  <c r="AQ998" i="16"/>
  <c r="G922" i="182"/>
  <c r="V937" i="119"/>
  <c r="W1191" i="25"/>
  <c r="Y1191" i="25" s="1"/>
  <c r="W1189" i="25"/>
  <c r="Y1189" i="25" s="1"/>
  <c r="W1180" i="25"/>
  <c r="W1166" i="25"/>
  <c r="W956" i="119"/>
  <c r="W1176" i="25"/>
  <c r="T964" i="119"/>
  <c r="BG1019" i="16"/>
  <c r="BG1002" i="16"/>
  <c r="T933" i="119"/>
  <c r="BG988" i="16"/>
  <c r="AM1029" i="16"/>
  <c r="AM987" i="16" s="1"/>
  <c r="V968" i="119"/>
  <c r="BD1028" i="16"/>
  <c r="BD1029" i="16"/>
  <c r="BD1031" i="16" s="1"/>
  <c r="BA1010" i="16"/>
  <c r="AQ1010" i="16"/>
  <c r="S955" i="119"/>
  <c r="W974" i="25"/>
  <c r="Y974" i="25" s="1"/>
  <c r="W979" i="25"/>
  <c r="BD807" i="16"/>
  <c r="AJ849" i="16"/>
  <c r="AJ807" i="16" s="1"/>
  <c r="T773" i="119"/>
  <c r="T761" i="119"/>
  <c r="BG808" i="16"/>
  <c r="AM849" i="16"/>
  <c r="AM807" i="16" s="1"/>
  <c r="BJ807" i="16" s="1"/>
  <c r="V765" i="119"/>
  <c r="AG849" i="16"/>
  <c r="AG807" i="16" s="1"/>
  <c r="BF829" i="16"/>
  <c r="V779" i="119"/>
  <c r="S790" i="119"/>
  <c r="AQ837" i="16"/>
  <c r="BA837" i="16"/>
  <c r="AT837" i="16"/>
  <c r="W967" i="25"/>
  <c r="W978" i="25"/>
  <c r="Y978" i="25" s="1"/>
  <c r="BG820" i="16"/>
  <c r="W952" i="25"/>
  <c r="Y952" i="25" s="1"/>
  <c r="W190" i="25"/>
  <c r="Y190" i="25" s="1"/>
  <c r="T163" i="119"/>
  <c r="BG182" i="16"/>
  <c r="W162" i="119"/>
  <c r="T178" i="119"/>
  <c r="BG197" i="16"/>
  <c r="W185" i="25"/>
  <c r="W177" i="25"/>
  <c r="T173" i="119"/>
  <c r="BG192" i="16"/>
  <c r="T161" i="119"/>
  <c r="BG180" i="16"/>
  <c r="AM219" i="16"/>
  <c r="AM177" i="16" s="1"/>
  <c r="BG177" i="16" s="1"/>
  <c r="V189" i="119"/>
  <c r="V168" i="119"/>
  <c r="W188" i="25"/>
  <c r="Y188" i="25" s="1"/>
  <c r="W181" i="25"/>
  <c r="W179" i="25"/>
  <c r="W168" i="25"/>
  <c r="Y168" i="25" s="1"/>
  <c r="W198" i="119"/>
  <c r="W176" i="119"/>
  <c r="W168" i="119"/>
  <c r="W164" i="119"/>
  <c r="W160" i="119"/>
  <c r="AJ219" i="16"/>
  <c r="AJ177" i="16" s="1"/>
  <c r="T194" i="119"/>
  <c r="BG213" i="16"/>
  <c r="BG208" i="16"/>
  <c r="T189" i="119"/>
  <c r="BG205" i="16"/>
  <c r="T186" i="119"/>
  <c r="W130" i="25"/>
  <c r="Y130" i="25" s="1"/>
  <c r="BG165" i="16"/>
  <c r="T147" i="119"/>
  <c r="BG164" i="16"/>
  <c r="BG150" i="16"/>
  <c r="T117" i="119"/>
  <c r="BG134" i="16"/>
  <c r="W135" i="25"/>
  <c r="W142" i="119"/>
  <c r="V154" i="119"/>
  <c r="V138" i="119"/>
  <c r="V122" i="119"/>
  <c r="W132" i="25"/>
  <c r="Y132" i="25" s="1"/>
  <c r="T128" i="119"/>
  <c r="T120" i="119"/>
  <c r="AV88" i="16"/>
  <c r="AV114" i="16"/>
  <c r="AV125" i="16"/>
  <c r="AC129" i="16"/>
  <c r="C92" i="182" s="1"/>
  <c r="AV130" i="16"/>
  <c r="AV117" i="16"/>
  <c r="AV112" i="16"/>
  <c r="AV95" i="16"/>
  <c r="AV89" i="16"/>
  <c r="AC849" i="16"/>
  <c r="C780" i="182" s="1"/>
  <c r="AV270" i="16"/>
  <c r="AV274" i="16"/>
  <c r="AV278" i="16"/>
  <c r="AV290" i="16"/>
  <c r="AV294" i="16"/>
  <c r="AV310" i="16"/>
  <c r="AV447" i="16"/>
  <c r="AV451" i="16"/>
  <c r="AV455" i="16"/>
  <c r="AV459" i="16"/>
  <c r="AV463" i="16"/>
  <c r="AV487" i="16"/>
  <c r="AV491" i="16"/>
  <c r="AV628" i="16"/>
  <c r="AV632" i="16"/>
  <c r="AV636" i="16"/>
  <c r="AV640" i="16"/>
  <c r="AV644" i="16"/>
  <c r="AV668" i="16"/>
  <c r="AV809" i="16"/>
  <c r="AV813" i="16"/>
  <c r="AV817" i="16"/>
  <c r="AV821" i="16"/>
  <c r="AV825" i="16"/>
  <c r="AV849" i="16"/>
  <c r="AV994" i="16"/>
  <c r="AV1030" i="16"/>
  <c r="C416" i="119"/>
  <c r="C588" i="119"/>
  <c r="AV281" i="16"/>
  <c r="AV284" i="16"/>
  <c r="AV296" i="16"/>
  <c r="AV300" i="16"/>
  <c r="AV304" i="16"/>
  <c r="AV485" i="16"/>
  <c r="AV483" i="16"/>
  <c r="AV479" i="16"/>
  <c r="AV469" i="16"/>
  <c r="AV472" i="16"/>
  <c r="AV651" i="16"/>
  <c r="AV655" i="16"/>
  <c r="AV659" i="16"/>
  <c r="AV663" i="16"/>
  <c r="AV667" i="16"/>
  <c r="AV831" i="16"/>
  <c r="AV835" i="16"/>
  <c r="AV839" i="16"/>
  <c r="AV843" i="16"/>
  <c r="AV847" i="16"/>
  <c r="AV1014" i="16"/>
  <c r="AC669" i="16"/>
  <c r="AV267" i="16"/>
  <c r="AV271" i="16"/>
  <c r="AV275" i="16"/>
  <c r="AV279" i="16"/>
  <c r="AV291" i="16"/>
  <c r="AV295" i="16"/>
  <c r="AV311" i="16"/>
  <c r="AV448" i="16"/>
  <c r="AV452" i="16"/>
  <c r="AV456" i="16"/>
  <c r="AV460" i="16"/>
  <c r="AV464" i="16"/>
  <c r="AV488" i="16"/>
  <c r="AV629" i="16"/>
  <c r="AV633" i="16"/>
  <c r="AV637" i="16"/>
  <c r="AV641" i="16"/>
  <c r="AV645" i="16"/>
  <c r="AV669" i="16"/>
  <c r="AV810" i="16"/>
  <c r="AV814" i="16"/>
  <c r="AV818" i="16"/>
  <c r="AV822" i="16"/>
  <c r="AV826" i="16"/>
  <c r="AV850" i="16"/>
  <c r="AV999" i="16"/>
  <c r="C760" i="119"/>
  <c r="AV282" i="16"/>
  <c r="AV285" i="16"/>
  <c r="AV297" i="16"/>
  <c r="AV301" i="16"/>
  <c r="AV305" i="16"/>
  <c r="AV480" i="16"/>
  <c r="AV476" i="16"/>
  <c r="AV466" i="16"/>
  <c r="AV470" i="16"/>
  <c r="AV473" i="16"/>
  <c r="AV648" i="16"/>
  <c r="AV652" i="16"/>
  <c r="AV656" i="16"/>
  <c r="AV660" i="16"/>
  <c r="AV664" i="16"/>
  <c r="AV828" i="16"/>
  <c r="AV832" i="16"/>
  <c r="AV836" i="16"/>
  <c r="AV840" i="16"/>
  <c r="AV844" i="16"/>
  <c r="AV1019" i="16"/>
  <c r="AC489" i="16"/>
  <c r="C436" i="182" s="1"/>
  <c r="AV268" i="16"/>
  <c r="AV272" i="16"/>
  <c r="AV276" i="16"/>
  <c r="AV288" i="16"/>
  <c r="AV292" i="16"/>
  <c r="AV308" i="16"/>
  <c r="AV449" i="16"/>
  <c r="AV453" i="16"/>
  <c r="AV457" i="16"/>
  <c r="AV461" i="16"/>
  <c r="AV465" i="16"/>
  <c r="AV489" i="16"/>
  <c r="AV630" i="16"/>
  <c r="AV634" i="16"/>
  <c r="AV638" i="16"/>
  <c r="AV642" i="16"/>
  <c r="AV646" i="16"/>
  <c r="AV670" i="16"/>
  <c r="AV807" i="16"/>
  <c r="AV811" i="16"/>
  <c r="AV815" i="16"/>
  <c r="AV819" i="16"/>
  <c r="AV823" i="16"/>
  <c r="AV827" i="16"/>
  <c r="AV851" i="16"/>
  <c r="AV1000" i="16"/>
  <c r="C244" i="119"/>
  <c r="AV286" i="16"/>
  <c r="AV298" i="16"/>
  <c r="AV302" i="16"/>
  <c r="AV481" i="16"/>
  <c r="AV477" i="16"/>
  <c r="AV467" i="16"/>
  <c r="AV649" i="16"/>
  <c r="AV653" i="16"/>
  <c r="AV657" i="16"/>
  <c r="AV661" i="16"/>
  <c r="AV665" i="16"/>
  <c r="AV829" i="16"/>
  <c r="AV833" i="16"/>
  <c r="AV837" i="16"/>
  <c r="AV841" i="16"/>
  <c r="AV1012" i="16"/>
  <c r="T146" i="119"/>
  <c r="W165" i="25"/>
  <c r="W175" i="25"/>
  <c r="W173" i="25"/>
  <c r="BG187" i="16"/>
  <c r="V197" i="119"/>
  <c r="V194" i="119"/>
  <c r="V171" i="119"/>
  <c r="W160" i="25"/>
  <c r="Y160" i="25" s="1"/>
  <c r="W193" i="119"/>
  <c r="C1111" i="119"/>
  <c r="C1112" i="119"/>
  <c r="BF743" i="16"/>
  <c r="S685" i="119"/>
  <c r="AT728" i="16"/>
  <c r="BA728" i="16"/>
  <c r="C56" i="119"/>
  <c r="BN20" i="69"/>
  <c r="C57" i="119"/>
  <c r="BF963" i="16"/>
  <c r="AT1094" i="16"/>
  <c r="AQ1094" i="16"/>
  <c r="G1014" i="182"/>
  <c r="O1014" i="182" s="1"/>
  <c r="S1035" i="119"/>
  <c r="BA1094" i="16"/>
  <c r="AQ1114" i="16"/>
  <c r="BI1036" i="16"/>
  <c r="BA1036" i="16"/>
  <c r="AQ1036" i="16"/>
  <c r="G958" i="182" s="1"/>
  <c r="S1007" i="119"/>
  <c r="AT1068" i="16"/>
  <c r="AQ1068" i="16"/>
  <c r="G990" i="182" s="1"/>
  <c r="BI1068" i="16"/>
  <c r="BK1068" i="16" s="1"/>
  <c r="BA1068" i="16"/>
  <c r="S1011" i="119"/>
  <c r="BF1041" i="16"/>
  <c r="AQ1055" i="16"/>
  <c r="BI1055" i="16"/>
  <c r="BK1055" i="16" s="1"/>
  <c r="AT1055" i="16"/>
  <c r="BF1062" i="16"/>
  <c r="BF1070" i="16"/>
  <c r="S950" i="119"/>
  <c r="BA1005" i="16"/>
  <c r="AQ1005" i="16"/>
  <c r="BF1005" i="16" s="1"/>
  <c r="AT1005" i="16"/>
  <c r="S958" i="119"/>
  <c r="S954" i="119"/>
  <c r="AQ953" i="16"/>
  <c r="AT953" i="16"/>
  <c r="S900" i="119"/>
  <c r="BA953" i="16"/>
  <c r="AT977" i="16"/>
  <c r="BA977" i="16"/>
  <c r="AQ977" i="16"/>
  <c r="S924" i="119"/>
  <c r="AQ899" i="16"/>
  <c r="G827" i="182"/>
  <c r="AT899" i="16"/>
  <c r="AQ898" i="16"/>
  <c r="BA898" i="16"/>
  <c r="S847" i="119"/>
  <c r="AT898" i="16"/>
  <c r="BJ852" i="16"/>
  <c r="AQ867" i="16"/>
  <c r="S818" i="119"/>
  <c r="U818" i="119" s="1"/>
  <c r="AT867" i="16"/>
  <c r="BA867" i="16"/>
  <c r="S740" i="119"/>
  <c r="BA785" i="16"/>
  <c r="S724" i="119"/>
  <c r="AT769" i="16"/>
  <c r="AQ769" i="16"/>
  <c r="S689" i="119"/>
  <c r="U689" i="119" s="1"/>
  <c r="AT732" i="16"/>
  <c r="BA732" i="16"/>
  <c r="AQ724" i="16"/>
  <c r="S681" i="119"/>
  <c r="BA740" i="16"/>
  <c r="BE740" i="16"/>
  <c r="AQ728" i="16"/>
  <c r="BA748" i="16"/>
  <c r="AQ692" i="16"/>
  <c r="BA692" i="16"/>
  <c r="S651" i="119"/>
  <c r="U651" i="119" s="1"/>
  <c r="BA646" i="16"/>
  <c r="S607" i="119"/>
  <c r="U607" i="119" s="1"/>
  <c r="S568" i="119"/>
  <c r="AT605" i="16"/>
  <c r="BA539" i="16"/>
  <c r="BA456" i="16"/>
  <c r="BA362" i="16"/>
  <c r="BF907" i="16"/>
  <c r="BF393" i="16"/>
  <c r="C1102" i="119"/>
  <c r="C887" i="119"/>
  <c r="C1059" i="119"/>
  <c r="BF473" i="16"/>
  <c r="BF1043" i="16"/>
  <c r="BF1084" i="16"/>
  <c r="BF673" i="16"/>
  <c r="BF1009" i="16"/>
  <c r="AQ409" i="16"/>
  <c r="BA409" i="16"/>
  <c r="AT409" i="16"/>
  <c r="S380" i="119"/>
  <c r="BD804" i="16"/>
  <c r="BD806" i="16" s="1"/>
  <c r="BD805" i="16"/>
  <c r="BD803" i="16"/>
  <c r="AQ425" i="16"/>
  <c r="G375" i="182"/>
  <c r="O375" i="182" s="1"/>
  <c r="BA425" i="16"/>
  <c r="S396" i="119"/>
  <c r="AT425" i="16"/>
  <c r="BD759" i="16"/>
  <c r="BD761" i="16" s="1"/>
  <c r="BD758" i="16"/>
  <c r="BD760" i="16"/>
  <c r="BF1035" i="16"/>
  <c r="BF911" i="16"/>
  <c r="BF394" i="16"/>
  <c r="AT990" i="16"/>
  <c r="AQ990" i="16"/>
  <c r="BA990" i="16"/>
  <c r="S935" i="119"/>
  <c r="S1067" i="119"/>
  <c r="AT1128" i="16"/>
  <c r="BA1128" i="16"/>
  <c r="AQ1128" i="16"/>
  <c r="BF1116" i="16"/>
  <c r="BF782" i="16"/>
  <c r="BD715" i="16"/>
  <c r="BD1119" i="16"/>
  <c r="BD1121" i="16" s="1"/>
  <c r="BD1118" i="16"/>
  <c r="BD1120" i="16"/>
  <c r="AT382" i="16"/>
  <c r="AQ382" i="16"/>
  <c r="S355" i="119"/>
  <c r="U355" i="119" s="1"/>
  <c r="BA382" i="16"/>
  <c r="BA1026" i="16"/>
  <c r="AQ1026" i="16"/>
  <c r="BF1026" i="16" s="1"/>
  <c r="AT1026" i="16"/>
  <c r="S971" i="119"/>
  <c r="BF1127" i="16"/>
  <c r="BF1040" i="16"/>
  <c r="BF1048" i="16"/>
  <c r="BF1045" i="16"/>
  <c r="BF883" i="16"/>
  <c r="BF833" i="16"/>
  <c r="BF646" i="16"/>
  <c r="BF642" i="16"/>
  <c r="BF453" i="16"/>
  <c r="BF456" i="16"/>
  <c r="BD219" i="16"/>
  <c r="BD221" i="16" s="1"/>
  <c r="BA223" i="16"/>
  <c r="S202" i="119"/>
  <c r="BF243" i="16"/>
  <c r="BF235" i="16"/>
  <c r="BJ222" i="16"/>
  <c r="BG222" i="16"/>
  <c r="BA231" i="16"/>
  <c r="AQ231" i="16"/>
  <c r="G189" i="182"/>
  <c r="S210" i="119"/>
  <c r="BD220" i="16"/>
  <c r="C285" i="119"/>
  <c r="AQ417" i="16"/>
  <c r="S388" i="119"/>
  <c r="U388" i="119" s="1"/>
  <c r="AT417" i="16"/>
  <c r="BA417" i="16"/>
  <c r="BF1067" i="16"/>
  <c r="AQ429" i="16"/>
  <c r="BA429" i="16"/>
  <c r="AT429" i="16"/>
  <c r="S400" i="119"/>
  <c r="BF923" i="16"/>
  <c r="BF223" i="16"/>
  <c r="BF1139" i="16"/>
  <c r="BF688" i="16"/>
  <c r="S101" i="119"/>
  <c r="AQ116" i="16"/>
  <c r="BA116" i="16"/>
  <c r="C672" i="119"/>
  <c r="BF998" i="16"/>
  <c r="BA1017" i="16"/>
  <c r="S962" i="119"/>
  <c r="AT1017" i="16"/>
  <c r="AQ1017" i="16"/>
  <c r="S970" i="119"/>
  <c r="AQ1025" i="16"/>
  <c r="G949" i="182"/>
  <c r="BA1025" i="16"/>
  <c r="AT1025" i="16"/>
  <c r="BF1010" i="16"/>
  <c r="BF837" i="16"/>
  <c r="BG807" i="16"/>
  <c r="BD848" i="16"/>
  <c r="BJ177" i="16"/>
  <c r="C801" i="119"/>
  <c r="BA120" i="16"/>
  <c r="S105" i="119"/>
  <c r="AQ120" i="16"/>
  <c r="AQ104" i="16"/>
  <c r="AQ412" i="16"/>
  <c r="G362" i="182"/>
  <c r="S383" i="119"/>
  <c r="BA412" i="16"/>
  <c r="AT412" i="16"/>
  <c r="AQ428" i="16"/>
  <c r="S399" i="119"/>
  <c r="AT428" i="16"/>
  <c r="BA428" i="16"/>
  <c r="BE428" i="16" s="1"/>
  <c r="BF1114" i="16"/>
  <c r="BF1094" i="16"/>
  <c r="BF1036" i="16"/>
  <c r="BF1060" i="16"/>
  <c r="BF1055" i="16"/>
  <c r="BF1068" i="16"/>
  <c r="BF898" i="16"/>
  <c r="BF382" i="16"/>
  <c r="BF1128" i="16"/>
  <c r="BF231" i="16"/>
  <c r="BF1025" i="16"/>
  <c r="AB29" i="166"/>
  <c r="AB30" i="166"/>
  <c r="AB31" i="166"/>
  <c r="AB32" i="166"/>
  <c r="BG98" i="16"/>
  <c r="W136" i="25"/>
  <c r="Y136" i="25" s="1"/>
  <c r="V118" i="119"/>
  <c r="W103" i="119"/>
  <c r="V99" i="119"/>
  <c r="BG118" i="16"/>
  <c r="V87" i="119"/>
  <c r="V79" i="119"/>
  <c r="T91" i="119"/>
  <c r="T75" i="119"/>
  <c r="BA98" i="16"/>
  <c r="BG114" i="16"/>
  <c r="V103" i="119"/>
  <c r="V95" i="119"/>
  <c r="W75" i="119"/>
  <c r="V107" i="119"/>
  <c r="W79" i="119"/>
  <c r="BG110" i="16"/>
  <c r="W57" i="25"/>
  <c r="T111" i="119"/>
  <c r="V111" i="119"/>
  <c r="W111" i="119"/>
  <c r="BG126" i="16"/>
  <c r="BG122" i="16"/>
  <c r="V75" i="119"/>
  <c r="W91" i="119"/>
  <c r="V83" i="119"/>
  <c r="W47" i="25"/>
  <c r="S83" i="119"/>
  <c r="T95" i="119"/>
  <c r="V91" i="119"/>
  <c r="W107" i="119"/>
  <c r="T107" i="119"/>
  <c r="W95" i="119"/>
  <c r="T83" i="119"/>
  <c r="V391" i="119"/>
  <c r="V399" i="119"/>
  <c r="BG428" i="16"/>
  <c r="T411" i="119"/>
  <c r="BG436" i="16"/>
  <c r="BG440" i="16"/>
  <c r="V383" i="119"/>
  <c r="V395" i="119"/>
  <c r="W375" i="119"/>
  <c r="V379" i="119"/>
  <c r="BG408" i="16"/>
  <c r="T379" i="119"/>
  <c r="T375" i="119"/>
  <c r="W475" i="25"/>
  <c r="W473" i="25"/>
  <c r="W471" i="25"/>
  <c r="W379" i="119"/>
  <c r="W383" i="119"/>
  <c r="W391" i="119"/>
  <c r="W395" i="119"/>
  <c r="V403" i="119"/>
  <c r="V411" i="119"/>
  <c r="T403" i="119"/>
  <c r="W411" i="119"/>
  <c r="BG424" i="16"/>
  <c r="W463" i="25"/>
  <c r="V407" i="119"/>
  <c r="W461" i="25"/>
  <c r="W457" i="25"/>
  <c r="T391" i="119"/>
  <c r="W467" i="25"/>
  <c r="W399" i="119"/>
  <c r="BG420" i="16"/>
  <c r="W459" i="25"/>
  <c r="V375" i="119"/>
  <c r="T383" i="119"/>
  <c r="V387" i="119"/>
  <c r="T395" i="119"/>
  <c r="T399" i="119"/>
  <c r="W407" i="119"/>
  <c r="W469" i="25"/>
  <c r="W465" i="25"/>
  <c r="Y465" i="25" s="1"/>
  <c r="AD424" i="16"/>
  <c r="W66" i="25"/>
  <c r="Y66" i="25" s="1"/>
  <c r="W133" i="119"/>
  <c r="W125" i="119"/>
  <c r="V129" i="119"/>
  <c r="V149" i="119"/>
  <c r="W145" i="119"/>
  <c r="W141" i="119"/>
  <c r="V133" i="119"/>
  <c r="V153" i="119"/>
  <c r="W129" i="119"/>
  <c r="W121" i="119"/>
  <c r="W51" i="25"/>
  <c r="W60" i="25"/>
  <c r="Y60" i="25" s="1"/>
  <c r="W49" i="25"/>
  <c r="W53" i="25"/>
  <c r="Y53" i="25" s="1"/>
  <c r="BG407" i="16"/>
  <c r="AG444" i="16"/>
  <c r="AG402" i="16" s="1"/>
  <c r="BG403" i="16"/>
  <c r="W401" i="119"/>
  <c r="V385" i="119"/>
  <c r="V377" i="119"/>
  <c r="W409" i="119"/>
  <c r="T405" i="119"/>
  <c r="W381" i="119"/>
  <c r="W413" i="119"/>
  <c r="AM444" i="16"/>
  <c r="W472" i="25"/>
  <c r="Y472" i="25" s="1"/>
  <c r="T413" i="119"/>
  <c r="W458" i="25"/>
  <c r="Y458" i="25" s="1"/>
  <c r="T374" i="119"/>
  <c r="AJ444" i="16"/>
  <c r="AJ402" i="16" s="1"/>
  <c r="V393" i="119"/>
  <c r="T386" i="119"/>
  <c r="W377" i="119"/>
  <c r="W389" i="119"/>
  <c r="W468" i="25"/>
  <c r="Y468" i="25" s="1"/>
  <c r="T397" i="119"/>
  <c r="W456" i="25"/>
  <c r="Y456" i="25" s="1"/>
  <c r="T382" i="119"/>
  <c r="W466" i="25"/>
  <c r="Y466" i="25" s="1"/>
  <c r="V397" i="119"/>
  <c r="BG419" i="16"/>
  <c r="W397" i="119"/>
  <c r="W385" i="119"/>
  <c r="T390" i="119"/>
  <c r="V413" i="119"/>
  <c r="BG415" i="16"/>
  <c r="V401" i="119"/>
  <c r="W460" i="25"/>
  <c r="Y460" i="25" s="1"/>
  <c r="V389" i="119"/>
  <c r="W470" i="25"/>
  <c r="Y470" i="25" s="1"/>
  <c r="BG411" i="16"/>
  <c r="V381" i="119"/>
  <c r="W52" i="25"/>
  <c r="Y52" i="25" s="1"/>
  <c r="W82" i="25"/>
  <c r="Y82" i="25" s="1"/>
  <c r="Y452" i="25"/>
  <c r="Y48" i="25"/>
  <c r="BI965" i="16"/>
  <c r="BK965" i="16" s="1"/>
  <c r="AT965" i="16"/>
  <c r="BA965" i="16"/>
  <c r="AQ965" i="16"/>
  <c r="S912" i="119"/>
  <c r="T928" i="119"/>
  <c r="BG945" i="16"/>
  <c r="V911" i="119"/>
  <c r="AT967" i="16"/>
  <c r="V927" i="119"/>
  <c r="AM984" i="16"/>
  <c r="AM942" i="16" s="1"/>
  <c r="BJ942" i="16" s="1"/>
  <c r="AQ959" i="16"/>
  <c r="AQ954" i="16"/>
  <c r="W910" i="119"/>
  <c r="W1130" i="25"/>
  <c r="Y1130" i="25" s="1"/>
  <c r="W1134" i="25"/>
  <c r="Y1134" i="25" s="1"/>
  <c r="BG958" i="16"/>
  <c r="W920" i="119"/>
  <c r="V923" i="119"/>
  <c r="AD945" i="16"/>
  <c r="BF953" i="16"/>
  <c r="BF981" i="16"/>
  <c r="V892" i="119"/>
  <c r="BF958" i="16"/>
  <c r="AT959" i="16"/>
  <c r="W1140" i="25"/>
  <c r="Y1140" i="25" s="1"/>
  <c r="W925" i="119"/>
  <c r="W1132" i="25"/>
  <c r="Y1132" i="25" s="1"/>
  <c r="W902" i="119"/>
  <c r="BG965" i="16"/>
  <c r="V915" i="119"/>
  <c r="V904" i="119"/>
  <c r="W106" i="119"/>
  <c r="BG117" i="16"/>
  <c r="BG121" i="16"/>
  <c r="W72" i="25"/>
  <c r="Y72" i="25" s="1"/>
  <c r="W64" i="25"/>
  <c r="Y64" i="25" s="1"/>
  <c r="W110" i="119"/>
  <c r="T106" i="119"/>
  <c r="W78" i="25"/>
  <c r="Y78" i="25" s="1"/>
  <c r="W70" i="25"/>
  <c r="Y70" i="25" s="1"/>
  <c r="T74" i="119"/>
  <c r="G433" i="182"/>
  <c r="BF485" i="16"/>
  <c r="G735" i="182"/>
  <c r="O735" i="182" s="1"/>
  <c r="BF801" i="16"/>
  <c r="G704" i="182"/>
  <c r="BF770" i="16"/>
  <c r="G748" i="182"/>
  <c r="BF816" i="16"/>
  <c r="G810" i="182"/>
  <c r="BF880" i="16"/>
  <c r="BJ627" i="16"/>
  <c r="BG627" i="16"/>
  <c r="G684" i="182"/>
  <c r="BF748" i="16"/>
  <c r="G680" i="182"/>
  <c r="BF744" i="16"/>
  <c r="G297" i="182"/>
  <c r="G843" i="182"/>
  <c r="BF915" i="16"/>
  <c r="G664" i="182"/>
  <c r="G703" i="182"/>
  <c r="BF769" i="16"/>
  <c r="G568" i="182"/>
  <c r="O568" i="182" s="1"/>
  <c r="BF628" i="16"/>
  <c r="G605" i="182"/>
  <c r="BF665" i="16"/>
  <c r="G246" i="182"/>
  <c r="O246" i="182" s="1"/>
  <c r="BF290" i="16"/>
  <c r="G901" i="182"/>
  <c r="O901" i="182" s="1"/>
  <c r="BF975" i="16"/>
  <c r="G285" i="182"/>
  <c r="O285" i="182" s="1"/>
  <c r="BF331" i="16"/>
  <c r="BG849" i="16"/>
  <c r="BG851" i="16"/>
  <c r="G798" i="182"/>
  <c r="O798" i="182" s="1"/>
  <c r="BF868" i="16"/>
  <c r="G611" i="182"/>
  <c r="O611" i="182" s="1"/>
  <c r="G706" i="182"/>
  <c r="BF772" i="16"/>
  <c r="W941" i="25"/>
  <c r="W923" i="25"/>
  <c r="W919" i="25"/>
  <c r="W913" i="25"/>
  <c r="W893" i="25"/>
  <c r="W834" i="25"/>
  <c r="Y834" i="25" s="1"/>
  <c r="W832" i="25"/>
  <c r="Y832" i="25" s="1"/>
  <c r="W787" i="25"/>
  <c r="W777" i="25"/>
  <c r="W636" i="25"/>
  <c r="Y636" i="25" s="1"/>
  <c r="W606" i="25"/>
  <c r="Y606" i="25" s="1"/>
  <c r="W363" i="25"/>
  <c r="BB917" i="16"/>
  <c r="V866" i="119"/>
  <c r="BB913" i="16"/>
  <c r="V862" i="119"/>
  <c r="BB905" i="16"/>
  <c r="V854" i="119"/>
  <c r="BB902" i="16"/>
  <c r="V851" i="119"/>
  <c r="BC872" i="16"/>
  <c r="BE872" i="16" s="1"/>
  <c r="W823" i="119"/>
  <c r="BC864" i="16"/>
  <c r="W815" i="119"/>
  <c r="BC856" i="16"/>
  <c r="W807" i="119"/>
  <c r="BC853" i="16"/>
  <c r="W804" i="119"/>
  <c r="BB889" i="16"/>
  <c r="V840" i="119"/>
  <c r="BB873" i="16"/>
  <c r="V824" i="119"/>
  <c r="BB869" i="16"/>
  <c r="V820" i="119"/>
  <c r="BB861" i="16"/>
  <c r="V812" i="119"/>
  <c r="AD856" i="16"/>
  <c r="T807" i="119"/>
  <c r="BG856" i="16"/>
  <c r="BC832" i="16"/>
  <c r="W785" i="119"/>
  <c r="BB844" i="16"/>
  <c r="V797" i="119"/>
  <c r="BB832" i="16"/>
  <c r="BE832" i="16" s="1"/>
  <c r="V785" i="119"/>
  <c r="BB828" i="16"/>
  <c r="V781" i="119"/>
  <c r="BB824" i="16"/>
  <c r="V777" i="119"/>
  <c r="BB808" i="16"/>
  <c r="V761" i="119"/>
  <c r="AD774" i="16"/>
  <c r="BJ774" i="16"/>
  <c r="BG767" i="16"/>
  <c r="T722" i="119"/>
  <c r="T718" i="119"/>
  <c r="BG763" i="16"/>
  <c r="BG804" i="16" s="1"/>
  <c r="BG806" i="16" s="1"/>
  <c r="BC734" i="16"/>
  <c r="W691" i="119"/>
  <c r="BC730" i="16"/>
  <c r="W687" i="119"/>
  <c r="BC722" i="16"/>
  <c r="W679" i="119"/>
  <c r="BB754" i="16"/>
  <c r="V711" i="119"/>
  <c r="BB750" i="16"/>
  <c r="V707" i="119"/>
  <c r="BB746" i="16"/>
  <c r="V703" i="119"/>
  <c r="BB742" i="16"/>
  <c r="V699" i="119"/>
  <c r="BB734" i="16"/>
  <c r="V691" i="119"/>
  <c r="BB719" i="16"/>
  <c r="AG759" i="16"/>
  <c r="AG717" i="16" s="1"/>
  <c r="V676" i="119"/>
  <c r="T702" i="119"/>
  <c r="BG745" i="16"/>
  <c r="BG737" i="16"/>
  <c r="T694" i="119"/>
  <c r="T690" i="119"/>
  <c r="BG733" i="16"/>
  <c r="BG729" i="16"/>
  <c r="T686" i="119"/>
  <c r="BC692" i="16"/>
  <c r="W651" i="119"/>
  <c r="BC684" i="16"/>
  <c r="W643" i="119"/>
  <c r="BB708" i="16"/>
  <c r="V667" i="119"/>
  <c r="BB704" i="16"/>
  <c r="V663" i="119"/>
  <c r="BB696" i="16"/>
  <c r="V655" i="119"/>
  <c r="BB684" i="16"/>
  <c r="BE684" i="16" s="1"/>
  <c r="V643" i="119"/>
  <c r="BB680" i="16"/>
  <c r="V639" i="119"/>
  <c r="BG712" i="16"/>
  <c r="T671" i="119"/>
  <c r="BG700" i="16"/>
  <c r="T659" i="119"/>
  <c r="BC655" i="16"/>
  <c r="W616" i="119"/>
  <c r="BB639" i="16"/>
  <c r="V600" i="119"/>
  <c r="BB633" i="16"/>
  <c r="V594" i="119"/>
  <c r="BJ649" i="16"/>
  <c r="AD649" i="16"/>
  <c r="T610" i="119"/>
  <c r="BG649" i="16"/>
  <c r="BG647" i="16"/>
  <c r="T608" i="119"/>
  <c r="BJ632" i="16"/>
  <c r="AD632" i="16"/>
  <c r="BG630" i="16"/>
  <c r="T591" i="119"/>
  <c r="BC622" i="16"/>
  <c r="W585" i="119"/>
  <c r="BC615" i="16"/>
  <c r="W578" i="119"/>
  <c r="BC609" i="16"/>
  <c r="W572" i="119"/>
  <c r="BC598" i="16"/>
  <c r="W561" i="119"/>
  <c r="AJ624" i="16"/>
  <c r="AJ582" i="16" s="1"/>
  <c r="BG589" i="16"/>
  <c r="BC564" i="16"/>
  <c r="W529" i="119"/>
  <c r="BC560" i="16"/>
  <c r="BJ570" i="16"/>
  <c r="AD570" i="16"/>
  <c r="AD567" i="16"/>
  <c r="T532" i="119"/>
  <c r="BG567" i="16"/>
  <c r="BJ561" i="16"/>
  <c r="BG561" i="16"/>
  <c r="BC532" i="16"/>
  <c r="W499" i="119"/>
  <c r="BC524" i="16"/>
  <c r="W491" i="119"/>
  <c r="BC516" i="16"/>
  <c r="W483" i="119"/>
  <c r="BC512" i="16"/>
  <c r="W479" i="119"/>
  <c r="BC508" i="16"/>
  <c r="W475" i="119"/>
  <c r="BC504" i="16"/>
  <c r="W471" i="119"/>
  <c r="BC500" i="16"/>
  <c r="W467" i="119"/>
  <c r="BB524" i="16"/>
  <c r="V491" i="119"/>
  <c r="BB516" i="16"/>
  <c r="V483" i="119"/>
  <c r="BB512" i="16"/>
  <c r="V479" i="119"/>
  <c r="BB504" i="16"/>
  <c r="V471" i="119"/>
  <c r="T483" i="119"/>
  <c r="BG516" i="16"/>
  <c r="T467" i="119"/>
  <c r="BG500" i="16"/>
  <c r="BC480" i="16"/>
  <c r="W449" i="119"/>
  <c r="BC476" i="16"/>
  <c r="W445" i="119"/>
  <c r="BC468" i="16"/>
  <c r="W437" i="119"/>
  <c r="BC464" i="16"/>
  <c r="W433" i="119"/>
  <c r="BC460" i="16"/>
  <c r="W429" i="119"/>
  <c r="BC456" i="16"/>
  <c r="W425" i="119"/>
  <c r="BB472" i="16"/>
  <c r="V441" i="119"/>
  <c r="BB468" i="16"/>
  <c r="V437" i="119"/>
  <c r="BB464" i="16"/>
  <c r="V433" i="119"/>
  <c r="BB460" i="16"/>
  <c r="V429" i="119"/>
  <c r="BJ480" i="16"/>
  <c r="T449" i="119"/>
  <c r="AD477" i="16"/>
  <c r="T446" i="119"/>
  <c r="BG477" i="16"/>
  <c r="AD469" i="16"/>
  <c r="T438" i="119"/>
  <c r="T434" i="119"/>
  <c r="BG465" i="16"/>
  <c r="T419" i="119"/>
  <c r="BG450" i="16"/>
  <c r="BB441" i="16"/>
  <c r="V412" i="119"/>
  <c r="AD433" i="16"/>
  <c r="BG433" i="16"/>
  <c r="BG414" i="16"/>
  <c r="T385" i="119"/>
  <c r="BC397" i="16"/>
  <c r="W370" i="119"/>
  <c r="BC393" i="16"/>
  <c r="W366" i="119"/>
  <c r="BC389" i="16"/>
  <c r="W362" i="119"/>
  <c r="BC382" i="16"/>
  <c r="W355" i="119"/>
  <c r="BC374" i="16"/>
  <c r="W347" i="119"/>
  <c r="BC370" i="16"/>
  <c r="W343" i="119"/>
  <c r="BC367" i="16"/>
  <c r="AT367" i="16"/>
  <c r="BB395" i="16"/>
  <c r="V368" i="119"/>
  <c r="BB392" i="16"/>
  <c r="V365" i="119"/>
  <c r="BB384" i="16"/>
  <c r="V357" i="119"/>
  <c r="BB381" i="16"/>
  <c r="V354" i="119"/>
  <c r="BC348" i="16"/>
  <c r="W323" i="119"/>
  <c r="BC344" i="16"/>
  <c r="W319" i="119"/>
  <c r="BC316" i="16"/>
  <c r="W291" i="119"/>
  <c r="BJ351" i="16"/>
  <c r="AD351" i="16"/>
  <c r="T326" i="119"/>
  <c r="BJ332" i="16"/>
  <c r="AD332" i="16"/>
  <c r="T307" i="119"/>
  <c r="BC182" i="16"/>
  <c r="W163" i="119"/>
  <c r="BB182" i="16"/>
  <c r="V163" i="119"/>
  <c r="BJ214" i="16"/>
  <c r="T195" i="119"/>
  <c r="BJ210" i="16"/>
  <c r="T191" i="119"/>
  <c r="BG210" i="16"/>
  <c r="BJ198" i="16"/>
  <c r="T179" i="119"/>
  <c r="BJ190" i="16"/>
  <c r="BG190" i="16"/>
  <c r="BG146" i="16"/>
  <c r="T129" i="119"/>
  <c r="W340" i="25"/>
  <c r="Y340" i="25" s="1"/>
  <c r="W785" i="25"/>
  <c r="AT872" i="16"/>
  <c r="BA935" i="16"/>
  <c r="BG894" i="16"/>
  <c r="BG896" i="16" s="1"/>
  <c r="AQ872" i="16"/>
  <c r="T884" i="119"/>
  <c r="AQ931" i="16"/>
  <c r="AT927" i="16"/>
  <c r="AT864" i="16"/>
  <c r="V880" i="119"/>
  <c r="W835" i="119"/>
  <c r="W698" i="25"/>
  <c r="Y698" i="25" s="1"/>
  <c r="T878" i="119"/>
  <c r="BG929" i="16"/>
  <c r="V876" i="119"/>
  <c r="BG919" i="16"/>
  <c r="W831" i="119"/>
  <c r="W915" i="25"/>
  <c r="V869" i="119"/>
  <c r="AT884" i="16"/>
  <c r="AM939" i="16"/>
  <c r="AM897" i="16" s="1"/>
  <c r="AQ884" i="16"/>
  <c r="T868" i="119"/>
  <c r="AT935" i="16"/>
  <c r="S884" i="119"/>
  <c r="V884" i="119"/>
  <c r="AQ927" i="16"/>
  <c r="AQ864" i="16"/>
  <c r="W827" i="119"/>
  <c r="W836" i="25"/>
  <c r="Y836" i="25" s="1"/>
  <c r="W361" i="25"/>
  <c r="BG917" i="16"/>
  <c r="V858" i="119"/>
  <c r="AT876" i="16"/>
  <c r="AJ894" i="16"/>
  <c r="AJ852" i="16" s="1"/>
  <c r="AQ876" i="16"/>
  <c r="BG935" i="16"/>
  <c r="V873" i="119"/>
  <c r="AG939" i="16"/>
  <c r="AG897" i="16" s="1"/>
  <c r="AT931" i="16"/>
  <c r="AT880" i="16"/>
  <c r="W838" i="119"/>
  <c r="BJ874" i="16"/>
  <c r="AD874" i="16"/>
  <c r="BJ812" i="16"/>
  <c r="AD812" i="16"/>
  <c r="BJ676" i="16"/>
  <c r="AD676" i="16"/>
  <c r="BJ653" i="16"/>
  <c r="AD653" i="16"/>
  <c r="BJ573" i="16"/>
  <c r="AD573" i="16"/>
  <c r="BJ550" i="16"/>
  <c r="AD550" i="16"/>
  <c r="BJ335" i="16"/>
  <c r="AD335" i="16"/>
  <c r="BJ234" i="16"/>
  <c r="AD234" i="16"/>
  <c r="AQ234" i="16" s="1"/>
  <c r="BJ952" i="16"/>
  <c r="AD952" i="16"/>
  <c r="BJ905" i="16"/>
  <c r="AD905" i="16"/>
  <c r="BJ887" i="16"/>
  <c r="AD887" i="16"/>
  <c r="BJ823" i="16"/>
  <c r="AD823" i="16"/>
  <c r="BJ661" i="16"/>
  <c r="AD661" i="16"/>
  <c r="BJ645" i="16"/>
  <c r="AD645" i="16"/>
  <c r="AD395" i="16"/>
  <c r="BJ395" i="16"/>
  <c r="BJ320" i="16"/>
  <c r="AD320" i="16"/>
  <c r="AD257" i="16"/>
  <c r="BI257" i="16" s="1"/>
  <c r="BK257" i="16" s="1"/>
  <c r="BJ257" i="16"/>
  <c r="BJ982" i="16"/>
  <c r="AD982" i="16"/>
  <c r="AD914" i="16"/>
  <c r="BJ914" i="16"/>
  <c r="BJ890" i="16"/>
  <c r="AD890" i="16"/>
  <c r="AD845" i="16"/>
  <c r="BJ845" i="16"/>
  <c r="AD693" i="16"/>
  <c r="BJ693" i="16"/>
  <c r="AD664" i="16"/>
  <c r="BJ664" i="16"/>
  <c r="BJ601" i="16"/>
  <c r="AD601" i="16"/>
  <c r="AD323" i="16"/>
  <c r="BJ323" i="16"/>
  <c r="BJ284" i="16"/>
  <c r="AD284" i="16"/>
  <c r="AD384" i="16"/>
  <c r="BJ343" i="16"/>
  <c r="AD288" i="16"/>
  <c r="AD452" i="16"/>
  <c r="BI452" i="16" s="1"/>
  <c r="BK452" i="16" s="1"/>
  <c r="AT946" i="16"/>
  <c r="AG984" i="16"/>
  <c r="AG942" i="16" s="1"/>
  <c r="AQ946" i="16"/>
  <c r="V893" i="119"/>
  <c r="BJ981" i="16"/>
  <c r="BK981" i="16" s="1"/>
  <c r="AD973" i="16"/>
  <c r="BJ967" i="16"/>
  <c r="BK967" i="16"/>
  <c r="AD944" i="16"/>
  <c r="BJ963" i="16"/>
  <c r="BK963" i="16" s="1"/>
  <c r="AD949" i="16"/>
  <c r="BJ979" i="16"/>
  <c r="BK979" i="16" s="1"/>
  <c r="BJ954" i="16"/>
  <c r="AD828" i="16"/>
  <c r="AD796" i="16"/>
  <c r="AD793" i="16"/>
  <c r="BG717" i="16"/>
  <c r="BG759" i="16" s="1"/>
  <c r="BG761" i="16" s="1"/>
  <c r="AD735" i="16"/>
  <c r="BJ728" i="16"/>
  <c r="T381" i="119"/>
  <c r="BG429" i="16"/>
  <c r="V400" i="119"/>
  <c r="V376" i="119"/>
  <c r="BD402" i="16"/>
  <c r="BD444" i="16" s="1"/>
  <c r="BD446" i="16" s="1"/>
  <c r="V384" i="119"/>
  <c r="V392" i="119"/>
  <c r="T377" i="119"/>
  <c r="W384" i="119"/>
  <c r="W392" i="119"/>
  <c r="T412" i="119"/>
  <c r="V404" i="119"/>
  <c r="BG418" i="16"/>
  <c r="W404" i="119"/>
  <c r="V388" i="119"/>
  <c r="V408" i="119"/>
  <c r="W376" i="119"/>
  <c r="V380" i="119"/>
  <c r="T396" i="119"/>
  <c r="BF409" i="16"/>
  <c r="W448" i="25"/>
  <c r="Y448" i="25" s="1"/>
  <c r="W454" i="25"/>
  <c r="Y454" i="25" s="1"/>
  <c r="BG425" i="16"/>
  <c r="BG422" i="16"/>
  <c r="W450" i="25"/>
  <c r="Y450" i="25" s="1"/>
  <c r="BG437" i="16"/>
  <c r="W380" i="119"/>
  <c r="W388" i="119"/>
  <c r="W396" i="119"/>
  <c r="W412" i="119"/>
  <c r="V396" i="119"/>
  <c r="T404" i="119"/>
  <c r="BJ429" i="16"/>
  <c r="BK429" i="16" s="1"/>
  <c r="W117" i="25"/>
  <c r="W109" i="25"/>
  <c r="W129" i="25"/>
  <c r="W121" i="25"/>
  <c r="W131" i="25"/>
  <c r="W139" i="25"/>
  <c r="W113" i="25"/>
  <c r="W133" i="25"/>
  <c r="W128" i="25"/>
  <c r="Y128" i="25" s="1"/>
  <c r="W126" i="25"/>
  <c r="Y126" i="25" s="1"/>
  <c r="W104" i="25"/>
  <c r="Y104" i="25" s="1"/>
  <c r="W120" i="25"/>
  <c r="Y120" i="25" s="1"/>
  <c r="W118" i="25"/>
  <c r="Y118" i="25" s="1"/>
  <c r="W45" i="25"/>
  <c r="W79" i="25"/>
  <c r="AD210" i="16"/>
  <c r="AD194" i="16"/>
  <c r="BI253" i="16"/>
  <c r="S232" i="119"/>
  <c r="AQ253" i="16"/>
  <c r="BA253" i="16"/>
  <c r="AD261" i="16"/>
  <c r="BJ253" i="16"/>
  <c r="BJ249" i="16"/>
  <c r="AD242" i="16"/>
  <c r="BJ302" i="16"/>
  <c r="AD299" i="16"/>
  <c r="BJ484" i="16"/>
  <c r="BJ468" i="16"/>
  <c r="AD480" i="16"/>
  <c r="BJ473" i="16"/>
  <c r="BD490" i="16"/>
  <c r="AD695" i="16"/>
  <c r="BJ684" i="16"/>
  <c r="AD730" i="16"/>
  <c r="AD726" i="16"/>
  <c r="AD723" i="16"/>
  <c r="BJ755" i="16"/>
  <c r="AD750" i="16"/>
  <c r="BJ739" i="16"/>
  <c r="AD734" i="16"/>
  <c r="AD765" i="16"/>
  <c r="AD781" i="16"/>
  <c r="BJ770" i="16"/>
  <c r="BK770" i="16" s="1"/>
  <c r="AD797" i="16"/>
  <c r="BJ786" i="16"/>
  <c r="BJ777" i="16"/>
  <c r="BI1100" i="16"/>
  <c r="S1041" i="119"/>
  <c r="AQ1100" i="16"/>
  <c r="BA1100" i="16"/>
  <c r="AT1100" i="16"/>
  <c r="BJ1100" i="16"/>
  <c r="AQ875" i="16"/>
  <c r="BA875" i="16"/>
  <c r="BE875" i="16"/>
  <c r="BI871" i="16"/>
  <c r="AQ871" i="16"/>
  <c r="S822" i="119"/>
  <c r="AT871" i="16"/>
  <c r="BA871" i="16"/>
  <c r="AD878" i="16"/>
  <c r="BJ871" i="16"/>
  <c r="BJ855" i="16"/>
  <c r="AD862" i="16"/>
  <c r="V806" i="119"/>
  <c r="AG894" i="16"/>
  <c r="AG852" i="16" s="1"/>
  <c r="BI855" i="16"/>
  <c r="BA855" i="16"/>
  <c r="BE855" i="16" s="1"/>
  <c r="S806" i="119"/>
  <c r="AT855" i="16"/>
  <c r="AQ855" i="16"/>
  <c r="AD891" i="16"/>
  <c r="AD866" i="16"/>
  <c r="AD858" i="16"/>
  <c r="AT1020" i="16"/>
  <c r="AQ1020" i="16"/>
  <c r="BI1020" i="16"/>
  <c r="BA1020" i="16"/>
  <c r="S965" i="119"/>
  <c r="U965" i="119" s="1"/>
  <c r="BJ1001" i="16"/>
  <c r="AD1000" i="16"/>
  <c r="BJ1013" i="16"/>
  <c r="BK1013" i="16" s="1"/>
  <c r="AQ1104" i="16"/>
  <c r="BF1104" i="16"/>
  <c r="AT1104" i="16"/>
  <c r="S1045" i="119"/>
  <c r="BA1104" i="16"/>
  <c r="BI1085" i="16"/>
  <c r="AQ1085" i="16"/>
  <c r="AT1085" i="16"/>
  <c r="BA1085" i="16"/>
  <c r="S1026" i="119"/>
  <c r="BJ1106" i="16"/>
  <c r="BK1106" i="16" s="1"/>
  <c r="BJ1104" i="16"/>
  <c r="BJ1093" i="16"/>
  <c r="BJ1085" i="16"/>
  <c r="BJ1094" i="16"/>
  <c r="BJ1078" i="16"/>
  <c r="BI1001" i="16"/>
  <c r="BA1001" i="16"/>
  <c r="S946" i="119"/>
  <c r="AT1001" i="16"/>
  <c r="AQ1001" i="16"/>
  <c r="BI997" i="16"/>
  <c r="AQ997" i="16"/>
  <c r="S942" i="119"/>
  <c r="BA997" i="16"/>
  <c r="AT997" i="16"/>
  <c r="BJ1017" i="16"/>
  <c r="BK1017" i="16" s="1"/>
  <c r="BJ1004" i="16"/>
  <c r="AD993" i="16"/>
  <c r="AD989" i="16"/>
  <c r="AD988" i="16"/>
  <c r="AD1024" i="16"/>
  <c r="BJ1018" i="16"/>
  <c r="BJ1009" i="16"/>
  <c r="BJ833" i="16"/>
  <c r="BK833" i="16" s="1"/>
  <c r="BJ817" i="16"/>
  <c r="AD840" i="16"/>
  <c r="BI808" i="16"/>
  <c r="BA808" i="16"/>
  <c r="BE808" i="16"/>
  <c r="AQ808" i="16"/>
  <c r="AT808" i="16"/>
  <c r="S761" i="119"/>
  <c r="U761" i="119" s="1"/>
  <c r="BJ808" i="16"/>
  <c r="AD844" i="16"/>
  <c r="BJ837" i="16"/>
  <c r="AD835" i="16"/>
  <c r="BJ829" i="16"/>
  <c r="BK829" i="16" s="1"/>
  <c r="AD824" i="16"/>
  <c r="BE837" i="16"/>
  <c r="AD819" i="16"/>
  <c r="BJ813" i="16"/>
  <c r="BK813" i="16" s="1"/>
  <c r="BI777" i="16"/>
  <c r="S732" i="119"/>
  <c r="U732" i="119" s="1"/>
  <c r="AT777" i="16"/>
  <c r="AQ777" i="16"/>
  <c r="BA777" i="16"/>
  <c r="BJ802" i="16"/>
  <c r="BJ785" i="16"/>
  <c r="BK785" i="16" s="1"/>
  <c r="BJ782" i="16"/>
  <c r="BJ798" i="16"/>
  <c r="AD792" i="16"/>
  <c r="AD780" i="16"/>
  <c r="AD776" i="16"/>
  <c r="BJ769" i="16"/>
  <c r="BK769" i="16" s="1"/>
  <c r="BJ766" i="16"/>
  <c r="BI755" i="16"/>
  <c r="BK755" i="16" s="1"/>
  <c r="S712" i="119"/>
  <c r="U712" i="119" s="1"/>
  <c r="AT755" i="16"/>
  <c r="BA755" i="16"/>
  <c r="AQ755" i="16"/>
  <c r="BI739" i="16"/>
  <c r="BA739" i="16"/>
  <c r="AT739" i="16"/>
  <c r="S696" i="119"/>
  <c r="AQ739" i="16"/>
  <c r="AD746" i="16"/>
  <c r="BJ744" i="16"/>
  <c r="BK744" i="16" s="1"/>
  <c r="AD742" i="16"/>
  <c r="BJ740" i="16"/>
  <c r="BK740" i="16" s="1"/>
  <c r="BK728" i="16"/>
  <c r="AD718" i="16"/>
  <c r="BJ743" i="16"/>
  <c r="BK743" i="16" s="1"/>
  <c r="BJ732" i="16"/>
  <c r="BK732" i="16" s="1"/>
  <c r="BJ727" i="16"/>
  <c r="BK727" i="16"/>
  <c r="AD719" i="16"/>
  <c r="BG677" i="16"/>
  <c r="W637" i="119"/>
  <c r="AQ677" i="16"/>
  <c r="AM714" i="16"/>
  <c r="AM672" i="16" s="1"/>
  <c r="T636" i="119"/>
  <c r="BA677" i="16"/>
  <c r="AD679" i="16"/>
  <c r="BJ688" i="16"/>
  <c r="AD696" i="16"/>
  <c r="BI468" i="16"/>
  <c r="BK468" i="16" s="1"/>
  <c r="AQ468" i="16"/>
  <c r="AT468" i="16"/>
  <c r="BA468" i="16"/>
  <c r="S437" i="119"/>
  <c r="BJ472" i="16"/>
  <c r="AD467" i="16"/>
  <c r="AD464" i="16"/>
  <c r="BJ477" i="16"/>
  <c r="BJ457" i="16"/>
  <c r="AD448" i="16"/>
  <c r="BE412" i="16"/>
  <c r="AD435" i="16"/>
  <c r="BJ428" i="16"/>
  <c r="BK428" i="16" s="1"/>
  <c r="BJ495" i="16"/>
  <c r="AD436" i="16"/>
  <c r="BJ413" i="16"/>
  <c r="BF417" i="16"/>
  <c r="AD440" i="16"/>
  <c r="AD408" i="16"/>
  <c r="AD431" i="16"/>
  <c r="AD403" i="16"/>
  <c r="BF428" i="16"/>
  <c r="BF429" i="16"/>
  <c r="BJ433" i="16"/>
  <c r="AD420" i="16"/>
  <c r="AD415" i="16"/>
  <c r="BJ417" i="16"/>
  <c r="BK417" i="16" s="1"/>
  <c r="AD404" i="16"/>
  <c r="BF412" i="16"/>
  <c r="AD419" i="16"/>
  <c r="BJ412" i="16"/>
  <c r="BK412" i="16"/>
  <c r="BJ377" i="16"/>
  <c r="BJ382" i="16"/>
  <c r="BK382" i="16" s="1"/>
  <c r="BJ379" i="16"/>
  <c r="BJ362" i="16"/>
  <c r="AD359" i="16"/>
  <c r="BI377" i="16"/>
  <c r="BA377" i="16"/>
  <c r="AQ377" i="16"/>
  <c r="S350" i="119"/>
  <c r="AT377" i="16"/>
  <c r="AQ362" i="16"/>
  <c r="S335" i="119"/>
  <c r="BI362" i="16"/>
  <c r="BG399" i="16"/>
  <c r="BG401" i="16" s="1"/>
  <c r="AD397" i="16"/>
  <c r="AD388" i="16"/>
  <c r="BJ375" i="16"/>
  <c r="BK375" i="16" s="1"/>
  <c r="AD373" i="16"/>
  <c r="BJ367" i="16"/>
  <c r="BK367" i="16" s="1"/>
  <c r="AD364" i="16"/>
  <c r="AD358" i="16"/>
  <c r="BJ274" i="16"/>
  <c r="BK274" i="16"/>
  <c r="AD271" i="16"/>
  <c r="BI297" i="16"/>
  <c r="BA297" i="16"/>
  <c r="AQ297" i="16"/>
  <c r="S274" i="119"/>
  <c r="U274" i="119" s="1"/>
  <c r="AD307" i="16"/>
  <c r="BJ297" i="16"/>
  <c r="BJ294" i="16"/>
  <c r="BK294" i="16" s="1"/>
  <c r="BK302" i="16"/>
  <c r="AD296" i="16"/>
  <c r="AD293" i="16"/>
  <c r="AD289" i="16"/>
  <c r="AD285" i="16"/>
  <c r="BF302" i="16"/>
  <c r="BJ306" i="16"/>
  <c r="BK306" i="16" s="1"/>
  <c r="AD303" i="16"/>
  <c r="BJ270" i="16"/>
  <c r="BK270" i="16" s="1"/>
  <c r="W213" i="119"/>
  <c r="BI249" i="16"/>
  <c r="BK249" i="16" s="1"/>
  <c r="BA249" i="16"/>
  <c r="S228" i="119"/>
  <c r="AQ249" i="16"/>
  <c r="AQ257" i="16"/>
  <c r="AD238" i="16"/>
  <c r="BD222" i="16"/>
  <c r="BD263" i="16" s="1"/>
  <c r="AD190" i="16"/>
  <c r="AD206" i="16"/>
  <c r="AD178" i="16"/>
  <c r="AD161" i="16"/>
  <c r="BA161" i="16" s="1"/>
  <c r="AD137" i="16"/>
  <c r="BA137" i="16" s="1"/>
  <c r="BJ157" i="16"/>
  <c r="T94" i="119"/>
  <c r="W65" i="25"/>
  <c r="W98" i="119"/>
  <c r="BG109" i="16"/>
  <c r="W102" i="119"/>
  <c r="W67" i="25"/>
  <c r="V74" i="119"/>
  <c r="W74" i="119"/>
  <c r="BG101" i="16"/>
  <c r="W82" i="119"/>
  <c r="W78" i="119"/>
  <c r="T86" i="119"/>
  <c r="W86" i="119"/>
  <c r="W995" i="25"/>
  <c r="W1049" i="25" s="1"/>
  <c r="W75" i="25"/>
  <c r="W71" i="25"/>
  <c r="W56" i="25"/>
  <c r="Y56" i="25" s="1"/>
  <c r="W54" i="25"/>
  <c r="Y54" i="25" s="1"/>
  <c r="W50" i="25"/>
  <c r="Y50" i="25" s="1"/>
  <c r="AD121" i="16"/>
  <c r="BA121" i="16" s="1"/>
  <c r="V104" i="119"/>
  <c r="W77" i="25"/>
  <c r="W69" i="25"/>
  <c r="S89" i="119"/>
  <c r="BG97" i="16"/>
  <c r="BG93" i="16"/>
  <c r="V93" i="119"/>
  <c r="W108" i="119"/>
  <c r="BG89" i="16"/>
  <c r="W80" i="25"/>
  <c r="Y80" i="25" s="1"/>
  <c r="BF104" i="16"/>
  <c r="BF116" i="16"/>
  <c r="BA104" i="16"/>
  <c r="T89" i="119"/>
  <c r="AM129" i="16"/>
  <c r="AM87" i="16" s="1"/>
  <c r="BJ87" i="16" s="1"/>
  <c r="W94" i="119"/>
  <c r="V85" i="119"/>
  <c r="BG100" i="16"/>
  <c r="T85" i="119"/>
  <c r="V109" i="119"/>
  <c r="V101" i="119"/>
  <c r="AD109" i="16"/>
  <c r="BJ98" i="16"/>
  <c r="BK98" i="16" s="1"/>
  <c r="V78" i="119"/>
  <c r="W90" i="119"/>
  <c r="W105" i="119"/>
  <c r="V97" i="119"/>
  <c r="V81" i="119"/>
  <c r="W101" i="119"/>
  <c r="BG104" i="16"/>
  <c r="W76" i="119"/>
  <c r="BE1068" i="16"/>
  <c r="BI1046" i="16"/>
  <c r="AD1050" i="16"/>
  <c r="AQ1038" i="16"/>
  <c r="BE1048" i="16"/>
  <c r="BD87" i="16"/>
  <c r="W63" i="25"/>
  <c r="W46" i="25"/>
  <c r="Y46" i="25" s="1"/>
  <c r="BC108" i="16"/>
  <c r="W93" i="119"/>
  <c r="BJ124" i="16"/>
  <c r="AD124" i="16"/>
  <c r="BG124" i="16"/>
  <c r="T109" i="119"/>
  <c r="AD88" i="16"/>
  <c r="AQ88" i="16" s="1"/>
  <c r="BG88" i="16"/>
  <c r="T73" i="119"/>
  <c r="BC114" i="16"/>
  <c r="W99" i="119"/>
  <c r="BC111" i="16"/>
  <c r="W96" i="119"/>
  <c r="BB91" i="16"/>
  <c r="AG129" i="16"/>
  <c r="AG87" i="16" s="1"/>
  <c r="V76" i="119"/>
  <c r="BG127" i="16"/>
  <c r="T112" i="119"/>
  <c r="BJ102" i="16"/>
  <c r="AD102" i="16"/>
  <c r="BG102" i="16"/>
  <c r="BJ95" i="16"/>
  <c r="T80" i="119"/>
  <c r="BG95" i="16"/>
  <c r="BJ91" i="16"/>
  <c r="T76" i="119"/>
  <c r="BG91" i="16"/>
  <c r="W55" i="25"/>
  <c r="BC124" i="16"/>
  <c r="W109" i="119"/>
  <c r="BC92" i="16"/>
  <c r="W77" i="119"/>
  <c r="AJ129" i="16"/>
  <c r="AJ87" i="16" s="1"/>
  <c r="BB125" i="16"/>
  <c r="V110" i="119"/>
  <c r="BB121" i="16"/>
  <c r="V106" i="119"/>
  <c r="BB117" i="16"/>
  <c r="V102" i="119"/>
  <c r="BB113" i="16"/>
  <c r="V98" i="119"/>
  <c r="BB109" i="16"/>
  <c r="V94" i="119"/>
  <c r="BB105" i="16"/>
  <c r="V90" i="119"/>
  <c r="BB101" i="16"/>
  <c r="V86" i="119"/>
  <c r="BB97" i="16"/>
  <c r="V82" i="119"/>
  <c r="BJ105" i="16"/>
  <c r="AD105" i="16"/>
  <c r="BG105" i="16"/>
  <c r="W81" i="25"/>
  <c r="BC127" i="16"/>
  <c r="W112" i="119"/>
  <c r="BC102" i="16"/>
  <c r="W87" i="119"/>
  <c r="BC98" i="16"/>
  <c r="W83" i="119"/>
  <c r="BC95" i="16"/>
  <c r="W80" i="119"/>
  <c r="AD119" i="16"/>
  <c r="BJ119" i="16"/>
  <c r="T104" i="119"/>
  <c r="BG119" i="16"/>
  <c r="BJ115" i="16"/>
  <c r="BG115" i="16"/>
  <c r="T100" i="119"/>
  <c r="BJ111" i="16"/>
  <c r="T96" i="119"/>
  <c r="BG111" i="16"/>
  <c r="AD108" i="16"/>
  <c r="BG108" i="16"/>
  <c r="AD89" i="16"/>
  <c r="W138" i="25"/>
  <c r="Y138" i="25" s="1"/>
  <c r="W119" i="25"/>
  <c r="W116" i="25"/>
  <c r="Y116" i="25" s="1"/>
  <c r="W110" i="25"/>
  <c r="Y110" i="25" s="1"/>
  <c r="BJ136" i="16"/>
  <c r="T119" i="119"/>
  <c r="BG136" i="16"/>
  <c r="AM174" i="16"/>
  <c r="AM132" i="16" s="1"/>
  <c r="BG154" i="16"/>
  <c r="T137" i="119"/>
  <c r="BG142" i="16"/>
  <c r="T125" i="119"/>
  <c r="BG138" i="16"/>
  <c r="T121" i="119"/>
  <c r="W122" i="25"/>
  <c r="Y122" i="25" s="1"/>
  <c r="W107" i="25"/>
  <c r="Y107" i="25" s="1"/>
  <c r="W103" i="25"/>
  <c r="BC168" i="16"/>
  <c r="W151" i="119"/>
  <c r="BC164" i="16"/>
  <c r="W147" i="119"/>
  <c r="BC160" i="16"/>
  <c r="W143" i="119"/>
  <c r="BC156" i="16"/>
  <c r="W139" i="119"/>
  <c r="BC148" i="16"/>
  <c r="W131" i="119"/>
  <c r="BC144" i="16"/>
  <c r="W127" i="119"/>
  <c r="BC140" i="16"/>
  <c r="W123" i="119"/>
  <c r="BC136" i="16"/>
  <c r="W119" i="119"/>
  <c r="BB168" i="16"/>
  <c r="V151" i="119"/>
  <c r="BB164" i="16"/>
  <c r="V147" i="119"/>
  <c r="BB160" i="16"/>
  <c r="V143" i="119"/>
  <c r="BB156" i="16"/>
  <c r="V139" i="119"/>
  <c r="BB152" i="16"/>
  <c r="V135" i="119"/>
  <c r="BB148" i="16"/>
  <c r="V131" i="119"/>
  <c r="BB144" i="16"/>
  <c r="V127" i="119"/>
  <c r="BB140" i="16"/>
  <c r="V123" i="119"/>
  <c r="BB136" i="16"/>
  <c r="BG166" i="16"/>
  <c r="T149" i="119"/>
  <c r="BG162" i="16"/>
  <c r="T145" i="119"/>
  <c r="BI1141" i="16"/>
  <c r="AT1141" i="16"/>
  <c r="BA1141" i="16"/>
  <c r="AQ1141" i="16"/>
  <c r="S1080" i="119"/>
  <c r="BJ1161" i="16"/>
  <c r="BJ1141" i="16"/>
  <c r="AD1132" i="16"/>
  <c r="AD1129" i="16"/>
  <c r="AD1157" i="16"/>
  <c r="W1062" i="119"/>
  <c r="T1063" i="119"/>
  <c r="AT1123" i="16"/>
  <c r="AQ1123" i="16"/>
  <c r="AM1164" i="16"/>
  <c r="AM1122" i="16" s="1"/>
  <c r="BJ1122" i="16" s="1"/>
  <c r="BG1124" i="16"/>
  <c r="BI1137" i="16"/>
  <c r="AQ1137" i="16"/>
  <c r="AT1137" i="16"/>
  <c r="BA1137" i="16"/>
  <c r="S1076" i="119"/>
  <c r="AD1144" i="16"/>
  <c r="AD1124" i="16"/>
  <c r="AD1156" i="16"/>
  <c r="AD1152" i="16"/>
  <c r="AD1148" i="16"/>
  <c r="AD1145" i="16"/>
  <c r="AD1140" i="16"/>
  <c r="AD1136" i="16"/>
  <c r="AD1133" i="16"/>
  <c r="AD1125" i="16"/>
  <c r="BG987" i="16"/>
  <c r="BG1029" i="16" s="1"/>
  <c r="BG1031" i="16" s="1"/>
  <c r="BJ987" i="16"/>
  <c r="G982" i="182"/>
  <c r="O703" i="182"/>
  <c r="O827" i="182"/>
  <c r="O922" i="182"/>
  <c r="O622" i="182"/>
  <c r="G613" i="182"/>
  <c r="G668" i="182"/>
  <c r="G855" i="182"/>
  <c r="BF927" i="16"/>
  <c r="BF425" i="16"/>
  <c r="O949" i="182"/>
  <c r="BF899" i="16"/>
  <c r="BF675" i="16"/>
  <c r="BG942" i="16"/>
  <c r="BG984" i="16" s="1"/>
  <c r="BG986" i="16" s="1"/>
  <c r="BI1060" i="16"/>
  <c r="BK1060" i="16" s="1"/>
  <c r="BA1064" i="16"/>
  <c r="AQ1064" i="16"/>
  <c r="W1051" i="25"/>
  <c r="W1101" i="25" s="1"/>
  <c r="BJ1032" i="16"/>
  <c r="G584" i="182"/>
  <c r="BF644" i="16"/>
  <c r="G963" i="182"/>
  <c r="BF990" i="16"/>
  <c r="BF728" i="16"/>
  <c r="BF808" i="16"/>
  <c r="BF637" i="16"/>
  <c r="BF684" i="16"/>
  <c r="BA1060" i="16"/>
  <c r="BE1060" i="16" s="1"/>
  <c r="S1003" i="119"/>
  <c r="U1003" i="119" s="1"/>
  <c r="O990" i="182"/>
  <c r="O958" i="182"/>
  <c r="O626" i="182"/>
  <c r="G966" i="182"/>
  <c r="BF1044" i="16"/>
  <c r="G254" i="182"/>
  <c r="BF298" i="16"/>
  <c r="BJ447" i="16"/>
  <c r="BG447" i="16"/>
  <c r="BG489" i="16" s="1"/>
  <c r="BG491" i="16" s="1"/>
  <c r="G592" i="182"/>
  <c r="BF652" i="16"/>
  <c r="AT1044" i="16"/>
  <c r="BI1044" i="16"/>
  <c r="BA1044" i="16"/>
  <c r="S987" i="119"/>
  <c r="BE1046" i="16"/>
  <c r="G981" i="182"/>
  <c r="BF1059" i="16"/>
  <c r="BF867" i="16"/>
  <c r="O362" i="182"/>
  <c r="O189" i="182"/>
  <c r="BF971" i="16"/>
  <c r="AT1060" i="16"/>
  <c r="BI1064" i="16"/>
  <c r="BK1064" i="16" s="1"/>
  <c r="BF732" i="16"/>
  <c r="G937" i="182"/>
  <c r="AQ1056" i="16"/>
  <c r="AT1056" i="16"/>
  <c r="BA1056" i="16"/>
  <c r="S999" i="119"/>
  <c r="G319" i="182"/>
  <c r="G872" i="182"/>
  <c r="AT1063" i="16"/>
  <c r="AQ1063" i="16"/>
  <c r="W999" i="119"/>
  <c r="BC1056" i="16"/>
  <c r="BC1049" i="16"/>
  <c r="W992" i="119"/>
  <c r="BG1048" i="16"/>
  <c r="BJ1048" i="16"/>
  <c r="BK1048" i="16"/>
  <c r="T991" i="119"/>
  <c r="U991" i="119" s="1"/>
  <c r="T987" i="119"/>
  <c r="BJ1044" i="16"/>
  <c r="S980" i="119"/>
  <c r="BI1037" i="16"/>
  <c r="BK1037" i="16" s="1"/>
  <c r="AT1037" i="16"/>
  <c r="BA1037" i="16"/>
  <c r="AD1034" i="16"/>
  <c r="BG1034" i="16"/>
  <c r="T977" i="119"/>
  <c r="BB1070" i="16"/>
  <c r="BE1070" i="16" s="1"/>
  <c r="V1013" i="119"/>
  <c r="O748" i="182"/>
  <c r="O843" i="182"/>
  <c r="O967" i="182"/>
  <c r="O605" i="182"/>
  <c r="BF954" i="16"/>
  <c r="O706" i="182"/>
  <c r="O433" i="182"/>
  <c r="G790" i="182"/>
  <c r="G863" i="182"/>
  <c r="S1006" i="119"/>
  <c r="AT1041" i="16"/>
  <c r="S984" i="119"/>
  <c r="BA1063" i="16"/>
  <c r="BG1119" i="16"/>
  <c r="BG1121" i="16" s="1"/>
  <c r="G885" i="182"/>
  <c r="G980" i="182"/>
  <c r="G691" i="182"/>
  <c r="O691" i="182" s="1"/>
  <c r="BA1059" i="16"/>
  <c r="S1002" i="119"/>
  <c r="G745" i="182"/>
  <c r="BF813" i="16"/>
  <c r="G749" i="182"/>
  <c r="BC1063" i="16"/>
  <c r="W1006" i="119"/>
  <c r="BG1064" i="16"/>
  <c r="T1007" i="119"/>
  <c r="AD1061" i="16"/>
  <c r="BG1061" i="16"/>
  <c r="BJ1061" i="16"/>
  <c r="BB1053" i="16"/>
  <c r="V996" i="119"/>
  <c r="O704" i="182"/>
  <c r="O962" i="182"/>
  <c r="G330" i="182"/>
  <c r="O330" i="182" s="1"/>
  <c r="G918" i="182"/>
  <c r="G992" i="182"/>
  <c r="O992" i="182" s="1"/>
  <c r="G802" i="182"/>
  <c r="G881" i="182"/>
  <c r="G975" i="182"/>
  <c r="G764" i="182"/>
  <c r="O764" i="182" s="1"/>
  <c r="G968" i="182"/>
  <c r="O680" i="182"/>
  <c r="G230" i="182"/>
  <c r="BF274" i="16"/>
  <c r="G1029" i="182"/>
  <c r="BC1072" i="16"/>
  <c r="W1015" i="119"/>
  <c r="BK1043" i="16"/>
  <c r="O684" i="182"/>
  <c r="G621" i="182"/>
  <c r="G679" i="182"/>
  <c r="O679" i="182" s="1"/>
  <c r="G959" i="182"/>
  <c r="G1005" i="182"/>
  <c r="G905" i="182"/>
  <c r="O905" i="182" s="1"/>
  <c r="O818" i="182"/>
  <c r="BK1058" i="16"/>
  <c r="G988" i="182"/>
  <c r="AQ1042" i="16"/>
  <c r="S985" i="119"/>
  <c r="G234" i="182"/>
  <c r="BC1040" i="16"/>
  <c r="W983" i="119"/>
  <c r="W979" i="119"/>
  <c r="BC1036" i="16"/>
  <c r="BE1036" i="16" s="1"/>
  <c r="BJ1067" i="16"/>
  <c r="BK1067" i="16" s="1"/>
  <c r="T1010" i="119"/>
  <c r="BG1067" i="16"/>
  <c r="AD1069" i="16"/>
  <c r="T1012" i="119"/>
  <c r="BJ1069" i="16"/>
  <c r="BB1064" i="16"/>
  <c r="V1007" i="119"/>
  <c r="BK1071" i="16"/>
  <c r="BK1063" i="16"/>
  <c r="BK1053" i="16"/>
  <c r="BK1046" i="16"/>
  <c r="O724" i="182"/>
  <c r="O297" i="182"/>
  <c r="V995" i="119"/>
  <c r="G591" i="182"/>
  <c r="W83" i="25"/>
  <c r="BC897" i="16"/>
  <c r="G535" i="182"/>
  <c r="G596" i="182"/>
  <c r="G700" i="182"/>
  <c r="G928" i="182"/>
  <c r="G675" i="182"/>
  <c r="G1024" i="182"/>
  <c r="AT1070" i="16"/>
  <c r="O242" i="182"/>
  <c r="G262" i="182"/>
  <c r="BK1045" i="16"/>
  <c r="BJ1117" i="16"/>
  <c r="AD1117" i="16"/>
  <c r="BJ1109" i="16"/>
  <c r="BK1109" i="16" s="1"/>
  <c r="BJ1092" i="16"/>
  <c r="BJ1008" i="16"/>
  <c r="AD1008" i="16"/>
  <c r="AD1002" i="16"/>
  <c r="BJ1002" i="16"/>
  <c r="BJ958" i="16"/>
  <c r="BK958" i="16" s="1"/>
  <c r="AD950" i="16"/>
  <c r="BJ950" i="16"/>
  <c r="BJ933" i="16"/>
  <c r="AD933" i="16"/>
  <c r="BJ926" i="16"/>
  <c r="AD926" i="16"/>
  <c r="BJ901" i="16"/>
  <c r="AD901" i="16"/>
  <c r="BJ886" i="16"/>
  <c r="AD886" i="16"/>
  <c r="BJ870" i="16"/>
  <c r="AD870" i="16"/>
  <c r="BJ854" i="16"/>
  <c r="AD854" i="16"/>
  <c r="BJ847" i="16"/>
  <c r="AD847" i="16"/>
  <c r="BJ836" i="16"/>
  <c r="AD836" i="16"/>
  <c r="AD827" i="16"/>
  <c r="BJ816" i="16"/>
  <c r="AD809" i="16"/>
  <c r="BJ809" i="16"/>
  <c r="BJ801" i="16"/>
  <c r="BK801" i="16" s="1"/>
  <c r="AD794" i="16"/>
  <c r="BJ794" i="16"/>
  <c r="BJ790" i="16"/>
  <c r="BJ768" i="16"/>
  <c r="AD768" i="16"/>
  <c r="BJ748" i="16"/>
  <c r="BK748" i="16" s="1"/>
  <c r="BJ738" i="16"/>
  <c r="AD738" i="16"/>
  <c r="BJ722" i="16"/>
  <c r="AD722" i="16"/>
  <c r="BJ700" i="16"/>
  <c r="AD700" i="16"/>
  <c r="AD662" i="16"/>
  <c r="BJ662" i="16"/>
  <c r="BJ643" i="16"/>
  <c r="AD643" i="16"/>
  <c r="BJ565" i="16"/>
  <c r="AD565" i="16"/>
  <c r="BJ558" i="16"/>
  <c r="AD558" i="16"/>
  <c r="BJ527" i="16"/>
  <c r="AD527" i="16"/>
  <c r="BJ511" i="16"/>
  <c r="AD511" i="16"/>
  <c r="AD465" i="16"/>
  <c r="BJ465" i="16"/>
  <c r="BJ439" i="16"/>
  <c r="AD439" i="16"/>
  <c r="AD405" i="16"/>
  <c r="BJ405" i="16"/>
  <c r="AD391" i="16"/>
  <c r="BJ391" i="16"/>
  <c r="BJ385" i="16"/>
  <c r="AD385" i="16"/>
  <c r="AD370" i="16"/>
  <c r="BJ370" i="16"/>
  <c r="BJ319" i="16"/>
  <c r="AD319" i="16"/>
  <c r="BJ280" i="16"/>
  <c r="AD280" i="16"/>
  <c r="BJ1113" i="16"/>
  <c r="AD1113" i="16"/>
  <c r="BJ1101" i="16"/>
  <c r="AD1101" i="16"/>
  <c r="BJ1096" i="16"/>
  <c r="AD1096" i="16"/>
  <c r="BJ974" i="16"/>
  <c r="AD974" i="16"/>
  <c r="BJ969" i="16"/>
  <c r="AD969" i="16"/>
  <c r="BJ961" i="16"/>
  <c r="AD961" i="16"/>
  <c r="BJ879" i="16"/>
  <c r="AD879" i="16"/>
  <c r="BJ863" i="16"/>
  <c r="AD863" i="16"/>
  <c r="BJ831" i="16"/>
  <c r="AD831" i="16"/>
  <c r="BJ820" i="16"/>
  <c r="AD820" i="16"/>
  <c r="AD778" i="16"/>
  <c r="BJ778" i="16"/>
  <c r="AD752" i="16"/>
  <c r="BJ752" i="16"/>
  <c r="BJ712" i="16"/>
  <c r="AD712" i="16"/>
  <c r="BJ691" i="16"/>
  <c r="AD691" i="16"/>
  <c r="AD633" i="16"/>
  <c r="BJ633" i="16"/>
  <c r="BJ621" i="16"/>
  <c r="AD621" i="16"/>
  <c r="BJ588" i="16"/>
  <c r="AD588" i="16"/>
  <c r="BJ523" i="16"/>
  <c r="AD523" i="16"/>
  <c r="BJ507" i="16"/>
  <c r="AD507" i="16"/>
  <c r="BJ487" i="16"/>
  <c r="AD487" i="16"/>
  <c r="BJ460" i="16"/>
  <c r="AD460" i="16"/>
  <c r="BJ455" i="16"/>
  <c r="AD455" i="16"/>
  <c r="BJ423" i="16"/>
  <c r="AD423" i="16"/>
  <c r="BJ369" i="16"/>
  <c r="AD369" i="16"/>
  <c r="BJ352" i="16"/>
  <c r="AD352" i="16"/>
  <c r="BJ339" i="16"/>
  <c r="AD339" i="16"/>
  <c r="BJ202" i="16"/>
  <c r="AD202" i="16"/>
  <c r="BJ186" i="16"/>
  <c r="AD186" i="16"/>
  <c r="BJ160" i="16"/>
  <c r="AD160" i="16"/>
  <c r="AT160" i="16" s="1"/>
  <c r="BJ1108" i="16"/>
  <c r="AD1108" i="16"/>
  <c r="BJ1016" i="16"/>
  <c r="AD1016" i="16"/>
  <c r="BJ957" i="16"/>
  <c r="AD957" i="16"/>
  <c r="BJ917" i="16"/>
  <c r="AD917" i="16"/>
  <c r="BJ910" i="16"/>
  <c r="AD910" i="16"/>
  <c r="AD841" i="16"/>
  <c r="BJ841" i="16"/>
  <c r="BK837" i="16"/>
  <c r="BJ815" i="16"/>
  <c r="AD815" i="16"/>
  <c r="BJ800" i="16"/>
  <c r="AD800" i="16"/>
  <c r="BJ789" i="16"/>
  <c r="AD789" i="16"/>
  <c r="BC717" i="16"/>
  <c r="BJ747" i="16"/>
  <c r="AD747" i="16"/>
  <c r="BK739" i="16"/>
  <c r="AD736" i="16"/>
  <c r="BJ736" i="16"/>
  <c r="AD720" i="16"/>
  <c r="BJ720" i="16"/>
  <c r="BJ708" i="16"/>
  <c r="AD708" i="16"/>
  <c r="BJ699" i="16"/>
  <c r="AD699" i="16"/>
  <c r="BJ687" i="16"/>
  <c r="AD687" i="16"/>
  <c r="AD681" i="16"/>
  <c r="BJ681" i="16"/>
  <c r="BJ675" i="16"/>
  <c r="AD654" i="16"/>
  <c r="BJ654" i="16"/>
  <c r="AD650" i="16"/>
  <c r="BJ650" i="16"/>
  <c r="BJ644" i="16"/>
  <c r="BJ584" i="16"/>
  <c r="AD584" i="16"/>
  <c r="BJ574" i="16"/>
  <c r="AD547" i="16"/>
  <c r="BJ547" i="16"/>
  <c r="BJ542" i="16"/>
  <c r="AD542" i="16"/>
  <c r="BJ519" i="16"/>
  <c r="AD519" i="16"/>
  <c r="BJ503" i="16"/>
  <c r="AD503" i="16"/>
  <c r="AD481" i="16"/>
  <c r="BJ481" i="16"/>
  <c r="AD449" i="16"/>
  <c r="BJ449" i="16"/>
  <c r="AD255" i="16"/>
  <c r="S234" i="119" s="1"/>
  <c r="BJ255" i="16"/>
  <c r="AD247" i="16"/>
  <c r="BJ247" i="16"/>
  <c r="BJ237" i="16"/>
  <c r="AD237" i="16"/>
  <c r="BA237" i="16" s="1"/>
  <c r="BJ226" i="16"/>
  <c r="AD226" i="16"/>
  <c r="BJ1114" i="16"/>
  <c r="BK1114" i="16" s="1"/>
  <c r="BJ1105" i="16"/>
  <c r="AD1105" i="16"/>
  <c r="BJ1097" i="16"/>
  <c r="AD1097" i="16"/>
  <c r="BJ1088" i="16"/>
  <c r="BJ1012" i="16"/>
  <c r="AD1012" i="16"/>
  <c r="BJ1005" i="16"/>
  <c r="BK1005" i="16" s="1"/>
  <c r="BJ978" i="16"/>
  <c r="AD978" i="16"/>
  <c r="BJ970" i="16"/>
  <c r="AD970" i="16"/>
  <c r="BJ962" i="16"/>
  <c r="BJ953" i="16"/>
  <c r="BJ930" i="16"/>
  <c r="AD921" i="16"/>
  <c r="BJ898" i="16"/>
  <c r="BJ883" i="16"/>
  <c r="BJ867" i="16"/>
  <c r="AD843" i="16"/>
  <c r="BJ832" i="16"/>
  <c r="AD825" i="16"/>
  <c r="BJ825" i="16"/>
  <c r="BJ821" i="16"/>
  <c r="BK821" i="16" s="1"/>
  <c r="BJ784" i="16"/>
  <c r="AD784" i="16"/>
  <c r="BJ773" i="16"/>
  <c r="AD773" i="16"/>
  <c r="AD764" i="16"/>
  <c r="BJ754" i="16"/>
  <c r="AD754" i="16"/>
  <c r="BJ731" i="16"/>
  <c r="AD731" i="16"/>
  <c r="BJ704" i="16"/>
  <c r="AD704" i="16"/>
  <c r="BJ692" i="16"/>
  <c r="BK692" i="16" s="1"/>
  <c r="BJ683" i="16"/>
  <c r="BJ665" i="16"/>
  <c r="BK665" i="16" s="1"/>
  <c r="BJ656" i="16"/>
  <c r="BJ635" i="16"/>
  <c r="AD635" i="16"/>
  <c r="AD596" i="16"/>
  <c r="BJ562" i="16"/>
  <c r="BJ531" i="16"/>
  <c r="AD531" i="16"/>
  <c r="BJ515" i="16"/>
  <c r="AD515" i="16"/>
  <c r="BJ499" i="16"/>
  <c r="AD499" i="16"/>
  <c r="BJ494" i="16"/>
  <c r="AD494" i="16"/>
  <c r="AD483" i="16"/>
  <c r="BJ476" i="16"/>
  <c r="AD476" i="16"/>
  <c r="BJ471" i="16"/>
  <c r="AD471" i="16"/>
  <c r="BJ461" i="16"/>
  <c r="BJ456" i="16"/>
  <c r="BK456" i="16" s="1"/>
  <c r="AD451" i="16"/>
  <c r="BI451" i="16" s="1"/>
  <c r="BJ301" i="16"/>
  <c r="AD301" i="16"/>
  <c r="BJ291" i="16"/>
  <c r="AD291" i="16"/>
  <c r="BJ287" i="16"/>
  <c r="AD287" i="16"/>
  <c r="BJ283" i="16"/>
  <c r="AD283" i="16"/>
  <c r="BJ269" i="16"/>
  <c r="AD269" i="16"/>
  <c r="BJ233" i="16"/>
  <c r="AD233" i="16"/>
  <c r="BJ171" i="16"/>
  <c r="BJ145" i="16"/>
  <c r="AD145" i="16"/>
  <c r="AD94" i="16"/>
  <c r="BJ94" i="16"/>
  <c r="BK1104" i="16"/>
  <c r="BK1094" i="16"/>
  <c r="BK1001" i="16"/>
  <c r="AD929" i="16"/>
  <c r="AD913" i="16"/>
  <c r="BC807" i="16"/>
  <c r="BJ724" i="16"/>
  <c r="BK724" i="16"/>
  <c r="AD711" i="16"/>
  <c r="AD707" i="16"/>
  <c r="AD703" i="16"/>
  <c r="BJ697" i="16"/>
  <c r="BK697" i="16" s="1"/>
  <c r="BJ677" i="16"/>
  <c r="BK677" i="16" s="1"/>
  <c r="BJ646" i="16"/>
  <c r="BK646" i="16" s="1"/>
  <c r="BJ642" i="16"/>
  <c r="BK642" i="16" s="1"/>
  <c r="AD639" i="16"/>
  <c r="BJ637" i="16"/>
  <c r="BK637" i="16" s="1"/>
  <c r="AD577" i="16"/>
  <c r="AD561" i="16"/>
  <c r="AD553" i="16"/>
  <c r="BJ551" i="16"/>
  <c r="AD530" i="16"/>
  <c r="AD526" i="16"/>
  <c r="AD522" i="16"/>
  <c r="AD518" i="16"/>
  <c r="BA518" i="16" s="1"/>
  <c r="AD514" i="16"/>
  <c r="AD510" i="16"/>
  <c r="AD506" i="16"/>
  <c r="AD502" i="16"/>
  <c r="S469" i="119" s="1"/>
  <c r="AD498" i="16"/>
  <c r="BJ485" i="16"/>
  <c r="BK485" i="16" s="1"/>
  <c r="AD475" i="16"/>
  <c r="BJ469" i="16"/>
  <c r="AD459" i="16"/>
  <c r="BJ453" i="16"/>
  <c r="BK453" i="16" s="1"/>
  <c r="AD437" i="16"/>
  <c r="BJ437" i="16"/>
  <c r="BJ432" i="16"/>
  <c r="AD432" i="16"/>
  <c r="BJ407" i="16"/>
  <c r="AD407" i="16"/>
  <c r="BJ389" i="16"/>
  <c r="AD389" i="16"/>
  <c r="BJ381" i="16"/>
  <c r="AD381" i="16"/>
  <c r="BJ365" i="16"/>
  <c r="AD365" i="16"/>
  <c r="BJ348" i="16"/>
  <c r="AD348" i="16"/>
  <c r="BJ305" i="16"/>
  <c r="AD305" i="16"/>
  <c r="BJ300" i="16"/>
  <c r="AD300" i="16"/>
  <c r="AD282" i="16"/>
  <c r="BJ282" i="16"/>
  <c r="BJ273" i="16"/>
  <c r="AD273" i="16"/>
  <c r="BJ268" i="16"/>
  <c r="AD268" i="16"/>
  <c r="AD259" i="16"/>
  <c r="BA259" i="16" s="1"/>
  <c r="BJ259" i="16"/>
  <c r="AD251" i="16"/>
  <c r="BJ251" i="16"/>
  <c r="BJ245" i="16"/>
  <c r="AD245" i="16"/>
  <c r="BJ148" i="16"/>
  <c r="AD148" i="16"/>
  <c r="S131" i="119" s="1"/>
  <c r="BJ140" i="16"/>
  <c r="AD140" i="16"/>
  <c r="AD421" i="16"/>
  <c r="BJ421" i="16"/>
  <c r="BJ416" i="16"/>
  <c r="AD416" i="16"/>
  <c r="BJ316" i="16"/>
  <c r="AD316" i="16"/>
  <c r="BJ304" i="16"/>
  <c r="AD304" i="16"/>
  <c r="BJ281" i="16"/>
  <c r="AD281" i="16"/>
  <c r="BJ272" i="16"/>
  <c r="AD272" i="16"/>
  <c r="BJ241" i="16"/>
  <c r="AD241" i="16"/>
  <c r="BA241" i="16" s="1"/>
  <c r="AD277" i="16"/>
  <c r="AD276" i="16"/>
  <c r="AD258" i="16"/>
  <c r="S237" i="119" s="1"/>
  <c r="AD254" i="16"/>
  <c r="S233" i="119" s="1"/>
  <c r="AD250" i="16"/>
  <c r="AD229" i="16"/>
  <c r="BJ227" i="16"/>
  <c r="AD225" i="16"/>
  <c r="BI225" i="16" s="1"/>
  <c r="BK225" i="16" s="1"/>
  <c r="BJ223" i="16"/>
  <c r="AD214" i="16"/>
  <c r="AD198" i="16"/>
  <c r="AD182" i="16"/>
  <c r="BJ93" i="16"/>
  <c r="AD93" i="16"/>
  <c r="BJ441" i="16"/>
  <c r="AD427" i="16"/>
  <c r="BJ425" i="16"/>
  <c r="BK425" i="16" s="1"/>
  <c r="AD411" i="16"/>
  <c r="BJ409" i="16"/>
  <c r="BK409" i="16"/>
  <c r="BJ290" i="16"/>
  <c r="BK290" i="16" s="1"/>
  <c r="BJ286" i="16"/>
  <c r="BK286" i="16" s="1"/>
  <c r="AD279" i="16"/>
  <c r="BJ278" i="16"/>
  <c r="BK278" i="16" s="1"/>
  <c r="BJ243" i="16"/>
  <c r="BK243" i="16" s="1"/>
  <c r="BJ239" i="16"/>
  <c r="BJ235" i="16"/>
  <c r="BK235" i="16" s="1"/>
  <c r="BJ231" i="16"/>
  <c r="BK231" i="16" s="1"/>
  <c r="AD152" i="16"/>
  <c r="BI152" i="16" s="1"/>
  <c r="AD144" i="16"/>
  <c r="AT144" i="16" s="1"/>
  <c r="AD136" i="16"/>
  <c r="AQ136" i="16" s="1"/>
  <c r="BJ110" i="16"/>
  <c r="Z14" i="13"/>
  <c r="M13" i="13"/>
  <c r="W17" i="167"/>
  <c r="K117" i="198" s="1"/>
  <c r="W7" i="167"/>
  <c r="C10" i="159"/>
  <c r="AA49" i="36"/>
  <c r="C56" i="159" s="1"/>
  <c r="AA41" i="36"/>
  <c r="G34" i="182" s="1"/>
  <c r="O34" i="182" s="1"/>
  <c r="AA47" i="36"/>
  <c r="C55" i="159" s="1"/>
  <c r="AA39" i="36"/>
  <c r="C51" i="159" s="1"/>
  <c r="AA45" i="36"/>
  <c r="G36" i="182" s="1"/>
  <c r="AD156" i="16"/>
  <c r="AQ156" i="16" s="1"/>
  <c r="AD153" i="16"/>
  <c r="BJ149" i="16"/>
  <c r="AD133" i="16"/>
  <c r="S116" i="119" s="1"/>
  <c r="AD141" i="16"/>
  <c r="AQ141" i="16" s="1"/>
  <c r="Y842" i="25"/>
  <c r="Y238" i="25"/>
  <c r="Y1278" i="25"/>
  <c r="Y1054" i="25"/>
  <c r="Y1082" i="25"/>
  <c r="Y294" i="25"/>
  <c r="Y530" i="25"/>
  <c r="Y218" i="25"/>
  <c r="U766" i="119"/>
  <c r="U360" i="119"/>
  <c r="P1067" i="119"/>
  <c r="P73" i="119"/>
  <c r="C737" i="182"/>
  <c r="C758" i="119"/>
  <c r="BG492" i="16"/>
  <c r="BG534" i="16" s="1"/>
  <c r="BG536" i="16" s="1"/>
  <c r="BJ492" i="16"/>
  <c r="W156" i="25"/>
  <c r="Y156" i="25" s="1"/>
  <c r="W155" i="25"/>
  <c r="W199" i="25" s="1"/>
  <c r="W211" i="25"/>
  <c r="W264" i="25" s="1"/>
  <c r="Y264" i="25" s="1"/>
  <c r="BF377" i="16"/>
  <c r="C135" i="182"/>
  <c r="W491" i="25"/>
  <c r="W546" i="25" s="1"/>
  <c r="Y546" i="25" s="1"/>
  <c r="C156" i="119"/>
  <c r="W1275" i="25"/>
  <c r="W547" i="25"/>
  <c r="W601" i="25" s="1"/>
  <c r="W1219" i="25"/>
  <c r="W1272" i="25" s="1"/>
  <c r="Y1272" i="25" s="1"/>
  <c r="C414" i="119"/>
  <c r="BF785" i="16"/>
  <c r="BG312" i="16"/>
  <c r="BG354" i="16" s="1"/>
  <c r="BG356" i="16" s="1"/>
  <c r="BF1056" i="16"/>
  <c r="BI1035" i="16"/>
  <c r="BK1035" i="16" s="1"/>
  <c r="AT1035" i="16"/>
  <c r="BA1035" i="16"/>
  <c r="BE1035" i="16" s="1"/>
  <c r="AQ1057" i="16"/>
  <c r="AT1057" i="16"/>
  <c r="BI1057" i="16"/>
  <c r="BK1057" i="16" s="1"/>
  <c r="BA1057" i="16"/>
  <c r="BG1122" i="16"/>
  <c r="BJ267" i="16"/>
  <c r="AQ1061" i="16"/>
  <c r="S1004" i="119"/>
  <c r="BI1061" i="16"/>
  <c r="BA1061" i="16"/>
  <c r="AT1061" i="16"/>
  <c r="S977" i="119"/>
  <c r="BI1034" i="16"/>
  <c r="AQ1034" i="16"/>
  <c r="BA1034" i="16"/>
  <c r="AT1034" i="16"/>
  <c r="BF994" i="16"/>
  <c r="S990" i="119"/>
  <c r="AQ1047" i="16"/>
  <c r="BI1047" i="16"/>
  <c r="BK1047" i="16"/>
  <c r="AT1047" i="16"/>
  <c r="BA1047" i="16"/>
  <c r="BE1047" i="16" s="1"/>
  <c r="S997" i="119"/>
  <c r="AQ1054" i="16"/>
  <c r="AT1054" i="16"/>
  <c r="BA1054" i="16"/>
  <c r="BE1054" i="16" s="1"/>
  <c r="BI1054" i="16"/>
  <c r="BK1054" i="16" s="1"/>
  <c r="C137" i="182"/>
  <c r="C266" i="182"/>
  <c r="C395" i="182"/>
  <c r="C653" i="182"/>
  <c r="C911" i="182"/>
  <c r="C1040" i="182"/>
  <c r="C438" i="182"/>
  <c r="C567" i="182"/>
  <c r="C696" i="182"/>
  <c r="C825" i="182"/>
  <c r="C94" i="182"/>
  <c r="C610" i="182"/>
  <c r="C739" i="182"/>
  <c r="C868" i="182"/>
  <c r="C223" i="182"/>
  <c r="C352" i="182"/>
  <c r="C524" i="182"/>
  <c r="C997" i="182"/>
  <c r="BJ1162" i="16"/>
  <c r="AD1162" i="16"/>
  <c r="BK1153" i="16"/>
  <c r="BJ1146" i="16"/>
  <c r="AD1146" i="16"/>
  <c r="BJ1134" i="16"/>
  <c r="AD1134" i="16"/>
  <c r="BJ1103" i="16"/>
  <c r="AD1103" i="16"/>
  <c r="BJ1027" i="16"/>
  <c r="AD1027" i="16"/>
  <c r="BJ1158" i="16"/>
  <c r="AD1158" i="16"/>
  <c r="BJ1130" i="16"/>
  <c r="AD1130" i="16"/>
  <c r="BJ1115" i="16"/>
  <c r="AD1115" i="16"/>
  <c r="BJ1087" i="16"/>
  <c r="AD1087" i="16"/>
  <c r="BJ1011" i="16"/>
  <c r="AD1011" i="16"/>
  <c r="BJ1154" i="16"/>
  <c r="AD1154" i="16"/>
  <c r="BJ1142" i="16"/>
  <c r="AD1142" i="16"/>
  <c r="AD1098" i="16"/>
  <c r="BJ1098" i="16"/>
  <c r="AD1022" i="16"/>
  <c r="BJ1022" i="16"/>
  <c r="BJ995" i="16"/>
  <c r="AD995" i="16"/>
  <c r="BJ1150" i="16"/>
  <c r="AD1150" i="16"/>
  <c r="BJ1138" i="16"/>
  <c r="AD1138" i="16"/>
  <c r="BJ1126" i="16"/>
  <c r="AD1126" i="16"/>
  <c r="BJ1111" i="16"/>
  <c r="AD1111" i="16"/>
  <c r="AD1082" i="16"/>
  <c r="BJ1082" i="16"/>
  <c r="AD1006" i="16"/>
  <c r="BJ1006" i="16"/>
  <c r="BJ1159" i="16"/>
  <c r="BJ1155" i="16"/>
  <c r="BJ1151" i="16"/>
  <c r="BK1151" i="16" s="1"/>
  <c r="BJ1147" i="16"/>
  <c r="BK1147" i="16" s="1"/>
  <c r="BJ1143" i="16"/>
  <c r="BJ1139" i="16"/>
  <c r="BK1139" i="16" s="1"/>
  <c r="BJ1135" i="16"/>
  <c r="BJ1131" i="16"/>
  <c r="BJ1127" i="16"/>
  <c r="BK1127" i="16" s="1"/>
  <c r="BJ1123" i="16"/>
  <c r="BJ1116" i="16"/>
  <c r="BK1116" i="16" s="1"/>
  <c r="BJ1112" i="16"/>
  <c r="BK1112" i="16" s="1"/>
  <c r="BJ1102" i="16"/>
  <c r="BJ1095" i="16"/>
  <c r="AD1095" i="16"/>
  <c r="BJ1086" i="16"/>
  <c r="BJ1079" i="16"/>
  <c r="AD1079" i="16"/>
  <c r="BJ1026" i="16"/>
  <c r="BK1026" i="16" s="1"/>
  <c r="BK1020" i="16"/>
  <c r="BJ1019" i="16"/>
  <c r="AD1019" i="16"/>
  <c r="BJ1010" i="16"/>
  <c r="BK1010" i="16" s="1"/>
  <c r="BK1004" i="16"/>
  <c r="BJ1003" i="16"/>
  <c r="AD1003" i="16"/>
  <c r="BJ994" i="16"/>
  <c r="BK994" i="16" s="1"/>
  <c r="BJ975" i="16"/>
  <c r="BK975" i="16" s="1"/>
  <c r="BJ968" i="16"/>
  <c r="AD968" i="16"/>
  <c r="BJ959" i="16"/>
  <c r="BK959" i="16" s="1"/>
  <c r="BK954" i="16"/>
  <c r="BK953" i="16"/>
  <c r="BJ946" i="16"/>
  <c r="BK946" i="16" s="1"/>
  <c r="BJ936" i="16"/>
  <c r="AD936" i="16"/>
  <c r="BJ920" i="16"/>
  <c r="AD920" i="16"/>
  <c r="BJ904" i="16"/>
  <c r="AD904" i="16"/>
  <c r="BJ881" i="16"/>
  <c r="AD881" i="16"/>
  <c r="BJ865" i="16"/>
  <c r="AD865" i="16"/>
  <c r="AD701" i="16"/>
  <c r="BJ701" i="16"/>
  <c r="BJ1091" i="16"/>
  <c r="AD1091" i="16"/>
  <c r="BJ1015" i="16"/>
  <c r="AD1015" i="16"/>
  <c r="BJ999" i="16"/>
  <c r="AD999" i="16"/>
  <c r="BJ990" i="16"/>
  <c r="BJ980" i="16"/>
  <c r="AD980" i="16"/>
  <c r="BJ971" i="16"/>
  <c r="BK971" i="16" s="1"/>
  <c r="BJ964" i="16"/>
  <c r="AD964" i="16"/>
  <c r="BJ955" i="16"/>
  <c r="BK955" i="16" s="1"/>
  <c r="BJ924" i="16"/>
  <c r="AD924" i="16"/>
  <c r="BJ908" i="16"/>
  <c r="AD908" i="16"/>
  <c r="BJ885" i="16"/>
  <c r="AD885" i="16"/>
  <c r="BJ869" i="16"/>
  <c r="AD869" i="16"/>
  <c r="BJ853" i="16"/>
  <c r="AD853" i="16"/>
  <c r="BJ846" i="16"/>
  <c r="AD846" i="16"/>
  <c r="BJ830" i="16"/>
  <c r="AD830" i="16"/>
  <c r="BJ814" i="16"/>
  <c r="AD814" i="16"/>
  <c r="BC942" i="16"/>
  <c r="BJ976" i="16"/>
  <c r="AD976" i="16"/>
  <c r="BJ960" i="16"/>
  <c r="AD960" i="16"/>
  <c r="BJ928" i="16"/>
  <c r="AD928" i="16"/>
  <c r="BJ912" i="16"/>
  <c r="AD912" i="16"/>
  <c r="BJ889" i="16"/>
  <c r="AD889" i="16"/>
  <c r="BJ873" i="16"/>
  <c r="AD873" i="16"/>
  <c r="BJ857" i="16"/>
  <c r="AD857" i="16"/>
  <c r="AD674" i="16"/>
  <c r="BJ674" i="16"/>
  <c r="BK1100" i="16"/>
  <c r="BJ1099" i="16"/>
  <c r="AD1099" i="16"/>
  <c r="BJ1090" i="16"/>
  <c r="BK1085" i="16"/>
  <c r="BJ1083" i="16"/>
  <c r="AD1083" i="16"/>
  <c r="BK1025" i="16"/>
  <c r="BJ1023" i="16"/>
  <c r="AD1023" i="16"/>
  <c r="BJ1014" i="16"/>
  <c r="BK1009" i="16"/>
  <c r="BJ1007" i="16"/>
  <c r="AD1007" i="16"/>
  <c r="BJ998" i="16"/>
  <c r="BK998" i="16" s="1"/>
  <c r="BJ991" i="16"/>
  <c r="AD991" i="16"/>
  <c r="BJ972" i="16"/>
  <c r="AD972" i="16"/>
  <c r="BJ956" i="16"/>
  <c r="AD956" i="16"/>
  <c r="BJ932" i="16"/>
  <c r="AD932" i="16"/>
  <c r="BJ916" i="16"/>
  <c r="AD916" i="16"/>
  <c r="BJ900" i="16"/>
  <c r="AD900" i="16"/>
  <c r="BJ877" i="16"/>
  <c r="AD877" i="16"/>
  <c r="BJ861" i="16"/>
  <c r="AD861" i="16"/>
  <c r="BJ838" i="16"/>
  <c r="AD838" i="16"/>
  <c r="BJ822" i="16"/>
  <c r="AD822" i="16"/>
  <c r="BJ951" i="16"/>
  <c r="AD951" i="16"/>
  <c r="BJ947" i="16"/>
  <c r="AD947" i="16"/>
  <c r="BJ943" i="16"/>
  <c r="AD943" i="16"/>
  <c r="BK898" i="16"/>
  <c r="BK883" i="16"/>
  <c r="BK871" i="16"/>
  <c r="BK867" i="16"/>
  <c r="BK855" i="16"/>
  <c r="BJ799" i="16"/>
  <c r="AD799" i="16"/>
  <c r="BJ791" i="16"/>
  <c r="AD791" i="16"/>
  <c r="BJ783" i="16"/>
  <c r="AD783" i="16"/>
  <c r="BJ775" i="16"/>
  <c r="AD775" i="16"/>
  <c r="BJ767" i="16"/>
  <c r="AD767" i="16"/>
  <c r="AD690" i="16"/>
  <c r="BJ690" i="16"/>
  <c r="BC627" i="16"/>
  <c r="BJ935" i="16"/>
  <c r="BK935" i="16" s="1"/>
  <c r="BJ931" i="16"/>
  <c r="BK931" i="16"/>
  <c r="BJ927" i="16"/>
  <c r="BK927" i="16" s="1"/>
  <c r="BJ923" i="16"/>
  <c r="BK923" i="16" s="1"/>
  <c r="BJ919" i="16"/>
  <c r="BJ915" i="16"/>
  <c r="BK915" i="16" s="1"/>
  <c r="BJ911" i="16"/>
  <c r="BK911" i="16" s="1"/>
  <c r="BJ907" i="16"/>
  <c r="BK907" i="16"/>
  <c r="BJ903" i="16"/>
  <c r="BJ899" i="16"/>
  <c r="BJ892" i="16"/>
  <c r="BJ888" i="16"/>
  <c r="BK888" i="16" s="1"/>
  <c r="BJ884" i="16"/>
  <c r="BK884" i="16" s="1"/>
  <c r="BJ880" i="16"/>
  <c r="BK880" i="16" s="1"/>
  <c r="BJ876" i="16"/>
  <c r="BK876" i="16" s="1"/>
  <c r="BJ872" i="16"/>
  <c r="BK872" i="16"/>
  <c r="BJ868" i="16"/>
  <c r="BK868" i="16" s="1"/>
  <c r="BJ864" i="16"/>
  <c r="BK864" i="16" s="1"/>
  <c r="BJ860" i="16"/>
  <c r="BK860" i="16" s="1"/>
  <c r="BJ856" i="16"/>
  <c r="BJ842" i="16"/>
  <c r="AD842" i="16"/>
  <c r="BJ834" i="16"/>
  <c r="AD834" i="16"/>
  <c r="BK832" i="16"/>
  <c r="BJ826" i="16"/>
  <c r="AD826" i="16"/>
  <c r="BJ818" i="16"/>
  <c r="AD818" i="16"/>
  <c r="BK816" i="16"/>
  <c r="BJ810" i="16"/>
  <c r="AD810" i="16"/>
  <c r="BK808" i="16"/>
  <c r="BK798" i="16"/>
  <c r="BK790" i="16"/>
  <c r="BK782" i="16"/>
  <c r="BK766" i="16"/>
  <c r="BJ756" i="16"/>
  <c r="AD756" i="16"/>
  <c r="AD709" i="16"/>
  <c r="BJ709" i="16"/>
  <c r="BK675" i="16"/>
  <c r="BK817" i="16"/>
  <c r="BC762" i="16"/>
  <c r="BJ795" i="16"/>
  <c r="AD795" i="16"/>
  <c r="BJ787" i="16"/>
  <c r="AD787" i="16"/>
  <c r="BJ779" i="16"/>
  <c r="AD779" i="16"/>
  <c r="BJ771" i="16"/>
  <c r="AD771" i="16"/>
  <c r="BJ763" i="16"/>
  <c r="AD763" i="16"/>
  <c r="AD705" i="16"/>
  <c r="BJ705" i="16"/>
  <c r="AD685" i="16"/>
  <c r="BJ685" i="16"/>
  <c r="AD667" i="16"/>
  <c r="BJ667" i="16"/>
  <c r="AD524" i="16"/>
  <c r="BJ524" i="16"/>
  <c r="BC672" i="16"/>
  <c r="AD710" i="16"/>
  <c r="BJ710" i="16"/>
  <c r="AD706" i="16"/>
  <c r="BJ706" i="16"/>
  <c r="AD702" i="16"/>
  <c r="BJ702" i="16"/>
  <c r="BK688" i="16"/>
  <c r="AD686" i="16"/>
  <c r="BJ686" i="16"/>
  <c r="AD655" i="16"/>
  <c r="BJ655" i="16"/>
  <c r="AD508" i="16"/>
  <c r="BJ508" i="16"/>
  <c r="AD698" i="16"/>
  <c r="BJ698" i="16"/>
  <c r="BJ689" i="16"/>
  <c r="BK689" i="16" s="1"/>
  <c r="BK684" i="16"/>
  <c r="BK683" i="16"/>
  <c r="AD682" i="16"/>
  <c r="BJ682" i="16"/>
  <c r="BJ673" i="16"/>
  <c r="AD659" i="16"/>
  <c r="BJ659" i="16"/>
  <c r="BK656" i="16"/>
  <c r="BJ630" i="16"/>
  <c r="AD630" i="16"/>
  <c r="BJ615" i="16"/>
  <c r="AD615" i="16"/>
  <c r="BJ599" i="16"/>
  <c r="AD599" i="16"/>
  <c r="BJ583" i="16"/>
  <c r="AD583" i="16"/>
  <c r="AD753" i="16"/>
  <c r="BJ753" i="16"/>
  <c r="AD749" i="16"/>
  <c r="BJ749" i="16"/>
  <c r="AD745" i="16"/>
  <c r="BJ745" i="16"/>
  <c r="AD741" i="16"/>
  <c r="BJ741" i="16"/>
  <c r="AD737" i="16"/>
  <c r="BJ737" i="16"/>
  <c r="AD733" i="16"/>
  <c r="BJ733" i="16"/>
  <c r="AD729" i="16"/>
  <c r="BJ729" i="16"/>
  <c r="AD725" i="16"/>
  <c r="BJ725" i="16"/>
  <c r="AD721" i="16"/>
  <c r="BJ721" i="16"/>
  <c r="AD694" i="16"/>
  <c r="BJ694" i="16"/>
  <c r="AD678" i="16"/>
  <c r="BJ678" i="16"/>
  <c r="AD663" i="16"/>
  <c r="BJ663" i="16"/>
  <c r="BJ647" i="16"/>
  <c r="AD647" i="16"/>
  <c r="BJ638" i="16"/>
  <c r="AD638" i="16"/>
  <c r="AD602" i="16"/>
  <c r="AD586" i="16"/>
  <c r="BJ586" i="16"/>
  <c r="AD622" i="16"/>
  <c r="BJ622" i="16"/>
  <c r="BJ619" i="16"/>
  <c r="AD619" i="16"/>
  <c r="AD606" i="16"/>
  <c r="BJ603" i="16"/>
  <c r="AD603" i="16"/>
  <c r="AD590" i="16"/>
  <c r="BJ590" i="16"/>
  <c r="BJ587" i="16"/>
  <c r="AD587" i="16"/>
  <c r="BJ576" i="16"/>
  <c r="AD576" i="16"/>
  <c r="BJ572" i="16"/>
  <c r="AD572" i="16"/>
  <c r="AD528" i="16"/>
  <c r="BJ528" i="16"/>
  <c r="AD512" i="16"/>
  <c r="BJ512" i="16"/>
  <c r="BJ493" i="16"/>
  <c r="AD493" i="16"/>
  <c r="BK652" i="16"/>
  <c r="BK644" i="16"/>
  <c r="BJ634" i="16"/>
  <c r="AD634" i="16"/>
  <c r="AD629" i="16"/>
  <c r="BJ629" i="16"/>
  <c r="BJ611" i="16"/>
  <c r="AD611" i="16"/>
  <c r="BJ595" i="16"/>
  <c r="AD520" i="16"/>
  <c r="BJ520" i="16"/>
  <c r="AD504" i="16"/>
  <c r="BJ504" i="16"/>
  <c r="BJ376" i="16"/>
  <c r="AD376" i="16"/>
  <c r="AD366" i="16"/>
  <c r="BJ366" i="16"/>
  <c r="BJ607" i="16"/>
  <c r="AD607" i="16"/>
  <c r="AD594" i="16"/>
  <c r="BJ594" i="16"/>
  <c r="BJ591" i="16"/>
  <c r="AD591" i="16"/>
  <c r="AD532" i="16"/>
  <c r="BJ532" i="16"/>
  <c r="AD516" i="16"/>
  <c r="BJ516" i="16"/>
  <c r="AD500" i="16"/>
  <c r="BJ500" i="16"/>
  <c r="AD317" i="16"/>
  <c r="BJ317" i="16"/>
  <c r="BJ248" i="16"/>
  <c r="AD248" i="16"/>
  <c r="BK613" i="16"/>
  <c r="BK605" i="16"/>
  <c r="BJ575" i="16"/>
  <c r="BK575" i="16" s="1"/>
  <c r="BJ567" i="16"/>
  <c r="BJ563" i="16"/>
  <c r="BJ529" i="16"/>
  <c r="AD529" i="16"/>
  <c r="BJ525" i="16"/>
  <c r="AD525" i="16"/>
  <c r="BJ521" i="16"/>
  <c r="AD521" i="16"/>
  <c r="BJ517" i="16"/>
  <c r="AD517" i="16"/>
  <c r="BJ513" i="16"/>
  <c r="AD513" i="16"/>
  <c r="BJ509" i="16"/>
  <c r="AD509" i="16"/>
  <c r="BJ505" i="16"/>
  <c r="AD505" i="16"/>
  <c r="BJ501" i="16"/>
  <c r="AD501" i="16"/>
  <c r="BJ497" i="16"/>
  <c r="AD497" i="16"/>
  <c r="BJ482" i="16"/>
  <c r="AD482" i="16"/>
  <c r="BJ474" i="16"/>
  <c r="AD474" i="16"/>
  <c r="BJ466" i="16"/>
  <c r="AD466" i="16"/>
  <c r="BJ458" i="16"/>
  <c r="AD458" i="16"/>
  <c r="BJ450" i="16"/>
  <c r="AD450" i="16"/>
  <c r="BI450" i="16" s="1"/>
  <c r="BK450" i="16" s="1"/>
  <c r="AD390" i="16"/>
  <c r="BJ390" i="16"/>
  <c r="BJ368" i="16"/>
  <c r="AD368" i="16"/>
  <c r="AD321" i="16"/>
  <c r="BJ321" i="16"/>
  <c r="BK473" i="16"/>
  <c r="BC402" i="16"/>
  <c r="BJ392" i="16"/>
  <c r="AD392" i="16"/>
  <c r="AD371" i="16"/>
  <c r="BJ371" i="16"/>
  <c r="BJ568" i="16"/>
  <c r="AD568" i="16"/>
  <c r="BJ564" i="16"/>
  <c r="AD564" i="16"/>
  <c r="BJ560" i="16"/>
  <c r="AD560" i="16"/>
  <c r="BJ552" i="16"/>
  <c r="AD552" i="16"/>
  <c r="BJ548" i="16"/>
  <c r="AD548" i="16"/>
  <c r="BJ544" i="16"/>
  <c r="AD544" i="16"/>
  <c r="BJ540" i="16"/>
  <c r="AD540" i="16"/>
  <c r="BJ486" i="16"/>
  <c r="AD486" i="16"/>
  <c r="BJ478" i="16"/>
  <c r="AD478" i="16"/>
  <c r="BJ470" i="16"/>
  <c r="AD470" i="16"/>
  <c r="BJ462" i="16"/>
  <c r="AD462" i="16"/>
  <c r="BJ454" i="16"/>
  <c r="AD454" i="16"/>
  <c r="AD383" i="16"/>
  <c r="BJ383" i="16"/>
  <c r="AD374" i="16"/>
  <c r="BJ374" i="16"/>
  <c r="AD345" i="16"/>
  <c r="BJ345" i="16"/>
  <c r="BJ340" i="16"/>
  <c r="AD340" i="16"/>
  <c r="BJ232" i="16"/>
  <c r="AD232" i="16"/>
  <c r="S211" i="119" s="1"/>
  <c r="BK377" i="16"/>
  <c r="BJ350" i="16"/>
  <c r="AD350" i="16"/>
  <c r="BJ330" i="16"/>
  <c r="AD330" i="16"/>
  <c r="AD396" i="16"/>
  <c r="BJ394" i="16"/>
  <c r="BK394" i="16" s="1"/>
  <c r="BJ387" i="16"/>
  <c r="BK387" i="16" s="1"/>
  <c r="AD380" i="16"/>
  <c r="BJ378" i="16"/>
  <c r="BK378" i="16" s="1"/>
  <c r="AD336" i="16"/>
  <c r="AD329" i="16"/>
  <c r="BJ329" i="16"/>
  <c r="BJ314" i="16"/>
  <c r="AD314" i="16"/>
  <c r="BJ442" i="16"/>
  <c r="AD442" i="16"/>
  <c r="BJ438" i="16"/>
  <c r="AD438" i="16"/>
  <c r="BJ434" i="16"/>
  <c r="AD434" i="16"/>
  <c r="BJ430" i="16"/>
  <c r="AD430" i="16"/>
  <c r="BJ426" i="16"/>
  <c r="AD426" i="16"/>
  <c r="BJ422" i="16"/>
  <c r="AD422" i="16"/>
  <c r="BJ418" i="16"/>
  <c r="AD418" i="16"/>
  <c r="BJ414" i="16"/>
  <c r="AD414" i="16"/>
  <c r="BJ410" i="16"/>
  <c r="AD410" i="16"/>
  <c r="BJ406" i="16"/>
  <c r="AD406" i="16"/>
  <c r="BJ363" i="16"/>
  <c r="AD363" i="16"/>
  <c r="AQ363" i="16" s="1"/>
  <c r="BF363" i="16" s="1"/>
  <c r="BJ346" i="16"/>
  <c r="AD346" i="16"/>
  <c r="AD341" i="16"/>
  <c r="BJ341" i="16"/>
  <c r="BJ334" i="16"/>
  <c r="AD334" i="16"/>
  <c r="BJ326" i="16"/>
  <c r="AD326" i="16"/>
  <c r="BJ262" i="16"/>
  <c r="AD262" i="16"/>
  <c r="BI262" i="16" s="1"/>
  <c r="BJ246" i="16"/>
  <c r="AD246" i="16"/>
  <c r="BJ230" i="16"/>
  <c r="AD230" i="16"/>
  <c r="BI230" i="16" s="1"/>
  <c r="BJ260" i="16"/>
  <c r="AD260" i="16"/>
  <c r="BJ244" i="16"/>
  <c r="AD244" i="16"/>
  <c r="BA244" i="16" s="1"/>
  <c r="BJ228" i="16"/>
  <c r="AD228" i="16"/>
  <c r="AD360" i="16"/>
  <c r="BJ360" i="16"/>
  <c r="AD344" i="16"/>
  <c r="BJ342" i="16"/>
  <c r="AD342" i="16"/>
  <c r="AD337" i="16"/>
  <c r="BI337" i="16" s="1"/>
  <c r="BJ337" i="16"/>
  <c r="BJ322" i="16"/>
  <c r="AD322" i="16"/>
  <c r="AD313" i="16"/>
  <c r="BJ313" i="16"/>
  <c r="BC267" i="16"/>
  <c r="BJ256" i="16"/>
  <c r="AD256" i="16"/>
  <c r="BJ240" i="16"/>
  <c r="AD240" i="16"/>
  <c r="BI240" i="16" s="1"/>
  <c r="BK240" i="16" s="1"/>
  <c r="BJ224" i="16"/>
  <c r="AD224" i="16"/>
  <c r="AD146" i="16"/>
  <c r="AQ146" i="16" s="1"/>
  <c r="BJ146" i="16"/>
  <c r="BJ361" i="16"/>
  <c r="AD361" i="16"/>
  <c r="AD349" i="16"/>
  <c r="BJ349" i="16"/>
  <c r="BJ338" i="16"/>
  <c r="AD338" i="16"/>
  <c r="AD333" i="16"/>
  <c r="BJ333" i="16"/>
  <c r="AD325" i="16"/>
  <c r="BJ325" i="16"/>
  <c r="BJ318" i="16"/>
  <c r="AD318" i="16"/>
  <c r="BJ252" i="16"/>
  <c r="AD252" i="16"/>
  <c r="BJ236" i="16"/>
  <c r="AD236" i="16"/>
  <c r="BI236" i="16" s="1"/>
  <c r="BK223" i="16"/>
  <c r="BC177" i="16"/>
  <c r="BC222" i="16"/>
  <c r="BC264" i="16" s="1"/>
  <c r="BJ217" i="16"/>
  <c r="AD217" i="16"/>
  <c r="BJ215" i="16"/>
  <c r="AD215" i="16"/>
  <c r="AD212" i="16"/>
  <c r="BJ212" i="16"/>
  <c r="BJ209" i="16"/>
  <c r="AD209" i="16"/>
  <c r="BJ207" i="16"/>
  <c r="AD207" i="16"/>
  <c r="AD204" i="16"/>
  <c r="BJ204" i="16"/>
  <c r="BJ201" i="16"/>
  <c r="AD201" i="16"/>
  <c r="BJ199" i="16"/>
  <c r="AD199" i="16"/>
  <c r="AD196" i="16"/>
  <c r="BJ196" i="16"/>
  <c r="BJ193" i="16"/>
  <c r="AD193" i="16"/>
  <c r="BJ191" i="16"/>
  <c r="AD191" i="16"/>
  <c r="AD188" i="16"/>
  <c r="BJ188" i="16"/>
  <c r="BJ185" i="16"/>
  <c r="AD185" i="16"/>
  <c r="BJ183" i="16"/>
  <c r="AD183" i="16"/>
  <c r="AD180" i="16"/>
  <c r="BJ180" i="16"/>
  <c r="BJ170" i="16"/>
  <c r="AD170" i="16"/>
  <c r="BA170" i="16" s="1"/>
  <c r="BJ168" i="16"/>
  <c r="AD168" i="16"/>
  <c r="AD165" i="16"/>
  <c r="AQ165" i="16" s="1"/>
  <c r="BF165" i="16" s="1"/>
  <c r="BJ165" i="16"/>
  <c r="BJ159" i="16"/>
  <c r="AD138" i="16"/>
  <c r="AQ138" i="16" s="1"/>
  <c r="BF138" i="16" s="1"/>
  <c r="BJ138" i="16"/>
  <c r="AD114" i="16"/>
  <c r="BJ114" i="16"/>
  <c r="AD162" i="16"/>
  <c r="BI162" i="16" s="1"/>
  <c r="BJ162" i="16"/>
  <c r="BJ151" i="16"/>
  <c r="BJ117" i="16"/>
  <c r="AD117" i="16"/>
  <c r="BI117" i="16" s="1"/>
  <c r="BK362" i="16"/>
  <c r="BK343" i="16"/>
  <c r="AD216" i="16"/>
  <c r="BJ216" i="16"/>
  <c r="BJ213" i="16"/>
  <c r="AD213" i="16"/>
  <c r="BJ211" i="16"/>
  <c r="AD211" i="16"/>
  <c r="AD208" i="16"/>
  <c r="BJ208" i="16"/>
  <c r="BJ205" i="16"/>
  <c r="AD205" i="16"/>
  <c r="BJ203" i="16"/>
  <c r="AD203" i="16"/>
  <c r="AD200" i="16"/>
  <c r="BJ200" i="16"/>
  <c r="BJ197" i="16"/>
  <c r="AD197" i="16"/>
  <c r="BJ195" i="16"/>
  <c r="AD195" i="16"/>
  <c r="AD192" i="16"/>
  <c r="BJ192" i="16"/>
  <c r="BJ189" i="16"/>
  <c r="AD189" i="16"/>
  <c r="BJ187" i="16"/>
  <c r="AD187" i="16"/>
  <c r="AD184" i="16"/>
  <c r="BJ184" i="16"/>
  <c r="BJ181" i="16"/>
  <c r="AD181" i="16"/>
  <c r="BJ179" i="16"/>
  <c r="AD179" i="16"/>
  <c r="BJ172" i="16"/>
  <c r="AD172" i="16"/>
  <c r="BA172" i="16" s="1"/>
  <c r="AD169" i="16"/>
  <c r="BJ169" i="16"/>
  <c r="BJ166" i="16"/>
  <c r="AD166" i="16"/>
  <c r="AQ166" i="16" s="1"/>
  <c r="BJ164" i="16"/>
  <c r="AD164" i="16"/>
  <c r="AD154" i="16"/>
  <c r="BI154" i="16" s="1"/>
  <c r="BJ154" i="16"/>
  <c r="BJ163" i="16"/>
  <c r="AD158" i="16"/>
  <c r="BJ158" i="16"/>
  <c r="BJ155" i="16"/>
  <c r="AD150" i="16"/>
  <c r="BJ150" i="16"/>
  <c r="BJ147" i="16"/>
  <c r="AD142" i="16"/>
  <c r="BJ142" i="16"/>
  <c r="BJ139" i="16"/>
  <c r="AD134" i="16"/>
  <c r="BJ134" i="16"/>
  <c r="BJ118" i="16"/>
  <c r="BJ106" i="16"/>
  <c r="AD106" i="16"/>
  <c r="AD101" i="16"/>
  <c r="BJ90" i="16"/>
  <c r="AD90" i="16"/>
  <c r="AQ90" i="16" s="1"/>
  <c r="BJ125" i="16"/>
  <c r="AD125" i="16"/>
  <c r="BJ127" i="16"/>
  <c r="AD127" i="16"/>
  <c r="S112" i="119" s="1"/>
  <c r="BJ113" i="16"/>
  <c r="AD113" i="16"/>
  <c r="BJ97" i="16"/>
  <c r="AD97" i="16"/>
  <c r="AQ97" i="16" s="1"/>
  <c r="AD123" i="16"/>
  <c r="BJ120" i="16"/>
  <c r="BK120" i="16" s="1"/>
  <c r="BJ116" i="16"/>
  <c r="BK116" i="16" s="1"/>
  <c r="AD115" i="16"/>
  <c r="BJ112" i="16"/>
  <c r="AD111" i="16"/>
  <c r="BJ108" i="16"/>
  <c r="AD107" i="16"/>
  <c r="BJ104" i="16"/>
  <c r="BK104" i="16" s="1"/>
  <c r="AD103" i="16"/>
  <c r="BJ100" i="16"/>
  <c r="AD99" i="16"/>
  <c r="BJ96" i="16"/>
  <c r="AD95" i="16"/>
  <c r="BJ92" i="16"/>
  <c r="AD91" i="16"/>
  <c r="BJ88" i="16"/>
  <c r="AD126" i="16"/>
  <c r="AD122" i="16"/>
  <c r="AQ122" i="16" s="1"/>
  <c r="G62" i="182"/>
  <c r="O62" i="182" s="1"/>
  <c r="W603" i="25"/>
  <c r="W648" i="25" s="1"/>
  <c r="Y648" i="25" s="1"/>
  <c r="W323" i="25"/>
  <c r="W367" i="25" s="1"/>
  <c r="BD443" i="16"/>
  <c r="BI424" i="16"/>
  <c r="BK424" i="16" s="1"/>
  <c r="AQ424" i="16"/>
  <c r="S395" i="119"/>
  <c r="AT424" i="16"/>
  <c r="BA424" i="16"/>
  <c r="BD445" i="16"/>
  <c r="AM402" i="16"/>
  <c r="BG402" i="16" s="1"/>
  <c r="BG444" i="16" s="1"/>
  <c r="BG446" i="16" s="1"/>
  <c r="W771" i="25"/>
  <c r="W825" i="25" s="1"/>
  <c r="BI945" i="16"/>
  <c r="BK945" i="16" s="1"/>
  <c r="BA945" i="16"/>
  <c r="S892" i="119"/>
  <c r="AT945" i="16"/>
  <c r="AQ945" i="16"/>
  <c r="BF965" i="16"/>
  <c r="BF875" i="16"/>
  <c r="G805" i="182"/>
  <c r="BK777" i="16"/>
  <c r="G806" i="182"/>
  <c r="O806" i="182" s="1"/>
  <c r="BF876" i="16"/>
  <c r="BF864" i="16"/>
  <c r="G794" i="182"/>
  <c r="O810" i="182"/>
  <c r="BA257" i="16"/>
  <c r="BI395" i="16"/>
  <c r="BK395" i="16" s="1"/>
  <c r="S368" i="119"/>
  <c r="U368" i="119" s="1"/>
  <c r="AQ395" i="16"/>
  <c r="BA395" i="16"/>
  <c r="BE395" i="16" s="1"/>
  <c r="AT395" i="16"/>
  <c r="O664" i="182"/>
  <c r="BI351" i="16"/>
  <c r="BK351" i="16" s="1"/>
  <c r="BA351" i="16"/>
  <c r="S326" i="119"/>
  <c r="AQ351" i="16"/>
  <c r="AT351" i="16"/>
  <c r="BI477" i="16"/>
  <c r="BK477" i="16" s="1"/>
  <c r="S446" i="119"/>
  <c r="AQ477" i="16"/>
  <c r="BA477" i="16"/>
  <c r="AT477" i="16"/>
  <c r="BI570" i="16"/>
  <c r="BK570" i="16" s="1"/>
  <c r="S535" i="119"/>
  <c r="U535" i="119" s="1"/>
  <c r="AQ570" i="16"/>
  <c r="BA570" i="16"/>
  <c r="AT570" i="16"/>
  <c r="BI856" i="16"/>
  <c r="BK856" i="16" s="1"/>
  <c r="S807" i="119"/>
  <c r="BA856" i="16"/>
  <c r="AT856" i="16"/>
  <c r="AQ856" i="16"/>
  <c r="BE468" i="16"/>
  <c r="BI323" i="16"/>
  <c r="BK323" i="16" s="1"/>
  <c r="BA323" i="16"/>
  <c r="AQ323" i="16"/>
  <c r="AT323" i="16"/>
  <c r="S298" i="119"/>
  <c r="BI664" i="16"/>
  <c r="BK664" i="16" s="1"/>
  <c r="S625" i="119"/>
  <c r="U625" i="119" s="1"/>
  <c r="BA664" i="16"/>
  <c r="AT664" i="16"/>
  <c r="AQ664" i="16"/>
  <c r="BI845" i="16"/>
  <c r="BK845" i="16" s="1"/>
  <c r="BA845" i="16"/>
  <c r="AT845" i="16"/>
  <c r="S798" i="119"/>
  <c r="U798" i="119" s="1"/>
  <c r="AQ845" i="16"/>
  <c r="BI914" i="16"/>
  <c r="BK914" i="16" s="1"/>
  <c r="AQ914" i="16"/>
  <c r="AT914" i="16"/>
  <c r="S863" i="119"/>
  <c r="BA914" i="16"/>
  <c r="BI320" i="16"/>
  <c r="BK320" i="16" s="1"/>
  <c r="BA320" i="16"/>
  <c r="AT320" i="16"/>
  <c r="AQ320" i="16"/>
  <c r="S295" i="119"/>
  <c r="BI645" i="16"/>
  <c r="BK645" i="16" s="1"/>
  <c r="AT645" i="16"/>
  <c r="S606" i="119"/>
  <c r="AQ645" i="16"/>
  <c r="BA645" i="16"/>
  <c r="BE645" i="16" s="1"/>
  <c r="BI823" i="16"/>
  <c r="BK823" i="16" s="1"/>
  <c r="S776" i="119"/>
  <c r="U776" i="119" s="1"/>
  <c r="BA823" i="16"/>
  <c r="AT823" i="16"/>
  <c r="AQ823" i="16"/>
  <c r="BI905" i="16"/>
  <c r="BK905" i="16" s="1"/>
  <c r="BA905" i="16"/>
  <c r="BE905" i="16" s="1"/>
  <c r="AQ905" i="16"/>
  <c r="AT905" i="16"/>
  <c r="S854" i="119"/>
  <c r="BI335" i="16"/>
  <c r="BK335" i="16" s="1"/>
  <c r="BA335" i="16"/>
  <c r="AQ335" i="16"/>
  <c r="S310" i="119"/>
  <c r="AT335" i="16"/>
  <c r="BI573" i="16"/>
  <c r="BA573" i="16"/>
  <c r="AQ573" i="16"/>
  <c r="AT573" i="16"/>
  <c r="S538" i="119"/>
  <c r="BI676" i="16"/>
  <c r="BK676" i="16" s="1"/>
  <c r="BA676" i="16"/>
  <c r="AQ676" i="16"/>
  <c r="S635" i="119"/>
  <c r="U635" i="119" s="1"/>
  <c r="BI874" i="16"/>
  <c r="BK874" i="16" s="1"/>
  <c r="AQ874" i="16"/>
  <c r="BA874" i="16"/>
  <c r="S825" i="119"/>
  <c r="AT874" i="16"/>
  <c r="BG897" i="16"/>
  <c r="BG939" i="16" s="1"/>
  <c r="BG941" i="16" s="1"/>
  <c r="BJ897" i="16"/>
  <c r="BI433" i="16"/>
  <c r="BK433" i="16" s="1"/>
  <c r="AT433" i="16"/>
  <c r="BA433" i="16"/>
  <c r="AQ433" i="16"/>
  <c r="S404" i="119"/>
  <c r="BI469" i="16"/>
  <c r="S438" i="119"/>
  <c r="AQ469" i="16"/>
  <c r="AT469" i="16"/>
  <c r="BA469" i="16"/>
  <c r="BI632" i="16"/>
  <c r="BK632" i="16" s="1"/>
  <c r="AQ632" i="16"/>
  <c r="BA632" i="16"/>
  <c r="BE632" i="16" s="1"/>
  <c r="AT632" i="16"/>
  <c r="S593" i="119"/>
  <c r="U593" i="119" s="1"/>
  <c r="BI774" i="16"/>
  <c r="BK774" i="16" s="1"/>
  <c r="S729" i="119"/>
  <c r="AQ774" i="16"/>
  <c r="AT774" i="16"/>
  <c r="BA774" i="16"/>
  <c r="BK469" i="16"/>
  <c r="BI284" i="16"/>
  <c r="BK284" i="16" s="1"/>
  <c r="BA284" i="16"/>
  <c r="AQ284" i="16"/>
  <c r="S261" i="119"/>
  <c r="U261" i="119" s="1"/>
  <c r="BI601" i="16"/>
  <c r="BK601" i="16" s="1"/>
  <c r="AQ601" i="16"/>
  <c r="AT601" i="16"/>
  <c r="S564" i="119"/>
  <c r="U564" i="119" s="1"/>
  <c r="BA601" i="16"/>
  <c r="BI890" i="16"/>
  <c r="BK890" i="16" s="1"/>
  <c r="S841" i="119"/>
  <c r="AT890" i="16"/>
  <c r="AQ890" i="16"/>
  <c r="BA890" i="16"/>
  <c r="BI982" i="16"/>
  <c r="BK982" i="16" s="1"/>
  <c r="AQ982" i="16"/>
  <c r="AT982" i="16"/>
  <c r="S929" i="119"/>
  <c r="U929" i="119" s="1"/>
  <c r="BA982" i="16"/>
  <c r="G859" i="182"/>
  <c r="O859" i="182" s="1"/>
  <c r="BF931" i="16"/>
  <c r="BI332" i="16"/>
  <c r="BK332" i="16" s="1"/>
  <c r="S307" i="119"/>
  <c r="AQ332" i="16"/>
  <c r="BA332" i="16"/>
  <c r="AT332" i="16"/>
  <c r="BK253" i="16"/>
  <c r="BI288" i="16"/>
  <c r="BK288" i="16" s="1"/>
  <c r="BA288" i="16"/>
  <c r="AQ288" i="16"/>
  <c r="S265" i="119"/>
  <c r="U265" i="119" s="1"/>
  <c r="BI384" i="16"/>
  <c r="BK384" i="16" s="1"/>
  <c r="AQ384" i="16"/>
  <c r="BA384" i="16"/>
  <c r="BE384" i="16" s="1"/>
  <c r="AT384" i="16"/>
  <c r="S357" i="119"/>
  <c r="BI693" i="16"/>
  <c r="BK693" i="16" s="1"/>
  <c r="BA693" i="16"/>
  <c r="BE693" i="16" s="1"/>
  <c r="S652" i="119"/>
  <c r="AQ693" i="16"/>
  <c r="BI661" i="16"/>
  <c r="BK661" i="16" s="1"/>
  <c r="S622" i="119"/>
  <c r="AT661" i="16"/>
  <c r="AQ661" i="16"/>
  <c r="BA661" i="16"/>
  <c r="BE661" i="16" s="1"/>
  <c r="BI887" i="16"/>
  <c r="BK887" i="16" s="1"/>
  <c r="BA887" i="16"/>
  <c r="S838" i="119"/>
  <c r="AQ887" i="16"/>
  <c r="AT887" i="16"/>
  <c r="BI952" i="16"/>
  <c r="BK952" i="16" s="1"/>
  <c r="AT952" i="16"/>
  <c r="S899" i="119"/>
  <c r="U899" i="119" s="1"/>
  <c r="AQ952" i="16"/>
  <c r="BA952" i="16"/>
  <c r="BI234" i="16"/>
  <c r="BK234" i="16" s="1"/>
  <c r="S213" i="119"/>
  <c r="U213" i="119" s="1"/>
  <c r="BI550" i="16"/>
  <c r="BK550" i="16" s="1"/>
  <c r="S515" i="119"/>
  <c r="U515" i="119" s="1"/>
  <c r="BA550" i="16"/>
  <c r="AQ550" i="16"/>
  <c r="AT550" i="16"/>
  <c r="BI653" i="16"/>
  <c r="BK653" i="16" s="1"/>
  <c r="AT653" i="16"/>
  <c r="BA653" i="16"/>
  <c r="BE653" i="16" s="1"/>
  <c r="S614" i="119"/>
  <c r="AQ653" i="16"/>
  <c r="BI812" i="16"/>
  <c r="BK812" i="16" s="1"/>
  <c r="AT812" i="16"/>
  <c r="AQ812" i="16"/>
  <c r="BA812" i="16"/>
  <c r="BE812" i="16" s="1"/>
  <c r="S765" i="119"/>
  <c r="G814" i="182"/>
  <c r="BF884" i="16"/>
  <c r="BA567" i="16"/>
  <c r="AQ567" i="16"/>
  <c r="BI649" i="16"/>
  <c r="BK649" i="16" s="1"/>
  <c r="AT649" i="16"/>
  <c r="S610" i="119"/>
  <c r="AQ649" i="16"/>
  <c r="BA649" i="16"/>
  <c r="BG669" i="16"/>
  <c r="BG671" i="16" s="1"/>
  <c r="AT452" i="16"/>
  <c r="BI973" i="16"/>
  <c r="BK973" i="16" s="1"/>
  <c r="AT973" i="16"/>
  <c r="BA973" i="16"/>
  <c r="AQ973" i="16"/>
  <c r="S920" i="119"/>
  <c r="U920" i="119" s="1"/>
  <c r="BI949" i="16"/>
  <c r="BK949" i="16" s="1"/>
  <c r="AQ949" i="16"/>
  <c r="AT949" i="16"/>
  <c r="BA949" i="16"/>
  <c r="S896" i="119"/>
  <c r="BI944" i="16"/>
  <c r="BK944" i="16" s="1"/>
  <c r="S891" i="119"/>
  <c r="AQ944" i="16"/>
  <c r="AT944" i="16"/>
  <c r="BA944" i="16"/>
  <c r="BI828" i="16"/>
  <c r="BK828" i="16" s="1"/>
  <c r="AT828" i="16"/>
  <c r="S781" i="119"/>
  <c r="AQ828" i="16"/>
  <c r="BA828" i="16"/>
  <c r="BE828" i="16"/>
  <c r="BI796" i="16"/>
  <c r="BK796" i="16" s="1"/>
  <c r="S751" i="119"/>
  <c r="BA796" i="16"/>
  <c r="BE796" i="16" s="1"/>
  <c r="AQ796" i="16"/>
  <c r="AT796" i="16"/>
  <c r="BI793" i="16"/>
  <c r="BK793" i="16" s="1"/>
  <c r="AT793" i="16"/>
  <c r="AQ793" i="16"/>
  <c r="S748" i="119"/>
  <c r="U748" i="119" s="1"/>
  <c r="BA793" i="16"/>
  <c r="BI735" i="16"/>
  <c r="BK735" i="16"/>
  <c r="S692" i="119"/>
  <c r="U692" i="119" s="1"/>
  <c r="BA735" i="16"/>
  <c r="AT735" i="16"/>
  <c r="AQ735" i="16"/>
  <c r="BI210" i="16"/>
  <c r="BK210" i="16" s="1"/>
  <c r="S191" i="119"/>
  <c r="AT210" i="16"/>
  <c r="AQ210" i="16"/>
  <c r="BA210" i="16"/>
  <c r="BE210" i="16" s="1"/>
  <c r="BI194" i="16"/>
  <c r="BK194" i="16" s="1"/>
  <c r="AT194" i="16"/>
  <c r="AQ194" i="16"/>
  <c r="S175" i="119"/>
  <c r="BA194" i="16"/>
  <c r="BE194" i="16" s="1"/>
  <c r="G211" i="182"/>
  <c r="O211" i="182" s="1"/>
  <c r="BI242" i="16"/>
  <c r="BK242" i="16" s="1"/>
  <c r="S221" i="119"/>
  <c r="BA242" i="16"/>
  <c r="AQ242" i="16"/>
  <c r="BI261" i="16"/>
  <c r="AQ261" i="16"/>
  <c r="BA261" i="16"/>
  <c r="S240" i="119"/>
  <c r="BI299" i="16"/>
  <c r="BK299" i="16" s="1"/>
  <c r="S276" i="119"/>
  <c r="BA299" i="16"/>
  <c r="AQ299" i="16"/>
  <c r="BI480" i="16"/>
  <c r="BK480" i="16" s="1"/>
  <c r="S449" i="119"/>
  <c r="AT480" i="16"/>
  <c r="BA480" i="16"/>
  <c r="AQ480" i="16"/>
  <c r="BI695" i="16"/>
  <c r="BK695" i="16" s="1"/>
  <c r="S654" i="119"/>
  <c r="AQ695" i="16"/>
  <c r="BA695" i="16"/>
  <c r="BE695" i="16" s="1"/>
  <c r="BI750" i="16"/>
  <c r="BK750" i="16" s="1"/>
  <c r="S707" i="119"/>
  <c r="AT750" i="16"/>
  <c r="BA750" i="16"/>
  <c r="BE750" i="16" s="1"/>
  <c r="AQ750" i="16"/>
  <c r="BI726" i="16"/>
  <c r="BK726" i="16" s="1"/>
  <c r="AQ726" i="16"/>
  <c r="S683" i="119"/>
  <c r="BA726" i="16"/>
  <c r="AT726" i="16"/>
  <c r="BI734" i="16"/>
  <c r="BK734" i="16" s="1"/>
  <c r="AT734" i="16"/>
  <c r="S691" i="119"/>
  <c r="AQ734" i="16"/>
  <c r="BA734" i="16"/>
  <c r="BE734" i="16" s="1"/>
  <c r="BI730" i="16"/>
  <c r="BK730" i="16" s="1"/>
  <c r="AQ730" i="16"/>
  <c r="S687" i="119"/>
  <c r="U687" i="119" s="1"/>
  <c r="AT730" i="16"/>
  <c r="BA730" i="16"/>
  <c r="BI723" i="16"/>
  <c r="BK723" i="16"/>
  <c r="AT723" i="16"/>
  <c r="BA723" i="16"/>
  <c r="AQ723" i="16"/>
  <c r="S680" i="119"/>
  <c r="BI797" i="16"/>
  <c r="BK797" i="16" s="1"/>
  <c r="S752" i="119"/>
  <c r="U752" i="119" s="1"/>
  <c r="BA797" i="16"/>
  <c r="AQ797" i="16"/>
  <c r="AT797" i="16"/>
  <c r="BI781" i="16"/>
  <c r="BK781" i="16" s="1"/>
  <c r="AQ781" i="16"/>
  <c r="BA781" i="16"/>
  <c r="AT781" i="16"/>
  <c r="S736" i="119"/>
  <c r="BI765" i="16"/>
  <c r="BK765" i="16" s="1"/>
  <c r="BA765" i="16"/>
  <c r="AT765" i="16"/>
  <c r="S720" i="119"/>
  <c r="AQ765" i="16"/>
  <c r="G1020" i="182"/>
  <c r="BF1100" i="16"/>
  <c r="G801" i="182"/>
  <c r="O801" i="182" s="1"/>
  <c r="BF871" i="16"/>
  <c r="BI862" i="16"/>
  <c r="BK862" i="16" s="1"/>
  <c r="AT862" i="16"/>
  <c r="BA862" i="16"/>
  <c r="AQ862" i="16"/>
  <c r="S813" i="119"/>
  <c r="U813" i="119" s="1"/>
  <c r="BI878" i="16"/>
  <c r="BK878" i="16" s="1"/>
  <c r="S829" i="119"/>
  <c r="AT878" i="16"/>
  <c r="AQ878" i="16"/>
  <c r="BA878" i="16"/>
  <c r="BI858" i="16"/>
  <c r="BK858" i="16" s="1"/>
  <c r="S809" i="119"/>
  <c r="BA858" i="16"/>
  <c r="AT858" i="16"/>
  <c r="AQ858" i="16"/>
  <c r="BI891" i="16"/>
  <c r="BK891" i="16" s="1"/>
  <c r="BA891" i="16"/>
  <c r="S842" i="119"/>
  <c r="AQ891" i="16"/>
  <c r="AT891" i="16"/>
  <c r="G785" i="182"/>
  <c r="BF855" i="16"/>
  <c r="BI866" i="16"/>
  <c r="BK866" i="16" s="1"/>
  <c r="AT866" i="16"/>
  <c r="S817" i="119"/>
  <c r="U817" i="119" s="1"/>
  <c r="BA866" i="16"/>
  <c r="AQ866" i="16"/>
  <c r="BI1000" i="16"/>
  <c r="BK1000" i="16" s="1"/>
  <c r="AT1000" i="16"/>
  <c r="S945" i="119"/>
  <c r="U945" i="119" s="1"/>
  <c r="BA1000" i="16"/>
  <c r="AQ1000" i="16"/>
  <c r="G944" i="182"/>
  <c r="BF1020" i="16"/>
  <c r="BI993" i="16"/>
  <c r="BK993" i="16" s="1"/>
  <c r="AQ993" i="16"/>
  <c r="S938" i="119"/>
  <c r="AT993" i="16"/>
  <c r="BA993" i="16"/>
  <c r="BI988" i="16"/>
  <c r="BK988" i="16"/>
  <c r="S933" i="119"/>
  <c r="BA988" i="16"/>
  <c r="AT988" i="16"/>
  <c r="AQ988" i="16"/>
  <c r="BI1024" i="16"/>
  <c r="BK1024" i="16" s="1"/>
  <c r="BA1024" i="16"/>
  <c r="AQ1024" i="16"/>
  <c r="S969" i="119"/>
  <c r="U969" i="119" s="1"/>
  <c r="AT1024" i="16"/>
  <c r="BI989" i="16"/>
  <c r="BK989" i="16" s="1"/>
  <c r="BA989" i="16"/>
  <c r="AT989" i="16"/>
  <c r="AQ989" i="16"/>
  <c r="S934" i="119"/>
  <c r="U934" i="119" s="1"/>
  <c r="G921" i="182"/>
  <c r="O921" i="182" s="1"/>
  <c r="BF997" i="16"/>
  <c r="G925" i="182"/>
  <c r="BF1001" i="16"/>
  <c r="BI840" i="16"/>
  <c r="BK840" i="16" s="1"/>
  <c r="AT840" i="16"/>
  <c r="BA840" i="16"/>
  <c r="S793" i="119"/>
  <c r="U793" i="119" s="1"/>
  <c r="AQ840" i="16"/>
  <c r="AT819" i="16"/>
  <c r="S772" i="119"/>
  <c r="AQ819" i="16"/>
  <c r="BI819" i="16"/>
  <c r="BK819" i="16" s="1"/>
  <c r="BA819" i="16"/>
  <c r="AQ835" i="16"/>
  <c r="S788" i="119"/>
  <c r="U788" i="119" s="1"/>
  <c r="AT835" i="16"/>
  <c r="BA835" i="16"/>
  <c r="BE835" i="16" s="1"/>
  <c r="BI835" i="16"/>
  <c r="BK835" i="16" s="1"/>
  <c r="BI824" i="16"/>
  <c r="BK824" i="16" s="1"/>
  <c r="S777" i="119"/>
  <c r="AQ824" i="16"/>
  <c r="AT824" i="16"/>
  <c r="BA824" i="16"/>
  <c r="BE824" i="16" s="1"/>
  <c r="BI844" i="16"/>
  <c r="BK844" i="16" s="1"/>
  <c r="S797" i="119"/>
  <c r="U797" i="119" s="1"/>
  <c r="AT844" i="16"/>
  <c r="BA844" i="16"/>
  <c r="BE844" i="16" s="1"/>
  <c r="AQ844" i="16"/>
  <c r="AQ776" i="16"/>
  <c r="AT776" i="16"/>
  <c r="BI776" i="16"/>
  <c r="BK776" i="16" s="1"/>
  <c r="S731" i="119"/>
  <c r="U731" i="119" s="1"/>
  <c r="BA776" i="16"/>
  <c r="BI780" i="16"/>
  <c r="BK780" i="16" s="1"/>
  <c r="AQ780" i="16"/>
  <c r="AT780" i="16"/>
  <c r="S735" i="119"/>
  <c r="BA780" i="16"/>
  <c r="BE780" i="16" s="1"/>
  <c r="BI792" i="16"/>
  <c r="BK792" i="16" s="1"/>
  <c r="AT792" i="16"/>
  <c r="AQ792" i="16"/>
  <c r="S747" i="119"/>
  <c r="U747" i="119" s="1"/>
  <c r="BA792" i="16"/>
  <c r="G711" i="182"/>
  <c r="BF777" i="16"/>
  <c r="BI718" i="16"/>
  <c r="BK718" i="16" s="1"/>
  <c r="BA718" i="16"/>
  <c r="AT718" i="16"/>
  <c r="AQ718" i="16"/>
  <c r="S675" i="119"/>
  <c r="BI746" i="16"/>
  <c r="BK746" i="16"/>
  <c r="BA746" i="16"/>
  <c r="BE746" i="16" s="1"/>
  <c r="S703" i="119"/>
  <c r="U703" i="119" s="1"/>
  <c r="AT746" i="16"/>
  <c r="AQ746" i="16"/>
  <c r="BI719" i="16"/>
  <c r="BK719" i="16" s="1"/>
  <c r="BA719" i="16"/>
  <c r="BE719" i="16" s="1"/>
  <c r="AT719" i="16"/>
  <c r="S676" i="119"/>
  <c r="AQ719" i="16"/>
  <c r="BI742" i="16"/>
  <c r="BK742" i="16" s="1"/>
  <c r="BA742" i="16"/>
  <c r="BE742" i="16" s="1"/>
  <c r="S699" i="119"/>
  <c r="AQ742" i="16"/>
  <c r="AT742" i="16"/>
  <c r="BJ672" i="16"/>
  <c r="BG672" i="16"/>
  <c r="BG714" i="16" s="1"/>
  <c r="BG716" i="16" s="1"/>
  <c r="G615" i="182"/>
  <c r="BF677" i="16"/>
  <c r="BI679" i="16"/>
  <c r="BK679" i="16" s="1"/>
  <c r="S638" i="119"/>
  <c r="U638" i="119" s="1"/>
  <c r="AQ679" i="16"/>
  <c r="BA679" i="16"/>
  <c r="BI696" i="16"/>
  <c r="BK696" i="16" s="1"/>
  <c r="S655" i="119"/>
  <c r="U655" i="119" s="1"/>
  <c r="AQ696" i="16"/>
  <c r="BA696" i="16"/>
  <c r="BE696" i="16" s="1"/>
  <c r="BI467" i="16"/>
  <c r="BK467" i="16" s="1"/>
  <c r="BA467" i="16"/>
  <c r="AQ467" i="16"/>
  <c r="S436" i="119"/>
  <c r="AT467" i="16"/>
  <c r="BI448" i="16"/>
  <c r="AQ448" i="16"/>
  <c r="S417" i="119"/>
  <c r="U417" i="119" s="1"/>
  <c r="AT448" i="16"/>
  <c r="BA448" i="16"/>
  <c r="BI464" i="16"/>
  <c r="BK464" i="16" s="1"/>
  <c r="AQ464" i="16"/>
  <c r="G412" i="182" s="1"/>
  <c r="O412" i="182" s="1"/>
  <c r="S433" i="119"/>
  <c r="U433" i="119" s="1"/>
  <c r="BA464" i="16"/>
  <c r="BE464" i="16" s="1"/>
  <c r="AT464" i="16"/>
  <c r="G416" i="182"/>
  <c r="O416" i="182" s="1"/>
  <c r="BF468" i="16"/>
  <c r="BI435" i="16"/>
  <c r="BK435" i="16" s="1"/>
  <c r="S406" i="119"/>
  <c r="AQ435" i="16"/>
  <c r="BA435" i="16"/>
  <c r="AT435" i="16"/>
  <c r="BI408" i="16"/>
  <c r="BK408" i="16" s="1"/>
  <c r="BA408" i="16"/>
  <c r="AT408" i="16"/>
  <c r="AQ408" i="16"/>
  <c r="S379" i="119"/>
  <c r="BI436" i="16"/>
  <c r="BK436" i="16" s="1"/>
  <c r="AQ436" i="16"/>
  <c r="S407" i="119"/>
  <c r="AT436" i="16"/>
  <c r="BA436" i="16"/>
  <c r="BE436" i="16" s="1"/>
  <c r="BI440" i="16"/>
  <c r="BK440" i="16" s="1"/>
  <c r="AQ440" i="16"/>
  <c r="AT440" i="16"/>
  <c r="S411" i="119"/>
  <c r="BA440" i="16"/>
  <c r="BI431" i="16"/>
  <c r="BK431" i="16" s="1"/>
  <c r="AT431" i="16"/>
  <c r="S402" i="119"/>
  <c r="AQ431" i="16"/>
  <c r="BA431" i="16"/>
  <c r="BI419" i="16"/>
  <c r="BK419" i="16" s="1"/>
  <c r="BA419" i="16"/>
  <c r="AQ419" i="16"/>
  <c r="AT419" i="16"/>
  <c r="S390" i="119"/>
  <c r="BI404" i="16"/>
  <c r="BK404" i="16" s="1"/>
  <c r="AQ404" i="16"/>
  <c r="AT404" i="16"/>
  <c r="S375" i="119"/>
  <c r="BA404" i="16"/>
  <c r="BE404" i="16" s="1"/>
  <c r="BI415" i="16"/>
  <c r="BK415" i="16" s="1"/>
  <c r="S386" i="119"/>
  <c r="BA415" i="16"/>
  <c r="AT415" i="16"/>
  <c r="AQ415" i="16"/>
  <c r="BI420" i="16"/>
  <c r="BK420" i="16" s="1"/>
  <c r="AQ420" i="16"/>
  <c r="S391" i="119"/>
  <c r="BA420" i="16"/>
  <c r="BE420" i="16" s="1"/>
  <c r="AT420" i="16"/>
  <c r="BI403" i="16"/>
  <c r="BK403" i="16" s="1"/>
  <c r="S374" i="119"/>
  <c r="AQ403" i="16"/>
  <c r="BA403" i="16"/>
  <c r="AT403" i="16"/>
  <c r="BI359" i="16"/>
  <c r="BK359" i="16" s="1"/>
  <c r="BA359" i="16"/>
  <c r="AT359" i="16"/>
  <c r="S332" i="119"/>
  <c r="U332" i="119" s="1"/>
  <c r="AQ359" i="16"/>
  <c r="BI364" i="16"/>
  <c r="BA364" i="16"/>
  <c r="AQ364" i="16"/>
  <c r="AT364" i="16"/>
  <c r="S337" i="119"/>
  <c r="BI388" i="16"/>
  <c r="S361" i="119"/>
  <c r="U361" i="119" s="1"/>
  <c r="AT388" i="16"/>
  <c r="BA388" i="16"/>
  <c r="AQ388" i="16"/>
  <c r="G314" i="182"/>
  <c r="BF362" i="16"/>
  <c r="S346" i="119"/>
  <c r="U346" i="119" s="1"/>
  <c r="AT373" i="16"/>
  <c r="BI373" i="16"/>
  <c r="BK373" i="16" s="1"/>
  <c r="AQ373" i="16"/>
  <c r="BA373" i="16"/>
  <c r="BI397" i="16"/>
  <c r="AQ397" i="16"/>
  <c r="AT397" i="16"/>
  <c r="BA397" i="16"/>
  <c r="S370" i="119"/>
  <c r="U370" i="119" s="1"/>
  <c r="S331" i="119"/>
  <c r="AT358" i="16"/>
  <c r="BI358" i="16"/>
  <c r="BA358" i="16"/>
  <c r="AQ358" i="16"/>
  <c r="BI271" i="16"/>
  <c r="BK271" i="16" s="1"/>
  <c r="BA271" i="16"/>
  <c r="S248" i="119"/>
  <c r="AQ271" i="16"/>
  <c r="BI285" i="16"/>
  <c r="BK285" i="16" s="1"/>
  <c r="S262" i="119"/>
  <c r="U262" i="119" s="1"/>
  <c r="BA285" i="16"/>
  <c r="AQ285" i="16"/>
  <c r="BI303" i="16"/>
  <c r="BK303" i="16" s="1"/>
  <c r="S280" i="119"/>
  <c r="AQ303" i="16"/>
  <c r="BA303" i="16"/>
  <c r="BI289" i="16"/>
  <c r="BK289" i="16"/>
  <c r="S266" i="119"/>
  <c r="BA289" i="16"/>
  <c r="AQ289" i="16"/>
  <c r="BI307" i="16"/>
  <c r="BK307" i="16" s="1"/>
  <c r="BA307" i="16"/>
  <c r="AQ307" i="16"/>
  <c r="S284" i="119"/>
  <c r="BK297" i="16"/>
  <c r="BI293" i="16"/>
  <c r="BK293" i="16" s="1"/>
  <c r="S270" i="119"/>
  <c r="AQ293" i="16"/>
  <c r="BA293" i="16"/>
  <c r="BI296" i="16"/>
  <c r="BK296" i="16" s="1"/>
  <c r="AQ296" i="16"/>
  <c r="S273" i="119"/>
  <c r="U273" i="119" s="1"/>
  <c r="BA296" i="16"/>
  <c r="G253" i="182"/>
  <c r="BF297" i="16"/>
  <c r="BI238" i="16"/>
  <c r="S217" i="119"/>
  <c r="BA238" i="16"/>
  <c r="AQ238" i="16"/>
  <c r="G207" i="182"/>
  <c r="BD264" i="16"/>
  <c r="BD266" i="16" s="1"/>
  <c r="BI206" i="16"/>
  <c r="BK206" i="16" s="1"/>
  <c r="AQ206" i="16"/>
  <c r="BF206" i="16" s="1"/>
  <c r="AT206" i="16"/>
  <c r="BA206" i="16"/>
  <c r="BE206" i="16" s="1"/>
  <c r="S187" i="119"/>
  <c r="U187" i="119" s="1"/>
  <c r="BI178" i="16"/>
  <c r="BK178" i="16" s="1"/>
  <c r="AT178" i="16"/>
  <c r="BA178" i="16"/>
  <c r="AQ178" i="16"/>
  <c r="S159" i="119"/>
  <c r="BI190" i="16"/>
  <c r="BK190" i="16" s="1"/>
  <c r="S171" i="119"/>
  <c r="AQ190" i="16"/>
  <c r="AT190" i="16"/>
  <c r="BA190" i="16"/>
  <c r="BE190" i="16"/>
  <c r="AQ161" i="16"/>
  <c r="G123" i="182" s="1"/>
  <c r="O123" i="182" s="1"/>
  <c r="AQ137" i="16"/>
  <c r="BF137" i="16" s="1"/>
  <c r="BI121" i="16"/>
  <c r="BK121" i="16" s="1"/>
  <c r="S106" i="119"/>
  <c r="AQ121" i="16"/>
  <c r="BI109" i="16"/>
  <c r="BA109" i="16"/>
  <c r="S94" i="119"/>
  <c r="AQ109" i="16"/>
  <c r="BK1044" i="16"/>
  <c r="AD1074" i="16"/>
  <c r="AD1032" i="16" s="1"/>
  <c r="BI1032" i="16" s="1"/>
  <c r="BK1032" i="16" s="1"/>
  <c r="BC1032" i="16"/>
  <c r="BC1073" i="16" s="1"/>
  <c r="G960" i="182"/>
  <c r="BF1038" i="16"/>
  <c r="BG1074" i="16"/>
  <c r="BG1076" i="16" s="1"/>
  <c r="BI1050" i="16"/>
  <c r="BK1050" i="16" s="1"/>
  <c r="AQ1050" i="16"/>
  <c r="S993" i="119"/>
  <c r="BA1050" i="16"/>
  <c r="AT1050" i="16"/>
  <c r="BI89" i="16"/>
  <c r="BK89" i="16" s="1"/>
  <c r="AQ89" i="16"/>
  <c r="S74" i="119"/>
  <c r="BA89" i="16"/>
  <c r="BI108" i="16"/>
  <c r="S93" i="119"/>
  <c r="AQ108" i="16"/>
  <c r="BA108" i="16"/>
  <c r="BI102" i="16"/>
  <c r="BK102" i="16" s="1"/>
  <c r="AQ102" i="16"/>
  <c r="G66" i="182" s="1"/>
  <c r="S87" i="119"/>
  <c r="U87" i="119" s="1"/>
  <c r="BA102" i="16"/>
  <c r="BI124" i="16"/>
  <c r="BK124" i="16" s="1"/>
  <c r="S109" i="119"/>
  <c r="AQ124" i="16"/>
  <c r="BA124" i="16"/>
  <c r="BI119" i="16"/>
  <c r="BK119" i="16" s="1"/>
  <c r="AQ119" i="16"/>
  <c r="G83" i="182" s="1"/>
  <c r="O83" i="182" s="1"/>
  <c r="S104" i="119"/>
  <c r="BA119" i="16"/>
  <c r="BI88" i="16"/>
  <c r="S73" i="119"/>
  <c r="BA88" i="16"/>
  <c r="BI105" i="16"/>
  <c r="BK105" i="16" s="1"/>
  <c r="AQ105" i="16"/>
  <c r="BA105" i="16"/>
  <c r="BE105" i="16" s="1"/>
  <c r="S90" i="119"/>
  <c r="BD129" i="16"/>
  <c r="BD131" i="16" s="1"/>
  <c r="BD130" i="16"/>
  <c r="BD128" i="16"/>
  <c r="BI1129" i="16"/>
  <c r="S1068" i="119"/>
  <c r="BA1129" i="16"/>
  <c r="AT1129" i="16"/>
  <c r="AQ1129" i="16"/>
  <c r="G1059" i="182"/>
  <c r="O1059" i="182" s="1"/>
  <c r="BF1141" i="16"/>
  <c r="BG1164" i="16"/>
  <c r="BI1157" i="16"/>
  <c r="BK1157" i="16" s="1"/>
  <c r="AQ1157" i="16"/>
  <c r="BA1157" i="16"/>
  <c r="S1096" i="119"/>
  <c r="U1096" i="119" s="1"/>
  <c r="AT1157" i="16"/>
  <c r="BI1132" i="16"/>
  <c r="BK1132" i="16" s="1"/>
  <c r="AQ1132" i="16"/>
  <c r="S1071" i="119"/>
  <c r="AT1132" i="16"/>
  <c r="BA1132" i="16"/>
  <c r="G1041" i="182"/>
  <c r="BF1123" i="16"/>
  <c r="BI1125" i="16"/>
  <c r="BK1125" i="16" s="1"/>
  <c r="AQ1125" i="16"/>
  <c r="S1064" i="119"/>
  <c r="AT1125" i="16"/>
  <c r="BA1125" i="16"/>
  <c r="BI1145" i="16"/>
  <c r="BK1145" i="16" s="1"/>
  <c r="AQ1145" i="16"/>
  <c r="G1063" i="182" s="1"/>
  <c r="S1084" i="119"/>
  <c r="U1084" i="119" s="1"/>
  <c r="BA1145" i="16"/>
  <c r="AT1145" i="16"/>
  <c r="G1055" i="182"/>
  <c r="O1055" i="182" s="1"/>
  <c r="BF1137" i="16"/>
  <c r="BI1133" i="16"/>
  <c r="S1072" i="119"/>
  <c r="AQ1133" i="16"/>
  <c r="AT1133" i="16"/>
  <c r="BA1133" i="16"/>
  <c r="BI1148" i="16"/>
  <c r="AQ1148" i="16"/>
  <c r="AT1148" i="16"/>
  <c r="BA1148" i="16"/>
  <c r="S1087" i="119"/>
  <c r="BI1144" i="16"/>
  <c r="BK1144" i="16" s="1"/>
  <c r="AT1144" i="16"/>
  <c r="S1083" i="119"/>
  <c r="U1083" i="119" s="1"/>
  <c r="AQ1144" i="16"/>
  <c r="BA1144" i="16"/>
  <c r="BI1136" i="16"/>
  <c r="BK1136" i="16" s="1"/>
  <c r="AT1136" i="16"/>
  <c r="BA1136" i="16"/>
  <c r="S1075" i="119"/>
  <c r="AQ1136" i="16"/>
  <c r="BI1152" i="16"/>
  <c r="BK1152" i="16" s="1"/>
  <c r="S1091" i="119"/>
  <c r="U1091" i="119" s="1"/>
  <c r="BA1152" i="16"/>
  <c r="AQ1152" i="16"/>
  <c r="AT1152" i="16"/>
  <c r="BI1140" i="16"/>
  <c r="S1079" i="119"/>
  <c r="BA1140" i="16"/>
  <c r="AT1140" i="16"/>
  <c r="AQ1140" i="16"/>
  <c r="BF1140" i="16" s="1"/>
  <c r="BI1156" i="16"/>
  <c r="S1095" i="119"/>
  <c r="BA1156" i="16"/>
  <c r="AQ1156" i="16"/>
  <c r="G1074" i="182" s="1"/>
  <c r="O1074" i="182" s="1"/>
  <c r="AT1156" i="16"/>
  <c r="BI1124" i="16"/>
  <c r="BA1124" i="16"/>
  <c r="AQ1124" i="16"/>
  <c r="AT1124" i="16"/>
  <c r="S1063" i="119"/>
  <c r="BC1075" i="16"/>
  <c r="BI136" i="16"/>
  <c r="BK136" i="16" s="1"/>
  <c r="S119" i="119"/>
  <c r="BI279" i="16"/>
  <c r="BK279" i="16" s="1"/>
  <c r="AQ279" i="16"/>
  <c r="BA279" i="16"/>
  <c r="S256" i="119"/>
  <c r="BI427" i="16"/>
  <c r="BK427" i="16" s="1"/>
  <c r="BA427" i="16"/>
  <c r="S398" i="119"/>
  <c r="U398" i="119" s="1"/>
  <c r="AQ427" i="16"/>
  <c r="AT427" i="16"/>
  <c r="BI182" i="16"/>
  <c r="BK182" i="16" s="1"/>
  <c r="BA182" i="16"/>
  <c r="BE182" i="16" s="1"/>
  <c r="AT182" i="16"/>
  <c r="S163" i="119"/>
  <c r="AQ182" i="16"/>
  <c r="S204" i="119"/>
  <c r="BA254" i="16"/>
  <c r="BI421" i="16"/>
  <c r="BK421" i="16" s="1"/>
  <c r="AQ421" i="16"/>
  <c r="S392" i="119"/>
  <c r="U392" i="119" s="1"/>
  <c r="AT421" i="16"/>
  <c r="BA421" i="16"/>
  <c r="S238" i="119"/>
  <c r="U238" i="119" s="1"/>
  <c r="BA502" i="16"/>
  <c r="AT518" i="16"/>
  <c r="BI711" i="16"/>
  <c r="BK711" i="16" s="1"/>
  <c r="S670" i="119"/>
  <c r="BA711" i="16"/>
  <c r="AQ711" i="16"/>
  <c r="BI94" i="16"/>
  <c r="BK94" i="16" s="1"/>
  <c r="AQ94" i="16"/>
  <c r="S79" i="119"/>
  <c r="BA94" i="16"/>
  <c r="BI283" i="16"/>
  <c r="BK283" i="16" s="1"/>
  <c r="AQ283" i="16"/>
  <c r="S260" i="119"/>
  <c r="BA283" i="16"/>
  <c r="BI291" i="16"/>
  <c r="BK291" i="16" s="1"/>
  <c r="AQ291" i="16"/>
  <c r="BA291" i="16"/>
  <c r="S268" i="119"/>
  <c r="U268" i="119" s="1"/>
  <c r="BA451" i="16"/>
  <c r="BI471" i="16"/>
  <c r="BK471" i="16" s="1"/>
  <c r="BA471" i="16"/>
  <c r="AT471" i="16"/>
  <c r="S440" i="119"/>
  <c r="AQ471" i="16"/>
  <c r="BI483" i="16"/>
  <c r="BK483" i="16" s="1"/>
  <c r="S452" i="119"/>
  <c r="AQ483" i="16"/>
  <c r="AT483" i="16"/>
  <c r="BA483" i="16"/>
  <c r="BI635" i="16"/>
  <c r="BK635" i="16" s="1"/>
  <c r="AQ635" i="16"/>
  <c r="S596" i="119"/>
  <c r="AT635" i="16"/>
  <c r="BA635" i="16"/>
  <c r="BI704" i="16"/>
  <c r="BK704" i="16" s="1"/>
  <c r="AQ704" i="16"/>
  <c r="S663" i="119"/>
  <c r="U663" i="119" s="1"/>
  <c r="BA704" i="16"/>
  <c r="BE704" i="16" s="1"/>
  <c r="BI773" i="16"/>
  <c r="BK773" i="16" s="1"/>
  <c r="AT773" i="16"/>
  <c r="S728" i="119"/>
  <c r="AQ773" i="16"/>
  <c r="BA773" i="16"/>
  <c r="BI255" i="16"/>
  <c r="AQ255" i="16"/>
  <c r="BA255" i="16"/>
  <c r="BI519" i="16"/>
  <c r="S486" i="119"/>
  <c r="BA519" i="16"/>
  <c r="AQ519" i="16"/>
  <c r="AT519" i="16"/>
  <c r="BI654" i="16"/>
  <c r="BK654" i="16" s="1"/>
  <c r="AT654" i="16"/>
  <c r="AQ654" i="16"/>
  <c r="BA654" i="16"/>
  <c r="S615" i="119"/>
  <c r="BI681" i="16"/>
  <c r="BK681" i="16" s="1"/>
  <c r="AQ681" i="16"/>
  <c r="BA681" i="16"/>
  <c r="S640" i="119"/>
  <c r="BI699" i="16"/>
  <c r="BK699" i="16" s="1"/>
  <c r="S658" i="119"/>
  <c r="AQ699" i="16"/>
  <c r="G637" i="182" s="1"/>
  <c r="O637" i="182" s="1"/>
  <c r="BA699" i="16"/>
  <c r="BI815" i="16"/>
  <c r="BK815" i="16" s="1"/>
  <c r="BA815" i="16"/>
  <c r="AT815" i="16"/>
  <c r="S768" i="119"/>
  <c r="AQ815" i="16"/>
  <c r="BI917" i="16"/>
  <c r="BK917" i="16" s="1"/>
  <c r="AT917" i="16"/>
  <c r="S866" i="119"/>
  <c r="AQ917" i="16"/>
  <c r="BA917" i="16"/>
  <c r="BE917" i="16"/>
  <c r="AQ160" i="16"/>
  <c r="BF160" i="16" s="1"/>
  <c r="BI202" i="16"/>
  <c r="BK202" i="16" s="1"/>
  <c r="AT202" i="16"/>
  <c r="AQ202" i="16"/>
  <c r="S183" i="119"/>
  <c r="BA202" i="16"/>
  <c r="BE202" i="16" s="1"/>
  <c r="BI352" i="16"/>
  <c r="BK352" i="16" s="1"/>
  <c r="S327" i="119"/>
  <c r="U327" i="119" s="1"/>
  <c r="AT352" i="16"/>
  <c r="BA352" i="16"/>
  <c r="AQ352" i="16"/>
  <c r="BI423" i="16"/>
  <c r="BK423" i="16" s="1"/>
  <c r="BA423" i="16"/>
  <c r="AT423" i="16"/>
  <c r="S394" i="119"/>
  <c r="AQ423" i="16"/>
  <c r="BI460" i="16"/>
  <c r="BK460" i="16" s="1"/>
  <c r="BA460" i="16"/>
  <c r="BE460" i="16" s="1"/>
  <c r="AQ460" i="16"/>
  <c r="S429" i="119"/>
  <c r="U429" i="119" s="1"/>
  <c r="AT460" i="16"/>
  <c r="BI778" i="16"/>
  <c r="S733" i="119"/>
  <c r="AT778" i="16"/>
  <c r="BA778" i="16"/>
  <c r="BE778" i="16" s="1"/>
  <c r="AQ778" i="16"/>
  <c r="BI831" i="16"/>
  <c r="BK831" i="16" s="1"/>
  <c r="AT831" i="16"/>
  <c r="S784" i="119"/>
  <c r="U784" i="119" s="1"/>
  <c r="AQ831" i="16"/>
  <c r="BA831" i="16"/>
  <c r="BE831" i="16" s="1"/>
  <c r="BI1101" i="16"/>
  <c r="BK1101" i="16" s="1"/>
  <c r="BA1101" i="16"/>
  <c r="S1042" i="119"/>
  <c r="AQ1101" i="16"/>
  <c r="AT1101" i="16"/>
  <c r="BI280" i="16"/>
  <c r="BK280" i="16" s="1"/>
  <c r="BA280" i="16"/>
  <c r="AQ280" i="16"/>
  <c r="S257" i="119"/>
  <c r="U257" i="119" s="1"/>
  <c r="BI439" i="16"/>
  <c r="AQ439" i="16"/>
  <c r="S410" i="119"/>
  <c r="U410" i="119" s="1"/>
  <c r="AT439" i="16"/>
  <c r="BA439" i="16"/>
  <c r="BI465" i="16"/>
  <c r="BK465" i="16" s="1"/>
  <c r="S434" i="119"/>
  <c r="AT465" i="16"/>
  <c r="AQ465" i="16"/>
  <c r="BA465" i="16"/>
  <c r="BI527" i="16"/>
  <c r="BK527" i="16" s="1"/>
  <c r="S494" i="119"/>
  <c r="BA527" i="16"/>
  <c r="AQ527" i="16"/>
  <c r="AT527" i="16"/>
  <c r="BI558" i="16"/>
  <c r="AQ558" i="16"/>
  <c r="BA558" i="16"/>
  <c r="AT558" i="16"/>
  <c r="S523" i="119"/>
  <c r="BI643" i="16"/>
  <c r="BK643" i="16" s="1"/>
  <c r="AT643" i="16"/>
  <c r="BA643" i="16"/>
  <c r="S604" i="119"/>
  <c r="AQ643" i="16"/>
  <c r="BI700" i="16"/>
  <c r="BK700" i="16"/>
  <c r="S659" i="119"/>
  <c r="BA700" i="16"/>
  <c r="BE700" i="16" s="1"/>
  <c r="AQ700" i="16"/>
  <c r="BI738" i="16"/>
  <c r="BK738" i="16" s="1"/>
  <c r="AQ738" i="16"/>
  <c r="S695" i="119"/>
  <c r="AT738" i="16"/>
  <c r="BA738" i="16"/>
  <c r="BE738" i="16" s="1"/>
  <c r="BI827" i="16"/>
  <c r="BK827" i="16"/>
  <c r="BA827" i="16"/>
  <c r="S780" i="119"/>
  <c r="U780" i="119" s="1"/>
  <c r="AT827" i="16"/>
  <c r="AQ827" i="16"/>
  <c r="BI847" i="16"/>
  <c r="BK847" i="16"/>
  <c r="BA847" i="16"/>
  <c r="AQ847" i="16"/>
  <c r="S800" i="119"/>
  <c r="U800" i="119" s="1"/>
  <c r="AT847" i="16"/>
  <c r="BI870" i="16"/>
  <c r="BK870" i="16" s="1"/>
  <c r="BA870" i="16"/>
  <c r="BE870" i="16" s="1"/>
  <c r="S821" i="119"/>
  <c r="AQ870" i="16"/>
  <c r="AT870" i="16"/>
  <c r="BI901" i="16"/>
  <c r="BK901" i="16" s="1"/>
  <c r="BA901" i="16"/>
  <c r="AQ901" i="16"/>
  <c r="BF901" i="16" s="1"/>
  <c r="AT901" i="16"/>
  <c r="S850" i="119"/>
  <c r="BI933" i="16"/>
  <c r="BK933" i="16" s="1"/>
  <c r="BA933" i="16"/>
  <c r="AQ933" i="16"/>
  <c r="S882" i="119"/>
  <c r="U882" i="119" s="1"/>
  <c r="AT933" i="16"/>
  <c r="O1024" i="182"/>
  <c r="O700" i="182"/>
  <c r="BC939" i="16"/>
  <c r="BC938" i="16"/>
  <c r="BC940" i="16"/>
  <c r="O234" i="182"/>
  <c r="O1005" i="182"/>
  <c r="O881" i="182"/>
  <c r="O749" i="182"/>
  <c r="O745" i="182"/>
  <c r="BE1056" i="16"/>
  <c r="O254" i="182"/>
  <c r="O584" i="182"/>
  <c r="BI144" i="16"/>
  <c r="BK144" i="16" s="1"/>
  <c r="AQ144" i="16"/>
  <c r="BI198" i="16"/>
  <c r="BK198" i="16" s="1"/>
  <c r="S179" i="119"/>
  <c r="BA198" i="16"/>
  <c r="BE198" i="16" s="1"/>
  <c r="AQ198" i="16"/>
  <c r="AT198" i="16"/>
  <c r="BI258" i="16"/>
  <c r="AQ258" i="16"/>
  <c r="BI272" i="16"/>
  <c r="S249" i="119"/>
  <c r="U249" i="119" s="1"/>
  <c r="AQ272" i="16"/>
  <c r="G228" i="182" s="1"/>
  <c r="BA272" i="16"/>
  <c r="BI304" i="16"/>
  <c r="BK304" i="16" s="1"/>
  <c r="AQ304" i="16"/>
  <c r="BA304" i="16"/>
  <c r="S281" i="119"/>
  <c r="U281" i="119" s="1"/>
  <c r="BI416" i="16"/>
  <c r="S387" i="119"/>
  <c r="BA416" i="16"/>
  <c r="AT416" i="16"/>
  <c r="AQ416" i="16"/>
  <c r="BI148" i="16"/>
  <c r="AQ148" i="16"/>
  <c r="BI268" i="16"/>
  <c r="BK268" i="16" s="1"/>
  <c r="AQ268" i="16"/>
  <c r="BA268" i="16"/>
  <c r="S245" i="119"/>
  <c r="BI305" i="16"/>
  <c r="AQ305" i="16"/>
  <c r="S282" i="119"/>
  <c r="BA305" i="16"/>
  <c r="BI365" i="16"/>
  <c r="BK365" i="16" s="1"/>
  <c r="S338" i="119"/>
  <c r="U338" i="119" s="1"/>
  <c r="AT365" i="16"/>
  <c r="AQ365" i="16"/>
  <c r="BA365" i="16"/>
  <c r="BI389" i="16"/>
  <c r="BK389" i="16" s="1"/>
  <c r="AQ389" i="16"/>
  <c r="S362" i="119"/>
  <c r="U362" i="119" s="1"/>
  <c r="BA389" i="16"/>
  <c r="AT389" i="16"/>
  <c r="BI437" i="16"/>
  <c r="BK437" i="16" s="1"/>
  <c r="S408" i="119"/>
  <c r="U408" i="119" s="1"/>
  <c r="BA437" i="16"/>
  <c r="AQ437" i="16"/>
  <c r="AT437" i="16"/>
  <c r="BI475" i="16"/>
  <c r="BK475" i="16" s="1"/>
  <c r="BA475" i="16"/>
  <c r="S444" i="119"/>
  <c r="U444" i="119" s="1"/>
  <c r="AQ475" i="16"/>
  <c r="AT475" i="16"/>
  <c r="BI506" i="16"/>
  <c r="AT506" i="16"/>
  <c r="S473" i="119"/>
  <c r="BA506" i="16"/>
  <c r="AQ506" i="16"/>
  <c r="BI522" i="16"/>
  <c r="BK522" i="16" s="1"/>
  <c r="BA522" i="16"/>
  <c r="AT522" i="16"/>
  <c r="AQ522" i="16"/>
  <c r="S489" i="119"/>
  <c r="BI553" i="16"/>
  <c r="BA553" i="16"/>
  <c r="AQ553" i="16"/>
  <c r="S518" i="119"/>
  <c r="AT553" i="16"/>
  <c r="BI639" i="16"/>
  <c r="BK639" i="16" s="1"/>
  <c r="S600" i="119"/>
  <c r="AT639" i="16"/>
  <c r="AQ639" i="16"/>
  <c r="BA639" i="16"/>
  <c r="BE639" i="16" s="1"/>
  <c r="BC849" i="16"/>
  <c r="BC848" i="16"/>
  <c r="BC850" i="16"/>
  <c r="BI145" i="16"/>
  <c r="AQ145" i="16"/>
  <c r="BF145" i="16" s="1"/>
  <c r="BA145" i="16"/>
  <c r="AT145" i="16"/>
  <c r="S128" i="119"/>
  <c r="BI269" i="16"/>
  <c r="S246" i="119"/>
  <c r="AQ269" i="16"/>
  <c r="BA269" i="16"/>
  <c r="BI494" i="16"/>
  <c r="BK494" i="16" s="1"/>
  <c r="AQ494" i="16"/>
  <c r="BA494" i="16"/>
  <c r="S461" i="119"/>
  <c r="U461" i="119" s="1"/>
  <c r="AT494" i="16"/>
  <c r="BI515" i="16"/>
  <c r="BK515" i="16" s="1"/>
  <c r="BA515" i="16"/>
  <c r="S482" i="119"/>
  <c r="U482" i="119" s="1"/>
  <c r="AT515" i="16"/>
  <c r="AQ515" i="16"/>
  <c r="BI754" i="16"/>
  <c r="BK754" i="16" s="1"/>
  <c r="BA754" i="16"/>
  <c r="BE754" i="16" s="1"/>
  <c r="AQ754" i="16"/>
  <c r="S711" i="119"/>
  <c r="U711" i="119" s="1"/>
  <c r="AT754" i="16"/>
  <c r="BI843" i="16"/>
  <c r="BK843" i="16" s="1"/>
  <c r="S796" i="119"/>
  <c r="AQ843" i="16"/>
  <c r="AT843" i="16"/>
  <c r="BA843" i="16"/>
  <c r="BI921" i="16"/>
  <c r="BK921" i="16" s="1"/>
  <c r="AT921" i="16"/>
  <c r="S870" i="119"/>
  <c r="U870" i="119" s="1"/>
  <c r="AQ921" i="16"/>
  <c r="BA921" i="16"/>
  <c r="BI970" i="16"/>
  <c r="BK970" i="16" s="1"/>
  <c r="BA970" i="16"/>
  <c r="AQ970" i="16"/>
  <c r="S917" i="119"/>
  <c r="AT970" i="16"/>
  <c r="BI1097" i="16"/>
  <c r="BK1097" i="16" s="1"/>
  <c r="AT1097" i="16"/>
  <c r="BA1097" i="16"/>
  <c r="BE1097" i="16" s="1"/>
  <c r="AQ1097" i="16"/>
  <c r="S1038" i="119"/>
  <c r="BI226" i="16"/>
  <c r="BK226" i="16" s="1"/>
  <c r="BA226" i="16"/>
  <c r="S205" i="119"/>
  <c r="AQ226" i="16"/>
  <c r="BI481" i="16"/>
  <c r="BK481" i="16" s="1"/>
  <c r="BA481" i="16"/>
  <c r="AQ481" i="16"/>
  <c r="G429" i="182" s="1"/>
  <c r="O429" i="182" s="1"/>
  <c r="AT481" i="16"/>
  <c r="S450" i="119"/>
  <c r="U450" i="119" s="1"/>
  <c r="BI547" i="16"/>
  <c r="AT547" i="16"/>
  <c r="AQ547" i="16"/>
  <c r="BA547" i="16"/>
  <c r="S512" i="119"/>
  <c r="U512" i="119" s="1"/>
  <c r="BI687" i="16"/>
  <c r="BK687" i="16" s="1"/>
  <c r="BA687" i="16"/>
  <c r="AQ687" i="16"/>
  <c r="S646" i="119"/>
  <c r="U646" i="119" s="1"/>
  <c r="BI736" i="16"/>
  <c r="BK736" i="16" s="1"/>
  <c r="AQ736" i="16"/>
  <c r="S693" i="119"/>
  <c r="U693" i="119" s="1"/>
  <c r="AT736" i="16"/>
  <c r="BA736" i="16"/>
  <c r="BI800" i="16"/>
  <c r="BK800" i="16" s="1"/>
  <c r="BA800" i="16"/>
  <c r="S755" i="119"/>
  <c r="U755" i="119" s="1"/>
  <c r="AT800" i="16"/>
  <c r="AQ800" i="16"/>
  <c r="BI841" i="16"/>
  <c r="BK841" i="16" s="1"/>
  <c r="AQ841" i="16"/>
  <c r="BA841" i="16"/>
  <c r="BE841" i="16" s="1"/>
  <c r="AT841" i="16"/>
  <c r="S794" i="119"/>
  <c r="U794" i="119" s="1"/>
  <c r="BI1108" i="16"/>
  <c r="BK1108" i="16" s="1"/>
  <c r="S1049" i="119"/>
  <c r="AT1108" i="16"/>
  <c r="BA1108" i="16"/>
  <c r="AQ1108" i="16"/>
  <c r="BF1108" i="16" s="1"/>
  <c r="BI507" i="16"/>
  <c r="BK507" i="16" s="1"/>
  <c r="S474" i="119"/>
  <c r="U474" i="119" s="1"/>
  <c r="BA507" i="16"/>
  <c r="BE507" i="16"/>
  <c r="AQ507" i="16"/>
  <c r="AT507" i="16"/>
  <c r="AQ588" i="16"/>
  <c r="AT588" i="16"/>
  <c r="BI691" i="16"/>
  <c r="S650" i="119"/>
  <c r="U650" i="119" s="1"/>
  <c r="AQ691" i="16"/>
  <c r="BA691" i="16"/>
  <c r="BI820" i="16"/>
  <c r="BK820" i="16"/>
  <c r="S773" i="119"/>
  <c r="AQ820" i="16"/>
  <c r="BA820" i="16"/>
  <c r="BE820" i="16" s="1"/>
  <c r="AT820" i="16"/>
  <c r="BI879" i="16"/>
  <c r="BK879" i="16"/>
  <c r="S830" i="119"/>
  <c r="BA879" i="16"/>
  <c r="AQ879" i="16"/>
  <c r="AT879" i="16"/>
  <c r="BI969" i="16"/>
  <c r="BK969" i="16" s="1"/>
  <c r="AQ969" i="16"/>
  <c r="AT969" i="16"/>
  <c r="BA969" i="16"/>
  <c r="S916" i="119"/>
  <c r="BI370" i="16"/>
  <c r="BK370" i="16" s="1"/>
  <c r="BA370" i="16"/>
  <c r="AT370" i="16"/>
  <c r="AQ370" i="16"/>
  <c r="S343" i="119"/>
  <c r="U343" i="119" s="1"/>
  <c r="BI391" i="16"/>
  <c r="BK391" i="16" s="1"/>
  <c r="AT391" i="16"/>
  <c r="AQ391" i="16"/>
  <c r="BA391" i="16"/>
  <c r="S364" i="119"/>
  <c r="BK439" i="16"/>
  <c r="BI836" i="16"/>
  <c r="BK836" i="16" s="1"/>
  <c r="S789" i="119"/>
  <c r="AT836" i="16"/>
  <c r="BA836" i="16"/>
  <c r="AQ836" i="16"/>
  <c r="O262" i="182"/>
  <c r="O591" i="182"/>
  <c r="AT1069" i="16"/>
  <c r="BA1069" i="16"/>
  <c r="BI1069" i="16"/>
  <c r="BK1069" i="16" s="1"/>
  <c r="AQ1069" i="16"/>
  <c r="S1012" i="119"/>
  <c r="G964" i="182"/>
  <c r="BF1042" i="16"/>
  <c r="O621" i="182"/>
  <c r="O975" i="182"/>
  <c r="O980" i="182"/>
  <c r="O790" i="182"/>
  <c r="O872" i="182"/>
  <c r="BJ1074" i="16"/>
  <c r="O981" i="182"/>
  <c r="G986" i="182"/>
  <c r="BF1064" i="16"/>
  <c r="O855" i="182"/>
  <c r="O982" i="182"/>
  <c r="AT152" i="16"/>
  <c r="BI411" i="16"/>
  <c r="BK411" i="16" s="1"/>
  <c r="AT411" i="16"/>
  <c r="S382" i="119"/>
  <c r="AQ411" i="16"/>
  <c r="BA411" i="16"/>
  <c r="BI93" i="16"/>
  <c r="BK93" i="16" s="1"/>
  <c r="BA93" i="16"/>
  <c r="AQ93" i="16"/>
  <c r="S78" i="119"/>
  <c r="BI214" i="16"/>
  <c r="BK214" i="16" s="1"/>
  <c r="BA214" i="16"/>
  <c r="BE214" i="16"/>
  <c r="AT214" i="16"/>
  <c r="S195" i="119"/>
  <c r="AQ214" i="16"/>
  <c r="BI229" i="16"/>
  <c r="S208" i="119"/>
  <c r="BA229" i="16"/>
  <c r="AQ229" i="16"/>
  <c r="BI276" i="16"/>
  <c r="BK276" i="16" s="1"/>
  <c r="S253" i="119"/>
  <c r="U253" i="119" s="1"/>
  <c r="BA276" i="16"/>
  <c r="AQ276" i="16"/>
  <c r="G232" i="182" s="1"/>
  <c r="O232" i="182" s="1"/>
  <c r="BK272" i="16"/>
  <c r="BK416" i="16"/>
  <c r="BI251" i="16"/>
  <c r="S230" i="119"/>
  <c r="U230" i="119" s="1"/>
  <c r="BA251" i="16"/>
  <c r="AQ251" i="16"/>
  <c r="BI282" i="16"/>
  <c r="BK282" i="16" s="1"/>
  <c r="S259" i="119"/>
  <c r="U259" i="119" s="1"/>
  <c r="AQ282" i="16"/>
  <c r="BA282" i="16"/>
  <c r="BK305" i="16"/>
  <c r="BI432" i="16"/>
  <c r="BK432" i="16" s="1"/>
  <c r="S403" i="119"/>
  <c r="BA432" i="16"/>
  <c r="AT432" i="16"/>
  <c r="AQ432" i="16"/>
  <c r="BI510" i="16"/>
  <c r="BK510" i="16" s="1"/>
  <c r="AQ510" i="16"/>
  <c r="AT510" i="16"/>
  <c r="S477" i="119"/>
  <c r="BA510" i="16"/>
  <c r="BI526" i="16"/>
  <c r="BK526" i="16" s="1"/>
  <c r="S493" i="119"/>
  <c r="AT526" i="16"/>
  <c r="AQ526" i="16"/>
  <c r="BA526" i="16"/>
  <c r="BI561" i="16"/>
  <c r="BK561" i="16" s="1"/>
  <c r="AQ561" i="16"/>
  <c r="BI703" i="16"/>
  <c r="BK703" i="16" s="1"/>
  <c r="S662" i="119"/>
  <c r="BA703" i="16"/>
  <c r="AQ703" i="16"/>
  <c r="BI913" i="16"/>
  <c r="BK913" i="16" s="1"/>
  <c r="S862" i="119"/>
  <c r="AT913" i="16"/>
  <c r="AQ913" i="16"/>
  <c r="BA913" i="16"/>
  <c r="BE913" i="16" s="1"/>
  <c r="BK269" i="16"/>
  <c r="BI287" i="16"/>
  <c r="BK287" i="16" s="1"/>
  <c r="BA287" i="16"/>
  <c r="S264" i="119"/>
  <c r="AQ287" i="16"/>
  <c r="BI301" i="16"/>
  <c r="BK301" i="16" s="1"/>
  <c r="AQ301" i="16"/>
  <c r="BA301" i="16"/>
  <c r="S278" i="119"/>
  <c r="BI476" i="16"/>
  <c r="AQ476" i="16"/>
  <c r="BA476" i="16"/>
  <c r="S445" i="119"/>
  <c r="AT476" i="16"/>
  <c r="BI731" i="16"/>
  <c r="BK731" i="16" s="1"/>
  <c r="S688" i="119"/>
  <c r="AT731" i="16"/>
  <c r="BA731" i="16"/>
  <c r="AQ731" i="16"/>
  <c r="BI784" i="16"/>
  <c r="S739" i="119"/>
  <c r="U739" i="119" s="1"/>
  <c r="AQ784" i="16"/>
  <c r="BA784" i="16"/>
  <c r="AT784" i="16"/>
  <c r="BI1012" i="16"/>
  <c r="BK1012" i="16" s="1"/>
  <c r="S957" i="119"/>
  <c r="AT1012" i="16"/>
  <c r="BA1012" i="16"/>
  <c r="AQ1012" i="16"/>
  <c r="BF1012" i="16" s="1"/>
  <c r="BI247" i="16"/>
  <c r="BK247" i="16" s="1"/>
  <c r="S226" i="119"/>
  <c r="BA247" i="16"/>
  <c r="AQ247" i="16"/>
  <c r="BI449" i="16"/>
  <c r="BK449" i="16" s="1"/>
  <c r="AQ449" i="16"/>
  <c r="S418" i="119"/>
  <c r="AT449" i="16"/>
  <c r="BA449" i="16"/>
  <c r="BI503" i="16"/>
  <c r="BK503" i="16" s="1"/>
  <c r="S470" i="119"/>
  <c r="AT503" i="16"/>
  <c r="BA503" i="16"/>
  <c r="AQ503" i="16"/>
  <c r="BI542" i="16"/>
  <c r="BK542" i="16" s="1"/>
  <c r="S507" i="119"/>
  <c r="BA542" i="16"/>
  <c r="AT542" i="16"/>
  <c r="S547" i="119"/>
  <c r="BI650" i="16"/>
  <c r="BK650" i="16" s="1"/>
  <c r="AQ650" i="16"/>
  <c r="BA650" i="16"/>
  <c r="S611" i="119"/>
  <c r="AT650" i="16"/>
  <c r="BI708" i="16"/>
  <c r="BK708" i="16" s="1"/>
  <c r="AQ708" i="16"/>
  <c r="BA708" i="16"/>
  <c r="BE708" i="16" s="1"/>
  <c r="S667" i="119"/>
  <c r="BI720" i="16"/>
  <c r="BK720" i="16" s="1"/>
  <c r="BA720" i="16"/>
  <c r="BE720" i="16"/>
  <c r="AQ720" i="16"/>
  <c r="AT720" i="16"/>
  <c r="S677" i="119"/>
  <c r="U677" i="119" s="1"/>
  <c r="BC759" i="16"/>
  <c r="BC758" i="16"/>
  <c r="BC760" i="16"/>
  <c r="BI910" i="16"/>
  <c r="BK910" i="16"/>
  <c r="AQ910" i="16"/>
  <c r="AT910" i="16"/>
  <c r="S859" i="119"/>
  <c r="BA910" i="16"/>
  <c r="BI1016" i="16"/>
  <c r="BK1016" i="16" s="1"/>
  <c r="AQ1016" i="16"/>
  <c r="BA1016" i="16"/>
  <c r="AT1016" i="16"/>
  <c r="S961" i="119"/>
  <c r="U961" i="119" s="1"/>
  <c r="BI186" i="16"/>
  <c r="BK186" i="16" s="1"/>
  <c r="BA186" i="16"/>
  <c r="BE186" i="16" s="1"/>
  <c r="AQ186" i="16"/>
  <c r="AT186" i="16"/>
  <c r="S167" i="119"/>
  <c r="BI339" i="16"/>
  <c r="BK339" i="16" s="1"/>
  <c r="BA339" i="16"/>
  <c r="AT339" i="16"/>
  <c r="AQ339" i="16"/>
  <c r="BF339" i="16" s="1"/>
  <c r="S314" i="119"/>
  <c r="BI369" i="16"/>
  <c r="BK369" i="16" s="1"/>
  <c r="BA369" i="16"/>
  <c r="AT369" i="16"/>
  <c r="S342" i="119"/>
  <c r="AQ369" i="16"/>
  <c r="BI455" i="16"/>
  <c r="BK455" i="16" s="1"/>
  <c r="S424" i="119"/>
  <c r="U424" i="119" s="1"/>
  <c r="BA455" i="16"/>
  <c r="AT455" i="16"/>
  <c r="AQ455" i="16"/>
  <c r="BI633" i="16"/>
  <c r="BK633" i="16" s="1"/>
  <c r="S594" i="119"/>
  <c r="U594" i="119" s="1"/>
  <c r="BA633" i="16"/>
  <c r="BE633" i="16" s="1"/>
  <c r="AQ633" i="16"/>
  <c r="AT633" i="16"/>
  <c r="BK691" i="16"/>
  <c r="BI752" i="16"/>
  <c r="BK752" i="16" s="1"/>
  <c r="AT752" i="16"/>
  <c r="AQ752" i="16"/>
  <c r="S709" i="119"/>
  <c r="BA752" i="16"/>
  <c r="BI1096" i="16"/>
  <c r="BK1096" i="16" s="1"/>
  <c r="AQ1096" i="16"/>
  <c r="AT1096" i="16"/>
  <c r="BA1096" i="16"/>
  <c r="S1037" i="119"/>
  <c r="BI1113" i="16"/>
  <c r="S1054" i="119"/>
  <c r="BA1113" i="16"/>
  <c r="AT1113" i="16"/>
  <c r="AQ1113" i="16"/>
  <c r="BI319" i="16"/>
  <c r="BK319" i="16" s="1"/>
  <c r="AQ319" i="16"/>
  <c r="S294" i="119"/>
  <c r="AT319" i="16"/>
  <c r="BA319" i="16"/>
  <c r="BI385" i="16"/>
  <c r="BK385" i="16" s="1"/>
  <c r="BA385" i="16"/>
  <c r="S358" i="119"/>
  <c r="AT385" i="16"/>
  <c r="AQ385" i="16"/>
  <c r="BI511" i="16"/>
  <c r="BK511" i="16" s="1"/>
  <c r="S478" i="119"/>
  <c r="AT511" i="16"/>
  <c r="BA511" i="16"/>
  <c r="BE511" i="16" s="1"/>
  <c r="AQ511" i="16"/>
  <c r="BI565" i="16"/>
  <c r="BK565" i="16" s="1"/>
  <c r="S530" i="119"/>
  <c r="BA565" i="16"/>
  <c r="BI722" i="16"/>
  <c r="BK722" i="16" s="1"/>
  <c r="S679" i="119"/>
  <c r="AT722" i="16"/>
  <c r="BA722" i="16"/>
  <c r="AQ722" i="16"/>
  <c r="BI809" i="16"/>
  <c r="BK809" i="16" s="1"/>
  <c r="AQ809" i="16"/>
  <c r="BA809" i="16"/>
  <c r="S762" i="119"/>
  <c r="U762" i="119" s="1"/>
  <c r="AT809" i="16"/>
  <c r="BI854" i="16"/>
  <c r="BK854" i="16" s="1"/>
  <c r="AT854" i="16"/>
  <c r="AQ854" i="16"/>
  <c r="S805" i="119"/>
  <c r="BA854" i="16"/>
  <c r="BI886" i="16"/>
  <c r="BK886" i="16" s="1"/>
  <c r="AQ886" i="16"/>
  <c r="AT886" i="16"/>
  <c r="BA886" i="16"/>
  <c r="S837" i="119"/>
  <c r="BI926" i="16"/>
  <c r="BK926" i="16" s="1"/>
  <c r="S875" i="119"/>
  <c r="AQ926" i="16"/>
  <c r="BA926" i="16"/>
  <c r="AT926" i="16"/>
  <c r="BI1002" i="16"/>
  <c r="BK1002" i="16" s="1"/>
  <c r="AT1002" i="16"/>
  <c r="AQ1002" i="16"/>
  <c r="BA1002" i="16"/>
  <c r="S947" i="119"/>
  <c r="O794" i="182"/>
  <c r="O675" i="182"/>
  <c r="O928" i="182"/>
  <c r="O596" i="182"/>
  <c r="O535" i="182"/>
  <c r="O988" i="182"/>
  <c r="O959" i="182"/>
  <c r="O968" i="182"/>
  <c r="O802" i="182"/>
  <c r="O918" i="182"/>
  <c r="O885" i="182"/>
  <c r="G978" i="182"/>
  <c r="O978" i="182" s="1"/>
  <c r="O937" i="182"/>
  <c r="O592" i="182"/>
  <c r="O966" i="182"/>
  <c r="BE1064" i="16"/>
  <c r="O613" i="182"/>
  <c r="BI250" i="16"/>
  <c r="BK250" i="16" s="1"/>
  <c r="AQ250" i="16"/>
  <c r="BA250" i="16"/>
  <c r="S229" i="119"/>
  <c r="BI277" i="16"/>
  <c r="BK277" i="16" s="1"/>
  <c r="S254" i="119"/>
  <c r="BA277" i="16"/>
  <c r="AQ277" i="16"/>
  <c r="BI241" i="16"/>
  <c r="BK241" i="16" s="1"/>
  <c r="BI281" i="16"/>
  <c r="BK281" i="16" s="1"/>
  <c r="BA281" i="16"/>
  <c r="S258" i="119"/>
  <c r="AQ281" i="16"/>
  <c r="BI316" i="16"/>
  <c r="BK316" i="16" s="1"/>
  <c r="AQ316" i="16"/>
  <c r="BA316" i="16"/>
  <c r="AT316" i="16"/>
  <c r="S291" i="119"/>
  <c r="U291" i="119" s="1"/>
  <c r="BI140" i="16"/>
  <c r="AQ140" i="16"/>
  <c r="AT140" i="16"/>
  <c r="BA140" i="16"/>
  <c r="S123" i="119"/>
  <c r="U123" i="119" s="1"/>
  <c r="BI245" i="16"/>
  <c r="S224" i="119"/>
  <c r="U224" i="119" s="1"/>
  <c r="BA245" i="16"/>
  <c r="AQ245" i="16"/>
  <c r="BI273" i="16"/>
  <c r="BK273" i="16" s="1"/>
  <c r="S250" i="119"/>
  <c r="BA273" i="16"/>
  <c r="AQ273" i="16"/>
  <c r="BI300" i="16"/>
  <c r="BK300" i="16" s="1"/>
  <c r="AQ300" i="16"/>
  <c r="S277" i="119"/>
  <c r="U277" i="119" s="1"/>
  <c r="BA300" i="16"/>
  <c r="BI348" i="16"/>
  <c r="BK348" i="16" s="1"/>
  <c r="BA348" i="16"/>
  <c r="AQ348" i="16"/>
  <c r="AT348" i="16"/>
  <c r="S323" i="119"/>
  <c r="U323" i="119" s="1"/>
  <c r="BI381" i="16"/>
  <c r="BK381" i="16" s="1"/>
  <c r="S354" i="119"/>
  <c r="U354" i="119" s="1"/>
  <c r="AT381" i="16"/>
  <c r="BA381" i="16"/>
  <c r="BE381" i="16"/>
  <c r="AQ381" i="16"/>
  <c r="BI407" i="16"/>
  <c r="BK407" i="16" s="1"/>
  <c r="AT407" i="16"/>
  <c r="S378" i="119"/>
  <c r="AQ407" i="16"/>
  <c r="BA407" i="16"/>
  <c r="BI459" i="16"/>
  <c r="BK459" i="16" s="1"/>
  <c r="AQ459" i="16"/>
  <c r="BA459" i="16"/>
  <c r="S428" i="119"/>
  <c r="AT459" i="16"/>
  <c r="BI498" i="16"/>
  <c r="BA498" i="16"/>
  <c r="S465" i="119"/>
  <c r="AQ498" i="16"/>
  <c r="AT498" i="16"/>
  <c r="BI514" i="16"/>
  <c r="BK514" i="16" s="1"/>
  <c r="S481" i="119"/>
  <c r="BA514" i="16"/>
  <c r="AQ514" i="16"/>
  <c r="AT514" i="16"/>
  <c r="BI530" i="16"/>
  <c r="AQ530" i="16"/>
  <c r="BA530" i="16"/>
  <c r="AT530" i="16"/>
  <c r="S497" i="119"/>
  <c r="BI577" i="16"/>
  <c r="BK577" i="16" s="1"/>
  <c r="S542" i="119"/>
  <c r="BA577" i="16"/>
  <c r="AT577" i="16"/>
  <c r="AQ577" i="16"/>
  <c r="BI707" i="16"/>
  <c r="BK707" i="16" s="1"/>
  <c r="BA707" i="16"/>
  <c r="S666" i="119"/>
  <c r="AQ707" i="16"/>
  <c r="BI929" i="16"/>
  <c r="BK929" i="16" s="1"/>
  <c r="S878" i="119"/>
  <c r="BA929" i="16"/>
  <c r="AT929" i="16"/>
  <c r="AQ929" i="16"/>
  <c r="BI233" i="16"/>
  <c r="BA233" i="16"/>
  <c r="S212" i="119"/>
  <c r="U212" i="119" s="1"/>
  <c r="AQ233" i="16"/>
  <c r="BK476" i="16"/>
  <c r="BI499" i="16"/>
  <c r="BK499" i="16" s="1"/>
  <c r="BA499" i="16"/>
  <c r="S466" i="119"/>
  <c r="AQ499" i="16"/>
  <c r="AT499" i="16"/>
  <c r="BI531" i="16"/>
  <c r="BK531" i="16" s="1"/>
  <c r="S498" i="119"/>
  <c r="AQ531" i="16"/>
  <c r="BA531" i="16"/>
  <c r="AT531" i="16"/>
  <c r="BI596" i="16"/>
  <c r="BK596" i="16" s="1"/>
  <c r="BI764" i="16"/>
  <c r="BK764" i="16" s="1"/>
  <c r="AQ764" i="16"/>
  <c r="BA764" i="16"/>
  <c r="BE764" i="16" s="1"/>
  <c r="S719" i="119"/>
  <c r="AT764" i="16"/>
  <c r="BK784" i="16"/>
  <c r="BI825" i="16"/>
  <c r="BK825" i="16" s="1"/>
  <c r="AT825" i="16"/>
  <c r="AQ825" i="16"/>
  <c r="BA825" i="16"/>
  <c r="S778" i="119"/>
  <c r="BI978" i="16"/>
  <c r="BK978" i="16" s="1"/>
  <c r="BA978" i="16"/>
  <c r="AQ978" i="16"/>
  <c r="AT978" i="16"/>
  <c r="S925" i="119"/>
  <c r="BI1105" i="16"/>
  <c r="BK1105" i="16" s="1"/>
  <c r="BA1105" i="16"/>
  <c r="AQ1105" i="16"/>
  <c r="S1046" i="119"/>
  <c r="AT1105" i="16"/>
  <c r="BI747" i="16"/>
  <c r="BK747" i="16" s="1"/>
  <c r="BA747" i="16"/>
  <c r="BE747" i="16" s="1"/>
  <c r="AT747" i="16"/>
  <c r="AQ747" i="16"/>
  <c r="S704" i="119"/>
  <c r="U704" i="119" s="1"/>
  <c r="BI789" i="16"/>
  <c r="BK789" i="16" s="1"/>
  <c r="BA789" i="16"/>
  <c r="S744" i="119"/>
  <c r="U744" i="119" s="1"/>
  <c r="AT789" i="16"/>
  <c r="AQ789" i="16"/>
  <c r="BI957" i="16"/>
  <c r="BK957" i="16" s="1"/>
  <c r="AT957" i="16"/>
  <c r="BA957" i="16"/>
  <c r="S904" i="119"/>
  <c r="U904" i="119" s="1"/>
  <c r="AQ957" i="16"/>
  <c r="BI487" i="16"/>
  <c r="BK487" i="16" s="1"/>
  <c r="S456" i="119"/>
  <c r="U456" i="119" s="1"/>
  <c r="AT487" i="16"/>
  <c r="AQ487" i="16"/>
  <c r="BA487" i="16"/>
  <c r="BI523" i="16"/>
  <c r="BK523" i="16" s="1"/>
  <c r="AQ523" i="16"/>
  <c r="S490" i="119"/>
  <c r="AT523" i="16"/>
  <c r="BA523" i="16"/>
  <c r="BI621" i="16"/>
  <c r="BK621" i="16" s="1"/>
  <c r="AT621" i="16"/>
  <c r="S584" i="119"/>
  <c r="AQ621" i="16"/>
  <c r="G563" i="182" s="1"/>
  <c r="O563" i="182" s="1"/>
  <c r="BA621" i="16"/>
  <c r="BI712" i="16"/>
  <c r="BK712" i="16" s="1"/>
  <c r="S671" i="119"/>
  <c r="AQ712" i="16"/>
  <c r="G650" i="182" s="1"/>
  <c r="O650" i="182" s="1"/>
  <c r="BA712" i="16"/>
  <c r="BE712" i="16" s="1"/>
  <c r="BK778" i="16"/>
  <c r="BI863" i="16"/>
  <c r="BK863" i="16"/>
  <c r="AQ863" i="16"/>
  <c r="BA863" i="16"/>
  <c r="BE863" i="16" s="1"/>
  <c r="S814" i="119"/>
  <c r="AT863" i="16"/>
  <c r="BI961" i="16"/>
  <c r="BK961" i="16" s="1"/>
  <c r="BA961" i="16"/>
  <c r="S908" i="119"/>
  <c r="AT961" i="16"/>
  <c r="AQ961" i="16"/>
  <c r="BI974" i="16"/>
  <c r="BK974" i="16" s="1"/>
  <c r="AQ974" i="16"/>
  <c r="S921" i="119"/>
  <c r="U921" i="119" s="1"/>
  <c r="BA974" i="16"/>
  <c r="AT974" i="16"/>
  <c r="BK1113" i="16"/>
  <c r="BI405" i="16"/>
  <c r="BK405" i="16" s="1"/>
  <c r="BA405" i="16"/>
  <c r="AQ405" i="16"/>
  <c r="AT405" i="16"/>
  <c r="S376" i="119"/>
  <c r="BI662" i="16"/>
  <c r="BK662" i="16" s="1"/>
  <c r="AT662" i="16"/>
  <c r="BA662" i="16"/>
  <c r="S623" i="119"/>
  <c r="AQ662" i="16"/>
  <c r="BI768" i="16"/>
  <c r="BK768" i="16" s="1"/>
  <c r="AT768" i="16"/>
  <c r="S723" i="119"/>
  <c r="BA768" i="16"/>
  <c r="AQ768" i="16"/>
  <c r="BI794" i="16"/>
  <c r="BK794" i="16" s="1"/>
  <c r="BA794" i="16"/>
  <c r="BE794" i="16" s="1"/>
  <c r="AQ794" i="16"/>
  <c r="S749" i="119"/>
  <c r="U749" i="119" s="1"/>
  <c r="AT794" i="16"/>
  <c r="BI950" i="16"/>
  <c r="BK950" i="16" s="1"/>
  <c r="S897" i="119"/>
  <c r="U897" i="119" s="1"/>
  <c r="AQ950" i="16"/>
  <c r="BA950" i="16"/>
  <c r="AT950" i="16"/>
  <c r="BI1008" i="16"/>
  <c r="BK1008" i="16" s="1"/>
  <c r="AT1008" i="16"/>
  <c r="S953" i="119"/>
  <c r="U953" i="119" s="1"/>
  <c r="BA1008" i="16"/>
  <c r="AQ1008" i="16"/>
  <c r="BI1117" i="16"/>
  <c r="BK1117" i="16" s="1"/>
  <c r="BA1117" i="16"/>
  <c r="S1058" i="119"/>
  <c r="AT1117" i="16"/>
  <c r="AQ1117" i="16"/>
  <c r="O1029" i="182"/>
  <c r="O230" i="182"/>
  <c r="G985" i="182"/>
  <c r="BF1063" i="16"/>
  <c r="O319" i="182"/>
  <c r="O963" i="182"/>
  <c r="O668" i="182"/>
  <c r="G37" i="182"/>
  <c r="O37" i="182" s="1"/>
  <c r="BA141" i="16"/>
  <c r="BI133" i="16"/>
  <c r="BK133" i="16" s="1"/>
  <c r="BA133" i="16"/>
  <c r="BI153" i="16"/>
  <c r="BA153" i="16"/>
  <c r="AT153" i="16"/>
  <c r="S136" i="119"/>
  <c r="AQ153" i="16"/>
  <c r="G115" i="182" s="1"/>
  <c r="O115" i="182" s="1"/>
  <c r="BA156" i="16"/>
  <c r="BI97" i="16"/>
  <c r="BK97" i="16" s="1"/>
  <c r="BI127" i="16"/>
  <c r="BK127" i="16" s="1"/>
  <c r="BI125" i="16"/>
  <c r="BK125" i="16" s="1"/>
  <c r="S110" i="119"/>
  <c r="AQ125" i="16"/>
  <c r="BA125" i="16"/>
  <c r="BE125" i="16" s="1"/>
  <c r="BI101" i="16"/>
  <c r="BK101" i="16" s="1"/>
  <c r="AQ101" i="16"/>
  <c r="BA101" i="16"/>
  <c r="BE101" i="16" s="1"/>
  <c r="S86" i="119"/>
  <c r="BI181" i="16"/>
  <c r="BK181" i="16" s="1"/>
  <c r="AT181" i="16"/>
  <c r="AQ181" i="16"/>
  <c r="BA181" i="16"/>
  <c r="S162" i="119"/>
  <c r="U162" i="119" s="1"/>
  <c r="BI187" i="16"/>
  <c r="S168" i="119"/>
  <c r="U168" i="119" s="1"/>
  <c r="AT187" i="16"/>
  <c r="AQ187" i="16"/>
  <c r="BA187" i="16"/>
  <c r="BI197" i="16"/>
  <c r="BK197" i="16" s="1"/>
  <c r="AT197" i="16"/>
  <c r="AQ197" i="16"/>
  <c r="BA197" i="16"/>
  <c r="S178" i="119"/>
  <c r="BI203" i="16"/>
  <c r="BK203" i="16" s="1"/>
  <c r="AQ203" i="16"/>
  <c r="G163" i="182" s="1"/>
  <c r="O163" i="182" s="1"/>
  <c r="AT203" i="16"/>
  <c r="S184" i="119"/>
  <c r="BA203" i="16"/>
  <c r="BI213" i="16"/>
  <c r="AQ213" i="16"/>
  <c r="G173" i="182" s="1"/>
  <c r="O173" i="182" s="1"/>
  <c r="S194" i="119"/>
  <c r="BA213" i="16"/>
  <c r="AT213" i="16"/>
  <c r="S102" i="119"/>
  <c r="BI180" i="16"/>
  <c r="BK180" i="16" s="1"/>
  <c r="BA180" i="16"/>
  <c r="AQ180" i="16"/>
  <c r="AT180" i="16"/>
  <c r="S161" i="119"/>
  <c r="BI196" i="16"/>
  <c r="BK196" i="16" s="1"/>
  <c r="AQ196" i="16"/>
  <c r="AT196" i="16"/>
  <c r="S177" i="119"/>
  <c r="BA196" i="16"/>
  <c r="BE196" i="16" s="1"/>
  <c r="BI212" i="16"/>
  <c r="BA212" i="16"/>
  <c r="BE212" i="16" s="1"/>
  <c r="AQ212" i="16"/>
  <c r="G172" i="182" s="1"/>
  <c r="O172" i="182" s="1"/>
  <c r="AT212" i="16"/>
  <c r="S193" i="119"/>
  <c r="BI318" i="16"/>
  <c r="BK318" i="16" s="1"/>
  <c r="S293" i="119"/>
  <c r="U293" i="119" s="1"/>
  <c r="AQ318" i="16"/>
  <c r="BA318" i="16"/>
  <c r="AT318" i="16"/>
  <c r="S312" i="119"/>
  <c r="BI228" i="16"/>
  <c r="BK228" i="16" s="1"/>
  <c r="AQ228" i="16"/>
  <c r="S207" i="119"/>
  <c r="BA228" i="16"/>
  <c r="AQ230" i="16"/>
  <c r="AT363" i="16"/>
  <c r="BI380" i="16"/>
  <c r="BK380" i="16" s="1"/>
  <c r="AT380" i="16"/>
  <c r="BA380" i="16"/>
  <c r="AQ380" i="16"/>
  <c r="S353" i="119"/>
  <c r="U353" i="119" s="1"/>
  <c r="BI330" i="16"/>
  <c r="AQ330" i="16"/>
  <c r="G284" i="182" s="1"/>
  <c r="O284" i="182" s="1"/>
  <c r="S305" i="119"/>
  <c r="U305" i="119" s="1"/>
  <c r="BA330" i="16"/>
  <c r="AT330" i="16"/>
  <c r="AQ232" i="16"/>
  <c r="BI462" i="16"/>
  <c r="BK462" i="16" s="1"/>
  <c r="AQ462" i="16"/>
  <c r="S431" i="119"/>
  <c r="U431" i="119" s="1"/>
  <c r="AT462" i="16"/>
  <c r="BA462" i="16"/>
  <c r="BI478" i="16"/>
  <c r="AT478" i="16"/>
  <c r="AQ478" i="16"/>
  <c r="BA478" i="16"/>
  <c r="S447" i="119"/>
  <c r="BI540" i="16"/>
  <c r="BK540" i="16" s="1"/>
  <c r="AQ540" i="16"/>
  <c r="BA540" i="16"/>
  <c r="S505" i="119"/>
  <c r="AT540" i="16"/>
  <c r="BI548" i="16"/>
  <c r="BK548" i="16" s="1"/>
  <c r="AQ548" i="16"/>
  <c r="BF548" i="16" s="1"/>
  <c r="BA548" i="16"/>
  <c r="S513" i="119"/>
  <c r="AT548" i="16"/>
  <c r="BI564" i="16"/>
  <c r="BK564" i="16" s="1"/>
  <c r="S529" i="119"/>
  <c r="U529" i="119" s="1"/>
  <c r="AQ564" i="16"/>
  <c r="G508" i="182" s="1"/>
  <c r="O508" i="182" s="1"/>
  <c r="BA564" i="16"/>
  <c r="AT564" i="16"/>
  <c r="BI321" i="16"/>
  <c r="BK321" i="16" s="1"/>
  <c r="S296" i="119"/>
  <c r="AQ321" i="16"/>
  <c r="AT321" i="16"/>
  <c r="BA321" i="16"/>
  <c r="BI390" i="16"/>
  <c r="AQ390" i="16"/>
  <c r="AT390" i="16"/>
  <c r="BA390" i="16"/>
  <c r="S363" i="119"/>
  <c r="U363" i="119" s="1"/>
  <c r="AQ450" i="16"/>
  <c r="BF450" i="16" s="1"/>
  <c r="BI458" i="16"/>
  <c r="BK458" i="16" s="1"/>
  <c r="AT458" i="16"/>
  <c r="S427" i="119"/>
  <c r="AQ458" i="16"/>
  <c r="BA458" i="16"/>
  <c r="BI466" i="16"/>
  <c r="BK466" i="16" s="1"/>
  <c r="AQ466" i="16"/>
  <c r="AT466" i="16"/>
  <c r="BA466" i="16"/>
  <c r="S435" i="119"/>
  <c r="BI474" i="16"/>
  <c r="BK474" i="16" s="1"/>
  <c r="AQ474" i="16"/>
  <c r="BA474" i="16"/>
  <c r="AT474" i="16"/>
  <c r="S443" i="119"/>
  <c r="U443" i="119" s="1"/>
  <c r="BI482" i="16"/>
  <c r="BK482" i="16" s="1"/>
  <c r="AQ482" i="16"/>
  <c r="BA482" i="16"/>
  <c r="S451" i="119"/>
  <c r="U451" i="119" s="1"/>
  <c r="AT482" i="16"/>
  <c r="BI497" i="16"/>
  <c r="BK497" i="16" s="1"/>
  <c r="AT497" i="16"/>
  <c r="AQ497" i="16"/>
  <c r="S464" i="119"/>
  <c r="U464" i="119" s="1"/>
  <c r="BA497" i="16"/>
  <c r="BI505" i="16"/>
  <c r="AQ505" i="16"/>
  <c r="S472" i="119"/>
  <c r="U472" i="119" s="1"/>
  <c r="AT505" i="16"/>
  <c r="BA505" i="16"/>
  <c r="BI513" i="16"/>
  <c r="AT513" i="16"/>
  <c r="AQ513" i="16"/>
  <c r="BA513" i="16"/>
  <c r="S480" i="119"/>
  <c r="U480" i="119" s="1"/>
  <c r="BI521" i="16"/>
  <c r="BK521" i="16" s="1"/>
  <c r="S488" i="119"/>
  <c r="U488" i="119" s="1"/>
  <c r="BA521" i="16"/>
  <c r="AQ521" i="16"/>
  <c r="AT521" i="16"/>
  <c r="BI529" i="16"/>
  <c r="BA529" i="16"/>
  <c r="S496" i="119"/>
  <c r="AQ529" i="16"/>
  <c r="AT529" i="16"/>
  <c r="BI248" i="16"/>
  <c r="BK248" i="16" s="1"/>
  <c r="BA248" i="16"/>
  <c r="S227" i="119"/>
  <c r="AQ248" i="16"/>
  <c r="BI516" i="16"/>
  <c r="BA516" i="16"/>
  <c r="BE516" i="16" s="1"/>
  <c r="AT516" i="16"/>
  <c r="S483" i="119"/>
  <c r="AQ516" i="16"/>
  <c r="BI493" i="16"/>
  <c r="BK493" i="16" s="1"/>
  <c r="AQ493" i="16"/>
  <c r="S460" i="119"/>
  <c r="AT493" i="16"/>
  <c r="BA493" i="16"/>
  <c r="BI512" i="16"/>
  <c r="BK512" i="16" s="1"/>
  <c r="AT512" i="16"/>
  <c r="BA512" i="16"/>
  <c r="BE512" i="16" s="1"/>
  <c r="AQ512" i="16"/>
  <c r="S479" i="119"/>
  <c r="BI576" i="16"/>
  <c r="BK576" i="16" s="1"/>
  <c r="S541" i="119"/>
  <c r="U541" i="119" s="1"/>
  <c r="BA576" i="16"/>
  <c r="S565" i="119"/>
  <c r="AQ602" i="16"/>
  <c r="BI678" i="16"/>
  <c r="S637" i="119"/>
  <c r="BA678" i="16"/>
  <c r="AQ678" i="16"/>
  <c r="BI725" i="16"/>
  <c r="BA725" i="16"/>
  <c r="AQ725" i="16"/>
  <c r="AT725" i="16"/>
  <c r="S682" i="119"/>
  <c r="BI733" i="16"/>
  <c r="BK733" i="16" s="1"/>
  <c r="S690" i="119"/>
  <c r="AT733" i="16"/>
  <c r="AQ733" i="16"/>
  <c r="BA733" i="16"/>
  <c r="BI741" i="16"/>
  <c r="BK741" i="16" s="1"/>
  <c r="S698" i="119"/>
  <c r="U698" i="119" s="1"/>
  <c r="AT741" i="16"/>
  <c r="BA741" i="16"/>
  <c r="AQ741" i="16"/>
  <c r="G677" i="182" s="1"/>
  <c r="BI749" i="16"/>
  <c r="AT749" i="16"/>
  <c r="BA749" i="16"/>
  <c r="BE749" i="16" s="1"/>
  <c r="AQ749" i="16"/>
  <c r="S706" i="119"/>
  <c r="U706" i="119" s="1"/>
  <c r="BI659" i="16"/>
  <c r="BK659" i="16" s="1"/>
  <c r="AT659" i="16"/>
  <c r="S620" i="119"/>
  <c r="U620" i="119" s="1"/>
  <c r="AQ659" i="16"/>
  <c r="BA659" i="16"/>
  <c r="BI698" i="16"/>
  <c r="AQ698" i="16"/>
  <c r="S657" i="119"/>
  <c r="U657" i="119" s="1"/>
  <c r="BA698" i="16"/>
  <c r="BE698" i="16" s="1"/>
  <c r="BI685" i="16"/>
  <c r="AQ685" i="16"/>
  <c r="BA685" i="16"/>
  <c r="BE685" i="16" s="1"/>
  <c r="S644" i="119"/>
  <c r="U644" i="119" s="1"/>
  <c r="BI767" i="16"/>
  <c r="BK767" i="16" s="1"/>
  <c r="BA767" i="16"/>
  <c r="AQ767" i="16"/>
  <c r="S722" i="119"/>
  <c r="AT767" i="16"/>
  <c r="BI775" i="16"/>
  <c r="AT775" i="16"/>
  <c r="BA775" i="16"/>
  <c r="AQ775" i="16"/>
  <c r="S730" i="119"/>
  <c r="BI783" i="16"/>
  <c r="AT783" i="16"/>
  <c r="S738" i="119"/>
  <c r="AQ783" i="16"/>
  <c r="BA783" i="16"/>
  <c r="BI791" i="16"/>
  <c r="BK791" i="16" s="1"/>
  <c r="S746" i="119"/>
  <c r="U746" i="119" s="1"/>
  <c r="AQ791" i="16"/>
  <c r="G725" i="182" s="1"/>
  <c r="O725" i="182" s="1"/>
  <c r="BA791" i="16"/>
  <c r="AT791" i="16"/>
  <c r="BI799" i="16"/>
  <c r="BK799" i="16" s="1"/>
  <c r="S754" i="119"/>
  <c r="BA799" i="16"/>
  <c r="AT799" i="16"/>
  <c r="AQ799" i="16"/>
  <c r="BI943" i="16"/>
  <c r="BK943" i="16" s="1"/>
  <c r="S890" i="119"/>
  <c r="BA943" i="16"/>
  <c r="AQ943" i="16"/>
  <c r="AT943" i="16"/>
  <c r="BI951" i="16"/>
  <c r="BK951" i="16" s="1"/>
  <c r="S898" i="119"/>
  <c r="U898" i="119" s="1"/>
  <c r="BA951" i="16"/>
  <c r="AQ951" i="16"/>
  <c r="AT951" i="16"/>
  <c r="BI1099" i="16"/>
  <c r="BK1099" i="16" s="1"/>
  <c r="S1040" i="119"/>
  <c r="AT1099" i="16"/>
  <c r="BA1099" i="16"/>
  <c r="AQ1099" i="16"/>
  <c r="BF1099" i="16" s="1"/>
  <c r="BI928" i="16"/>
  <c r="AT928" i="16"/>
  <c r="S877" i="119"/>
  <c r="U877" i="119" s="1"/>
  <c r="BA928" i="16"/>
  <c r="AQ928" i="16"/>
  <c r="G856" i="182" s="1"/>
  <c r="BC984" i="16"/>
  <c r="BC985" i="16"/>
  <c r="BC983" i="16"/>
  <c r="BI830" i="16"/>
  <c r="BK830" i="16" s="1"/>
  <c r="AT830" i="16"/>
  <c r="S783" i="119"/>
  <c r="BA830" i="16"/>
  <c r="AQ830" i="16"/>
  <c r="BI853" i="16"/>
  <c r="AQ853" i="16"/>
  <c r="AT853" i="16"/>
  <c r="BA853" i="16"/>
  <c r="S804" i="119"/>
  <c r="BI885" i="16"/>
  <c r="BK885" i="16" s="1"/>
  <c r="S836" i="119"/>
  <c r="BA885" i="16"/>
  <c r="AQ885" i="16"/>
  <c r="G815" i="182"/>
  <c r="O815" i="182" s="1"/>
  <c r="AT885" i="16"/>
  <c r="BI924" i="16"/>
  <c r="BA924" i="16"/>
  <c r="AQ924" i="16"/>
  <c r="BF924" i="16" s="1"/>
  <c r="S873" i="119"/>
  <c r="AT924" i="16"/>
  <c r="BI980" i="16"/>
  <c r="BK980" i="16" s="1"/>
  <c r="S927" i="119"/>
  <c r="U927" i="119" s="1"/>
  <c r="BA980" i="16"/>
  <c r="AQ980" i="16"/>
  <c r="G906" i="182" s="1"/>
  <c r="AT980" i="16"/>
  <c r="BI999" i="16"/>
  <c r="S944" i="119"/>
  <c r="BA999" i="16"/>
  <c r="AQ999" i="16"/>
  <c r="G923" i="182" s="1"/>
  <c r="O923" i="182" s="1"/>
  <c r="AT999" i="16"/>
  <c r="BI1111" i="16"/>
  <c r="BK1111" i="16" s="1"/>
  <c r="BA1111" i="16"/>
  <c r="S1052" i="119"/>
  <c r="U1052" i="119" s="1"/>
  <c r="AQ1111" i="16"/>
  <c r="AT1111" i="16"/>
  <c r="BI1138" i="16"/>
  <c r="BK1138" i="16" s="1"/>
  <c r="S1077" i="119"/>
  <c r="U1077" i="119" s="1"/>
  <c r="BA1138" i="16"/>
  <c r="AQ1138" i="16"/>
  <c r="AT1138" i="16"/>
  <c r="BI1154" i="16"/>
  <c r="S1093" i="119"/>
  <c r="AQ1154" i="16"/>
  <c r="AT1154" i="16"/>
  <c r="BA1154" i="16"/>
  <c r="BI1011" i="16"/>
  <c r="S956" i="119"/>
  <c r="U956" i="119" s="1"/>
  <c r="BA1011" i="16"/>
  <c r="AQ1011" i="16"/>
  <c r="AT1011" i="16"/>
  <c r="BI1103" i="16"/>
  <c r="AT1103" i="16"/>
  <c r="S1044" i="119"/>
  <c r="U1044" i="119" s="1"/>
  <c r="AQ1103" i="16"/>
  <c r="BA1103" i="16"/>
  <c r="BF1034" i="16"/>
  <c r="BI106" i="16"/>
  <c r="S91" i="119"/>
  <c r="BA106" i="16"/>
  <c r="AQ106" i="16"/>
  <c r="BI150" i="16"/>
  <c r="BK150" i="16" s="1"/>
  <c r="AT150" i="16"/>
  <c r="AQ150" i="16"/>
  <c r="BF150" i="16" s="1"/>
  <c r="S133" i="119"/>
  <c r="BA150" i="16"/>
  <c r="BI192" i="16"/>
  <c r="BK192" i="16" s="1"/>
  <c r="AQ192" i="16"/>
  <c r="AT192" i="16"/>
  <c r="BA192" i="16"/>
  <c r="BE192" i="16" s="1"/>
  <c r="S173" i="119"/>
  <c r="BK213" i="16"/>
  <c r="AT138" i="16"/>
  <c r="BC265" i="16"/>
  <c r="BI349" i="16"/>
  <c r="BK349" i="16" s="1"/>
  <c r="S324" i="119"/>
  <c r="AT349" i="16"/>
  <c r="AQ349" i="16"/>
  <c r="G303" i="182" s="1"/>
  <c r="BA349" i="16"/>
  <c r="BC309" i="16"/>
  <c r="AB102" i="36" s="1"/>
  <c r="AF92" i="69" s="1"/>
  <c r="BC308" i="16"/>
  <c r="BC310" i="16"/>
  <c r="BI342" i="16"/>
  <c r="BK342" i="16" s="1"/>
  <c r="S317" i="119"/>
  <c r="U317" i="119" s="1"/>
  <c r="AQ342" i="16"/>
  <c r="AT342" i="16"/>
  <c r="BA342" i="16"/>
  <c r="BI334" i="16"/>
  <c r="BK334" i="16" s="1"/>
  <c r="AQ334" i="16"/>
  <c r="S309" i="119"/>
  <c r="U309" i="119" s="1"/>
  <c r="AT334" i="16"/>
  <c r="BA334" i="16"/>
  <c r="BI341" i="16"/>
  <c r="BK341" i="16" s="1"/>
  <c r="BA341" i="16"/>
  <c r="AQ341" i="16"/>
  <c r="S316" i="119"/>
  <c r="U316" i="119" s="1"/>
  <c r="AT341" i="16"/>
  <c r="BI406" i="16"/>
  <c r="BK406" i="16" s="1"/>
  <c r="AQ406" i="16"/>
  <c r="S377" i="119"/>
  <c r="AT406" i="16"/>
  <c r="AD444" i="16"/>
  <c r="AD402" i="16" s="1"/>
  <c r="BI402" i="16" s="1"/>
  <c r="BA406" i="16"/>
  <c r="BE406" i="16" s="1"/>
  <c r="BI414" i="16"/>
  <c r="BK414" i="16" s="1"/>
  <c r="BA414" i="16"/>
  <c r="BE414" i="16" s="1"/>
  <c r="AT414" i="16"/>
  <c r="S385" i="119"/>
  <c r="AQ414" i="16"/>
  <c r="G364" i="182" s="1"/>
  <c r="O364" i="182" s="1"/>
  <c r="BI422" i="16"/>
  <c r="BK422" i="16" s="1"/>
  <c r="S393" i="119"/>
  <c r="AQ422" i="16"/>
  <c r="BA422" i="16"/>
  <c r="AT422" i="16"/>
  <c r="BI430" i="16"/>
  <c r="BK430" i="16" s="1"/>
  <c r="BA430" i="16"/>
  <c r="AT430" i="16"/>
  <c r="S401" i="119"/>
  <c r="AQ430" i="16"/>
  <c r="G380" i="182"/>
  <c r="O380" i="182" s="1"/>
  <c r="BI396" i="16"/>
  <c r="BK396" i="16" s="1"/>
  <c r="AQ396" i="16"/>
  <c r="S369" i="119"/>
  <c r="U369" i="119" s="1"/>
  <c r="AT396" i="16"/>
  <c r="BA396" i="16"/>
  <c r="BK330" i="16"/>
  <c r="BI345" i="16"/>
  <c r="BK345" i="16" s="1"/>
  <c r="BA345" i="16"/>
  <c r="S320" i="119"/>
  <c r="AT345" i="16"/>
  <c r="AQ345" i="16"/>
  <c r="BI383" i="16"/>
  <c r="BK383" i="16" s="1"/>
  <c r="BA383" i="16"/>
  <c r="AT383" i="16"/>
  <c r="S356" i="119"/>
  <c r="U356" i="119" s="1"/>
  <c r="AQ383" i="16"/>
  <c r="BK478" i="16"/>
  <c r="BI371" i="16"/>
  <c r="BK371" i="16" s="1"/>
  <c r="AT371" i="16"/>
  <c r="BA371" i="16"/>
  <c r="S344" i="119"/>
  <c r="U344" i="119" s="1"/>
  <c r="AQ371" i="16"/>
  <c r="BI368" i="16"/>
  <c r="AT368" i="16"/>
  <c r="S341" i="119"/>
  <c r="BA368" i="16"/>
  <c r="AQ368" i="16"/>
  <c r="BK505" i="16"/>
  <c r="BK513" i="16"/>
  <c r="BK529" i="16"/>
  <c r="BI366" i="16"/>
  <c r="BK366" i="16" s="1"/>
  <c r="AT366" i="16"/>
  <c r="BA366" i="16"/>
  <c r="AQ366" i="16"/>
  <c r="S339" i="119"/>
  <c r="BI504" i="16"/>
  <c r="BK504" i="16" s="1"/>
  <c r="S471" i="119"/>
  <c r="AT504" i="16"/>
  <c r="AQ504" i="16"/>
  <c r="BA504" i="16"/>
  <c r="BE504" i="16" s="1"/>
  <c r="BI629" i="16"/>
  <c r="BK629" i="16" s="1"/>
  <c r="AQ629" i="16"/>
  <c r="BA629" i="16"/>
  <c r="AT629" i="16"/>
  <c r="S590" i="119"/>
  <c r="BI572" i="16"/>
  <c r="AQ572" i="16"/>
  <c r="AT572" i="16"/>
  <c r="BA572" i="16"/>
  <c r="S537" i="119"/>
  <c r="BI647" i="16"/>
  <c r="BK647" i="16" s="1"/>
  <c r="BA647" i="16"/>
  <c r="AQ647" i="16"/>
  <c r="G587" i="182"/>
  <c r="O587" i="182" s="1"/>
  <c r="AT647" i="16"/>
  <c r="S608" i="119"/>
  <c r="BJ759" i="16"/>
  <c r="BI599" i="16"/>
  <c r="BK599" i="16" s="1"/>
  <c r="AQ599" i="16"/>
  <c r="BA599" i="16"/>
  <c r="AT599" i="16"/>
  <c r="S562" i="119"/>
  <c r="BI630" i="16"/>
  <c r="BK630" i="16" s="1"/>
  <c r="BA630" i="16"/>
  <c r="S591" i="119"/>
  <c r="AT630" i="16"/>
  <c r="AQ630" i="16"/>
  <c r="BK673" i="16"/>
  <c r="BJ714" i="16"/>
  <c r="BI655" i="16"/>
  <c r="BK655" i="16" s="1"/>
  <c r="BA655" i="16"/>
  <c r="AT655" i="16"/>
  <c r="AQ655" i="16"/>
  <c r="S616" i="119"/>
  <c r="U616" i="119" s="1"/>
  <c r="BI706" i="16"/>
  <c r="BK706" i="16" s="1"/>
  <c r="AQ706" i="16"/>
  <c r="S665" i="119"/>
  <c r="BA706" i="16"/>
  <c r="BC714" i="16"/>
  <c r="AB111" i="36" s="1"/>
  <c r="AF101" i="69" s="1"/>
  <c r="BC713" i="16"/>
  <c r="BC715" i="16"/>
  <c r="BI667" i="16"/>
  <c r="BK667" i="16" s="1"/>
  <c r="BA667" i="16"/>
  <c r="AT667" i="16"/>
  <c r="S628" i="119"/>
  <c r="U628" i="119" s="1"/>
  <c r="AQ667" i="16"/>
  <c r="BI771" i="16"/>
  <c r="BK771" i="16" s="1"/>
  <c r="S726" i="119"/>
  <c r="U726" i="119" s="1"/>
  <c r="BA771" i="16"/>
  <c r="AQ771" i="16"/>
  <c r="AT771" i="16"/>
  <c r="BI787" i="16"/>
  <c r="BK787" i="16" s="1"/>
  <c r="BA787" i="16"/>
  <c r="AQ787" i="16"/>
  <c r="G721" i="182"/>
  <c r="O721" i="182" s="1"/>
  <c r="AT787" i="16"/>
  <c r="S742" i="119"/>
  <c r="U742" i="119" s="1"/>
  <c r="BC804" i="16"/>
  <c r="BC805" i="16"/>
  <c r="BC803" i="16"/>
  <c r="BI756" i="16"/>
  <c r="BK756" i="16" s="1"/>
  <c r="AQ756" i="16"/>
  <c r="BA756" i="16"/>
  <c r="AT756" i="16"/>
  <c r="S713" i="119"/>
  <c r="U713" i="119" s="1"/>
  <c r="BI810" i="16"/>
  <c r="BK810" i="16" s="1"/>
  <c r="S763" i="119"/>
  <c r="U763" i="119" s="1"/>
  <c r="BA810" i="16"/>
  <c r="AQ810" i="16"/>
  <c r="G742" i="182"/>
  <c r="AT810" i="16"/>
  <c r="BI818" i="16"/>
  <c r="AT818" i="16"/>
  <c r="BA818" i="16"/>
  <c r="BE818" i="16" s="1"/>
  <c r="AQ818" i="16"/>
  <c r="S771" i="119"/>
  <c r="U771" i="119" s="1"/>
  <c r="BI826" i="16"/>
  <c r="BK826" i="16" s="1"/>
  <c r="AT826" i="16"/>
  <c r="AQ826" i="16"/>
  <c r="G758" i="182" s="1"/>
  <c r="O758" i="182" s="1"/>
  <c r="S779" i="119"/>
  <c r="BA826" i="16"/>
  <c r="BE826" i="16" s="1"/>
  <c r="BI834" i="16"/>
  <c r="S787" i="119"/>
  <c r="AQ834" i="16"/>
  <c r="G766" i="182" s="1"/>
  <c r="O766" i="182" s="1"/>
  <c r="AT834" i="16"/>
  <c r="BA834" i="16"/>
  <c r="BI842" i="16"/>
  <c r="BK842" i="16" s="1"/>
  <c r="S795" i="119"/>
  <c r="AQ842" i="16"/>
  <c r="BA842" i="16"/>
  <c r="AT842" i="16"/>
  <c r="BC669" i="16"/>
  <c r="BC668" i="16"/>
  <c r="BC670" i="16"/>
  <c r="BK775" i="16"/>
  <c r="BK783" i="16"/>
  <c r="BI838" i="16"/>
  <c r="AQ838" i="16"/>
  <c r="AT838" i="16"/>
  <c r="S791" i="119"/>
  <c r="U791" i="119" s="1"/>
  <c r="BA838" i="16"/>
  <c r="BI877" i="16"/>
  <c r="BK877" i="16" s="1"/>
  <c r="AQ877" i="16"/>
  <c r="BA877" i="16"/>
  <c r="AT877" i="16"/>
  <c r="S828" i="119"/>
  <c r="BI916" i="16"/>
  <c r="BK916" i="16" s="1"/>
  <c r="BA916" i="16"/>
  <c r="S865" i="119"/>
  <c r="AT916" i="16"/>
  <c r="AQ916" i="16"/>
  <c r="G844" i="182" s="1"/>
  <c r="O844" i="182" s="1"/>
  <c r="BI956" i="16"/>
  <c r="BA956" i="16"/>
  <c r="AQ956" i="16"/>
  <c r="BF956" i="16" s="1"/>
  <c r="S903" i="119"/>
  <c r="AT956" i="16"/>
  <c r="BI972" i="16"/>
  <c r="BK972" i="16" s="1"/>
  <c r="AT972" i="16"/>
  <c r="S919" i="119"/>
  <c r="U919" i="119" s="1"/>
  <c r="BA972" i="16"/>
  <c r="AQ972" i="16"/>
  <c r="G898" i="182"/>
  <c r="O898" i="182" s="1"/>
  <c r="BI991" i="16"/>
  <c r="BK991" i="16" s="1"/>
  <c r="BA991" i="16"/>
  <c r="S936" i="119"/>
  <c r="AT991" i="16"/>
  <c r="AQ991" i="16"/>
  <c r="BI873" i="16"/>
  <c r="AQ873" i="16"/>
  <c r="BF873" i="16" s="1"/>
  <c r="BA873" i="16"/>
  <c r="BE873" i="16" s="1"/>
  <c r="AT873" i="16"/>
  <c r="S824" i="119"/>
  <c r="BK928" i="16"/>
  <c r="BI976" i="16"/>
  <c r="AQ976" i="16"/>
  <c r="S923" i="119"/>
  <c r="BA976" i="16"/>
  <c r="AT976" i="16"/>
  <c r="BK853" i="16"/>
  <c r="BK924" i="16"/>
  <c r="BI964" i="16"/>
  <c r="BK964" i="16" s="1"/>
  <c r="BA964" i="16"/>
  <c r="AT964" i="16"/>
  <c r="AQ964" i="16"/>
  <c r="G890" i="182"/>
  <c r="O890" i="182" s="1"/>
  <c r="S911" i="119"/>
  <c r="U911" i="119" s="1"/>
  <c r="BK999" i="16"/>
  <c r="BI881" i="16"/>
  <c r="BK881" i="16"/>
  <c r="AT881" i="16"/>
  <c r="S832" i="119"/>
  <c r="AQ881" i="16"/>
  <c r="BA881" i="16"/>
  <c r="BI920" i="16"/>
  <c r="BA920" i="16"/>
  <c r="AQ920" i="16"/>
  <c r="AT920" i="16"/>
  <c r="S869" i="119"/>
  <c r="U869" i="119" s="1"/>
  <c r="BI968" i="16"/>
  <c r="BA968" i="16"/>
  <c r="AT968" i="16"/>
  <c r="S915" i="119"/>
  <c r="AQ968" i="16"/>
  <c r="BI1003" i="16"/>
  <c r="BK1003" i="16" s="1"/>
  <c r="S948" i="119"/>
  <c r="U948" i="119" s="1"/>
  <c r="BA1003" i="16"/>
  <c r="AQ1003" i="16"/>
  <c r="AT1003" i="16"/>
  <c r="BI1019" i="16"/>
  <c r="BK1019" i="16" s="1"/>
  <c r="BA1019" i="16"/>
  <c r="AT1019" i="16"/>
  <c r="S964" i="119"/>
  <c r="AQ1019" i="16"/>
  <c r="BI1079" i="16"/>
  <c r="BK1079" i="16" s="1"/>
  <c r="S1020" i="119"/>
  <c r="U1020" i="119" s="1"/>
  <c r="AQ1079" i="16"/>
  <c r="AT1079" i="16"/>
  <c r="BA1079" i="16"/>
  <c r="BK1123" i="16"/>
  <c r="BI1006" i="16"/>
  <c r="BK1006" i="16" s="1"/>
  <c r="S951" i="119"/>
  <c r="U951" i="119" s="1"/>
  <c r="AT1006" i="16"/>
  <c r="BA1006" i="16"/>
  <c r="AQ1006" i="16"/>
  <c r="G930" i="182"/>
  <c r="O930" i="182" s="1"/>
  <c r="BI1098" i="16"/>
  <c r="BK1098" i="16" s="1"/>
  <c r="BA1098" i="16"/>
  <c r="S1039" i="119"/>
  <c r="U1039" i="119" s="1"/>
  <c r="AQ1098" i="16"/>
  <c r="AT1098" i="16"/>
  <c r="BK1154" i="16"/>
  <c r="BK1011" i="16"/>
  <c r="BK1103" i="16"/>
  <c r="BI1134" i="16"/>
  <c r="S1073" i="119"/>
  <c r="AQ1134" i="16"/>
  <c r="AT1134" i="16"/>
  <c r="BA1134" i="16"/>
  <c r="BI1146" i="16"/>
  <c r="BK1146" i="16" s="1"/>
  <c r="BA1146" i="16"/>
  <c r="S1085" i="119"/>
  <c r="AQ1146" i="16"/>
  <c r="AT1146" i="16"/>
  <c r="BI1162" i="16"/>
  <c r="BK1162" i="16" s="1"/>
  <c r="BA1162" i="16"/>
  <c r="AQ1162" i="16"/>
  <c r="S1101" i="119"/>
  <c r="AT1162" i="16"/>
  <c r="BF1054" i="16"/>
  <c r="BK1034" i="16"/>
  <c r="BI134" i="16"/>
  <c r="BK134" i="16" s="1"/>
  <c r="S117" i="119"/>
  <c r="U117" i="119" s="1"/>
  <c r="AQ134" i="16"/>
  <c r="BA134" i="16"/>
  <c r="AT134" i="16"/>
  <c r="BI164" i="16"/>
  <c r="BK164" i="16" s="1"/>
  <c r="BA164" i="16"/>
  <c r="AQ164" i="16"/>
  <c r="BF164" i="16" s="1"/>
  <c r="AT164" i="16"/>
  <c r="S147" i="119"/>
  <c r="BK187" i="16"/>
  <c r="BI208" i="16"/>
  <c r="BK208" i="16" s="1"/>
  <c r="BA208" i="16"/>
  <c r="BE208" i="16" s="1"/>
  <c r="AT208" i="16"/>
  <c r="AQ208" i="16"/>
  <c r="BF208" i="16" s="1"/>
  <c r="S189" i="119"/>
  <c r="BA162" i="16"/>
  <c r="BI183" i="16"/>
  <c r="BK183" i="16" s="1"/>
  <c r="AQ183" i="16"/>
  <c r="AT183" i="16"/>
  <c r="S164" i="119"/>
  <c r="BA183" i="16"/>
  <c r="BI199" i="16"/>
  <c r="BK199" i="16" s="1"/>
  <c r="BA199" i="16"/>
  <c r="AQ199" i="16"/>
  <c r="G159" i="182"/>
  <c r="O159" i="182" s="1"/>
  <c r="AT199" i="16"/>
  <c r="S180" i="119"/>
  <c r="U180" i="119" s="1"/>
  <c r="BI209" i="16"/>
  <c r="AQ209" i="16"/>
  <c r="AT209" i="16"/>
  <c r="S190" i="119"/>
  <c r="BA209" i="16"/>
  <c r="S129" i="119"/>
  <c r="BA146" i="16"/>
  <c r="BI256" i="16"/>
  <c r="AQ256" i="16"/>
  <c r="BA256" i="16"/>
  <c r="S235" i="119"/>
  <c r="U235" i="119" s="1"/>
  <c r="BI322" i="16"/>
  <c r="BK322" i="16" s="1"/>
  <c r="S297" i="119"/>
  <c r="BA322" i="16"/>
  <c r="AT322" i="16"/>
  <c r="AQ322" i="16"/>
  <c r="BI438" i="16"/>
  <c r="BK438" i="16" s="1"/>
  <c r="S409" i="119"/>
  <c r="BA438" i="16"/>
  <c r="AT438" i="16"/>
  <c r="AQ438" i="16"/>
  <c r="BI113" i="16"/>
  <c r="BK113" i="16" s="1"/>
  <c r="S98" i="119"/>
  <c r="AQ113" i="16"/>
  <c r="BA113" i="16"/>
  <c r="BE113" i="16" s="1"/>
  <c r="S75" i="119"/>
  <c r="BI169" i="16"/>
  <c r="BK169" i="16" s="1"/>
  <c r="AT169" i="16"/>
  <c r="AQ169" i="16"/>
  <c r="BA169" i="16"/>
  <c r="S152" i="119"/>
  <c r="BI179" i="16"/>
  <c r="BK179" i="16" s="1"/>
  <c r="AQ179" i="16"/>
  <c r="G139" i="182"/>
  <c r="O139" i="182" s="1"/>
  <c r="S160" i="119"/>
  <c r="AT179" i="16"/>
  <c r="AD219" i="16"/>
  <c r="AD177" i="16"/>
  <c r="BI177" i="16" s="1"/>
  <c r="BK177" i="16" s="1"/>
  <c r="BA179" i="16"/>
  <c r="BI189" i="16"/>
  <c r="BK189" i="16" s="1"/>
  <c r="BA189" i="16"/>
  <c r="AQ189" i="16"/>
  <c r="BF189" i="16" s="1"/>
  <c r="S170" i="119"/>
  <c r="AT189" i="16"/>
  <c r="BI195" i="16"/>
  <c r="AQ195" i="16"/>
  <c r="BF195" i="16" s="1"/>
  <c r="BA195" i="16"/>
  <c r="S176" i="119"/>
  <c r="U176" i="119" s="1"/>
  <c r="AT195" i="16"/>
  <c r="BI205" i="16"/>
  <c r="BK205" i="16" s="1"/>
  <c r="AQ205" i="16"/>
  <c r="AT205" i="16"/>
  <c r="BA205" i="16"/>
  <c r="S186" i="119"/>
  <c r="BI211" i="16"/>
  <c r="AT211" i="16"/>
  <c r="S192" i="119"/>
  <c r="AQ211" i="16"/>
  <c r="BA211" i="16"/>
  <c r="S148" i="119"/>
  <c r="U148" i="119" s="1"/>
  <c r="BI188" i="16"/>
  <c r="BK188" i="16" s="1"/>
  <c r="AQ188" i="16"/>
  <c r="AT188" i="16"/>
  <c r="S169" i="119"/>
  <c r="U169" i="119" s="1"/>
  <c r="BA188" i="16"/>
  <c r="BE188" i="16" s="1"/>
  <c r="BI204" i="16"/>
  <c r="AQ204" i="16"/>
  <c r="G164" i="182"/>
  <c r="BA204" i="16"/>
  <c r="BE204" i="16" s="1"/>
  <c r="AT204" i="16"/>
  <c r="S185" i="119"/>
  <c r="BK209" i="16"/>
  <c r="BI252" i="16"/>
  <c r="S231" i="119"/>
  <c r="BA252" i="16"/>
  <c r="AQ252" i="16"/>
  <c r="BI338" i="16"/>
  <c r="AQ338" i="16"/>
  <c r="AT338" i="16"/>
  <c r="S313" i="119"/>
  <c r="U313" i="119" s="1"/>
  <c r="BA338" i="16"/>
  <c r="BI361" i="16"/>
  <c r="BK361" i="16" s="1"/>
  <c r="BA361" i="16"/>
  <c r="AT361" i="16"/>
  <c r="S334" i="119"/>
  <c r="AQ361" i="16"/>
  <c r="AQ240" i="16"/>
  <c r="BA240" i="16"/>
  <c r="BK256" i="16"/>
  <c r="BI360" i="16"/>
  <c r="BA360" i="16"/>
  <c r="AQ360" i="16"/>
  <c r="AT360" i="16"/>
  <c r="S333" i="119"/>
  <c r="U333" i="119" s="1"/>
  <c r="BI260" i="16"/>
  <c r="BK260" i="16" s="1"/>
  <c r="BA260" i="16"/>
  <c r="S239" i="119"/>
  <c r="AQ260" i="16"/>
  <c r="G218" i="182"/>
  <c r="O218" i="182" s="1"/>
  <c r="BI246" i="16"/>
  <c r="S225" i="119"/>
  <c r="U225" i="119" s="1"/>
  <c r="AQ246" i="16"/>
  <c r="BA246" i="16"/>
  <c r="BI346" i="16"/>
  <c r="BK346" i="16" s="1"/>
  <c r="AQ346" i="16"/>
  <c r="BA346" i="16"/>
  <c r="S321" i="119"/>
  <c r="U321" i="119" s="1"/>
  <c r="AT346" i="16"/>
  <c r="BJ444" i="16"/>
  <c r="BI314" i="16"/>
  <c r="BK314" i="16" s="1"/>
  <c r="S289" i="119"/>
  <c r="U289" i="119" s="1"/>
  <c r="AT314" i="16"/>
  <c r="AQ314" i="16"/>
  <c r="BA314" i="16"/>
  <c r="BI329" i="16"/>
  <c r="BK329" i="16" s="1"/>
  <c r="AQ329" i="16"/>
  <c r="AT329" i="16"/>
  <c r="S304" i="119"/>
  <c r="U304" i="119" s="1"/>
  <c r="BA329" i="16"/>
  <c r="BI350" i="16"/>
  <c r="BK350" i="16" s="1"/>
  <c r="BA350" i="16"/>
  <c r="AT350" i="16"/>
  <c r="AQ350" i="16"/>
  <c r="BF350" i="16" s="1"/>
  <c r="S325" i="119"/>
  <c r="U325" i="119" s="1"/>
  <c r="BI340" i="16"/>
  <c r="AT340" i="16"/>
  <c r="S315" i="119"/>
  <c r="AQ340" i="16"/>
  <c r="BA340" i="16"/>
  <c r="BI454" i="16"/>
  <c r="AT454" i="16"/>
  <c r="AQ454" i="16"/>
  <c r="BA454" i="16"/>
  <c r="S423" i="119"/>
  <c r="BI470" i="16"/>
  <c r="BK470" i="16" s="1"/>
  <c r="AQ470" i="16"/>
  <c r="BA470" i="16"/>
  <c r="AT470" i="16"/>
  <c r="S439" i="119"/>
  <c r="BI486" i="16"/>
  <c r="BK486" i="16" s="1"/>
  <c r="AT486" i="16"/>
  <c r="BA486" i="16"/>
  <c r="AQ486" i="16"/>
  <c r="S455" i="119"/>
  <c r="BI544" i="16"/>
  <c r="S509" i="119"/>
  <c r="U509" i="119" s="1"/>
  <c r="AT544" i="16"/>
  <c r="AQ544" i="16"/>
  <c r="BA544" i="16"/>
  <c r="BI552" i="16"/>
  <c r="S517" i="119"/>
  <c r="BA552" i="16"/>
  <c r="AT552" i="16"/>
  <c r="BI560" i="16"/>
  <c r="BK560" i="16" s="1"/>
  <c r="S525" i="119"/>
  <c r="BA560" i="16"/>
  <c r="BE560" i="16" s="1"/>
  <c r="BI568" i="16"/>
  <c r="AQ568" i="16"/>
  <c r="BA568" i="16"/>
  <c r="S533" i="119"/>
  <c r="U533" i="119" s="1"/>
  <c r="AT568" i="16"/>
  <c r="BI392" i="16"/>
  <c r="BK392" i="16" s="1"/>
  <c r="AQ392" i="16"/>
  <c r="BF392" i="16" s="1"/>
  <c r="AT392" i="16"/>
  <c r="S365" i="119"/>
  <c r="U365" i="119" s="1"/>
  <c r="BA392" i="16"/>
  <c r="BC444" i="16"/>
  <c r="BC446" i="16" s="1"/>
  <c r="BC445" i="16"/>
  <c r="BC443" i="16"/>
  <c r="BK368" i="16"/>
  <c r="BI501" i="16"/>
  <c r="BK501" i="16" s="1"/>
  <c r="S468" i="119"/>
  <c r="AQ501" i="16"/>
  <c r="BA501" i="16"/>
  <c r="AT501" i="16"/>
  <c r="BI509" i="16"/>
  <c r="S476" i="119"/>
  <c r="AQ509" i="16"/>
  <c r="BA509" i="16"/>
  <c r="AT509" i="16"/>
  <c r="BI517" i="16"/>
  <c r="S484" i="119"/>
  <c r="BA517" i="16"/>
  <c r="AQ517" i="16"/>
  <c r="AT517" i="16"/>
  <c r="BI525" i="16"/>
  <c r="BK525" i="16" s="1"/>
  <c r="BA525" i="16"/>
  <c r="AQ525" i="16"/>
  <c r="S492" i="119"/>
  <c r="AT525" i="16"/>
  <c r="BI500" i="16"/>
  <c r="BK500" i="16" s="1"/>
  <c r="S467" i="119"/>
  <c r="BA500" i="16"/>
  <c r="AT500" i="16"/>
  <c r="AQ500" i="16"/>
  <c r="BF500" i="16" s="1"/>
  <c r="BI532" i="16"/>
  <c r="BK532" i="16" s="1"/>
  <c r="AT532" i="16"/>
  <c r="BA532" i="16"/>
  <c r="AQ532" i="16"/>
  <c r="S499" i="119"/>
  <c r="U499" i="119" s="1"/>
  <c r="BI594" i="16"/>
  <c r="BK594" i="16" s="1"/>
  <c r="S557" i="119"/>
  <c r="AQ594" i="16"/>
  <c r="G536" i="182" s="1"/>
  <c r="BA594" i="16"/>
  <c r="AT594" i="16"/>
  <c r="BI376" i="16"/>
  <c r="AQ376" i="16"/>
  <c r="S349" i="119"/>
  <c r="BA376" i="16"/>
  <c r="AT376" i="16"/>
  <c r="BI595" i="16"/>
  <c r="AQ595" i="16"/>
  <c r="BI611" i="16"/>
  <c r="AT611" i="16"/>
  <c r="AQ611" i="16"/>
  <c r="S574" i="119"/>
  <c r="BA611" i="16"/>
  <c r="BI634" i="16"/>
  <c r="BK634" i="16" s="1"/>
  <c r="S595" i="119"/>
  <c r="U595" i="119" s="1"/>
  <c r="AQ634" i="16"/>
  <c r="BA634" i="16"/>
  <c r="BE634" i="16" s="1"/>
  <c r="AT634" i="16"/>
  <c r="BI528" i="16"/>
  <c r="BK528" i="16" s="1"/>
  <c r="AQ528" i="16"/>
  <c r="AT528" i="16"/>
  <c r="S495" i="119"/>
  <c r="U495" i="119" s="1"/>
  <c r="BA528" i="16"/>
  <c r="BI590" i="16"/>
  <c r="BK590" i="16" s="1"/>
  <c r="S553" i="119"/>
  <c r="U553" i="119" s="1"/>
  <c r="S569" i="119"/>
  <c r="BI586" i="16"/>
  <c r="BK586" i="16" s="1"/>
  <c r="S549" i="119"/>
  <c r="AT586" i="16"/>
  <c r="AQ586" i="16"/>
  <c r="BA586" i="16"/>
  <c r="BE586" i="16" s="1"/>
  <c r="AT618" i="16"/>
  <c r="BI663" i="16"/>
  <c r="BK663" i="16" s="1"/>
  <c r="AQ663" i="16"/>
  <c r="S624" i="119"/>
  <c r="BA663" i="16"/>
  <c r="AT663" i="16"/>
  <c r="BI721" i="16"/>
  <c r="BK721" i="16"/>
  <c r="AT721" i="16"/>
  <c r="AQ721" i="16"/>
  <c r="BA721" i="16"/>
  <c r="S678" i="119"/>
  <c r="BI729" i="16"/>
  <c r="BK729" i="16" s="1"/>
  <c r="AQ729" i="16"/>
  <c r="AT729" i="16"/>
  <c r="S686" i="119"/>
  <c r="BA729" i="16"/>
  <c r="BI737" i="16"/>
  <c r="BK737" i="16"/>
  <c r="AT737" i="16"/>
  <c r="BA737" i="16"/>
  <c r="AQ737" i="16"/>
  <c r="S694" i="119"/>
  <c r="BI745" i="16"/>
  <c r="BK745" i="16" s="1"/>
  <c r="AT745" i="16"/>
  <c r="AQ745" i="16"/>
  <c r="G681" i="182"/>
  <c r="O681" i="182" s="1"/>
  <c r="BA745" i="16"/>
  <c r="S702" i="119"/>
  <c r="BI753" i="16"/>
  <c r="BK753" i="16" s="1"/>
  <c r="BA753" i="16"/>
  <c r="S710" i="119"/>
  <c r="U710" i="119" s="1"/>
  <c r="AQ753" i="16"/>
  <c r="G689" i="182"/>
  <c r="AT753" i="16"/>
  <c r="BI508" i="16"/>
  <c r="BK508" i="16" s="1"/>
  <c r="S475" i="119"/>
  <c r="U475" i="119" s="1"/>
  <c r="AQ508" i="16"/>
  <c r="G454" i="182"/>
  <c r="O454" i="182" s="1"/>
  <c r="AT508" i="16"/>
  <c r="BA508" i="16"/>
  <c r="BI705" i="16"/>
  <c r="BK705" i="16" s="1"/>
  <c r="AQ705" i="16"/>
  <c r="S664" i="119"/>
  <c r="BA705" i="16"/>
  <c r="BI709" i="16"/>
  <c r="BK709" i="16"/>
  <c r="S668" i="119"/>
  <c r="AQ709" i="16"/>
  <c r="G647" i="182"/>
  <c r="BA709" i="16"/>
  <c r="BJ849" i="16"/>
  <c r="BK818" i="16"/>
  <c r="BK834" i="16"/>
  <c r="BI947" i="16"/>
  <c r="BK947" i="16"/>
  <c r="S894" i="119"/>
  <c r="U894" i="119" s="1"/>
  <c r="AQ947" i="16"/>
  <c r="BA947" i="16"/>
  <c r="AT947" i="16"/>
  <c r="BK838" i="16"/>
  <c r="BK956" i="16"/>
  <c r="BI1007" i="16"/>
  <c r="BK1007" i="16" s="1"/>
  <c r="BA1007" i="16"/>
  <c r="AQ1007" i="16"/>
  <c r="S952" i="119"/>
  <c r="AT1007" i="16"/>
  <c r="BI674" i="16"/>
  <c r="BK674" i="16" s="1"/>
  <c r="S633" i="119"/>
  <c r="U633" i="119" s="1"/>
  <c r="BA674" i="16"/>
  <c r="AQ674" i="16"/>
  <c r="BK873" i="16"/>
  <c r="BI912" i="16"/>
  <c r="S861" i="119"/>
  <c r="U861" i="119" s="1"/>
  <c r="AT912" i="16"/>
  <c r="AQ912" i="16"/>
  <c r="BA912" i="16"/>
  <c r="BI960" i="16"/>
  <c r="BK960" i="16" s="1"/>
  <c r="BA960" i="16"/>
  <c r="AT960" i="16"/>
  <c r="AQ960" i="16"/>
  <c r="S907" i="119"/>
  <c r="U907" i="119" s="1"/>
  <c r="BK976" i="16"/>
  <c r="BI814" i="16"/>
  <c r="BA814" i="16"/>
  <c r="AT814" i="16"/>
  <c r="AQ814" i="16"/>
  <c r="BF814" i="16" s="1"/>
  <c r="S767" i="119"/>
  <c r="U767" i="119" s="1"/>
  <c r="BI846" i="16"/>
  <c r="AQ846" i="16"/>
  <c r="BF846" i="16" s="1"/>
  <c r="AT846" i="16"/>
  <c r="BA846" i="16"/>
  <c r="BE846" i="16" s="1"/>
  <c r="S799" i="119"/>
  <c r="BI869" i="16"/>
  <c r="BK869" i="16" s="1"/>
  <c r="S820" i="119"/>
  <c r="AT869" i="16"/>
  <c r="BA869" i="16"/>
  <c r="BE869" i="16" s="1"/>
  <c r="AQ869" i="16"/>
  <c r="BF869" i="16" s="1"/>
  <c r="BI908" i="16"/>
  <c r="BK908" i="16" s="1"/>
  <c r="S857" i="119"/>
  <c r="U857" i="119" s="1"/>
  <c r="BA908" i="16"/>
  <c r="AT908" i="16"/>
  <c r="AQ908" i="16"/>
  <c r="G836" i="182" s="1"/>
  <c r="O836" i="182" s="1"/>
  <c r="BI1091" i="16"/>
  <c r="BK1091" i="16"/>
  <c r="BA1091" i="16"/>
  <c r="AT1091" i="16"/>
  <c r="AQ1091" i="16"/>
  <c r="S1032" i="119"/>
  <c r="BI701" i="16"/>
  <c r="BK701" i="16" s="1"/>
  <c r="S660" i="119"/>
  <c r="U660" i="119" s="1"/>
  <c r="AQ701" i="16"/>
  <c r="BA701" i="16"/>
  <c r="BK920" i="16"/>
  <c r="BK968" i="16"/>
  <c r="BI1095" i="16"/>
  <c r="BK1095" i="16" s="1"/>
  <c r="AT1095" i="16"/>
  <c r="S1036" i="119"/>
  <c r="U1036" i="119" s="1"/>
  <c r="AQ1095" i="16"/>
  <c r="BA1095" i="16"/>
  <c r="BI1126" i="16"/>
  <c r="BK1126" i="16" s="1"/>
  <c r="AT1126" i="16"/>
  <c r="BA1126" i="16"/>
  <c r="AQ1126" i="16"/>
  <c r="G1044" i="182"/>
  <c r="O1044" i="182" s="1"/>
  <c r="S1065" i="119"/>
  <c r="BI1150" i="16"/>
  <c r="BA1150" i="16"/>
  <c r="S1089" i="119"/>
  <c r="AQ1150" i="16"/>
  <c r="AT1150" i="16"/>
  <c r="BI1022" i="16"/>
  <c r="BK1022" i="16" s="1"/>
  <c r="AT1022" i="16"/>
  <c r="S967" i="119"/>
  <c r="BA1022" i="16"/>
  <c r="BE1022" i="16" s="1"/>
  <c r="AQ1022" i="16"/>
  <c r="BI1142" i="16"/>
  <c r="AT1142" i="16"/>
  <c r="S1081" i="119"/>
  <c r="U1081" i="119" s="1"/>
  <c r="AQ1142" i="16"/>
  <c r="BA1142" i="16"/>
  <c r="BI1115" i="16"/>
  <c r="BK1115" i="16" s="1"/>
  <c r="S1056" i="119"/>
  <c r="AT1115" i="16"/>
  <c r="BA1115" i="16"/>
  <c r="AQ1115" i="16"/>
  <c r="BI1130" i="16"/>
  <c r="BK1130" i="16" s="1"/>
  <c r="AQ1130" i="16"/>
  <c r="S1069" i="119"/>
  <c r="BA1130" i="16"/>
  <c r="AT1130" i="16"/>
  <c r="BI1027" i="16"/>
  <c r="AQ1027" i="16"/>
  <c r="AT1027" i="16"/>
  <c r="BA1027" i="16"/>
  <c r="S972" i="119"/>
  <c r="U972" i="119" s="1"/>
  <c r="BK1134" i="16"/>
  <c r="BI170" i="16"/>
  <c r="AQ170" i="16"/>
  <c r="BF170" i="16" s="1"/>
  <c r="BI193" i="16"/>
  <c r="BK193" i="16" s="1"/>
  <c r="AT193" i="16"/>
  <c r="S174" i="119"/>
  <c r="AQ193" i="16"/>
  <c r="BA193" i="16"/>
  <c r="BK204" i="16"/>
  <c r="BI215" i="16"/>
  <c r="BK215" i="16" s="1"/>
  <c r="AT215" i="16"/>
  <c r="BA215" i="16"/>
  <c r="AQ215" i="16"/>
  <c r="S196" i="119"/>
  <c r="BI333" i="16"/>
  <c r="BK333" i="16" s="1"/>
  <c r="AT333" i="16"/>
  <c r="BA333" i="16"/>
  <c r="AQ333" i="16"/>
  <c r="G287" i="182" s="1"/>
  <c r="O287" i="182" s="1"/>
  <c r="S308" i="119"/>
  <c r="BI142" i="16"/>
  <c r="BK142" i="16" s="1"/>
  <c r="S125" i="119"/>
  <c r="BA142" i="16"/>
  <c r="AT142" i="16"/>
  <c r="AQ142" i="16"/>
  <c r="BF142" i="16" s="1"/>
  <c r="BI158" i="16"/>
  <c r="BK158" i="16" s="1"/>
  <c r="AQ158" i="16"/>
  <c r="BA158" i="16"/>
  <c r="AT158" i="16"/>
  <c r="S141" i="119"/>
  <c r="BI166" i="16"/>
  <c r="S149" i="119"/>
  <c r="AT172" i="16"/>
  <c r="S155" i="119"/>
  <c r="BJ219" i="16"/>
  <c r="BI184" i="16"/>
  <c r="BK184" i="16" s="1"/>
  <c r="S165" i="119"/>
  <c r="U165" i="119" s="1"/>
  <c r="BA184" i="16"/>
  <c r="BE184" i="16" s="1"/>
  <c r="AT184" i="16"/>
  <c r="AQ184" i="16"/>
  <c r="BK195" i="16"/>
  <c r="BI200" i="16"/>
  <c r="BK200" i="16" s="1"/>
  <c r="BA200" i="16"/>
  <c r="BE200" i="16" s="1"/>
  <c r="AT200" i="16"/>
  <c r="S181" i="119"/>
  <c r="U181" i="119" s="1"/>
  <c r="AQ200" i="16"/>
  <c r="BK211" i="16"/>
  <c r="BI216" i="16"/>
  <c r="BK216" i="16" s="1"/>
  <c r="AQ216" i="16"/>
  <c r="BF216" i="16" s="1"/>
  <c r="BA216" i="16"/>
  <c r="BE216" i="16" s="1"/>
  <c r="AT216" i="16"/>
  <c r="S197" i="119"/>
  <c r="U197" i="119" s="1"/>
  <c r="BI114" i="16"/>
  <c r="BK114" i="16" s="1"/>
  <c r="S99" i="119"/>
  <c r="U99" i="119" s="1"/>
  <c r="AQ114" i="16"/>
  <c r="BA114" i="16"/>
  <c r="BI168" i="16"/>
  <c r="AQ168" i="16"/>
  <c r="BA168" i="16"/>
  <c r="AT168" i="16"/>
  <c r="S151" i="119"/>
  <c r="BI185" i="16"/>
  <c r="BK185" i="16" s="1"/>
  <c r="AT185" i="16"/>
  <c r="AQ185" i="16"/>
  <c r="BF185" i="16" s="1"/>
  <c r="BA185" i="16"/>
  <c r="S166" i="119"/>
  <c r="BI191" i="16"/>
  <c r="BK191" i="16"/>
  <c r="BA191" i="16"/>
  <c r="AQ191" i="16"/>
  <c r="G151" i="182"/>
  <c r="O151" i="182" s="1"/>
  <c r="AT191" i="16"/>
  <c r="S172" i="119"/>
  <c r="BI201" i="16"/>
  <c r="BK201" i="16"/>
  <c r="BA201" i="16"/>
  <c r="AT201" i="16"/>
  <c r="S182" i="119"/>
  <c r="AQ201" i="16"/>
  <c r="BI207" i="16"/>
  <c r="BK207" i="16" s="1"/>
  <c r="AQ207" i="16"/>
  <c r="AT207" i="16"/>
  <c r="S188" i="119"/>
  <c r="BA207" i="16"/>
  <c r="BK212" i="16"/>
  <c r="BI217" i="16"/>
  <c r="BK217" i="16"/>
  <c r="AT217" i="16"/>
  <c r="S198" i="119"/>
  <c r="U198" i="119" s="1"/>
  <c r="AQ217" i="16"/>
  <c r="BA217" i="16"/>
  <c r="BC219" i="16"/>
  <c r="BC221" i="16" s="1"/>
  <c r="BC220" i="16"/>
  <c r="BC218" i="16"/>
  <c r="BI325" i="16"/>
  <c r="BK325" i="16" s="1"/>
  <c r="AQ325" i="16"/>
  <c r="BA325" i="16"/>
  <c r="S300" i="119"/>
  <c r="AT325" i="16"/>
  <c r="BK338" i="16"/>
  <c r="BI224" i="16"/>
  <c r="BA224" i="16"/>
  <c r="AQ224" i="16"/>
  <c r="S203" i="119"/>
  <c r="BI313" i="16"/>
  <c r="S288" i="119"/>
  <c r="U288" i="119" s="1"/>
  <c r="BA313" i="16"/>
  <c r="AT313" i="16"/>
  <c r="AQ313" i="16"/>
  <c r="BK337" i="16"/>
  <c r="BI344" i="16"/>
  <c r="BK344" i="16" s="1"/>
  <c r="AQ344" i="16"/>
  <c r="BA344" i="16"/>
  <c r="S319" i="119"/>
  <c r="AT344" i="16"/>
  <c r="BI244" i="16"/>
  <c r="BK244" i="16" s="1"/>
  <c r="S223" i="119"/>
  <c r="BI326" i="16"/>
  <c r="BK326" i="16" s="1"/>
  <c r="BA326" i="16"/>
  <c r="AT326" i="16"/>
  <c r="AQ326" i="16"/>
  <c r="S301" i="119"/>
  <c r="U301" i="119" s="1"/>
  <c r="BI410" i="16"/>
  <c r="BK410" i="16" s="1"/>
  <c r="AQ410" i="16"/>
  <c r="BA410" i="16"/>
  <c r="S381" i="119"/>
  <c r="AT410" i="16"/>
  <c r="BI418" i="16"/>
  <c r="BK418" i="16" s="1"/>
  <c r="BA418" i="16"/>
  <c r="AQ418" i="16"/>
  <c r="G368" i="182" s="1"/>
  <c r="O368" i="182" s="1"/>
  <c r="S389" i="119"/>
  <c r="U389" i="119" s="1"/>
  <c r="AT418" i="16"/>
  <c r="BI426" i="16"/>
  <c r="BK426" i="16" s="1"/>
  <c r="S397" i="119"/>
  <c r="BA426" i="16"/>
  <c r="AT426" i="16"/>
  <c r="AQ426" i="16"/>
  <c r="BI434" i="16"/>
  <c r="BK434" i="16" s="1"/>
  <c r="AQ434" i="16"/>
  <c r="S405" i="119"/>
  <c r="BA434" i="16"/>
  <c r="AT434" i="16"/>
  <c r="BI442" i="16"/>
  <c r="BK442" i="16"/>
  <c r="AQ442" i="16"/>
  <c r="BA442" i="16"/>
  <c r="AT442" i="16"/>
  <c r="S413" i="119"/>
  <c r="BI336" i="16"/>
  <c r="BK336" i="16" s="1"/>
  <c r="BA336" i="16"/>
  <c r="BE336" i="16" s="1"/>
  <c r="S311" i="119"/>
  <c r="AQ336" i="16"/>
  <c r="BF336" i="16" s="1"/>
  <c r="AT336" i="16"/>
  <c r="BK340" i="16"/>
  <c r="BI374" i="16"/>
  <c r="BK374" i="16" s="1"/>
  <c r="S347" i="119"/>
  <c r="BA374" i="16"/>
  <c r="AQ374" i="16"/>
  <c r="AT374" i="16"/>
  <c r="BK454" i="16"/>
  <c r="BK390" i="16"/>
  <c r="BK509" i="16"/>
  <c r="BK517" i="16"/>
  <c r="BI317" i="16"/>
  <c r="BK317" i="16" s="1"/>
  <c r="AQ317" i="16"/>
  <c r="S292" i="119"/>
  <c r="AT317" i="16"/>
  <c r="BA317" i="16"/>
  <c r="BK516" i="16"/>
  <c r="BI591" i="16"/>
  <c r="BK591" i="16" s="1"/>
  <c r="BA591" i="16"/>
  <c r="AQ591" i="16"/>
  <c r="G533" i="182" s="1"/>
  <c r="O533" i="182" s="1"/>
  <c r="S554" i="119"/>
  <c r="AT591" i="16"/>
  <c r="BI607" i="16"/>
  <c r="BK607" i="16" s="1"/>
  <c r="S570" i="119"/>
  <c r="BA607" i="16"/>
  <c r="AQ607" i="16"/>
  <c r="AT607" i="16"/>
  <c r="BK376" i="16"/>
  <c r="BI520" i="16"/>
  <c r="BK520" i="16" s="1"/>
  <c r="S487" i="119"/>
  <c r="U487" i="119" s="1"/>
  <c r="AQ520" i="16"/>
  <c r="AT520" i="16"/>
  <c r="BA520" i="16"/>
  <c r="BI587" i="16"/>
  <c r="BK587" i="16" s="1"/>
  <c r="S550" i="119"/>
  <c r="AT587" i="16"/>
  <c r="BA587" i="16"/>
  <c r="AQ587" i="16"/>
  <c r="BI603" i="16"/>
  <c r="BK603" i="16" s="1"/>
  <c r="AT603" i="16"/>
  <c r="AQ603" i="16"/>
  <c r="BF603" i="16" s="1"/>
  <c r="BA603" i="16"/>
  <c r="S566" i="119"/>
  <c r="BI619" i="16"/>
  <c r="BK619" i="16" s="1"/>
  <c r="AQ619" i="16"/>
  <c r="BF619" i="16" s="1"/>
  <c r="S582" i="119"/>
  <c r="AT619" i="16"/>
  <c r="BA619" i="16"/>
  <c r="BI638" i="16"/>
  <c r="BK638" i="16" s="1"/>
  <c r="AQ638" i="16"/>
  <c r="AT638" i="16"/>
  <c r="S599" i="119"/>
  <c r="BA638" i="16"/>
  <c r="BK678" i="16"/>
  <c r="BI694" i="16"/>
  <c r="BK694" i="16" s="1"/>
  <c r="BA694" i="16"/>
  <c r="AQ694" i="16"/>
  <c r="S653" i="119"/>
  <c r="BK725" i="16"/>
  <c r="BK749" i="16"/>
  <c r="AT583" i="16"/>
  <c r="BI615" i="16"/>
  <c r="BK615" i="16" s="1"/>
  <c r="S578" i="119"/>
  <c r="U578" i="119" s="1"/>
  <c r="BI682" i="16"/>
  <c r="BK682" i="16" s="1"/>
  <c r="BA682" i="16"/>
  <c r="BE682" i="16" s="1"/>
  <c r="AQ682" i="16"/>
  <c r="G620" i="182"/>
  <c r="S641" i="119"/>
  <c r="U641" i="119" s="1"/>
  <c r="BK698" i="16"/>
  <c r="BI686" i="16"/>
  <c r="BK686" i="16"/>
  <c r="BA686" i="16"/>
  <c r="AQ686" i="16"/>
  <c r="S645" i="119"/>
  <c r="U645" i="119" s="1"/>
  <c r="BI702" i="16"/>
  <c r="BK702" i="16" s="1"/>
  <c r="S661" i="119"/>
  <c r="U661" i="119" s="1"/>
  <c r="BA702" i="16"/>
  <c r="BE702" i="16" s="1"/>
  <c r="AQ702" i="16"/>
  <c r="BI710" i="16"/>
  <c r="BK710" i="16"/>
  <c r="AQ710" i="16"/>
  <c r="BF710" i="16" s="1"/>
  <c r="BA710" i="16"/>
  <c r="BE710" i="16" s="1"/>
  <c r="S669" i="119"/>
  <c r="BI524" i="16"/>
  <c r="BK524" i="16" s="1"/>
  <c r="S491" i="119"/>
  <c r="U491" i="119" s="1"/>
  <c r="AT524" i="16"/>
  <c r="AQ524" i="16"/>
  <c r="BA524" i="16"/>
  <c r="BE524" i="16" s="1"/>
  <c r="BK685" i="16"/>
  <c r="BI763" i="16"/>
  <c r="S718" i="119"/>
  <c r="BA763" i="16"/>
  <c r="AQ763" i="16"/>
  <c r="AT763" i="16"/>
  <c r="BI779" i="16"/>
  <c r="BK779" i="16" s="1"/>
  <c r="BA779" i="16"/>
  <c r="AQ779" i="16"/>
  <c r="AT779" i="16"/>
  <c r="S734" i="119"/>
  <c r="BI795" i="16"/>
  <c r="BK795" i="16" s="1"/>
  <c r="S750" i="119"/>
  <c r="BA795" i="16"/>
  <c r="AQ795" i="16"/>
  <c r="G729" i="182" s="1"/>
  <c r="O729" i="182" s="1"/>
  <c r="AT795" i="16"/>
  <c r="BK899" i="16"/>
  <c r="BI690" i="16"/>
  <c r="BK690" i="16" s="1"/>
  <c r="S649" i="119"/>
  <c r="U649" i="119" s="1"/>
  <c r="BA690" i="16"/>
  <c r="AQ690" i="16"/>
  <c r="G628" i="182" s="1"/>
  <c r="O628" i="182" s="1"/>
  <c r="BI822" i="16"/>
  <c r="BK822" i="16" s="1"/>
  <c r="S775" i="119"/>
  <c r="U775" i="119" s="1"/>
  <c r="AQ822" i="16"/>
  <c r="BF822" i="16" s="1"/>
  <c r="BA822" i="16"/>
  <c r="BE822" i="16" s="1"/>
  <c r="AT822" i="16"/>
  <c r="BI861" i="16"/>
  <c r="BK861" i="16"/>
  <c r="AT861" i="16"/>
  <c r="S812" i="119"/>
  <c r="AQ861" i="16"/>
  <c r="G791" i="182"/>
  <c r="BA861" i="16"/>
  <c r="BE861" i="16" s="1"/>
  <c r="BI900" i="16"/>
  <c r="BK900" i="16"/>
  <c r="AT900" i="16"/>
  <c r="S849" i="119"/>
  <c r="AQ900" i="16"/>
  <c r="G828" i="182"/>
  <c r="O828" i="182" s="1"/>
  <c r="BA900" i="16"/>
  <c r="BI932" i="16"/>
  <c r="BK932" i="16" s="1"/>
  <c r="AQ932" i="16"/>
  <c r="G860" i="182"/>
  <c r="S881" i="119"/>
  <c r="U881" i="119" s="1"/>
  <c r="BA932" i="16"/>
  <c r="AT932" i="16"/>
  <c r="BI1023" i="16"/>
  <c r="BK1023" i="16" s="1"/>
  <c r="AT1023" i="16"/>
  <c r="AQ1023" i="16"/>
  <c r="BA1023" i="16"/>
  <c r="S968" i="119"/>
  <c r="BI1083" i="16"/>
  <c r="BK1083" i="16" s="1"/>
  <c r="BA1083" i="16"/>
  <c r="S1024" i="119"/>
  <c r="U1024" i="119" s="1"/>
  <c r="AT1083" i="16"/>
  <c r="AQ1083" i="16"/>
  <c r="BI857" i="16"/>
  <c r="BK857" i="16" s="1"/>
  <c r="BA857" i="16"/>
  <c r="BE857" i="16" s="1"/>
  <c r="AQ857" i="16"/>
  <c r="BF857" i="16" s="1"/>
  <c r="AT857" i="16"/>
  <c r="S808" i="119"/>
  <c r="BI889" i="16"/>
  <c r="BK889" i="16" s="1"/>
  <c r="S840" i="119"/>
  <c r="U840" i="119" s="1"/>
  <c r="AT889" i="16"/>
  <c r="AQ889" i="16"/>
  <c r="BA889" i="16"/>
  <c r="BE889" i="16" s="1"/>
  <c r="BK912" i="16"/>
  <c r="BK814" i="16"/>
  <c r="BK846" i="16"/>
  <c r="BK990" i="16"/>
  <c r="BI1015" i="16"/>
  <c r="BK1015" i="16" s="1"/>
  <c r="S960" i="119"/>
  <c r="U960" i="119" s="1"/>
  <c r="AT1015" i="16"/>
  <c r="BA1015" i="16"/>
  <c r="AQ1015" i="16"/>
  <c r="BI865" i="16"/>
  <c r="BK865" i="16" s="1"/>
  <c r="AQ865" i="16"/>
  <c r="S816" i="119"/>
  <c r="AT865" i="16"/>
  <c r="BA865" i="16"/>
  <c r="BE865" i="16" s="1"/>
  <c r="BI904" i="16"/>
  <c r="BK904" i="16" s="1"/>
  <c r="S853" i="119"/>
  <c r="U853" i="119" s="1"/>
  <c r="BA904" i="16"/>
  <c r="BE904" i="16"/>
  <c r="AT904" i="16"/>
  <c r="AQ904" i="16"/>
  <c r="BI936" i="16"/>
  <c r="BK936" i="16"/>
  <c r="BA936" i="16"/>
  <c r="AT936" i="16"/>
  <c r="S885" i="119"/>
  <c r="U885" i="119" s="1"/>
  <c r="AQ936" i="16"/>
  <c r="BI1082" i="16"/>
  <c r="BK1082" i="16" s="1"/>
  <c r="S1023" i="119"/>
  <c r="AT1082" i="16"/>
  <c r="BA1082" i="16"/>
  <c r="AQ1082" i="16"/>
  <c r="BK1150" i="16"/>
  <c r="BI995" i="16"/>
  <c r="BK995" i="16" s="1"/>
  <c r="BA995" i="16"/>
  <c r="AQ995" i="16"/>
  <c r="G919" i="182"/>
  <c r="S940" i="119"/>
  <c r="AT995" i="16"/>
  <c r="BK1142" i="16"/>
  <c r="BI1087" i="16"/>
  <c r="BK1087" i="16" s="1"/>
  <c r="S1028" i="119"/>
  <c r="AT1087" i="16"/>
  <c r="AQ1087" i="16"/>
  <c r="BA1087" i="16"/>
  <c r="BI1158" i="16"/>
  <c r="BK1158" i="16" s="1"/>
  <c r="S1097" i="119"/>
  <c r="BA1158" i="16"/>
  <c r="AT1158" i="16"/>
  <c r="AQ1158" i="16"/>
  <c r="BK1027" i="16"/>
  <c r="BF1047" i="16"/>
  <c r="BF1061" i="16"/>
  <c r="BF1057" i="16"/>
  <c r="BI123" i="16"/>
  <c r="BK123" i="16" s="1"/>
  <c r="BA123" i="16"/>
  <c r="AQ123" i="16"/>
  <c r="BF123" i="16" s="1"/>
  <c r="S108" i="119"/>
  <c r="BI91" i="16"/>
  <c r="BK91" i="16" s="1"/>
  <c r="S76" i="119"/>
  <c r="BA91" i="16"/>
  <c r="BE91" i="16" s="1"/>
  <c r="AQ91" i="16"/>
  <c r="BI99" i="16"/>
  <c r="BA99" i="16"/>
  <c r="AQ99" i="16"/>
  <c r="BF99" i="16" s="1"/>
  <c r="S84" i="119"/>
  <c r="BI107" i="16"/>
  <c r="BA107" i="16"/>
  <c r="S92" i="119"/>
  <c r="AQ107" i="16"/>
  <c r="BI115" i="16"/>
  <c r="BK115" i="16" s="1"/>
  <c r="BA115" i="16"/>
  <c r="AQ115" i="16"/>
  <c r="BF115" i="16" s="1"/>
  <c r="S100" i="119"/>
  <c r="BI122" i="16"/>
  <c r="BK122" i="16" s="1"/>
  <c r="BI126" i="16"/>
  <c r="BK126" i="16" s="1"/>
  <c r="AQ126" i="16"/>
  <c r="BA126" i="16"/>
  <c r="S111" i="119"/>
  <c r="BI95" i="16"/>
  <c r="BK95" i="16" s="1"/>
  <c r="BA95" i="16"/>
  <c r="S80" i="119"/>
  <c r="U80" i="119" s="1"/>
  <c r="AQ95" i="16"/>
  <c r="BI103" i="16"/>
  <c r="S88" i="119"/>
  <c r="AQ103" i="16"/>
  <c r="BA103" i="16"/>
  <c r="BI111" i="16"/>
  <c r="BK111" i="16" s="1"/>
  <c r="BA111" i="16"/>
  <c r="AQ111" i="16"/>
  <c r="S96" i="119"/>
  <c r="G374" i="182"/>
  <c r="BF424" i="16"/>
  <c r="BJ402" i="16"/>
  <c r="BK402" i="16" s="1"/>
  <c r="BF945" i="16"/>
  <c r="G871" i="182"/>
  <c r="O871" i="182" s="1"/>
  <c r="BG87" i="16"/>
  <c r="O814" i="182"/>
  <c r="G593" i="182"/>
  <c r="O593" i="182" s="1"/>
  <c r="BF653" i="16"/>
  <c r="G244" i="182"/>
  <c r="BF288" i="16"/>
  <c r="G286" i="182"/>
  <c r="BF332" i="16"/>
  <c r="G908" i="182"/>
  <c r="BF982" i="16"/>
  <c r="G274" i="182"/>
  <c r="BF320" i="16"/>
  <c r="G786" i="182"/>
  <c r="O786" i="182" s="1"/>
  <c r="BF856" i="16"/>
  <c r="G744" i="182"/>
  <c r="BF812" i="16"/>
  <c r="BF952" i="16"/>
  <c r="G878" i="182"/>
  <c r="O878" i="182" s="1"/>
  <c r="G336" i="182"/>
  <c r="BF384" i="16"/>
  <c r="BF632" i="16"/>
  <c r="G572" i="182"/>
  <c r="G417" i="182"/>
  <c r="BF469" i="16"/>
  <c r="G383" i="182"/>
  <c r="O383" i="182" s="1"/>
  <c r="BF433" i="16"/>
  <c r="BF676" i="16"/>
  <c r="G614" i="182"/>
  <c r="O614" i="182" s="1"/>
  <c r="BF823" i="16"/>
  <c r="G755" i="182"/>
  <c r="G777" i="182"/>
  <c r="BF845" i="16"/>
  <c r="BF323" i="16"/>
  <c r="G277" i="182"/>
  <c r="O277" i="182" s="1"/>
  <c r="G589" i="182"/>
  <c r="BF649" i="16"/>
  <c r="G511" i="182"/>
  <c r="O511" i="182" s="1"/>
  <c r="BF567" i="16"/>
  <c r="BF550" i="16"/>
  <c r="G494" i="182"/>
  <c r="G817" i="182"/>
  <c r="O817" i="182" s="1"/>
  <c r="BF887" i="16"/>
  <c r="G631" i="182"/>
  <c r="BF693" i="16"/>
  <c r="G240" i="182"/>
  <c r="BF284" i="16"/>
  <c r="G804" i="182"/>
  <c r="O804" i="182" s="1"/>
  <c r="BF874" i="16"/>
  <c r="G517" i="182"/>
  <c r="BF573" i="16"/>
  <c r="BF905" i="16"/>
  <c r="G833" i="182"/>
  <c r="BF664" i="16"/>
  <c r="G604" i="182"/>
  <c r="O604" i="182" s="1"/>
  <c r="G514" i="182"/>
  <c r="BF570" i="16"/>
  <c r="G347" i="182"/>
  <c r="O347" i="182" s="1"/>
  <c r="BF395" i="16"/>
  <c r="G601" i="182"/>
  <c r="BF661" i="16"/>
  <c r="BF890" i="16"/>
  <c r="G820" i="182"/>
  <c r="G708" i="182"/>
  <c r="O708" i="182" s="1"/>
  <c r="BF774" i="16"/>
  <c r="G289" i="182"/>
  <c r="O289" i="182" s="1"/>
  <c r="BF335" i="16"/>
  <c r="G585" i="182"/>
  <c r="O585" i="182" s="1"/>
  <c r="BF645" i="16"/>
  <c r="BF914" i="16"/>
  <c r="G842" i="182"/>
  <c r="G425" i="182"/>
  <c r="BF477" i="16"/>
  <c r="G305" i="182"/>
  <c r="O305" i="182" s="1"/>
  <c r="BF351" i="16"/>
  <c r="G870" i="182"/>
  <c r="BF944" i="16"/>
  <c r="G899" i="182"/>
  <c r="O899" i="182" s="1"/>
  <c r="BF973" i="16"/>
  <c r="G875" i="182"/>
  <c r="BF949" i="16"/>
  <c r="G760" i="182"/>
  <c r="O760" i="182" s="1"/>
  <c r="BF828" i="16"/>
  <c r="G730" i="182"/>
  <c r="O730" i="182" s="1"/>
  <c r="BF796" i="16"/>
  <c r="BF793" i="16"/>
  <c r="G727" i="182"/>
  <c r="BF735" i="16"/>
  <c r="G671" i="182"/>
  <c r="G170" i="182"/>
  <c r="BF210" i="16"/>
  <c r="BF194" i="16"/>
  <c r="G154" i="182"/>
  <c r="G219" i="182"/>
  <c r="O219" i="182" s="1"/>
  <c r="BF261" i="16"/>
  <c r="G200" i="182"/>
  <c r="O200" i="182" s="1"/>
  <c r="BF242" i="16"/>
  <c r="BF299" i="16"/>
  <c r="G255" i="182"/>
  <c r="O255" i="182" s="1"/>
  <c r="G428" i="182"/>
  <c r="O428" i="182" s="1"/>
  <c r="BF480" i="16"/>
  <c r="G633" i="182"/>
  <c r="O633" i="182" s="1"/>
  <c r="BF695" i="16"/>
  <c r="G666" i="182"/>
  <c r="BF730" i="16"/>
  <c r="G662" i="182"/>
  <c r="O662" i="182" s="1"/>
  <c r="BF726" i="16"/>
  <c r="G659" i="182"/>
  <c r="BF723" i="16"/>
  <c r="G670" i="182"/>
  <c r="BF734" i="16"/>
  <c r="G686" i="182"/>
  <c r="BF750" i="16"/>
  <c r="G731" i="182"/>
  <c r="BF797" i="16"/>
  <c r="G699" i="182"/>
  <c r="BF765" i="16"/>
  <c r="BF781" i="16"/>
  <c r="G715" i="182"/>
  <c r="O715" i="182" s="1"/>
  <c r="O1020" i="182"/>
  <c r="G808" i="182"/>
  <c r="O808" i="182" s="1"/>
  <c r="BF878" i="16"/>
  <c r="G792" i="182"/>
  <c r="O792" i="182" s="1"/>
  <c r="BF862" i="16"/>
  <c r="G796" i="182"/>
  <c r="BF866" i="16"/>
  <c r="G821" i="182"/>
  <c r="BF891" i="16"/>
  <c r="G788" i="182"/>
  <c r="BF858" i="16"/>
  <c r="O944" i="182"/>
  <c r="G924" i="182"/>
  <c r="O924" i="182" s="1"/>
  <c r="BF1000" i="16"/>
  <c r="O925" i="182"/>
  <c r="G948" i="182"/>
  <c r="BF1024" i="16"/>
  <c r="G912" i="182"/>
  <c r="O912" i="182" s="1"/>
  <c r="BF988" i="16"/>
  <c r="G917" i="182"/>
  <c r="BF993" i="16"/>
  <c r="G913" i="182"/>
  <c r="O913" i="182" s="1"/>
  <c r="BF989" i="16"/>
  <c r="G772" i="182"/>
  <c r="BF840" i="16"/>
  <c r="G776" i="182"/>
  <c r="O776" i="182" s="1"/>
  <c r="BF844" i="16"/>
  <c r="BF835" i="16"/>
  <c r="G767" i="182"/>
  <c r="G756" i="182"/>
  <c r="O756" i="182" s="1"/>
  <c r="BF824" i="16"/>
  <c r="BF819" i="16"/>
  <c r="G751" i="182"/>
  <c r="O751" i="182" s="1"/>
  <c r="O711" i="182"/>
  <c r="G726" i="182"/>
  <c r="BF792" i="16"/>
  <c r="G714" i="182"/>
  <c r="O714" i="182" s="1"/>
  <c r="BF780" i="16"/>
  <c r="G710" i="182"/>
  <c r="O710" i="182" s="1"/>
  <c r="BF776" i="16"/>
  <c r="BF719" i="16"/>
  <c r="G655" i="182"/>
  <c r="G682" i="182"/>
  <c r="O682" i="182" s="1"/>
  <c r="BF746" i="16"/>
  <c r="G654" i="182"/>
  <c r="O654" i="182" s="1"/>
  <c r="BF718" i="16"/>
  <c r="G678" i="182"/>
  <c r="O678" i="182" s="1"/>
  <c r="BF742" i="16"/>
  <c r="O615" i="182"/>
  <c r="BF679" i="16"/>
  <c r="G617" i="182"/>
  <c r="O617" i="182" s="1"/>
  <c r="BF696" i="16"/>
  <c r="G634" i="182"/>
  <c r="O634" i="182" s="1"/>
  <c r="BF464" i="16"/>
  <c r="BF448" i="16"/>
  <c r="G396" i="182"/>
  <c r="O396" i="182" s="1"/>
  <c r="G415" i="182"/>
  <c r="BF467" i="16"/>
  <c r="G390" i="182"/>
  <c r="BF440" i="16"/>
  <c r="G381" i="182"/>
  <c r="BF431" i="16"/>
  <c r="G386" i="182"/>
  <c r="BF436" i="16"/>
  <c r="G358" i="182"/>
  <c r="BF408" i="16"/>
  <c r="G353" i="182"/>
  <c r="BF403" i="16"/>
  <c r="G365" i="182"/>
  <c r="BF415" i="16"/>
  <c r="G354" i="182"/>
  <c r="BF404" i="16"/>
  <c r="G369" i="182"/>
  <c r="O369" i="182" s="1"/>
  <c r="BF419" i="16"/>
  <c r="BF359" i="16"/>
  <c r="G311" i="182"/>
  <c r="O311" i="182" s="1"/>
  <c r="G325" i="182"/>
  <c r="BF373" i="16"/>
  <c r="G316" i="182"/>
  <c r="BF364" i="16"/>
  <c r="G310" i="182"/>
  <c r="BF358" i="16"/>
  <c r="G349" i="182"/>
  <c r="BF397" i="16"/>
  <c r="G340" i="182"/>
  <c r="O340" i="182" s="1"/>
  <c r="BF388" i="16"/>
  <c r="O314" i="182"/>
  <c r="G227" i="182"/>
  <c r="BF271" i="16"/>
  <c r="BF289" i="16"/>
  <c r="G245" i="182"/>
  <c r="G259" i="182"/>
  <c r="O259" i="182" s="1"/>
  <c r="BF303" i="16"/>
  <c r="O253" i="182"/>
  <c r="G241" i="182"/>
  <c r="O241" i="182" s="1"/>
  <c r="BF285" i="16"/>
  <c r="G263" i="182"/>
  <c r="O263" i="182" s="1"/>
  <c r="BF307" i="16"/>
  <c r="O207" i="182"/>
  <c r="G150" i="182"/>
  <c r="O150" i="182" s="1"/>
  <c r="BF190" i="16"/>
  <c r="G138" i="182"/>
  <c r="BF178" i="16"/>
  <c r="BF121" i="16"/>
  <c r="G73" i="182"/>
  <c r="O73" i="182" s="1"/>
  <c r="BF109" i="16"/>
  <c r="BF1050" i="16"/>
  <c r="G972" i="182"/>
  <c r="O972" i="182" s="1"/>
  <c r="O960" i="182"/>
  <c r="BF108" i="16"/>
  <c r="G72" i="182"/>
  <c r="BF102" i="16"/>
  <c r="G52" i="182"/>
  <c r="O52" i="182" s="1"/>
  <c r="BF88" i="16"/>
  <c r="G88" i="182"/>
  <c r="BF124" i="16"/>
  <c r="G1075" i="182"/>
  <c r="BF1157" i="16"/>
  <c r="G1047" i="182"/>
  <c r="BF1129" i="16"/>
  <c r="G1050" i="182"/>
  <c r="O1050" i="182" s="1"/>
  <c r="BF1132" i="16"/>
  <c r="O1041" i="182"/>
  <c r="G1066" i="182"/>
  <c r="O1066" i="182" s="1"/>
  <c r="BF1148" i="16"/>
  <c r="G1043" i="182"/>
  <c r="O1043" i="182" s="1"/>
  <c r="BF1125" i="16"/>
  <c r="G1062" i="182"/>
  <c r="O1062" i="182" s="1"/>
  <c r="BF1144" i="16"/>
  <c r="BF1156" i="16"/>
  <c r="G1058" i="182"/>
  <c r="G1070" i="182"/>
  <c r="BF1152" i="16"/>
  <c r="G1054" i="182"/>
  <c r="BF1136" i="16"/>
  <c r="BF1145" i="16"/>
  <c r="G883" i="182"/>
  <c r="O883" i="182" s="1"/>
  <c r="BF957" i="16"/>
  <c r="G757" i="182"/>
  <c r="BF825" i="16"/>
  <c r="G857" i="182"/>
  <c r="BF929" i="16"/>
  <c r="G407" i="182"/>
  <c r="O407" i="182" s="1"/>
  <c r="BF459" i="16"/>
  <c r="G357" i="182"/>
  <c r="BF407" i="16"/>
  <c r="G333" i="182"/>
  <c r="O333" i="182" s="1"/>
  <c r="BF381" i="16"/>
  <c r="G741" i="182"/>
  <c r="BF809" i="16"/>
  <c r="G321" i="182"/>
  <c r="O321" i="182" s="1"/>
  <c r="BF369" i="16"/>
  <c r="G146" i="182"/>
  <c r="BF186" i="16"/>
  <c r="G838" i="182"/>
  <c r="O838" i="182" s="1"/>
  <c r="BF910" i="16"/>
  <c r="G656" i="182"/>
  <c r="O656" i="182" s="1"/>
  <c r="BF720" i="16"/>
  <c r="G238" i="182"/>
  <c r="O238" i="182" s="1"/>
  <c r="BF282" i="16"/>
  <c r="G361" i="182"/>
  <c r="O361" i="182" s="1"/>
  <c r="BF411" i="16"/>
  <c r="BF588" i="16"/>
  <c r="G491" i="182"/>
  <c r="O491" i="182" s="1"/>
  <c r="BF547" i="16"/>
  <c r="G896" i="182"/>
  <c r="BF970" i="16"/>
  <c r="G849" i="182"/>
  <c r="O849" i="182" s="1"/>
  <c r="BF921" i="16"/>
  <c r="G387" i="182"/>
  <c r="BF437" i="16"/>
  <c r="G261" i="182"/>
  <c r="O261" i="182" s="1"/>
  <c r="BF305" i="16"/>
  <c r="BF272" i="16"/>
  <c r="G158" i="182"/>
  <c r="BF198" i="16"/>
  <c r="G861" i="182"/>
  <c r="BF933" i="16"/>
  <c r="G473" i="182"/>
  <c r="O473" i="182" s="1"/>
  <c r="BF527" i="16"/>
  <c r="G389" i="182"/>
  <c r="BF439" i="16"/>
  <c r="G763" i="182"/>
  <c r="O763" i="182" s="1"/>
  <c r="BF831" i="16"/>
  <c r="G712" i="182"/>
  <c r="BF778" i="16"/>
  <c r="G619" i="182"/>
  <c r="O619" i="182" s="1"/>
  <c r="BF681" i="16"/>
  <c r="G594" i="182"/>
  <c r="BF654" i="16"/>
  <c r="G707" i="182"/>
  <c r="BF773" i="16"/>
  <c r="O303" i="182"/>
  <c r="G1037" i="182"/>
  <c r="O1037" i="182" s="1"/>
  <c r="BF1117" i="16"/>
  <c r="G876" i="182"/>
  <c r="BF950" i="16"/>
  <c r="G702" i="182"/>
  <c r="O702" i="182" s="1"/>
  <c r="BF768" i="16"/>
  <c r="G435" i="182"/>
  <c r="BF487" i="16"/>
  <c r="G723" i="182"/>
  <c r="O723" i="182" s="1"/>
  <c r="BF789" i="16"/>
  <c r="G1025" i="182"/>
  <c r="BF1105" i="16"/>
  <c r="G477" i="182"/>
  <c r="O477" i="182" s="1"/>
  <c r="BF531" i="16"/>
  <c r="G445" i="182"/>
  <c r="O445" i="182" s="1"/>
  <c r="BF499" i="16"/>
  <c r="G645" i="182"/>
  <c r="O645" i="182" s="1"/>
  <c r="BF707" i="16"/>
  <c r="G521" i="182"/>
  <c r="BF577" i="16"/>
  <c r="G476" i="182"/>
  <c r="O476" i="182" s="1"/>
  <c r="BF530" i="16"/>
  <c r="G444" i="182"/>
  <c r="BF498" i="16"/>
  <c r="G237" i="182"/>
  <c r="O237" i="182" s="1"/>
  <c r="BF281" i="16"/>
  <c r="G233" i="182"/>
  <c r="BF277" i="16"/>
  <c r="G816" i="182"/>
  <c r="O816" i="182" s="1"/>
  <c r="BF886" i="16"/>
  <c r="G784" i="182"/>
  <c r="BF854" i="16"/>
  <c r="G337" i="182"/>
  <c r="O337" i="182" s="1"/>
  <c r="BF385" i="16"/>
  <c r="G273" i="182"/>
  <c r="BF319" i="16"/>
  <c r="G1033" i="182"/>
  <c r="O1033" i="182" s="1"/>
  <c r="BF1113" i="16"/>
  <c r="G1016" i="182"/>
  <c r="O1016" i="182" s="1"/>
  <c r="BF1096" i="16"/>
  <c r="AB112" i="36"/>
  <c r="AF102" i="69" s="1"/>
  <c r="BC761" i="16"/>
  <c r="G718" i="182"/>
  <c r="BF784" i="16"/>
  <c r="G667" i="182"/>
  <c r="O667" i="182" s="1"/>
  <c r="BF731" i="16"/>
  <c r="G424" i="182"/>
  <c r="BF476" i="16"/>
  <c r="G257" i="182"/>
  <c r="O257" i="182" s="1"/>
  <c r="BF301" i="16"/>
  <c r="G841" i="182"/>
  <c r="BF913" i="16"/>
  <c r="G641" i="182"/>
  <c r="O641" i="182" s="1"/>
  <c r="BF703" i="16"/>
  <c r="G209" i="182"/>
  <c r="BF251" i="16"/>
  <c r="G768" i="182"/>
  <c r="O768" i="182" s="1"/>
  <c r="BF836" i="16"/>
  <c r="G629" i="182"/>
  <c r="BF691" i="16"/>
  <c r="G1028" i="182"/>
  <c r="G184" i="182"/>
  <c r="BF226" i="16"/>
  <c r="AB114" i="36"/>
  <c r="AF104" i="69" s="1"/>
  <c r="BC851" i="16"/>
  <c r="G497" i="182"/>
  <c r="BF553" i="16"/>
  <c r="BF522" i="16"/>
  <c r="G452" i="182"/>
  <c r="O452" i="182" s="1"/>
  <c r="BF506" i="16"/>
  <c r="G224" i="182"/>
  <c r="BF268" i="16"/>
  <c r="BF148" i="16"/>
  <c r="G260" i="182"/>
  <c r="O260" i="182" s="1"/>
  <c r="BF304" i="16"/>
  <c r="BF258" i="16"/>
  <c r="AB116" i="36"/>
  <c r="AF106" i="69" s="1"/>
  <c r="BC941" i="16"/>
  <c r="G800" i="182"/>
  <c r="BF870" i="16"/>
  <c r="G638" i="182"/>
  <c r="O638" i="182" s="1"/>
  <c r="BF700" i="16"/>
  <c r="G583" i="182"/>
  <c r="BF643" i="16"/>
  <c r="G502" i="182"/>
  <c r="BF558" i="16"/>
  <c r="G413" i="182"/>
  <c r="BF465" i="16"/>
  <c r="G649" i="182"/>
  <c r="BF711" i="16"/>
  <c r="G371" i="182"/>
  <c r="BF421" i="16"/>
  <c r="G142" i="182"/>
  <c r="BF182" i="16"/>
  <c r="G235" i="182"/>
  <c r="O235" i="182" s="1"/>
  <c r="BF279" i="16"/>
  <c r="O860" i="182"/>
  <c r="O164" i="182"/>
  <c r="O856" i="182"/>
  <c r="G932" i="182"/>
  <c r="O932" i="182" s="1"/>
  <c r="BF1008" i="16"/>
  <c r="G728" i="182"/>
  <c r="BF794" i="16"/>
  <c r="BF523" i="16"/>
  <c r="G229" i="182"/>
  <c r="BF273" i="16"/>
  <c r="G102" i="182"/>
  <c r="G926" i="182"/>
  <c r="BF1002" i="16"/>
  <c r="G688" i="182"/>
  <c r="BF752" i="16"/>
  <c r="G293" i="182"/>
  <c r="O293" i="182" s="1"/>
  <c r="G590" i="182"/>
  <c r="BF650" i="16"/>
  <c r="G449" i="182"/>
  <c r="BF503" i="16"/>
  <c r="G397" i="182"/>
  <c r="BF449" i="16"/>
  <c r="G936" i="182"/>
  <c r="G505" i="182"/>
  <c r="BF561" i="16"/>
  <c r="G456" i="182"/>
  <c r="BF510" i="16"/>
  <c r="G187" i="182"/>
  <c r="O187" i="182" s="1"/>
  <c r="BF229" i="16"/>
  <c r="BF214" i="16"/>
  <c r="G174" i="182"/>
  <c r="O174" i="182" s="1"/>
  <c r="O964" i="182"/>
  <c r="G991" i="182"/>
  <c r="O991" i="182" s="1"/>
  <c r="BF1069" i="16"/>
  <c r="G809" i="182"/>
  <c r="BF879" i="16"/>
  <c r="G775" i="182"/>
  <c r="BF843" i="16"/>
  <c r="G366" i="182"/>
  <c r="BF416" i="16"/>
  <c r="G759" i="182"/>
  <c r="O759" i="182" s="1"/>
  <c r="BF827" i="16"/>
  <c r="G373" i="182"/>
  <c r="O373" i="182" s="1"/>
  <c r="BF423" i="16"/>
  <c r="G465" i="182"/>
  <c r="BF519" i="16"/>
  <c r="G419" i="182"/>
  <c r="BF471" i="16"/>
  <c r="G247" i="182"/>
  <c r="O247" i="182" s="1"/>
  <c r="BF291" i="16"/>
  <c r="O919" i="182"/>
  <c r="O791" i="182"/>
  <c r="O647" i="182"/>
  <c r="O689" i="182"/>
  <c r="O536" i="182"/>
  <c r="O677" i="182"/>
  <c r="O985" i="182"/>
  <c r="G602" i="182"/>
  <c r="O602" i="182" s="1"/>
  <c r="BF662" i="16"/>
  <c r="G355" i="182"/>
  <c r="BF405" i="16"/>
  <c r="G887" i="182"/>
  <c r="O887" i="182" s="1"/>
  <c r="BF961" i="16"/>
  <c r="G793" i="182"/>
  <c r="O793" i="182" s="1"/>
  <c r="BF863" i="16"/>
  <c r="BF712" i="16"/>
  <c r="G683" i="182"/>
  <c r="BF747" i="16"/>
  <c r="G904" i="182"/>
  <c r="O904" i="182" s="1"/>
  <c r="BF978" i="16"/>
  <c r="G698" i="182"/>
  <c r="O698" i="182" s="1"/>
  <c r="BF764" i="16"/>
  <c r="G191" i="182"/>
  <c r="BF233" i="16"/>
  <c r="G302" i="182"/>
  <c r="O302" i="182" s="1"/>
  <c r="BF348" i="16"/>
  <c r="G203" i="182"/>
  <c r="BF245" i="16"/>
  <c r="G270" i="182"/>
  <c r="O270" i="182" s="1"/>
  <c r="BF316" i="16"/>
  <c r="G854" i="182"/>
  <c r="O854" i="182" s="1"/>
  <c r="BF926" i="16"/>
  <c r="G658" i="182"/>
  <c r="BF722" i="16"/>
  <c r="G457" i="182"/>
  <c r="BF511" i="16"/>
  <c r="G573" i="182"/>
  <c r="O573" i="182" s="1"/>
  <c r="BF633" i="16"/>
  <c r="G403" i="182"/>
  <c r="BF455" i="16"/>
  <c r="G940" i="182"/>
  <c r="O940" i="182" s="1"/>
  <c r="BF1016" i="16"/>
  <c r="G243" i="182"/>
  <c r="O243" i="182" s="1"/>
  <c r="BF287" i="16"/>
  <c r="G472" i="182"/>
  <c r="O472" i="182" s="1"/>
  <c r="BF526" i="16"/>
  <c r="O986" i="182"/>
  <c r="G343" i="182"/>
  <c r="BF391" i="16"/>
  <c r="G322" i="182"/>
  <c r="O322" i="182" s="1"/>
  <c r="BF370" i="16"/>
  <c r="G895" i="182"/>
  <c r="BF969" i="16"/>
  <c r="G453" i="182"/>
  <c r="O453" i="182" s="1"/>
  <c r="BF507" i="16"/>
  <c r="G734" i="182"/>
  <c r="O734" i="182" s="1"/>
  <c r="BF800" i="16"/>
  <c r="G672" i="182"/>
  <c r="BF736" i="16"/>
  <c r="G625" i="182"/>
  <c r="BF687" i="16"/>
  <c r="G690" i="182"/>
  <c r="O690" i="182" s="1"/>
  <c r="BF754" i="16"/>
  <c r="G461" i="182"/>
  <c r="BF515" i="16"/>
  <c r="G440" i="182"/>
  <c r="O440" i="182" s="1"/>
  <c r="BF494" i="16"/>
  <c r="G225" i="182"/>
  <c r="O225" i="182" s="1"/>
  <c r="BF269" i="16"/>
  <c r="G579" i="182"/>
  <c r="BF639" i="16"/>
  <c r="G423" i="182"/>
  <c r="BF475" i="16"/>
  <c r="G341" i="182"/>
  <c r="O341" i="182" s="1"/>
  <c r="BF389" i="16"/>
  <c r="G779" i="182"/>
  <c r="BF847" i="16"/>
  <c r="G674" i="182"/>
  <c r="O674" i="182" s="1"/>
  <c r="BF738" i="16"/>
  <c r="G1021" i="182"/>
  <c r="BF1101" i="16"/>
  <c r="G408" i="182"/>
  <c r="O408" i="182" s="1"/>
  <c r="BF460" i="16"/>
  <c r="G306" i="182"/>
  <c r="O306" i="182" s="1"/>
  <c r="BF352" i="16"/>
  <c r="G845" i="182"/>
  <c r="O845" i="182" s="1"/>
  <c r="BF917" i="16"/>
  <c r="G747" i="182"/>
  <c r="O747" i="182" s="1"/>
  <c r="BF815" i="16"/>
  <c r="BF699" i="16"/>
  <c r="G575" i="182"/>
  <c r="O575" i="182" s="1"/>
  <c r="BF635" i="16"/>
  <c r="G431" i="182"/>
  <c r="BF483" i="16"/>
  <c r="G58" i="182"/>
  <c r="O58" i="182" s="1"/>
  <c r="BF94" i="16"/>
  <c r="G377" i="182"/>
  <c r="BF427" i="16"/>
  <c r="BF153" i="16"/>
  <c r="BF795" i="16"/>
  <c r="BF591" i="16"/>
  <c r="BF313" i="16"/>
  <c r="BF207" i="16"/>
  <c r="BF912" i="16"/>
  <c r="BF1007" i="16"/>
  <c r="BF508" i="16"/>
  <c r="BF729" i="16"/>
  <c r="BF663" i="16"/>
  <c r="BF594" i="16"/>
  <c r="BF486" i="16"/>
  <c r="BF340" i="16"/>
  <c r="BF361" i="16"/>
  <c r="BF338" i="16"/>
  <c r="BF204" i="16"/>
  <c r="BF211" i="16"/>
  <c r="BF1134" i="16"/>
  <c r="BF972" i="16"/>
  <c r="BF826" i="16"/>
  <c r="BF818" i="16"/>
  <c r="BF706" i="16"/>
  <c r="BF366" i="16"/>
  <c r="BF368" i="16"/>
  <c r="BF396" i="16"/>
  <c r="BF980" i="16"/>
  <c r="BF830" i="16"/>
  <c r="BF928" i="16"/>
  <c r="U890" i="119"/>
  <c r="BF698" i="16"/>
  <c r="BF529" i="16"/>
  <c r="BF474" i="16"/>
  <c r="BF458" i="16"/>
  <c r="BF330" i="16"/>
  <c r="BF187" i="16"/>
  <c r="BF1158" i="16"/>
  <c r="BF217" i="16"/>
  <c r="BF1027" i="16"/>
  <c r="BF1083" i="16"/>
  <c r="BF524" i="16"/>
  <c r="BF520" i="16"/>
  <c r="BF374" i="16"/>
  <c r="BF418" i="16"/>
  <c r="BF200" i="16"/>
  <c r="BF1115" i="16"/>
  <c r="BF701" i="16"/>
  <c r="BF745" i="16"/>
  <c r="BF737" i="16"/>
  <c r="BF721" i="16"/>
  <c r="BF586" i="16"/>
  <c r="BF509" i="16"/>
  <c r="AB105" i="36"/>
  <c r="AF95" i="69" s="1"/>
  <c r="BF360" i="16"/>
  <c r="BF179" i="16"/>
  <c r="BF209" i="16"/>
  <c r="BF199" i="16"/>
  <c r="BF1006" i="16"/>
  <c r="BF1019" i="16"/>
  <c r="BF976" i="16"/>
  <c r="BF756" i="16"/>
  <c r="BF787" i="16"/>
  <c r="BF771" i="16"/>
  <c r="BF647" i="16"/>
  <c r="BF572" i="16"/>
  <c r="BF371" i="16"/>
  <c r="BF383" i="16"/>
  <c r="BF334" i="16"/>
  <c r="BF349" i="16"/>
  <c r="BF1154" i="16"/>
  <c r="BF1138" i="16"/>
  <c r="BF943" i="16"/>
  <c r="BF767" i="16"/>
  <c r="BF733" i="16"/>
  <c r="BF512" i="16"/>
  <c r="BF493" i="16"/>
  <c r="BF521" i="16"/>
  <c r="BF505" i="16"/>
  <c r="BF497" i="16"/>
  <c r="BF466" i="16"/>
  <c r="BF390" i="16"/>
  <c r="BF321" i="16"/>
  <c r="BF462" i="16"/>
  <c r="BF228" i="16"/>
  <c r="BF212" i="16"/>
  <c r="BF196" i="16"/>
  <c r="BF213" i="16"/>
  <c r="BF861" i="16"/>
  <c r="BF434" i="16"/>
  <c r="BF184" i="16"/>
  <c r="BF1150" i="16"/>
  <c r="BF995" i="16"/>
  <c r="BF936" i="16"/>
  <c r="BF900" i="16"/>
  <c r="BF690" i="16"/>
  <c r="BF779" i="16"/>
  <c r="BF763" i="16"/>
  <c r="BF638" i="16"/>
  <c r="BF607" i="16"/>
  <c r="BF426" i="16"/>
  <c r="AB100" i="36"/>
  <c r="AF90" i="69" s="1"/>
  <c r="BF201" i="16"/>
  <c r="BF191" i="16"/>
  <c r="BF168" i="16"/>
  <c r="BF158" i="16"/>
  <c r="BF1142" i="16"/>
  <c r="BF1022" i="16"/>
  <c r="BF1126" i="16"/>
  <c r="BF674" i="16"/>
  <c r="BF709" i="16"/>
  <c r="BF501" i="16"/>
  <c r="BF568" i="16"/>
  <c r="BF314" i="16"/>
  <c r="BF260" i="16"/>
  <c r="BF438" i="16"/>
  <c r="BF1162" i="16"/>
  <c r="BF1146" i="16"/>
  <c r="BF1079" i="16"/>
  <c r="BF920" i="16"/>
  <c r="BF881" i="16"/>
  <c r="BF964" i="16"/>
  <c r="BF877" i="16"/>
  <c r="BF842" i="16"/>
  <c r="BF810" i="16"/>
  <c r="AB113" i="36"/>
  <c r="AF103" i="69" s="1"/>
  <c r="BC806" i="16"/>
  <c r="BF667" i="16"/>
  <c r="BF630" i="16"/>
  <c r="BF599" i="16"/>
  <c r="BF629" i="16"/>
  <c r="BF345" i="16"/>
  <c r="BF406" i="16"/>
  <c r="BF342" i="16"/>
  <c r="BF106" i="16"/>
  <c r="BF1103" i="16"/>
  <c r="BF1111" i="16"/>
  <c r="BF885" i="16"/>
  <c r="BF791" i="16"/>
  <c r="BF783" i="16"/>
  <c r="BF685" i="16"/>
  <c r="BF678" i="16"/>
  <c r="BF516" i="16"/>
  <c r="BF564" i="16"/>
  <c r="BF318" i="16"/>
  <c r="BF101" i="16"/>
  <c r="BF125" i="16"/>
  <c r="BF889" i="16"/>
  <c r="BF1023" i="16"/>
  <c r="BF224" i="16"/>
  <c r="BF1082" i="16"/>
  <c r="BF932" i="16"/>
  <c r="BF682" i="16"/>
  <c r="BF694" i="16"/>
  <c r="BF442" i="16"/>
  <c r="BF410" i="16"/>
  <c r="BF326" i="16"/>
  <c r="BF333" i="16"/>
  <c r="BF1130" i="16"/>
  <c r="BF960" i="16"/>
  <c r="BE674" i="16"/>
  <c r="BF947" i="16"/>
  <c r="BF753" i="16"/>
  <c r="U678" i="119"/>
  <c r="BF528" i="16"/>
  <c r="BF611" i="16"/>
  <c r="BF595" i="16"/>
  <c r="BF376" i="16"/>
  <c r="BF525" i="16"/>
  <c r="BF517" i="16"/>
  <c r="BF470" i="16"/>
  <c r="BF454" i="16"/>
  <c r="BF329" i="16"/>
  <c r="BF346" i="16"/>
  <c r="BF246" i="16"/>
  <c r="BK313" i="16"/>
  <c r="BF252" i="16"/>
  <c r="BF188" i="16"/>
  <c r="BF205" i="16"/>
  <c r="BF113" i="16"/>
  <c r="BF322" i="16"/>
  <c r="BF183" i="16"/>
  <c r="BF1098" i="16"/>
  <c r="BF1003" i="16"/>
  <c r="BF991" i="16"/>
  <c r="BF838" i="16"/>
  <c r="AB110" i="36"/>
  <c r="AF100" i="69" s="1"/>
  <c r="BC671" i="16"/>
  <c r="BE810" i="16"/>
  <c r="BF655" i="16"/>
  <c r="BF504" i="16"/>
  <c r="BF430" i="16"/>
  <c r="BF341" i="16"/>
  <c r="BK360" i="16"/>
  <c r="BF192" i="16"/>
  <c r="BF1011" i="16"/>
  <c r="BF999" i="16"/>
  <c r="AB117" i="36"/>
  <c r="AF107" i="69" s="1"/>
  <c r="BC986" i="16"/>
  <c r="BF799" i="16"/>
  <c r="BF775" i="16"/>
  <c r="BF659" i="16"/>
  <c r="BF749" i="16"/>
  <c r="BF741" i="16"/>
  <c r="BF725" i="16"/>
  <c r="BF602" i="16"/>
  <c r="BF513" i="16"/>
  <c r="BF482" i="16"/>
  <c r="BF540" i="16"/>
  <c r="BF478" i="16"/>
  <c r="BF380" i="16"/>
  <c r="BF180" i="16"/>
  <c r="BF197" i="16"/>
  <c r="BF95" i="16"/>
  <c r="BF111" i="16"/>
  <c r="O374" i="182"/>
  <c r="O744" i="182"/>
  <c r="O425" i="182"/>
  <c r="O842" i="182"/>
  <c r="O517" i="182"/>
  <c r="O274" i="182"/>
  <c r="O514" i="182"/>
  <c r="O820" i="182"/>
  <c r="O631" i="182"/>
  <c r="O494" i="182"/>
  <c r="O589" i="182"/>
  <c r="O777" i="182"/>
  <c r="O417" i="182"/>
  <c r="O336" i="182"/>
  <c r="O908" i="182"/>
  <c r="O244" i="182"/>
  <c r="O833" i="182"/>
  <c r="O755" i="182"/>
  <c r="O601" i="182"/>
  <c r="O240" i="182"/>
  <c r="O572" i="182"/>
  <c r="O286" i="182"/>
  <c r="O875" i="182"/>
  <c r="O870" i="182"/>
  <c r="O727" i="182"/>
  <c r="O671" i="182"/>
  <c r="O154" i="182"/>
  <c r="O170" i="182"/>
  <c r="O659" i="182"/>
  <c r="O670" i="182"/>
  <c r="O686" i="182"/>
  <c r="O666" i="182"/>
  <c r="O699" i="182"/>
  <c r="O731" i="182"/>
  <c r="O788" i="182"/>
  <c r="O821" i="182"/>
  <c r="O796" i="182"/>
  <c r="O948" i="182"/>
  <c r="O917" i="182"/>
  <c r="O772" i="182"/>
  <c r="O767" i="182"/>
  <c r="O726" i="182"/>
  <c r="O655" i="182"/>
  <c r="O415" i="182"/>
  <c r="O381" i="182"/>
  <c r="O386" i="182"/>
  <c r="O358" i="182"/>
  <c r="O390" i="182"/>
  <c r="O365" i="182"/>
  <c r="O354" i="182"/>
  <c r="O353" i="182"/>
  <c r="O316" i="182"/>
  <c r="O310" i="182"/>
  <c r="O349" i="182"/>
  <c r="O325" i="182"/>
  <c r="O227" i="182"/>
  <c r="O245" i="182"/>
  <c r="O138" i="182"/>
  <c r="O66" i="182"/>
  <c r="O72" i="182"/>
  <c r="O88" i="182"/>
  <c r="O1047" i="182"/>
  <c r="O1075" i="182"/>
  <c r="O1063" i="182"/>
  <c r="O1058" i="182"/>
  <c r="O1070" i="182"/>
  <c r="O1054" i="182"/>
  <c r="O377" i="182"/>
  <c r="O423" i="182"/>
  <c r="O461" i="182"/>
  <c r="O809" i="182"/>
  <c r="O397" i="182"/>
  <c r="O688" i="182"/>
  <c r="O142" i="182"/>
  <c r="O649" i="182"/>
  <c r="O583" i="182"/>
  <c r="O184" i="182"/>
  <c r="O629" i="182"/>
  <c r="O424" i="182"/>
  <c r="O784" i="182"/>
  <c r="O521" i="182"/>
  <c r="O158" i="182"/>
  <c r="O896" i="182"/>
  <c r="O741" i="182"/>
  <c r="O757" i="182"/>
  <c r="O431" i="182"/>
  <c r="O779" i="182"/>
  <c r="O672" i="182"/>
  <c r="O403" i="182"/>
  <c r="O658" i="182"/>
  <c r="O191" i="182"/>
  <c r="O355" i="182"/>
  <c r="O465" i="182"/>
  <c r="O366" i="182"/>
  <c r="O936" i="182"/>
  <c r="O371" i="182"/>
  <c r="O502" i="182"/>
  <c r="O1028" i="182"/>
  <c r="O233" i="182"/>
  <c r="O1025" i="182"/>
  <c r="O594" i="182"/>
  <c r="O389" i="182"/>
  <c r="O146" i="182"/>
  <c r="O357" i="182"/>
  <c r="O1021" i="182"/>
  <c r="O625" i="182"/>
  <c r="O895" i="182"/>
  <c r="O343" i="182"/>
  <c r="O683" i="182"/>
  <c r="O775" i="182"/>
  <c r="O505" i="182"/>
  <c r="O590" i="182"/>
  <c r="O229" i="182"/>
  <c r="O728" i="182"/>
  <c r="O841" i="182"/>
  <c r="O718" i="182"/>
  <c r="O707" i="182"/>
  <c r="O712" i="182"/>
  <c r="O857" i="182"/>
  <c r="O579" i="182"/>
  <c r="O457" i="182"/>
  <c r="O203" i="182"/>
  <c r="O419" i="182"/>
  <c r="O456" i="182"/>
  <c r="O449" i="182"/>
  <c r="O926" i="182"/>
  <c r="O102" i="182"/>
  <c r="O413" i="182"/>
  <c r="O800" i="182"/>
  <c r="O224" i="182"/>
  <c r="O497" i="182"/>
  <c r="O209" i="182"/>
  <c r="O273" i="182"/>
  <c r="O444" i="182"/>
  <c r="O435" i="182"/>
  <c r="O876" i="182"/>
  <c r="O861" i="182"/>
  <c r="O228" i="182"/>
  <c r="O387" i="182"/>
  <c r="S70" i="119"/>
  <c r="AK29" i="166"/>
  <c r="AT29" i="166"/>
  <c r="AK30" i="166"/>
  <c r="AT30" i="166"/>
  <c r="AK31" i="166"/>
  <c r="AT31" i="166"/>
  <c r="AK32" i="166"/>
  <c r="AT32" i="166"/>
  <c r="G382" i="182" l="1"/>
  <c r="O382" i="182" s="1"/>
  <c r="BF432" i="16"/>
  <c r="G1017" i="182"/>
  <c r="O1017" i="182" s="1"/>
  <c r="BF1097" i="16"/>
  <c r="G642" i="182"/>
  <c r="O642" i="182" s="1"/>
  <c r="BF704" i="16"/>
  <c r="G249" i="182"/>
  <c r="O249" i="182" s="1"/>
  <c r="BF293" i="16"/>
  <c r="BF435" i="16"/>
  <c r="G385" i="182"/>
  <c r="O385" i="182" s="1"/>
  <c r="BC311" i="16"/>
  <c r="BF834" i="16"/>
  <c r="BF916" i="16"/>
  <c r="BF276" i="16"/>
  <c r="BF481" i="16"/>
  <c r="G752" i="182"/>
  <c r="O752" i="182" s="1"/>
  <c r="BF820" i="16"/>
  <c r="G773" i="182"/>
  <c r="O773" i="182" s="1"/>
  <c r="BF841" i="16"/>
  <c r="G162" i="182"/>
  <c r="O162" i="182" s="1"/>
  <c r="BF202" i="16"/>
  <c r="G252" i="182"/>
  <c r="O252" i="182" s="1"/>
  <c r="BF296" i="16"/>
  <c r="G370" i="182"/>
  <c r="O370" i="182" s="1"/>
  <c r="BF420" i="16"/>
  <c r="BI219" i="16"/>
  <c r="BM1200" i="16" s="1"/>
  <c r="G166" i="182"/>
  <c r="O166" i="182" s="1"/>
  <c r="G460" i="182"/>
  <c r="O460" i="182" s="1"/>
  <c r="BF514" i="16"/>
  <c r="G256" i="182"/>
  <c r="O256" i="182" s="1"/>
  <c r="BF300" i="16"/>
  <c r="G317" i="182"/>
  <c r="O317" i="182" s="1"/>
  <c r="BF365" i="16"/>
  <c r="G1051" i="182"/>
  <c r="O1051" i="182" s="1"/>
  <c r="BF1133" i="16"/>
  <c r="BF203" i="16"/>
  <c r="BF621" i="16"/>
  <c r="BF414" i="16"/>
  <c r="BF908" i="16"/>
  <c r="BF119" i="16"/>
  <c r="G57" i="182"/>
  <c r="O57" i="182" s="1"/>
  <c r="BF93" i="16"/>
  <c r="G1042" i="182"/>
  <c r="O1042" i="182" s="1"/>
  <c r="BF1124" i="16"/>
  <c r="BK230" i="16"/>
  <c r="BK262" i="16"/>
  <c r="BK1141" i="16"/>
  <c r="BI413" i="16"/>
  <c r="BK413" i="16" s="1"/>
  <c r="BK444" i="16" s="1"/>
  <c r="BN1205" i="16" s="1"/>
  <c r="R105" i="36" s="1"/>
  <c r="S384" i="119"/>
  <c r="AQ413" i="16"/>
  <c r="BA413" i="16"/>
  <c r="AT413" i="16"/>
  <c r="BI1014" i="16"/>
  <c r="BK1014" i="16" s="1"/>
  <c r="AT1014" i="16"/>
  <c r="AQ1014" i="16"/>
  <c r="BA1014" i="16"/>
  <c r="S959" i="119"/>
  <c r="BI875" i="16"/>
  <c r="AT875" i="16"/>
  <c r="S826" i="119"/>
  <c r="AQ802" i="16"/>
  <c r="AT802" i="16"/>
  <c r="BI802" i="16"/>
  <c r="BA802" i="16"/>
  <c r="BE802" i="16" s="1"/>
  <c r="S757" i="119"/>
  <c r="U757" i="119" s="1"/>
  <c r="BI461" i="16"/>
  <c r="S430" i="119"/>
  <c r="U430" i="119" s="1"/>
  <c r="BA461" i="16"/>
  <c r="AT461" i="16"/>
  <c r="AQ461" i="16"/>
  <c r="BI1155" i="16"/>
  <c r="BK1155" i="16" s="1"/>
  <c r="AQ1155" i="16"/>
  <c r="BA1155" i="16"/>
  <c r="S1094" i="119"/>
  <c r="AT1155" i="16"/>
  <c r="S868" i="119"/>
  <c r="AQ919" i="16"/>
  <c r="AT919" i="16"/>
  <c r="BA919" i="16"/>
  <c r="BI919" i="16"/>
  <c r="BI786" i="16"/>
  <c r="BA786" i="16"/>
  <c r="BE786" i="16" s="1"/>
  <c r="S741" i="119"/>
  <c r="AT786" i="16"/>
  <c r="AQ786" i="16"/>
  <c r="BI441" i="16"/>
  <c r="S412" i="119"/>
  <c r="AT441" i="16"/>
  <c r="BA441" i="16"/>
  <c r="BE441" i="16" s="1"/>
  <c r="AQ441" i="16"/>
  <c r="BF441" i="16" s="1"/>
  <c r="BK919" i="16"/>
  <c r="BK441" i="16"/>
  <c r="BK802" i="16"/>
  <c r="BI1088" i="16"/>
  <c r="BK1088" i="16" s="1"/>
  <c r="AT1088" i="16"/>
  <c r="S1029" i="119"/>
  <c r="BA1088" i="16"/>
  <c r="AQ1088" i="16"/>
  <c r="BI962" i="16"/>
  <c r="BK962" i="16" s="1"/>
  <c r="AQ962" i="16"/>
  <c r="S909" i="119"/>
  <c r="BA962" i="16"/>
  <c r="AT962" i="16"/>
  <c r="BI903" i="16"/>
  <c r="BK903" i="16" s="1"/>
  <c r="AT903" i="16"/>
  <c r="BA903" i="16"/>
  <c r="AQ903" i="16"/>
  <c r="S852" i="119"/>
  <c r="BI892" i="16"/>
  <c r="BK892" i="16" s="1"/>
  <c r="BA892" i="16"/>
  <c r="AQ892" i="16"/>
  <c r="S843" i="119"/>
  <c r="AT892" i="16"/>
  <c r="U868" i="119"/>
  <c r="BK1036" i="16"/>
  <c r="BE798" i="16"/>
  <c r="BE770" i="16"/>
  <c r="BG309" i="16"/>
  <c r="BG311" i="16" s="1"/>
  <c r="AT1036" i="16"/>
  <c r="BK1038" i="16"/>
  <c r="BJ34" i="167"/>
  <c r="U134" i="198"/>
  <c r="U177" i="30"/>
  <c r="U214" i="190"/>
  <c r="AD859" i="16"/>
  <c r="AD636" i="16"/>
  <c r="AD612" i="16"/>
  <c r="AD604" i="16"/>
  <c r="AG174" i="16"/>
  <c r="AG132" i="16" s="1"/>
  <c r="BK786" i="16"/>
  <c r="BE833" i="16"/>
  <c r="BE915" i="16"/>
  <c r="BK1041" i="16"/>
  <c r="AD1089" i="16"/>
  <c r="BJ875" i="16"/>
  <c r="BK875" i="16" s="1"/>
  <c r="AD680" i="16"/>
  <c r="AD597" i="16"/>
  <c r="BE1052" i="16"/>
  <c r="L41" i="178"/>
  <c r="M134" i="198"/>
  <c r="M214" i="190"/>
  <c r="M177" i="30"/>
  <c r="BK295" i="16"/>
  <c r="BE1040" i="16"/>
  <c r="BD1032" i="16"/>
  <c r="BK1059" i="16"/>
  <c r="P41" i="178"/>
  <c r="Q134" i="198"/>
  <c r="Q177" i="30"/>
  <c r="Q214" i="190"/>
  <c r="BC852" i="16"/>
  <c r="AD788" i="16"/>
  <c r="BJ772" i="16"/>
  <c r="BA163" i="16"/>
  <c r="BI163" i="16"/>
  <c r="BA155" i="16"/>
  <c r="AQ155" i="16"/>
  <c r="G103" i="182"/>
  <c r="O103" i="182" s="1"/>
  <c r="BF141" i="16"/>
  <c r="BF136" i="16"/>
  <c r="G98" i="182"/>
  <c r="O98" i="182" s="1"/>
  <c r="BF161" i="16"/>
  <c r="S139" i="119"/>
  <c r="S124" i="119"/>
  <c r="BA136" i="16"/>
  <c r="AT161" i="16"/>
  <c r="BI161" i="16"/>
  <c r="BK161" i="16" s="1"/>
  <c r="AD143" i="16"/>
  <c r="AD135" i="16"/>
  <c r="T142" i="119"/>
  <c r="W122" i="119"/>
  <c r="W146" i="119"/>
  <c r="T126" i="119"/>
  <c r="BK168" i="16"/>
  <c r="AT156" i="16"/>
  <c r="BI156" i="16"/>
  <c r="AT141" i="16"/>
  <c r="BI141" i="16"/>
  <c r="BK141" i="16" s="1"/>
  <c r="BK148" i="16"/>
  <c r="AT136" i="16"/>
  <c r="S144" i="119"/>
  <c r="BJ143" i="16"/>
  <c r="BJ135" i="16"/>
  <c r="AD167" i="16"/>
  <c r="W118" i="119"/>
  <c r="BG163" i="16"/>
  <c r="V146" i="119"/>
  <c r="W130" i="119"/>
  <c r="W150" i="119"/>
  <c r="T138" i="119"/>
  <c r="S137" i="119"/>
  <c r="AD139" i="16"/>
  <c r="AD147" i="16"/>
  <c r="AD151" i="16"/>
  <c r="AD159" i="16"/>
  <c r="AD171" i="16"/>
  <c r="T134" i="119"/>
  <c r="T118" i="119"/>
  <c r="BG167" i="16"/>
  <c r="W134" i="119"/>
  <c r="T122" i="119"/>
  <c r="BG147" i="16"/>
  <c r="BI1143" i="16"/>
  <c r="S1082" i="119"/>
  <c r="AQ1143" i="16"/>
  <c r="AT1143" i="16"/>
  <c r="BA1143" i="16"/>
  <c r="BI1131" i="16"/>
  <c r="BK1131" i="16" s="1"/>
  <c r="S1070" i="119"/>
  <c r="AQ1131" i="16"/>
  <c r="BA1131" i="16"/>
  <c r="AT1131" i="16"/>
  <c r="BI1160" i="16"/>
  <c r="S1099" i="119"/>
  <c r="AQ1160" i="16"/>
  <c r="BA1160" i="16"/>
  <c r="AT1160" i="16"/>
  <c r="BK1140" i="16"/>
  <c r="BK1143" i="16"/>
  <c r="BJ1160" i="16"/>
  <c r="BK1160" i="16" s="1"/>
  <c r="BK1148" i="16"/>
  <c r="BK1133" i="16"/>
  <c r="BK1129" i="16"/>
  <c r="G1071" i="182"/>
  <c r="O1071" i="182" s="1"/>
  <c r="BJ1128" i="16"/>
  <c r="BK1128" i="16" s="1"/>
  <c r="G1007" i="182"/>
  <c r="G1002" i="182"/>
  <c r="G754" i="182"/>
  <c r="O754" i="182" s="1"/>
  <c r="G713" i="182"/>
  <c r="O713" i="182" s="1"/>
  <c r="G640" i="182"/>
  <c r="O640" i="182" s="1"/>
  <c r="G182" i="182"/>
  <c r="O182" i="182" s="1"/>
  <c r="G946" i="182"/>
  <c r="O946" i="182" s="1"/>
  <c r="G1011" i="182"/>
  <c r="O1011" i="182" s="1"/>
  <c r="G603" i="182"/>
  <c r="O603" i="182" s="1"/>
  <c r="G210" i="182"/>
  <c r="O210" i="182" s="1"/>
  <c r="G148" i="182"/>
  <c r="O148" i="182" s="1"/>
  <c r="G169" i="182"/>
  <c r="O169" i="182" s="1"/>
  <c r="G168" i="182"/>
  <c r="O168" i="182" s="1"/>
  <c r="G943" i="182"/>
  <c r="O943" i="182" s="1"/>
  <c r="G595" i="182"/>
  <c r="O595" i="182" s="1"/>
  <c r="G1023" i="182"/>
  <c r="O1023" i="182" s="1"/>
  <c r="G599" i="182"/>
  <c r="O599" i="182" s="1"/>
  <c r="G661" i="182"/>
  <c r="O661" i="182" s="1"/>
  <c r="G157" i="182"/>
  <c r="O157" i="182" s="1"/>
  <c r="G147" i="182"/>
  <c r="O147" i="182" s="1"/>
  <c r="G832" i="182"/>
  <c r="O832" i="182" s="1"/>
  <c r="G939" i="182"/>
  <c r="O939" i="182" s="1"/>
  <c r="G819" i="182"/>
  <c r="G697" i="182"/>
  <c r="G470" i="182"/>
  <c r="O470" i="182" s="1"/>
  <c r="G648" i="182"/>
  <c r="O648" i="182" s="1"/>
  <c r="G392" i="182"/>
  <c r="O392" i="182" s="1"/>
  <c r="G376" i="182"/>
  <c r="O376" i="182" s="1"/>
  <c r="G267" i="182"/>
  <c r="O267" i="182" s="1"/>
  <c r="G177" i="182"/>
  <c r="O177" i="182" s="1"/>
  <c r="G145" i="182"/>
  <c r="O145" i="182" s="1"/>
  <c r="G951" i="182"/>
  <c r="O951" i="182" s="1"/>
  <c r="G1035" i="182"/>
  <c r="O1035" i="182" s="1"/>
  <c r="G799" i="182"/>
  <c r="O799" i="182" s="1"/>
  <c r="G840" i="182"/>
  <c r="O840" i="182" s="1"/>
  <c r="G931" i="182"/>
  <c r="O931" i="182" s="1"/>
  <c r="G657" i="182"/>
  <c r="O657" i="182" s="1"/>
  <c r="G165" i="182"/>
  <c r="O165" i="182" s="1"/>
  <c r="G276" i="182"/>
  <c r="O276" i="182" s="1"/>
  <c r="G999" i="182"/>
  <c r="O999" i="182" s="1"/>
  <c r="G848" i="182"/>
  <c r="O848" i="182" s="1"/>
  <c r="G902" i="182"/>
  <c r="O902" i="182" s="1"/>
  <c r="G807" i="182"/>
  <c r="O807" i="182" s="1"/>
  <c r="G644" i="182"/>
  <c r="O644" i="182" s="1"/>
  <c r="G869" i="182"/>
  <c r="O869" i="182" s="1"/>
  <c r="G733" i="182"/>
  <c r="O733" i="182" s="1"/>
  <c r="G636" i="182"/>
  <c r="O636" i="182" s="1"/>
  <c r="G458" i="182"/>
  <c r="O458" i="182" s="1"/>
  <c r="G186" i="182"/>
  <c r="O186" i="182" s="1"/>
  <c r="G795" i="182"/>
  <c r="O795" i="182" s="1"/>
  <c r="G624" i="182"/>
  <c r="O624" i="182" s="1"/>
  <c r="G175" i="182"/>
  <c r="O175" i="182" s="1"/>
  <c r="G153" i="182"/>
  <c r="O153" i="182" s="1"/>
  <c r="G886" i="182"/>
  <c r="O886" i="182" s="1"/>
  <c r="G643" i="182"/>
  <c r="O643" i="182" s="1"/>
  <c r="G434" i="182"/>
  <c r="O434" i="182" s="1"/>
  <c r="G927" i="182"/>
  <c r="O927" i="182" s="1"/>
  <c r="G894" i="182"/>
  <c r="O894" i="182" s="1"/>
  <c r="G188" i="182"/>
  <c r="O188" i="182" s="1"/>
  <c r="G864" i="182"/>
  <c r="O864" i="182" s="1"/>
  <c r="G787" i="182"/>
  <c r="O787" i="182" s="1"/>
  <c r="G1003" i="182"/>
  <c r="O1003" i="182" s="1"/>
  <c r="G947" i="182"/>
  <c r="O947" i="182" s="1"/>
  <c r="G632" i="182"/>
  <c r="O632" i="182" s="1"/>
  <c r="G578" i="182"/>
  <c r="O578" i="182" s="1"/>
  <c r="G384" i="182"/>
  <c r="G360" i="182"/>
  <c r="G280" i="182"/>
  <c r="O280" i="182" s="1"/>
  <c r="G167" i="182"/>
  <c r="O167" i="182" s="1"/>
  <c r="G161" i="182"/>
  <c r="O161" i="182" s="1"/>
  <c r="G176" i="182"/>
  <c r="O176" i="182" s="1"/>
  <c r="G160" i="182"/>
  <c r="O160" i="182" s="1"/>
  <c r="G144" i="182"/>
  <c r="O144" i="182" s="1"/>
  <c r="G1015" i="182"/>
  <c r="O1015" i="182" s="1"/>
  <c r="G639" i="182"/>
  <c r="O639" i="182" s="1"/>
  <c r="G778" i="182"/>
  <c r="O778" i="182" s="1"/>
  <c r="G746" i="182"/>
  <c r="O746" i="182" s="1"/>
  <c r="G612" i="182"/>
  <c r="G873" i="182"/>
  <c r="O873" i="182" s="1"/>
  <c r="G155" i="182"/>
  <c r="O155" i="182" s="1"/>
  <c r="G149" i="182"/>
  <c r="O149" i="182" s="1"/>
  <c r="G388" i="182"/>
  <c r="O388" i="182" s="1"/>
  <c r="G143" i="182"/>
  <c r="G356" i="182"/>
  <c r="O356" i="182" s="1"/>
  <c r="G709" i="182"/>
  <c r="O709" i="182" s="1"/>
  <c r="G623" i="182"/>
  <c r="O623" i="182" s="1"/>
  <c r="G616" i="182"/>
  <c r="O616" i="182" s="1"/>
  <c r="G665" i="182"/>
  <c r="O665" i="182" s="1"/>
  <c r="G574" i="182"/>
  <c r="O574" i="182" s="1"/>
  <c r="G214" i="182"/>
  <c r="O214" i="182" s="1"/>
  <c r="G607" i="182"/>
  <c r="O607" i="182" s="1"/>
  <c r="G570" i="182"/>
  <c r="O570" i="182" s="1"/>
  <c r="G372" i="182"/>
  <c r="O372" i="182" s="1"/>
  <c r="G935" i="182"/>
  <c r="O935" i="182" s="1"/>
  <c r="G852" i="182"/>
  <c r="O852" i="182" s="1"/>
  <c r="G762" i="182"/>
  <c r="O762" i="182" s="1"/>
  <c r="G206" i="182"/>
  <c r="O206" i="182" s="1"/>
  <c r="AQ262" i="16"/>
  <c r="AT337" i="16"/>
  <c r="G900" i="182"/>
  <c r="O900" i="182" s="1"/>
  <c r="G213" i="182"/>
  <c r="O213" i="182" s="1"/>
  <c r="G196" i="182"/>
  <c r="O196" i="182" s="1"/>
  <c r="BK117" i="16"/>
  <c r="AQ1049" i="16"/>
  <c r="BA1049" i="16"/>
  <c r="S992" i="119"/>
  <c r="BI1049" i="16"/>
  <c r="BK1049" i="16" s="1"/>
  <c r="AT1049" i="16"/>
  <c r="BI1092" i="16"/>
  <c r="BK1092" i="16" s="1"/>
  <c r="S1033" i="119"/>
  <c r="BA1092" i="16"/>
  <c r="AT1092" i="16"/>
  <c r="AQ1092" i="16"/>
  <c r="BI1086" i="16"/>
  <c r="BK1086" i="16" s="1"/>
  <c r="AT1086" i="16"/>
  <c r="AQ1086" i="16"/>
  <c r="BA1086" i="16"/>
  <c r="S1027" i="119"/>
  <c r="BI1078" i="16"/>
  <c r="BK1078" i="16" s="1"/>
  <c r="AQ1078" i="16"/>
  <c r="S1019" i="119"/>
  <c r="BA1078" i="16"/>
  <c r="AT1078" i="16"/>
  <c r="BF280" i="16"/>
  <c r="AQ1072" i="16"/>
  <c r="BA1072" i="16"/>
  <c r="S1015" i="119"/>
  <c r="AT1072" i="16"/>
  <c r="BI1072" i="16"/>
  <c r="BK1072" i="16" s="1"/>
  <c r="BI1065" i="16"/>
  <c r="BK1065" i="16" s="1"/>
  <c r="S1008" i="119"/>
  <c r="AT1065" i="16"/>
  <c r="BA1065" i="16"/>
  <c r="BE1065" i="16" s="1"/>
  <c r="AQ1065" i="16"/>
  <c r="BC1077" i="16"/>
  <c r="BI1018" i="16"/>
  <c r="BK1018" i="16" s="1"/>
  <c r="AQ1018" i="16"/>
  <c r="AT1018" i="16"/>
  <c r="S963" i="119"/>
  <c r="BA1018" i="16"/>
  <c r="G1018" i="182"/>
  <c r="O1018" i="182" s="1"/>
  <c r="G811" i="182"/>
  <c r="O811" i="182" s="1"/>
  <c r="G915" i="182"/>
  <c r="O915" i="182" s="1"/>
  <c r="G774" i="182"/>
  <c r="O774" i="182" s="1"/>
  <c r="G692" i="182"/>
  <c r="O692" i="182" s="1"/>
  <c r="G152" i="182"/>
  <c r="O152" i="182" s="1"/>
  <c r="G1031" i="182"/>
  <c r="O1031" i="182" s="1"/>
  <c r="G783" i="182"/>
  <c r="O783" i="182" s="1"/>
  <c r="G877" i="182"/>
  <c r="O877" i="182" s="1"/>
  <c r="G685" i="182"/>
  <c r="G190" i="182"/>
  <c r="O190" i="182" s="1"/>
  <c r="S209" i="119"/>
  <c r="AQ337" i="16"/>
  <c r="BF337" i="16" s="1"/>
  <c r="G156" i="182"/>
  <c r="O156" i="182" s="1"/>
  <c r="G140" i="182"/>
  <c r="O140" i="182" s="1"/>
  <c r="BF708" i="16"/>
  <c r="G216" i="182"/>
  <c r="O216" i="182" s="1"/>
  <c r="G829" i="182"/>
  <c r="O829" i="182" s="1"/>
  <c r="BI1051" i="16"/>
  <c r="BK1051" i="16" s="1"/>
  <c r="AQ1051" i="16"/>
  <c r="AT1051" i="16"/>
  <c r="S994" i="119"/>
  <c r="U994" i="119" s="1"/>
  <c r="BA1051" i="16"/>
  <c r="BI1102" i="16"/>
  <c r="BA1102" i="16"/>
  <c r="AQ1102" i="16"/>
  <c r="S1043" i="119"/>
  <c r="AT1102" i="16"/>
  <c r="BI1090" i="16"/>
  <c r="S1031" i="119"/>
  <c r="AT1090" i="16"/>
  <c r="AQ1090" i="16"/>
  <c r="BA1090" i="16"/>
  <c r="BI1080" i="16"/>
  <c r="AT1080" i="16"/>
  <c r="S1021" i="119"/>
  <c r="AQ1080" i="16"/>
  <c r="BA1080" i="16"/>
  <c r="G673" i="182"/>
  <c r="O673" i="182" s="1"/>
  <c r="G204" i="182"/>
  <c r="O204" i="182" s="1"/>
  <c r="G198" i="182"/>
  <c r="G171" i="182"/>
  <c r="O171" i="182" s="1"/>
  <c r="G803" i="182"/>
  <c r="O803" i="182" s="1"/>
  <c r="G882" i="182"/>
  <c r="O882" i="182" s="1"/>
  <c r="G770" i="182"/>
  <c r="O770" i="182" s="1"/>
  <c r="G750" i="182"/>
  <c r="O750" i="182" s="1"/>
  <c r="G705" i="182"/>
  <c r="O705" i="182" s="1"/>
  <c r="G569" i="182"/>
  <c r="O569" i="182" s="1"/>
  <c r="G1019" i="182"/>
  <c r="O1019" i="182" s="1"/>
  <c r="G717" i="182"/>
  <c r="O717" i="182" s="1"/>
  <c r="G701" i="182"/>
  <c r="O701" i="182" s="1"/>
  <c r="G669" i="182"/>
  <c r="O669" i="182" s="1"/>
  <c r="BA262" i="16"/>
  <c r="BA337" i="16"/>
  <c r="G141" i="182"/>
  <c r="O141" i="182" s="1"/>
  <c r="G208" i="182"/>
  <c r="O208" i="182" s="1"/>
  <c r="G205" i="182"/>
  <c r="O205" i="182" s="1"/>
  <c r="BF283" i="16"/>
  <c r="BK88" i="16"/>
  <c r="BK1102" i="16"/>
  <c r="S1034" i="119"/>
  <c r="AT1093" i="16"/>
  <c r="BI1093" i="16"/>
  <c r="BK1093" i="16" s="1"/>
  <c r="AQ1093" i="16"/>
  <c r="BA1093" i="16"/>
  <c r="BC987" i="16"/>
  <c r="BI930" i="16"/>
  <c r="BK930" i="16" s="1"/>
  <c r="AQ930" i="16"/>
  <c r="AT930" i="16"/>
  <c r="S879" i="119"/>
  <c r="BA930" i="16"/>
  <c r="BK1061" i="16"/>
  <c r="BF249" i="16"/>
  <c r="BF946" i="16"/>
  <c r="BF959" i="16"/>
  <c r="U399" i="119"/>
  <c r="BF977" i="16"/>
  <c r="G879" i="182"/>
  <c r="O879" i="182" s="1"/>
  <c r="BF294" i="16"/>
  <c r="BF378" i="16"/>
  <c r="G586" i="182"/>
  <c r="O586" i="182" s="1"/>
  <c r="G582" i="182"/>
  <c r="O582" i="182" s="1"/>
  <c r="BF1033" i="16"/>
  <c r="G839" i="182"/>
  <c r="O839" i="182" s="1"/>
  <c r="G1036" i="182"/>
  <c r="O1036" i="182" s="1"/>
  <c r="G965" i="182"/>
  <c r="O965" i="182" s="1"/>
  <c r="AQ1052" i="16"/>
  <c r="G627" i="182"/>
  <c r="O627" i="182" s="1"/>
  <c r="BF656" i="16"/>
  <c r="U1013" i="119"/>
  <c r="BA1066" i="16"/>
  <c r="BE1066" i="16" s="1"/>
  <c r="BB1072" i="16"/>
  <c r="BB1061" i="16"/>
  <c r="BB1058" i="16"/>
  <c r="BE1058" i="16" s="1"/>
  <c r="BB1055" i="16"/>
  <c r="BE1055" i="16" s="1"/>
  <c r="BB1051" i="16"/>
  <c r="V991" i="119"/>
  <c r="V986" i="119"/>
  <c r="V983" i="119"/>
  <c r="BB1037" i="16"/>
  <c r="BB1113" i="16"/>
  <c r="BE1113" i="16" s="1"/>
  <c r="BB1109" i="16"/>
  <c r="BE1109" i="16" s="1"/>
  <c r="BB1106" i="16"/>
  <c r="BE1106" i="16" s="1"/>
  <c r="BB1102" i="16"/>
  <c r="BB1099" i="16"/>
  <c r="BE1099" i="16" s="1"/>
  <c r="BB1096" i="16"/>
  <c r="BE1096" i="16" s="1"/>
  <c r="BB1093" i="16"/>
  <c r="BB1088" i="16"/>
  <c r="BE1088" i="16" s="1"/>
  <c r="BB1085" i="16"/>
  <c r="BE1085" i="16" s="1"/>
  <c r="BB1080" i="16"/>
  <c r="BJ1084" i="16"/>
  <c r="BK1084" i="16" s="1"/>
  <c r="AD1081" i="16"/>
  <c r="BJ1080" i="16"/>
  <c r="BK1080" i="16" s="1"/>
  <c r="BB1025" i="16"/>
  <c r="BE1025" i="16" s="1"/>
  <c r="BJ977" i="16"/>
  <c r="BK977" i="16" s="1"/>
  <c r="BB936" i="16"/>
  <c r="BE936" i="16" s="1"/>
  <c r="BB932" i="16"/>
  <c r="BE932" i="16" s="1"/>
  <c r="BB928" i="16"/>
  <c r="BE928" i="16" s="1"/>
  <c r="BB924" i="16"/>
  <c r="BE924" i="16" s="1"/>
  <c r="BB920" i="16"/>
  <c r="BE920" i="16" s="1"/>
  <c r="BB916" i="16"/>
  <c r="BE916" i="16" s="1"/>
  <c r="BB909" i="16"/>
  <c r="BB898" i="16"/>
  <c r="AD918" i="16"/>
  <c r="BB868" i="16"/>
  <c r="BE868" i="16" s="1"/>
  <c r="BB858" i="16"/>
  <c r="BE858" i="16" s="1"/>
  <c r="AD882" i="16"/>
  <c r="BJ882" i="16"/>
  <c r="BB845" i="16"/>
  <c r="BE845" i="16" s="1"/>
  <c r="BB836" i="16"/>
  <c r="BE836" i="16" s="1"/>
  <c r="BB821" i="16"/>
  <c r="BE821" i="16" s="1"/>
  <c r="BB784" i="16"/>
  <c r="BE784" i="16" s="1"/>
  <c r="BB768" i="16"/>
  <c r="BE768" i="16" s="1"/>
  <c r="BB765" i="16"/>
  <c r="BE765" i="16" s="1"/>
  <c r="G969" i="182"/>
  <c r="O969" i="182" s="1"/>
  <c r="G979" i="182"/>
  <c r="O979" i="182" s="1"/>
  <c r="BE1037" i="16"/>
  <c r="BF755" i="16"/>
  <c r="G891" i="182"/>
  <c r="O891" i="182" s="1"/>
  <c r="G359" i="182"/>
  <c r="O359" i="182" s="1"/>
  <c r="G797" i="182"/>
  <c r="O797" i="182" s="1"/>
  <c r="G903" i="182"/>
  <c r="O903" i="182" s="1"/>
  <c r="G977" i="182"/>
  <c r="O977" i="182" s="1"/>
  <c r="G716" i="182"/>
  <c r="O716" i="182" s="1"/>
  <c r="G907" i="182"/>
  <c r="O907" i="182" s="1"/>
  <c r="S995" i="119"/>
  <c r="U995" i="119" s="1"/>
  <c r="G251" i="182"/>
  <c r="O251" i="182" s="1"/>
  <c r="G889" i="182"/>
  <c r="O889" i="182" s="1"/>
  <c r="G984" i="182"/>
  <c r="O984" i="182" s="1"/>
  <c r="G993" i="182"/>
  <c r="O993" i="182" s="1"/>
  <c r="BI1040" i="16"/>
  <c r="BF1066" i="16"/>
  <c r="U963" i="119"/>
  <c r="G635" i="182"/>
  <c r="O635" i="182" s="1"/>
  <c r="G663" i="182"/>
  <c r="O663" i="182" s="1"/>
  <c r="AT1071" i="16"/>
  <c r="G884" i="182"/>
  <c r="O884" i="182" s="1"/>
  <c r="V1010" i="119"/>
  <c r="BB1063" i="16"/>
  <c r="BE1063" i="16" s="1"/>
  <c r="BB1057" i="16"/>
  <c r="BB1050" i="16"/>
  <c r="BE1050" i="16" s="1"/>
  <c r="BB1042" i="16"/>
  <c r="BE1042" i="16" s="1"/>
  <c r="BB1034" i="16"/>
  <c r="BB1116" i="16"/>
  <c r="BB1112" i="16"/>
  <c r="BE1112" i="16" s="1"/>
  <c r="BB1105" i="16"/>
  <c r="BE1105" i="16" s="1"/>
  <c r="BB1101" i="16"/>
  <c r="BE1101" i="16" s="1"/>
  <c r="BB1098" i="16"/>
  <c r="BE1098" i="16" s="1"/>
  <c r="BB1095" i="16"/>
  <c r="BE1095" i="16" s="1"/>
  <c r="BB1090" i="16"/>
  <c r="BB1087" i="16"/>
  <c r="BE1087" i="16" s="1"/>
  <c r="BB1082" i="16"/>
  <c r="BE1082" i="16" s="1"/>
  <c r="BB1079" i="16"/>
  <c r="BE1079" i="16" s="1"/>
  <c r="AD996" i="16"/>
  <c r="BB980" i="16"/>
  <c r="BE980" i="16" s="1"/>
  <c r="BB976" i="16"/>
  <c r="BE976" i="16" s="1"/>
  <c r="BB972" i="16"/>
  <c r="BE972" i="16" s="1"/>
  <c r="BB968" i="16"/>
  <c r="BE968" i="16" s="1"/>
  <c r="BB964" i="16"/>
  <c r="BE964" i="16" s="1"/>
  <c r="BB960" i="16"/>
  <c r="BE960" i="16" s="1"/>
  <c r="BB956" i="16"/>
  <c r="BE956" i="16" s="1"/>
  <c r="BB952" i="16"/>
  <c r="BE952" i="16" s="1"/>
  <c r="BB948" i="16"/>
  <c r="BB944" i="16"/>
  <c r="BE944" i="16" s="1"/>
  <c r="BJ948" i="16"/>
  <c r="AD948" i="16"/>
  <c r="BB935" i="16"/>
  <c r="BE935" i="16" s="1"/>
  <c r="BB931" i="16"/>
  <c r="BE931" i="16" s="1"/>
  <c r="BB927" i="16"/>
  <c r="BE927" i="16" s="1"/>
  <c r="BB923" i="16"/>
  <c r="BE923" i="16" s="1"/>
  <c r="BB919" i="16"/>
  <c r="BE919" i="16" s="1"/>
  <c r="BB912" i="16"/>
  <c r="BE912" i="16" s="1"/>
  <c r="BB908" i="16"/>
  <c r="BE908" i="16" s="1"/>
  <c r="BB901" i="16"/>
  <c r="BE901" i="16" s="1"/>
  <c r="BB876" i="16"/>
  <c r="BE876" i="16" s="1"/>
  <c r="BB838" i="16"/>
  <c r="BE838" i="16" s="1"/>
  <c r="BB789" i="16"/>
  <c r="BE789" i="16" s="1"/>
  <c r="BB773" i="16"/>
  <c r="BE773" i="16" s="1"/>
  <c r="BK1090" i="16"/>
  <c r="G976" i="182"/>
  <c r="O976" i="182" s="1"/>
  <c r="G983" i="182"/>
  <c r="O983" i="182" s="1"/>
  <c r="BE1057" i="16"/>
  <c r="BF739" i="16"/>
  <c r="BF1085" i="16"/>
  <c r="BF872" i="16"/>
  <c r="G367" i="182"/>
  <c r="O367" i="182" s="1"/>
  <c r="G929" i="182"/>
  <c r="O929" i="182" s="1"/>
  <c r="G201" i="182"/>
  <c r="O201" i="182" s="1"/>
  <c r="G577" i="182"/>
  <c r="O577" i="182" s="1"/>
  <c r="BF1106" i="16"/>
  <c r="BE1116" i="16"/>
  <c r="G897" i="182"/>
  <c r="O897" i="182" s="1"/>
  <c r="G719" i="182"/>
  <c r="O719" i="182" s="1"/>
  <c r="G835" i="182"/>
  <c r="O835" i="182" s="1"/>
  <c r="BF935" i="16"/>
  <c r="G1032" i="182"/>
  <c r="O1032" i="182" s="1"/>
  <c r="BB1071" i="16"/>
  <c r="BE1071" i="16" s="1"/>
  <c r="BB1069" i="16"/>
  <c r="BE1069" i="16" s="1"/>
  <c r="V990" i="119"/>
  <c r="BB1039" i="16"/>
  <c r="BE1039" i="16" s="1"/>
  <c r="BB1115" i="16"/>
  <c r="BE1115" i="16" s="1"/>
  <c r="BB1111" i="16"/>
  <c r="BE1111" i="16" s="1"/>
  <c r="BB1108" i="16"/>
  <c r="BE1108" i="16" s="1"/>
  <c r="BB1104" i="16"/>
  <c r="BE1104" i="16" s="1"/>
  <c r="BB1092" i="16"/>
  <c r="BB1084" i="16"/>
  <c r="BE1084" i="16" s="1"/>
  <c r="BB1023" i="16"/>
  <c r="BE1023" i="16" s="1"/>
  <c r="BB1020" i="16"/>
  <c r="BE1020" i="16" s="1"/>
  <c r="BB1016" i="16"/>
  <c r="BE1016" i="16" s="1"/>
  <c r="BB1012" i="16"/>
  <c r="BE1012" i="16" s="1"/>
  <c r="BB1008" i="16"/>
  <c r="BE1008" i="16" s="1"/>
  <c r="BB1004" i="16"/>
  <c r="BE1004" i="16" s="1"/>
  <c r="BB1000" i="16"/>
  <c r="BE1000" i="16" s="1"/>
  <c r="BB996" i="16"/>
  <c r="BB992" i="16"/>
  <c r="BB988" i="16"/>
  <c r="BB979" i="16"/>
  <c r="BE979" i="16" s="1"/>
  <c r="BB975" i="16"/>
  <c r="BE975" i="16" s="1"/>
  <c r="BB971" i="16"/>
  <c r="BB967" i="16"/>
  <c r="BE967" i="16" s="1"/>
  <c r="BB963" i="16"/>
  <c r="BE963" i="16" s="1"/>
  <c r="BB959" i="16"/>
  <c r="BE959" i="16" s="1"/>
  <c r="BB955" i="16"/>
  <c r="BE955" i="16" s="1"/>
  <c r="BB951" i="16"/>
  <c r="BE951" i="16" s="1"/>
  <c r="BB947" i="16"/>
  <c r="BE947" i="16" s="1"/>
  <c r="BB943" i="16"/>
  <c r="BB879" i="16"/>
  <c r="BE879" i="16" s="1"/>
  <c r="BB840" i="16"/>
  <c r="BE840" i="16" s="1"/>
  <c r="BB829" i="16"/>
  <c r="BE829" i="16" s="1"/>
  <c r="BB813" i="16"/>
  <c r="BE813" i="16" s="1"/>
  <c r="BB792" i="16"/>
  <c r="BE792" i="16" s="1"/>
  <c r="BB776" i="16"/>
  <c r="BE776" i="16" s="1"/>
  <c r="BB755" i="16"/>
  <c r="BE755" i="16" s="1"/>
  <c r="BB751" i="16"/>
  <c r="G956" i="182"/>
  <c r="O956" i="182" s="1"/>
  <c r="BE1061" i="16"/>
  <c r="BE1053" i="16"/>
  <c r="BE1044" i="16"/>
  <c r="G215" i="182"/>
  <c r="O215" i="182" s="1"/>
  <c r="G740" i="182"/>
  <c r="O740" i="182" s="1"/>
  <c r="BF253" i="16"/>
  <c r="G880" i="182"/>
  <c r="O880" i="182" s="1"/>
  <c r="G391" i="182"/>
  <c r="O391" i="182" s="1"/>
  <c r="G379" i="182"/>
  <c r="O379" i="182" s="1"/>
  <c r="G950" i="182"/>
  <c r="O950" i="182" s="1"/>
  <c r="G914" i="182"/>
  <c r="O914" i="182" s="1"/>
  <c r="BE898" i="16"/>
  <c r="G1034" i="182"/>
  <c r="O1034" i="182" s="1"/>
  <c r="G934" i="182"/>
  <c r="O934" i="182" s="1"/>
  <c r="G181" i="182"/>
  <c r="O181" i="182" s="1"/>
  <c r="BF1013" i="16"/>
  <c r="G989" i="182"/>
  <c r="O989" i="182" s="1"/>
  <c r="BF740" i="16"/>
  <c r="G193" i="182"/>
  <c r="O193" i="182" s="1"/>
  <c r="BF683" i="16"/>
  <c r="G765" i="182"/>
  <c r="O765" i="182" s="1"/>
  <c r="G813" i="182"/>
  <c r="O813" i="182" s="1"/>
  <c r="G933" i="182"/>
  <c r="O933" i="182" s="1"/>
  <c r="BE971" i="16"/>
  <c r="G1004" i="182"/>
  <c r="O1004" i="182" s="1"/>
  <c r="BI1066" i="16"/>
  <c r="BK1066" i="16" s="1"/>
  <c r="G753" i="182"/>
  <c r="O753" i="182" s="1"/>
  <c r="G226" i="182"/>
  <c r="O226" i="182" s="1"/>
  <c r="G761" i="182"/>
  <c r="O761" i="182" s="1"/>
  <c r="G732" i="182"/>
  <c r="O732" i="182" s="1"/>
  <c r="BB1062" i="16"/>
  <c r="BE1062" i="16" s="1"/>
  <c r="BB1059" i="16"/>
  <c r="BE1059" i="16" s="1"/>
  <c r="BB1049" i="16"/>
  <c r="BB1041" i="16"/>
  <c r="BE1041" i="16" s="1"/>
  <c r="BB1117" i="16"/>
  <c r="BE1117" i="16" s="1"/>
  <c r="BB1114" i="16"/>
  <c r="BE1114" i="16" s="1"/>
  <c r="BB1110" i="16"/>
  <c r="BB1107" i="16"/>
  <c r="BB1103" i="16"/>
  <c r="BE1103" i="16" s="1"/>
  <c r="BB1100" i="16"/>
  <c r="BE1100" i="16" s="1"/>
  <c r="BB1094" i="16"/>
  <c r="BE1094" i="16" s="1"/>
  <c r="BB1091" i="16"/>
  <c r="BE1091" i="16" s="1"/>
  <c r="BB1086" i="16"/>
  <c r="BB1083" i="16"/>
  <c r="BE1083" i="16" s="1"/>
  <c r="BB1078" i="16"/>
  <c r="BB1077" i="16" s="1"/>
  <c r="BB1026" i="16"/>
  <c r="BE1026" i="16" s="1"/>
  <c r="BB1019" i="16"/>
  <c r="BE1019" i="16" s="1"/>
  <c r="BB1015" i="16"/>
  <c r="BE1015" i="16" s="1"/>
  <c r="BB1011" i="16"/>
  <c r="BE1011" i="16" s="1"/>
  <c r="BB1007" i="16"/>
  <c r="BE1007" i="16" s="1"/>
  <c r="BB1003" i="16"/>
  <c r="BE1003" i="16" s="1"/>
  <c r="BB999" i="16"/>
  <c r="BE999" i="16" s="1"/>
  <c r="BB995" i="16"/>
  <c r="BE995" i="16" s="1"/>
  <c r="BB991" i="16"/>
  <c r="BE991" i="16" s="1"/>
  <c r="BJ902" i="16"/>
  <c r="AD902" i="16"/>
  <c r="BB890" i="16"/>
  <c r="BE890" i="16" s="1"/>
  <c r="BB886" i="16"/>
  <c r="BE886" i="16" s="1"/>
  <c r="BB882" i="16"/>
  <c r="BB853" i="16"/>
  <c r="BB842" i="16"/>
  <c r="BE842" i="16" s="1"/>
  <c r="BB834" i="16"/>
  <c r="BE834" i="16" s="1"/>
  <c r="BB816" i="16"/>
  <c r="BE816" i="16" s="1"/>
  <c r="BB800" i="16"/>
  <c r="BE800" i="16" s="1"/>
  <c r="BB797" i="16"/>
  <c r="BE797" i="16" s="1"/>
  <c r="BB781" i="16"/>
  <c r="BE781" i="16" s="1"/>
  <c r="BB887" i="16"/>
  <c r="BE887" i="16" s="1"/>
  <c r="BB883" i="16"/>
  <c r="BE883" i="16" s="1"/>
  <c r="BB874" i="16"/>
  <c r="BE874" i="16" s="1"/>
  <c r="BB871" i="16"/>
  <c r="BE871" i="16" s="1"/>
  <c r="BB856" i="16"/>
  <c r="BE856" i="16" s="1"/>
  <c r="BB819" i="16"/>
  <c r="BE819" i="16" s="1"/>
  <c r="BB811" i="16"/>
  <c r="BB795" i="16"/>
  <c r="BE795" i="16" s="1"/>
  <c r="BB787" i="16"/>
  <c r="BE787" i="16" s="1"/>
  <c r="BB779" i="16"/>
  <c r="BE779" i="16" s="1"/>
  <c r="BB771" i="16"/>
  <c r="BE771" i="16" s="1"/>
  <c r="BB763" i="16"/>
  <c r="BB752" i="16"/>
  <c r="BE752" i="16" s="1"/>
  <c r="BB739" i="16"/>
  <c r="BE739" i="16" s="1"/>
  <c r="BB736" i="16"/>
  <c r="BE736" i="16" s="1"/>
  <c r="BB733" i="16"/>
  <c r="BE733" i="16" s="1"/>
  <c r="BB729" i="16"/>
  <c r="BE729" i="16" s="1"/>
  <c r="BB725" i="16"/>
  <c r="BE725" i="16" s="1"/>
  <c r="BB721" i="16"/>
  <c r="BB711" i="16"/>
  <c r="BE711" i="16" s="1"/>
  <c r="BB709" i="16"/>
  <c r="BE709" i="16" s="1"/>
  <c r="BB706" i="16"/>
  <c r="BE706" i="16" s="1"/>
  <c r="BB703" i="16"/>
  <c r="BE703" i="16" s="1"/>
  <c r="BB694" i="16"/>
  <c r="BE694" i="16" s="1"/>
  <c r="BB691" i="16"/>
  <c r="BE691" i="16" s="1"/>
  <c r="BB686" i="16"/>
  <c r="BE686" i="16" s="1"/>
  <c r="BB683" i="16"/>
  <c r="BE683" i="16" s="1"/>
  <c r="BB681" i="16"/>
  <c r="BE681" i="16" s="1"/>
  <c r="BB678" i="16"/>
  <c r="BE678" i="16" s="1"/>
  <c r="BB673" i="16"/>
  <c r="BB667" i="16"/>
  <c r="BE667" i="16" s="1"/>
  <c r="BB662" i="16"/>
  <c r="BE662" i="16" s="1"/>
  <c r="BB659" i="16"/>
  <c r="BE659" i="16" s="1"/>
  <c r="BB654" i="16"/>
  <c r="BE654" i="16" s="1"/>
  <c r="BB651" i="16"/>
  <c r="BE651" i="16" s="1"/>
  <c r="BB646" i="16"/>
  <c r="BE646" i="16" s="1"/>
  <c r="BB643" i="16"/>
  <c r="BE643" i="16" s="1"/>
  <c r="BB637" i="16"/>
  <c r="BE637" i="16" s="1"/>
  <c r="BB635" i="16"/>
  <c r="BE635" i="16" s="1"/>
  <c r="BB630" i="16"/>
  <c r="BE630" i="16" s="1"/>
  <c r="BJ651" i="16"/>
  <c r="BK651" i="16" s="1"/>
  <c r="AD640" i="16"/>
  <c r="BJ628" i="16"/>
  <c r="BB610" i="16"/>
  <c r="BB604" i="16"/>
  <c r="BK620" i="16"/>
  <c r="AD592" i="16"/>
  <c r="AD557" i="16"/>
  <c r="BK551" i="16"/>
  <c r="BB515" i="16"/>
  <c r="BE515" i="16" s="1"/>
  <c r="BB442" i="16"/>
  <c r="BE442" i="16" s="1"/>
  <c r="BB437" i="16"/>
  <c r="BE437" i="16" s="1"/>
  <c r="BB434" i="16"/>
  <c r="BE434" i="16" s="1"/>
  <c r="BB429" i="16"/>
  <c r="BE429" i="16" s="1"/>
  <c r="BB426" i="16"/>
  <c r="BE426" i="16" s="1"/>
  <c r="BB421" i="16"/>
  <c r="BE421" i="16" s="1"/>
  <c r="BB418" i="16"/>
  <c r="BE418" i="16" s="1"/>
  <c r="BB413" i="16"/>
  <c r="BE413" i="16" s="1"/>
  <c r="BB410" i="16"/>
  <c r="BE410" i="16" s="1"/>
  <c r="BB405" i="16"/>
  <c r="BE405" i="16" s="1"/>
  <c r="BB305" i="16"/>
  <c r="BE305" i="16" s="1"/>
  <c r="BB301" i="16"/>
  <c r="BE301" i="16" s="1"/>
  <c r="BB297" i="16"/>
  <c r="BE297" i="16" s="1"/>
  <c r="BB293" i="16"/>
  <c r="BE293" i="16" s="1"/>
  <c r="BB289" i="16"/>
  <c r="BE289" i="16" s="1"/>
  <c r="BB285" i="16"/>
  <c r="BE285" i="16" s="1"/>
  <c r="BB281" i="16"/>
  <c r="BE281" i="16" s="1"/>
  <c r="BB277" i="16"/>
  <c r="BE277" i="16" s="1"/>
  <c r="BB273" i="16"/>
  <c r="BE273" i="16" s="1"/>
  <c r="BB269" i="16"/>
  <c r="BE269" i="16" s="1"/>
  <c r="BB260" i="16"/>
  <c r="BE260" i="16" s="1"/>
  <c r="BB256" i="16"/>
  <c r="BE256" i="16" s="1"/>
  <c r="BB252" i="16"/>
  <c r="BE252" i="16" s="1"/>
  <c r="BB248" i="16"/>
  <c r="BE248" i="16" s="1"/>
  <c r="BB244" i="16"/>
  <c r="BE244" i="16" s="1"/>
  <c r="BB240" i="16"/>
  <c r="BE240" i="16" s="1"/>
  <c r="BB236" i="16"/>
  <c r="BB232" i="16"/>
  <c r="BB228" i="16"/>
  <c r="BE228" i="16" s="1"/>
  <c r="BB224" i="16"/>
  <c r="BE224" i="16" s="1"/>
  <c r="BB217" i="16"/>
  <c r="BE217" i="16" s="1"/>
  <c r="BB179" i="16"/>
  <c r="BE179" i="16" s="1"/>
  <c r="BB748" i="16"/>
  <c r="BE748" i="16" s="1"/>
  <c r="BB745" i="16"/>
  <c r="BE745" i="16" s="1"/>
  <c r="BB741" i="16"/>
  <c r="BE741" i="16" s="1"/>
  <c r="BB732" i="16"/>
  <c r="BE732" i="16" s="1"/>
  <c r="BB728" i="16"/>
  <c r="BE728" i="16" s="1"/>
  <c r="BB724" i="16"/>
  <c r="BE724" i="16" s="1"/>
  <c r="BB718" i="16"/>
  <c r="BB688" i="16"/>
  <c r="BE688" i="16" s="1"/>
  <c r="BB675" i="16"/>
  <c r="BE675" i="16" s="1"/>
  <c r="BB664" i="16"/>
  <c r="BE664" i="16" s="1"/>
  <c r="BB656" i="16"/>
  <c r="BE656" i="16" s="1"/>
  <c r="BB648" i="16"/>
  <c r="BB640" i="16"/>
  <c r="BB439" i="16"/>
  <c r="BE439" i="16" s="1"/>
  <c r="BB431" i="16"/>
  <c r="BE431" i="16" s="1"/>
  <c r="BB423" i="16"/>
  <c r="BE423" i="16" s="1"/>
  <c r="BB415" i="16"/>
  <c r="BE415" i="16" s="1"/>
  <c r="BB407" i="16"/>
  <c r="BE407" i="16" s="1"/>
  <c r="BB304" i="16"/>
  <c r="BE304" i="16" s="1"/>
  <c r="BB300" i="16"/>
  <c r="BE300" i="16" s="1"/>
  <c r="BB296" i="16"/>
  <c r="BE296" i="16" s="1"/>
  <c r="BB292" i="16"/>
  <c r="BB288" i="16"/>
  <c r="BE288" i="16" s="1"/>
  <c r="BB284" i="16"/>
  <c r="BE284" i="16" s="1"/>
  <c r="BB280" i="16"/>
  <c r="BE280" i="16" s="1"/>
  <c r="BB276" i="16"/>
  <c r="BE276" i="16" s="1"/>
  <c r="BB272" i="16"/>
  <c r="BE272" i="16" s="1"/>
  <c r="BB268" i="16"/>
  <c r="BB259" i="16"/>
  <c r="BE259" i="16" s="1"/>
  <c r="BB255" i="16"/>
  <c r="BE255" i="16" s="1"/>
  <c r="BB251" i="16"/>
  <c r="BE251" i="16" s="1"/>
  <c r="BB247" i="16"/>
  <c r="BE247" i="16" s="1"/>
  <c r="BB243" i="16"/>
  <c r="BE243" i="16" s="1"/>
  <c r="BB239" i="16"/>
  <c r="BB235" i="16"/>
  <c r="BE235" i="16" s="1"/>
  <c r="BB231" i="16"/>
  <c r="BE231" i="16" s="1"/>
  <c r="BB227" i="16"/>
  <c r="BB223" i="16"/>
  <c r="BB178" i="16"/>
  <c r="BE178" i="16" s="1"/>
  <c r="BB1027" i="16"/>
  <c r="BE1027" i="16" s="1"/>
  <c r="BB1024" i="16"/>
  <c r="BE1024" i="16" s="1"/>
  <c r="BB1018" i="16"/>
  <c r="BB1014" i="16"/>
  <c r="BE1014" i="16" s="1"/>
  <c r="BB1010" i="16"/>
  <c r="BE1010" i="16" s="1"/>
  <c r="BB1006" i="16"/>
  <c r="BE1006" i="16" s="1"/>
  <c r="BB1002" i="16"/>
  <c r="BE1002" i="16" s="1"/>
  <c r="BB998" i="16"/>
  <c r="BE998" i="16" s="1"/>
  <c r="BB994" i="16"/>
  <c r="BE994" i="16" s="1"/>
  <c r="BB990" i="16"/>
  <c r="BE990" i="16" s="1"/>
  <c r="AD1021" i="16"/>
  <c r="BJ997" i="16"/>
  <c r="BB982" i="16"/>
  <c r="BE982" i="16" s="1"/>
  <c r="BB978" i="16"/>
  <c r="BE978" i="16" s="1"/>
  <c r="BB974" i="16"/>
  <c r="BE974" i="16" s="1"/>
  <c r="BB970" i="16"/>
  <c r="BE970" i="16" s="1"/>
  <c r="BB966" i="16"/>
  <c r="BB962" i="16"/>
  <c r="BE962" i="16" s="1"/>
  <c r="BB958" i="16"/>
  <c r="BE958" i="16" s="1"/>
  <c r="BB954" i="16"/>
  <c r="BE954" i="16" s="1"/>
  <c r="BB950" i="16"/>
  <c r="BE950" i="16" s="1"/>
  <c r="BB946" i="16"/>
  <c r="BE946" i="16" s="1"/>
  <c r="BB934" i="16"/>
  <c r="BB930" i="16"/>
  <c r="BB926" i="16"/>
  <c r="BE926" i="16" s="1"/>
  <c r="BB922" i="16"/>
  <c r="BB918" i="16"/>
  <c r="BB911" i="16"/>
  <c r="BE911" i="16" s="1"/>
  <c r="BB907" i="16"/>
  <c r="BE907" i="16" s="1"/>
  <c r="BB900" i="16"/>
  <c r="BE900" i="16" s="1"/>
  <c r="BB892" i="16"/>
  <c r="BE892" i="16" s="1"/>
  <c r="BB885" i="16"/>
  <c r="BE885" i="16" s="1"/>
  <c r="BB881" i="16"/>
  <c r="BE881" i="16" s="1"/>
  <c r="BB878" i="16"/>
  <c r="BE878" i="16" s="1"/>
  <c r="BB867" i="16"/>
  <c r="BE867" i="16" s="1"/>
  <c r="BB860" i="16"/>
  <c r="BE860" i="16" s="1"/>
  <c r="BB847" i="16"/>
  <c r="BE847" i="16" s="1"/>
  <c r="BB823" i="16"/>
  <c r="BE823" i="16" s="1"/>
  <c r="BB815" i="16"/>
  <c r="BE815" i="16" s="1"/>
  <c r="BB799" i="16"/>
  <c r="BE799" i="16" s="1"/>
  <c r="BB791" i="16"/>
  <c r="BE791" i="16" s="1"/>
  <c r="BB783" i="16"/>
  <c r="BE783" i="16" s="1"/>
  <c r="BB775" i="16"/>
  <c r="BE775" i="16" s="1"/>
  <c r="BB767" i="16"/>
  <c r="BE767" i="16" s="1"/>
  <c r="BB757" i="16"/>
  <c r="BB744" i="16"/>
  <c r="BE744" i="16" s="1"/>
  <c r="BB735" i="16"/>
  <c r="BE735" i="16" s="1"/>
  <c r="BB731" i="16"/>
  <c r="BE731" i="16" s="1"/>
  <c r="BB727" i="16"/>
  <c r="BE727" i="16" s="1"/>
  <c r="BB723" i="16"/>
  <c r="BE723" i="16" s="1"/>
  <c r="BB705" i="16"/>
  <c r="BE705" i="16" s="1"/>
  <c r="BB690" i="16"/>
  <c r="BE690" i="16" s="1"/>
  <c r="BB687" i="16"/>
  <c r="BE687" i="16" s="1"/>
  <c r="BB677" i="16"/>
  <c r="BE677" i="16" s="1"/>
  <c r="BB666" i="16"/>
  <c r="BB663" i="16"/>
  <c r="BE663" i="16" s="1"/>
  <c r="BB658" i="16"/>
  <c r="BB655" i="16"/>
  <c r="BE655" i="16" s="1"/>
  <c r="BB650" i="16"/>
  <c r="BE650" i="16" s="1"/>
  <c r="BB647" i="16"/>
  <c r="BE647" i="16" s="1"/>
  <c r="BB642" i="16"/>
  <c r="BE642" i="16" s="1"/>
  <c r="BB636" i="16"/>
  <c r="BB629" i="16"/>
  <c r="BE629" i="16" s="1"/>
  <c r="BJ593" i="16"/>
  <c r="BK593" i="16" s="1"/>
  <c r="BB556" i="16"/>
  <c r="BK563" i="16"/>
  <c r="BK546" i="16"/>
  <c r="BB531" i="16"/>
  <c r="BE531" i="16" s="1"/>
  <c r="BB520" i="16"/>
  <c r="BE520" i="16" s="1"/>
  <c r="AD463" i="16"/>
  <c r="BB438" i="16"/>
  <c r="BE438" i="16" s="1"/>
  <c r="BB433" i="16"/>
  <c r="BE433" i="16" s="1"/>
  <c r="BB430" i="16"/>
  <c r="BE430" i="16" s="1"/>
  <c r="BB425" i="16"/>
  <c r="BE425" i="16" s="1"/>
  <c r="BB422" i="16"/>
  <c r="BE422" i="16" s="1"/>
  <c r="BB417" i="16"/>
  <c r="BE417" i="16" s="1"/>
  <c r="BB409" i="16"/>
  <c r="BE409" i="16" s="1"/>
  <c r="BB307" i="16"/>
  <c r="BE307" i="16" s="1"/>
  <c r="BB303" i="16"/>
  <c r="BE303" i="16" s="1"/>
  <c r="BB299" i="16"/>
  <c r="BE299" i="16" s="1"/>
  <c r="BB295" i="16"/>
  <c r="BE295" i="16" s="1"/>
  <c r="BB291" i="16"/>
  <c r="BE291" i="16" s="1"/>
  <c r="BB287" i="16"/>
  <c r="BE287" i="16" s="1"/>
  <c r="BB283" i="16"/>
  <c r="BE283" i="16" s="1"/>
  <c r="BB279" i="16"/>
  <c r="BE279" i="16" s="1"/>
  <c r="BB275" i="16"/>
  <c r="BB271" i="16"/>
  <c r="BE271" i="16" s="1"/>
  <c r="AD292" i="16"/>
  <c r="BB262" i="16"/>
  <c r="BB258" i="16"/>
  <c r="BB254" i="16"/>
  <c r="BE254" i="16" s="1"/>
  <c r="BB250" i="16"/>
  <c r="BE250" i="16" s="1"/>
  <c r="BB246" i="16"/>
  <c r="BE246" i="16" s="1"/>
  <c r="BB242" i="16"/>
  <c r="BE242" i="16" s="1"/>
  <c r="BB238" i="16"/>
  <c r="BE238" i="16" s="1"/>
  <c r="BB234" i="16"/>
  <c r="BB230" i="16"/>
  <c r="BB226" i="16"/>
  <c r="BE226" i="16" s="1"/>
  <c r="BB181" i="16"/>
  <c r="BE181" i="16" s="1"/>
  <c r="BB1021" i="16"/>
  <c r="BB1017" i="16"/>
  <c r="BE1017" i="16" s="1"/>
  <c r="BB1013" i="16"/>
  <c r="BE1013" i="16" s="1"/>
  <c r="BB1009" i="16"/>
  <c r="BE1009" i="16" s="1"/>
  <c r="BB1005" i="16"/>
  <c r="BE1005" i="16" s="1"/>
  <c r="BB1001" i="16"/>
  <c r="BE1001" i="16" s="1"/>
  <c r="BB997" i="16"/>
  <c r="BE997" i="16" s="1"/>
  <c r="BB993" i="16"/>
  <c r="BE993" i="16" s="1"/>
  <c r="BB989" i="16"/>
  <c r="BE989" i="16" s="1"/>
  <c r="BB981" i="16"/>
  <c r="BE981" i="16" s="1"/>
  <c r="BB977" i="16"/>
  <c r="BE977" i="16" s="1"/>
  <c r="BB973" i="16"/>
  <c r="BE973" i="16" s="1"/>
  <c r="BB969" i="16"/>
  <c r="BE969" i="16" s="1"/>
  <c r="BB965" i="16"/>
  <c r="BE965" i="16" s="1"/>
  <c r="BB961" i="16"/>
  <c r="BE961" i="16" s="1"/>
  <c r="BB957" i="16"/>
  <c r="BE957" i="16" s="1"/>
  <c r="BB953" i="16"/>
  <c r="BE953" i="16" s="1"/>
  <c r="BB949" i="16"/>
  <c r="BE949" i="16" s="1"/>
  <c r="BB945" i="16"/>
  <c r="BE945" i="16" s="1"/>
  <c r="BB937" i="16"/>
  <c r="BB933" i="16"/>
  <c r="BE933" i="16" s="1"/>
  <c r="BB929" i="16"/>
  <c r="BE929" i="16" s="1"/>
  <c r="BB925" i="16"/>
  <c r="BB921" i="16"/>
  <c r="BE921" i="16" s="1"/>
  <c r="BB914" i="16"/>
  <c r="BE914" i="16" s="1"/>
  <c r="BB910" i="16"/>
  <c r="BE910" i="16" s="1"/>
  <c r="BB906" i="16"/>
  <c r="BB903" i="16"/>
  <c r="BE903" i="16" s="1"/>
  <c r="BB899" i="16"/>
  <c r="BE899" i="16" s="1"/>
  <c r="BB891" i="16"/>
  <c r="BE891" i="16" s="1"/>
  <c r="BB888" i="16"/>
  <c r="BE888" i="16" s="1"/>
  <c r="BB884" i="16"/>
  <c r="BE884" i="16" s="1"/>
  <c r="BB880" i="16"/>
  <c r="BE880" i="16" s="1"/>
  <c r="BB877" i="16"/>
  <c r="BE877" i="16" s="1"/>
  <c r="BB866" i="16"/>
  <c r="BE866" i="16" s="1"/>
  <c r="BB864" i="16"/>
  <c r="BE864" i="16" s="1"/>
  <c r="BB862" i="16"/>
  <c r="BE862" i="16" s="1"/>
  <c r="BB859" i="16"/>
  <c r="BB854" i="16"/>
  <c r="BE854" i="16" s="1"/>
  <c r="BB843" i="16"/>
  <c r="BE843" i="16" s="1"/>
  <c r="BB830" i="16"/>
  <c r="BE830" i="16" s="1"/>
  <c r="BB827" i="16"/>
  <c r="BE827" i="16" s="1"/>
  <c r="BB825" i="16"/>
  <c r="BE825" i="16" s="1"/>
  <c r="BB817" i="16"/>
  <c r="BE817" i="16" s="1"/>
  <c r="BB814" i="16"/>
  <c r="BE814" i="16" s="1"/>
  <c r="BB809" i="16"/>
  <c r="BB807" i="16" s="1"/>
  <c r="BB801" i="16"/>
  <c r="BE801" i="16" s="1"/>
  <c r="BB793" i="16"/>
  <c r="BE793" i="16" s="1"/>
  <c r="BB790" i="16"/>
  <c r="BE790" i="16" s="1"/>
  <c r="BB785" i="16"/>
  <c r="BE785" i="16" s="1"/>
  <c r="BB782" i="16"/>
  <c r="BE782" i="16" s="1"/>
  <c r="BB777" i="16"/>
  <c r="BE777" i="16" s="1"/>
  <c r="BB774" i="16"/>
  <c r="BE774" i="16" s="1"/>
  <c r="BB769" i="16"/>
  <c r="BE769" i="16" s="1"/>
  <c r="BB756" i="16"/>
  <c r="BE756" i="16" s="1"/>
  <c r="BB753" i="16"/>
  <c r="BE753" i="16" s="1"/>
  <c r="BB743" i="16"/>
  <c r="BE743" i="16" s="1"/>
  <c r="BB737" i="16"/>
  <c r="BE737" i="16" s="1"/>
  <c r="BB730" i="16"/>
  <c r="BE730" i="16" s="1"/>
  <c r="BB726" i="16"/>
  <c r="BE726" i="16" s="1"/>
  <c r="BB722" i="16"/>
  <c r="BE722" i="16" s="1"/>
  <c r="BB707" i="16"/>
  <c r="BE707" i="16" s="1"/>
  <c r="BB701" i="16"/>
  <c r="BE701" i="16" s="1"/>
  <c r="BB699" i="16"/>
  <c r="BE699" i="16" s="1"/>
  <c r="BB697" i="16"/>
  <c r="BE697" i="16" s="1"/>
  <c r="BB692" i="16"/>
  <c r="BE692" i="16" s="1"/>
  <c r="BB689" i="16"/>
  <c r="BE689" i="16" s="1"/>
  <c r="BB679" i="16"/>
  <c r="BE679" i="16" s="1"/>
  <c r="BB676" i="16"/>
  <c r="BE676" i="16" s="1"/>
  <c r="BB665" i="16"/>
  <c r="BE665" i="16" s="1"/>
  <c r="BB660" i="16"/>
  <c r="BB657" i="16"/>
  <c r="BB652" i="16"/>
  <c r="BE652" i="16" s="1"/>
  <c r="BB649" i="16"/>
  <c r="BE649" i="16" s="1"/>
  <c r="BB644" i="16"/>
  <c r="BE644" i="16" s="1"/>
  <c r="BB641" i="16"/>
  <c r="BB638" i="16"/>
  <c r="BE638" i="16" s="1"/>
  <c r="BB631" i="16"/>
  <c r="BB628" i="16"/>
  <c r="BE628" i="16" s="1"/>
  <c r="AD660" i="16"/>
  <c r="BB598" i="16"/>
  <c r="BB544" i="16"/>
  <c r="BE544" i="16" s="1"/>
  <c r="AT562" i="16"/>
  <c r="AD555" i="16"/>
  <c r="BB440" i="16"/>
  <c r="BE440" i="16" s="1"/>
  <c r="BB435" i="16"/>
  <c r="BE435" i="16" s="1"/>
  <c r="BB432" i="16"/>
  <c r="BE432" i="16" s="1"/>
  <c r="BB427" i="16"/>
  <c r="BE427" i="16" s="1"/>
  <c r="BB424" i="16"/>
  <c r="BE424" i="16" s="1"/>
  <c r="BB419" i="16"/>
  <c r="BE419" i="16" s="1"/>
  <c r="BB416" i="16"/>
  <c r="BE416" i="16" s="1"/>
  <c r="BB411" i="16"/>
  <c r="BE411" i="16" s="1"/>
  <c r="BB408" i="16"/>
  <c r="BE408" i="16" s="1"/>
  <c r="BB403" i="16"/>
  <c r="BB306" i="16"/>
  <c r="BE306" i="16" s="1"/>
  <c r="BB302" i="16"/>
  <c r="BE302" i="16" s="1"/>
  <c r="BB298" i="16"/>
  <c r="BE298" i="16" s="1"/>
  <c r="BB294" i="16"/>
  <c r="BE294" i="16" s="1"/>
  <c r="BB290" i="16"/>
  <c r="BE290" i="16" s="1"/>
  <c r="BB286" i="16"/>
  <c r="BE286" i="16" s="1"/>
  <c r="BB282" i="16"/>
  <c r="BE282" i="16" s="1"/>
  <c r="BB278" i="16"/>
  <c r="BE278" i="16" s="1"/>
  <c r="BB274" i="16"/>
  <c r="BE274" i="16" s="1"/>
  <c r="BB270" i="16"/>
  <c r="BE270" i="16" s="1"/>
  <c r="BB261" i="16"/>
  <c r="BE261" i="16" s="1"/>
  <c r="BB257" i="16"/>
  <c r="BE257" i="16" s="1"/>
  <c r="BB253" i="16"/>
  <c r="BE253" i="16" s="1"/>
  <c r="BB249" i="16"/>
  <c r="BE249" i="16" s="1"/>
  <c r="BB245" i="16"/>
  <c r="BE245" i="16" s="1"/>
  <c r="BB241" i="16"/>
  <c r="BE241" i="16" s="1"/>
  <c r="BB237" i="16"/>
  <c r="BE237" i="16" s="1"/>
  <c r="BB233" i="16"/>
  <c r="BE233" i="16" s="1"/>
  <c r="BB229" i="16"/>
  <c r="BE229" i="16" s="1"/>
  <c r="BB225" i="16"/>
  <c r="BB215" i="16"/>
  <c r="BE215" i="16" s="1"/>
  <c r="BB213" i="16"/>
  <c r="BE213" i="16" s="1"/>
  <c r="BB211" i="16"/>
  <c r="BE211" i="16" s="1"/>
  <c r="BB209" i="16"/>
  <c r="BE209" i="16" s="1"/>
  <c r="BB207" i="16"/>
  <c r="BE207" i="16" s="1"/>
  <c r="BB205" i="16"/>
  <c r="BE205" i="16" s="1"/>
  <c r="BB203" i="16"/>
  <c r="BE203" i="16" s="1"/>
  <c r="BB201" i="16"/>
  <c r="BE201" i="16" s="1"/>
  <c r="BB199" i="16"/>
  <c r="BE199" i="16" s="1"/>
  <c r="BB197" i="16"/>
  <c r="BE197" i="16" s="1"/>
  <c r="BB195" i="16"/>
  <c r="BE195" i="16" s="1"/>
  <c r="BB193" i="16"/>
  <c r="BE193" i="16" s="1"/>
  <c r="BB191" i="16"/>
  <c r="BE191" i="16" s="1"/>
  <c r="BB189" i="16"/>
  <c r="BE189" i="16" s="1"/>
  <c r="BB187" i="16"/>
  <c r="BE187" i="16" s="1"/>
  <c r="BB185" i="16"/>
  <c r="BE185" i="16" s="1"/>
  <c r="BB183" i="16"/>
  <c r="BE183" i="16" s="1"/>
  <c r="BB180" i="16"/>
  <c r="BE180" i="16" s="1"/>
  <c r="AQ1161" i="16"/>
  <c r="AT1161" i="16"/>
  <c r="BA1161" i="16"/>
  <c r="BI1161" i="16"/>
  <c r="S1100" i="119"/>
  <c r="BI1159" i="16"/>
  <c r="BA1159" i="16"/>
  <c r="AQ1159" i="16"/>
  <c r="AT1159" i="16"/>
  <c r="S1098" i="119"/>
  <c r="BI1135" i="16"/>
  <c r="BK1135" i="16" s="1"/>
  <c r="BA1135" i="16"/>
  <c r="AT1135" i="16"/>
  <c r="S1074" i="119"/>
  <c r="U1074" i="119" s="1"/>
  <c r="AQ1135" i="16"/>
  <c r="BC1122" i="16"/>
  <c r="G1072" i="182"/>
  <c r="O1072" i="182" s="1"/>
  <c r="G1056" i="182"/>
  <c r="O1056" i="182" s="1"/>
  <c r="G1045" i="182"/>
  <c r="O1045" i="182" s="1"/>
  <c r="BB1161" i="16"/>
  <c r="BB1157" i="16"/>
  <c r="BE1157" i="16" s="1"/>
  <c r="BB1153" i="16"/>
  <c r="BE1153" i="16" s="1"/>
  <c r="BB1149" i="16"/>
  <c r="BB1145" i="16"/>
  <c r="BE1145" i="16" s="1"/>
  <c r="BB1141" i="16"/>
  <c r="BE1141" i="16" s="1"/>
  <c r="BB1137" i="16"/>
  <c r="BE1137" i="16" s="1"/>
  <c r="BB1133" i="16"/>
  <c r="BE1133" i="16" s="1"/>
  <c r="BB1129" i="16"/>
  <c r="BE1129" i="16" s="1"/>
  <c r="BB1125" i="16"/>
  <c r="G1076" i="182"/>
  <c r="O1076" i="182" s="1"/>
  <c r="G1048" i="182"/>
  <c r="O1048" i="182" s="1"/>
  <c r="BE1125" i="16"/>
  <c r="G1065" i="182"/>
  <c r="O1065" i="182" s="1"/>
  <c r="G1078" i="182"/>
  <c r="O1078" i="182" s="1"/>
  <c r="BB1160" i="16"/>
  <c r="BE1160" i="16" s="1"/>
  <c r="BB1156" i="16"/>
  <c r="BE1156" i="16" s="1"/>
  <c r="BB1152" i="16"/>
  <c r="BB1148" i="16"/>
  <c r="BE1148" i="16" s="1"/>
  <c r="BB1144" i="16"/>
  <c r="BE1144" i="16" s="1"/>
  <c r="BB1140" i="16"/>
  <c r="BE1140" i="16" s="1"/>
  <c r="BB1136" i="16"/>
  <c r="BE1136" i="16" s="1"/>
  <c r="BB1132" i="16"/>
  <c r="BB1128" i="16"/>
  <c r="BE1128" i="16" s="1"/>
  <c r="BB1124" i="16"/>
  <c r="BE1124" i="16" s="1"/>
  <c r="G1060" i="182"/>
  <c r="O1060" i="182" s="1"/>
  <c r="G1068" i="182"/>
  <c r="O1068" i="182" s="1"/>
  <c r="G1052" i="182"/>
  <c r="O1052" i="182" s="1"/>
  <c r="BK1124" i="16"/>
  <c r="G1049" i="182"/>
  <c r="O1049" i="182" s="1"/>
  <c r="BB1159" i="16"/>
  <c r="BB1155" i="16"/>
  <c r="BE1155" i="16" s="1"/>
  <c r="BB1151" i="16"/>
  <c r="BE1151" i="16" s="1"/>
  <c r="BB1147" i="16"/>
  <c r="BE1147" i="16" s="1"/>
  <c r="BB1143" i="16"/>
  <c r="BE1143" i="16" s="1"/>
  <c r="BB1139" i="16"/>
  <c r="BE1139" i="16" s="1"/>
  <c r="BB1135" i="16"/>
  <c r="BB1131" i="16"/>
  <c r="BE1131" i="16" s="1"/>
  <c r="BB1127" i="16"/>
  <c r="BE1127" i="16" s="1"/>
  <c r="BB1123" i="16"/>
  <c r="G1080" i="182"/>
  <c r="O1080" i="182" s="1"/>
  <c r="G1064" i="182"/>
  <c r="O1064" i="182" s="1"/>
  <c r="BK1156" i="16"/>
  <c r="BE1152" i="16"/>
  <c r="BE1132" i="16"/>
  <c r="BK1159" i="16"/>
  <c r="BK1161" i="16"/>
  <c r="G1057" i="182"/>
  <c r="O1057" i="182" s="1"/>
  <c r="BB1162" i="16"/>
  <c r="BE1162" i="16" s="1"/>
  <c r="BB1158" i="16"/>
  <c r="BE1158" i="16" s="1"/>
  <c r="BB1154" i="16"/>
  <c r="BE1154" i="16" s="1"/>
  <c r="BB1150" i="16"/>
  <c r="BE1150" i="16" s="1"/>
  <c r="BB1146" i="16"/>
  <c r="BE1146" i="16" s="1"/>
  <c r="BB1142" i="16"/>
  <c r="BE1142" i="16" s="1"/>
  <c r="BB1138" i="16"/>
  <c r="BE1138" i="16" s="1"/>
  <c r="BB1134" i="16"/>
  <c r="BE1134" i="16" s="1"/>
  <c r="BB1130" i="16"/>
  <c r="BE1130" i="16" s="1"/>
  <c r="BB1126" i="16"/>
  <c r="BE1126" i="16" s="1"/>
  <c r="BF120" i="16"/>
  <c r="G84" i="182"/>
  <c r="O84" i="182" s="1"/>
  <c r="AY66" i="195"/>
  <c r="R191" i="197"/>
  <c r="BA21" i="195"/>
  <c r="S189" i="197"/>
  <c r="AX27" i="195"/>
  <c r="AX75" i="195" s="1"/>
  <c r="Q231" i="197" s="1"/>
  <c r="BB20" i="195"/>
  <c r="U188" i="197" s="1"/>
  <c r="T188" i="197"/>
  <c r="BB18" i="195"/>
  <c r="U186" i="197" s="1"/>
  <c r="T186" i="197"/>
  <c r="BB22" i="195"/>
  <c r="U190" i="197" s="1"/>
  <c r="T190" i="197"/>
  <c r="Z43" i="69"/>
  <c r="G38" i="182"/>
  <c r="O38" i="182" s="1"/>
  <c r="Z39" i="69"/>
  <c r="K149" i="30"/>
  <c r="K186" i="190"/>
  <c r="K106" i="198"/>
  <c r="I27" i="198"/>
  <c r="H100" i="198"/>
  <c r="H234" i="198"/>
  <c r="H141" i="198"/>
  <c r="H59" i="198"/>
  <c r="H13" i="198"/>
  <c r="H182" i="198"/>
  <c r="W8" i="167"/>
  <c r="K108" i="198" s="1"/>
  <c r="L65" i="30"/>
  <c r="L63" i="190"/>
  <c r="M76" i="198"/>
  <c r="Y68" i="25"/>
  <c r="C225" i="159"/>
  <c r="C222" i="159"/>
  <c r="O145" i="190"/>
  <c r="BC582" i="16"/>
  <c r="BC625" i="16" s="1"/>
  <c r="BB594" i="16"/>
  <c r="BE594" i="16" s="1"/>
  <c r="BB622" i="16"/>
  <c r="BB602" i="16"/>
  <c r="BB596" i="16"/>
  <c r="BB590" i="16"/>
  <c r="G549" i="182"/>
  <c r="O549" i="182" s="1"/>
  <c r="BK595" i="16"/>
  <c r="BA618" i="16"/>
  <c r="BE618" i="16" s="1"/>
  <c r="AQ618" i="16"/>
  <c r="BI618" i="16"/>
  <c r="S581" i="119"/>
  <c r="BA595" i="16"/>
  <c r="AT595" i="16"/>
  <c r="S558" i="119"/>
  <c r="G529" i="182"/>
  <c r="G544" i="182"/>
  <c r="O544" i="182" s="1"/>
  <c r="BA602" i="16"/>
  <c r="BI602" i="16"/>
  <c r="AT602" i="16"/>
  <c r="G555" i="182"/>
  <c r="O555" i="182" s="1"/>
  <c r="BF613" i="16"/>
  <c r="G545" i="182"/>
  <c r="O545" i="182" s="1"/>
  <c r="G537" i="182"/>
  <c r="BA606" i="16"/>
  <c r="BE606" i="16" s="1"/>
  <c r="AT606" i="16"/>
  <c r="BI606" i="16"/>
  <c r="BK606" i="16" s="1"/>
  <c r="AQ606" i="16"/>
  <c r="S585" i="119"/>
  <c r="BI622" i="16"/>
  <c r="BK622" i="16" s="1"/>
  <c r="AT622" i="16"/>
  <c r="BA622" i="16"/>
  <c r="BE622" i="16" s="1"/>
  <c r="AQ622" i="16"/>
  <c r="BD582" i="16"/>
  <c r="G530" i="182"/>
  <c r="O530" i="182" s="1"/>
  <c r="BF601" i="16"/>
  <c r="G543" i="182"/>
  <c r="O543" i="182" s="1"/>
  <c r="BC623" i="16"/>
  <c r="BC624" i="16"/>
  <c r="AQ590" i="16"/>
  <c r="BA590" i="16"/>
  <c r="AT590" i="16"/>
  <c r="AQ583" i="16"/>
  <c r="BI583" i="16"/>
  <c r="BK583" i="16" s="1"/>
  <c r="S546" i="119"/>
  <c r="BA583" i="16"/>
  <c r="AQ615" i="16"/>
  <c r="BA615" i="16"/>
  <c r="AT615" i="16"/>
  <c r="S559" i="119"/>
  <c r="U559" i="119" s="1"/>
  <c r="AQ596" i="16"/>
  <c r="AT596" i="16"/>
  <c r="BA596" i="16"/>
  <c r="BI584" i="16"/>
  <c r="BK584" i="16" s="1"/>
  <c r="BA584" i="16"/>
  <c r="AT584" i="16"/>
  <c r="AQ584" i="16"/>
  <c r="S551" i="119"/>
  <c r="BI588" i="16"/>
  <c r="BK588" i="16" s="1"/>
  <c r="BA588" i="16"/>
  <c r="BE588" i="16" s="1"/>
  <c r="G562" i="182"/>
  <c r="O562" i="182" s="1"/>
  <c r="BF620" i="16"/>
  <c r="BB621" i="16"/>
  <c r="BE621" i="16" s="1"/>
  <c r="BB613" i="16"/>
  <c r="BE613" i="16" s="1"/>
  <c r="BB605" i="16"/>
  <c r="BB597" i="16"/>
  <c r="BB589" i="16"/>
  <c r="BK611" i="16"/>
  <c r="G541" i="182"/>
  <c r="O541" i="182" s="1"/>
  <c r="BJ610" i="16"/>
  <c r="BJ598" i="16"/>
  <c r="BJ614" i="16"/>
  <c r="BJ618" i="16"/>
  <c r="BK618" i="16" s="1"/>
  <c r="T552" i="119"/>
  <c r="W555" i="119"/>
  <c r="W582" i="119"/>
  <c r="BA620" i="16"/>
  <c r="BE620" i="16" s="1"/>
  <c r="AQ605" i="16"/>
  <c r="AT613" i="16"/>
  <c r="AQ585" i="16"/>
  <c r="AQ604" i="16"/>
  <c r="W575" i="119"/>
  <c r="V552" i="119"/>
  <c r="BG610" i="16"/>
  <c r="T558" i="119"/>
  <c r="V576" i="119"/>
  <c r="BG606" i="16"/>
  <c r="BG585" i="16"/>
  <c r="BG595" i="16"/>
  <c r="W567" i="119"/>
  <c r="BB615" i="16"/>
  <c r="BB607" i="16"/>
  <c r="BE607" i="16" s="1"/>
  <c r="BB599" i="16"/>
  <c r="BE599" i="16" s="1"/>
  <c r="BB591" i="16"/>
  <c r="BE591" i="16" s="1"/>
  <c r="BB583" i="16"/>
  <c r="G561" i="182"/>
  <c r="O561" i="182" s="1"/>
  <c r="G553" i="182"/>
  <c r="O553" i="182" s="1"/>
  <c r="AD610" i="16"/>
  <c r="AD598" i="16"/>
  <c r="AD614" i="16"/>
  <c r="AD589" i="16"/>
  <c r="AM624" i="16"/>
  <c r="AM582" i="16" s="1"/>
  <c r="AT620" i="16"/>
  <c r="BA612" i="16"/>
  <c r="BE612" i="16" s="1"/>
  <c r="BE605" i="16"/>
  <c r="AT585" i="16"/>
  <c r="T565" i="119"/>
  <c r="W577" i="119"/>
  <c r="S548" i="119"/>
  <c r="W562" i="119"/>
  <c r="T569" i="119"/>
  <c r="W570" i="119"/>
  <c r="V560" i="119"/>
  <c r="BG614" i="16"/>
  <c r="V563" i="119"/>
  <c r="BB617" i="16"/>
  <c r="BB609" i="16"/>
  <c r="BB601" i="16"/>
  <c r="BE601" i="16" s="1"/>
  <c r="BB593" i="16"/>
  <c r="BE593" i="16" s="1"/>
  <c r="BB585" i="16"/>
  <c r="G528" i="182"/>
  <c r="BJ602" i="16"/>
  <c r="AQ597" i="16"/>
  <c r="BA585" i="16"/>
  <c r="BE585" i="16" s="1"/>
  <c r="AQ592" i="16"/>
  <c r="W552" i="119"/>
  <c r="V555" i="119"/>
  <c r="BA592" i="16"/>
  <c r="S575" i="119"/>
  <c r="T548" i="119"/>
  <c r="AG624" i="16"/>
  <c r="AG582" i="16" s="1"/>
  <c r="V571" i="119"/>
  <c r="V568" i="119"/>
  <c r="BB619" i="16"/>
  <c r="BE619" i="16" s="1"/>
  <c r="BB616" i="16"/>
  <c r="BB611" i="16"/>
  <c r="BE611" i="16" s="1"/>
  <c r="BB608" i="16"/>
  <c r="BB603" i="16"/>
  <c r="BE603" i="16" s="1"/>
  <c r="BB600" i="16"/>
  <c r="BB595" i="16"/>
  <c r="BB592" i="16"/>
  <c r="BB587" i="16"/>
  <c r="BE587" i="16" s="1"/>
  <c r="BB584" i="16"/>
  <c r="BJ539" i="16"/>
  <c r="BK547" i="16"/>
  <c r="BJ541" i="16"/>
  <c r="BK541" i="16" s="1"/>
  <c r="BB552" i="16"/>
  <c r="BB540" i="16"/>
  <c r="BE540" i="16" s="1"/>
  <c r="BK568" i="16"/>
  <c r="BB572" i="16"/>
  <c r="BE572" i="16" s="1"/>
  <c r="BB548" i="16"/>
  <c r="BE548" i="16" s="1"/>
  <c r="BJ537" i="16"/>
  <c r="BK544" i="16"/>
  <c r="BF541" i="16"/>
  <c r="G485" i="182"/>
  <c r="O485" i="182" s="1"/>
  <c r="BD537" i="16"/>
  <c r="BD580" i="16" s="1"/>
  <c r="BC542" i="16"/>
  <c r="BE542" i="16" s="1"/>
  <c r="AQ542" i="16"/>
  <c r="BC539" i="16"/>
  <c r="AJ579" i="16"/>
  <c r="AJ537" i="16" s="1"/>
  <c r="AQ539" i="16"/>
  <c r="W504" i="119"/>
  <c r="BB554" i="16"/>
  <c r="V519" i="119"/>
  <c r="BB551" i="16"/>
  <c r="AD571" i="16"/>
  <c r="BJ571" i="16"/>
  <c r="BG571" i="16"/>
  <c r="G507" i="182"/>
  <c r="O507" i="182" s="1"/>
  <c r="BF563" i="16"/>
  <c r="G487" i="182"/>
  <c r="O487" i="182" s="1"/>
  <c r="BF543" i="16"/>
  <c r="W525" i="119"/>
  <c r="AQ560" i="16"/>
  <c r="AT560" i="16"/>
  <c r="BC556" i="16"/>
  <c r="W521" i="119"/>
  <c r="BC552" i="16"/>
  <c r="AQ552" i="16"/>
  <c r="W517" i="119"/>
  <c r="BB538" i="16"/>
  <c r="BE538" i="16" s="1"/>
  <c r="V503" i="119"/>
  <c r="AG579" i="16"/>
  <c r="AG537" i="16" s="1"/>
  <c r="AQ538" i="16"/>
  <c r="AT538" i="16"/>
  <c r="AD574" i="16"/>
  <c r="BG574" i="16"/>
  <c r="T539" i="119"/>
  <c r="AD566" i="16"/>
  <c r="BJ566" i="16"/>
  <c r="BG566" i="16"/>
  <c r="T531" i="119"/>
  <c r="BA563" i="16"/>
  <c r="S528" i="119"/>
  <c r="AD554" i="16"/>
  <c r="T519" i="119"/>
  <c r="BG554" i="16"/>
  <c r="BJ554" i="16"/>
  <c r="AQ551" i="16"/>
  <c r="S516" i="119"/>
  <c r="AT551" i="16"/>
  <c r="BA551" i="16"/>
  <c r="BE551" i="16" s="1"/>
  <c r="BJ545" i="16"/>
  <c r="AD545" i="16"/>
  <c r="G512" i="182"/>
  <c r="O512" i="182" s="1"/>
  <c r="G484" i="182"/>
  <c r="O484" i="182" s="1"/>
  <c r="BK572" i="16"/>
  <c r="AT567" i="16"/>
  <c r="BI567" i="16"/>
  <c r="BK567" i="16" s="1"/>
  <c r="S532" i="119"/>
  <c r="BC575" i="16"/>
  <c r="W540" i="119"/>
  <c r="AQ575" i="16"/>
  <c r="AT575" i="16"/>
  <c r="BC571" i="16"/>
  <c r="W536" i="119"/>
  <c r="BC567" i="16"/>
  <c r="W532" i="119"/>
  <c r="BB562" i="16"/>
  <c r="BB559" i="16"/>
  <c r="V524" i="119"/>
  <c r="BB546" i="16"/>
  <c r="BE546" i="16" s="1"/>
  <c r="AQ546" i="16"/>
  <c r="V511" i="119"/>
  <c r="AT546" i="16"/>
  <c r="BB543" i="16"/>
  <c r="V508" i="119"/>
  <c r="AT543" i="16"/>
  <c r="BJ569" i="16"/>
  <c r="BG569" i="16"/>
  <c r="AD569" i="16"/>
  <c r="T534" i="119"/>
  <c r="BI562" i="16"/>
  <c r="S527" i="119"/>
  <c r="U527" i="119" s="1"/>
  <c r="AQ562" i="16"/>
  <c r="BA562" i="16"/>
  <c r="AD559" i="16"/>
  <c r="BG559" i="16"/>
  <c r="T524" i="119"/>
  <c r="BJ559" i="16"/>
  <c r="BJ556" i="16"/>
  <c r="T521" i="119"/>
  <c r="AD556" i="16"/>
  <c r="BK553" i="16"/>
  <c r="BA561" i="16"/>
  <c r="AT561" i="16"/>
  <c r="S526" i="119"/>
  <c r="BB576" i="16"/>
  <c r="BE576" i="16" s="1"/>
  <c r="AT576" i="16"/>
  <c r="V541" i="119"/>
  <c r="AQ576" i="16"/>
  <c r="BB569" i="16"/>
  <c r="V534" i="119"/>
  <c r="BB565" i="16"/>
  <c r="BE565" i="16" s="1"/>
  <c r="V530" i="119"/>
  <c r="AT565" i="16"/>
  <c r="AQ565" i="16"/>
  <c r="BG549" i="16"/>
  <c r="T514" i="119"/>
  <c r="BJ549" i="16"/>
  <c r="AD549" i="16"/>
  <c r="U525" i="119"/>
  <c r="G488" i="182"/>
  <c r="O488" i="182" s="1"/>
  <c r="G492" i="182"/>
  <c r="O492" i="182" s="1"/>
  <c r="BE543" i="16"/>
  <c r="BB575" i="16"/>
  <c r="BB568" i="16"/>
  <c r="BE568" i="16" s="1"/>
  <c r="BB564" i="16"/>
  <c r="BE564" i="16" s="1"/>
  <c r="BB561" i="16"/>
  <c r="BB558" i="16"/>
  <c r="BE558" i="16" s="1"/>
  <c r="BB553" i="16"/>
  <c r="BB550" i="16"/>
  <c r="BE550" i="16" s="1"/>
  <c r="BB545" i="16"/>
  <c r="BE553" i="16"/>
  <c r="BK558" i="16"/>
  <c r="BK573" i="16"/>
  <c r="BK562" i="16"/>
  <c r="BB574" i="16"/>
  <c r="BB571" i="16"/>
  <c r="BB567" i="16"/>
  <c r="BE567" i="16" s="1"/>
  <c r="BB555" i="16"/>
  <c r="BB547" i="16"/>
  <c r="BE547" i="16" s="1"/>
  <c r="BB539" i="16"/>
  <c r="BE539" i="16" s="1"/>
  <c r="BJ538" i="16"/>
  <c r="BK538" i="16" s="1"/>
  <c r="BK552" i="16"/>
  <c r="G516" i="182"/>
  <c r="O516" i="182" s="1"/>
  <c r="U513" i="119"/>
  <c r="BB577" i="16"/>
  <c r="BE577" i="16" s="1"/>
  <c r="BB573" i="16"/>
  <c r="BE573" i="16" s="1"/>
  <c r="BB570" i="16"/>
  <c r="BE570" i="16" s="1"/>
  <c r="BB566" i="16"/>
  <c r="BB563" i="16"/>
  <c r="BB557" i="16"/>
  <c r="BB549" i="16"/>
  <c r="BB541" i="16"/>
  <c r="BE541" i="16" s="1"/>
  <c r="BK539" i="16"/>
  <c r="G471" i="182"/>
  <c r="O471" i="182" s="1"/>
  <c r="BD492" i="16"/>
  <c r="BK530" i="16"/>
  <c r="BK519" i="16"/>
  <c r="BB518" i="16"/>
  <c r="BE518" i="16" s="1"/>
  <c r="BB509" i="16"/>
  <c r="BE509" i="16" s="1"/>
  <c r="BE529" i="16"/>
  <c r="BK506" i="16"/>
  <c r="BB529" i="16"/>
  <c r="BB526" i="16"/>
  <c r="BE526" i="16" s="1"/>
  <c r="BK498" i="16"/>
  <c r="BB522" i="16"/>
  <c r="BE522" i="16" s="1"/>
  <c r="BI495" i="16"/>
  <c r="BK495" i="16" s="1"/>
  <c r="S462" i="119"/>
  <c r="AT495" i="16"/>
  <c r="AQ495" i="16"/>
  <c r="BF495" i="16" s="1"/>
  <c r="BA495" i="16"/>
  <c r="AD534" i="16"/>
  <c r="AD492" i="16" s="1"/>
  <c r="BI492" i="16" s="1"/>
  <c r="BK492" i="16" s="1"/>
  <c r="BD535" i="16"/>
  <c r="BD534" i="16"/>
  <c r="BD536" i="16" s="1"/>
  <c r="BD533" i="16"/>
  <c r="G466" i="182"/>
  <c r="O466" i="182" s="1"/>
  <c r="G474" i="182"/>
  <c r="O474" i="182" s="1"/>
  <c r="G446" i="182"/>
  <c r="G467" i="182"/>
  <c r="O467" i="182" s="1"/>
  <c r="G442" i="182"/>
  <c r="O442" i="182" s="1"/>
  <c r="BB530" i="16"/>
  <c r="BE530" i="16" s="1"/>
  <c r="BB527" i="16"/>
  <c r="BE527" i="16" s="1"/>
  <c r="BB521" i="16"/>
  <c r="BB510" i="16"/>
  <c r="BE510" i="16" s="1"/>
  <c r="BB501" i="16"/>
  <c r="BE501" i="16" s="1"/>
  <c r="BB497" i="16"/>
  <c r="BE497" i="16" s="1"/>
  <c r="BB493" i="16"/>
  <c r="G447" i="182"/>
  <c r="O447" i="182" s="1"/>
  <c r="G450" i="182"/>
  <c r="O450" i="182" s="1"/>
  <c r="G439" i="182"/>
  <c r="O439" i="182" s="1"/>
  <c r="BE521" i="16"/>
  <c r="G451" i="182"/>
  <c r="O451" i="182" s="1"/>
  <c r="G443" i="182"/>
  <c r="AQ518" i="16"/>
  <c r="BI518" i="16"/>
  <c r="BK518" i="16" s="1"/>
  <c r="AQ502" i="16"/>
  <c r="BB532" i="16"/>
  <c r="BE532" i="16" s="1"/>
  <c r="BB523" i="16"/>
  <c r="BE523" i="16" s="1"/>
  <c r="BB500" i="16"/>
  <c r="BB496" i="16"/>
  <c r="BE496" i="16" s="1"/>
  <c r="BE500" i="16"/>
  <c r="G463" i="182"/>
  <c r="O463" i="182" s="1"/>
  <c r="G455" i="182"/>
  <c r="O455" i="182" s="1"/>
  <c r="S485" i="119"/>
  <c r="U485" i="119" s="1"/>
  <c r="AT502" i="16"/>
  <c r="BI502" i="16"/>
  <c r="BK502" i="16" s="1"/>
  <c r="BC492" i="16"/>
  <c r="BB517" i="16"/>
  <c r="BE517" i="16" s="1"/>
  <c r="BB514" i="16"/>
  <c r="BE514" i="16" s="1"/>
  <c r="BB506" i="16"/>
  <c r="BE506" i="16" s="1"/>
  <c r="BB503" i="16"/>
  <c r="BB499" i="16"/>
  <c r="BE499" i="16" s="1"/>
  <c r="BB495" i="16"/>
  <c r="BE495" i="16" s="1"/>
  <c r="BJ496" i="16"/>
  <c r="G478" i="182"/>
  <c r="O478" i="182" s="1"/>
  <c r="G462" i="182"/>
  <c r="O462" i="182" s="1"/>
  <c r="G475" i="182"/>
  <c r="O475" i="182" s="1"/>
  <c r="G459" i="182"/>
  <c r="O459" i="182" s="1"/>
  <c r="G469" i="182"/>
  <c r="O469" i="182" s="1"/>
  <c r="BE503" i="16"/>
  <c r="BF496" i="16"/>
  <c r="BB528" i="16"/>
  <c r="BE528" i="16" s="1"/>
  <c r="BB525" i="16"/>
  <c r="BE525" i="16" s="1"/>
  <c r="BB519" i="16"/>
  <c r="BE519" i="16" s="1"/>
  <c r="BB513" i="16"/>
  <c r="BE513" i="16" s="1"/>
  <c r="BB508" i="16"/>
  <c r="BE508" i="16" s="1"/>
  <c r="BB505" i="16"/>
  <c r="BE505" i="16" s="1"/>
  <c r="BB502" i="16"/>
  <c r="BE502" i="16" s="1"/>
  <c r="BB498" i="16"/>
  <c r="BE498" i="16" s="1"/>
  <c r="BB494" i="16"/>
  <c r="BE494" i="16" s="1"/>
  <c r="BI472" i="16"/>
  <c r="BK472" i="16" s="1"/>
  <c r="AQ472" i="16"/>
  <c r="BF472" i="16" s="1"/>
  <c r="AT472" i="16"/>
  <c r="BA472" i="16"/>
  <c r="BE472" i="16" s="1"/>
  <c r="S441" i="119"/>
  <c r="U441" i="119"/>
  <c r="G404" i="182"/>
  <c r="O404" i="182" s="1"/>
  <c r="BB461" i="16"/>
  <c r="BE461" i="16" s="1"/>
  <c r="AQ452" i="16"/>
  <c r="BA452" i="16"/>
  <c r="S421" i="119"/>
  <c r="W421" i="119"/>
  <c r="S420" i="119"/>
  <c r="AT451" i="16"/>
  <c r="AQ451" i="16"/>
  <c r="BA450" i="16"/>
  <c r="S419" i="119"/>
  <c r="AT450" i="16"/>
  <c r="S453" i="119"/>
  <c r="U453" i="119" s="1"/>
  <c r="AQ484" i="16"/>
  <c r="BI484" i="16"/>
  <c r="BK484" i="16" s="1"/>
  <c r="BA484" i="16"/>
  <c r="AT484" i="16"/>
  <c r="AT479" i="16"/>
  <c r="BI479" i="16"/>
  <c r="AQ479" i="16"/>
  <c r="BA479" i="16"/>
  <c r="S448" i="119"/>
  <c r="BC447" i="16"/>
  <c r="BI457" i="16"/>
  <c r="BK457" i="16" s="1"/>
  <c r="S426" i="119"/>
  <c r="AD489" i="16"/>
  <c r="AD447" i="16" s="1"/>
  <c r="BI447" i="16" s="1"/>
  <c r="BK447" i="16" s="1"/>
  <c r="BA457" i="16"/>
  <c r="AT457" i="16"/>
  <c r="AQ457" i="16"/>
  <c r="G430" i="182"/>
  <c r="O430" i="182" s="1"/>
  <c r="BK451" i="16"/>
  <c r="BK448" i="16"/>
  <c r="G420" i="182"/>
  <c r="O420" i="182" s="1"/>
  <c r="BB484" i="16"/>
  <c r="BB480" i="16"/>
  <c r="BE480" i="16" s="1"/>
  <c r="BB476" i="16"/>
  <c r="BE476" i="16" s="1"/>
  <c r="BB469" i="16"/>
  <c r="BE469" i="16" s="1"/>
  <c r="BB465" i="16"/>
  <c r="BB462" i="16"/>
  <c r="BE462" i="16" s="1"/>
  <c r="BB459" i="16"/>
  <c r="BE459" i="16" s="1"/>
  <c r="BB455" i="16"/>
  <c r="BE455" i="16" s="1"/>
  <c r="BB451" i="16"/>
  <c r="BB448" i="16"/>
  <c r="BE448" i="16" s="1"/>
  <c r="BJ479" i="16"/>
  <c r="BK479" i="16" s="1"/>
  <c r="G418" i="182"/>
  <c r="O418" i="182" s="1"/>
  <c r="G398" i="182"/>
  <c r="O398" i="182" s="1"/>
  <c r="G426" i="182"/>
  <c r="O426" i="182" s="1"/>
  <c r="BE451" i="16"/>
  <c r="G401" i="182"/>
  <c r="O401" i="182" s="1"/>
  <c r="BB487" i="16"/>
  <c r="BB483" i="16"/>
  <c r="BE483" i="16" s="1"/>
  <c r="BB479" i="16"/>
  <c r="BB475" i="16"/>
  <c r="BE475" i="16" s="1"/>
  <c r="BB471" i="16"/>
  <c r="BB458" i="16"/>
  <c r="BE458" i="16" s="1"/>
  <c r="BB454" i="16"/>
  <c r="BE454" i="16" s="1"/>
  <c r="BB450" i="16"/>
  <c r="G402" i="182"/>
  <c r="O402" i="182" s="1"/>
  <c r="G422" i="182"/>
  <c r="O422" i="182" s="1"/>
  <c r="BE487" i="16"/>
  <c r="BE465" i="16"/>
  <c r="BE471" i="16"/>
  <c r="G421" i="182"/>
  <c r="O421" i="182" s="1"/>
  <c r="BB486" i="16"/>
  <c r="BE486" i="16" s="1"/>
  <c r="BB482" i="16"/>
  <c r="BE482" i="16" s="1"/>
  <c r="BB478" i="16"/>
  <c r="BE478" i="16" s="1"/>
  <c r="BB474" i="16"/>
  <c r="BE474" i="16" s="1"/>
  <c r="BB470" i="16"/>
  <c r="BE470" i="16" s="1"/>
  <c r="BB467" i="16"/>
  <c r="BE467" i="16" s="1"/>
  <c r="BB463" i="16"/>
  <c r="BB457" i="16"/>
  <c r="BB453" i="16"/>
  <c r="BE453" i="16" s="1"/>
  <c r="BB449" i="16"/>
  <c r="G414" i="182"/>
  <c r="O414" i="182" s="1"/>
  <c r="G406" i="182"/>
  <c r="O406" i="182" s="1"/>
  <c r="G410" i="182"/>
  <c r="O410" i="182" s="1"/>
  <c r="BE449" i="16"/>
  <c r="BK461" i="16"/>
  <c r="BB485" i="16"/>
  <c r="BE485" i="16" s="1"/>
  <c r="BB481" i="16"/>
  <c r="BE481" i="16" s="1"/>
  <c r="BB477" i="16"/>
  <c r="BE477" i="16" s="1"/>
  <c r="BB473" i="16"/>
  <c r="BE473" i="16" s="1"/>
  <c r="BB466" i="16"/>
  <c r="BE466" i="16" s="1"/>
  <c r="BB456" i="16"/>
  <c r="BE456" i="16" s="1"/>
  <c r="BB452" i="16"/>
  <c r="BE452" i="16" s="1"/>
  <c r="BK364" i="16"/>
  <c r="BI379" i="16"/>
  <c r="AT379" i="16"/>
  <c r="BA379" i="16"/>
  <c r="S352" i="119"/>
  <c r="AQ379" i="16"/>
  <c r="BB394" i="16"/>
  <c r="BB377" i="16"/>
  <c r="BB361" i="16"/>
  <c r="BB383" i="16"/>
  <c r="BK397" i="16"/>
  <c r="BE394" i="16"/>
  <c r="BB388" i="16"/>
  <c r="BE388" i="16" s="1"/>
  <c r="BB371" i="16"/>
  <c r="BE371" i="16" s="1"/>
  <c r="BB326" i="16"/>
  <c r="BE316" i="16"/>
  <c r="BB320" i="16"/>
  <c r="BB316" i="16"/>
  <c r="G275" i="182"/>
  <c r="O275" i="182" s="1"/>
  <c r="BB342" i="16"/>
  <c r="BE342" i="16" s="1"/>
  <c r="BB332" i="16"/>
  <c r="BB386" i="16"/>
  <c r="BK388" i="16"/>
  <c r="BE377" i="16"/>
  <c r="BE369" i="16"/>
  <c r="BB379" i="16"/>
  <c r="BB373" i="16"/>
  <c r="BE373" i="16" s="1"/>
  <c r="BB390" i="16"/>
  <c r="BE390" i="16" s="1"/>
  <c r="BJ386" i="16"/>
  <c r="BA363" i="16"/>
  <c r="BI363" i="16"/>
  <c r="BK363" i="16" s="1"/>
  <c r="S336" i="119"/>
  <c r="U336" i="119" s="1"/>
  <c r="V336" i="119"/>
  <c r="V371" i="119" s="1"/>
  <c r="BB363" i="16"/>
  <c r="BI386" i="16"/>
  <c r="BA386" i="16"/>
  <c r="BE386" i="16" s="1"/>
  <c r="AT386" i="16"/>
  <c r="S359" i="119"/>
  <c r="AQ386" i="16"/>
  <c r="BC357" i="16"/>
  <c r="BE361" i="16"/>
  <c r="G326" i="182"/>
  <c r="O326" i="182" s="1"/>
  <c r="G342" i="182"/>
  <c r="O342" i="182" s="1"/>
  <c r="G334" i="182"/>
  <c r="O334" i="182" s="1"/>
  <c r="G346" i="182"/>
  <c r="O346" i="182" s="1"/>
  <c r="G327" i="182"/>
  <c r="O327" i="182" s="1"/>
  <c r="BB397" i="16"/>
  <c r="BE397" i="16" s="1"/>
  <c r="BB391" i="16"/>
  <c r="BE391" i="16" s="1"/>
  <c r="BB374" i="16"/>
  <c r="BE374" i="16" s="1"/>
  <c r="BB366" i="16"/>
  <c r="BB358" i="16"/>
  <c r="G344" i="182"/>
  <c r="O344" i="182" s="1"/>
  <c r="G313" i="182"/>
  <c r="O313" i="182" s="1"/>
  <c r="BE365" i="16"/>
  <c r="BK358" i="16"/>
  <c r="BK379" i="16"/>
  <c r="G345" i="182"/>
  <c r="O345" i="182" s="1"/>
  <c r="G339" i="182"/>
  <c r="O339" i="182" s="1"/>
  <c r="BB385" i="16"/>
  <c r="BE385" i="16" s="1"/>
  <c r="BB382" i="16"/>
  <c r="BE382" i="16" s="1"/>
  <c r="BB376" i="16"/>
  <c r="BE376" i="16" s="1"/>
  <c r="BB368" i="16"/>
  <c r="BE368" i="16" s="1"/>
  <c r="BB360" i="16"/>
  <c r="BE360" i="16" s="1"/>
  <c r="G328" i="182"/>
  <c r="O328" i="182" s="1"/>
  <c r="BE392" i="16"/>
  <c r="G318" i="182"/>
  <c r="O318" i="182" s="1"/>
  <c r="G320" i="182"/>
  <c r="O320" i="182" s="1"/>
  <c r="G323" i="182"/>
  <c r="O323" i="182" s="1"/>
  <c r="BE383" i="16"/>
  <c r="G348" i="182"/>
  <c r="O348" i="182" s="1"/>
  <c r="G332" i="182"/>
  <c r="O332" i="182" s="1"/>
  <c r="G329" i="182"/>
  <c r="O329" i="182" s="1"/>
  <c r="BB396" i="16"/>
  <c r="BE396" i="16" s="1"/>
  <c r="BB393" i="16"/>
  <c r="BE393" i="16" s="1"/>
  <c r="BB387" i="16"/>
  <c r="BE387" i="16" s="1"/>
  <c r="BB378" i="16"/>
  <c r="BE378" i="16" s="1"/>
  <c r="BB375" i="16"/>
  <c r="BE375" i="16" s="1"/>
  <c r="BB370" i="16"/>
  <c r="BE370" i="16" s="1"/>
  <c r="BB367" i="16"/>
  <c r="BE367" i="16" s="1"/>
  <c r="BB362" i="16"/>
  <c r="BE362" i="16" s="1"/>
  <c r="BB359" i="16"/>
  <c r="BE359" i="16" s="1"/>
  <c r="BJ393" i="16"/>
  <c r="BK393" i="16" s="1"/>
  <c r="AD372" i="16"/>
  <c r="G312" i="182"/>
  <c r="BE366" i="16"/>
  <c r="G335" i="182"/>
  <c r="O335" i="182" s="1"/>
  <c r="G315" i="182"/>
  <c r="O315" i="182" s="1"/>
  <c r="BB389" i="16"/>
  <c r="BE389" i="16" s="1"/>
  <c r="BB380" i="16"/>
  <c r="BE380" i="16" s="1"/>
  <c r="BB372" i="16"/>
  <c r="BB364" i="16"/>
  <c r="BE364" i="16" s="1"/>
  <c r="G294" i="182"/>
  <c r="O294" i="182" s="1"/>
  <c r="BD355" i="16"/>
  <c r="BB324" i="16"/>
  <c r="BB318" i="16"/>
  <c r="BE318" i="16" s="1"/>
  <c r="AD324" i="16"/>
  <c r="BF343" i="16"/>
  <c r="BE332" i="16"/>
  <c r="BB350" i="16"/>
  <c r="BE350" i="16" s="1"/>
  <c r="BB340" i="16"/>
  <c r="BE340" i="16" s="1"/>
  <c r="BB334" i="16"/>
  <c r="BE334" i="16" s="1"/>
  <c r="BB328" i="16"/>
  <c r="BC312" i="16"/>
  <c r="G298" i="182"/>
  <c r="O298" i="182" s="1"/>
  <c r="G268" i="182"/>
  <c r="O268" i="182" s="1"/>
  <c r="G295" i="182"/>
  <c r="O295" i="182" s="1"/>
  <c r="G288" i="182"/>
  <c r="O288" i="182" s="1"/>
  <c r="BB345" i="16"/>
  <c r="BE345" i="16" s="1"/>
  <c r="BB337" i="16"/>
  <c r="BB329" i="16"/>
  <c r="BE329" i="16" s="1"/>
  <c r="BB321" i="16"/>
  <c r="BE321" i="16" s="1"/>
  <c r="BB313" i="16"/>
  <c r="G290" i="182"/>
  <c r="O290" i="182" s="1"/>
  <c r="G304" i="182"/>
  <c r="O304" i="182" s="1"/>
  <c r="G283" i="182"/>
  <c r="O283" i="182" s="1"/>
  <c r="G300" i="182"/>
  <c r="O300" i="182" s="1"/>
  <c r="G292" i="182"/>
  <c r="O292" i="182" s="1"/>
  <c r="G291" i="182"/>
  <c r="O291" i="182" s="1"/>
  <c r="BE320" i="16"/>
  <c r="BB352" i="16"/>
  <c r="BE352" i="16" s="1"/>
  <c r="BB347" i="16"/>
  <c r="BB344" i="16"/>
  <c r="BB339" i="16"/>
  <c r="BE339" i="16" s="1"/>
  <c r="BB331" i="16"/>
  <c r="BE331" i="16" s="1"/>
  <c r="BB323" i="16"/>
  <c r="BE323" i="16" s="1"/>
  <c r="BB315" i="16"/>
  <c r="G271" i="182"/>
  <c r="O271" i="182" s="1"/>
  <c r="G279" i="182"/>
  <c r="O279" i="182" s="1"/>
  <c r="G296" i="182"/>
  <c r="O296" i="182" s="1"/>
  <c r="BE337" i="16"/>
  <c r="G272" i="182"/>
  <c r="O272" i="182" s="1"/>
  <c r="BD353" i="16"/>
  <c r="BB349" i="16"/>
  <c r="BE349" i="16" s="1"/>
  <c r="BB346" i="16"/>
  <c r="BE346" i="16" s="1"/>
  <c r="BB341" i="16"/>
  <c r="BE341" i="16" s="1"/>
  <c r="BB338" i="16"/>
  <c r="BE338" i="16" s="1"/>
  <c r="BB333" i="16"/>
  <c r="BE333" i="16" s="1"/>
  <c r="BB330" i="16"/>
  <c r="BE330" i="16" s="1"/>
  <c r="BB325" i="16"/>
  <c r="BE325" i="16" s="1"/>
  <c r="BB322" i="16"/>
  <c r="BE322" i="16" s="1"/>
  <c r="BB317" i="16"/>
  <c r="BE317" i="16" s="1"/>
  <c r="BB314" i="16"/>
  <c r="BE314" i="16" s="1"/>
  <c r="BJ331" i="16"/>
  <c r="BK331" i="16" s="1"/>
  <c r="AD328" i="16"/>
  <c r="AD315" i="16"/>
  <c r="BE326" i="16"/>
  <c r="BE344" i="16"/>
  <c r="G299" i="182"/>
  <c r="O299" i="182" s="1"/>
  <c r="BB351" i="16"/>
  <c r="BE351" i="16" s="1"/>
  <c r="BB348" i="16"/>
  <c r="BE348" i="16" s="1"/>
  <c r="BB343" i="16"/>
  <c r="BE343" i="16" s="1"/>
  <c r="BB335" i="16"/>
  <c r="BE335" i="16" s="1"/>
  <c r="BB327" i="16"/>
  <c r="BB319" i="16"/>
  <c r="BE319" i="16" s="1"/>
  <c r="G110" i="182"/>
  <c r="O110" i="182" s="1"/>
  <c r="BK170" i="16"/>
  <c r="AT165" i="16"/>
  <c r="BK163" i="16"/>
  <c r="S145" i="119"/>
  <c r="U145" i="119" s="1"/>
  <c r="BE164" i="16"/>
  <c r="S121" i="119"/>
  <c r="AT154" i="16"/>
  <c r="S154" i="119"/>
  <c r="BI171" i="16"/>
  <c r="BK171" i="16" s="1"/>
  <c r="AQ152" i="16"/>
  <c r="BA148" i="16"/>
  <c r="BE148" i="16" s="1"/>
  <c r="S143" i="119"/>
  <c r="BE136" i="16"/>
  <c r="BI137" i="16"/>
  <c r="BK137" i="16" s="1"/>
  <c r="BK166" i="16"/>
  <c r="BA165" i="16"/>
  <c r="BI165" i="16"/>
  <c r="AT162" i="16"/>
  <c r="BA138" i="16"/>
  <c r="BI138" i="16"/>
  <c r="AQ154" i="16"/>
  <c r="BF154" i="16" s="1"/>
  <c r="AQ171" i="16"/>
  <c r="BA152" i="16"/>
  <c r="AT148" i="16"/>
  <c r="BA160" i="16"/>
  <c r="BI160" i="16"/>
  <c r="BK160" i="16" s="1"/>
  <c r="W138" i="119"/>
  <c r="G122" i="182"/>
  <c r="O122" i="182" s="1"/>
  <c r="AQ162" i="16"/>
  <c r="BF162" i="16" s="1"/>
  <c r="BA154" i="16"/>
  <c r="BE156" i="16"/>
  <c r="BE140" i="16"/>
  <c r="S135" i="119"/>
  <c r="W126" i="119"/>
  <c r="BB161" i="16"/>
  <c r="BB154" i="16"/>
  <c r="AT135" i="16"/>
  <c r="AM84" i="16"/>
  <c r="BB77" i="16" s="1"/>
  <c r="AJ174" i="16"/>
  <c r="AJ132" i="16" s="1"/>
  <c r="B222" i="159"/>
  <c r="B193" i="159"/>
  <c r="C192" i="159"/>
  <c r="H57" i="190"/>
  <c r="I13" i="63"/>
  <c r="G63" i="197"/>
  <c r="G240" i="197"/>
  <c r="G6" i="197"/>
  <c r="G181" i="197"/>
  <c r="G122" i="197"/>
  <c r="BO22" i="36"/>
  <c r="O104" i="190"/>
  <c r="O89" i="190"/>
  <c r="W66" i="190"/>
  <c r="S64" i="190"/>
  <c r="C19" i="159"/>
  <c r="B194" i="159"/>
  <c r="B192" i="159"/>
  <c r="G75" i="182"/>
  <c r="G78" i="182"/>
  <c r="O78" i="182" s="1"/>
  <c r="U83" i="119"/>
  <c r="G68" i="182"/>
  <c r="O68" i="182" s="1"/>
  <c r="BB124" i="16"/>
  <c r="BE124" i="16" s="1"/>
  <c r="BB120" i="16"/>
  <c r="BB116" i="16"/>
  <c r="BB112" i="16"/>
  <c r="BB108" i="16"/>
  <c r="BB104" i="16"/>
  <c r="BE104" i="16" s="1"/>
  <c r="BB100" i="16"/>
  <c r="BB96" i="16"/>
  <c r="BB92" i="16"/>
  <c r="BB88" i="16"/>
  <c r="BE88" i="16" s="1"/>
  <c r="G90" i="182"/>
  <c r="G77" i="182"/>
  <c r="G85" i="182"/>
  <c r="O85" i="182" s="1"/>
  <c r="BB127" i="16"/>
  <c r="BB123" i="16"/>
  <c r="BB119" i="16"/>
  <c r="BE119" i="16" s="1"/>
  <c r="BB115" i="16"/>
  <c r="BE115" i="16" s="1"/>
  <c r="BB111" i="16"/>
  <c r="BE111" i="16" s="1"/>
  <c r="BB107" i="16"/>
  <c r="BB103" i="16"/>
  <c r="BB99" i="16"/>
  <c r="BE99" i="16" s="1"/>
  <c r="BB95" i="16"/>
  <c r="BE95" i="16" s="1"/>
  <c r="G71" i="182"/>
  <c r="BF91" i="16"/>
  <c r="G87" i="182"/>
  <c r="O87" i="182" s="1"/>
  <c r="G70" i="182"/>
  <c r="O70" i="182" s="1"/>
  <c r="G89" i="182"/>
  <c r="O89" i="182" s="1"/>
  <c r="BF89" i="16"/>
  <c r="BF98" i="16"/>
  <c r="BB126" i="16"/>
  <c r="BE126" i="16" s="1"/>
  <c r="BB122" i="16"/>
  <c r="BB118" i="16"/>
  <c r="BB114" i="16"/>
  <c r="BE114" i="16" s="1"/>
  <c r="BB110" i="16"/>
  <c r="BB106" i="16"/>
  <c r="BB102" i="16"/>
  <c r="BE102" i="16" s="1"/>
  <c r="BB98" i="16"/>
  <c r="BB94" i="16"/>
  <c r="BE94" i="16" s="1"/>
  <c r="BB90" i="16"/>
  <c r="G59" i="182"/>
  <c r="G79" i="182"/>
  <c r="O79" i="182" s="1"/>
  <c r="G63" i="182"/>
  <c r="BE123" i="16"/>
  <c r="G65" i="182"/>
  <c r="O65" i="182" s="1"/>
  <c r="G69" i="182"/>
  <c r="O69" i="182" s="1"/>
  <c r="G80" i="182"/>
  <c r="BB93" i="16"/>
  <c r="BE93" i="16" s="1"/>
  <c r="BB89" i="16"/>
  <c r="BE89" i="16" s="1"/>
  <c r="G130" i="182"/>
  <c r="G120" i="182"/>
  <c r="O120" i="182" s="1"/>
  <c r="G131" i="182"/>
  <c r="G96" i="182"/>
  <c r="O96" i="182" s="1"/>
  <c r="BF140" i="16"/>
  <c r="G99" i="182"/>
  <c r="O99" i="182" s="1"/>
  <c r="BB172" i="16"/>
  <c r="BB159" i="16"/>
  <c r="BB155" i="16"/>
  <c r="BE155" i="16" s="1"/>
  <c r="G127" i="182"/>
  <c r="O127" i="182" s="1"/>
  <c r="G124" i="182"/>
  <c r="O124" i="182" s="1"/>
  <c r="G116" i="182"/>
  <c r="O116" i="182" s="1"/>
  <c r="G118" i="182"/>
  <c r="O118" i="182" s="1"/>
  <c r="BB171" i="16"/>
  <c r="BB167" i="16"/>
  <c r="BB158" i="16"/>
  <c r="BE158" i="16" s="1"/>
  <c r="BB151" i="16"/>
  <c r="BB147" i="16"/>
  <c r="BB143" i="16"/>
  <c r="BB139" i="16"/>
  <c r="BB135" i="16"/>
  <c r="G104" i="182"/>
  <c r="G132" i="182"/>
  <c r="O132" i="182" s="1"/>
  <c r="G126" i="182"/>
  <c r="O126" i="182" s="1"/>
  <c r="G100" i="182"/>
  <c r="O100" i="182" s="1"/>
  <c r="G106" i="182"/>
  <c r="O106" i="182" s="1"/>
  <c r="BE172" i="16"/>
  <c r="BB170" i="16"/>
  <c r="BE170" i="16" s="1"/>
  <c r="BB166" i="16"/>
  <c r="BB157" i="16"/>
  <c r="BB150" i="16"/>
  <c r="BB146" i="16"/>
  <c r="BB142" i="16"/>
  <c r="BB138" i="16"/>
  <c r="BB134" i="16"/>
  <c r="BE134" i="16" s="1"/>
  <c r="G112" i="182"/>
  <c r="G117" i="182"/>
  <c r="O117" i="182" s="1"/>
  <c r="G107" i="182"/>
  <c r="O107" i="182" s="1"/>
  <c r="BB169" i="16"/>
  <c r="BB165" i="16"/>
  <c r="BE165" i="16" s="1"/>
  <c r="BB162" i="16"/>
  <c r="BB153" i="16"/>
  <c r="BB149" i="16"/>
  <c r="BB145" i="16"/>
  <c r="BE145" i="16" s="1"/>
  <c r="BB141" i="16"/>
  <c r="BB137" i="16"/>
  <c r="BE137" i="16" s="1"/>
  <c r="BB133" i="16"/>
  <c r="BA19" i="195"/>
  <c r="T187" i="197" s="1"/>
  <c r="AZ23" i="195"/>
  <c r="S191" i="197" s="1"/>
  <c r="AV69" i="195"/>
  <c r="AV65" i="195"/>
  <c r="H11" i="178"/>
  <c r="H10" i="178"/>
  <c r="H139" i="190"/>
  <c r="H221" i="190"/>
  <c r="H11" i="190"/>
  <c r="H262" i="190"/>
  <c r="H180" i="190"/>
  <c r="H319" i="190"/>
  <c r="H98" i="190"/>
  <c r="D21" i="25"/>
  <c r="C65" i="119"/>
  <c r="C13" i="119"/>
  <c r="H21" i="178"/>
  <c r="K160" i="30"/>
  <c r="K197" i="190"/>
  <c r="H12" i="178"/>
  <c r="K188" i="190"/>
  <c r="K151" i="30"/>
  <c r="Y292" i="25"/>
  <c r="Y388" i="25"/>
  <c r="S199" i="197"/>
  <c r="BA32" i="195"/>
  <c r="S200" i="197"/>
  <c r="BA33" i="195"/>
  <c r="R212" i="197"/>
  <c r="AZ45" i="195"/>
  <c r="S206" i="197"/>
  <c r="BA39" i="195"/>
  <c r="S201" i="197"/>
  <c r="BA34" i="195"/>
  <c r="T204" i="197"/>
  <c r="BB37" i="195"/>
  <c r="U204" i="197" s="1"/>
  <c r="S209" i="197"/>
  <c r="BA42" i="195"/>
  <c r="AZ96" i="195"/>
  <c r="Y444" i="25"/>
  <c r="S203" i="197"/>
  <c r="BA36" i="195"/>
  <c r="T225" i="197"/>
  <c r="BA95" i="195"/>
  <c r="BA77" i="195"/>
  <c r="T233" i="197" s="1"/>
  <c r="BB63" i="195"/>
  <c r="Y272" i="25"/>
  <c r="Y184" i="25"/>
  <c r="Y220" i="25"/>
  <c r="T202" i="197"/>
  <c r="BB35" i="195"/>
  <c r="U202" i="197" s="1"/>
  <c r="T207" i="197"/>
  <c r="BB40" i="195"/>
  <c r="U207" i="197" s="1"/>
  <c r="R198" i="197"/>
  <c r="AZ31" i="195"/>
  <c r="AW50" i="195"/>
  <c r="T208" i="197"/>
  <c r="BB41" i="195"/>
  <c r="U208" i="197" s="1"/>
  <c r="T211" i="197"/>
  <c r="BB44" i="195"/>
  <c r="U211" i="197" s="1"/>
  <c r="S205" i="197"/>
  <c r="BA38" i="195"/>
  <c r="R213" i="197"/>
  <c r="AZ46" i="195"/>
  <c r="S194" i="197"/>
  <c r="BA26" i="195"/>
  <c r="AX48" i="195"/>
  <c r="Q215" i="197" s="1"/>
  <c r="AY27" i="195"/>
  <c r="R214" i="197"/>
  <c r="AZ47" i="195"/>
  <c r="S210" i="197"/>
  <c r="BA43" i="195"/>
  <c r="Y77" i="25"/>
  <c r="Y161" i="25"/>
  <c r="Y717" i="25"/>
  <c r="Y1277" i="25"/>
  <c r="Y1057" i="25"/>
  <c r="Y697" i="25"/>
  <c r="Y733" i="25"/>
  <c r="Y1301" i="25"/>
  <c r="Y125" i="25"/>
  <c r="Y169" i="25"/>
  <c r="Y1073" i="25"/>
  <c r="Y865" i="25"/>
  <c r="Y417" i="25"/>
  <c r="Y1137" i="25"/>
  <c r="Y1200" i="25"/>
  <c r="Y1289" i="25"/>
  <c r="Y285" i="25"/>
  <c r="Y513" i="25"/>
  <c r="Y721" i="25"/>
  <c r="Y193" i="25"/>
  <c r="Y361" i="25"/>
  <c r="Y461" i="25"/>
  <c r="Y249" i="25"/>
  <c r="Y505" i="25"/>
  <c r="Y521" i="25"/>
  <c r="Y681" i="25"/>
  <c r="Y1121" i="25"/>
  <c r="Y393" i="25"/>
  <c r="Y221" i="25"/>
  <c r="Y353" i="25"/>
  <c r="Y837" i="25"/>
  <c r="Y1081" i="25"/>
  <c r="Y1069" i="25"/>
  <c r="Y565" i="25"/>
  <c r="Y241" i="25"/>
  <c r="Y445" i="25"/>
  <c r="Y473" i="25"/>
  <c r="Y665" i="25"/>
  <c r="Y781" i="25"/>
  <c r="Y493" i="25"/>
  <c r="Y917" i="25"/>
  <c r="Y1370" i="25"/>
  <c r="Y409" i="25"/>
  <c r="Y1346" i="25"/>
  <c r="Y1141" i="25"/>
  <c r="Y621" i="25"/>
  <c r="BE154" i="16"/>
  <c r="BE150" i="16"/>
  <c r="C457" i="119"/>
  <c r="U709" i="119"/>
  <c r="C954" i="182"/>
  <c r="AC1074" i="16"/>
  <c r="AV1051" i="16"/>
  <c r="AV1036" i="16"/>
  <c r="AV1050" i="16"/>
  <c r="AV1059" i="16"/>
  <c r="AV1066" i="16"/>
  <c r="AV719" i="16"/>
  <c r="AV750" i="16"/>
  <c r="AV729" i="16"/>
  <c r="AV743" i="16"/>
  <c r="AV728" i="16"/>
  <c r="AV745" i="16"/>
  <c r="AV720" i="16"/>
  <c r="AV1055" i="16"/>
  <c r="AV102" i="16"/>
  <c r="D43" i="25"/>
  <c r="D97" i="25" s="1"/>
  <c r="AV418" i="16"/>
  <c r="D435" i="25"/>
  <c r="D489" i="25" s="1"/>
  <c r="AV431" i="16"/>
  <c r="AV427" i="16"/>
  <c r="AV442" i="16"/>
  <c r="AV413" i="16"/>
  <c r="AV436" i="16"/>
  <c r="AV441" i="16"/>
  <c r="AV412" i="16"/>
  <c r="AV425" i="16"/>
  <c r="C373" i="119"/>
  <c r="AV411" i="16"/>
  <c r="AV406" i="16"/>
  <c r="AV437" i="16"/>
  <c r="AV430" i="16"/>
  <c r="AV421" i="16"/>
  <c r="AV405" i="16"/>
  <c r="AV429" i="16"/>
  <c r="AV420" i="16"/>
  <c r="AV404" i="16"/>
  <c r="AV432" i="16"/>
  <c r="AV419" i="16"/>
  <c r="AV403" i="16"/>
  <c r="AV604" i="16"/>
  <c r="D659" i="25"/>
  <c r="D701" i="25" s="1"/>
  <c r="AC624" i="16"/>
  <c r="C565" i="182" s="1"/>
  <c r="AV587" i="16"/>
  <c r="AV617" i="16"/>
  <c r="AV582" i="16"/>
  <c r="AV597" i="16"/>
  <c r="AV619" i="16"/>
  <c r="AV618" i="16"/>
  <c r="AV598" i="16"/>
  <c r="AV616" i="16"/>
  <c r="AV609" i="16"/>
  <c r="AV596" i="16"/>
  <c r="C715" i="119"/>
  <c r="C694" i="182"/>
  <c r="D1219" i="25"/>
  <c r="D1273" i="25" s="1"/>
  <c r="AV1032" i="16"/>
  <c r="AV1046" i="16"/>
  <c r="AV1072" i="16"/>
  <c r="AV1041" i="16"/>
  <c r="AV1074" i="16"/>
  <c r="AV1064" i="16"/>
  <c r="AV1035" i="16"/>
  <c r="AV1054" i="16"/>
  <c r="AV1047" i="16"/>
  <c r="AV1039" i="16"/>
  <c r="C975" i="119"/>
  <c r="AV1042" i="16"/>
  <c r="AV1034" i="16"/>
  <c r="AV1076" i="16"/>
  <c r="AV1037" i="16"/>
  <c r="AV1071" i="16"/>
  <c r="U294" i="119"/>
  <c r="C500" i="119"/>
  <c r="AV1043" i="16"/>
  <c r="AV1063" i="16"/>
  <c r="AV1069" i="16"/>
  <c r="AV1052" i="16"/>
  <c r="AV1053" i="16"/>
  <c r="AV1038" i="16"/>
  <c r="AV1044" i="16"/>
  <c r="AV1065" i="16"/>
  <c r="D939" i="25"/>
  <c r="D993" i="25" s="1"/>
  <c r="AV834" i="16"/>
  <c r="AV830" i="16"/>
  <c r="AV808" i="16"/>
  <c r="AV842" i="16"/>
  <c r="AV812" i="16"/>
  <c r="D1107" i="25"/>
  <c r="D1149" i="25" s="1"/>
  <c r="AV972" i="16"/>
  <c r="AV964" i="16"/>
  <c r="AV978" i="16"/>
  <c r="AV963" i="16"/>
  <c r="AV952" i="16"/>
  <c r="AV974" i="16"/>
  <c r="AV959" i="16"/>
  <c r="AV943" i="16"/>
  <c r="AV969" i="16"/>
  <c r="AV962" i="16"/>
  <c r="AV946" i="16"/>
  <c r="AV945" i="16"/>
  <c r="AV953" i="16"/>
  <c r="AV968" i="16"/>
  <c r="AV957" i="16"/>
  <c r="AV971" i="16"/>
  <c r="AV960" i="16"/>
  <c r="AV944" i="16"/>
  <c r="AV966" i="16"/>
  <c r="AV951" i="16"/>
  <c r="AV977" i="16"/>
  <c r="C889" i="119"/>
  <c r="AV954" i="16"/>
  <c r="D1331" i="25"/>
  <c r="AV1149" i="16"/>
  <c r="AV1130" i="16"/>
  <c r="AV1145" i="16"/>
  <c r="AV1138" i="16"/>
  <c r="AV1142" i="16"/>
  <c r="AV1152" i="16"/>
  <c r="AV1137" i="16"/>
  <c r="AV1159" i="16"/>
  <c r="AV1144" i="16"/>
  <c r="AV1132" i="16"/>
  <c r="AV1150" i="16"/>
  <c r="AV1139" i="16"/>
  <c r="AV1123" i="16"/>
  <c r="AV1157" i="16"/>
  <c r="C1061" i="119"/>
  <c r="AV1126" i="16"/>
  <c r="AV1160" i="16"/>
  <c r="AV1165" i="16"/>
  <c r="AV1129" i="16"/>
  <c r="AV1151" i="16"/>
  <c r="AV1140" i="16"/>
  <c r="AV1124" i="16"/>
  <c r="AV1158" i="16"/>
  <c r="AV1143" i="16"/>
  <c r="AV1131" i="16"/>
  <c r="AV739" i="16"/>
  <c r="D827" i="25"/>
  <c r="D869" i="25" s="1"/>
  <c r="AV759" i="16"/>
  <c r="AV736" i="16"/>
  <c r="AV753" i="16"/>
  <c r="AV751" i="16"/>
  <c r="AV733" i="16"/>
  <c r="AV734" i="16"/>
  <c r="AV752" i="16"/>
  <c r="AV731" i="16"/>
  <c r="AV755" i="16"/>
  <c r="AV741" i="16"/>
  <c r="AV717" i="16"/>
  <c r="AV718" i="16"/>
  <c r="C674" i="119"/>
  <c r="AV744" i="16"/>
  <c r="U378" i="119"/>
  <c r="U143" i="119"/>
  <c r="C54" i="119"/>
  <c r="C1109" i="119"/>
  <c r="AV1033" i="16"/>
  <c r="AV1045" i="16"/>
  <c r="AV1073" i="16"/>
  <c r="AV1057" i="16"/>
  <c r="AV1058" i="16"/>
  <c r="AV1075" i="16"/>
  <c r="AV1062" i="16"/>
  <c r="AV1056" i="16"/>
  <c r="D155" i="25"/>
  <c r="D209" i="25" s="1"/>
  <c r="AV196" i="16"/>
  <c r="AV188" i="16"/>
  <c r="C158" i="119"/>
  <c r="AV189" i="16"/>
  <c r="AV201" i="16"/>
  <c r="AV182" i="16"/>
  <c r="AV218" i="16"/>
  <c r="AV202" i="16"/>
  <c r="AV179" i="16"/>
  <c r="AV195" i="16"/>
  <c r="AV213" i="16"/>
  <c r="AV180" i="16"/>
  <c r="AV220" i="16"/>
  <c r="AV200" i="16"/>
  <c r="AV204" i="16"/>
  <c r="AC219" i="16"/>
  <c r="AV181" i="16"/>
  <c r="AV197" i="16"/>
  <c r="AV211" i="16"/>
  <c r="AV190" i="16"/>
  <c r="AV212" i="16"/>
  <c r="AV187" i="16"/>
  <c r="AV203" i="16"/>
  <c r="D323" i="25"/>
  <c r="D377" i="25" s="1"/>
  <c r="AV314" i="16"/>
  <c r="AV330" i="16"/>
  <c r="AV316" i="16"/>
  <c r="AV323" i="16"/>
  <c r="AV340" i="16"/>
  <c r="AV350" i="16"/>
  <c r="D547" i="25"/>
  <c r="D601" i="25" s="1"/>
  <c r="AV492" i="16"/>
  <c r="AV520" i="16"/>
  <c r="AV534" i="16"/>
  <c r="AV525" i="16"/>
  <c r="AV533" i="16"/>
  <c r="AV518" i="16"/>
  <c r="AV501" i="16"/>
  <c r="D771" i="25"/>
  <c r="D825" i="25" s="1"/>
  <c r="AV683" i="16"/>
  <c r="AV675" i="16"/>
  <c r="AV713" i="16"/>
  <c r="AV682" i="16"/>
  <c r="C631" i="119"/>
  <c r="AV698" i="16"/>
  <c r="AV676" i="16"/>
  <c r="U454" i="119"/>
  <c r="U831" i="119"/>
  <c r="D99" i="25"/>
  <c r="D153" i="25" s="1"/>
  <c r="D267" i="25"/>
  <c r="D321" i="25" s="1"/>
  <c r="D491" i="25"/>
  <c r="D545" i="25" s="1"/>
  <c r="D715" i="25"/>
  <c r="D769" i="25" s="1"/>
  <c r="D883" i="25"/>
  <c r="D1051" i="25"/>
  <c r="D1093" i="25" s="1"/>
  <c r="AV1114" i="16"/>
  <c r="D1275" i="25"/>
  <c r="D1317" i="25" s="1"/>
  <c r="U1082" i="119"/>
  <c r="U613" i="119"/>
  <c r="AV256" i="16"/>
  <c r="D211" i="25"/>
  <c r="D265" i="25" s="1"/>
  <c r="AV396" i="16"/>
  <c r="D379" i="25"/>
  <c r="D421" i="25" s="1"/>
  <c r="AV542" i="16"/>
  <c r="D603" i="25"/>
  <c r="AV852" i="16"/>
  <c r="D995" i="25"/>
  <c r="D1049" i="25" s="1"/>
  <c r="AV1001" i="16"/>
  <c r="D1163" i="25"/>
  <c r="D1217" i="25" s="1"/>
  <c r="U540" i="119"/>
  <c r="Y55" i="25"/>
  <c r="Y67" i="25"/>
  <c r="Y915" i="25"/>
  <c r="Y363" i="25"/>
  <c r="Y47" i="25"/>
  <c r="Y803" i="25"/>
  <c r="Y1135" i="25"/>
  <c r="Y1166" i="25"/>
  <c r="Y111" i="25"/>
  <c r="Y359" i="25"/>
  <c r="Y531" i="25"/>
  <c r="Y723" i="25"/>
  <c r="Y951" i="25"/>
  <c r="Y635" i="25"/>
  <c r="Y555" i="25"/>
  <c r="Y1075" i="25"/>
  <c r="Y1235" i="25"/>
  <c r="Y1259" i="25"/>
  <c r="Y775" i="25"/>
  <c r="Y1283" i="25"/>
  <c r="Y175" i="25"/>
  <c r="Y135" i="25"/>
  <c r="Y407" i="25"/>
  <c r="Y499" i="25"/>
  <c r="Y419" i="25"/>
  <c r="Y391" i="25"/>
  <c r="Y895" i="25"/>
  <c r="Y133" i="25"/>
  <c r="Y129" i="25"/>
  <c r="Y117" i="25"/>
  <c r="Y777" i="25"/>
  <c r="Y469" i="25"/>
  <c r="Y57" i="25"/>
  <c r="C1110" i="119"/>
  <c r="Y165" i="25"/>
  <c r="Y185" i="25"/>
  <c r="Y1176" i="25"/>
  <c r="Y297" i="25"/>
  <c r="Y397" i="25"/>
  <c r="Y569" i="25"/>
  <c r="Y1001" i="25"/>
  <c r="Y1229" i="25"/>
  <c r="Y225" i="25"/>
  <c r="Y269" i="25"/>
  <c r="Y549" i="25"/>
  <c r="Y633" i="25"/>
  <c r="Y909" i="25"/>
  <c r="Y1354" i="25"/>
  <c r="Y1085" i="25"/>
  <c r="Y965" i="25"/>
  <c r="Y845" i="25"/>
  <c r="Y189" i="25"/>
  <c r="Y1025" i="25"/>
  <c r="Y1017" i="25"/>
  <c r="Y341" i="25"/>
  <c r="Y949" i="25"/>
  <c r="Y677" i="25"/>
  <c r="Y1005" i="25"/>
  <c r="Y745" i="25"/>
  <c r="Y809" i="25"/>
  <c r="Y1172" i="25"/>
  <c r="Y841" i="25"/>
  <c r="Y1285" i="25"/>
  <c r="Y613" i="25"/>
  <c r="Y857" i="25"/>
  <c r="Y977" i="25"/>
  <c r="Y1257" i="25"/>
  <c r="Y1350" i="25"/>
  <c r="Y497" i="25"/>
  <c r="Y1362" i="25"/>
  <c r="Y293" i="25"/>
  <c r="Y1065" i="25"/>
  <c r="Y289" i="25"/>
  <c r="Y961" i="25"/>
  <c r="H13" i="178"/>
  <c r="K189" i="190"/>
  <c r="K152" i="30"/>
  <c r="Y825" i="25"/>
  <c r="Y81" i="25"/>
  <c r="Y1049" i="25"/>
  <c r="Y65" i="25"/>
  <c r="Y45" i="25"/>
  <c r="Y113" i="25"/>
  <c r="Y785" i="25"/>
  <c r="Y893" i="25"/>
  <c r="Y913" i="25"/>
  <c r="Y941" i="25"/>
  <c r="Y1180" i="25"/>
  <c r="Y1192" i="25"/>
  <c r="Y405" i="25"/>
  <c r="Y641" i="25"/>
  <c r="Y889" i="25"/>
  <c r="Y921" i="25"/>
  <c r="Y1293" i="25"/>
  <c r="Y625" i="25"/>
  <c r="Y689" i="25"/>
  <c r="Y525" i="25"/>
  <c r="Y557" i="25"/>
  <c r="Y333" i="25"/>
  <c r="Y1009" i="25"/>
  <c r="Y561" i="25"/>
  <c r="Y1117" i="25"/>
  <c r="Y1221" i="25"/>
  <c r="Y973" i="25"/>
  <c r="Y385" i="25"/>
  <c r="Y217" i="25"/>
  <c r="Y345" i="25"/>
  <c r="Y401" i="25"/>
  <c r="Y637" i="25"/>
  <c r="Y957" i="25"/>
  <c r="Y1033" i="25"/>
  <c r="Y1305" i="25"/>
  <c r="Y609" i="25"/>
  <c r="Y945" i="25"/>
  <c r="Y1133" i="25"/>
  <c r="Y953" i="25"/>
  <c r="Y669" i="25"/>
  <c r="Y801" i="25"/>
  <c r="Y753" i="25"/>
  <c r="Y789" i="25"/>
  <c r="Y685" i="25"/>
  <c r="Y773" i="25"/>
  <c r="Y829" i="25"/>
  <c r="Y1168" i="25"/>
  <c r="Y901" i="25"/>
  <c r="Y1109" i="25"/>
  <c r="Y325" i="25"/>
  <c r="Y453" i="25"/>
  <c r="Y329" i="25"/>
  <c r="Y997" i="25"/>
  <c r="Y1241" i="25"/>
  <c r="Y749" i="25"/>
  <c r="Y1021" i="25"/>
  <c r="Y1089" i="25"/>
  <c r="Y1338" i="25"/>
  <c r="Y277" i="25"/>
  <c r="Y805" i="25"/>
  <c r="Y573" i="25"/>
  <c r="Y605" i="25"/>
  <c r="Y629" i="25"/>
  <c r="Y1061" i="25"/>
  <c r="Y281" i="25"/>
  <c r="Y245" i="25"/>
  <c r="Y601" i="25"/>
  <c r="Y1101" i="25"/>
  <c r="Y69" i="25"/>
  <c r="Y121" i="25"/>
  <c r="Y109" i="25"/>
  <c r="C55" i="119"/>
  <c r="Y49" i="25"/>
  <c r="Y457" i="25"/>
  <c r="Y173" i="25"/>
  <c r="Y181" i="25"/>
  <c r="Y177" i="25"/>
  <c r="Y305" i="25"/>
  <c r="Y389" i="25"/>
  <c r="Y861" i="25"/>
  <c r="Y157" i="25"/>
  <c r="Y509" i="25"/>
  <c r="Y581" i="25"/>
  <c r="Y1253" i="25"/>
  <c r="Y1245" i="25"/>
  <c r="Y617" i="25"/>
  <c r="Y529" i="25"/>
  <c r="Y1053" i="25"/>
  <c r="Y1342" i="25"/>
  <c r="Y1237" i="25"/>
  <c r="Y1309" i="25"/>
  <c r="Y793" i="25"/>
  <c r="Y1366" i="25"/>
  <c r="Y885" i="25"/>
  <c r="Y337" i="25"/>
  <c r="Y137" i="25"/>
  <c r="Y101" i="25"/>
  <c r="Y1358" i="25"/>
  <c r="Y1233" i="25"/>
  <c r="Y969" i="25"/>
  <c r="Y741" i="25"/>
  <c r="Y501" i="25"/>
  <c r="Y213" i="25"/>
  <c r="Y413" i="25"/>
  <c r="Y381" i="25"/>
  <c r="Y437" i="25"/>
  <c r="Y1077" i="25"/>
  <c r="Y1129" i="25"/>
  <c r="Y1313" i="25"/>
  <c r="Y661" i="25"/>
  <c r="Y673" i="25"/>
  <c r="Y693" i="25"/>
  <c r="Y1184" i="25"/>
  <c r="Y797" i="25"/>
  <c r="Y1196" i="25"/>
  <c r="Y1113" i="25"/>
  <c r="Y1281" i="25"/>
  <c r="Y273" i="25"/>
  <c r="Y441" i="25"/>
  <c r="Y449" i="25"/>
  <c r="Y1297" i="25"/>
  <c r="Y849" i="25"/>
  <c r="Y905" i="25"/>
  <c r="Y1029" i="25"/>
  <c r="Y1145" i="25"/>
  <c r="Y357" i="25"/>
  <c r="Y1013" i="25"/>
  <c r="Y233" i="25"/>
  <c r="Y229" i="25"/>
  <c r="Y301" i="25"/>
  <c r="Y1188" i="25"/>
  <c r="Y853" i="25"/>
  <c r="AK16" i="166"/>
  <c r="S105" i="190"/>
  <c r="U653" i="119"/>
  <c r="U155" i="119"/>
  <c r="U694" i="119"/>
  <c r="U686" i="119"/>
  <c r="U585" i="119"/>
  <c r="U137" i="119"/>
  <c r="U917" i="119"/>
  <c r="U280" i="119"/>
  <c r="U610" i="119"/>
  <c r="U532" i="119"/>
  <c r="U438" i="119"/>
  <c r="U854" i="119"/>
  <c r="U955" i="119"/>
  <c r="U843" i="119"/>
  <c r="U634" i="119"/>
  <c r="U839" i="119"/>
  <c r="U856" i="119"/>
  <c r="U556" i="119"/>
  <c r="U121" i="119"/>
  <c r="U1054" i="119"/>
  <c r="U604" i="119"/>
  <c r="U217" i="119"/>
  <c r="U938" i="119"/>
  <c r="U1092" i="119"/>
  <c r="U996" i="119"/>
  <c r="U725" i="119"/>
  <c r="U384" i="119"/>
  <c r="U324" i="119"/>
  <c r="U387" i="119"/>
  <c r="U76" i="119"/>
  <c r="BE106" i="16"/>
  <c r="U96" i="119"/>
  <c r="Y59" i="25"/>
  <c r="W1038" i="25"/>
  <c r="Y415" i="25"/>
  <c r="Y295" i="25"/>
  <c r="Y1091" i="25"/>
  <c r="Y1364" i="25"/>
  <c r="Y783" i="25"/>
  <c r="Y1031" i="25"/>
  <c r="Y1059" i="25"/>
  <c r="Y1356" i="25"/>
  <c r="W1267" i="25"/>
  <c r="Y1267" i="25" s="1"/>
  <c r="W204" i="25"/>
  <c r="Y204" i="25" s="1"/>
  <c r="W1270" i="25"/>
  <c r="Y1270" i="25" s="1"/>
  <c r="W1262" i="25"/>
  <c r="Y1262" i="25" s="1"/>
  <c r="D533" i="25"/>
  <c r="D713" i="25"/>
  <c r="W1263" i="25"/>
  <c r="Y1263" i="25" s="1"/>
  <c r="W1107" i="25"/>
  <c r="W1159" i="25" s="1"/>
  <c r="Y1159" i="25" s="1"/>
  <c r="Y1336" i="25"/>
  <c r="Y1332" i="25"/>
  <c r="W939" i="25"/>
  <c r="W988" i="25" s="1"/>
  <c r="Y988" i="25" s="1"/>
  <c r="W261" i="25"/>
  <c r="Y261" i="25" s="1"/>
  <c r="Y1275" i="25"/>
  <c r="Y199" i="25"/>
  <c r="Y83" i="25"/>
  <c r="Y103" i="25"/>
  <c r="Y131" i="25"/>
  <c r="Y787" i="25"/>
  <c r="Y463" i="25"/>
  <c r="Y471" i="25"/>
  <c r="Y179" i="25"/>
  <c r="Y739" i="25"/>
  <c r="Y811" i="25"/>
  <c r="Y563" i="25"/>
  <c r="Y115" i="25"/>
  <c r="Y411" i="25"/>
  <c r="Y727" i="25"/>
  <c r="Y291" i="25"/>
  <c r="Y1007" i="25"/>
  <c r="Y1279" i="25"/>
  <c r="Y903" i="25"/>
  <c r="Y1247" i="25"/>
  <c r="Y123" i="25"/>
  <c r="Y1251" i="25"/>
  <c r="Y747" i="25"/>
  <c r="Y1147" i="25"/>
  <c r="Y1344" i="25"/>
  <c r="Y1311" i="25"/>
  <c r="Y1079" i="25"/>
  <c r="Y959" i="25"/>
  <c r="Y963" i="25"/>
  <c r="Y639" i="25"/>
  <c r="Y615" i="25"/>
  <c r="Y443" i="25"/>
  <c r="Y231" i="25"/>
  <c r="Y331" i="25"/>
  <c r="Y495" i="25"/>
  <c r="Y683" i="25"/>
  <c r="Y1223" i="25"/>
  <c r="Y1035" i="25"/>
  <c r="Y163" i="25"/>
  <c r="Y171" i="25"/>
  <c r="Y507" i="25"/>
  <c r="Y611" i="25"/>
  <c r="Y807" i="25"/>
  <c r="Y159" i="25"/>
  <c r="Y679" i="25"/>
  <c r="Y519" i="25"/>
  <c r="Y1055" i="25"/>
  <c r="Y631" i="25"/>
  <c r="Y399" i="25"/>
  <c r="Y503" i="25"/>
  <c r="Y195" i="25"/>
  <c r="Y187" i="25"/>
  <c r="Y343" i="25"/>
  <c r="Y559" i="25"/>
  <c r="Y699" i="25"/>
  <c r="Y299" i="25"/>
  <c r="Y119" i="25"/>
  <c r="Y63" i="25"/>
  <c r="Y71" i="25"/>
  <c r="Y139" i="25"/>
  <c r="Y919" i="25"/>
  <c r="Y459" i="25"/>
  <c r="Y467" i="25"/>
  <c r="Y979" i="25"/>
  <c r="Y127" i="25"/>
  <c r="Y271" i="25"/>
  <c r="Y347" i="25"/>
  <c r="Y735" i="25"/>
  <c r="Y799" i="25"/>
  <c r="Y891" i="25"/>
  <c r="Y743" i="25"/>
  <c r="Y687" i="25"/>
  <c r="Y219" i="25"/>
  <c r="Y671" i="25"/>
  <c r="Y791" i="25"/>
  <c r="Y667" i="25"/>
  <c r="Y1011" i="25"/>
  <c r="Y1143" i="25"/>
  <c r="Y691" i="25"/>
  <c r="Y1023" i="25"/>
  <c r="Y403" i="25"/>
  <c r="Y627" i="25"/>
  <c r="Y1360" i="25"/>
  <c r="Y1295" i="25"/>
  <c r="Y1067" i="25"/>
  <c r="Y339" i="25"/>
  <c r="Y243" i="25"/>
  <c r="Y227" i="25"/>
  <c r="Y223" i="25"/>
  <c r="Y303" i="25"/>
  <c r="Y575" i="25"/>
  <c r="Y1003" i="25"/>
  <c r="Y1063" i="25"/>
  <c r="Y1111" i="25"/>
  <c r="Y1243" i="25"/>
  <c r="Y1231" i="25"/>
  <c r="Y1307" i="25"/>
  <c r="Y1255" i="25"/>
  <c r="Y279" i="25"/>
  <c r="Y215" i="25"/>
  <c r="Y447" i="25"/>
  <c r="Y1015" i="25"/>
  <c r="Y831" i="25"/>
  <c r="Y835" i="25"/>
  <c r="Y1186" i="25"/>
  <c r="Y1190" i="25"/>
  <c r="Y999" i="25"/>
  <c r="Y1303" i="25"/>
  <c r="Y663" i="25"/>
  <c r="Y847" i="25"/>
  <c r="Y947" i="25"/>
  <c r="Y1019" i="25"/>
  <c r="Y643" i="25"/>
  <c r="Y527" i="25"/>
  <c r="Y355" i="25"/>
  <c r="Y899" i="25"/>
  <c r="Y387" i="25"/>
  <c r="Y235" i="25"/>
  <c r="Y523" i="25"/>
  <c r="Y623" i="25"/>
  <c r="Y851" i="25"/>
  <c r="Y367" i="25"/>
  <c r="Y1239" i="25"/>
  <c r="Y943" i="25"/>
  <c r="Y75" i="25"/>
  <c r="Y79" i="25"/>
  <c r="Y923" i="25"/>
  <c r="Y51" i="25"/>
  <c r="Y475" i="25"/>
  <c r="Y967" i="25"/>
  <c r="Y1202" i="25"/>
  <c r="Y251" i="25"/>
  <c r="Y843" i="25"/>
  <c r="Y971" i="25"/>
  <c r="Y511" i="25"/>
  <c r="Y755" i="25"/>
  <c r="Y579" i="25"/>
  <c r="Y863" i="25"/>
  <c r="Y607" i="25"/>
  <c r="Y911" i="25"/>
  <c r="Y1087" i="25"/>
  <c r="Y1139" i="25"/>
  <c r="Y551" i="25"/>
  <c r="Y239" i="25"/>
  <c r="Y283" i="25"/>
  <c r="Y1123" i="25"/>
  <c r="Y1119" i="25"/>
  <c r="Y351" i="25"/>
  <c r="Y307" i="25"/>
  <c r="Y167" i="25"/>
  <c r="Y1340" i="25"/>
  <c r="Y1348" i="25"/>
  <c r="Y1170" i="25"/>
  <c r="Y1127" i="25"/>
  <c r="Y1131" i="25"/>
  <c r="Y859" i="25"/>
  <c r="Y731" i="25"/>
  <c r="Y439" i="25"/>
  <c r="Y395" i="25"/>
  <c r="Y275" i="25"/>
  <c r="Y287" i="25"/>
  <c r="Y327" i="25"/>
  <c r="Y1071" i="25"/>
  <c r="Y1182" i="25"/>
  <c r="Y779" i="25"/>
  <c r="Y1027" i="25"/>
  <c r="Y1083" i="25"/>
  <c r="Y1115" i="25"/>
  <c r="Y1287" i="25"/>
  <c r="Y1291" i="25"/>
  <c r="Y1315" i="25"/>
  <c r="Y335" i="25"/>
  <c r="Y955" i="25"/>
  <c r="Y839" i="25"/>
  <c r="Y1198" i="25"/>
  <c r="Y887" i="25"/>
  <c r="Y975" i="25"/>
  <c r="Y583" i="25"/>
  <c r="Y247" i="25"/>
  <c r="Y383" i="25"/>
  <c r="Y191" i="25"/>
  <c r="Y183" i="25"/>
  <c r="Y619" i="25"/>
  <c r="Y455" i="25"/>
  <c r="Y442" i="25"/>
  <c r="Y194" i="25"/>
  <c r="W596" i="25"/>
  <c r="Y596" i="25" s="1"/>
  <c r="D1329" i="25"/>
  <c r="U528" i="119"/>
  <c r="U129" i="119"/>
  <c r="U194" i="119"/>
  <c r="U250" i="119"/>
  <c r="U167" i="119"/>
  <c r="U773" i="119"/>
  <c r="U434" i="119"/>
  <c r="U680" i="119"/>
  <c r="U707" i="119"/>
  <c r="U240" i="119"/>
  <c r="U863" i="119"/>
  <c r="U446" i="119"/>
  <c r="U350" i="119"/>
  <c r="U210" i="119"/>
  <c r="U232" i="119"/>
  <c r="U879" i="119"/>
  <c r="U740" i="119"/>
  <c r="U979" i="119"/>
  <c r="U823" i="119"/>
  <c r="U741" i="119"/>
  <c r="U448" i="119"/>
  <c r="U506" i="119"/>
  <c r="U111" i="119"/>
  <c r="U702" i="119"/>
  <c r="U690" i="119"/>
  <c r="U193" i="119"/>
  <c r="U542" i="119"/>
  <c r="U481" i="119"/>
  <c r="U258" i="119"/>
  <c r="U821" i="119"/>
  <c r="U183" i="119"/>
  <c r="U374" i="119"/>
  <c r="U191" i="119"/>
  <c r="U307" i="119"/>
  <c r="U606" i="119"/>
  <c r="U807" i="119"/>
  <c r="U987" i="119"/>
  <c r="U697" i="119"/>
  <c r="U214" i="119"/>
  <c r="U576" i="119"/>
  <c r="U864" i="119"/>
  <c r="U876" i="119"/>
  <c r="U503" i="119"/>
  <c r="U1001" i="119"/>
  <c r="U179" i="119"/>
  <c r="U1063" i="119"/>
  <c r="U74" i="119"/>
  <c r="U724" i="119"/>
  <c r="U1015" i="119"/>
  <c r="U1029" i="119"/>
  <c r="U918" i="119"/>
  <c r="U981" i="119"/>
  <c r="U790" i="119"/>
  <c r="U1090" i="119"/>
  <c r="U570" i="119"/>
  <c r="U569" i="119"/>
  <c r="U439" i="119"/>
  <c r="U923" i="119"/>
  <c r="U936" i="119"/>
  <c r="U341" i="119"/>
  <c r="U161" i="119"/>
  <c r="U719" i="119"/>
  <c r="U226" i="119"/>
  <c r="U278" i="119"/>
  <c r="U403" i="119"/>
  <c r="U205" i="119"/>
  <c r="U1038" i="119"/>
  <c r="U990" i="119"/>
  <c r="U1098" i="119"/>
  <c r="U92" i="119"/>
  <c r="U1028" i="119"/>
  <c r="U669" i="119"/>
  <c r="U347" i="119"/>
  <c r="U820" i="119"/>
  <c r="U557" i="119"/>
  <c r="U192" i="119"/>
  <c r="U170" i="119"/>
  <c r="U297" i="119"/>
  <c r="U754" i="119"/>
  <c r="U296" i="119"/>
  <c r="U925" i="119"/>
  <c r="U875" i="119"/>
  <c r="U679" i="119"/>
  <c r="U342" i="119"/>
  <c r="U1049" i="119"/>
  <c r="U658" i="119"/>
  <c r="U596" i="119"/>
  <c r="U1071" i="119"/>
  <c r="U829" i="119"/>
  <c r="U720" i="119"/>
  <c r="U683" i="119"/>
  <c r="I1018" i="119"/>
  <c r="P1018" i="119" s="1"/>
  <c r="U985" i="119"/>
  <c r="U1080" i="119"/>
  <c r="U971" i="119"/>
  <c r="U924" i="119"/>
  <c r="U160" i="119"/>
  <c r="U721" i="119"/>
  <c r="U348" i="119"/>
  <c r="U756" i="119"/>
  <c r="U852" i="119"/>
  <c r="U860" i="119"/>
  <c r="U753" i="119"/>
  <c r="U1094" i="119"/>
  <c r="U612" i="119"/>
  <c r="U1097" i="119"/>
  <c r="U816" i="119"/>
  <c r="U812" i="119"/>
  <c r="U599" i="119"/>
  <c r="U188" i="119"/>
  <c r="U1056" i="119"/>
  <c r="U152" i="119"/>
  <c r="U591" i="119"/>
  <c r="U496" i="119"/>
  <c r="U124" i="119"/>
  <c r="U666" i="119"/>
  <c r="U229" i="119"/>
  <c r="U418" i="119"/>
  <c r="U830" i="119"/>
  <c r="U551" i="119"/>
  <c r="U796" i="119"/>
  <c r="U489" i="119"/>
  <c r="U473" i="119"/>
  <c r="U282" i="119"/>
  <c r="U523" i="119"/>
  <c r="U1042" i="119"/>
  <c r="U733" i="119"/>
  <c r="U260" i="119"/>
  <c r="U1087" i="119"/>
  <c r="U171" i="119"/>
  <c r="U386" i="119"/>
  <c r="U736" i="119"/>
  <c r="U896" i="119"/>
  <c r="I674" i="119"/>
  <c r="P674" i="119" s="1"/>
  <c r="I244" i="119"/>
  <c r="P244" i="119" s="1"/>
  <c r="P285" i="119" s="1"/>
  <c r="P286" i="119" s="1"/>
  <c r="U400" i="119"/>
  <c r="U88" i="119"/>
  <c r="U849" i="119"/>
  <c r="U734" i="119"/>
  <c r="U196" i="119"/>
  <c r="U952" i="119"/>
  <c r="U484" i="119"/>
  <c r="U409" i="119"/>
  <c r="U190" i="119"/>
  <c r="U824" i="119"/>
  <c r="U565" i="119"/>
  <c r="U1046" i="119"/>
  <c r="U497" i="119"/>
  <c r="U611" i="119"/>
  <c r="U507" i="119"/>
  <c r="U494" i="119"/>
  <c r="U670" i="119"/>
  <c r="U469" i="119"/>
  <c r="U1079" i="119"/>
  <c r="U825" i="119"/>
  <c r="U1065" i="119"/>
  <c r="U334" i="119"/>
  <c r="U957" i="119"/>
  <c r="U311" i="119"/>
  <c r="U141" i="119"/>
  <c r="U125" i="119"/>
  <c r="U377" i="119"/>
  <c r="U722" i="119"/>
  <c r="U209" i="119"/>
  <c r="U178" i="119"/>
  <c r="U490" i="119"/>
  <c r="U498" i="119"/>
  <c r="U314" i="119"/>
  <c r="U128" i="119"/>
  <c r="U375" i="119"/>
  <c r="U411" i="119"/>
  <c r="U933" i="119"/>
  <c r="I717" i="119"/>
  <c r="P717" i="119" s="1"/>
  <c r="I373" i="119"/>
  <c r="P373" i="119" s="1"/>
  <c r="P414" i="119" s="1"/>
  <c r="P415" i="119" s="1"/>
  <c r="I803" i="119"/>
  <c r="P803" i="119" s="1"/>
  <c r="P844" i="119" s="1"/>
  <c r="P845" i="119" s="1"/>
  <c r="U1010" i="119"/>
  <c r="U279" i="119"/>
  <c r="U1019" i="119"/>
  <c r="U667" i="119"/>
  <c r="U470" i="119"/>
  <c r="U382" i="119"/>
  <c r="U518" i="119"/>
  <c r="U163" i="119"/>
  <c r="U147" i="119"/>
  <c r="U1085" i="119"/>
  <c r="U665" i="119"/>
  <c r="U393" i="119"/>
  <c r="U173" i="119"/>
  <c r="U873" i="119"/>
  <c r="U783" i="119"/>
  <c r="U1040" i="119"/>
  <c r="U682" i="119"/>
  <c r="U479" i="119"/>
  <c r="U483" i="119"/>
  <c r="U86" i="119"/>
  <c r="U671" i="119"/>
  <c r="U394" i="119"/>
  <c r="U73" i="119"/>
  <c r="U94" i="119"/>
  <c r="U106" i="119"/>
  <c r="U391" i="119"/>
  <c r="U751" i="119"/>
  <c r="U891" i="119"/>
  <c r="U992" i="119"/>
  <c r="I889" i="119"/>
  <c r="P889" i="119" s="1"/>
  <c r="U89" i="119"/>
  <c r="U977" i="119"/>
  <c r="U718" i="119"/>
  <c r="U383" i="119"/>
  <c r="T801" i="119"/>
  <c r="U962" i="119"/>
  <c r="U164" i="119"/>
  <c r="U935" i="119"/>
  <c r="U1008" i="119"/>
  <c r="U245" i="119"/>
  <c r="U546" i="119"/>
  <c r="U826" i="119"/>
  <c r="U914" i="119"/>
  <c r="U950" i="119"/>
  <c r="U582" i="119"/>
  <c r="U988" i="119"/>
  <c r="U745" i="119"/>
  <c r="U1041" i="119"/>
  <c r="U909" i="119"/>
  <c r="U989" i="119"/>
  <c r="U986" i="119"/>
  <c r="U983" i="119"/>
  <c r="U970" i="119"/>
  <c r="U906" i="119"/>
  <c r="U815" i="119"/>
  <c r="U705" i="119"/>
  <c r="U617" i="119"/>
  <c r="U866" i="119"/>
  <c r="U808" i="119"/>
  <c r="U223" i="119"/>
  <c r="U308" i="119"/>
  <c r="U1089" i="119"/>
  <c r="U799" i="119"/>
  <c r="U537" i="119"/>
  <c r="U339" i="119"/>
  <c r="U320" i="119"/>
  <c r="U836" i="119"/>
  <c r="U738" i="119"/>
  <c r="U723" i="119"/>
  <c r="U466" i="119"/>
  <c r="U428" i="119"/>
  <c r="U837" i="119"/>
  <c r="U478" i="119"/>
  <c r="U264" i="119"/>
  <c r="U789" i="119"/>
  <c r="U486" i="119"/>
  <c r="U728" i="119"/>
  <c r="U1095" i="119"/>
  <c r="U1068" i="119"/>
  <c r="U266" i="119"/>
  <c r="U390" i="119"/>
  <c r="U436" i="119"/>
  <c r="U699" i="119"/>
  <c r="U777" i="119"/>
  <c r="U421" i="119"/>
  <c r="U765" i="119"/>
  <c r="U614" i="119"/>
  <c r="U838" i="119"/>
  <c r="U298" i="119"/>
  <c r="U326" i="119"/>
  <c r="U1004" i="119"/>
  <c r="I975" i="119"/>
  <c r="P975" i="119" s="1"/>
  <c r="P1016" i="119" s="1"/>
  <c r="P1017" i="119" s="1"/>
  <c r="U1099" i="119"/>
  <c r="U1070" i="119"/>
  <c r="U940" i="119"/>
  <c r="U550" i="119"/>
  <c r="U149" i="119"/>
  <c r="U624" i="119"/>
  <c r="U492" i="119"/>
  <c r="U185" i="119"/>
  <c r="U186" i="119"/>
  <c r="U98" i="119"/>
  <c r="U1101" i="119"/>
  <c r="U964" i="119"/>
  <c r="U915" i="119"/>
  <c r="U865" i="119"/>
  <c r="U779" i="119"/>
  <c r="U227" i="119"/>
  <c r="U177" i="119"/>
  <c r="U623" i="119"/>
  <c r="U584" i="119"/>
  <c r="U254" i="119"/>
  <c r="U530" i="119"/>
  <c r="U526" i="119"/>
  <c r="U477" i="119"/>
  <c r="U78" i="119"/>
  <c r="U916" i="119"/>
  <c r="U850" i="119"/>
  <c r="U640" i="119"/>
  <c r="U452" i="119"/>
  <c r="U204" i="119"/>
  <c r="U337" i="119"/>
  <c r="U781" i="119"/>
  <c r="U357" i="119"/>
  <c r="U404" i="119"/>
  <c r="I1061" i="119"/>
  <c r="P1061" i="119" s="1"/>
  <c r="I932" i="119"/>
  <c r="P932" i="119" s="1"/>
  <c r="P973" i="119" s="1"/>
  <c r="P974" i="119" s="1"/>
  <c r="U912" i="119"/>
  <c r="U108" i="119"/>
  <c r="U292" i="119"/>
  <c r="U381" i="119"/>
  <c r="U203" i="119"/>
  <c r="U967" i="119"/>
  <c r="U574" i="119"/>
  <c r="U455" i="119"/>
  <c r="U423" i="119"/>
  <c r="U231" i="119"/>
  <c r="U75" i="119"/>
  <c r="U1073" i="119"/>
  <c r="U832" i="119"/>
  <c r="U471" i="119"/>
  <c r="U401" i="119"/>
  <c r="U944" i="119"/>
  <c r="U804" i="119"/>
  <c r="U460" i="119"/>
  <c r="U435" i="119"/>
  <c r="U427" i="119"/>
  <c r="U102" i="119"/>
  <c r="U184" i="119"/>
  <c r="U110" i="119"/>
  <c r="U376" i="119"/>
  <c r="U154" i="119"/>
  <c r="U445" i="119"/>
  <c r="U246" i="119"/>
  <c r="U131" i="119"/>
  <c r="U270" i="119"/>
  <c r="U407" i="119"/>
  <c r="U842" i="119"/>
  <c r="U175" i="119"/>
  <c r="U622" i="119"/>
  <c r="U997" i="119"/>
  <c r="U1002" i="119"/>
  <c r="W414" i="119"/>
  <c r="U396" i="119"/>
  <c r="V414" i="119"/>
  <c r="V930" i="119"/>
  <c r="U884" i="119"/>
  <c r="T457" i="119"/>
  <c r="T500" i="119"/>
  <c r="T586" i="119"/>
  <c r="V672" i="119"/>
  <c r="W801" i="119"/>
  <c r="U656" i="119"/>
  <c r="U958" i="119"/>
  <c r="U1011" i="119"/>
  <c r="U234" i="119"/>
  <c r="U437" i="119"/>
  <c r="U1047" i="119"/>
  <c r="U352" i="119"/>
  <c r="U700" i="119"/>
  <c r="U548" i="119"/>
  <c r="U359" i="119"/>
  <c r="U267" i="119"/>
  <c r="U980" i="119"/>
  <c r="U636" i="119"/>
  <c r="U101" i="119"/>
  <c r="U568" i="119"/>
  <c r="U681" i="119"/>
  <c r="U685" i="119"/>
  <c r="V156" i="119"/>
  <c r="U959" i="119"/>
  <c r="U982" i="119"/>
  <c r="U1031" i="119"/>
  <c r="U1069" i="119"/>
  <c r="V285" i="119"/>
  <c r="U575" i="119"/>
  <c r="U847" i="119"/>
  <c r="U901" i="119"/>
  <c r="U928" i="119"/>
  <c r="S1016" i="119"/>
  <c r="V758" i="119"/>
  <c r="U426" i="119"/>
  <c r="U1043" i="119"/>
  <c r="U782" i="119"/>
  <c r="U642" i="119"/>
  <c r="U271" i="119"/>
  <c r="U335" i="119"/>
  <c r="U366" i="119"/>
  <c r="U516" i="119"/>
  <c r="U589" i="119"/>
  <c r="U946" i="119"/>
  <c r="U978" i="119"/>
  <c r="U1014" i="119"/>
  <c r="U1027" i="119"/>
  <c r="U1076" i="119"/>
  <c r="U910" i="119"/>
  <c r="U926" i="119"/>
  <c r="T199" i="119"/>
  <c r="U688" i="119"/>
  <c r="U785" i="119"/>
  <c r="U1021" i="119"/>
  <c r="U1067" i="119"/>
  <c r="U1078" i="119"/>
  <c r="U939" i="119"/>
  <c r="U590" i="119"/>
  <c r="U505" i="119"/>
  <c r="U380" i="119"/>
  <c r="T328" i="119"/>
  <c r="U247" i="119"/>
  <c r="U998" i="119"/>
  <c r="U1062" i="119"/>
  <c r="U318" i="119"/>
  <c r="U422" i="119"/>
  <c r="U902" i="119"/>
  <c r="W1059" i="119"/>
  <c r="T715" i="119"/>
  <c r="U1086" i="119"/>
  <c r="W285" i="119"/>
  <c r="U1033" i="119"/>
  <c r="U827" i="119"/>
  <c r="U643" i="119"/>
  <c r="U1035" i="119"/>
  <c r="I72" i="119"/>
  <c r="P72" i="119" s="1"/>
  <c r="P113" i="119" s="1"/>
  <c r="P114" i="119" s="1"/>
  <c r="U100" i="119"/>
  <c r="U84" i="119"/>
  <c r="U1023" i="119"/>
  <c r="U750" i="119"/>
  <c r="U182" i="119"/>
  <c r="U664" i="119"/>
  <c r="U349" i="119"/>
  <c r="U467" i="119"/>
  <c r="U315" i="119"/>
  <c r="U795" i="119"/>
  <c r="U385" i="119"/>
  <c r="U91" i="119"/>
  <c r="U730" i="119"/>
  <c r="U805" i="119"/>
  <c r="U256" i="119"/>
  <c r="U1075" i="119"/>
  <c r="U104" i="119"/>
  <c r="U406" i="119"/>
  <c r="U676" i="119"/>
  <c r="U654" i="119"/>
  <c r="U538" i="119"/>
  <c r="U892" i="119"/>
  <c r="I416" i="119"/>
  <c r="P416" i="119" s="1"/>
  <c r="P457" i="119" s="1"/>
  <c r="P458" i="119" s="1"/>
  <c r="U976" i="119"/>
  <c r="T629" i="119"/>
  <c r="U769" i="119"/>
  <c r="U1007" i="119"/>
  <c r="S414" i="119"/>
  <c r="U419" i="119"/>
  <c r="U566" i="119"/>
  <c r="U397" i="119"/>
  <c r="U319" i="119"/>
  <c r="U172" i="119"/>
  <c r="U166" i="119"/>
  <c r="U151" i="119"/>
  <c r="U581" i="119"/>
  <c r="U549" i="119"/>
  <c r="U476" i="119"/>
  <c r="U189" i="119"/>
  <c r="U608" i="119"/>
  <c r="U1093" i="119"/>
  <c r="U637" i="119"/>
  <c r="U447" i="119"/>
  <c r="U1058" i="119"/>
  <c r="U908" i="119"/>
  <c r="U814" i="119"/>
  <c r="U778" i="119"/>
  <c r="U358" i="119"/>
  <c r="U364" i="119"/>
  <c r="U695" i="119"/>
  <c r="U420" i="119"/>
  <c r="U248" i="119"/>
  <c r="U449" i="119"/>
  <c r="I631" i="119"/>
  <c r="P631" i="119" s="1"/>
  <c r="I158" i="119"/>
  <c r="P158" i="119" s="1"/>
  <c r="U508" i="119"/>
  <c r="U968" i="119"/>
  <c r="U554" i="119"/>
  <c r="U413" i="119"/>
  <c r="U405" i="119"/>
  <c r="U300" i="119"/>
  <c r="U1032" i="119"/>
  <c r="U668" i="119"/>
  <c r="U517" i="119"/>
  <c r="U828" i="119"/>
  <c r="U787" i="119"/>
  <c r="U562" i="119"/>
  <c r="U207" i="119"/>
  <c r="U859" i="119"/>
  <c r="U547" i="119"/>
  <c r="U862" i="119"/>
  <c r="U195" i="119"/>
  <c r="U1012" i="119"/>
  <c r="U659" i="119"/>
  <c r="U993" i="119"/>
  <c r="U675" i="119"/>
  <c r="U809" i="119"/>
  <c r="U276" i="119"/>
  <c r="U652" i="119"/>
  <c r="T1016" i="119"/>
  <c r="I588" i="119"/>
  <c r="P588" i="119" s="1"/>
  <c r="P629" i="119" s="1"/>
  <c r="P630" i="119" s="1"/>
  <c r="U1050" i="119"/>
  <c r="W930" i="119"/>
  <c r="U605" i="119"/>
  <c r="U1066" i="119"/>
  <c r="U283" i="119"/>
  <c r="U943" i="119"/>
  <c r="U603" i="119"/>
  <c r="T414" i="119"/>
  <c r="T973" i="119"/>
  <c r="U942" i="119"/>
  <c r="V199" i="119"/>
  <c r="V1059" i="119"/>
  <c r="T887" i="119"/>
  <c r="V457" i="119"/>
  <c r="V887" i="119"/>
  <c r="U900" i="119"/>
  <c r="T1059" i="119"/>
  <c r="V113" i="119"/>
  <c r="W844" i="119"/>
  <c r="U1072" i="119"/>
  <c r="V1016" i="119"/>
  <c r="V973" i="119"/>
  <c r="W629" i="119"/>
  <c r="U442" i="119"/>
  <c r="V500" i="119"/>
  <c r="V629" i="119"/>
  <c r="U811" i="119"/>
  <c r="U1037" i="119"/>
  <c r="U819" i="119"/>
  <c r="U272" i="119"/>
  <c r="U1057" i="119"/>
  <c r="U878" i="119"/>
  <c r="U465" i="119"/>
  <c r="U135" i="119"/>
  <c r="U768" i="119"/>
  <c r="U615" i="119"/>
  <c r="U119" i="119"/>
  <c r="U159" i="119"/>
  <c r="U331" i="119"/>
  <c r="U379" i="119"/>
  <c r="U735" i="119"/>
  <c r="U691" i="119"/>
  <c r="U841" i="119"/>
  <c r="U310" i="119"/>
  <c r="U395" i="119"/>
  <c r="U255" i="119"/>
  <c r="U367" i="119"/>
  <c r="U462" i="119"/>
  <c r="U684" i="119"/>
  <c r="U905" i="119"/>
  <c r="U770" i="119"/>
  <c r="U312" i="119"/>
  <c r="U662" i="119"/>
  <c r="U493" i="119"/>
  <c r="U600" i="119"/>
  <c r="U440" i="119"/>
  <c r="U1064" i="119"/>
  <c r="U109" i="119"/>
  <c r="U402" i="119"/>
  <c r="U772" i="119"/>
  <c r="U729" i="119"/>
  <c r="U295" i="119"/>
  <c r="U112" i="119"/>
  <c r="U1100" i="119"/>
  <c r="U1026" i="119"/>
  <c r="U1045" i="119"/>
  <c r="U632" i="119"/>
  <c r="U1053" i="119"/>
  <c r="T758" i="119"/>
  <c r="U727" i="119"/>
  <c r="U1000" i="119"/>
  <c r="U647" i="119"/>
  <c r="U834" i="119"/>
  <c r="U872" i="119"/>
  <c r="U880" i="119"/>
  <c r="U949" i="119"/>
  <c r="U954" i="119"/>
  <c r="U1006" i="119"/>
  <c r="U984" i="119"/>
  <c r="U275" i="119"/>
  <c r="U306" i="119"/>
  <c r="U806" i="119"/>
  <c r="U1009" i="119"/>
  <c r="U835" i="119"/>
  <c r="W586" i="119"/>
  <c r="U696" i="119"/>
  <c r="W500" i="119"/>
  <c r="U425" i="119"/>
  <c r="T371" i="119"/>
  <c r="V328" i="119"/>
  <c r="T285" i="119"/>
  <c r="U105" i="119"/>
  <c r="T672" i="119"/>
  <c r="W457" i="119"/>
  <c r="V586" i="119"/>
  <c r="W715" i="119"/>
  <c r="V715" i="119"/>
  <c r="V1102" i="119"/>
  <c r="T1102" i="119"/>
  <c r="V844" i="119"/>
  <c r="T844" i="119"/>
  <c r="W672" i="119"/>
  <c r="W758" i="119"/>
  <c r="U1025" i="119"/>
  <c r="U737" i="119"/>
  <c r="W887" i="119"/>
  <c r="P116" i="119"/>
  <c r="I115" i="119"/>
  <c r="P115" i="119" s="1"/>
  <c r="P205" i="119"/>
  <c r="I201" i="119"/>
  <c r="P201" i="119" s="1"/>
  <c r="P507" i="119"/>
  <c r="I502" i="119"/>
  <c r="P502" i="119" s="1"/>
  <c r="P763" i="119"/>
  <c r="I760" i="119"/>
  <c r="P760" i="119" s="1"/>
  <c r="P848" i="119"/>
  <c r="I846" i="119"/>
  <c r="P846" i="119" s="1"/>
  <c r="P305" i="119"/>
  <c r="I287" i="119"/>
  <c r="P287" i="119" s="1"/>
  <c r="P328" i="119" s="1"/>
  <c r="P329" i="119" s="1"/>
  <c r="W199" i="119"/>
  <c r="W973" i="119"/>
  <c r="P331" i="119"/>
  <c r="I330" i="119"/>
  <c r="P330" i="119" s="1"/>
  <c r="P460" i="119"/>
  <c r="I459" i="119"/>
  <c r="P459" i="119" s="1"/>
  <c r="P554" i="119"/>
  <c r="I545" i="119"/>
  <c r="P545" i="119" s="1"/>
  <c r="U999" i="119"/>
  <c r="U822" i="119"/>
  <c r="U412" i="119"/>
  <c r="V801" i="119"/>
  <c r="T930" i="119"/>
  <c r="W1102" i="119"/>
  <c r="U1034" i="119"/>
  <c r="P758" i="119"/>
  <c r="P759" i="119" s="1"/>
  <c r="AA43" i="36"/>
  <c r="G35" i="182" s="1"/>
  <c r="O35" i="182" s="1"/>
  <c r="C61" i="159"/>
  <c r="AT16" i="166"/>
  <c r="BF49" i="37"/>
  <c r="S16" i="166"/>
  <c r="AA71" i="36"/>
  <c r="BC16" i="166"/>
  <c r="D309" i="25"/>
  <c r="W201" i="25"/>
  <c r="Y201" i="25" s="1"/>
  <c r="W203" i="25"/>
  <c r="Y203" i="25" s="1"/>
  <c r="W820" i="25"/>
  <c r="Y820" i="25" s="1"/>
  <c r="W207" i="25"/>
  <c r="Y207" i="25" s="1"/>
  <c r="AV1027" i="16"/>
  <c r="AV1024" i="16"/>
  <c r="AV1008" i="16"/>
  <c r="AV996" i="16"/>
  <c r="AV1015" i="16"/>
  <c r="AV1031" i="16"/>
  <c r="AV995" i="16"/>
  <c r="AV1010" i="16"/>
  <c r="AV1006" i="16"/>
  <c r="AV990" i="16"/>
  <c r="AV880" i="16"/>
  <c r="AV873" i="16"/>
  <c r="AV869" i="16"/>
  <c r="AV872" i="16"/>
  <c r="AV871" i="16"/>
  <c r="AV876" i="16"/>
  <c r="AV888" i="16"/>
  <c r="AV862" i="16"/>
  <c r="AV864" i="16"/>
  <c r="AV1025" i="16"/>
  <c r="AV997" i="16"/>
  <c r="AV861" i="16"/>
  <c r="AV884" i="16"/>
  <c r="AV877" i="16"/>
  <c r="C782" i="182"/>
  <c r="AV1020" i="16"/>
  <c r="AV1028" i="16"/>
  <c r="AV992" i="16"/>
  <c r="AV1026" i="16"/>
  <c r="AV1011" i="16"/>
  <c r="AV1007" i="16"/>
  <c r="AV991" i="16"/>
  <c r="AV1022" i="16"/>
  <c r="AV1002" i="16"/>
  <c r="AV874" i="16"/>
  <c r="AV891" i="16"/>
  <c r="AV866" i="16"/>
  <c r="AV892" i="16"/>
  <c r="AV883" i="16"/>
  <c r="AV857" i="16"/>
  <c r="AV890" i="16"/>
  <c r="AV859" i="16"/>
  <c r="AV858" i="16"/>
  <c r="C803" i="119"/>
  <c r="AV1029" i="16"/>
  <c r="AV1009" i="16"/>
  <c r="AV881" i="16"/>
  <c r="AV882" i="16"/>
  <c r="AV1016" i="16"/>
  <c r="AV1004" i="16"/>
  <c r="AV988" i="16"/>
  <c r="AV1023" i="16"/>
  <c r="C932" i="119"/>
  <c r="AV1003" i="16"/>
  <c r="AV987" i="16"/>
  <c r="AV1018" i="16"/>
  <c r="AV998" i="16"/>
  <c r="AC1029" i="16"/>
  <c r="AV886" i="16"/>
  <c r="AC894" i="16"/>
  <c r="AV889" i="16"/>
  <c r="AV887" i="16"/>
  <c r="AV895" i="16"/>
  <c r="AV853" i="16"/>
  <c r="AV860" i="16"/>
  <c r="AV855" i="16"/>
  <c r="AV878" i="16"/>
  <c r="AV1017" i="16"/>
  <c r="AV993" i="16"/>
  <c r="AV1005" i="16"/>
  <c r="AV867" i="16"/>
  <c r="AV571" i="16"/>
  <c r="AV581" i="16"/>
  <c r="AV545" i="16"/>
  <c r="AV570" i="16"/>
  <c r="AV580" i="16"/>
  <c r="AV544" i="16"/>
  <c r="AV573" i="16"/>
  <c r="AV579" i="16"/>
  <c r="AV543" i="16"/>
  <c r="AV564" i="16"/>
  <c r="AV538" i="16"/>
  <c r="AV568" i="16"/>
  <c r="C481" i="182"/>
  <c r="AV584" i="16"/>
  <c r="AV600" i="16"/>
  <c r="AV615" i="16"/>
  <c r="AV585" i="16"/>
  <c r="AV601" i="16"/>
  <c r="AV614" i="16"/>
  <c r="AV586" i="16"/>
  <c r="AV602" i="16"/>
  <c r="AV603" i="16"/>
  <c r="AV591" i="16"/>
  <c r="AV623" i="16"/>
  <c r="AV622" i="16"/>
  <c r="AV599" i="16"/>
  <c r="C586" i="119"/>
  <c r="AV567" i="16"/>
  <c r="C502" i="119"/>
  <c r="AV727" i="16"/>
  <c r="AV557" i="16"/>
  <c r="AV541" i="16"/>
  <c r="AV756" i="16"/>
  <c r="AV748" i="16"/>
  <c r="AV740" i="16"/>
  <c r="AV566" i="16"/>
  <c r="AV726" i="16"/>
  <c r="AV556" i="16"/>
  <c r="AV540" i="16"/>
  <c r="AV569" i="16"/>
  <c r="AV761" i="16"/>
  <c r="AV725" i="16"/>
  <c r="AV555" i="16"/>
  <c r="AV539" i="16"/>
  <c r="AV757" i="16"/>
  <c r="AV576" i="16"/>
  <c r="AV578" i="16"/>
  <c r="AV572" i="16"/>
  <c r="AV760" i="16"/>
  <c r="AV747" i="16"/>
  <c r="AV588" i="16"/>
  <c r="AV624" i="16"/>
  <c r="AV613" i="16"/>
  <c r="AV589" i="16"/>
  <c r="AV625" i="16"/>
  <c r="AV606" i="16"/>
  <c r="AV590" i="16"/>
  <c r="AV626" i="16"/>
  <c r="AV607" i="16"/>
  <c r="AV612" i="16"/>
  <c r="AV563" i="16"/>
  <c r="AV723" i="16"/>
  <c r="AV553" i="16"/>
  <c r="AV537" i="16"/>
  <c r="AC579" i="16"/>
  <c r="AV754" i="16"/>
  <c r="AV746" i="16"/>
  <c r="AV738" i="16"/>
  <c r="AV562" i="16"/>
  <c r="AV758" i="16"/>
  <c r="AV722" i="16"/>
  <c r="AV552" i="16"/>
  <c r="AV565" i="16"/>
  <c r="AV737" i="16"/>
  <c r="AV721" i="16"/>
  <c r="AV551" i="16"/>
  <c r="AV749" i="16"/>
  <c r="AV732" i="16"/>
  <c r="AV560" i="16"/>
  <c r="AV724" i="16"/>
  <c r="AV231" i="16"/>
  <c r="AV255" i="16"/>
  <c r="AV380" i="16"/>
  <c r="AV400" i="16"/>
  <c r="AV386" i="16"/>
  <c r="C328" i="119"/>
  <c r="AV230" i="16"/>
  <c r="AV254" i="16"/>
  <c r="C201" i="119"/>
  <c r="AV225" i="16"/>
  <c r="AV364" i="16"/>
  <c r="AV367" i="16"/>
  <c r="AV365" i="16"/>
  <c r="AV385" i="16"/>
  <c r="AV377" i="16"/>
  <c r="AV237" i="16"/>
  <c r="AV266" i="16"/>
  <c r="AV259" i="16"/>
  <c r="AV233" i="16"/>
  <c r="AV246" i="16"/>
  <c r="C330" i="119"/>
  <c r="C180" i="182"/>
  <c r="AV234" i="16"/>
  <c r="AV260" i="16"/>
  <c r="AV251" i="16"/>
  <c r="AV235" i="16"/>
  <c r="AV252" i="16"/>
  <c r="AV224" i="16"/>
  <c r="AV240" i="16"/>
  <c r="AV253" i="16"/>
  <c r="AV229" i="16"/>
  <c r="AV265" i="16"/>
  <c r="AV258" i="16"/>
  <c r="AV241" i="16"/>
  <c r="AV392" i="16"/>
  <c r="AV376" i="16"/>
  <c r="AV360" i="16"/>
  <c r="AV387" i="16"/>
  <c r="AV399" i="16"/>
  <c r="AV363" i="16"/>
  <c r="AV382" i="16"/>
  <c r="AV398" i="16"/>
  <c r="AV362" i="16"/>
  <c r="AV393" i="16"/>
  <c r="AV369" i="16"/>
  <c r="AV389" i="16"/>
  <c r="AV361" i="16"/>
  <c r="AV373" i="16"/>
  <c r="C309" i="182"/>
  <c r="AV222" i="16"/>
  <c r="AV238" i="16"/>
  <c r="AV257" i="16"/>
  <c r="AV223" i="16"/>
  <c r="AV239" i="16"/>
  <c r="AV244" i="16"/>
  <c r="AV228" i="16"/>
  <c r="AV264" i="16"/>
  <c r="AV245" i="16"/>
  <c r="AV434" i="16"/>
  <c r="AC264" i="16"/>
  <c r="AV402" i="16"/>
  <c r="AV250" i="16"/>
  <c r="AV242" i="16"/>
  <c r="AV388" i="16"/>
  <c r="AV372" i="16"/>
  <c r="AV383" i="16"/>
  <c r="AV375" i="16"/>
  <c r="AV359" i="16"/>
  <c r="AC399" i="16"/>
  <c r="AV394" i="16"/>
  <c r="AV378" i="16"/>
  <c r="AV374" i="16"/>
  <c r="AV358" i="16"/>
  <c r="AV357" i="16"/>
  <c r="AV446" i="16"/>
  <c r="AV226" i="16"/>
  <c r="AV262" i="16"/>
  <c r="AV243" i="16"/>
  <c r="AV227" i="16"/>
  <c r="AV263" i="16"/>
  <c r="AV248" i="16"/>
  <c r="AV232" i="16"/>
  <c r="AV261" i="16"/>
  <c r="AV249" i="16"/>
  <c r="AV422" i="16"/>
  <c r="AV424" i="16"/>
  <c r="AV384" i="16"/>
  <c r="AV368" i="16"/>
  <c r="AV395" i="16"/>
  <c r="AV379" i="16"/>
  <c r="AV371" i="16"/>
  <c r="AV390" i="16"/>
  <c r="AV370" i="16"/>
  <c r="AV401" i="16"/>
  <c r="AV381" i="16"/>
  <c r="AV126" i="16"/>
  <c r="AV111" i="16"/>
  <c r="AV128" i="16"/>
  <c r="AV122" i="16"/>
  <c r="AV100" i="16"/>
  <c r="AV93" i="16"/>
  <c r="AV110" i="16"/>
  <c r="AV87" i="16"/>
  <c r="AV104" i="16"/>
  <c r="AV97" i="16"/>
  <c r="AV94" i="16"/>
  <c r="AV92" i="16"/>
  <c r="AV106" i="16"/>
  <c r="C51" i="182"/>
  <c r="C113" i="119"/>
  <c r="AV129" i="16"/>
  <c r="AV127" i="16"/>
  <c r="AV118" i="16"/>
  <c r="AV99" i="16"/>
  <c r="AV116" i="16"/>
  <c r="AV113" i="16"/>
  <c r="AV109" i="16"/>
  <c r="AV103" i="16"/>
  <c r="AV120" i="16"/>
  <c r="AV107" i="16"/>
  <c r="AV123" i="16"/>
  <c r="C72" i="119"/>
  <c r="AV98" i="16"/>
  <c r="AV96" i="16"/>
  <c r="AV121" i="16"/>
  <c r="AV115" i="16"/>
  <c r="AV90" i="16"/>
  <c r="AV105" i="16"/>
  <c r="AV119" i="16"/>
  <c r="AV91" i="16"/>
  <c r="AV124" i="16"/>
  <c r="AV101" i="16"/>
  <c r="Y867" i="25"/>
  <c r="Y751" i="25"/>
  <c r="Y695" i="25"/>
  <c r="Y451" i="25"/>
  <c r="Y74" i="25"/>
  <c r="D1205" i="25"/>
  <c r="D197" i="25"/>
  <c r="W260" i="25"/>
  <c r="Y260" i="25" s="1"/>
  <c r="W821" i="25"/>
  <c r="Y821" i="25" s="1"/>
  <c r="W262" i="25"/>
  <c r="Y262" i="25" s="1"/>
  <c r="W1100" i="25"/>
  <c r="Y1100" i="25" s="1"/>
  <c r="D981" i="25"/>
  <c r="W1319" i="25"/>
  <c r="Y1319" i="25" s="1"/>
  <c r="BE108" i="16"/>
  <c r="G61" i="182"/>
  <c r="O61" i="182" s="1"/>
  <c r="BF97" i="16"/>
  <c r="G54" i="182"/>
  <c r="O54" i="182" s="1"/>
  <c r="BF90" i="16"/>
  <c r="BA122" i="16"/>
  <c r="BI90" i="16"/>
  <c r="BK90" i="16" s="1"/>
  <c r="BK106" i="16"/>
  <c r="AQ117" i="16"/>
  <c r="AQ127" i="16"/>
  <c r="S82" i="119"/>
  <c r="U82" i="119" s="1"/>
  <c r="G53" i="182"/>
  <c r="O53" i="182" s="1"/>
  <c r="BF105" i="16"/>
  <c r="S107" i="119"/>
  <c r="U107" i="119" s="1"/>
  <c r="BA90" i="16"/>
  <c r="BE90" i="16" s="1"/>
  <c r="BA117" i="16"/>
  <c r="BA127" i="16"/>
  <c r="BE127" i="16" s="1"/>
  <c r="BA97" i="16"/>
  <c r="BE97" i="16" s="1"/>
  <c r="BK108" i="16"/>
  <c r="BF107" i="16"/>
  <c r="BF126" i="16"/>
  <c r="U90" i="119"/>
  <c r="BK109" i="16"/>
  <c r="BI227" i="16"/>
  <c r="BK227" i="16" s="1"/>
  <c r="BA227" i="16"/>
  <c r="BE227" i="16" s="1"/>
  <c r="S206" i="119"/>
  <c r="U206" i="119" s="1"/>
  <c r="AQ227" i="16"/>
  <c r="G185" i="182" s="1"/>
  <c r="O185" i="182" s="1"/>
  <c r="BK252" i="16"/>
  <c r="BJ264" i="16"/>
  <c r="BK246" i="16"/>
  <c r="U202" i="119"/>
  <c r="BK238" i="16"/>
  <c r="U239" i="119"/>
  <c r="BK233" i="16"/>
  <c r="BK255" i="16"/>
  <c r="U228" i="119"/>
  <c r="BE162" i="16"/>
  <c r="BE161" i="16"/>
  <c r="BK152" i="16"/>
  <c r="BF134" i="16"/>
  <c r="BE163" i="16"/>
  <c r="BK154" i="16"/>
  <c r="BK138" i="16"/>
  <c r="BD132" i="16"/>
  <c r="BD173" i="16" s="1"/>
  <c r="BE169" i="16"/>
  <c r="BE146" i="16"/>
  <c r="BK145" i="16"/>
  <c r="BB132" i="16"/>
  <c r="BB174" i="16" s="1"/>
  <c r="BE160" i="16"/>
  <c r="BF169" i="16"/>
  <c r="BE142" i="16"/>
  <c r="BE133" i="16"/>
  <c r="BE141" i="16"/>
  <c r="BK107" i="16"/>
  <c r="BK99" i="16"/>
  <c r="BC132" i="16"/>
  <c r="BI157" i="16"/>
  <c r="BK157" i="16" s="1"/>
  <c r="AQ157" i="16"/>
  <c r="AT157" i="16"/>
  <c r="BA157" i="16"/>
  <c r="BE157" i="16" s="1"/>
  <c r="S140" i="119"/>
  <c r="U140" i="119" s="1"/>
  <c r="S132" i="119"/>
  <c r="U132" i="119" s="1"/>
  <c r="BI149" i="16"/>
  <c r="BK149" i="16" s="1"/>
  <c r="AT149" i="16"/>
  <c r="BA149" i="16"/>
  <c r="BE149" i="16" s="1"/>
  <c r="AQ149" i="16"/>
  <c r="G128" i="182"/>
  <c r="O128" i="182" s="1"/>
  <c r="BF166" i="16"/>
  <c r="BF146" i="16"/>
  <c r="G108" i="182"/>
  <c r="O108" i="182" s="1"/>
  <c r="U116" i="119"/>
  <c r="BD175" i="16"/>
  <c r="BF155" i="16"/>
  <c r="BF156" i="16"/>
  <c r="BE168" i="16"/>
  <c r="AQ172" i="16"/>
  <c r="BI172" i="16"/>
  <c r="BK172" i="16" s="1"/>
  <c r="S153" i="119"/>
  <c r="U153" i="119" s="1"/>
  <c r="S146" i="119"/>
  <c r="U146" i="119" s="1"/>
  <c r="S130" i="119"/>
  <c r="U130" i="119" s="1"/>
  <c r="AT147" i="16"/>
  <c r="AT146" i="16"/>
  <c r="AD174" i="16"/>
  <c r="AD132" i="16" s="1"/>
  <c r="BI132" i="16" s="1"/>
  <c r="S138" i="119"/>
  <c r="U138" i="119" s="1"/>
  <c r="AQ139" i="16"/>
  <c r="BJ174" i="16"/>
  <c r="BE153" i="16"/>
  <c r="AQ133" i="16"/>
  <c r="BK140" i="16"/>
  <c r="S127" i="119"/>
  <c r="U127" i="119" s="1"/>
  <c r="AT137" i="16"/>
  <c r="AT166" i="16"/>
  <c r="BA166" i="16"/>
  <c r="BE166" i="16" s="1"/>
  <c r="AT170" i="16"/>
  <c r="BK165" i="16"/>
  <c r="AQ163" i="16"/>
  <c r="AT163" i="16"/>
  <c r="BI147" i="16"/>
  <c r="BK147" i="16" s="1"/>
  <c r="BI146" i="16"/>
  <c r="BK146" i="16" s="1"/>
  <c r="BE138" i="16"/>
  <c r="U133" i="119"/>
  <c r="AT155" i="16"/>
  <c r="BI155" i="16"/>
  <c r="BK155" i="16" s="1"/>
  <c r="AT139" i="16"/>
  <c r="BK153" i="16"/>
  <c r="AT133" i="16"/>
  <c r="BA144" i="16"/>
  <c r="BE144" i="16" s="1"/>
  <c r="U144" i="119"/>
  <c r="BA167" i="16"/>
  <c r="BE167" i="16" s="1"/>
  <c r="S150" i="119"/>
  <c r="U150" i="119" s="1"/>
  <c r="T139" i="119"/>
  <c r="U139" i="119" s="1"/>
  <c r="BG153" i="16"/>
  <c r="BK162" i="16"/>
  <c r="BK156" i="16"/>
  <c r="BE152" i="16"/>
  <c r="S120" i="119"/>
  <c r="U120" i="119" s="1"/>
  <c r="AQ167" i="16"/>
  <c r="T136" i="119"/>
  <c r="BI100" i="16"/>
  <c r="BK100" i="16" s="1"/>
  <c r="S85" i="119"/>
  <c r="U85" i="119" s="1"/>
  <c r="BA100" i="16"/>
  <c r="AQ100" i="16"/>
  <c r="BI110" i="16"/>
  <c r="BK110" i="16" s="1"/>
  <c r="S95" i="119"/>
  <c r="U95" i="119" s="1"/>
  <c r="AQ110" i="16"/>
  <c r="BA110" i="16"/>
  <c r="BE110" i="16" s="1"/>
  <c r="U93" i="119"/>
  <c r="B224" i="159"/>
  <c r="B223" i="159"/>
  <c r="T14" i="13"/>
  <c r="G192" i="182"/>
  <c r="O192" i="182" s="1"/>
  <c r="BF234" i="16"/>
  <c r="BI239" i="16"/>
  <c r="AQ239" i="16"/>
  <c r="S218" i="119"/>
  <c r="BA239" i="16"/>
  <c r="BE239" i="16" s="1"/>
  <c r="BC266" i="16"/>
  <c r="AB101" i="36"/>
  <c r="AF91" i="69" s="1"/>
  <c r="BK236" i="16"/>
  <c r="BK239" i="16"/>
  <c r="BK261" i="16"/>
  <c r="BF232" i="16"/>
  <c r="BF230" i="16"/>
  <c r="S215" i="119"/>
  <c r="U215" i="119" s="1"/>
  <c r="BA236" i="16"/>
  <c r="BE236" i="16" s="1"/>
  <c r="BA232" i="16"/>
  <c r="BE232" i="16" s="1"/>
  <c r="BI232" i="16"/>
  <c r="BK232" i="16" s="1"/>
  <c r="S216" i="119"/>
  <c r="U216" i="119" s="1"/>
  <c r="BI237" i="16"/>
  <c r="BK237" i="16" s="1"/>
  <c r="S220" i="119"/>
  <c r="U220" i="119" s="1"/>
  <c r="BK258" i="16"/>
  <c r="BI259" i="16"/>
  <c r="BK259" i="16" s="1"/>
  <c r="AQ254" i="16"/>
  <c r="BI254" i="16"/>
  <c r="BK254" i="16" s="1"/>
  <c r="BA225" i="16"/>
  <c r="BF257" i="16"/>
  <c r="BF256" i="16"/>
  <c r="BF255" i="16"/>
  <c r="BF250" i="16"/>
  <c r="BF247" i="16"/>
  <c r="BF238" i="16"/>
  <c r="AQ244" i="16"/>
  <c r="S219" i="119"/>
  <c r="U219" i="119" s="1"/>
  <c r="BC263" i="16"/>
  <c r="S241" i="119"/>
  <c r="U241" i="119" s="1"/>
  <c r="BA230" i="16"/>
  <c r="BE230" i="16" s="1"/>
  <c r="AQ237" i="16"/>
  <c r="AQ241" i="16"/>
  <c r="BK251" i="16"/>
  <c r="BA258" i="16"/>
  <c r="BE258" i="16" s="1"/>
  <c r="AQ259" i="16"/>
  <c r="AQ225" i="16"/>
  <c r="BD265" i="16"/>
  <c r="BA234" i="16"/>
  <c r="BE234" i="16" s="1"/>
  <c r="S236" i="119"/>
  <c r="U236" i="119" s="1"/>
  <c r="V223" i="119"/>
  <c r="V207" i="119"/>
  <c r="L207" i="119" s="1"/>
  <c r="T208" i="119"/>
  <c r="U208" i="119" s="1"/>
  <c r="T221" i="119"/>
  <c r="U221" i="119" s="1"/>
  <c r="BG242" i="16"/>
  <c r="W239" i="119"/>
  <c r="M239" i="119" s="1"/>
  <c r="L210" i="119"/>
  <c r="BF240" i="16"/>
  <c r="BF262" i="16"/>
  <c r="AD264" i="16"/>
  <c r="AD222" i="16" s="1"/>
  <c r="BI222" i="16" s="1"/>
  <c r="BK222" i="16" s="1"/>
  <c r="BK224" i="16"/>
  <c r="AQ236" i="16"/>
  <c r="BK245" i="16"/>
  <c r="BK229" i="16"/>
  <c r="V235" i="119"/>
  <c r="BG229" i="16"/>
  <c r="V215" i="119"/>
  <c r="L215" i="119" s="1"/>
  <c r="T233" i="119"/>
  <c r="U233" i="119" s="1"/>
  <c r="W219" i="119"/>
  <c r="W223" i="119"/>
  <c r="M223" i="119" s="1"/>
  <c r="T218" i="119"/>
  <c r="W235" i="119"/>
  <c r="W231" i="119"/>
  <c r="T237" i="119"/>
  <c r="U237" i="119" s="1"/>
  <c r="BG254" i="16"/>
  <c r="BL16" i="166"/>
  <c r="AB16" i="166"/>
  <c r="BF22" i="37"/>
  <c r="C62" i="159"/>
  <c r="W16" i="167"/>
  <c r="K116" i="198" s="1"/>
  <c r="L14" i="13"/>
  <c r="W19" i="167"/>
  <c r="K119" i="198" s="1"/>
  <c r="C15" i="182"/>
  <c r="H225" i="30"/>
  <c r="H282" i="30"/>
  <c r="H184" i="30"/>
  <c r="I22" i="30"/>
  <c r="H143" i="30"/>
  <c r="H13" i="30"/>
  <c r="H59" i="30"/>
  <c r="Y62" i="25"/>
  <c r="Y1138" i="25"/>
  <c r="Y73" i="25"/>
  <c r="D1261" i="25"/>
  <c r="W1155" i="25"/>
  <c r="Y1155" i="25" s="1"/>
  <c r="W259" i="25"/>
  <c r="Y259" i="25" s="1"/>
  <c r="W258" i="25"/>
  <c r="Y258" i="25" s="1"/>
  <c r="W1330" i="25"/>
  <c r="Y1330" i="25" s="1"/>
  <c r="W537" i="25"/>
  <c r="Y537" i="25" s="1"/>
  <c r="W1157" i="25"/>
  <c r="Y1157" i="25" s="1"/>
  <c r="W1151" i="25"/>
  <c r="Y1151" i="25" s="1"/>
  <c r="W255" i="25"/>
  <c r="Y255" i="25" s="1"/>
  <c r="Y211" i="25"/>
  <c r="W1325" i="25"/>
  <c r="Y1325" i="25" s="1"/>
  <c r="W543" i="25"/>
  <c r="Y543" i="25" s="1"/>
  <c r="W883" i="25"/>
  <c r="Y883" i="25" s="1"/>
  <c r="W1154" i="25"/>
  <c r="Y1154" i="25" s="1"/>
  <c r="W715" i="25"/>
  <c r="W762" i="25" s="1"/>
  <c r="Y762" i="25" s="1"/>
  <c r="D1105" i="25"/>
  <c r="D589" i="25"/>
  <c r="W1153" i="25"/>
  <c r="Y1153" i="25" s="1"/>
  <c r="W1158" i="25"/>
  <c r="Y1158" i="25" s="1"/>
  <c r="W254" i="25"/>
  <c r="Y254" i="25" s="1"/>
  <c r="W266" i="25"/>
  <c r="Y266" i="25" s="1"/>
  <c r="W257" i="25"/>
  <c r="Y257" i="25" s="1"/>
  <c r="W1160" i="25"/>
  <c r="Y1160" i="25" s="1"/>
  <c r="W209" i="25"/>
  <c r="Y209" i="25" s="1"/>
  <c r="W202" i="25"/>
  <c r="Y202" i="25" s="1"/>
  <c r="Y547" i="25"/>
  <c r="W1274" i="25"/>
  <c r="Y1274" i="25" s="1"/>
  <c r="Y1107" i="25"/>
  <c r="W265" i="25"/>
  <c r="Y265" i="25" s="1"/>
  <c r="W256" i="25"/>
  <c r="Y256" i="25" s="1"/>
  <c r="W263" i="25"/>
  <c r="Y263" i="25" s="1"/>
  <c r="W200" i="25"/>
  <c r="Y200" i="25" s="1"/>
  <c r="W591" i="25"/>
  <c r="Y591" i="25" s="1"/>
  <c r="W1269" i="25"/>
  <c r="Y1269" i="25" s="1"/>
  <c r="D85" i="25"/>
  <c r="W1320" i="25"/>
  <c r="Y1320" i="25" s="1"/>
  <c r="W1324" i="25"/>
  <c r="Y1324" i="25" s="1"/>
  <c r="W1322" i="25"/>
  <c r="Y1322" i="25" s="1"/>
  <c r="W817" i="25"/>
  <c r="Y817" i="25" s="1"/>
  <c r="W819" i="25"/>
  <c r="Y819" i="25" s="1"/>
  <c r="W815" i="25"/>
  <c r="Y815" i="25" s="1"/>
  <c r="W1099" i="25"/>
  <c r="Y1099" i="25" s="1"/>
  <c r="D141" i="25"/>
  <c r="W1318" i="25"/>
  <c r="Y1318" i="25" s="1"/>
  <c r="W1328" i="25"/>
  <c r="Y1328" i="25" s="1"/>
  <c r="W1327" i="25"/>
  <c r="Y1327" i="25" s="1"/>
  <c r="W1321" i="25"/>
  <c r="Y1321" i="25" s="1"/>
  <c r="W824" i="25"/>
  <c r="Y824" i="25" s="1"/>
  <c r="W823" i="25"/>
  <c r="Y823" i="25" s="1"/>
  <c r="Y771" i="25"/>
  <c r="D477" i="25"/>
  <c r="W1329" i="25"/>
  <c r="Y1329" i="25" s="1"/>
  <c r="W1323" i="25"/>
  <c r="Y1323" i="25" s="1"/>
  <c r="W1326" i="25"/>
  <c r="Y1326" i="25" s="1"/>
  <c r="W816" i="25"/>
  <c r="Y816" i="25" s="1"/>
  <c r="W826" i="25"/>
  <c r="Y826" i="25" s="1"/>
  <c r="W660" i="25"/>
  <c r="Y660" i="25" s="1"/>
  <c r="W659" i="25"/>
  <c r="W594" i="25"/>
  <c r="Y594" i="25" s="1"/>
  <c r="D881" i="25"/>
  <c r="W593" i="25"/>
  <c r="Y593" i="25" s="1"/>
  <c r="W371" i="25"/>
  <c r="Y371" i="25" s="1"/>
  <c r="W375" i="25"/>
  <c r="Y375" i="25" s="1"/>
  <c r="W655" i="25"/>
  <c r="Y655" i="25" s="1"/>
  <c r="W646" i="25"/>
  <c r="W656" i="25"/>
  <c r="Y656" i="25" s="1"/>
  <c r="W657" i="25"/>
  <c r="Y657" i="25" s="1"/>
  <c r="W540" i="25"/>
  <c r="Y540" i="25" s="1"/>
  <c r="W545" i="25"/>
  <c r="Y545" i="25" s="1"/>
  <c r="W535" i="25"/>
  <c r="Y535" i="25" s="1"/>
  <c r="W368" i="25"/>
  <c r="Y368" i="25" s="1"/>
  <c r="W539" i="25"/>
  <c r="Y539" i="25" s="1"/>
  <c r="W534" i="25"/>
  <c r="W542" i="25"/>
  <c r="Y542" i="25" s="1"/>
  <c r="W658" i="25"/>
  <c r="Y658" i="25" s="1"/>
  <c r="W592" i="25"/>
  <c r="Y592" i="25" s="1"/>
  <c r="W600" i="25"/>
  <c r="Y600" i="25" s="1"/>
  <c r="W602" i="25"/>
  <c r="Y602" i="25" s="1"/>
  <c r="W595" i="25"/>
  <c r="Y595" i="25" s="1"/>
  <c r="W598" i="25"/>
  <c r="Y598" i="25" s="1"/>
  <c r="W599" i="25"/>
  <c r="Y599" i="25" s="1"/>
  <c r="W597" i="25"/>
  <c r="Y597" i="25" s="1"/>
  <c r="W590" i="25"/>
  <c r="Y155" i="25"/>
  <c r="W206" i="25"/>
  <c r="Y206" i="25" s="1"/>
  <c r="W205" i="25"/>
  <c r="Y205" i="25" s="1"/>
  <c r="W198" i="25"/>
  <c r="Y198" i="25" s="1"/>
  <c r="W208" i="25"/>
  <c r="Y208" i="25" s="1"/>
  <c r="W210" i="25"/>
  <c r="Y210" i="25" s="1"/>
  <c r="D757" i="25"/>
  <c r="W377" i="25"/>
  <c r="Y377" i="25" s="1"/>
  <c r="W538" i="25"/>
  <c r="Y538" i="25" s="1"/>
  <c r="Y491" i="25"/>
  <c r="W649" i="25"/>
  <c r="Y649" i="25" s="1"/>
  <c r="W652" i="25"/>
  <c r="Y652" i="25" s="1"/>
  <c r="W1265" i="25"/>
  <c r="Y1265" i="25" s="1"/>
  <c r="W1273" i="25"/>
  <c r="Y1273" i="25" s="1"/>
  <c r="W1264" i="25"/>
  <c r="Y1264" i="25" s="1"/>
  <c r="W1268" i="25"/>
  <c r="Y1268" i="25" s="1"/>
  <c r="Y1219" i="25"/>
  <c r="W1266" i="25"/>
  <c r="Y1266" i="25" s="1"/>
  <c r="W1271" i="25"/>
  <c r="Y1271" i="25" s="1"/>
  <c r="W370" i="25"/>
  <c r="Y370" i="25" s="1"/>
  <c r="W536" i="25"/>
  <c r="Y536" i="25" s="1"/>
  <c r="W541" i="25"/>
  <c r="Y541" i="25" s="1"/>
  <c r="W544" i="25"/>
  <c r="Y544" i="25" s="1"/>
  <c r="W647" i="25"/>
  <c r="Y647" i="25" s="1"/>
  <c r="W822" i="25"/>
  <c r="Y822" i="25" s="1"/>
  <c r="W814" i="25"/>
  <c r="Y814" i="25" s="1"/>
  <c r="W818" i="25"/>
  <c r="Y818" i="25" s="1"/>
  <c r="D253" i="25"/>
  <c r="D1161" i="25"/>
  <c r="D433" i="25"/>
  <c r="Y995" i="25"/>
  <c r="W1041" i="25"/>
  <c r="Y1041" i="25" s="1"/>
  <c r="W1045" i="25"/>
  <c r="Y1045" i="25" s="1"/>
  <c r="W1048" i="25"/>
  <c r="Y1048" i="25" s="1"/>
  <c r="W1047" i="25"/>
  <c r="Y1047" i="25" s="1"/>
  <c r="W1046" i="25"/>
  <c r="Y1046" i="25" s="1"/>
  <c r="W1050" i="25"/>
  <c r="Y1050" i="25" s="1"/>
  <c r="W1043" i="25"/>
  <c r="Y1043" i="25" s="1"/>
  <c r="W1044" i="25"/>
  <c r="Y1044" i="25" s="1"/>
  <c r="W1042" i="25"/>
  <c r="Y1042" i="25" s="1"/>
  <c r="W1039" i="25"/>
  <c r="Y1039" i="25" s="1"/>
  <c r="W268" i="25"/>
  <c r="Y268" i="25" s="1"/>
  <c r="W267" i="25"/>
  <c r="D813" i="25"/>
  <c r="W1040" i="25"/>
  <c r="Y1040" i="25" s="1"/>
  <c r="W1164" i="25"/>
  <c r="Y1164" i="25" s="1"/>
  <c r="W1163" i="25"/>
  <c r="Y1038" i="25"/>
  <c r="Y603" i="25"/>
  <c r="W654" i="25"/>
  <c r="Y654" i="25" s="1"/>
  <c r="W653" i="25"/>
  <c r="Y653" i="25" s="1"/>
  <c r="W650" i="25"/>
  <c r="Y650" i="25" s="1"/>
  <c r="W651" i="25"/>
  <c r="Y651" i="25" s="1"/>
  <c r="W1104" i="25"/>
  <c r="Y1104" i="25" s="1"/>
  <c r="W1097" i="25"/>
  <c r="Y1097" i="25" s="1"/>
  <c r="W1094" i="25"/>
  <c r="Y1094" i="25" s="1"/>
  <c r="Y1051" i="25"/>
  <c r="W1103" i="25"/>
  <c r="Y1103" i="25" s="1"/>
  <c r="W1098" i="25"/>
  <c r="Y1098" i="25" s="1"/>
  <c r="W1102" i="25"/>
  <c r="Y1102" i="25" s="1"/>
  <c r="W1105" i="25"/>
  <c r="Y1105" i="25" s="1"/>
  <c r="W1096" i="25"/>
  <c r="Y1096" i="25" s="1"/>
  <c r="W1095" i="25"/>
  <c r="Y1095" i="25" s="1"/>
  <c r="W1106" i="25"/>
  <c r="Y1106" i="25" s="1"/>
  <c r="W828" i="25"/>
  <c r="Y828" i="25" s="1"/>
  <c r="W827" i="25"/>
  <c r="W871" i="25" s="1"/>
  <c r="Y871" i="25" s="1"/>
  <c r="C167" i="159"/>
  <c r="I15" i="165" s="1"/>
  <c r="G33" i="182"/>
  <c r="O33" i="182" s="1"/>
  <c r="B104" i="159"/>
  <c r="B106" i="159"/>
  <c r="Z47" i="69"/>
  <c r="Z49" i="69"/>
  <c r="Z41" i="69"/>
  <c r="C54" i="159"/>
  <c r="C53" i="159"/>
  <c r="C52" i="159"/>
  <c r="B124" i="159"/>
  <c r="H217" i="30"/>
  <c r="B122" i="159"/>
  <c r="H215" i="30"/>
  <c r="H213" i="30"/>
  <c r="H210" i="30"/>
  <c r="B113" i="159"/>
  <c r="H206" i="30"/>
  <c r="B109" i="159"/>
  <c r="H202" i="30"/>
  <c r="O91" i="30"/>
  <c r="B116" i="159"/>
  <c r="H209" i="30"/>
  <c r="B112" i="159"/>
  <c r="H205" i="30"/>
  <c r="B108" i="159"/>
  <c r="H201" i="30"/>
  <c r="H199" i="30"/>
  <c r="H197" i="30"/>
  <c r="B102" i="159"/>
  <c r="H195" i="30"/>
  <c r="H216" i="30"/>
  <c r="B121" i="159"/>
  <c r="H214" i="30"/>
  <c r="B119" i="159"/>
  <c r="H212" i="30"/>
  <c r="H208" i="30"/>
  <c r="B111" i="159"/>
  <c r="H204" i="30"/>
  <c r="H194" i="30"/>
  <c r="B118" i="159"/>
  <c r="H211" i="30"/>
  <c r="H207" i="30"/>
  <c r="B110" i="159"/>
  <c r="H203" i="30"/>
  <c r="H200" i="30"/>
  <c r="B105" i="159"/>
  <c r="H198" i="30"/>
  <c r="H196" i="30"/>
  <c r="O697" i="182"/>
  <c r="O1002" i="182"/>
  <c r="O360" i="182"/>
  <c r="O104" i="182"/>
  <c r="O528" i="182"/>
  <c r="O446" i="182"/>
  <c r="BK219" i="16"/>
  <c r="BN1200" i="16" s="1"/>
  <c r="R100" i="36" s="1"/>
  <c r="O612" i="182"/>
  <c r="G178" i="182"/>
  <c r="BF248" i="16"/>
  <c r="BK763" i="16"/>
  <c r="BF544" i="16"/>
  <c r="BF532" i="16"/>
  <c r="BF634" i="16"/>
  <c r="BF317" i="16"/>
  <c r="BF181" i="16"/>
  <c r="AX76" i="16"/>
  <c r="D1037" i="25"/>
  <c r="BE721" i="16"/>
  <c r="G239" i="182"/>
  <c r="O239" i="182" s="1"/>
  <c r="G236" i="182"/>
  <c r="O236" i="182" s="1"/>
  <c r="G468" i="182"/>
  <c r="O468" i="182" s="1"/>
  <c r="G646" i="182"/>
  <c r="O646" i="182" s="1"/>
  <c r="W1150" i="25"/>
  <c r="W1156" i="25"/>
  <c r="Y1156" i="25" s="1"/>
  <c r="W1161" i="25"/>
  <c r="Y1161" i="25" s="1"/>
  <c r="W1152" i="25"/>
  <c r="Y1152" i="25" s="1"/>
  <c r="W1162" i="25"/>
  <c r="Y1162" i="25" s="1"/>
  <c r="BJ132" i="16"/>
  <c r="BG132" i="16"/>
  <c r="BI444" i="16"/>
  <c r="BM1205" i="16" s="1"/>
  <c r="BF968" i="16"/>
  <c r="BF587" i="16"/>
  <c r="BF904" i="16"/>
  <c r="BA492" i="16"/>
  <c r="BF853" i="16"/>
  <c r="BF422" i="16"/>
  <c r="BF1095" i="16"/>
  <c r="BC716" i="16"/>
  <c r="AQ219" i="16"/>
  <c r="BF705" i="16"/>
  <c r="BF702" i="16"/>
  <c r="D365" i="25"/>
  <c r="BF951" i="16"/>
  <c r="BF215" i="16"/>
  <c r="BF325" i="16"/>
  <c r="BF1087" i="16"/>
  <c r="BF974" i="16"/>
  <c r="BF144" i="16"/>
  <c r="BF865" i="16"/>
  <c r="BA402" i="16"/>
  <c r="BF193" i="16"/>
  <c r="BF114" i="16"/>
  <c r="BF686" i="16"/>
  <c r="BF1015" i="16"/>
  <c r="BF344" i="16"/>
  <c r="BA177" i="16"/>
  <c r="BF1091" i="16"/>
  <c r="BC1074" i="16"/>
  <c r="G1046" i="182"/>
  <c r="O1046" i="182" s="1"/>
  <c r="P1059" i="119"/>
  <c r="P1060" i="119" s="1"/>
  <c r="W156" i="119"/>
  <c r="G660" i="182"/>
  <c r="O660" i="182" s="1"/>
  <c r="BF724" i="16"/>
  <c r="C629" i="119"/>
  <c r="C608" i="182"/>
  <c r="BG219" i="16"/>
  <c r="BG221" i="16" s="1"/>
  <c r="W1016" i="119"/>
  <c r="BE121" i="16"/>
  <c r="G378" i="182"/>
  <c r="BF692" i="16"/>
  <c r="G630" i="182"/>
  <c r="O630" i="182" s="1"/>
  <c r="G826" i="182"/>
  <c r="G769" i="182"/>
  <c r="O769" i="182" s="1"/>
  <c r="BD849" i="16"/>
  <c r="BD851" i="16" s="1"/>
  <c r="BD850" i="16"/>
  <c r="G941" i="182"/>
  <c r="O941" i="182" s="1"/>
  <c r="BF1017" i="16"/>
  <c r="W328" i="119"/>
  <c r="BF1086" i="16"/>
  <c r="BF1039" i="16"/>
  <c r="BF1131" i="16"/>
  <c r="BD713" i="16"/>
  <c r="G851" i="182"/>
  <c r="O851" i="182" s="1"/>
  <c r="G961" i="182"/>
  <c r="O961" i="182" s="1"/>
  <c r="G676" i="182"/>
  <c r="O676" i="182" s="1"/>
  <c r="G1006" i="182"/>
  <c r="O1006" i="182" s="1"/>
  <c r="G250" i="182"/>
  <c r="O250" i="182" s="1"/>
  <c r="G955" i="182"/>
  <c r="G970" i="182"/>
  <c r="O970" i="182" s="1"/>
  <c r="G1026" i="182"/>
  <c r="O1026" i="182" s="1"/>
  <c r="G957" i="182"/>
  <c r="O957" i="182" s="1"/>
  <c r="C909" i="182"/>
  <c r="C930" i="119"/>
  <c r="W371" i="119"/>
  <c r="AD1149" i="16"/>
  <c r="BJ1137" i="16"/>
  <c r="W58" i="25"/>
  <c r="Y58" i="25" s="1"/>
  <c r="AD1110" i="16"/>
  <c r="BJ1110" i="16"/>
  <c r="Y61" i="25"/>
  <c r="BJ1107" i="16"/>
  <c r="AD1107" i="16"/>
  <c r="AD966" i="16"/>
  <c r="AD839" i="16"/>
  <c r="AD811" i="16"/>
  <c r="AD757" i="16"/>
  <c r="AD751" i="16"/>
  <c r="AD648" i="16"/>
  <c r="AD641" i="16"/>
  <c r="AD631" i="16"/>
  <c r="AD617" i="16"/>
  <c r="AD616" i="16"/>
  <c r="AD609" i="16"/>
  <c r="AD608" i="16"/>
  <c r="BJ585" i="16"/>
  <c r="AD992" i="16"/>
  <c r="AD937" i="16"/>
  <c r="AD934" i="16"/>
  <c r="AD925" i="16"/>
  <c r="AD922" i="16"/>
  <c r="AD909" i="16"/>
  <c r="AD906" i="16"/>
  <c r="AD666" i="16"/>
  <c r="AD658" i="16"/>
  <c r="AD657" i="16"/>
  <c r="AD600" i="16"/>
  <c r="BJ543" i="16"/>
  <c r="BK386" i="16"/>
  <c r="AD347" i="16"/>
  <c r="BJ298" i="16"/>
  <c r="AD327" i="16"/>
  <c r="AD275" i="16"/>
  <c r="AQ26" i="165"/>
  <c r="AQ27" i="165" s="1"/>
  <c r="AQ28" i="165" s="1"/>
  <c r="AQ29" i="165" s="1"/>
  <c r="AQ30" i="165" s="1"/>
  <c r="BE120" i="16"/>
  <c r="Y105" i="25"/>
  <c r="AJ34" i="167"/>
  <c r="I537" i="182"/>
  <c r="T41" i="178"/>
  <c r="AW34" i="167"/>
  <c r="O43" i="182"/>
  <c r="W30" i="63"/>
  <c r="O36" i="182"/>
  <c r="O22" i="182"/>
  <c r="O46" i="182"/>
  <c r="B117" i="159"/>
  <c r="B120" i="159"/>
  <c r="O44" i="182"/>
  <c r="B114" i="159"/>
  <c r="B107" i="159"/>
  <c r="B123" i="159"/>
  <c r="O23" i="182"/>
  <c r="G49" i="182"/>
  <c r="O42" i="182"/>
  <c r="K229" i="119"/>
  <c r="P1102" i="119"/>
  <c r="P1103" i="119" s="1"/>
  <c r="P672" i="119"/>
  <c r="P673" i="119" s="1"/>
  <c r="P930" i="119"/>
  <c r="P931" i="119" s="1"/>
  <c r="P199" i="119"/>
  <c r="P200" i="119" s="1"/>
  <c r="P715" i="119"/>
  <c r="P716" i="119" s="1"/>
  <c r="BI112" i="16"/>
  <c r="BK112" i="16" s="1"/>
  <c r="BA112" i="16"/>
  <c r="BE112" i="16" s="1"/>
  <c r="S97" i="119"/>
  <c r="U97" i="119" s="1"/>
  <c r="AQ112" i="16"/>
  <c r="BI96" i="16"/>
  <c r="BK96" i="16" s="1"/>
  <c r="BA96" i="16"/>
  <c r="BE96" i="16" s="1"/>
  <c r="AQ96" i="16"/>
  <c r="S81" i="119"/>
  <c r="U81" i="119" s="1"/>
  <c r="BI92" i="16"/>
  <c r="BK92" i="16" s="1"/>
  <c r="AQ92" i="16"/>
  <c r="BA92" i="16"/>
  <c r="BE92" i="16" s="1"/>
  <c r="S77" i="119"/>
  <c r="U77" i="119" s="1"/>
  <c r="L212" i="119"/>
  <c r="O75" i="182"/>
  <c r="G86" i="182"/>
  <c r="O86" i="182" s="1"/>
  <c r="BF122" i="16"/>
  <c r="O80" i="182"/>
  <c r="BE116" i="16"/>
  <c r="G67" i="182"/>
  <c r="BF103" i="16"/>
  <c r="O71" i="182"/>
  <c r="G55" i="182"/>
  <c r="O55" i="182" s="1"/>
  <c r="BE98" i="16"/>
  <c r="BB87" i="16"/>
  <c r="BE122" i="16"/>
  <c r="BE100" i="16"/>
  <c r="BE117" i="16"/>
  <c r="BE109" i="16"/>
  <c r="K230" i="119"/>
  <c r="K206" i="119"/>
  <c r="K223" i="119"/>
  <c r="K212" i="119"/>
  <c r="K222" i="119"/>
  <c r="K238" i="119"/>
  <c r="L238" i="119"/>
  <c r="K215" i="119"/>
  <c r="L218" i="119"/>
  <c r="L211" i="119"/>
  <c r="K235" i="119"/>
  <c r="L224" i="119"/>
  <c r="K221" i="119"/>
  <c r="L214" i="119"/>
  <c r="K213" i="119"/>
  <c r="O130" i="182"/>
  <c r="I130" i="182"/>
  <c r="U174" i="119"/>
  <c r="S199" i="119"/>
  <c r="O537" i="182"/>
  <c r="U468" i="119"/>
  <c r="S500" i="119"/>
  <c r="O198" i="182"/>
  <c r="O131" i="182"/>
  <c r="O77" i="182"/>
  <c r="O742" i="182"/>
  <c r="O685" i="182"/>
  <c r="W378" i="25"/>
  <c r="Y378" i="25" s="1"/>
  <c r="Y323" i="25"/>
  <c r="W372" i="25"/>
  <c r="Y372" i="25" s="1"/>
  <c r="W373" i="25"/>
  <c r="Y373" i="25" s="1"/>
  <c r="W369" i="25"/>
  <c r="Y369" i="25" s="1"/>
  <c r="W376" i="25"/>
  <c r="Y376" i="25" s="1"/>
  <c r="W374" i="25"/>
  <c r="Y374" i="25" s="1"/>
  <c r="W366" i="25"/>
  <c r="O384" i="182"/>
  <c r="O312" i="182"/>
  <c r="O143" i="182"/>
  <c r="U903" i="119"/>
  <c r="O906" i="182"/>
  <c r="U211" i="119"/>
  <c r="U947" i="119"/>
  <c r="O63" i="182"/>
  <c r="O529" i="182"/>
  <c r="O112" i="182"/>
  <c r="D657" i="25"/>
  <c r="D645" i="25"/>
  <c r="O443" i="182"/>
  <c r="U284" i="119"/>
  <c r="O785" i="182"/>
  <c r="O1007" i="182"/>
  <c r="O819" i="182"/>
  <c r="O620" i="182"/>
  <c r="W446" i="25"/>
  <c r="Y446" i="25" s="1"/>
  <c r="W435" i="25"/>
  <c r="O863" i="182"/>
  <c r="O805" i="182"/>
  <c r="W112" i="25"/>
  <c r="Y112" i="25" s="1"/>
  <c r="W99" i="25"/>
  <c r="W1331" i="25"/>
  <c r="W1334" i="25"/>
  <c r="Y1334" i="25" s="1"/>
  <c r="O378" i="182"/>
  <c r="W379" i="25"/>
  <c r="O59" i="182"/>
  <c r="O90" i="182"/>
  <c r="BC107" i="16"/>
  <c r="BE107" i="16" s="1"/>
  <c r="W92" i="119"/>
  <c r="M92" i="119" s="1"/>
  <c r="BC103" i="16"/>
  <c r="W88" i="119"/>
  <c r="M88" i="119" s="1"/>
  <c r="AD118" i="16"/>
  <c r="T103" i="119"/>
  <c r="BJ103" i="16"/>
  <c r="BG103" i="16"/>
  <c r="BG94" i="16"/>
  <c r="T79" i="119"/>
  <c r="L233" i="119"/>
  <c r="K240" i="119"/>
  <c r="L235" i="119"/>
  <c r="K234" i="119"/>
  <c r="K207" i="119"/>
  <c r="K227" i="119"/>
  <c r="K209" i="119"/>
  <c r="L222" i="119"/>
  <c r="K208" i="119"/>
  <c r="Z55" i="69"/>
  <c r="L239" i="119"/>
  <c r="K214" i="119"/>
  <c r="L231" i="119"/>
  <c r="L227" i="119"/>
  <c r="L236" i="119"/>
  <c r="K205" i="119"/>
  <c r="L208" i="119"/>
  <c r="L221" i="119"/>
  <c r="L240" i="119"/>
  <c r="Z57" i="69"/>
  <c r="K1062" i="119"/>
  <c r="K1063" i="119"/>
  <c r="K1064" i="119"/>
  <c r="K1065" i="119"/>
  <c r="K1066" i="119"/>
  <c r="K1067" i="119"/>
  <c r="K1068" i="119"/>
  <c r="K1069" i="119"/>
  <c r="K1070" i="119"/>
  <c r="K1071" i="119"/>
  <c r="K1072" i="119"/>
  <c r="K1073" i="119"/>
  <c r="K1074" i="119"/>
  <c r="K1075" i="119"/>
  <c r="K1076" i="119"/>
  <c r="K1077" i="119"/>
  <c r="K1078" i="119"/>
  <c r="K1079" i="119"/>
  <c r="K1080" i="119"/>
  <c r="K1081" i="119"/>
  <c r="K1082" i="119"/>
  <c r="K1083" i="119"/>
  <c r="K1084" i="119"/>
  <c r="K1085" i="119"/>
  <c r="K1086" i="119"/>
  <c r="K1087" i="119"/>
  <c r="K1089" i="119"/>
  <c r="K1090" i="119"/>
  <c r="K1091" i="119"/>
  <c r="K1092" i="119"/>
  <c r="K1093" i="119"/>
  <c r="K1094" i="119"/>
  <c r="K1095" i="119"/>
  <c r="K1096" i="119"/>
  <c r="K1097" i="119"/>
  <c r="K1098" i="119"/>
  <c r="K1099" i="119"/>
  <c r="K1100" i="119"/>
  <c r="K1101" i="119"/>
  <c r="M73" i="119"/>
  <c r="M74" i="119"/>
  <c r="M75" i="119"/>
  <c r="M76" i="119"/>
  <c r="M77" i="119"/>
  <c r="M78" i="119"/>
  <c r="M79" i="119"/>
  <c r="M80" i="119"/>
  <c r="M81" i="119"/>
  <c r="M82" i="119"/>
  <c r="M83" i="119"/>
  <c r="M84" i="119"/>
  <c r="M85" i="119"/>
  <c r="M86" i="119"/>
  <c r="M87" i="119"/>
  <c r="M89" i="119"/>
  <c r="M90" i="119"/>
  <c r="M91" i="119"/>
  <c r="M93" i="119"/>
  <c r="M94" i="119"/>
  <c r="M95" i="119"/>
  <c r="M96" i="119"/>
  <c r="M97" i="119"/>
  <c r="M98" i="119"/>
  <c r="M99" i="119"/>
  <c r="M100" i="119"/>
  <c r="M101" i="119"/>
  <c r="M102" i="119"/>
  <c r="M103" i="119"/>
  <c r="M104" i="119"/>
  <c r="M105" i="119"/>
  <c r="M106" i="119"/>
  <c r="M107" i="119"/>
  <c r="M108" i="119"/>
  <c r="M109" i="119"/>
  <c r="M110" i="119"/>
  <c r="M111" i="119"/>
  <c r="M112" i="119"/>
  <c r="K116" i="119"/>
  <c r="K117" i="119"/>
  <c r="K119" i="119"/>
  <c r="L1062" i="119"/>
  <c r="L1063" i="119"/>
  <c r="L1064" i="119"/>
  <c r="L1065" i="119"/>
  <c r="L1066" i="119"/>
  <c r="L1067" i="119"/>
  <c r="L1068" i="119"/>
  <c r="L1069" i="119"/>
  <c r="L1070" i="119"/>
  <c r="L1071" i="119"/>
  <c r="L1072" i="119"/>
  <c r="L1073" i="119"/>
  <c r="L1074" i="119"/>
  <c r="L1075" i="119"/>
  <c r="L1076" i="119"/>
  <c r="L1077" i="119"/>
  <c r="L1078" i="119"/>
  <c r="L1079" i="119"/>
  <c r="L1080" i="119"/>
  <c r="L1081" i="119"/>
  <c r="L1082" i="119"/>
  <c r="L1083" i="119"/>
  <c r="L1084" i="119"/>
  <c r="L1085" i="119"/>
  <c r="L1086" i="119"/>
  <c r="L1087" i="119"/>
  <c r="L1088" i="119"/>
  <c r="L1089" i="119"/>
  <c r="L1090" i="119"/>
  <c r="L1091" i="119"/>
  <c r="L1092" i="119"/>
  <c r="L1093" i="119"/>
  <c r="L1094" i="119"/>
  <c r="L1095" i="119"/>
  <c r="L1096" i="119"/>
  <c r="L1097" i="119"/>
  <c r="L1098" i="119"/>
  <c r="L1099" i="119"/>
  <c r="L1100" i="119"/>
  <c r="L1101" i="119"/>
  <c r="L116" i="119"/>
  <c r="L117" i="119"/>
  <c r="L118" i="119"/>
  <c r="L119" i="119"/>
  <c r="M1062" i="119"/>
  <c r="M1063" i="119"/>
  <c r="M1064" i="119"/>
  <c r="M1065" i="119"/>
  <c r="M1066" i="119"/>
  <c r="M1067" i="119"/>
  <c r="M1068" i="119"/>
  <c r="M1069" i="119"/>
  <c r="M1070" i="119"/>
  <c r="M1071" i="119"/>
  <c r="M1072" i="119"/>
  <c r="M1073" i="119"/>
  <c r="M1074" i="119"/>
  <c r="M1075" i="119"/>
  <c r="M1076" i="119"/>
  <c r="M1077" i="119"/>
  <c r="M1078" i="119"/>
  <c r="M1079" i="119"/>
  <c r="M1080" i="119"/>
  <c r="M1081" i="119"/>
  <c r="M1082" i="119"/>
  <c r="M1083" i="119"/>
  <c r="M1084" i="119"/>
  <c r="M1085" i="119"/>
  <c r="M1086" i="119"/>
  <c r="M1087" i="119"/>
  <c r="M1088" i="119"/>
  <c r="M1089" i="119"/>
  <c r="M1090" i="119"/>
  <c r="M1091" i="119"/>
  <c r="M1092" i="119"/>
  <c r="M1093" i="119"/>
  <c r="M1094" i="119"/>
  <c r="M1095" i="119"/>
  <c r="M1096" i="119"/>
  <c r="M1097" i="119"/>
  <c r="M1098" i="119"/>
  <c r="M1099" i="119"/>
  <c r="M1100" i="119"/>
  <c r="M1101" i="119"/>
  <c r="K73" i="119"/>
  <c r="K74" i="119"/>
  <c r="K75" i="119"/>
  <c r="K76" i="119"/>
  <c r="K77" i="119"/>
  <c r="K78" i="119"/>
  <c r="K79" i="119"/>
  <c r="K80" i="119"/>
  <c r="K81" i="119"/>
  <c r="K82" i="119"/>
  <c r="K83" i="119"/>
  <c r="K84" i="119"/>
  <c r="K85" i="119"/>
  <c r="K86" i="119"/>
  <c r="K87" i="119"/>
  <c r="K88" i="119"/>
  <c r="K89" i="119"/>
  <c r="K90" i="119"/>
  <c r="K91" i="119"/>
  <c r="K92" i="119"/>
  <c r="K93" i="119"/>
  <c r="K94" i="119"/>
  <c r="K96" i="119"/>
  <c r="K98" i="119"/>
  <c r="K99" i="119"/>
  <c r="K100" i="119"/>
  <c r="K101" i="119"/>
  <c r="K102" i="119"/>
  <c r="K104" i="119"/>
  <c r="K105" i="119"/>
  <c r="K106" i="119"/>
  <c r="K108" i="119"/>
  <c r="K109" i="119"/>
  <c r="K110" i="119"/>
  <c r="K111" i="119"/>
  <c r="K112" i="119"/>
  <c r="M116" i="119"/>
  <c r="L73" i="119"/>
  <c r="L74" i="119"/>
  <c r="L75" i="119"/>
  <c r="L76" i="119"/>
  <c r="L77" i="119"/>
  <c r="L78" i="119"/>
  <c r="L79" i="119"/>
  <c r="L80" i="119"/>
  <c r="L81" i="119"/>
  <c r="L82" i="119"/>
  <c r="L83" i="119"/>
  <c r="L84" i="119"/>
  <c r="L85" i="119"/>
  <c r="L86" i="119"/>
  <c r="L87" i="119"/>
  <c r="L88" i="119"/>
  <c r="L89" i="119"/>
  <c r="L90" i="119"/>
  <c r="L91" i="119"/>
  <c r="L92" i="119"/>
  <c r="L93" i="119"/>
  <c r="L94" i="119"/>
  <c r="L95" i="119"/>
  <c r="L96" i="119"/>
  <c r="L97" i="119"/>
  <c r="L98" i="119"/>
  <c r="L99" i="119"/>
  <c r="L100" i="119"/>
  <c r="L101" i="119"/>
  <c r="L102" i="119"/>
  <c r="L103" i="119"/>
  <c r="L104" i="119"/>
  <c r="L105" i="119"/>
  <c r="L106" i="119"/>
  <c r="L107" i="119"/>
  <c r="L108" i="119"/>
  <c r="L109" i="119"/>
  <c r="L110" i="119"/>
  <c r="L111" i="119"/>
  <c r="L112" i="119"/>
  <c r="M117" i="119"/>
  <c r="K159" i="119"/>
  <c r="K160" i="119"/>
  <c r="K161" i="119"/>
  <c r="K162" i="119"/>
  <c r="K163" i="119"/>
  <c r="K164" i="119"/>
  <c r="K165" i="119"/>
  <c r="K166" i="119"/>
  <c r="K167" i="119"/>
  <c r="K168" i="119"/>
  <c r="K169" i="119"/>
  <c r="K170" i="119"/>
  <c r="K171" i="119"/>
  <c r="K172" i="119"/>
  <c r="K173" i="119"/>
  <c r="K174" i="119"/>
  <c r="K175" i="119"/>
  <c r="K176" i="119"/>
  <c r="K177" i="119"/>
  <c r="K178" i="119"/>
  <c r="K179" i="119"/>
  <c r="K180" i="119"/>
  <c r="K181" i="119"/>
  <c r="K182" i="119"/>
  <c r="K183" i="119"/>
  <c r="K184" i="119"/>
  <c r="K185" i="119"/>
  <c r="K186" i="119"/>
  <c r="K187" i="119"/>
  <c r="K188" i="119"/>
  <c r="K189" i="119"/>
  <c r="K190" i="119"/>
  <c r="K191" i="119"/>
  <c r="K192" i="119"/>
  <c r="K193" i="119"/>
  <c r="K194" i="119"/>
  <c r="K195" i="119"/>
  <c r="K196" i="119"/>
  <c r="K197" i="119"/>
  <c r="K198" i="119"/>
  <c r="M203" i="119"/>
  <c r="M207" i="119"/>
  <c r="M211" i="119"/>
  <c r="M215" i="119"/>
  <c r="M219" i="119"/>
  <c r="M227" i="119"/>
  <c r="M118" i="119"/>
  <c r="K120" i="119"/>
  <c r="K121" i="119"/>
  <c r="K123" i="119"/>
  <c r="K124" i="119"/>
  <c r="K125" i="119"/>
  <c r="K127" i="119"/>
  <c r="K128" i="119"/>
  <c r="K129" i="119"/>
  <c r="K130" i="119"/>
  <c r="K131" i="119"/>
  <c r="K132" i="119"/>
  <c r="K133" i="119"/>
  <c r="K135" i="119"/>
  <c r="K136" i="119"/>
  <c r="K137" i="119"/>
  <c r="K139" i="119"/>
  <c r="K140" i="119"/>
  <c r="K141" i="119"/>
  <c r="K143" i="119"/>
  <c r="K144" i="119"/>
  <c r="K145" i="119"/>
  <c r="K147" i="119"/>
  <c r="K148" i="119"/>
  <c r="K149" i="119"/>
  <c r="K151" i="119"/>
  <c r="K152" i="119"/>
  <c r="K154" i="119"/>
  <c r="K155" i="119"/>
  <c r="L159" i="119"/>
  <c r="L160" i="119"/>
  <c r="L161" i="119"/>
  <c r="L162" i="119"/>
  <c r="L163" i="119"/>
  <c r="L164" i="119"/>
  <c r="L165" i="119"/>
  <c r="L166" i="119"/>
  <c r="L167" i="119"/>
  <c r="L168" i="119"/>
  <c r="L169" i="119"/>
  <c r="L170" i="119"/>
  <c r="L171" i="119"/>
  <c r="L172" i="119"/>
  <c r="L173" i="119"/>
  <c r="L174" i="119"/>
  <c r="L175" i="119"/>
  <c r="L176" i="119"/>
  <c r="L177" i="119"/>
  <c r="L178" i="119"/>
  <c r="L179" i="119"/>
  <c r="L180" i="119"/>
  <c r="L181" i="119"/>
  <c r="L182" i="119"/>
  <c r="L183" i="119"/>
  <c r="L184" i="119"/>
  <c r="L185" i="119"/>
  <c r="L186" i="119"/>
  <c r="L187" i="119"/>
  <c r="L188" i="119"/>
  <c r="L189" i="119"/>
  <c r="L190" i="119"/>
  <c r="L191" i="119"/>
  <c r="L192" i="119"/>
  <c r="L193" i="119"/>
  <c r="L194" i="119"/>
  <c r="L195" i="119"/>
  <c r="L196" i="119"/>
  <c r="L197" i="119"/>
  <c r="L198" i="119"/>
  <c r="M204" i="119"/>
  <c r="M208" i="119"/>
  <c r="M212" i="119"/>
  <c r="M216" i="119"/>
  <c r="M220" i="119"/>
  <c r="M224" i="119"/>
  <c r="M228" i="119"/>
  <c r="L120" i="119"/>
  <c r="L121" i="119"/>
  <c r="L122" i="119"/>
  <c r="L123" i="119"/>
  <c r="L124" i="119"/>
  <c r="L125" i="119"/>
  <c r="L126" i="119"/>
  <c r="L127" i="119"/>
  <c r="L128" i="119"/>
  <c r="L129" i="119"/>
  <c r="L130" i="119"/>
  <c r="L131" i="119"/>
  <c r="L132" i="119"/>
  <c r="L133" i="119"/>
  <c r="L134" i="119"/>
  <c r="L135" i="119"/>
  <c r="L136" i="119"/>
  <c r="L137" i="119"/>
  <c r="L138" i="119"/>
  <c r="L139" i="119"/>
  <c r="L140" i="119"/>
  <c r="L141" i="119"/>
  <c r="L142" i="119"/>
  <c r="L143" i="119"/>
  <c r="L144" i="119"/>
  <c r="L145" i="119"/>
  <c r="L146" i="119"/>
  <c r="L147" i="119"/>
  <c r="L148" i="119"/>
  <c r="L149" i="119"/>
  <c r="L150" i="119"/>
  <c r="L151" i="119"/>
  <c r="L152" i="119"/>
  <c r="L153" i="119"/>
  <c r="L154" i="119"/>
  <c r="L155" i="119"/>
  <c r="M159" i="119"/>
  <c r="M160" i="119"/>
  <c r="M161" i="119"/>
  <c r="M162" i="119"/>
  <c r="M163" i="119"/>
  <c r="M164" i="119"/>
  <c r="M165" i="119"/>
  <c r="M166" i="119"/>
  <c r="M167" i="119"/>
  <c r="M168" i="119"/>
  <c r="M169" i="119"/>
  <c r="M170" i="119"/>
  <c r="M171" i="119"/>
  <c r="M172" i="119"/>
  <c r="M173" i="119"/>
  <c r="M174" i="119"/>
  <c r="M175" i="119"/>
  <c r="M176" i="119"/>
  <c r="M177" i="119"/>
  <c r="M178" i="119"/>
  <c r="M179" i="119"/>
  <c r="M180" i="119"/>
  <c r="M181" i="119"/>
  <c r="M182" i="119"/>
  <c r="M183" i="119"/>
  <c r="M184" i="119"/>
  <c r="M185" i="119"/>
  <c r="M186" i="119"/>
  <c r="M187" i="119"/>
  <c r="M188" i="119"/>
  <c r="M189" i="119"/>
  <c r="M190" i="119"/>
  <c r="M191" i="119"/>
  <c r="M192" i="119"/>
  <c r="M193" i="119"/>
  <c r="M194" i="119"/>
  <c r="M195" i="119"/>
  <c r="M196" i="119"/>
  <c r="M197" i="119"/>
  <c r="M198" i="119"/>
  <c r="M205" i="119"/>
  <c r="M209" i="119"/>
  <c r="M213" i="119"/>
  <c r="M217" i="119"/>
  <c r="M221" i="119"/>
  <c r="M225" i="119"/>
  <c r="M119" i="119"/>
  <c r="M120" i="119"/>
  <c r="M121" i="119"/>
  <c r="M122" i="119"/>
  <c r="M123" i="119"/>
  <c r="M124" i="119"/>
  <c r="M125" i="119"/>
  <c r="M126" i="119"/>
  <c r="M127" i="119"/>
  <c r="M128" i="119"/>
  <c r="M129" i="119"/>
  <c r="M130" i="119"/>
  <c r="M131" i="119"/>
  <c r="M132" i="119"/>
  <c r="M133" i="119"/>
  <c r="M134" i="119"/>
  <c r="M135" i="119"/>
  <c r="M136" i="119"/>
  <c r="M137" i="119"/>
  <c r="M138" i="119"/>
  <c r="M139" i="119"/>
  <c r="M140" i="119"/>
  <c r="M141" i="119"/>
  <c r="M142" i="119"/>
  <c r="M143" i="119"/>
  <c r="M144" i="119"/>
  <c r="M145" i="119"/>
  <c r="M146" i="119"/>
  <c r="M147" i="119"/>
  <c r="M148" i="119"/>
  <c r="M149" i="119"/>
  <c r="M150" i="119"/>
  <c r="M151" i="119"/>
  <c r="M152" i="119"/>
  <c r="M153" i="119"/>
  <c r="M154" i="119"/>
  <c r="M155" i="119"/>
  <c r="M202" i="119"/>
  <c r="M206" i="119"/>
  <c r="M210" i="119"/>
  <c r="M214" i="119"/>
  <c r="M218" i="119"/>
  <c r="M222" i="119"/>
  <c r="M226" i="119"/>
  <c r="M229" i="119"/>
  <c r="M233" i="119"/>
  <c r="M237" i="119"/>
  <c r="M241" i="119"/>
  <c r="K245" i="119"/>
  <c r="K246" i="119"/>
  <c r="K247" i="119"/>
  <c r="K248" i="119"/>
  <c r="K249" i="119"/>
  <c r="K250" i="119"/>
  <c r="K251" i="119"/>
  <c r="K253" i="119"/>
  <c r="K254" i="119"/>
  <c r="K255" i="119"/>
  <c r="K256" i="119"/>
  <c r="K257" i="119"/>
  <c r="K258" i="119"/>
  <c r="K259" i="119"/>
  <c r="K260" i="119"/>
  <c r="K261" i="119"/>
  <c r="K262" i="119"/>
  <c r="K263" i="119"/>
  <c r="K264" i="119"/>
  <c r="K265" i="119"/>
  <c r="K266" i="119"/>
  <c r="K267" i="119"/>
  <c r="K268" i="119"/>
  <c r="K270" i="119"/>
  <c r="K271" i="119"/>
  <c r="K272" i="119"/>
  <c r="K273" i="119"/>
  <c r="K274" i="119"/>
  <c r="K275" i="119"/>
  <c r="K276" i="119"/>
  <c r="K277" i="119"/>
  <c r="K278" i="119"/>
  <c r="K279" i="119"/>
  <c r="K280" i="119"/>
  <c r="K281" i="119"/>
  <c r="K282" i="119"/>
  <c r="K283" i="119"/>
  <c r="K284" i="119"/>
  <c r="M288" i="119"/>
  <c r="M289" i="119"/>
  <c r="M290" i="119"/>
  <c r="M291" i="119"/>
  <c r="M292" i="119"/>
  <c r="M293" i="119"/>
  <c r="M294" i="119"/>
  <c r="M295" i="119"/>
  <c r="M296" i="119"/>
  <c r="M297" i="119"/>
  <c r="M298" i="119"/>
  <c r="M299" i="119"/>
  <c r="M300" i="119"/>
  <c r="M301" i="119"/>
  <c r="M302" i="119"/>
  <c r="M303" i="119"/>
  <c r="M304" i="119"/>
  <c r="M305" i="119"/>
  <c r="M306" i="119"/>
  <c r="M307" i="119"/>
  <c r="M308" i="119"/>
  <c r="M309" i="119"/>
  <c r="M310" i="119"/>
  <c r="M311" i="119"/>
  <c r="M312" i="119"/>
  <c r="M313" i="119"/>
  <c r="M314" i="119"/>
  <c r="M315" i="119"/>
  <c r="M316" i="119"/>
  <c r="M317" i="119"/>
  <c r="M318" i="119"/>
  <c r="M319" i="119"/>
  <c r="M320" i="119"/>
  <c r="M321" i="119"/>
  <c r="M322" i="119"/>
  <c r="M323" i="119"/>
  <c r="M324" i="119"/>
  <c r="M325" i="119"/>
  <c r="M326" i="119"/>
  <c r="M327" i="119"/>
  <c r="M230" i="119"/>
  <c r="M234" i="119"/>
  <c r="M238" i="119"/>
  <c r="L245" i="119"/>
  <c r="L246" i="119"/>
  <c r="L247" i="119"/>
  <c r="L248" i="119"/>
  <c r="L249" i="119"/>
  <c r="L250" i="119"/>
  <c r="L251" i="119"/>
  <c r="L252" i="119"/>
  <c r="L253" i="119"/>
  <c r="L254" i="119"/>
  <c r="L255" i="119"/>
  <c r="L256" i="119"/>
  <c r="L257" i="119"/>
  <c r="L258" i="119"/>
  <c r="L259" i="119"/>
  <c r="L260" i="119"/>
  <c r="L261" i="119"/>
  <c r="L262" i="119"/>
  <c r="L263" i="119"/>
  <c r="L264" i="119"/>
  <c r="L265" i="119"/>
  <c r="L266" i="119"/>
  <c r="L267" i="119"/>
  <c r="L268" i="119"/>
  <c r="L269" i="119"/>
  <c r="L270" i="119"/>
  <c r="L271" i="119"/>
  <c r="L272" i="119"/>
  <c r="L273" i="119"/>
  <c r="L274" i="119"/>
  <c r="L275" i="119"/>
  <c r="L276" i="119"/>
  <c r="L277" i="119"/>
  <c r="L278" i="119"/>
  <c r="L279" i="119"/>
  <c r="L280" i="119"/>
  <c r="L281" i="119"/>
  <c r="L282" i="119"/>
  <c r="L283" i="119"/>
  <c r="L284" i="119"/>
  <c r="M231" i="119"/>
  <c r="M235" i="119"/>
  <c r="M245" i="119"/>
  <c r="M246" i="119"/>
  <c r="M247" i="119"/>
  <c r="M248" i="119"/>
  <c r="M249" i="119"/>
  <c r="M250" i="119"/>
  <c r="M251" i="119"/>
  <c r="M252" i="119"/>
  <c r="M253" i="119"/>
  <c r="M254" i="119"/>
  <c r="M255" i="119"/>
  <c r="M256" i="119"/>
  <c r="M257" i="119"/>
  <c r="M258" i="119"/>
  <c r="M259" i="119"/>
  <c r="M260" i="119"/>
  <c r="M261" i="119"/>
  <c r="M262" i="119"/>
  <c r="M263" i="119"/>
  <c r="M264" i="119"/>
  <c r="M265" i="119"/>
  <c r="M266" i="119"/>
  <c r="M267" i="119"/>
  <c r="M268" i="119"/>
  <c r="M269" i="119"/>
  <c r="M270" i="119"/>
  <c r="M271" i="119"/>
  <c r="M272" i="119"/>
  <c r="M273" i="119"/>
  <c r="M274" i="119"/>
  <c r="M275" i="119"/>
  <c r="M276" i="119"/>
  <c r="M277" i="119"/>
  <c r="M278" i="119"/>
  <c r="M279" i="119"/>
  <c r="M280" i="119"/>
  <c r="M281" i="119"/>
  <c r="M282" i="119"/>
  <c r="M283" i="119"/>
  <c r="M284" i="119"/>
  <c r="K237" i="119"/>
  <c r="K288" i="119"/>
  <c r="K289" i="119"/>
  <c r="K291" i="119"/>
  <c r="K292" i="119"/>
  <c r="K293" i="119"/>
  <c r="K294" i="119"/>
  <c r="K295" i="119"/>
  <c r="K296" i="119"/>
  <c r="K297" i="119"/>
  <c r="K298" i="119"/>
  <c r="K300" i="119"/>
  <c r="K301" i="119"/>
  <c r="K304" i="119"/>
  <c r="K305" i="119"/>
  <c r="K306" i="119"/>
  <c r="K307" i="119"/>
  <c r="K308" i="119"/>
  <c r="K309" i="119"/>
  <c r="K310" i="119"/>
  <c r="K311" i="119"/>
  <c r="K312" i="119"/>
  <c r="K313" i="119"/>
  <c r="K314" i="119"/>
  <c r="K315" i="119"/>
  <c r="K316" i="119"/>
  <c r="K317" i="119"/>
  <c r="K318" i="119"/>
  <c r="K319" i="119"/>
  <c r="K320" i="119"/>
  <c r="K321" i="119"/>
  <c r="K323" i="119"/>
  <c r="K324" i="119"/>
  <c r="K325" i="119"/>
  <c r="K326" i="119"/>
  <c r="K327" i="119"/>
  <c r="M232" i="119"/>
  <c r="M236" i="119"/>
  <c r="M240" i="119"/>
  <c r="L237" i="119"/>
  <c r="L288" i="119"/>
  <c r="L289" i="119"/>
  <c r="L290" i="119"/>
  <c r="L291" i="119"/>
  <c r="L292" i="119"/>
  <c r="L293" i="119"/>
  <c r="L294" i="119"/>
  <c r="L295" i="119"/>
  <c r="L296" i="119"/>
  <c r="L297" i="119"/>
  <c r="L298" i="119"/>
  <c r="L299" i="119"/>
  <c r="L300" i="119"/>
  <c r="L301" i="119"/>
  <c r="L302" i="119"/>
  <c r="L303" i="119"/>
  <c r="L304" i="119"/>
  <c r="L305" i="119"/>
  <c r="L306" i="119"/>
  <c r="L307" i="119"/>
  <c r="L308" i="119"/>
  <c r="L309" i="119"/>
  <c r="L310" i="119"/>
  <c r="L311" i="119"/>
  <c r="L312" i="119"/>
  <c r="L313" i="119"/>
  <c r="L314" i="119"/>
  <c r="L315" i="119"/>
  <c r="L316" i="119"/>
  <c r="L317" i="119"/>
  <c r="L318" i="119"/>
  <c r="L319" i="119"/>
  <c r="L320" i="119"/>
  <c r="L321" i="119"/>
  <c r="L322" i="119"/>
  <c r="L323" i="119"/>
  <c r="L324" i="119"/>
  <c r="L325" i="119"/>
  <c r="L326" i="119"/>
  <c r="L327" i="119"/>
  <c r="K331" i="119"/>
  <c r="K332" i="119"/>
  <c r="K333" i="119"/>
  <c r="K334" i="119"/>
  <c r="K335" i="119"/>
  <c r="K336" i="119"/>
  <c r="K337" i="119"/>
  <c r="K338" i="119"/>
  <c r="K339" i="119"/>
  <c r="K340" i="119"/>
  <c r="K341" i="119"/>
  <c r="K342" i="119"/>
  <c r="K343" i="119"/>
  <c r="K344" i="119"/>
  <c r="K346" i="119"/>
  <c r="K347" i="119"/>
  <c r="K348" i="119"/>
  <c r="K349" i="119"/>
  <c r="K350" i="119"/>
  <c r="K351" i="119"/>
  <c r="K352" i="119"/>
  <c r="K353" i="119"/>
  <c r="K354" i="119"/>
  <c r="K355" i="119"/>
  <c r="K356" i="119"/>
  <c r="K357" i="119"/>
  <c r="K358" i="119"/>
  <c r="K359" i="119"/>
  <c r="K360" i="119"/>
  <c r="K361" i="119"/>
  <c r="K362" i="119"/>
  <c r="K363" i="119"/>
  <c r="K364" i="119"/>
  <c r="K365" i="119"/>
  <c r="K366" i="119"/>
  <c r="K367" i="119"/>
  <c r="K368" i="119"/>
  <c r="K369" i="119"/>
  <c r="K370" i="119"/>
  <c r="L374" i="119"/>
  <c r="L375" i="119"/>
  <c r="L376" i="119"/>
  <c r="L377" i="119"/>
  <c r="L378" i="119"/>
  <c r="L379" i="119"/>
  <c r="L380" i="119"/>
  <c r="L381" i="119"/>
  <c r="L382" i="119"/>
  <c r="L383" i="119"/>
  <c r="L384" i="119"/>
  <c r="L385" i="119"/>
  <c r="L386" i="119"/>
  <c r="L387" i="119"/>
  <c r="L388" i="119"/>
  <c r="L389" i="119"/>
  <c r="L390" i="119"/>
  <c r="L391" i="119"/>
  <c r="L392" i="119"/>
  <c r="L393" i="119"/>
  <c r="L394" i="119"/>
  <c r="L395" i="119"/>
  <c r="L396" i="119"/>
  <c r="L397" i="119"/>
  <c r="L398" i="119"/>
  <c r="L399" i="119"/>
  <c r="L400" i="119"/>
  <c r="L401" i="119"/>
  <c r="L402" i="119"/>
  <c r="L403" i="119"/>
  <c r="L404" i="119"/>
  <c r="L405" i="119"/>
  <c r="L406" i="119"/>
  <c r="L407" i="119"/>
  <c r="L408" i="119"/>
  <c r="L409" i="119"/>
  <c r="L410" i="119"/>
  <c r="L411" i="119"/>
  <c r="L412" i="119"/>
  <c r="L413" i="119"/>
  <c r="M417" i="119"/>
  <c r="M418" i="119"/>
  <c r="M419" i="119"/>
  <c r="M420" i="119"/>
  <c r="M421" i="119"/>
  <c r="M422" i="119"/>
  <c r="M423" i="119"/>
  <c r="M424" i="119"/>
  <c r="M425" i="119"/>
  <c r="M426" i="119"/>
  <c r="M427" i="119"/>
  <c r="M428" i="119"/>
  <c r="M429" i="119"/>
  <c r="M430" i="119"/>
  <c r="M431" i="119"/>
  <c r="M432" i="119"/>
  <c r="M433" i="119"/>
  <c r="M434" i="119"/>
  <c r="M435" i="119"/>
  <c r="M436" i="119"/>
  <c r="M437" i="119"/>
  <c r="M438" i="119"/>
  <c r="M439" i="119"/>
  <c r="M440" i="119"/>
  <c r="M441" i="119"/>
  <c r="M442" i="119"/>
  <c r="M443" i="119"/>
  <c r="M444" i="119"/>
  <c r="M445" i="119"/>
  <c r="M446" i="119"/>
  <c r="M447" i="119"/>
  <c r="M448" i="119"/>
  <c r="M449" i="119"/>
  <c r="M450" i="119"/>
  <c r="M451" i="119"/>
  <c r="M452" i="119"/>
  <c r="M453" i="119"/>
  <c r="M454" i="119"/>
  <c r="M455" i="119"/>
  <c r="M456" i="119"/>
  <c r="K460" i="119"/>
  <c r="K461" i="119"/>
  <c r="K462" i="119"/>
  <c r="K463" i="119"/>
  <c r="K464" i="119"/>
  <c r="K465" i="119"/>
  <c r="K466" i="119"/>
  <c r="K467" i="119"/>
  <c r="K468" i="119"/>
  <c r="K469" i="119"/>
  <c r="K470" i="119"/>
  <c r="K471" i="119"/>
  <c r="K472" i="119"/>
  <c r="K473" i="119"/>
  <c r="K474" i="119"/>
  <c r="K475" i="119"/>
  <c r="K476" i="119"/>
  <c r="K477" i="119"/>
  <c r="K478" i="119"/>
  <c r="K479" i="119"/>
  <c r="K480" i="119"/>
  <c r="K481" i="119"/>
  <c r="K482" i="119"/>
  <c r="K483" i="119"/>
  <c r="K484" i="119"/>
  <c r="K485" i="119"/>
  <c r="K486" i="119"/>
  <c r="K487" i="119"/>
  <c r="K488" i="119"/>
  <c r="K489" i="119"/>
  <c r="K490" i="119"/>
  <c r="K491" i="119"/>
  <c r="K492" i="119"/>
  <c r="K493" i="119"/>
  <c r="K494" i="119"/>
  <c r="K495" i="119"/>
  <c r="K496" i="119"/>
  <c r="K497" i="119"/>
  <c r="K498" i="119"/>
  <c r="K499" i="119"/>
  <c r="M503" i="119"/>
  <c r="M504" i="119"/>
  <c r="M505" i="119"/>
  <c r="M506" i="119"/>
  <c r="M507" i="119"/>
  <c r="M508" i="119"/>
  <c r="L331" i="119"/>
  <c r="L332" i="119"/>
  <c r="L333" i="119"/>
  <c r="L334" i="119"/>
  <c r="L335" i="119"/>
  <c r="L337" i="119"/>
  <c r="L338" i="119"/>
  <c r="L339" i="119"/>
  <c r="L340" i="119"/>
  <c r="L341" i="119"/>
  <c r="L342" i="119"/>
  <c r="L343" i="119"/>
  <c r="L344" i="119"/>
  <c r="L345" i="119"/>
  <c r="L346" i="119"/>
  <c r="L347" i="119"/>
  <c r="L348" i="119"/>
  <c r="L349" i="119"/>
  <c r="L350" i="119"/>
  <c r="L351" i="119"/>
  <c r="L352" i="119"/>
  <c r="L353" i="119"/>
  <c r="L354" i="119"/>
  <c r="L355" i="119"/>
  <c r="L356" i="119"/>
  <c r="L357" i="119"/>
  <c r="L358" i="119"/>
  <c r="L359" i="119"/>
  <c r="L360" i="119"/>
  <c r="L361" i="119"/>
  <c r="L362" i="119"/>
  <c r="L363" i="119"/>
  <c r="L364" i="119"/>
  <c r="L365" i="119"/>
  <c r="L366" i="119"/>
  <c r="L367" i="119"/>
  <c r="L368" i="119"/>
  <c r="L369" i="119"/>
  <c r="L370" i="119"/>
  <c r="M374" i="119"/>
  <c r="M375" i="119"/>
  <c r="M376" i="119"/>
  <c r="M377" i="119"/>
  <c r="M378" i="119"/>
  <c r="M379" i="119"/>
  <c r="M380" i="119"/>
  <c r="M381" i="119"/>
  <c r="M382" i="119"/>
  <c r="M383" i="119"/>
  <c r="M384" i="119"/>
  <c r="M385" i="119"/>
  <c r="M386" i="119"/>
  <c r="M387" i="119"/>
  <c r="M388" i="119"/>
  <c r="M389" i="119"/>
  <c r="M390" i="119"/>
  <c r="M391" i="119"/>
  <c r="M392" i="119"/>
  <c r="M393" i="119"/>
  <c r="M394" i="119"/>
  <c r="M395" i="119"/>
  <c r="M396" i="119"/>
  <c r="M397" i="119"/>
  <c r="M398" i="119"/>
  <c r="M399" i="119"/>
  <c r="M400" i="119"/>
  <c r="M401" i="119"/>
  <c r="M402" i="119"/>
  <c r="M403" i="119"/>
  <c r="M404" i="119"/>
  <c r="M405" i="119"/>
  <c r="M406" i="119"/>
  <c r="M407" i="119"/>
  <c r="M408" i="119"/>
  <c r="M409" i="119"/>
  <c r="M410" i="119"/>
  <c r="M411" i="119"/>
  <c r="M412" i="119"/>
  <c r="M413" i="119"/>
  <c r="L460" i="119"/>
  <c r="L461" i="119"/>
  <c r="L462" i="119"/>
  <c r="L463" i="119"/>
  <c r="L464" i="119"/>
  <c r="L465" i="119"/>
  <c r="L466" i="119"/>
  <c r="L467" i="119"/>
  <c r="L468" i="119"/>
  <c r="L469" i="119"/>
  <c r="L470" i="119"/>
  <c r="L471" i="119"/>
  <c r="L472" i="119"/>
  <c r="L473" i="119"/>
  <c r="L474" i="119"/>
  <c r="L475" i="119"/>
  <c r="L476" i="119"/>
  <c r="L477" i="119"/>
  <c r="L478" i="119"/>
  <c r="L479" i="119"/>
  <c r="L480" i="119"/>
  <c r="L481" i="119"/>
  <c r="L482" i="119"/>
  <c r="L483" i="119"/>
  <c r="L484" i="119"/>
  <c r="L485" i="119"/>
  <c r="L486" i="119"/>
  <c r="L487" i="119"/>
  <c r="L488" i="119"/>
  <c r="L489" i="119"/>
  <c r="L490" i="119"/>
  <c r="L491" i="119"/>
  <c r="L492" i="119"/>
  <c r="L493" i="119"/>
  <c r="L494" i="119"/>
  <c r="L495" i="119"/>
  <c r="L496" i="119"/>
  <c r="L497" i="119"/>
  <c r="L498" i="119"/>
  <c r="L499" i="119"/>
  <c r="M331" i="119"/>
  <c r="M332" i="119"/>
  <c r="M333" i="119"/>
  <c r="M334" i="119"/>
  <c r="M335" i="119"/>
  <c r="M336" i="119"/>
  <c r="M337" i="119"/>
  <c r="M338" i="119"/>
  <c r="M339" i="119"/>
  <c r="M340" i="119"/>
  <c r="M341" i="119"/>
  <c r="M342" i="119"/>
  <c r="M343" i="119"/>
  <c r="M344" i="119"/>
  <c r="M345" i="119"/>
  <c r="M346" i="119"/>
  <c r="M347" i="119"/>
  <c r="M348" i="119"/>
  <c r="M349" i="119"/>
  <c r="M350" i="119"/>
  <c r="M351" i="119"/>
  <c r="M352" i="119"/>
  <c r="M353" i="119"/>
  <c r="M354" i="119"/>
  <c r="M355" i="119"/>
  <c r="M356" i="119"/>
  <c r="M357" i="119"/>
  <c r="M358" i="119"/>
  <c r="M359" i="119"/>
  <c r="M360" i="119"/>
  <c r="M361" i="119"/>
  <c r="M362" i="119"/>
  <c r="M363" i="119"/>
  <c r="M364" i="119"/>
  <c r="M365" i="119"/>
  <c r="M366" i="119"/>
  <c r="M367" i="119"/>
  <c r="M368" i="119"/>
  <c r="M369" i="119"/>
  <c r="M370" i="119"/>
  <c r="K417" i="119"/>
  <c r="K418" i="119"/>
  <c r="K419" i="119"/>
  <c r="K420" i="119"/>
  <c r="K421" i="119"/>
  <c r="K422" i="119"/>
  <c r="K423" i="119"/>
  <c r="K424" i="119"/>
  <c r="K425" i="119"/>
  <c r="K426" i="119"/>
  <c r="K427" i="119"/>
  <c r="K428" i="119"/>
  <c r="K429" i="119"/>
  <c r="K430" i="119"/>
  <c r="K431" i="119"/>
  <c r="K433" i="119"/>
  <c r="K434" i="119"/>
  <c r="K435" i="119"/>
  <c r="K436" i="119"/>
  <c r="K437" i="119"/>
  <c r="K438" i="119"/>
  <c r="K439" i="119"/>
  <c r="K440" i="119"/>
  <c r="K441" i="119"/>
  <c r="K442" i="119"/>
  <c r="K443" i="119"/>
  <c r="K444" i="119"/>
  <c r="K445" i="119"/>
  <c r="K446" i="119"/>
  <c r="K447" i="119"/>
  <c r="K448" i="119"/>
  <c r="K449" i="119"/>
  <c r="K450" i="119"/>
  <c r="K451" i="119"/>
  <c r="K452" i="119"/>
  <c r="K453" i="119"/>
  <c r="K454" i="119"/>
  <c r="K455" i="119"/>
  <c r="K456" i="119"/>
  <c r="M460" i="119"/>
  <c r="M461" i="119"/>
  <c r="M462" i="119"/>
  <c r="M463" i="119"/>
  <c r="M464" i="119"/>
  <c r="M465" i="119"/>
  <c r="M466" i="119"/>
  <c r="M467" i="119"/>
  <c r="M468" i="119"/>
  <c r="M469" i="119"/>
  <c r="M470" i="119"/>
  <c r="M471" i="119"/>
  <c r="M472" i="119"/>
  <c r="M473" i="119"/>
  <c r="M474" i="119"/>
  <c r="M475" i="119"/>
  <c r="M476" i="119"/>
  <c r="M477" i="119"/>
  <c r="M478" i="119"/>
  <c r="M479" i="119"/>
  <c r="M480" i="119"/>
  <c r="M481" i="119"/>
  <c r="M482" i="119"/>
  <c r="M483" i="119"/>
  <c r="M484" i="119"/>
  <c r="M485" i="119"/>
  <c r="M486" i="119"/>
  <c r="M487" i="119"/>
  <c r="M488" i="119"/>
  <c r="M489" i="119"/>
  <c r="M490" i="119"/>
  <c r="M491" i="119"/>
  <c r="M492" i="119"/>
  <c r="M493" i="119"/>
  <c r="M494" i="119"/>
  <c r="M495" i="119"/>
  <c r="M496" i="119"/>
  <c r="M497" i="119"/>
  <c r="K374" i="119"/>
  <c r="K375" i="119"/>
  <c r="K376" i="119"/>
  <c r="K377" i="119"/>
  <c r="K378" i="119"/>
  <c r="K379" i="119"/>
  <c r="K380" i="119"/>
  <c r="K381" i="119"/>
  <c r="K382" i="119"/>
  <c r="K383" i="119"/>
  <c r="K384" i="119"/>
  <c r="K385" i="119"/>
  <c r="K386" i="119"/>
  <c r="K387" i="119"/>
  <c r="K388" i="119"/>
  <c r="K389" i="119"/>
  <c r="K390" i="119"/>
  <c r="K391" i="119"/>
  <c r="K392" i="119"/>
  <c r="K393" i="119"/>
  <c r="K394" i="119"/>
  <c r="K395" i="119"/>
  <c r="K396" i="119"/>
  <c r="K397" i="119"/>
  <c r="K398" i="119"/>
  <c r="K399" i="119"/>
  <c r="K400" i="119"/>
  <c r="K401" i="119"/>
  <c r="K402" i="119"/>
  <c r="K403" i="119"/>
  <c r="K404" i="119"/>
  <c r="K405" i="119"/>
  <c r="K406" i="119"/>
  <c r="K407" i="119"/>
  <c r="K408" i="119"/>
  <c r="K409" i="119"/>
  <c r="K410" i="119"/>
  <c r="K411" i="119"/>
  <c r="K412" i="119"/>
  <c r="K413" i="119"/>
  <c r="L417" i="119"/>
  <c r="L418" i="119"/>
  <c r="L419" i="119"/>
  <c r="L420" i="119"/>
  <c r="L421" i="119"/>
  <c r="L422" i="119"/>
  <c r="L423" i="119"/>
  <c r="L424" i="119"/>
  <c r="L425" i="119"/>
  <c r="L426" i="119"/>
  <c r="L427" i="119"/>
  <c r="L428" i="119"/>
  <c r="L429" i="119"/>
  <c r="L430" i="119"/>
  <c r="L431" i="119"/>
  <c r="L432" i="119"/>
  <c r="L433" i="119"/>
  <c r="L434" i="119"/>
  <c r="L435" i="119"/>
  <c r="L436" i="119"/>
  <c r="L437" i="119"/>
  <c r="L438" i="119"/>
  <c r="L439" i="119"/>
  <c r="L440" i="119"/>
  <c r="L441" i="119"/>
  <c r="L442" i="119"/>
  <c r="L443" i="119"/>
  <c r="L444" i="119"/>
  <c r="L445" i="119"/>
  <c r="L446" i="119"/>
  <c r="L447" i="119"/>
  <c r="L448" i="119"/>
  <c r="L449" i="119"/>
  <c r="L450" i="119"/>
  <c r="L451" i="119"/>
  <c r="L452" i="119"/>
  <c r="L453" i="119"/>
  <c r="L454" i="119"/>
  <c r="L455" i="119"/>
  <c r="L456" i="119"/>
  <c r="L503" i="119"/>
  <c r="L504" i="119"/>
  <c r="L505" i="119"/>
  <c r="L506" i="119"/>
  <c r="M498" i="119"/>
  <c r="K505" i="119"/>
  <c r="K509" i="119"/>
  <c r="K511" i="119"/>
  <c r="K512" i="119"/>
  <c r="K513" i="119"/>
  <c r="K515" i="119"/>
  <c r="K516" i="119"/>
  <c r="K517" i="119"/>
  <c r="K518" i="119"/>
  <c r="K523" i="119"/>
  <c r="K525" i="119"/>
  <c r="K526" i="119"/>
  <c r="K527" i="119"/>
  <c r="K528" i="119"/>
  <c r="K529" i="119"/>
  <c r="K530" i="119"/>
  <c r="K532" i="119"/>
  <c r="K533" i="119"/>
  <c r="K535" i="119"/>
  <c r="K537" i="119"/>
  <c r="K538" i="119"/>
  <c r="K540" i="119"/>
  <c r="K541" i="119"/>
  <c r="K542" i="119"/>
  <c r="M546" i="119"/>
  <c r="M547" i="119"/>
  <c r="M548" i="119"/>
  <c r="M549" i="119"/>
  <c r="M550" i="119"/>
  <c r="M551" i="119"/>
  <c r="M552" i="119"/>
  <c r="M553" i="119"/>
  <c r="M554" i="119"/>
  <c r="M555" i="119"/>
  <c r="M556" i="119"/>
  <c r="M557" i="119"/>
  <c r="M558" i="119"/>
  <c r="M559" i="119"/>
  <c r="M560" i="119"/>
  <c r="M561" i="119"/>
  <c r="M562" i="119"/>
  <c r="M563" i="119"/>
  <c r="M564" i="119"/>
  <c r="M565" i="119"/>
  <c r="M566" i="119"/>
  <c r="M567" i="119"/>
  <c r="M568" i="119"/>
  <c r="M569" i="119"/>
  <c r="M570" i="119"/>
  <c r="M571" i="119"/>
  <c r="M572" i="119"/>
  <c r="M573" i="119"/>
  <c r="M574" i="119"/>
  <c r="M575" i="119"/>
  <c r="M576" i="119"/>
  <c r="M577" i="119"/>
  <c r="M578" i="119"/>
  <c r="M579" i="119"/>
  <c r="M580" i="119"/>
  <c r="M581" i="119"/>
  <c r="M582" i="119"/>
  <c r="M583" i="119"/>
  <c r="M584" i="119"/>
  <c r="M585" i="119"/>
  <c r="K589" i="119"/>
  <c r="K590" i="119"/>
  <c r="K591" i="119"/>
  <c r="K593" i="119"/>
  <c r="K594" i="119"/>
  <c r="K595" i="119"/>
  <c r="K596" i="119"/>
  <c r="K598" i="119"/>
  <c r="K599" i="119"/>
  <c r="K600" i="119"/>
  <c r="K603" i="119"/>
  <c r="K604" i="119"/>
  <c r="K605" i="119"/>
  <c r="K606" i="119"/>
  <c r="K607" i="119"/>
  <c r="K608" i="119"/>
  <c r="K610" i="119"/>
  <c r="K611" i="119"/>
  <c r="K612" i="119"/>
  <c r="K613" i="119"/>
  <c r="K614" i="119"/>
  <c r="K615" i="119"/>
  <c r="K616" i="119"/>
  <c r="K617" i="119"/>
  <c r="K620" i="119"/>
  <c r="K622" i="119"/>
  <c r="K623" i="119"/>
  <c r="K624" i="119"/>
  <c r="K625" i="119"/>
  <c r="K626" i="119"/>
  <c r="K628" i="119"/>
  <c r="M632" i="119"/>
  <c r="M633" i="119"/>
  <c r="M634" i="119"/>
  <c r="M635" i="119"/>
  <c r="M636" i="119"/>
  <c r="M637" i="119"/>
  <c r="M638" i="119"/>
  <c r="M639" i="119"/>
  <c r="M640" i="119"/>
  <c r="M641" i="119"/>
  <c r="M642" i="119"/>
  <c r="M643" i="119"/>
  <c r="M644" i="119"/>
  <c r="M645" i="119"/>
  <c r="M646" i="119"/>
  <c r="M647" i="119"/>
  <c r="M648" i="119"/>
  <c r="M649" i="119"/>
  <c r="M650" i="119"/>
  <c r="M651" i="119"/>
  <c r="M652" i="119"/>
  <c r="M653" i="119"/>
  <c r="M654" i="119"/>
  <c r="M655" i="119"/>
  <c r="M656" i="119"/>
  <c r="M657" i="119"/>
  <c r="M658" i="119"/>
  <c r="M659" i="119"/>
  <c r="M660" i="119"/>
  <c r="M661" i="119"/>
  <c r="M662" i="119"/>
  <c r="M663" i="119"/>
  <c r="M664" i="119"/>
  <c r="M665" i="119"/>
  <c r="M666" i="119"/>
  <c r="M667" i="119"/>
  <c r="M668" i="119"/>
  <c r="M669" i="119"/>
  <c r="M670" i="119"/>
  <c r="M671" i="119"/>
  <c r="K675" i="119"/>
  <c r="K676" i="119"/>
  <c r="K677" i="119"/>
  <c r="K678" i="119"/>
  <c r="K679" i="119"/>
  <c r="K680" i="119"/>
  <c r="K681" i="119"/>
  <c r="K682" i="119"/>
  <c r="K683" i="119"/>
  <c r="K684" i="119"/>
  <c r="K685" i="119"/>
  <c r="K686" i="119"/>
  <c r="M499" i="119"/>
  <c r="K506" i="119"/>
  <c r="K508" i="119"/>
  <c r="L509" i="119"/>
  <c r="L510" i="119"/>
  <c r="L511" i="119"/>
  <c r="L512" i="119"/>
  <c r="L513" i="119"/>
  <c r="L514" i="119"/>
  <c r="L515" i="119"/>
  <c r="L516" i="119"/>
  <c r="L517" i="119"/>
  <c r="L518" i="119"/>
  <c r="L519" i="119"/>
  <c r="L520" i="119"/>
  <c r="L521" i="119"/>
  <c r="L522" i="119"/>
  <c r="L523" i="119"/>
  <c r="L524" i="119"/>
  <c r="L525" i="119"/>
  <c r="L526" i="119"/>
  <c r="L527" i="119"/>
  <c r="L528" i="119"/>
  <c r="L529" i="119"/>
  <c r="L530" i="119"/>
  <c r="L531" i="119"/>
  <c r="L532" i="119"/>
  <c r="L533" i="119"/>
  <c r="L534" i="119"/>
  <c r="L535" i="119"/>
  <c r="L536" i="119"/>
  <c r="L537" i="119"/>
  <c r="L538" i="119"/>
  <c r="L539" i="119"/>
  <c r="L540" i="119"/>
  <c r="L541" i="119"/>
  <c r="L542" i="119"/>
  <c r="L589" i="119"/>
  <c r="L590" i="119"/>
  <c r="L591" i="119"/>
  <c r="L592" i="119"/>
  <c r="L593" i="119"/>
  <c r="L594" i="119"/>
  <c r="L595" i="119"/>
  <c r="L596" i="119"/>
  <c r="L597" i="119"/>
  <c r="L598" i="119"/>
  <c r="L599" i="119"/>
  <c r="L600" i="119"/>
  <c r="L601" i="119"/>
  <c r="L602" i="119"/>
  <c r="L603" i="119"/>
  <c r="L604" i="119"/>
  <c r="L605" i="119"/>
  <c r="L606" i="119"/>
  <c r="L607" i="119"/>
  <c r="L608" i="119"/>
  <c r="L609" i="119"/>
  <c r="L610" i="119"/>
  <c r="L611" i="119"/>
  <c r="L612" i="119"/>
  <c r="L613" i="119"/>
  <c r="L614" i="119"/>
  <c r="L615" i="119"/>
  <c r="L616" i="119"/>
  <c r="L617" i="119"/>
  <c r="L618" i="119"/>
  <c r="L619" i="119"/>
  <c r="L620" i="119"/>
  <c r="L621" i="119"/>
  <c r="L622" i="119"/>
  <c r="L623" i="119"/>
  <c r="L624" i="119"/>
  <c r="L625" i="119"/>
  <c r="L626" i="119"/>
  <c r="L627" i="119"/>
  <c r="L628" i="119"/>
  <c r="L675" i="119"/>
  <c r="L676" i="119"/>
  <c r="L677" i="119"/>
  <c r="L678" i="119"/>
  <c r="L679" i="119"/>
  <c r="L680" i="119"/>
  <c r="L681" i="119"/>
  <c r="L682" i="119"/>
  <c r="L683" i="119"/>
  <c r="L684" i="119"/>
  <c r="L685" i="119"/>
  <c r="K503" i="119"/>
  <c r="K507" i="119"/>
  <c r="L508" i="119"/>
  <c r="M509" i="119"/>
  <c r="M510" i="119"/>
  <c r="M511" i="119"/>
  <c r="M512" i="119"/>
  <c r="M513" i="119"/>
  <c r="M514" i="119"/>
  <c r="M515" i="119"/>
  <c r="M516" i="119"/>
  <c r="M517" i="119"/>
  <c r="M518" i="119"/>
  <c r="M519" i="119"/>
  <c r="M520" i="119"/>
  <c r="M521" i="119"/>
  <c r="M522" i="119"/>
  <c r="M523" i="119"/>
  <c r="M524" i="119"/>
  <c r="M525" i="119"/>
  <c r="M526" i="119"/>
  <c r="M527" i="119"/>
  <c r="M528" i="119"/>
  <c r="M529" i="119"/>
  <c r="M530" i="119"/>
  <c r="M531" i="119"/>
  <c r="M532" i="119"/>
  <c r="M533" i="119"/>
  <c r="M534" i="119"/>
  <c r="M535" i="119"/>
  <c r="M536" i="119"/>
  <c r="M537" i="119"/>
  <c r="M538" i="119"/>
  <c r="M539" i="119"/>
  <c r="M540" i="119"/>
  <c r="M541" i="119"/>
  <c r="M542" i="119"/>
  <c r="K546" i="119"/>
  <c r="K547" i="119"/>
  <c r="K548" i="119"/>
  <c r="K549" i="119"/>
  <c r="K550" i="119"/>
  <c r="K551" i="119"/>
  <c r="K553" i="119"/>
  <c r="K554" i="119"/>
  <c r="K556" i="119"/>
  <c r="K557" i="119"/>
  <c r="K558" i="119"/>
  <c r="K559" i="119"/>
  <c r="K562" i="119"/>
  <c r="K564" i="119"/>
  <c r="K565" i="119"/>
  <c r="K566" i="119"/>
  <c r="K568" i="119"/>
  <c r="K569" i="119"/>
  <c r="K570" i="119"/>
  <c r="K574" i="119"/>
  <c r="K575" i="119"/>
  <c r="K576" i="119"/>
  <c r="K578" i="119"/>
  <c r="K581" i="119"/>
  <c r="K582" i="119"/>
  <c r="K583" i="119"/>
  <c r="K584" i="119"/>
  <c r="K585" i="119"/>
  <c r="M589" i="119"/>
  <c r="M590" i="119"/>
  <c r="M591" i="119"/>
  <c r="M592" i="119"/>
  <c r="M593" i="119"/>
  <c r="M594" i="119"/>
  <c r="M595" i="119"/>
  <c r="M596" i="119"/>
  <c r="M597" i="119"/>
  <c r="M598" i="119"/>
  <c r="M599" i="119"/>
  <c r="M600" i="119"/>
  <c r="M601" i="119"/>
  <c r="M602" i="119"/>
  <c r="M603" i="119"/>
  <c r="M604" i="119"/>
  <c r="M605" i="119"/>
  <c r="M606" i="119"/>
  <c r="M607" i="119"/>
  <c r="M608" i="119"/>
  <c r="M609" i="119"/>
  <c r="M610" i="119"/>
  <c r="M611" i="119"/>
  <c r="M612" i="119"/>
  <c r="M613" i="119"/>
  <c r="M614" i="119"/>
  <c r="M615" i="119"/>
  <c r="M616" i="119"/>
  <c r="M617" i="119"/>
  <c r="M618" i="119"/>
  <c r="M619" i="119"/>
  <c r="M620" i="119"/>
  <c r="M621" i="119"/>
  <c r="M622" i="119"/>
  <c r="M623" i="119"/>
  <c r="M624" i="119"/>
  <c r="M625" i="119"/>
  <c r="M626" i="119"/>
  <c r="M627" i="119"/>
  <c r="M628" i="119"/>
  <c r="K632" i="119"/>
  <c r="K633" i="119"/>
  <c r="K634" i="119"/>
  <c r="K635" i="119"/>
  <c r="K636" i="119"/>
  <c r="K637" i="119"/>
  <c r="K638" i="119"/>
  <c r="K640" i="119"/>
  <c r="K641" i="119"/>
  <c r="K642" i="119"/>
  <c r="K643" i="119"/>
  <c r="K644" i="119"/>
  <c r="K645" i="119"/>
  <c r="K646" i="119"/>
  <c r="K647" i="119"/>
  <c r="K648" i="119"/>
  <c r="K649" i="119"/>
  <c r="K650" i="119"/>
  <c r="K651" i="119"/>
  <c r="K652" i="119"/>
  <c r="K653" i="119"/>
  <c r="K654" i="119"/>
  <c r="K655" i="119"/>
  <c r="K656" i="119"/>
  <c r="K657" i="119"/>
  <c r="K658" i="119"/>
  <c r="K659" i="119"/>
  <c r="K660" i="119"/>
  <c r="K661" i="119"/>
  <c r="K662" i="119"/>
  <c r="K663" i="119"/>
  <c r="K664" i="119"/>
  <c r="K665" i="119"/>
  <c r="K666" i="119"/>
  <c r="K667" i="119"/>
  <c r="K668" i="119"/>
  <c r="K669" i="119"/>
  <c r="K670" i="119"/>
  <c r="K671" i="119"/>
  <c r="M675" i="119"/>
  <c r="M676" i="119"/>
  <c r="M677" i="119"/>
  <c r="M678" i="119"/>
  <c r="M679" i="119"/>
  <c r="M680" i="119"/>
  <c r="M681" i="119"/>
  <c r="M682" i="119"/>
  <c r="K504" i="119"/>
  <c r="L507" i="119"/>
  <c r="L546" i="119"/>
  <c r="L547" i="119"/>
  <c r="L548" i="119"/>
  <c r="L549" i="119"/>
  <c r="L550" i="119"/>
  <c r="L551" i="119"/>
  <c r="L552" i="119"/>
  <c r="L553" i="119"/>
  <c r="L554" i="119"/>
  <c r="L555" i="119"/>
  <c r="L556" i="119"/>
  <c r="L557" i="119"/>
  <c r="L558" i="119"/>
  <c r="L559" i="119"/>
  <c r="L560" i="119"/>
  <c r="L561" i="119"/>
  <c r="L562" i="119"/>
  <c r="L563" i="119"/>
  <c r="L564" i="119"/>
  <c r="L565" i="119"/>
  <c r="L566" i="119"/>
  <c r="L567" i="119"/>
  <c r="L568" i="119"/>
  <c r="L569" i="119"/>
  <c r="L570" i="119"/>
  <c r="L571" i="119"/>
  <c r="L572" i="119"/>
  <c r="L573" i="119"/>
  <c r="L574" i="119"/>
  <c r="L575" i="119"/>
  <c r="L576" i="119"/>
  <c r="L577" i="119"/>
  <c r="L578" i="119"/>
  <c r="L579" i="119"/>
  <c r="L580" i="119"/>
  <c r="L581" i="119"/>
  <c r="L582" i="119"/>
  <c r="L583" i="119"/>
  <c r="L584" i="119"/>
  <c r="L585" i="119"/>
  <c r="L632" i="119"/>
  <c r="L633" i="119"/>
  <c r="L634" i="119"/>
  <c r="L635" i="119"/>
  <c r="L636" i="119"/>
  <c r="L637" i="119"/>
  <c r="L638" i="119"/>
  <c r="L639" i="119"/>
  <c r="L640" i="119"/>
  <c r="L641" i="119"/>
  <c r="L642" i="119"/>
  <c r="L643" i="119"/>
  <c r="L644" i="119"/>
  <c r="L645" i="119"/>
  <c r="L646" i="119"/>
  <c r="L647" i="119"/>
  <c r="L648" i="119"/>
  <c r="L649" i="119"/>
  <c r="L650" i="119"/>
  <c r="L651" i="119"/>
  <c r="L652" i="119"/>
  <c r="L653" i="119"/>
  <c r="L654" i="119"/>
  <c r="L655" i="119"/>
  <c r="L656" i="119"/>
  <c r="L657" i="119"/>
  <c r="L658" i="119"/>
  <c r="L659" i="119"/>
  <c r="L660" i="119"/>
  <c r="L661" i="119"/>
  <c r="L662" i="119"/>
  <c r="L663" i="119"/>
  <c r="L664" i="119"/>
  <c r="L665" i="119"/>
  <c r="L666" i="119"/>
  <c r="L667" i="119"/>
  <c r="L668" i="119"/>
  <c r="L669" i="119"/>
  <c r="L670" i="119"/>
  <c r="L671" i="119"/>
  <c r="M683" i="119"/>
  <c r="M685" i="119"/>
  <c r="L718" i="119"/>
  <c r="L719" i="119"/>
  <c r="L720" i="119"/>
  <c r="L721" i="119"/>
  <c r="L722" i="119"/>
  <c r="L723" i="119"/>
  <c r="L724" i="119"/>
  <c r="L725" i="119"/>
  <c r="L726" i="119"/>
  <c r="L727" i="119"/>
  <c r="L728" i="119"/>
  <c r="L729" i="119"/>
  <c r="L730" i="119"/>
  <c r="L731" i="119"/>
  <c r="L732" i="119"/>
  <c r="L733" i="119"/>
  <c r="L734" i="119"/>
  <c r="L735" i="119"/>
  <c r="L736" i="119"/>
  <c r="L737" i="119"/>
  <c r="L738" i="119"/>
  <c r="L739" i="119"/>
  <c r="L740" i="119"/>
  <c r="L741" i="119"/>
  <c r="L742" i="119"/>
  <c r="L743" i="119"/>
  <c r="L744" i="119"/>
  <c r="L745" i="119"/>
  <c r="L746" i="119"/>
  <c r="L747" i="119"/>
  <c r="L748" i="119"/>
  <c r="L749" i="119"/>
  <c r="L750" i="119"/>
  <c r="L751" i="119"/>
  <c r="L752" i="119"/>
  <c r="L753" i="119"/>
  <c r="L754" i="119"/>
  <c r="L755" i="119"/>
  <c r="L756" i="119"/>
  <c r="L757" i="119"/>
  <c r="L804" i="119"/>
  <c r="L805" i="119"/>
  <c r="L806" i="119"/>
  <c r="L807" i="119"/>
  <c r="L808" i="119"/>
  <c r="L809" i="119"/>
  <c r="L810" i="119"/>
  <c r="L811" i="119"/>
  <c r="L812" i="119"/>
  <c r="L813" i="119"/>
  <c r="L814" i="119"/>
  <c r="L815" i="119"/>
  <c r="L816" i="119"/>
  <c r="L817" i="119"/>
  <c r="L818" i="119"/>
  <c r="L819" i="119"/>
  <c r="L820" i="119"/>
  <c r="L821" i="119"/>
  <c r="L822" i="119"/>
  <c r="L823" i="119"/>
  <c r="L824" i="119"/>
  <c r="L825" i="119"/>
  <c r="L826" i="119"/>
  <c r="L827" i="119"/>
  <c r="L828" i="119"/>
  <c r="L829" i="119"/>
  <c r="L830" i="119"/>
  <c r="L831" i="119"/>
  <c r="L832" i="119"/>
  <c r="L833" i="119"/>
  <c r="L834" i="119"/>
  <c r="L835" i="119"/>
  <c r="L836" i="119"/>
  <c r="L837" i="119"/>
  <c r="L838" i="119"/>
  <c r="L839" i="119"/>
  <c r="L840" i="119"/>
  <c r="L841" i="119"/>
  <c r="L842" i="119"/>
  <c r="L843" i="119"/>
  <c r="K687" i="119"/>
  <c r="K688" i="119"/>
  <c r="K689" i="119"/>
  <c r="K690" i="119"/>
  <c r="K691" i="119"/>
  <c r="K692" i="119"/>
  <c r="K693" i="119"/>
  <c r="K694" i="119"/>
  <c r="K695" i="119"/>
  <c r="K696" i="119"/>
  <c r="K697" i="119"/>
  <c r="K698" i="119"/>
  <c r="K699" i="119"/>
  <c r="K700" i="119"/>
  <c r="K701" i="119"/>
  <c r="K702" i="119"/>
  <c r="K703" i="119"/>
  <c r="K704" i="119"/>
  <c r="K705" i="119"/>
  <c r="K706" i="119"/>
  <c r="K707" i="119"/>
  <c r="K709" i="119"/>
  <c r="K710" i="119"/>
  <c r="K711" i="119"/>
  <c r="K712" i="119"/>
  <c r="K713" i="119"/>
  <c r="M718" i="119"/>
  <c r="M719" i="119"/>
  <c r="M720" i="119"/>
  <c r="M721" i="119"/>
  <c r="M722" i="119"/>
  <c r="M723" i="119"/>
  <c r="M724" i="119"/>
  <c r="M725" i="119"/>
  <c r="M726" i="119"/>
  <c r="M727" i="119"/>
  <c r="M728" i="119"/>
  <c r="M729" i="119"/>
  <c r="M730" i="119"/>
  <c r="M731" i="119"/>
  <c r="M732" i="119"/>
  <c r="M733" i="119"/>
  <c r="M734" i="119"/>
  <c r="M735" i="119"/>
  <c r="M736" i="119"/>
  <c r="M737" i="119"/>
  <c r="M738" i="119"/>
  <c r="M739" i="119"/>
  <c r="M740" i="119"/>
  <c r="M741" i="119"/>
  <c r="M742" i="119"/>
  <c r="M743" i="119"/>
  <c r="M744" i="119"/>
  <c r="M745" i="119"/>
  <c r="M746" i="119"/>
  <c r="M747" i="119"/>
  <c r="M748" i="119"/>
  <c r="M749" i="119"/>
  <c r="M750" i="119"/>
  <c r="M751" i="119"/>
  <c r="M752" i="119"/>
  <c r="M753" i="119"/>
  <c r="M754" i="119"/>
  <c r="M755" i="119"/>
  <c r="M756" i="119"/>
  <c r="M757" i="119"/>
  <c r="K761" i="119"/>
  <c r="K762" i="119"/>
  <c r="K763" i="119"/>
  <c r="K765" i="119"/>
  <c r="K766" i="119"/>
  <c r="K767" i="119"/>
  <c r="K768" i="119"/>
  <c r="K769" i="119"/>
  <c r="K770" i="119"/>
  <c r="K771" i="119"/>
  <c r="K772" i="119"/>
  <c r="K773" i="119"/>
  <c r="K774" i="119"/>
  <c r="K775" i="119"/>
  <c r="K776" i="119"/>
  <c r="K777" i="119"/>
  <c r="K778" i="119"/>
  <c r="K779" i="119"/>
  <c r="K780" i="119"/>
  <c r="K781" i="119"/>
  <c r="K782" i="119"/>
  <c r="K783" i="119"/>
  <c r="K784" i="119"/>
  <c r="K785" i="119"/>
  <c r="K786" i="119"/>
  <c r="K787" i="119"/>
  <c r="K788" i="119"/>
  <c r="K789" i="119"/>
  <c r="K790" i="119"/>
  <c r="K791" i="119"/>
  <c r="K793" i="119"/>
  <c r="K794" i="119"/>
  <c r="K795" i="119"/>
  <c r="K796" i="119"/>
  <c r="K797" i="119"/>
  <c r="K798" i="119"/>
  <c r="K799" i="119"/>
  <c r="K800" i="119"/>
  <c r="M804" i="119"/>
  <c r="M805" i="119"/>
  <c r="M806" i="119"/>
  <c r="M807" i="119"/>
  <c r="M808" i="119"/>
  <c r="M809" i="119"/>
  <c r="M810" i="119"/>
  <c r="M811" i="119"/>
  <c r="M812" i="119"/>
  <c r="M813" i="119"/>
  <c r="M814" i="119"/>
  <c r="M815" i="119"/>
  <c r="M816" i="119"/>
  <c r="M817" i="119"/>
  <c r="M818" i="119"/>
  <c r="M819" i="119"/>
  <c r="M820" i="119"/>
  <c r="M821" i="119"/>
  <c r="M822" i="119"/>
  <c r="M823" i="119"/>
  <c r="M824" i="119"/>
  <c r="M825" i="119"/>
  <c r="M826" i="119"/>
  <c r="M827" i="119"/>
  <c r="M828" i="119"/>
  <c r="M829" i="119"/>
  <c r="M830" i="119"/>
  <c r="M831" i="119"/>
  <c r="M832" i="119"/>
  <c r="M833" i="119"/>
  <c r="M834" i="119"/>
  <c r="M835" i="119"/>
  <c r="M836" i="119"/>
  <c r="M837" i="119"/>
  <c r="M838" i="119"/>
  <c r="M839" i="119"/>
  <c r="M840" i="119"/>
  <c r="M841" i="119"/>
  <c r="M842" i="119"/>
  <c r="M843" i="119"/>
  <c r="K847" i="119"/>
  <c r="K848" i="119"/>
  <c r="K849" i="119"/>
  <c r="K850" i="119"/>
  <c r="K852" i="119"/>
  <c r="K853" i="119"/>
  <c r="K854" i="119"/>
  <c r="K856" i="119"/>
  <c r="K857" i="119"/>
  <c r="K859" i="119"/>
  <c r="K860" i="119"/>
  <c r="K861" i="119"/>
  <c r="K862" i="119"/>
  <c r="K863" i="119"/>
  <c r="K864" i="119"/>
  <c r="K865" i="119"/>
  <c r="K866" i="119"/>
  <c r="M684" i="119"/>
  <c r="L686" i="119"/>
  <c r="L687" i="119"/>
  <c r="L688" i="119"/>
  <c r="L689" i="119"/>
  <c r="L690" i="119"/>
  <c r="L691" i="119"/>
  <c r="L692" i="119"/>
  <c r="L693" i="119"/>
  <c r="L694" i="119"/>
  <c r="L695" i="119"/>
  <c r="L696" i="119"/>
  <c r="L697" i="119"/>
  <c r="L698" i="119"/>
  <c r="L699" i="119"/>
  <c r="L700" i="119"/>
  <c r="L701" i="119"/>
  <c r="L702" i="119"/>
  <c r="L703" i="119"/>
  <c r="L704" i="119"/>
  <c r="L705" i="119"/>
  <c r="L706" i="119"/>
  <c r="L707" i="119"/>
  <c r="L708" i="119"/>
  <c r="L709" i="119"/>
  <c r="L710" i="119"/>
  <c r="L711" i="119"/>
  <c r="L712" i="119"/>
  <c r="L713" i="119"/>
  <c r="L714" i="119"/>
  <c r="L761" i="119"/>
  <c r="L762" i="119"/>
  <c r="L763" i="119"/>
  <c r="L764" i="119"/>
  <c r="L765" i="119"/>
  <c r="L766" i="119"/>
  <c r="L767" i="119"/>
  <c r="L768" i="119"/>
  <c r="L769" i="119"/>
  <c r="L770" i="119"/>
  <c r="L771" i="119"/>
  <c r="L772" i="119"/>
  <c r="L773" i="119"/>
  <c r="L774" i="119"/>
  <c r="L775" i="119"/>
  <c r="L776" i="119"/>
  <c r="L777" i="119"/>
  <c r="L778" i="119"/>
  <c r="L779" i="119"/>
  <c r="L780" i="119"/>
  <c r="L781" i="119"/>
  <c r="L782" i="119"/>
  <c r="L783" i="119"/>
  <c r="L784" i="119"/>
  <c r="L785" i="119"/>
  <c r="L786" i="119"/>
  <c r="L787" i="119"/>
  <c r="L788" i="119"/>
  <c r="L789" i="119"/>
  <c r="L790" i="119"/>
  <c r="L791" i="119"/>
  <c r="L792" i="119"/>
  <c r="L793" i="119"/>
  <c r="L794" i="119"/>
  <c r="L795" i="119"/>
  <c r="L796" i="119"/>
  <c r="L797" i="119"/>
  <c r="L798" i="119"/>
  <c r="L799" i="119"/>
  <c r="L800" i="119"/>
  <c r="M686" i="119"/>
  <c r="M687" i="119"/>
  <c r="M688" i="119"/>
  <c r="M689" i="119"/>
  <c r="M690" i="119"/>
  <c r="M691" i="119"/>
  <c r="M692" i="119"/>
  <c r="M693" i="119"/>
  <c r="M694" i="119"/>
  <c r="M695" i="119"/>
  <c r="M696" i="119"/>
  <c r="M697" i="119"/>
  <c r="M698" i="119"/>
  <c r="M699" i="119"/>
  <c r="M700" i="119"/>
  <c r="M701" i="119"/>
  <c r="M702" i="119"/>
  <c r="M703" i="119"/>
  <c r="M704" i="119"/>
  <c r="M705" i="119"/>
  <c r="M706" i="119"/>
  <c r="M707" i="119"/>
  <c r="M708" i="119"/>
  <c r="M709" i="119"/>
  <c r="M710" i="119"/>
  <c r="M711" i="119"/>
  <c r="M712" i="119"/>
  <c r="M713" i="119"/>
  <c r="M714" i="119"/>
  <c r="K718" i="119"/>
  <c r="K719" i="119"/>
  <c r="K720" i="119"/>
  <c r="K721" i="119"/>
  <c r="K722" i="119"/>
  <c r="K723" i="119"/>
  <c r="K724" i="119"/>
  <c r="K725" i="119"/>
  <c r="K726" i="119"/>
  <c r="K727" i="119"/>
  <c r="K728" i="119"/>
  <c r="K729" i="119"/>
  <c r="K730" i="119"/>
  <c r="K731" i="119"/>
  <c r="K732" i="119"/>
  <c r="K733" i="119"/>
  <c r="K734" i="119"/>
  <c r="K735" i="119"/>
  <c r="K736" i="119"/>
  <c r="K737" i="119"/>
  <c r="K738" i="119"/>
  <c r="K739" i="119"/>
  <c r="K740" i="119"/>
  <c r="K741" i="119"/>
  <c r="K742" i="119"/>
  <c r="K744" i="119"/>
  <c r="K745" i="119"/>
  <c r="K746" i="119"/>
  <c r="K747" i="119"/>
  <c r="K748" i="119"/>
  <c r="K749" i="119"/>
  <c r="K750" i="119"/>
  <c r="K751" i="119"/>
  <c r="K752" i="119"/>
  <c r="K753" i="119"/>
  <c r="K754" i="119"/>
  <c r="K755" i="119"/>
  <c r="K756" i="119"/>
  <c r="K757" i="119"/>
  <c r="M761" i="119"/>
  <c r="M762" i="119"/>
  <c r="M763" i="119"/>
  <c r="M764" i="119"/>
  <c r="M765" i="119"/>
  <c r="M766" i="119"/>
  <c r="M767" i="119"/>
  <c r="M768" i="119"/>
  <c r="M769" i="119"/>
  <c r="M770" i="119"/>
  <c r="M771" i="119"/>
  <c r="M772" i="119"/>
  <c r="M773" i="119"/>
  <c r="M774" i="119"/>
  <c r="M775" i="119"/>
  <c r="M776" i="119"/>
  <c r="M777" i="119"/>
  <c r="M778" i="119"/>
  <c r="M779" i="119"/>
  <c r="M780" i="119"/>
  <c r="M781" i="119"/>
  <c r="M782" i="119"/>
  <c r="M783" i="119"/>
  <c r="M784" i="119"/>
  <c r="M785" i="119"/>
  <c r="M786" i="119"/>
  <c r="M787" i="119"/>
  <c r="M788" i="119"/>
  <c r="M789" i="119"/>
  <c r="M790" i="119"/>
  <c r="M791" i="119"/>
  <c r="M792" i="119"/>
  <c r="M793" i="119"/>
  <c r="M794" i="119"/>
  <c r="M795" i="119"/>
  <c r="M796" i="119"/>
  <c r="M797" i="119"/>
  <c r="M798" i="119"/>
  <c r="M799" i="119"/>
  <c r="M800" i="119"/>
  <c r="K804" i="119"/>
  <c r="K805" i="119"/>
  <c r="K806" i="119"/>
  <c r="K807" i="119"/>
  <c r="K808" i="119"/>
  <c r="K809" i="119"/>
  <c r="K811" i="119"/>
  <c r="K812" i="119"/>
  <c r="K813" i="119"/>
  <c r="K814" i="119"/>
  <c r="K815" i="119"/>
  <c r="K816" i="119"/>
  <c r="K817" i="119"/>
  <c r="K818" i="119"/>
  <c r="K819" i="119"/>
  <c r="K820" i="119"/>
  <c r="K821" i="119"/>
  <c r="K822" i="119"/>
  <c r="K823" i="119"/>
  <c r="K824" i="119"/>
  <c r="K825" i="119"/>
  <c r="K826" i="119"/>
  <c r="K827" i="119"/>
  <c r="K828" i="119"/>
  <c r="K829" i="119"/>
  <c r="K830" i="119"/>
  <c r="K831" i="119"/>
  <c r="K832" i="119"/>
  <c r="K834" i="119"/>
  <c r="K835" i="119"/>
  <c r="K836" i="119"/>
  <c r="K837" i="119"/>
  <c r="K838" i="119"/>
  <c r="K839" i="119"/>
  <c r="K840" i="119"/>
  <c r="K841" i="119"/>
  <c r="K842" i="119"/>
  <c r="K843" i="119"/>
  <c r="M847" i="119"/>
  <c r="M848" i="119"/>
  <c r="M849" i="119"/>
  <c r="M850" i="119"/>
  <c r="M851" i="119"/>
  <c r="M852" i="119"/>
  <c r="M853" i="119"/>
  <c r="M854" i="119"/>
  <c r="M855" i="119"/>
  <c r="M856" i="119"/>
  <c r="M857" i="119"/>
  <c r="M858" i="119"/>
  <c r="M859" i="119"/>
  <c r="M860" i="119"/>
  <c r="M861" i="119"/>
  <c r="M862" i="119"/>
  <c r="M863" i="119"/>
  <c r="M864" i="119"/>
  <c r="M865" i="119"/>
  <c r="K868" i="119"/>
  <c r="K869" i="119"/>
  <c r="K870" i="119"/>
  <c r="K872" i="119"/>
  <c r="K873" i="119"/>
  <c r="K875" i="119"/>
  <c r="K876" i="119"/>
  <c r="K877" i="119"/>
  <c r="K878" i="119"/>
  <c r="K879" i="119"/>
  <c r="K880" i="119"/>
  <c r="K881" i="119"/>
  <c r="K882" i="119"/>
  <c r="K884" i="119"/>
  <c r="K885" i="119"/>
  <c r="M890" i="119"/>
  <c r="M891" i="119"/>
  <c r="M892" i="119"/>
  <c r="M893" i="119"/>
  <c r="M894" i="119"/>
  <c r="M895" i="119"/>
  <c r="M896" i="119"/>
  <c r="M897" i="119"/>
  <c r="M898" i="119"/>
  <c r="M899" i="119"/>
  <c r="M900" i="119"/>
  <c r="M901" i="119"/>
  <c r="M902" i="119"/>
  <c r="M903" i="119"/>
  <c r="M904" i="119"/>
  <c r="M905" i="119"/>
  <c r="M906" i="119"/>
  <c r="M907" i="119"/>
  <c r="M908" i="119"/>
  <c r="M909" i="119"/>
  <c r="M910" i="119"/>
  <c r="M911" i="119"/>
  <c r="M912" i="119"/>
  <c r="M913" i="119"/>
  <c r="M914" i="119"/>
  <c r="M915" i="119"/>
  <c r="M916" i="119"/>
  <c r="M917" i="119"/>
  <c r="M918" i="119"/>
  <c r="M919" i="119"/>
  <c r="M920" i="119"/>
  <c r="M921" i="119"/>
  <c r="M922" i="119"/>
  <c r="M923" i="119"/>
  <c r="M924" i="119"/>
  <c r="M925" i="119"/>
  <c r="M926" i="119"/>
  <c r="M927" i="119"/>
  <c r="M928" i="119"/>
  <c r="M929" i="119"/>
  <c r="K933" i="119"/>
  <c r="K934" i="119"/>
  <c r="K935" i="119"/>
  <c r="K936" i="119"/>
  <c r="K938" i="119"/>
  <c r="K939" i="119"/>
  <c r="K940" i="119"/>
  <c r="K942" i="119"/>
  <c r="K943" i="119"/>
  <c r="K944" i="119"/>
  <c r="K945" i="119"/>
  <c r="K946" i="119"/>
  <c r="K947" i="119"/>
  <c r="K948" i="119"/>
  <c r="K949" i="119"/>
  <c r="K950" i="119"/>
  <c r="K951" i="119"/>
  <c r="K952" i="119"/>
  <c r="K953" i="119"/>
  <c r="K954" i="119"/>
  <c r="K955" i="119"/>
  <c r="K956" i="119"/>
  <c r="K957" i="119"/>
  <c r="K958" i="119"/>
  <c r="K959" i="119"/>
  <c r="K960" i="119"/>
  <c r="K961" i="119"/>
  <c r="K962" i="119"/>
  <c r="K963" i="119"/>
  <c r="K964" i="119"/>
  <c r="K965" i="119"/>
  <c r="K967" i="119"/>
  <c r="K968" i="119"/>
  <c r="K969" i="119"/>
  <c r="K970" i="119"/>
  <c r="K971" i="119"/>
  <c r="L848" i="119"/>
  <c r="L850" i="119"/>
  <c r="L852" i="119"/>
  <c r="L854" i="119"/>
  <c r="L856" i="119"/>
  <c r="L858" i="119"/>
  <c r="L860" i="119"/>
  <c r="L862" i="119"/>
  <c r="L864" i="119"/>
  <c r="L867" i="119"/>
  <c r="L868" i="119"/>
  <c r="L869" i="119"/>
  <c r="L870" i="119"/>
  <c r="L871" i="119"/>
  <c r="L872" i="119"/>
  <c r="L873" i="119"/>
  <c r="L874" i="119"/>
  <c r="L875" i="119"/>
  <c r="L876" i="119"/>
  <c r="L877" i="119"/>
  <c r="L878" i="119"/>
  <c r="L879" i="119"/>
  <c r="L880" i="119"/>
  <c r="L881" i="119"/>
  <c r="L882" i="119"/>
  <c r="L883" i="119"/>
  <c r="L884" i="119"/>
  <c r="L885" i="119"/>
  <c r="L886" i="119"/>
  <c r="L933" i="119"/>
  <c r="L934" i="119"/>
  <c r="L935" i="119"/>
  <c r="L936" i="119"/>
  <c r="L937" i="119"/>
  <c r="L938" i="119"/>
  <c r="L939" i="119"/>
  <c r="L940" i="119"/>
  <c r="L941" i="119"/>
  <c r="L942" i="119"/>
  <c r="L943" i="119"/>
  <c r="L944" i="119"/>
  <c r="L945" i="119"/>
  <c r="L946" i="119"/>
  <c r="L947" i="119"/>
  <c r="L948" i="119"/>
  <c r="L949" i="119"/>
  <c r="L950" i="119"/>
  <c r="L951" i="119"/>
  <c r="L952" i="119"/>
  <c r="L953" i="119"/>
  <c r="L954" i="119"/>
  <c r="L955" i="119"/>
  <c r="L956" i="119"/>
  <c r="L957" i="119"/>
  <c r="L958" i="119"/>
  <c r="L959" i="119"/>
  <c r="L960" i="119"/>
  <c r="L961" i="119"/>
  <c r="L962" i="119"/>
  <c r="L963" i="119"/>
  <c r="L964" i="119"/>
  <c r="L965" i="119"/>
  <c r="L966" i="119"/>
  <c r="L967" i="119"/>
  <c r="L968" i="119"/>
  <c r="L969" i="119"/>
  <c r="L970" i="119"/>
  <c r="L971" i="119"/>
  <c r="L972" i="119"/>
  <c r="L1019" i="119"/>
  <c r="L1020" i="119"/>
  <c r="L1021" i="119"/>
  <c r="L1022" i="119"/>
  <c r="L1023" i="119"/>
  <c r="L1024" i="119"/>
  <c r="L1025" i="119"/>
  <c r="L1026" i="119"/>
  <c r="L1027" i="119"/>
  <c r="L866" i="119"/>
  <c r="M867" i="119"/>
  <c r="M868" i="119"/>
  <c r="M869" i="119"/>
  <c r="M870" i="119"/>
  <c r="M871" i="119"/>
  <c r="M872" i="119"/>
  <c r="M873" i="119"/>
  <c r="M874" i="119"/>
  <c r="M875" i="119"/>
  <c r="M876" i="119"/>
  <c r="M877" i="119"/>
  <c r="M878" i="119"/>
  <c r="M879" i="119"/>
  <c r="M880" i="119"/>
  <c r="M881" i="119"/>
  <c r="M882" i="119"/>
  <c r="M883" i="119"/>
  <c r="M884" i="119"/>
  <c r="M885" i="119"/>
  <c r="M886" i="119"/>
  <c r="K890" i="119"/>
  <c r="K891" i="119"/>
  <c r="K892" i="119"/>
  <c r="K893" i="119"/>
  <c r="K894" i="119"/>
  <c r="K896" i="119"/>
  <c r="K897" i="119"/>
  <c r="K898" i="119"/>
  <c r="K899" i="119"/>
  <c r="K900" i="119"/>
  <c r="K901" i="119"/>
  <c r="K902" i="119"/>
  <c r="K903" i="119"/>
  <c r="K904" i="119"/>
  <c r="K905" i="119"/>
  <c r="K906" i="119"/>
  <c r="K907" i="119"/>
  <c r="K908" i="119"/>
  <c r="K909" i="119"/>
  <c r="K910" i="119"/>
  <c r="K911" i="119"/>
  <c r="K912" i="119"/>
  <c r="K914" i="119"/>
  <c r="K915" i="119"/>
  <c r="K916" i="119"/>
  <c r="K917" i="119"/>
  <c r="K918" i="119"/>
  <c r="K919" i="119"/>
  <c r="K920" i="119"/>
  <c r="K921" i="119"/>
  <c r="K922" i="119"/>
  <c r="K923" i="119"/>
  <c r="K924" i="119"/>
  <c r="K925" i="119"/>
  <c r="K926" i="119"/>
  <c r="K927" i="119"/>
  <c r="K928" i="119"/>
  <c r="K929" i="119"/>
  <c r="M933" i="119"/>
  <c r="M934" i="119"/>
  <c r="M935" i="119"/>
  <c r="M936" i="119"/>
  <c r="M937" i="119"/>
  <c r="M938" i="119"/>
  <c r="M939" i="119"/>
  <c r="M940" i="119"/>
  <c r="M941" i="119"/>
  <c r="M942" i="119"/>
  <c r="M943" i="119"/>
  <c r="M944" i="119"/>
  <c r="M945" i="119"/>
  <c r="M946" i="119"/>
  <c r="M947" i="119"/>
  <c r="M948" i="119"/>
  <c r="M949" i="119"/>
  <c r="M950" i="119"/>
  <c r="M951" i="119"/>
  <c r="M952" i="119"/>
  <c r="M953" i="119"/>
  <c r="M954" i="119"/>
  <c r="M955" i="119"/>
  <c r="M956" i="119"/>
  <c r="M957" i="119"/>
  <c r="M958" i="119"/>
  <c r="M959" i="119"/>
  <c r="M960" i="119"/>
  <c r="M961" i="119"/>
  <c r="M962" i="119"/>
  <c r="M963" i="119"/>
  <c r="M964" i="119"/>
  <c r="M965" i="119"/>
  <c r="M966" i="119"/>
  <c r="M967" i="119"/>
  <c r="M968" i="119"/>
  <c r="M969" i="119"/>
  <c r="M970" i="119"/>
  <c r="M971" i="119"/>
  <c r="M972" i="119"/>
  <c r="K976" i="119"/>
  <c r="K977" i="119"/>
  <c r="K978" i="119"/>
  <c r="K979" i="119"/>
  <c r="K980" i="119"/>
  <c r="K981" i="119"/>
  <c r="K982" i="119"/>
  <c r="K983" i="119"/>
  <c r="K984" i="119"/>
  <c r="K985" i="119"/>
  <c r="K986" i="119"/>
  <c r="K987" i="119"/>
  <c r="K988" i="119"/>
  <c r="K989" i="119"/>
  <c r="K990" i="119"/>
  <c r="K991" i="119"/>
  <c r="K992" i="119"/>
  <c r="K993" i="119"/>
  <c r="K994" i="119"/>
  <c r="K995" i="119"/>
  <c r="K996" i="119"/>
  <c r="K997" i="119"/>
  <c r="K998" i="119"/>
  <c r="K999" i="119"/>
  <c r="K1000" i="119"/>
  <c r="K1001" i="119"/>
  <c r="K1002" i="119"/>
  <c r="K1003" i="119"/>
  <c r="K1004" i="119"/>
  <c r="K1005" i="119"/>
  <c r="K1006" i="119"/>
  <c r="K1007" i="119"/>
  <c r="K1008" i="119"/>
  <c r="K1009" i="119"/>
  <c r="K1010" i="119"/>
  <c r="K1011" i="119"/>
  <c r="K1012" i="119"/>
  <c r="K1013" i="119"/>
  <c r="K1014" i="119"/>
  <c r="K1015" i="119"/>
  <c r="M1019" i="119"/>
  <c r="M1020" i="119"/>
  <c r="M1021" i="119"/>
  <c r="M1022" i="119"/>
  <c r="M1023" i="119"/>
  <c r="M1024" i="119"/>
  <c r="M1025" i="119"/>
  <c r="M1026" i="119"/>
  <c r="M1027" i="119"/>
  <c r="M1028" i="119"/>
  <c r="M1029" i="119"/>
  <c r="M1030" i="119"/>
  <c r="M1031" i="119"/>
  <c r="M1032" i="119"/>
  <c r="M1033" i="119"/>
  <c r="M1034" i="119"/>
  <c r="M1035" i="119"/>
  <c r="L847" i="119"/>
  <c r="L849" i="119"/>
  <c r="L851" i="119"/>
  <c r="L853" i="119"/>
  <c r="L855" i="119"/>
  <c r="L857" i="119"/>
  <c r="L859" i="119"/>
  <c r="L861" i="119"/>
  <c r="L863" i="119"/>
  <c r="L865" i="119"/>
  <c r="M866" i="119"/>
  <c r="L890" i="119"/>
  <c r="L891" i="119"/>
  <c r="L892" i="119"/>
  <c r="L893" i="119"/>
  <c r="L894" i="119"/>
  <c r="L895" i="119"/>
  <c r="L896" i="119"/>
  <c r="L897" i="119"/>
  <c r="L898" i="119"/>
  <c r="L899" i="119"/>
  <c r="L900" i="119"/>
  <c r="L901" i="119"/>
  <c r="L902" i="119"/>
  <c r="L903" i="119"/>
  <c r="L904" i="119"/>
  <c r="L905" i="119"/>
  <c r="L906" i="119"/>
  <c r="L907" i="119"/>
  <c r="L908" i="119"/>
  <c r="L909" i="119"/>
  <c r="L910" i="119"/>
  <c r="L911" i="119"/>
  <c r="L912" i="119"/>
  <c r="L913" i="119"/>
  <c r="L914" i="119"/>
  <c r="L915" i="119"/>
  <c r="L916" i="119"/>
  <c r="L917" i="119"/>
  <c r="L918" i="119"/>
  <c r="L919" i="119"/>
  <c r="L920" i="119"/>
  <c r="L921" i="119"/>
  <c r="L922" i="119"/>
  <c r="L923" i="119"/>
  <c r="L924" i="119"/>
  <c r="L925" i="119"/>
  <c r="L926" i="119"/>
  <c r="L927" i="119"/>
  <c r="L928" i="119"/>
  <c r="L929" i="119"/>
  <c r="L976" i="119"/>
  <c r="L977" i="119"/>
  <c r="L978" i="119"/>
  <c r="L979" i="119"/>
  <c r="L980" i="119"/>
  <c r="L981" i="119"/>
  <c r="L982" i="119"/>
  <c r="L983" i="119"/>
  <c r="L984" i="119"/>
  <c r="L985" i="119"/>
  <c r="L986" i="119"/>
  <c r="L987" i="119"/>
  <c r="L988" i="119"/>
  <c r="L989" i="119"/>
  <c r="L990" i="119"/>
  <c r="L991" i="119"/>
  <c r="L992" i="119"/>
  <c r="L993" i="119"/>
  <c r="L994" i="119"/>
  <c r="L995" i="119"/>
  <c r="L996" i="119"/>
  <c r="L997" i="119"/>
  <c r="L998" i="119"/>
  <c r="L999" i="119"/>
  <c r="L1000" i="119"/>
  <c r="L1001" i="119"/>
  <c r="L1002" i="119"/>
  <c r="L1003" i="119"/>
  <c r="L1004" i="119"/>
  <c r="L1005" i="119"/>
  <c r="L1006" i="119"/>
  <c r="L1007" i="119"/>
  <c r="L1008" i="119"/>
  <c r="L1009" i="119"/>
  <c r="L1010" i="119"/>
  <c r="L1011" i="119"/>
  <c r="L1012" i="119"/>
  <c r="L1013" i="119"/>
  <c r="L1014" i="119"/>
  <c r="L1015" i="119"/>
  <c r="M1058" i="119"/>
  <c r="M1057" i="119"/>
  <c r="M1056" i="119"/>
  <c r="M1055" i="119"/>
  <c r="M1054" i="119"/>
  <c r="M1053" i="119"/>
  <c r="M1052" i="119"/>
  <c r="M1051" i="119"/>
  <c r="M1050" i="119"/>
  <c r="M1049" i="119"/>
  <c r="M1048" i="119"/>
  <c r="M1047" i="119"/>
  <c r="M1046" i="119"/>
  <c r="M1045" i="119"/>
  <c r="M1044" i="119"/>
  <c r="M1043" i="119"/>
  <c r="M1042" i="119"/>
  <c r="M1041" i="119"/>
  <c r="M1040" i="119"/>
  <c r="M1039" i="119"/>
  <c r="M1038" i="119"/>
  <c r="M1037" i="119"/>
  <c r="M1036" i="119"/>
  <c r="L1035" i="119"/>
  <c r="K1034" i="119"/>
  <c r="K1032" i="119"/>
  <c r="K1028" i="119"/>
  <c r="K1024" i="119"/>
  <c r="K1020" i="119"/>
  <c r="M1013" i="119"/>
  <c r="M1009" i="119"/>
  <c r="M1005" i="119"/>
  <c r="M1001" i="119"/>
  <c r="M997" i="119"/>
  <c r="M993" i="119"/>
  <c r="M989" i="119"/>
  <c r="M985" i="119"/>
  <c r="M981" i="119"/>
  <c r="M977" i="119"/>
  <c r="L1058" i="119"/>
  <c r="L1057" i="119"/>
  <c r="L1056" i="119"/>
  <c r="L1055" i="119"/>
  <c r="L1054" i="119"/>
  <c r="L1053" i="119"/>
  <c r="L1052" i="119"/>
  <c r="L1051" i="119"/>
  <c r="L1050" i="119"/>
  <c r="L1049" i="119"/>
  <c r="L1048" i="119"/>
  <c r="L1047" i="119"/>
  <c r="L1046" i="119"/>
  <c r="L1045" i="119"/>
  <c r="L1044" i="119"/>
  <c r="L1043" i="119"/>
  <c r="L1042" i="119"/>
  <c r="L1041" i="119"/>
  <c r="L1040" i="119"/>
  <c r="L1039" i="119"/>
  <c r="L1038" i="119"/>
  <c r="L1037" i="119"/>
  <c r="L1036" i="119"/>
  <c r="K1035" i="119"/>
  <c r="L1033" i="119"/>
  <c r="L1031" i="119"/>
  <c r="L1029" i="119"/>
  <c r="K1027" i="119"/>
  <c r="K1023" i="119"/>
  <c r="K1019" i="119"/>
  <c r="M1012" i="119"/>
  <c r="M1008" i="119"/>
  <c r="M1004" i="119"/>
  <c r="M1000" i="119"/>
  <c r="M996" i="119"/>
  <c r="M992" i="119"/>
  <c r="M988" i="119"/>
  <c r="M984" i="119"/>
  <c r="M980" i="119"/>
  <c r="M976" i="119"/>
  <c r="L223" i="119"/>
  <c r="L234" i="119"/>
  <c r="K236" i="119"/>
  <c r="K232" i="119"/>
  <c r="L241" i="119"/>
  <c r="K239" i="119"/>
  <c r="L230" i="119"/>
  <c r="K226" i="119"/>
  <c r="K228" i="119"/>
  <c r="K217" i="119"/>
  <c r="K219" i="119"/>
  <c r="L220" i="119"/>
  <c r="L216" i="119"/>
  <c r="L226" i="119"/>
  <c r="K203" i="119"/>
  <c r="K224" i="119"/>
  <c r="L206" i="119"/>
  <c r="L213" i="119"/>
  <c r="L202" i="119"/>
  <c r="K225" i="119"/>
  <c r="K1058" i="119"/>
  <c r="K1057" i="119"/>
  <c r="K1056" i="119"/>
  <c r="K1055" i="119"/>
  <c r="K1054" i="119"/>
  <c r="K1053" i="119"/>
  <c r="K1052" i="119"/>
  <c r="K1050" i="119"/>
  <c r="K1049" i="119"/>
  <c r="K1047" i="119"/>
  <c r="K1046" i="119"/>
  <c r="K1045" i="119"/>
  <c r="K1044" i="119"/>
  <c r="K1043" i="119"/>
  <c r="K1042" i="119"/>
  <c r="K1041" i="119"/>
  <c r="K1040" i="119"/>
  <c r="K1039" i="119"/>
  <c r="K1038" i="119"/>
  <c r="K1037" i="119"/>
  <c r="K1036" i="119"/>
  <c r="K1033" i="119"/>
  <c r="K1031" i="119"/>
  <c r="K1029" i="119"/>
  <c r="K1026" i="119"/>
  <c r="M1015" i="119"/>
  <c r="M1011" i="119"/>
  <c r="M1007" i="119"/>
  <c r="M1003" i="119"/>
  <c r="M999" i="119"/>
  <c r="M995" i="119"/>
  <c r="M991" i="119"/>
  <c r="M987" i="119"/>
  <c r="M983" i="119"/>
  <c r="M979" i="119"/>
  <c r="K218" i="119"/>
  <c r="K210" i="119"/>
  <c r="K202" i="119"/>
  <c r="L203" i="119"/>
  <c r="K233" i="119"/>
  <c r="L219" i="119"/>
  <c r="L229" i="119"/>
  <c r="L204" i="119"/>
  <c r="K204" i="119"/>
  <c r="L209" i="119"/>
  <c r="K211" i="119"/>
  <c r="L232" i="119"/>
  <c r="L225" i="119"/>
  <c r="L217" i="119"/>
  <c r="K216" i="119"/>
  <c r="L228" i="119"/>
  <c r="K231" i="119"/>
  <c r="L205" i="119"/>
  <c r="L1034" i="119"/>
  <c r="L1032" i="119"/>
  <c r="L1030" i="119"/>
  <c r="L1028" i="119"/>
  <c r="K1025" i="119"/>
  <c r="K1021" i="119"/>
  <c r="M1014" i="119"/>
  <c r="M1010" i="119"/>
  <c r="M1006" i="119"/>
  <c r="M1002" i="119"/>
  <c r="M998" i="119"/>
  <c r="M994" i="119"/>
  <c r="M990" i="119"/>
  <c r="M986" i="119"/>
  <c r="M982" i="119"/>
  <c r="M978" i="119"/>
  <c r="K972" i="119"/>
  <c r="BC893" i="16" l="1"/>
  <c r="BC894" i="16"/>
  <c r="BC895" i="16"/>
  <c r="BI680" i="16"/>
  <c r="AQ680" i="16"/>
  <c r="S639" i="119"/>
  <c r="BA680" i="16"/>
  <c r="AD714" i="16"/>
  <c r="AD672" i="16" s="1"/>
  <c r="BI672" i="16" s="1"/>
  <c r="BK672" i="16" s="1"/>
  <c r="BI604" i="16"/>
  <c r="BK604" i="16" s="1"/>
  <c r="S567" i="119"/>
  <c r="AT604" i="16"/>
  <c r="BA604" i="16"/>
  <c r="BE604" i="16" s="1"/>
  <c r="BF962" i="16"/>
  <c r="G888" i="182"/>
  <c r="O888" i="182" s="1"/>
  <c r="BF1155" i="16"/>
  <c r="G1073" i="182"/>
  <c r="O1073" i="182" s="1"/>
  <c r="BF461" i="16"/>
  <c r="G409" i="182"/>
  <c r="O409" i="182" s="1"/>
  <c r="L42" i="178"/>
  <c r="M135" i="198"/>
  <c r="M215" i="190"/>
  <c r="M178" i="30"/>
  <c r="T156" i="119"/>
  <c r="BE602" i="16"/>
  <c r="BI612" i="16"/>
  <c r="BK612" i="16" s="1"/>
  <c r="AT612" i="16"/>
  <c r="AQ612" i="16"/>
  <c r="BF892" i="16"/>
  <c r="G822" i="182"/>
  <c r="O822" i="182" s="1"/>
  <c r="BF903" i="16"/>
  <c r="G831" i="182"/>
  <c r="O831" i="182" s="1"/>
  <c r="BF802" i="16"/>
  <c r="G736" i="182"/>
  <c r="O736" i="182" s="1"/>
  <c r="P42" i="178"/>
  <c r="Q135" i="198"/>
  <c r="Q215" i="190"/>
  <c r="Q178" i="30"/>
  <c r="BE552" i="16"/>
  <c r="BK772" i="16"/>
  <c r="BJ804" i="16"/>
  <c r="BD1075" i="16"/>
  <c r="BD1073" i="16"/>
  <c r="BD1074" i="16"/>
  <c r="BD1076" i="16" s="1"/>
  <c r="BI1089" i="16"/>
  <c r="BK1089" i="16" s="1"/>
  <c r="AQ1089" i="16"/>
  <c r="S1030" i="119"/>
  <c r="BA1089" i="16"/>
  <c r="BE1089" i="16" s="1"/>
  <c r="AT1089" i="16"/>
  <c r="BI636" i="16"/>
  <c r="BK636" i="16" s="1"/>
  <c r="BA636" i="16"/>
  <c r="BE636" i="16" s="1"/>
  <c r="AQ636" i="16"/>
  <c r="S597" i="119"/>
  <c r="AT636" i="16"/>
  <c r="G1008" i="182"/>
  <c r="O1008" i="182" s="1"/>
  <c r="BF1088" i="16"/>
  <c r="BI788" i="16"/>
  <c r="AQ788" i="16"/>
  <c r="BA788" i="16"/>
  <c r="BE788" i="16" s="1"/>
  <c r="AT788" i="16"/>
  <c r="S743" i="119"/>
  <c r="AD804" i="16"/>
  <c r="AD762" i="16" s="1"/>
  <c r="BI762" i="16" s="1"/>
  <c r="BK762" i="16" s="1"/>
  <c r="BI597" i="16"/>
  <c r="BK597" i="16" s="1"/>
  <c r="BA597" i="16"/>
  <c r="BE597" i="16" s="1"/>
  <c r="S560" i="119"/>
  <c r="AT597" i="16"/>
  <c r="BI859" i="16"/>
  <c r="BK859" i="16" s="1"/>
  <c r="BA859" i="16"/>
  <c r="BE859" i="16" s="1"/>
  <c r="AT859" i="16"/>
  <c r="AQ859" i="16"/>
  <c r="S810" i="119"/>
  <c r="T42" i="178"/>
  <c r="U135" i="198"/>
  <c r="U178" i="30"/>
  <c r="U215" i="190"/>
  <c r="BF786" i="16"/>
  <c r="G720" i="182"/>
  <c r="G847" i="182"/>
  <c r="O847" i="182" s="1"/>
  <c r="BF919" i="16"/>
  <c r="BF1014" i="16"/>
  <c r="G938" i="182"/>
  <c r="O938" i="182" s="1"/>
  <c r="G363" i="182"/>
  <c r="O363" i="182" s="1"/>
  <c r="BF413" i="16"/>
  <c r="AQ444" i="16"/>
  <c r="BA762" i="16"/>
  <c r="BA147" i="16"/>
  <c r="BE147" i="16" s="1"/>
  <c r="AQ147" i="16"/>
  <c r="S118" i="119"/>
  <c r="AQ135" i="16"/>
  <c r="BI135" i="16"/>
  <c r="BK135" i="16" s="1"/>
  <c r="BA135" i="16"/>
  <c r="BA171" i="16"/>
  <c r="BE171" i="16" s="1"/>
  <c r="AT171" i="16"/>
  <c r="S122" i="119"/>
  <c r="BI139" i="16"/>
  <c r="BK139" i="16" s="1"/>
  <c r="BA139" i="16"/>
  <c r="BE139" i="16" s="1"/>
  <c r="BI167" i="16"/>
  <c r="BK167" i="16" s="1"/>
  <c r="AT167" i="16"/>
  <c r="BA143" i="16"/>
  <c r="BE143" i="16" s="1"/>
  <c r="AQ143" i="16"/>
  <c r="BI143" i="16"/>
  <c r="BK143" i="16" s="1"/>
  <c r="S126" i="119"/>
  <c r="AT143" i="16"/>
  <c r="BI159" i="16"/>
  <c r="BK159" i="16" s="1"/>
  <c r="AQ159" i="16"/>
  <c r="AT159" i="16"/>
  <c r="BA159" i="16"/>
  <c r="BE159" i="16" s="1"/>
  <c r="S142" i="119"/>
  <c r="BA151" i="16"/>
  <c r="BE151" i="16" s="1"/>
  <c r="AQ151" i="16"/>
  <c r="AT151" i="16"/>
  <c r="BI151" i="16"/>
  <c r="BK151" i="16" s="1"/>
  <c r="S134" i="119"/>
  <c r="O178" i="182"/>
  <c r="O179" i="182" s="1"/>
  <c r="P500" i="119"/>
  <c r="P501" i="119" s="1"/>
  <c r="P887" i="119"/>
  <c r="P888" i="119" s="1"/>
  <c r="P156" i="119"/>
  <c r="P157" i="119" s="1"/>
  <c r="P543" i="119"/>
  <c r="P544" i="119" s="1"/>
  <c r="G1061" i="182"/>
  <c r="O1061" i="182" s="1"/>
  <c r="BF1143" i="16"/>
  <c r="BF1160" i="16"/>
  <c r="BE177" i="16"/>
  <c r="BG264" i="16"/>
  <c r="BG266" i="16" s="1"/>
  <c r="BE379" i="16"/>
  <c r="BB402" i="16"/>
  <c r="BB717" i="16"/>
  <c r="BE718" i="16"/>
  <c r="BK628" i="16"/>
  <c r="BJ669" i="16"/>
  <c r="BB762" i="16"/>
  <c r="BE763" i="16"/>
  <c r="BE762" i="16" s="1"/>
  <c r="BJ939" i="16"/>
  <c r="BB1119" i="16"/>
  <c r="BB1118" i="16"/>
  <c r="BB1120" i="16"/>
  <c r="BI996" i="16"/>
  <c r="BK996" i="16" s="1"/>
  <c r="AT996" i="16"/>
  <c r="AQ996" i="16"/>
  <c r="S941" i="119"/>
  <c r="BA996" i="16"/>
  <c r="BE996" i="16" s="1"/>
  <c r="BI918" i="16"/>
  <c r="BK918" i="16" s="1"/>
  <c r="AT918" i="16"/>
  <c r="AQ918" i="16"/>
  <c r="BA918" i="16"/>
  <c r="BE918" i="16" s="1"/>
  <c r="S867" i="119"/>
  <c r="G974" i="182"/>
  <c r="O974" i="182" s="1"/>
  <c r="BF1052" i="16"/>
  <c r="BE930" i="16"/>
  <c r="BE262" i="16"/>
  <c r="BE1080" i="16"/>
  <c r="BF1102" i="16"/>
  <c r="G1022" i="182"/>
  <c r="O1022" i="182" s="1"/>
  <c r="G998" i="182"/>
  <c r="O998" i="182" s="1"/>
  <c r="BF1078" i="16"/>
  <c r="G971" i="182"/>
  <c r="O971" i="182" s="1"/>
  <c r="BF1049" i="16"/>
  <c r="BG579" i="16"/>
  <c r="BG581" i="16" s="1"/>
  <c r="BE562" i="16"/>
  <c r="BK602" i="16"/>
  <c r="BB850" i="16"/>
  <c r="BB848" i="16"/>
  <c r="BB849" i="16"/>
  <c r="BI292" i="16"/>
  <c r="BK292" i="16" s="1"/>
  <c r="AQ292" i="16"/>
  <c r="S269" i="119"/>
  <c r="BA292" i="16"/>
  <c r="BE292" i="16" s="1"/>
  <c r="BI463" i="16"/>
  <c r="BA463" i="16"/>
  <c r="BE463" i="16" s="1"/>
  <c r="AQ463" i="16"/>
  <c r="AT463" i="16"/>
  <c r="S432" i="119"/>
  <c r="BK997" i="16"/>
  <c r="BJ1029" i="16"/>
  <c r="BB222" i="16"/>
  <c r="BB267" i="16"/>
  <c r="BE268" i="16"/>
  <c r="BI640" i="16"/>
  <c r="BK640" i="16" s="1"/>
  <c r="AT640" i="16"/>
  <c r="S601" i="119"/>
  <c r="AQ640" i="16"/>
  <c r="BA640" i="16"/>
  <c r="BE640" i="16" s="1"/>
  <c r="BE673" i="16"/>
  <c r="BB672" i="16"/>
  <c r="BB627" i="16"/>
  <c r="BB942" i="16"/>
  <c r="BE943" i="16"/>
  <c r="BB987" i="16"/>
  <c r="BE988" i="16"/>
  <c r="BK1040" i="16"/>
  <c r="BK1074" i="16" s="1"/>
  <c r="BN1219" i="16" s="1"/>
  <c r="R119" i="36" s="1"/>
  <c r="V109" i="69" s="1"/>
  <c r="BI1074" i="16"/>
  <c r="BM1219" i="16" s="1"/>
  <c r="BI1081" i="16"/>
  <c r="BK1081" i="16" s="1"/>
  <c r="S1022" i="119"/>
  <c r="AT1081" i="16"/>
  <c r="AQ1081" i="16"/>
  <c r="BA1081" i="16"/>
  <c r="BE1081" i="16" s="1"/>
  <c r="BE223" i="16"/>
  <c r="BC1030" i="16"/>
  <c r="BC1028" i="16"/>
  <c r="BC1029" i="16"/>
  <c r="BE809" i="16"/>
  <c r="G1000" i="182"/>
  <c r="O1000" i="182" s="1"/>
  <c r="BF1080" i="16"/>
  <c r="BE1090" i="16"/>
  <c r="BE1102" i="16"/>
  <c r="BC1120" i="16"/>
  <c r="BC1119" i="16"/>
  <c r="BC1118" i="16"/>
  <c r="BE1092" i="16"/>
  <c r="G202" i="182"/>
  <c r="O202" i="182" s="1"/>
  <c r="BI1021" i="16"/>
  <c r="BK1021" i="16" s="1"/>
  <c r="AT1021" i="16"/>
  <c r="S966" i="119"/>
  <c r="AQ1021" i="16"/>
  <c r="BA1021" i="16"/>
  <c r="BE1021" i="16" s="1"/>
  <c r="AQ557" i="16"/>
  <c r="S522" i="119"/>
  <c r="AT557" i="16"/>
  <c r="BI557" i="16"/>
  <c r="BK557" i="16" s="1"/>
  <c r="BA557" i="16"/>
  <c r="BE557" i="16" s="1"/>
  <c r="BB177" i="16"/>
  <c r="BI948" i="16"/>
  <c r="BA948" i="16"/>
  <c r="BE948" i="16" s="1"/>
  <c r="AT948" i="16"/>
  <c r="AQ948" i="16"/>
  <c r="S895" i="119"/>
  <c r="BB1032" i="16"/>
  <c r="BE1034" i="16"/>
  <c r="BJ894" i="16"/>
  <c r="BB897" i="16"/>
  <c r="BE1093" i="16"/>
  <c r="G1010" i="182"/>
  <c r="O1010" i="182" s="1"/>
  <c r="BF1090" i="16"/>
  <c r="G973" i="182"/>
  <c r="O973" i="182" s="1"/>
  <c r="BF1051" i="16"/>
  <c r="BF1018" i="16"/>
  <c r="G942" i="182"/>
  <c r="O942" i="182" s="1"/>
  <c r="G987" i="182"/>
  <c r="O987" i="182" s="1"/>
  <c r="BF1065" i="16"/>
  <c r="BE1072" i="16"/>
  <c r="BE1078" i="16"/>
  <c r="BF227" i="16"/>
  <c r="G441" i="182"/>
  <c r="O441" i="182" s="1"/>
  <c r="BE575" i="16"/>
  <c r="BE590" i="16"/>
  <c r="BI555" i="16"/>
  <c r="BK555" i="16" s="1"/>
  <c r="BA555" i="16"/>
  <c r="BE555" i="16" s="1"/>
  <c r="AQ555" i="16"/>
  <c r="S520" i="119"/>
  <c r="AT555" i="16"/>
  <c r="BI660" i="16"/>
  <c r="BK660" i="16" s="1"/>
  <c r="BA660" i="16"/>
  <c r="BE660" i="16" s="1"/>
  <c r="AT660" i="16"/>
  <c r="S621" i="119"/>
  <c r="AQ660" i="16"/>
  <c r="BI592" i="16"/>
  <c r="BK592" i="16" s="1"/>
  <c r="S555" i="119"/>
  <c r="AT592" i="16"/>
  <c r="BB852" i="16"/>
  <c r="BE853" i="16"/>
  <c r="BI902" i="16"/>
  <c r="BK902" i="16" s="1"/>
  <c r="BA902" i="16"/>
  <c r="BE902" i="16" s="1"/>
  <c r="AQ902" i="16"/>
  <c r="S851" i="119"/>
  <c r="AT902" i="16"/>
  <c r="BK948" i="16"/>
  <c r="BJ984" i="16"/>
  <c r="BI882" i="16"/>
  <c r="BI894" i="16" s="1"/>
  <c r="BM1215" i="16" s="1"/>
  <c r="AT882" i="16"/>
  <c r="S833" i="119"/>
  <c r="AQ882" i="16"/>
  <c r="BA882" i="16"/>
  <c r="AD894" i="16"/>
  <c r="AD852" i="16" s="1"/>
  <c r="BI852" i="16" s="1"/>
  <c r="BK852" i="16" s="1"/>
  <c r="G858" i="182"/>
  <c r="O858" i="182" s="1"/>
  <c r="BF930" i="16"/>
  <c r="BF1093" i="16"/>
  <c r="G1013" i="182"/>
  <c r="O1013" i="182" s="1"/>
  <c r="BE403" i="16"/>
  <c r="BE402" i="16" s="1"/>
  <c r="BE1051" i="16"/>
  <c r="BE1018" i="16"/>
  <c r="G994" i="182"/>
  <c r="O994" i="182" s="1"/>
  <c r="BF1072" i="16"/>
  <c r="BE1086" i="16"/>
  <c r="G1012" i="182"/>
  <c r="O1012" i="182" s="1"/>
  <c r="BF1092" i="16"/>
  <c r="BE1049" i="16"/>
  <c r="BA1032" i="16"/>
  <c r="AQ1074" i="16"/>
  <c r="G220" i="182"/>
  <c r="O220" i="182" s="1"/>
  <c r="BE1135" i="16"/>
  <c r="G1077" i="182"/>
  <c r="O1077" i="182" s="1"/>
  <c r="BF1159" i="16"/>
  <c r="G1053" i="182"/>
  <c r="O1053" i="182" s="1"/>
  <c r="BF1135" i="16"/>
  <c r="BE1159" i="16"/>
  <c r="BE1161" i="16"/>
  <c r="BE1123" i="16"/>
  <c r="BB1122" i="16"/>
  <c r="BC1163" i="16"/>
  <c r="BC1165" i="16"/>
  <c r="BC1164" i="16"/>
  <c r="AB121" i="36" s="1"/>
  <c r="AF111" i="69" s="1"/>
  <c r="G1079" i="182"/>
  <c r="O1079" i="182" s="1"/>
  <c r="BF1161" i="16"/>
  <c r="Q195" i="197"/>
  <c r="AZ24" i="195"/>
  <c r="S192" i="197" s="1"/>
  <c r="AZ66" i="195"/>
  <c r="AZ25" i="195"/>
  <c r="S193" i="197" s="1"/>
  <c r="BB21" i="195"/>
  <c r="U189" i="197" s="1"/>
  <c r="T189" i="197"/>
  <c r="C181" i="159"/>
  <c r="BE596" i="16"/>
  <c r="AG84" i="16"/>
  <c r="BF592" i="16"/>
  <c r="G534" i="182"/>
  <c r="O534" i="182" s="1"/>
  <c r="BJ582" i="16"/>
  <c r="BG582" i="16"/>
  <c r="BG624" i="16" s="1"/>
  <c r="BG626" i="16" s="1"/>
  <c r="BI610" i="16"/>
  <c r="AT610" i="16"/>
  <c r="BA610" i="16"/>
  <c r="BE610" i="16" s="1"/>
  <c r="AQ610" i="16"/>
  <c r="S573" i="119"/>
  <c r="BB582" i="16"/>
  <c r="G526" i="182"/>
  <c r="O526" i="182" s="1"/>
  <c r="BF584" i="16"/>
  <c r="BF606" i="16"/>
  <c r="G548" i="182"/>
  <c r="O548" i="182" s="1"/>
  <c r="BE595" i="16"/>
  <c r="BE592" i="16"/>
  <c r="AT589" i="16"/>
  <c r="BI589" i="16"/>
  <c r="BK589" i="16" s="1"/>
  <c r="AQ589" i="16"/>
  <c r="BA589" i="16"/>
  <c r="BE589" i="16" s="1"/>
  <c r="S552" i="119"/>
  <c r="G547" i="182"/>
  <c r="O547" i="182" s="1"/>
  <c r="BF605" i="16"/>
  <c r="BK610" i="16"/>
  <c r="BE615" i="16"/>
  <c r="G532" i="182"/>
  <c r="O532" i="182" s="1"/>
  <c r="BF590" i="16"/>
  <c r="G539" i="182"/>
  <c r="O539" i="182" s="1"/>
  <c r="BF597" i="16"/>
  <c r="BA614" i="16"/>
  <c r="BE614" i="16" s="1"/>
  <c r="S577" i="119"/>
  <c r="AT614" i="16"/>
  <c r="BI614" i="16"/>
  <c r="BK614" i="16" s="1"/>
  <c r="AQ614" i="16"/>
  <c r="G546" i="182"/>
  <c r="O546" i="182" s="1"/>
  <c r="BF604" i="16"/>
  <c r="BE584" i="16"/>
  <c r="G538" i="182"/>
  <c r="O538" i="182" s="1"/>
  <c r="BF596" i="16"/>
  <c r="G557" i="182"/>
  <c r="O557" i="182" s="1"/>
  <c r="BF615" i="16"/>
  <c r="G525" i="182"/>
  <c r="O525" i="182" s="1"/>
  <c r="BF583" i="16"/>
  <c r="AB109" i="36"/>
  <c r="AF99" i="69" s="1"/>
  <c r="BC626" i="16"/>
  <c r="BD623" i="16"/>
  <c r="BD625" i="16"/>
  <c r="BD624" i="16"/>
  <c r="BD626" i="16" s="1"/>
  <c r="U558" i="119"/>
  <c r="AQ598" i="16"/>
  <c r="BI598" i="16"/>
  <c r="BK598" i="16" s="1"/>
  <c r="S561" i="119"/>
  <c r="AT598" i="16"/>
  <c r="BA598" i="16"/>
  <c r="BE598" i="16" s="1"/>
  <c r="G527" i="182"/>
  <c r="O527" i="182" s="1"/>
  <c r="BF585" i="16"/>
  <c r="BE583" i="16"/>
  <c r="G564" i="182"/>
  <c r="O564" i="182" s="1"/>
  <c r="BF622" i="16"/>
  <c r="G560" i="182"/>
  <c r="O560" i="182" s="1"/>
  <c r="BF618" i="16"/>
  <c r="V543" i="119"/>
  <c r="T543" i="119"/>
  <c r="BC537" i="16"/>
  <c r="BC579" i="16" s="1"/>
  <c r="W543" i="119"/>
  <c r="BI545" i="16"/>
  <c r="S510" i="119"/>
  <c r="AT545" i="16"/>
  <c r="BA545" i="16"/>
  <c r="AQ545" i="16"/>
  <c r="AD579" i="16"/>
  <c r="AD537" i="16" s="1"/>
  <c r="BI537" i="16" s="1"/>
  <c r="BK537" i="16" s="1"/>
  <c r="G482" i="182"/>
  <c r="BF538" i="16"/>
  <c r="G504" i="182"/>
  <c r="O504" i="182" s="1"/>
  <c r="BF560" i="16"/>
  <c r="BF542" i="16"/>
  <c r="G486" i="182"/>
  <c r="O486" i="182" s="1"/>
  <c r="S521" i="119"/>
  <c r="AQ556" i="16"/>
  <c r="BI556" i="16"/>
  <c r="BK556" i="16" s="1"/>
  <c r="BA556" i="16"/>
  <c r="BE556" i="16" s="1"/>
  <c r="AT556" i="16"/>
  <c r="BF562" i="16"/>
  <c r="G506" i="182"/>
  <c r="O506" i="182" s="1"/>
  <c r="BI569" i="16"/>
  <c r="BK569" i="16" s="1"/>
  <c r="AT569" i="16"/>
  <c r="S534" i="119"/>
  <c r="K534" i="119" s="1"/>
  <c r="N534" i="119" s="1"/>
  <c r="AQ569" i="16"/>
  <c r="BA569" i="16"/>
  <c r="BE569" i="16" s="1"/>
  <c r="BK545" i="16"/>
  <c r="G495" i="182"/>
  <c r="O495" i="182" s="1"/>
  <c r="BF551" i="16"/>
  <c r="BI554" i="16"/>
  <c r="BK554" i="16" s="1"/>
  <c r="S519" i="119"/>
  <c r="BA554" i="16"/>
  <c r="BE554" i="16" s="1"/>
  <c r="AQ554" i="16"/>
  <c r="AT554" i="16"/>
  <c r="G483" i="182"/>
  <c r="O483" i="182" s="1"/>
  <c r="BF539" i="16"/>
  <c r="BE561" i="16"/>
  <c r="BF546" i="16"/>
  <c r="G490" i="182"/>
  <c r="O490" i="182" s="1"/>
  <c r="S539" i="119"/>
  <c r="BI574" i="16"/>
  <c r="BK574" i="16" s="1"/>
  <c r="AT574" i="16"/>
  <c r="BA574" i="16"/>
  <c r="BE574" i="16" s="1"/>
  <c r="AQ574" i="16"/>
  <c r="BI571" i="16"/>
  <c r="BK571" i="16" s="1"/>
  <c r="S536" i="119"/>
  <c r="AQ571" i="16"/>
  <c r="BA571" i="16"/>
  <c r="BE571" i="16" s="1"/>
  <c r="AT571" i="16"/>
  <c r="BD578" i="16"/>
  <c r="BD579" i="16"/>
  <c r="BD581" i="16" s="1"/>
  <c r="AJ84" i="16"/>
  <c r="S514" i="119"/>
  <c r="AQ549" i="16"/>
  <c r="BI549" i="16"/>
  <c r="BK549" i="16" s="1"/>
  <c r="AT549" i="16"/>
  <c r="BA549" i="16"/>
  <c r="BE549" i="16" s="1"/>
  <c r="BF565" i="16"/>
  <c r="G509" i="182"/>
  <c r="O509" i="182" s="1"/>
  <c r="G520" i="182"/>
  <c r="O520" i="182" s="1"/>
  <c r="BF576" i="16"/>
  <c r="BI559" i="16"/>
  <c r="BK559" i="16" s="1"/>
  <c r="AQ559" i="16"/>
  <c r="BA559" i="16"/>
  <c r="BE559" i="16" s="1"/>
  <c r="S524" i="119"/>
  <c r="AT559" i="16"/>
  <c r="G519" i="182"/>
  <c r="O519" i="182" s="1"/>
  <c r="BF575" i="16"/>
  <c r="BE563" i="16"/>
  <c r="BI566" i="16"/>
  <c r="BK566" i="16" s="1"/>
  <c r="S531" i="119"/>
  <c r="AT566" i="16"/>
  <c r="AQ566" i="16"/>
  <c r="BA566" i="16"/>
  <c r="BE566" i="16" s="1"/>
  <c r="BB537" i="16"/>
  <c r="G496" i="182"/>
  <c r="O496" i="182" s="1"/>
  <c r="BF552" i="16"/>
  <c r="BJ534" i="16"/>
  <c r="BK496" i="16"/>
  <c r="BK534" i="16" s="1"/>
  <c r="BN1207" i="16" s="1"/>
  <c r="R107" i="36" s="1"/>
  <c r="BF502" i="16"/>
  <c r="G448" i="182"/>
  <c r="O448" i="182" s="1"/>
  <c r="G464" i="182"/>
  <c r="O464" i="182" s="1"/>
  <c r="BF518" i="16"/>
  <c r="BE493" i="16"/>
  <c r="BE492" i="16" s="1"/>
  <c r="BB492" i="16"/>
  <c r="AQ534" i="16"/>
  <c r="BI534" i="16"/>
  <c r="BM1207" i="16" s="1"/>
  <c r="BC533" i="16"/>
  <c r="BC534" i="16"/>
  <c r="BC535" i="16"/>
  <c r="BE450" i="16"/>
  <c r="BB447" i="16"/>
  <c r="BB489" i="16" s="1"/>
  <c r="G400" i="182"/>
  <c r="O400" i="182" s="1"/>
  <c r="BF452" i="16"/>
  <c r="BF451" i="16"/>
  <c r="G399" i="182"/>
  <c r="O399" i="182" s="1"/>
  <c r="BA447" i="16"/>
  <c r="BE457" i="16"/>
  <c r="BC490" i="16"/>
  <c r="BC489" i="16"/>
  <c r="BC488" i="16"/>
  <c r="BE484" i="16"/>
  <c r="G405" i="182"/>
  <c r="BF457" i="16"/>
  <c r="AQ489" i="16"/>
  <c r="BE479" i="16"/>
  <c r="G427" i="182"/>
  <c r="O427" i="182" s="1"/>
  <c r="BF479" i="16"/>
  <c r="BJ489" i="16"/>
  <c r="G432" i="182"/>
  <c r="O432" i="182" s="1"/>
  <c r="BF484" i="16"/>
  <c r="BF379" i="16"/>
  <c r="G331" i="182"/>
  <c r="O331" i="182" s="1"/>
  <c r="L336" i="119"/>
  <c r="N336" i="119" s="1"/>
  <c r="BE363" i="16"/>
  <c r="BF386" i="16"/>
  <c r="G338" i="182"/>
  <c r="O338" i="182" s="1"/>
  <c r="BJ399" i="16"/>
  <c r="BB357" i="16"/>
  <c r="BC400" i="16"/>
  <c r="BC399" i="16"/>
  <c r="BC398" i="16"/>
  <c r="BE358" i="16"/>
  <c r="BI372" i="16"/>
  <c r="AT372" i="16"/>
  <c r="S345" i="119"/>
  <c r="BA372" i="16"/>
  <c r="AQ372" i="16"/>
  <c r="AD399" i="16"/>
  <c r="AD357" i="16" s="1"/>
  <c r="BI357" i="16" s="1"/>
  <c r="BK357" i="16" s="1"/>
  <c r="BI324" i="16"/>
  <c r="BK324" i="16" s="1"/>
  <c r="AQ324" i="16"/>
  <c r="S299" i="119"/>
  <c r="BA324" i="16"/>
  <c r="BE324" i="16" s="1"/>
  <c r="AT324" i="16"/>
  <c r="BC353" i="16"/>
  <c r="BC354" i="16"/>
  <c r="BC355" i="16"/>
  <c r="BE313" i="16"/>
  <c r="BB312" i="16"/>
  <c r="BJ354" i="16"/>
  <c r="BI315" i="16"/>
  <c r="BK315" i="16" s="1"/>
  <c r="S290" i="119"/>
  <c r="AQ315" i="16"/>
  <c r="AT315" i="16"/>
  <c r="BA315" i="16"/>
  <c r="BE315" i="16" s="1"/>
  <c r="BI328" i="16"/>
  <c r="BK328" i="16" s="1"/>
  <c r="AQ328" i="16"/>
  <c r="S303" i="119"/>
  <c r="AT328" i="16"/>
  <c r="BA328" i="16"/>
  <c r="BE328" i="16" s="1"/>
  <c r="G133" i="182"/>
  <c r="O133" i="182" s="1"/>
  <c r="BF171" i="16"/>
  <c r="G114" i="182"/>
  <c r="O114" i="182" s="1"/>
  <c r="BF152" i="16"/>
  <c r="BK132" i="16"/>
  <c r="BG174" i="16"/>
  <c r="BG176" i="16" s="1"/>
  <c r="AA51" i="36"/>
  <c r="C68" i="159"/>
  <c r="C69" i="159" s="1"/>
  <c r="T25" i="165"/>
  <c r="BD174" i="16"/>
  <c r="BD176" i="16" s="1"/>
  <c r="BB173" i="16"/>
  <c r="BB19" i="195"/>
  <c r="BA23" i="195"/>
  <c r="H20" i="178"/>
  <c r="K159" i="30"/>
  <c r="K196" i="190"/>
  <c r="I344" i="182"/>
  <c r="H23" i="178"/>
  <c r="K162" i="30"/>
  <c r="K199" i="190"/>
  <c r="I471" i="182"/>
  <c r="S214" i="197"/>
  <c r="BA47" i="195"/>
  <c r="AX50" i="195"/>
  <c r="T201" i="197"/>
  <c r="BB34" i="195"/>
  <c r="U201" i="197" s="1"/>
  <c r="T206" i="197"/>
  <c r="BB39" i="195"/>
  <c r="U206" i="197" s="1"/>
  <c r="T200" i="197"/>
  <c r="BB33" i="195"/>
  <c r="U200" i="197" s="1"/>
  <c r="P217" i="197"/>
  <c r="AW69" i="195"/>
  <c r="AW65" i="195"/>
  <c r="T210" i="197"/>
  <c r="BB43" i="195"/>
  <c r="U210" i="197" s="1"/>
  <c r="T194" i="197"/>
  <c r="BB26" i="195"/>
  <c r="U194" i="197" s="1"/>
  <c r="S213" i="197"/>
  <c r="BA46" i="195"/>
  <c r="S198" i="197"/>
  <c r="BA31" i="195"/>
  <c r="BA96" i="195"/>
  <c r="T203" i="197"/>
  <c r="BB36" i="195"/>
  <c r="U203" i="197" s="1"/>
  <c r="BA24" i="195"/>
  <c r="T192" i="197" s="1"/>
  <c r="S212" i="197"/>
  <c r="BA45" i="195"/>
  <c r="T199" i="197"/>
  <c r="BB32" i="195"/>
  <c r="U199" i="197" s="1"/>
  <c r="R195" i="197"/>
  <c r="AY75" i="195"/>
  <c r="R231" i="197" s="1"/>
  <c r="AY48" i="195"/>
  <c r="R215" i="197" s="1"/>
  <c r="T205" i="197"/>
  <c r="BB38" i="195"/>
  <c r="U205" i="197" s="1"/>
  <c r="U225" i="197"/>
  <c r="BB95" i="195"/>
  <c r="BB77" i="195"/>
  <c r="U233" i="197" s="1"/>
  <c r="T209" i="197"/>
  <c r="BB42" i="195"/>
  <c r="U209" i="197" s="1"/>
  <c r="BB175" i="16"/>
  <c r="AQ174" i="16"/>
  <c r="U76" i="16" s="1"/>
  <c r="C199" i="119"/>
  <c r="C178" i="182"/>
  <c r="C1016" i="119"/>
  <c r="C995" i="182"/>
  <c r="K97" i="119"/>
  <c r="N97" i="119" s="1"/>
  <c r="I508" i="182"/>
  <c r="I529" i="182"/>
  <c r="I47" i="182"/>
  <c r="I805" i="182"/>
  <c r="I37" i="182"/>
  <c r="W10" i="167"/>
  <c r="I90" i="182"/>
  <c r="I685" i="182"/>
  <c r="I742" i="182"/>
  <c r="X106" i="13"/>
  <c r="P801" i="119"/>
  <c r="P802" i="119" s="1"/>
  <c r="P242" i="119"/>
  <c r="P243" i="119" s="1"/>
  <c r="I86" i="182"/>
  <c r="I467" i="182"/>
  <c r="I819" i="182"/>
  <c r="I443" i="182"/>
  <c r="I63" i="182"/>
  <c r="I906" i="182"/>
  <c r="I143" i="182"/>
  <c r="I312" i="182"/>
  <c r="I80" i="182"/>
  <c r="I75" i="182"/>
  <c r="I42" i="182"/>
  <c r="I28" i="182"/>
  <c r="W33" i="167"/>
  <c r="H41" i="178" s="1"/>
  <c r="I34" i="182"/>
  <c r="I45" i="182"/>
  <c r="I43" i="182"/>
  <c r="W107" i="190"/>
  <c r="I59" i="182"/>
  <c r="I869" i="182"/>
  <c r="I620" i="182"/>
  <c r="I1007" i="182"/>
  <c r="I131" i="182"/>
  <c r="I54" i="182"/>
  <c r="I55" i="182"/>
  <c r="I863" i="182"/>
  <c r="I616" i="182"/>
  <c r="I717" i="182"/>
  <c r="I785" i="182"/>
  <c r="I112" i="182"/>
  <c r="I384" i="182"/>
  <c r="I77" i="182"/>
  <c r="I198" i="182"/>
  <c r="I71" i="182"/>
  <c r="I25" i="182"/>
  <c r="I38" i="182"/>
  <c r="I26" i="182"/>
  <c r="W1093" i="25"/>
  <c r="W1261" i="25"/>
  <c r="Y1261" i="25" s="1"/>
  <c r="W1037" i="25"/>
  <c r="Y1037" i="25" s="1"/>
  <c r="W994" i="25"/>
  <c r="Y994" i="25" s="1"/>
  <c r="W984" i="25"/>
  <c r="Y984" i="25" s="1"/>
  <c r="W932" i="25"/>
  <c r="Y932" i="25" s="1"/>
  <c r="W197" i="25"/>
  <c r="W196" i="25" s="1"/>
  <c r="Y196" i="25" s="1"/>
  <c r="W813" i="25"/>
  <c r="W812" i="25" s="1"/>
  <c r="Y812" i="25" s="1"/>
  <c r="W985" i="25"/>
  <c r="Y985" i="25" s="1"/>
  <c r="W983" i="25"/>
  <c r="Y983" i="25" s="1"/>
  <c r="W872" i="25"/>
  <c r="Y872" i="25" s="1"/>
  <c r="W986" i="25"/>
  <c r="Y986" i="25" s="1"/>
  <c r="W987" i="25"/>
  <c r="Y987" i="25" s="1"/>
  <c r="W990" i="25"/>
  <c r="Y990" i="25" s="1"/>
  <c r="W991" i="25"/>
  <c r="Y991" i="25" s="1"/>
  <c r="W882" i="25"/>
  <c r="Y882" i="25" s="1"/>
  <c r="W993" i="25"/>
  <c r="Y993" i="25" s="1"/>
  <c r="W982" i="25"/>
  <c r="Y982" i="25" s="1"/>
  <c r="W992" i="25"/>
  <c r="Y992" i="25" s="1"/>
  <c r="W989" i="25"/>
  <c r="Y989" i="25" s="1"/>
  <c r="Y939" i="25"/>
  <c r="W928" i="25"/>
  <c r="Y928" i="25" s="1"/>
  <c r="W1317" i="25"/>
  <c r="Y1317" i="25" s="1"/>
  <c r="P586" i="119"/>
  <c r="P587" i="119" s="1"/>
  <c r="P371" i="119"/>
  <c r="P372" i="119" s="1"/>
  <c r="U414" i="119"/>
  <c r="U1016" i="119"/>
  <c r="K146" i="119"/>
  <c r="N146" i="119" s="1"/>
  <c r="K95" i="119"/>
  <c r="N95" i="119" s="1"/>
  <c r="S242" i="119"/>
  <c r="K107" i="119"/>
  <c r="N107" i="119" s="1"/>
  <c r="U500" i="119"/>
  <c r="U199" i="119"/>
  <c r="K241" i="119"/>
  <c r="N241" i="119" s="1"/>
  <c r="K220" i="119"/>
  <c r="N220" i="119" s="1"/>
  <c r="U218" i="119"/>
  <c r="U242" i="119" s="1"/>
  <c r="T28" i="165"/>
  <c r="C844" i="119"/>
  <c r="C823" i="182"/>
  <c r="C952" i="182"/>
  <c r="C973" i="119"/>
  <c r="C543" i="119"/>
  <c r="C522" i="182"/>
  <c r="C221" i="182"/>
  <c r="C242" i="119"/>
  <c r="C350" i="182"/>
  <c r="C371" i="119"/>
  <c r="C90" i="63"/>
  <c r="D90" i="63" s="1"/>
  <c r="D92" i="63" s="1"/>
  <c r="W931" i="25"/>
  <c r="Y931" i="25" s="1"/>
  <c r="W929" i="25"/>
  <c r="Y929" i="25" s="1"/>
  <c r="W935" i="25"/>
  <c r="Y935" i="25" s="1"/>
  <c r="W769" i="25"/>
  <c r="Y769" i="25" s="1"/>
  <c r="G81" i="182"/>
  <c r="O81" i="182" s="1"/>
  <c r="BF117" i="16"/>
  <c r="G91" i="182"/>
  <c r="O91" i="182" s="1"/>
  <c r="BF127" i="16"/>
  <c r="W242" i="119"/>
  <c r="V242" i="119"/>
  <c r="K153" i="119"/>
  <c r="N153" i="119" s="1"/>
  <c r="K150" i="119"/>
  <c r="N150" i="119" s="1"/>
  <c r="K138" i="119"/>
  <c r="N138" i="119" s="1"/>
  <c r="G111" i="182"/>
  <c r="O111" i="182" s="1"/>
  <c r="BF149" i="16"/>
  <c r="G119" i="182"/>
  <c r="O119" i="182" s="1"/>
  <c r="BF157" i="16"/>
  <c r="BC175" i="16"/>
  <c r="BC174" i="16"/>
  <c r="BC173" i="16"/>
  <c r="G134" i="182"/>
  <c r="O134" i="182" s="1"/>
  <c r="BF172" i="16"/>
  <c r="U136" i="119"/>
  <c r="BF163" i="16"/>
  <c r="G125" i="182"/>
  <c r="G101" i="182"/>
  <c r="O101" i="182" s="1"/>
  <c r="BF139" i="16"/>
  <c r="S156" i="119"/>
  <c r="G129" i="182"/>
  <c r="O129" i="182" s="1"/>
  <c r="BF167" i="16"/>
  <c r="G95" i="182"/>
  <c r="BF133" i="16"/>
  <c r="BB176" i="16"/>
  <c r="W99" i="36"/>
  <c r="AA89" i="69" s="1"/>
  <c r="BF100" i="16"/>
  <c r="G64" i="182"/>
  <c r="O64" i="182" s="1"/>
  <c r="G74" i="182"/>
  <c r="O74" i="182" s="1"/>
  <c r="BF110" i="16"/>
  <c r="BF254" i="16"/>
  <c r="G212" i="182"/>
  <c r="O212" i="182" s="1"/>
  <c r="BF244" i="16"/>
  <c r="AQ264" i="16"/>
  <c r="G194" i="182"/>
  <c r="O194" i="182" s="1"/>
  <c r="BF236" i="16"/>
  <c r="T242" i="119"/>
  <c r="G183" i="182"/>
  <c r="O183" i="182" s="1"/>
  <c r="BF225" i="16"/>
  <c r="BF241" i="16"/>
  <c r="G199" i="182"/>
  <c r="O199" i="182" s="1"/>
  <c r="BE225" i="16"/>
  <c r="BE222" i="16" s="1"/>
  <c r="BA222" i="16"/>
  <c r="G197" i="182"/>
  <c r="O197" i="182" s="1"/>
  <c r="BF239" i="16"/>
  <c r="BI264" i="16"/>
  <c r="BM1201" i="16" s="1"/>
  <c r="BK264" i="16"/>
  <c r="BN1201" i="16" s="1"/>
  <c r="R101" i="36" s="1"/>
  <c r="BF259" i="16"/>
  <c r="G217" i="182"/>
  <c r="O217" i="182" s="1"/>
  <c r="BF237" i="16"/>
  <c r="G195" i="182"/>
  <c r="O195" i="182" s="1"/>
  <c r="I44" i="182"/>
  <c r="W68" i="30"/>
  <c r="W870" i="25"/>
  <c r="Y870" i="25" s="1"/>
  <c r="Y827" i="25"/>
  <c r="W876" i="25"/>
  <c r="Y876" i="25" s="1"/>
  <c r="W253" i="25"/>
  <c r="Y253" i="25" s="1"/>
  <c r="Y715" i="25"/>
  <c r="W761" i="25"/>
  <c r="Y761" i="25" s="1"/>
  <c r="W767" i="25"/>
  <c r="Y767" i="25" s="1"/>
  <c r="W768" i="25"/>
  <c r="Y768" i="25" s="1"/>
  <c r="W770" i="25"/>
  <c r="Y770" i="25" s="1"/>
  <c r="W763" i="25"/>
  <c r="Y763" i="25" s="1"/>
  <c r="W764" i="25"/>
  <c r="Y764" i="25" s="1"/>
  <c r="W759" i="25"/>
  <c r="Y759" i="25" s="1"/>
  <c r="W873" i="25"/>
  <c r="Y873" i="25" s="1"/>
  <c r="W874" i="25"/>
  <c r="Y874" i="25" s="1"/>
  <c r="W881" i="25"/>
  <c r="Y881" i="25" s="1"/>
  <c r="W766" i="25"/>
  <c r="Y766" i="25" s="1"/>
  <c r="W760" i="25"/>
  <c r="Y760" i="25" s="1"/>
  <c r="W938" i="25"/>
  <c r="Y938" i="25" s="1"/>
  <c r="W926" i="25"/>
  <c r="W933" i="25"/>
  <c r="Y933" i="25" s="1"/>
  <c r="W937" i="25"/>
  <c r="Y937" i="25" s="1"/>
  <c r="W930" i="25"/>
  <c r="Y930" i="25" s="1"/>
  <c r="W934" i="25"/>
  <c r="Y934" i="25" s="1"/>
  <c r="W927" i="25"/>
  <c r="Y927" i="25" s="1"/>
  <c r="W936" i="25"/>
  <c r="Y936" i="25" s="1"/>
  <c r="W875" i="25"/>
  <c r="Y875" i="25" s="1"/>
  <c r="W878" i="25"/>
  <c r="Y878" i="25" s="1"/>
  <c r="W758" i="25"/>
  <c r="W765" i="25"/>
  <c r="Y765" i="25" s="1"/>
  <c r="W710" i="25"/>
  <c r="Y710" i="25" s="1"/>
  <c r="W714" i="25"/>
  <c r="Y714" i="25" s="1"/>
  <c r="W703" i="25"/>
  <c r="Y703" i="25" s="1"/>
  <c r="W704" i="25"/>
  <c r="Y704" i="25" s="1"/>
  <c r="W709" i="25"/>
  <c r="Y709" i="25" s="1"/>
  <c r="W705" i="25"/>
  <c r="Y705" i="25" s="1"/>
  <c r="W708" i="25"/>
  <c r="Y708" i="25" s="1"/>
  <c r="W712" i="25"/>
  <c r="Y712" i="25" s="1"/>
  <c r="W711" i="25"/>
  <c r="Y711" i="25" s="1"/>
  <c r="W702" i="25"/>
  <c r="W713" i="25"/>
  <c r="Y713" i="25" s="1"/>
  <c r="Y659" i="25"/>
  <c r="W706" i="25"/>
  <c r="Y706" i="25" s="1"/>
  <c r="W707" i="25"/>
  <c r="Y707" i="25" s="1"/>
  <c r="Y534" i="25"/>
  <c r="W533" i="25"/>
  <c r="Y646" i="25"/>
  <c r="W645" i="25"/>
  <c r="W589" i="25"/>
  <c r="Y590" i="25"/>
  <c r="W1210" i="25"/>
  <c r="Y1210" i="25" s="1"/>
  <c r="W1211" i="25"/>
  <c r="Y1211" i="25" s="1"/>
  <c r="W1217" i="25"/>
  <c r="Y1217" i="25" s="1"/>
  <c r="W1216" i="25"/>
  <c r="Y1216" i="25" s="1"/>
  <c r="Y1163" i="25"/>
  <c r="W1214" i="25"/>
  <c r="Y1214" i="25" s="1"/>
  <c r="W1213" i="25"/>
  <c r="Y1213" i="25" s="1"/>
  <c r="W1207" i="25"/>
  <c r="Y1207" i="25" s="1"/>
  <c r="W1212" i="25"/>
  <c r="Y1212" i="25" s="1"/>
  <c r="W1206" i="25"/>
  <c r="W1218" i="25"/>
  <c r="Y1218" i="25" s="1"/>
  <c r="W1208" i="25"/>
  <c r="Y1208" i="25" s="1"/>
  <c r="W1215" i="25"/>
  <c r="Y1215" i="25" s="1"/>
  <c r="W1209" i="25"/>
  <c r="Y1209" i="25" s="1"/>
  <c r="W312" i="25"/>
  <c r="Y312" i="25" s="1"/>
  <c r="W320" i="25"/>
  <c r="Y320" i="25" s="1"/>
  <c r="W318" i="25"/>
  <c r="Y318" i="25" s="1"/>
  <c r="Y267" i="25"/>
  <c r="W321" i="25"/>
  <c r="Y321" i="25" s="1"/>
  <c r="W317" i="25"/>
  <c r="Y317" i="25" s="1"/>
  <c r="W313" i="25"/>
  <c r="Y313" i="25" s="1"/>
  <c r="W316" i="25"/>
  <c r="Y316" i="25" s="1"/>
  <c r="W322" i="25"/>
  <c r="Y322" i="25" s="1"/>
  <c r="W315" i="25"/>
  <c r="Y315" i="25" s="1"/>
  <c r="W310" i="25"/>
  <c r="W319" i="25"/>
  <c r="Y319" i="25" s="1"/>
  <c r="W311" i="25"/>
  <c r="Y311" i="25" s="1"/>
  <c r="W314" i="25"/>
  <c r="Y314" i="25" s="1"/>
  <c r="W879" i="25"/>
  <c r="Y879" i="25" s="1"/>
  <c r="W880" i="25"/>
  <c r="Y880" i="25" s="1"/>
  <c r="W877" i="25"/>
  <c r="Y877" i="25" s="1"/>
  <c r="T23" i="165"/>
  <c r="AQ25" i="165"/>
  <c r="AQ24" i="165" s="1"/>
  <c r="AQ23" i="165" s="1"/>
  <c r="AQ22" i="165" s="1"/>
  <c r="N840" i="119"/>
  <c r="N836" i="119"/>
  <c r="N832" i="119"/>
  <c r="N828" i="119"/>
  <c r="N824" i="119"/>
  <c r="N820" i="119"/>
  <c r="N816" i="119"/>
  <c r="N812" i="119"/>
  <c r="N808" i="119"/>
  <c r="N754" i="119"/>
  <c r="N750" i="119"/>
  <c r="N746" i="119"/>
  <c r="N742" i="119"/>
  <c r="N738" i="119"/>
  <c r="N734" i="119"/>
  <c r="N730" i="119"/>
  <c r="N726" i="119"/>
  <c r="N722" i="119"/>
  <c r="N843" i="119"/>
  <c r="N839" i="119"/>
  <c r="N835" i="119"/>
  <c r="N831" i="119"/>
  <c r="N827" i="119"/>
  <c r="N823" i="119"/>
  <c r="N819" i="119"/>
  <c r="N815" i="119"/>
  <c r="N811" i="119"/>
  <c r="N807" i="119"/>
  <c r="N757" i="119"/>
  <c r="N753" i="119"/>
  <c r="N749" i="119"/>
  <c r="N745" i="119"/>
  <c r="N741" i="119"/>
  <c r="N737" i="119"/>
  <c r="N733" i="119"/>
  <c r="N729" i="119"/>
  <c r="N721" i="119"/>
  <c r="N504" i="119"/>
  <c r="N1029" i="119"/>
  <c r="N842" i="119"/>
  <c r="N838" i="119"/>
  <c r="N834" i="119"/>
  <c r="N830" i="119"/>
  <c r="N826" i="119"/>
  <c r="N822" i="119"/>
  <c r="N818" i="119"/>
  <c r="N814" i="119"/>
  <c r="N806" i="119"/>
  <c r="N756" i="119"/>
  <c r="N752" i="119"/>
  <c r="N748" i="119"/>
  <c r="N744" i="119"/>
  <c r="N740" i="119"/>
  <c r="N736" i="119"/>
  <c r="N732" i="119"/>
  <c r="N728" i="119"/>
  <c r="N724" i="119"/>
  <c r="N720" i="119"/>
  <c r="N841" i="119"/>
  <c r="N837" i="119"/>
  <c r="N829" i="119"/>
  <c r="N825" i="119"/>
  <c r="N821" i="119"/>
  <c r="N817" i="119"/>
  <c r="N813" i="119"/>
  <c r="N809" i="119"/>
  <c r="N805" i="119"/>
  <c r="N755" i="119"/>
  <c r="N751" i="119"/>
  <c r="N747" i="119"/>
  <c r="N739" i="119"/>
  <c r="N735" i="119"/>
  <c r="N731" i="119"/>
  <c r="N727" i="119"/>
  <c r="N723" i="119"/>
  <c r="N719" i="119"/>
  <c r="S302" i="119"/>
  <c r="AQ327" i="16"/>
  <c r="AT327" i="16"/>
  <c r="BA327" i="16"/>
  <c r="BI327" i="16"/>
  <c r="AD354" i="16"/>
  <c r="AD312" i="16" s="1"/>
  <c r="BI312" i="16" s="1"/>
  <c r="BK312" i="16" s="1"/>
  <c r="BI657" i="16"/>
  <c r="BK657" i="16" s="1"/>
  <c r="AQ657" i="16"/>
  <c r="AT657" i="16"/>
  <c r="S618" i="119"/>
  <c r="BA657" i="16"/>
  <c r="BE657" i="16" s="1"/>
  <c r="BI909" i="16"/>
  <c r="BK909" i="16" s="1"/>
  <c r="BA909" i="16"/>
  <c r="BE909" i="16" s="1"/>
  <c r="S858" i="119"/>
  <c r="AQ909" i="16"/>
  <c r="AT909" i="16"/>
  <c r="BI937" i="16"/>
  <c r="BK937" i="16" s="1"/>
  <c r="AT937" i="16"/>
  <c r="BA937" i="16"/>
  <c r="BE937" i="16" s="1"/>
  <c r="S886" i="119"/>
  <c r="AQ937" i="16"/>
  <c r="BI609" i="16"/>
  <c r="BK609" i="16" s="1"/>
  <c r="AT609" i="16"/>
  <c r="BA609" i="16"/>
  <c r="BE609" i="16" s="1"/>
  <c r="AQ609" i="16"/>
  <c r="S572" i="119"/>
  <c r="BI641" i="16"/>
  <c r="BK641" i="16" s="1"/>
  <c r="AQ641" i="16"/>
  <c r="S602" i="119"/>
  <c r="AT641" i="16"/>
  <c r="BA641" i="16"/>
  <c r="BE641" i="16" s="1"/>
  <c r="BI811" i="16"/>
  <c r="BA811" i="16"/>
  <c r="S764" i="119"/>
  <c r="AT811" i="16"/>
  <c r="AQ811" i="16"/>
  <c r="AD849" i="16"/>
  <c r="AD807" i="16" s="1"/>
  <c r="BI807" i="16" s="1"/>
  <c r="BK807" i="16" s="1"/>
  <c r="BJ1119" i="16"/>
  <c r="V90" i="69"/>
  <c r="BE444" i="16"/>
  <c r="BE446" i="16" s="1"/>
  <c r="BE443" i="16"/>
  <c r="BE445" i="16"/>
  <c r="V95" i="69"/>
  <c r="N725" i="119"/>
  <c r="BK298" i="16"/>
  <c r="BJ309" i="16"/>
  <c r="BI658" i="16"/>
  <c r="BK658" i="16" s="1"/>
  <c r="AT658" i="16"/>
  <c r="S619" i="119"/>
  <c r="BA658" i="16"/>
  <c r="BE658" i="16" s="1"/>
  <c r="AQ658" i="16"/>
  <c r="BI922" i="16"/>
  <c r="BK922" i="16" s="1"/>
  <c r="AT922" i="16"/>
  <c r="AQ922" i="16"/>
  <c r="S871" i="119"/>
  <c r="BA922" i="16"/>
  <c r="BE922" i="16" s="1"/>
  <c r="BI992" i="16"/>
  <c r="S937" i="119"/>
  <c r="AT992" i="16"/>
  <c r="BA992" i="16"/>
  <c r="AQ992" i="16"/>
  <c r="AD1029" i="16"/>
  <c r="AD987" i="16" s="1"/>
  <c r="BI987" i="16" s="1"/>
  <c r="BK987" i="16" s="1"/>
  <c r="BI616" i="16"/>
  <c r="BK616" i="16" s="1"/>
  <c r="AT616" i="16"/>
  <c r="S579" i="119"/>
  <c r="BA616" i="16"/>
  <c r="BE616" i="16" s="1"/>
  <c r="AQ616" i="16"/>
  <c r="BI648" i="16"/>
  <c r="BK648" i="16" s="1"/>
  <c r="AT648" i="16"/>
  <c r="S609" i="119"/>
  <c r="BA648" i="16"/>
  <c r="BE648" i="16" s="1"/>
  <c r="AQ648" i="16"/>
  <c r="BI839" i="16"/>
  <c r="BK839" i="16" s="1"/>
  <c r="S792" i="119"/>
  <c r="BA839" i="16"/>
  <c r="BE839" i="16" s="1"/>
  <c r="AQ839" i="16"/>
  <c r="AT839" i="16"/>
  <c r="BC1076" i="16"/>
  <c r="AB119" i="36"/>
  <c r="AQ222" i="16"/>
  <c r="BF222" i="16" s="1"/>
  <c r="U78" i="16"/>
  <c r="AQ492" i="16"/>
  <c r="BF492" i="16" s="1"/>
  <c r="BF534" i="16" s="1"/>
  <c r="BF536" i="16" s="1"/>
  <c r="AF76" i="16"/>
  <c r="G479" i="182"/>
  <c r="BA347" i="16"/>
  <c r="BE347" i="16" s="1"/>
  <c r="AT347" i="16"/>
  <c r="AQ347" i="16"/>
  <c r="S322" i="119"/>
  <c r="BI347" i="16"/>
  <c r="BK347" i="16" s="1"/>
  <c r="BK543" i="16"/>
  <c r="BJ579" i="16"/>
  <c r="BI666" i="16"/>
  <c r="BK666" i="16" s="1"/>
  <c r="BA666" i="16"/>
  <c r="BE666" i="16" s="1"/>
  <c r="AQ666" i="16"/>
  <c r="S627" i="119"/>
  <c r="AT666" i="16"/>
  <c r="BI925" i="16"/>
  <c r="BK925" i="16" s="1"/>
  <c r="AQ925" i="16"/>
  <c r="S874" i="119"/>
  <c r="AT925" i="16"/>
  <c r="BA925" i="16"/>
  <c r="BE925" i="16" s="1"/>
  <c r="BK585" i="16"/>
  <c r="BJ624" i="16"/>
  <c r="BI617" i="16"/>
  <c r="BK617" i="16" s="1"/>
  <c r="BA617" i="16"/>
  <c r="BE617" i="16" s="1"/>
  <c r="S580" i="119"/>
  <c r="AT617" i="16"/>
  <c r="AQ617" i="16"/>
  <c r="BI751" i="16"/>
  <c r="AQ751" i="16"/>
  <c r="S708" i="119"/>
  <c r="BA751" i="16"/>
  <c r="AT751" i="16"/>
  <c r="AD759" i="16"/>
  <c r="AD717" i="16" s="1"/>
  <c r="BI717" i="16" s="1"/>
  <c r="BK717" i="16" s="1"/>
  <c r="BI966" i="16"/>
  <c r="AT966" i="16"/>
  <c r="BA966" i="16"/>
  <c r="S913" i="119"/>
  <c r="AQ966" i="16"/>
  <c r="AD984" i="16"/>
  <c r="AD942" i="16" s="1"/>
  <c r="BI942" i="16" s="1"/>
  <c r="BK942" i="16" s="1"/>
  <c r="BI1110" i="16"/>
  <c r="BK1110" i="16" s="1"/>
  <c r="AQ1110" i="16"/>
  <c r="AT1110" i="16"/>
  <c r="S1051" i="119"/>
  <c r="BA1110" i="16"/>
  <c r="BE1110" i="16" s="1"/>
  <c r="BI1149" i="16"/>
  <c r="AQ1149" i="16"/>
  <c r="AT1149" i="16"/>
  <c r="BA1149" i="16"/>
  <c r="S1088" i="119"/>
  <c r="AD1164" i="16"/>
  <c r="AD1122" i="16" s="1"/>
  <c r="BI1122" i="16" s="1"/>
  <c r="BK1122" i="16" s="1"/>
  <c r="CH19" i="165"/>
  <c r="O826" i="182"/>
  <c r="BA218" i="16"/>
  <c r="BA220" i="16"/>
  <c r="BA219" i="16"/>
  <c r="BA221" i="16" s="1"/>
  <c r="BA444" i="16"/>
  <c r="BA446" i="16" s="1"/>
  <c r="BA443" i="16"/>
  <c r="BA445" i="16"/>
  <c r="AQ177" i="16"/>
  <c r="BF177" i="16" s="1"/>
  <c r="BF219" i="16" s="1"/>
  <c r="BF221" i="16" s="1"/>
  <c r="U77" i="16"/>
  <c r="BA535" i="16"/>
  <c r="BA533" i="16"/>
  <c r="BA534" i="16"/>
  <c r="BA536" i="16" s="1"/>
  <c r="Y1150" i="25"/>
  <c r="W1149" i="25"/>
  <c r="V97" i="69"/>
  <c r="BI275" i="16"/>
  <c r="AQ275" i="16"/>
  <c r="BA275" i="16"/>
  <c r="S252" i="119"/>
  <c r="AD309" i="16"/>
  <c r="AD267" i="16" s="1"/>
  <c r="BI267" i="16" s="1"/>
  <c r="BK267" i="16" s="1"/>
  <c r="BI600" i="16"/>
  <c r="BA600" i="16"/>
  <c r="S563" i="119"/>
  <c r="AQ600" i="16"/>
  <c r="AT600" i="16"/>
  <c r="AD624" i="16"/>
  <c r="AD582" i="16" s="1"/>
  <c r="BI582" i="16" s="1"/>
  <c r="BK582" i="16" s="1"/>
  <c r="BI906" i="16"/>
  <c r="S855" i="119"/>
  <c r="AQ906" i="16"/>
  <c r="AT906" i="16"/>
  <c r="BA906" i="16"/>
  <c r="AD939" i="16"/>
  <c r="AD897" i="16" s="1"/>
  <c r="BI897" i="16" s="1"/>
  <c r="BK897" i="16" s="1"/>
  <c r="BI934" i="16"/>
  <c r="BK934" i="16" s="1"/>
  <c r="BA934" i="16"/>
  <c r="BE934" i="16" s="1"/>
  <c r="AT934" i="16"/>
  <c r="S883" i="119"/>
  <c r="AQ934" i="16"/>
  <c r="BI608" i="16"/>
  <c r="BK608" i="16" s="1"/>
  <c r="S571" i="119"/>
  <c r="AT608" i="16"/>
  <c r="BA608" i="16"/>
  <c r="BE608" i="16" s="1"/>
  <c r="AQ608" i="16"/>
  <c r="BI631" i="16"/>
  <c r="AT631" i="16"/>
  <c r="S592" i="119"/>
  <c r="AQ631" i="16"/>
  <c r="BA631" i="16"/>
  <c r="AD669" i="16"/>
  <c r="AD627" i="16" s="1"/>
  <c r="BI627" i="16" s="1"/>
  <c r="BK627" i="16" s="1"/>
  <c r="BI757" i="16"/>
  <c r="BK757" i="16" s="1"/>
  <c r="AT757" i="16"/>
  <c r="S714" i="119"/>
  <c r="BA757" i="16"/>
  <c r="BE757" i="16" s="1"/>
  <c r="AQ757" i="16"/>
  <c r="BI1107" i="16"/>
  <c r="AQ1107" i="16"/>
  <c r="S1048" i="119"/>
  <c r="AT1107" i="16"/>
  <c r="BA1107" i="16"/>
  <c r="AD1119" i="16"/>
  <c r="AD1077" i="16" s="1"/>
  <c r="BI1077" i="16" s="1"/>
  <c r="BK1077" i="16" s="1"/>
  <c r="BK1137" i="16"/>
  <c r="BJ1164" i="16"/>
  <c r="O955" i="182"/>
  <c r="G995" i="182"/>
  <c r="AQ132" i="16"/>
  <c r="BF132" i="16" s="1"/>
  <c r="I23" i="182"/>
  <c r="I36" i="182"/>
  <c r="I485" i="182"/>
  <c r="I894" i="182"/>
  <c r="I507" i="182"/>
  <c r="I492" i="182"/>
  <c r="I922" i="182"/>
  <c r="I748" i="182"/>
  <c r="I815" i="182"/>
  <c r="I770" i="182"/>
  <c r="I141" i="182"/>
  <c r="I24" i="182"/>
  <c r="I297" i="182"/>
  <c r="I1078" i="182"/>
  <c r="I1071" i="182"/>
  <c r="I363" i="182"/>
  <c r="I914" i="182"/>
  <c r="I740" i="182"/>
  <c r="I977" i="182"/>
  <c r="I193" i="182"/>
  <c r="I826" i="182"/>
  <c r="I839" i="182"/>
  <c r="I367" i="182"/>
  <c r="I1034" i="182"/>
  <c r="I851" i="182"/>
  <c r="I250" i="182"/>
  <c r="I201" i="182"/>
  <c r="I765" i="182"/>
  <c r="I258" i="182"/>
  <c r="I605" i="182"/>
  <c r="I933" i="182"/>
  <c r="I706" i="182"/>
  <c r="I627" i="182"/>
  <c r="I433" i="182"/>
  <c r="I663" i="182"/>
  <c r="I1006" i="182"/>
  <c r="I442" i="182"/>
  <c r="I568" i="182"/>
  <c r="I962" i="182"/>
  <c r="I1012" i="182"/>
  <c r="I404" i="182"/>
  <c r="I562" i="182"/>
  <c r="I684" i="182"/>
  <c r="I724" i="182"/>
  <c r="I761" i="182"/>
  <c r="I546" i="182"/>
  <c r="I893" i="182"/>
  <c r="I420" i="182"/>
  <c r="I732" i="182"/>
  <c r="I339" i="182"/>
  <c r="I973" i="182"/>
  <c r="I1013" i="182"/>
  <c r="I749" i="182"/>
  <c r="I254" i="182"/>
  <c r="I987" i="182"/>
  <c r="I405" i="182"/>
  <c r="I969" i="182"/>
  <c r="I262" i="182"/>
  <c r="I591" i="182"/>
  <c r="I831" i="182"/>
  <c r="I975" i="182"/>
  <c r="I980" i="182"/>
  <c r="I872" i="182"/>
  <c r="I982" i="182"/>
  <c r="I983" i="182"/>
  <c r="I319" i="182"/>
  <c r="I888" i="182"/>
  <c r="M120" i="178"/>
  <c r="I1046" i="182"/>
  <c r="I1069" i="182"/>
  <c r="I1053" i="182"/>
  <c r="I1057" i="182"/>
  <c r="I197" i="182"/>
  <c r="I375" i="182"/>
  <c r="I797" i="182"/>
  <c r="I622" i="182"/>
  <c r="I1008" i="182"/>
  <c r="I949" i="182"/>
  <c r="I181" i="182"/>
  <c r="I379" i="182"/>
  <c r="I630" i="182"/>
  <c r="I903" i="182"/>
  <c r="I958" i="182"/>
  <c r="I401" i="182"/>
  <c r="I941" i="182"/>
  <c r="I329" i="182"/>
  <c r="I676" i="182"/>
  <c r="I843" i="182"/>
  <c r="I967" i="182"/>
  <c r="I1026" i="182"/>
  <c r="I735" i="182"/>
  <c r="I989" i="182"/>
  <c r="I1022" i="182"/>
  <c r="I427" i="182"/>
  <c r="I506" i="182"/>
  <c r="I993" i="182"/>
  <c r="I582" i="182"/>
  <c r="I719" i="182"/>
  <c r="I818" i="182"/>
  <c r="I889" i="182"/>
  <c r="I635" i="182"/>
  <c r="I242" i="182"/>
  <c r="I810" i="182"/>
  <c r="I700" i="182"/>
  <c r="I234" i="182"/>
  <c r="I1005" i="182"/>
  <c r="I881" i="182"/>
  <c r="I338" i="182"/>
  <c r="I527" i="182"/>
  <c r="I822" i="182"/>
  <c r="I675" i="182"/>
  <c r="I596" i="182"/>
  <c r="I495" i="182"/>
  <c r="I519" i="182"/>
  <c r="I802" i="182"/>
  <c r="I885" i="182"/>
  <c r="I937" i="182"/>
  <c r="I592" i="182"/>
  <c r="I679" i="182"/>
  <c r="I230" i="182"/>
  <c r="I48" i="182"/>
  <c r="I1049" i="182"/>
  <c r="I1045" i="182"/>
  <c r="I359" i="182"/>
  <c r="I660" i="182"/>
  <c r="I1014" i="182"/>
  <c r="I362" i="182"/>
  <c r="I189" i="182"/>
  <c r="I334" i="182"/>
  <c r="I769" i="182"/>
  <c r="I961" i="182"/>
  <c r="I586" i="182"/>
  <c r="I345" i="182"/>
  <c r="I1010" i="182"/>
  <c r="I1004" i="182"/>
  <c r="I974" i="182"/>
  <c r="I441" i="182"/>
  <c r="I487" i="182"/>
  <c r="I185" i="182"/>
  <c r="I555" i="182"/>
  <c r="I704" i="182"/>
  <c r="I970" i="182"/>
  <c r="I547" i="182"/>
  <c r="I994" i="182"/>
  <c r="I251" i="182"/>
  <c r="I482" i="182"/>
  <c r="I539" i="182"/>
  <c r="I1036" i="182"/>
  <c r="I611" i="182"/>
  <c r="I835" i="182"/>
  <c r="I984" i="182"/>
  <c r="I327" i="182"/>
  <c r="I884" i="182"/>
  <c r="I1032" i="182"/>
  <c r="I664" i="182"/>
  <c r="I798" i="182"/>
  <c r="I956" i="182"/>
  <c r="I971" i="182"/>
  <c r="I330" i="182"/>
  <c r="I858" i="182"/>
  <c r="I584" i="182"/>
  <c r="I942" i="182"/>
  <c r="I621" i="182"/>
  <c r="I764" i="182"/>
  <c r="I691" i="182"/>
  <c r="I790" i="182"/>
  <c r="I62" i="182"/>
  <c r="I84" i="182"/>
  <c r="I938" i="182"/>
  <c r="I966" i="182"/>
  <c r="I976" i="182"/>
  <c r="I979" i="182"/>
  <c r="I736" i="182"/>
  <c r="I963" i="182"/>
  <c r="I668" i="182"/>
  <c r="I814" i="182"/>
  <c r="I847" i="182"/>
  <c r="I1077" i="182"/>
  <c r="I897" i="182"/>
  <c r="I483" i="182"/>
  <c r="I990" i="182"/>
  <c r="I929" i="182"/>
  <c r="I1000" i="182"/>
  <c r="I957" i="182"/>
  <c r="I907" i="182"/>
  <c r="I1073" i="182"/>
  <c r="I1024" i="182"/>
  <c r="I720" i="182"/>
  <c r="I981" i="182"/>
  <c r="I928" i="182"/>
  <c r="I959" i="182"/>
  <c r="I859" i="182"/>
  <c r="I211" i="182"/>
  <c r="I801" i="182"/>
  <c r="I944" i="182"/>
  <c r="I925" i="182"/>
  <c r="I711" i="182"/>
  <c r="I207" i="182"/>
  <c r="I1003" i="182"/>
  <c r="I640" i="182"/>
  <c r="I1035" i="182"/>
  <c r="I204" i="182"/>
  <c r="I148" i="182"/>
  <c r="I139" i="182"/>
  <c r="I930" i="182"/>
  <c r="I890" i="182"/>
  <c r="I915" i="182"/>
  <c r="I766" i="182"/>
  <c r="I206" i="182"/>
  <c r="I430" i="182"/>
  <c r="I145" i="182"/>
  <c r="I886" i="182"/>
  <c r="I454" i="182"/>
  <c r="I488" i="182"/>
  <c r="I171" i="182"/>
  <c r="I169" i="182"/>
  <c r="I758" i="182"/>
  <c r="I721" i="182"/>
  <c r="I607" i="182"/>
  <c r="I450" i="182"/>
  <c r="I1031" i="182"/>
  <c r="I332" i="182"/>
  <c r="I864" i="182"/>
  <c r="I648" i="182"/>
  <c r="I202" i="182"/>
  <c r="I177" i="182"/>
  <c r="I176" i="182"/>
  <c r="I210" i="182"/>
  <c r="I388" i="182"/>
  <c r="I318" i="182"/>
  <c r="I296" i="182"/>
  <c r="I275" i="182"/>
  <c r="I284" i="182"/>
  <c r="I157" i="182"/>
  <c r="I545" i="182"/>
  <c r="I153" i="182"/>
  <c r="I61" i="182"/>
  <c r="I577" i="182"/>
  <c r="I879" i="182"/>
  <c r="I626" i="182"/>
  <c r="I955" i="182"/>
  <c r="I965" i="182"/>
  <c r="I901" i="182"/>
  <c r="I226" i="182"/>
  <c r="I794" i="182"/>
  <c r="I988" i="182"/>
  <c r="I806" i="182"/>
  <c r="I1020" i="182"/>
  <c r="I615" i="182"/>
  <c r="I64" i="182"/>
  <c r="I1059" i="182"/>
  <c r="I1060" i="182"/>
  <c r="I1080" i="182"/>
  <c r="I1076" i="182"/>
  <c r="I1068" i="182"/>
  <c r="I1055" i="182"/>
  <c r="I392" i="182"/>
  <c r="I298" i="182"/>
  <c r="I161" i="182"/>
  <c r="I78" i="182"/>
  <c r="I603" i="182"/>
  <c r="I516" i="182"/>
  <c r="I852" i="182"/>
  <c r="I1019" i="182"/>
  <c r="I709" i="182"/>
  <c r="I65" i="182"/>
  <c r="I87" i="182"/>
  <c r="I787" i="182"/>
  <c r="I754" i="182"/>
  <c r="I713" i="182"/>
  <c r="I624" i="182"/>
  <c r="I578" i="182"/>
  <c r="I873" i="182"/>
  <c r="I681" i="182"/>
  <c r="I657" i="182"/>
  <c r="I528" i="182"/>
  <c r="I463" i="182"/>
  <c r="I402" i="182"/>
  <c r="I999" i="182"/>
  <c r="I811" i="182"/>
  <c r="I303" i="182"/>
  <c r="I475" i="182"/>
  <c r="I406" i="182"/>
  <c r="I173" i="182"/>
  <c r="I860" i="182"/>
  <c r="I931" i="182"/>
  <c r="I532" i="182"/>
  <c r="I478" i="182"/>
  <c r="I434" i="182"/>
  <c r="I692" i="182"/>
  <c r="I364" i="182"/>
  <c r="I856" i="182"/>
  <c r="I701" i="182"/>
  <c r="I544" i="182"/>
  <c r="I414" i="182"/>
  <c r="I919" i="182"/>
  <c r="I795" i="182"/>
  <c r="I791" i="182"/>
  <c r="I557" i="182"/>
  <c r="I326" i="182"/>
  <c r="I280" i="182"/>
  <c r="I951" i="182"/>
  <c r="I1011" i="182"/>
  <c r="I746" i="182"/>
  <c r="I689" i="182"/>
  <c r="I474" i="182"/>
  <c r="I553" i="182"/>
  <c r="I536" i="182"/>
  <c r="I496" i="182"/>
  <c r="I218" i="182"/>
  <c r="I276" i="182"/>
  <c r="I902" i="182"/>
  <c r="I807" i="182"/>
  <c r="I644" i="182"/>
  <c r="I323" i="182"/>
  <c r="I372" i="182"/>
  <c r="I725" i="182"/>
  <c r="I677" i="182"/>
  <c r="I534" i="182"/>
  <c r="I880" i="182"/>
  <c r="I813" i="182"/>
  <c r="I246" i="182"/>
  <c r="I998" i="182"/>
  <c r="I905" i="182"/>
  <c r="I918" i="182"/>
  <c r="I1029" i="182"/>
  <c r="I416" i="182"/>
  <c r="I215" i="182"/>
  <c r="I85" i="182"/>
  <c r="I470" i="182"/>
  <c r="I466" i="182"/>
  <c r="I1015" i="182"/>
  <c r="I612" i="182"/>
  <c r="I447" i="182"/>
  <c r="I300" i="182"/>
  <c r="I313" i="182"/>
  <c r="I168" i="182"/>
  <c r="I803" i="182"/>
  <c r="I882" i="182"/>
  <c r="I295" i="182"/>
  <c r="I520" i="182"/>
  <c r="I459" i="182"/>
  <c r="I272" i="182"/>
  <c r="I144" i="182"/>
  <c r="I418" i="182"/>
  <c r="I155" i="182"/>
  <c r="I159" i="182"/>
  <c r="I750" i="182"/>
  <c r="I705" i="182"/>
  <c r="I587" i="182"/>
  <c r="I1023" i="182"/>
  <c r="I458" i="182"/>
  <c r="I190" i="182"/>
  <c r="I188" i="182"/>
  <c r="I632" i="182"/>
  <c r="I368" i="182"/>
  <c r="I279" i="182"/>
  <c r="I167" i="182"/>
  <c r="I160" i="182"/>
  <c r="I304" i="182"/>
  <c r="I164" i="182"/>
  <c r="I214" i="182"/>
  <c r="I927" i="182"/>
  <c r="I595" i="182"/>
  <c r="I288" i="182"/>
  <c r="I342" i="182"/>
  <c r="I163" i="182"/>
  <c r="I147" i="182"/>
  <c r="I978" i="182"/>
  <c r="I964" i="182"/>
  <c r="I268" i="182"/>
  <c r="I426" i="182"/>
  <c r="I89" i="182"/>
  <c r="I985" i="182"/>
  <c r="I1065" i="182"/>
  <c r="I827" i="182"/>
  <c r="I68" i="182"/>
  <c r="I391" i="182"/>
  <c r="I891" i="182"/>
  <c r="I346" i="182"/>
  <c r="I716" i="182"/>
  <c r="I421" i="182"/>
  <c r="I753" i="182"/>
  <c r="I331" i="182"/>
  <c r="I490" i="182"/>
  <c r="I992" i="182"/>
  <c r="I855" i="182"/>
  <c r="I535" i="182"/>
  <c r="I968" i="182"/>
  <c r="I921" i="182"/>
  <c r="I432" i="182"/>
  <c r="I314" i="182"/>
  <c r="I253" i="182"/>
  <c r="I960" i="182"/>
  <c r="I1079" i="182"/>
  <c r="I1041" i="182"/>
  <c r="I1044" i="182"/>
  <c r="I1064" i="182"/>
  <c r="I1048" i="182"/>
  <c r="I1056" i="182"/>
  <c r="I1052" i="182"/>
  <c r="I1072" i="182"/>
  <c r="I1002" i="182"/>
  <c r="I290" i="182"/>
  <c r="I360" i="182"/>
  <c r="I267" i="182"/>
  <c r="I151" i="182"/>
  <c r="I287" i="182"/>
  <c r="I799" i="182"/>
  <c r="I292" i="182"/>
  <c r="I165" i="182"/>
  <c r="I943" i="182"/>
  <c r="I541" i="182"/>
  <c r="I569" i="182"/>
  <c r="I299" i="182"/>
  <c r="I783" i="182"/>
  <c r="I733" i="182"/>
  <c r="I939" i="182"/>
  <c r="I828" i="182"/>
  <c r="I628" i="182"/>
  <c r="I697" i="182"/>
  <c r="I525" i="182"/>
  <c r="I549" i="182"/>
  <c r="I175" i="182"/>
  <c r="I560" i="182"/>
  <c r="I564" i="182"/>
  <c r="I504" i="182"/>
  <c r="I149" i="182"/>
  <c r="I848" i="182"/>
  <c r="I898" i="182"/>
  <c r="I70" i="182"/>
  <c r="I599" i="182"/>
  <c r="I439" i="182"/>
  <c r="I422" i="182"/>
  <c r="I410" i="182"/>
  <c r="I172" i="182"/>
  <c r="I271" i="182"/>
  <c r="I643" i="182"/>
  <c r="I328" i="182"/>
  <c r="I446" i="182"/>
  <c r="I320" i="182"/>
  <c r="I152" i="182"/>
  <c r="I762" i="182"/>
  <c r="I877" i="182"/>
  <c r="I636" i="182"/>
  <c r="I451" i="182"/>
  <c r="I315" i="182"/>
  <c r="I832" i="182"/>
  <c r="I947" i="182"/>
  <c r="I729" i="182"/>
  <c r="I561" i="182"/>
  <c r="I533" i="182"/>
  <c r="I376" i="182"/>
  <c r="I182" i="182"/>
  <c r="I639" i="182"/>
  <c r="I836" i="182"/>
  <c r="I647" i="182"/>
  <c r="I548" i="182"/>
  <c r="I574" i="182"/>
  <c r="I455" i="182"/>
  <c r="I194" i="182"/>
  <c r="I1018" i="182"/>
  <c r="I844" i="182"/>
  <c r="I774" i="182"/>
  <c r="I335" i="182"/>
  <c r="I356" i="182"/>
  <c r="I623" i="182"/>
  <c r="I661" i="182"/>
  <c r="I398" i="182"/>
  <c r="I462" i="182"/>
  <c r="I186" i="182"/>
  <c r="I156" i="182"/>
  <c r="I127" i="182"/>
  <c r="I101" i="182"/>
  <c r="I374" i="182"/>
  <c r="I347" i="182"/>
  <c r="I277" i="182"/>
  <c r="I820" i="182"/>
  <c r="I631" i="182"/>
  <c r="I614" i="182"/>
  <c r="I755" i="182"/>
  <c r="I511" i="182"/>
  <c r="I572" i="182"/>
  <c r="I286" i="182"/>
  <c r="I875" i="182"/>
  <c r="I760" i="182"/>
  <c r="I255" i="182"/>
  <c r="I670" i="182"/>
  <c r="I788" i="182"/>
  <c r="I948" i="182"/>
  <c r="I912" i="182"/>
  <c r="I772" i="182"/>
  <c r="I776" i="182"/>
  <c r="I682" i="182"/>
  <c r="I617" i="182"/>
  <c r="I385" i="182"/>
  <c r="I310" i="182"/>
  <c r="I340" i="182"/>
  <c r="I227" i="182"/>
  <c r="I259" i="182"/>
  <c r="I123" i="182"/>
  <c r="I52" i="182"/>
  <c r="I53" i="182"/>
  <c r="I1063" i="182"/>
  <c r="I1051" i="182"/>
  <c r="I1042" i="182"/>
  <c r="I377" i="182"/>
  <c r="I122" i="182"/>
  <c r="I162" i="182"/>
  <c r="I217" i="182"/>
  <c r="I638" i="182"/>
  <c r="I184" i="182"/>
  <c r="I424" i="182"/>
  <c r="I1033" i="182"/>
  <c r="I237" i="182"/>
  <c r="I645" i="182"/>
  <c r="I619" i="182"/>
  <c r="I741" i="182"/>
  <c r="I563" i="182"/>
  <c r="I235" i="182"/>
  <c r="I361" i="182"/>
  <c r="I1021" i="182"/>
  <c r="I225" i="182"/>
  <c r="I343" i="182"/>
  <c r="I887" i="182"/>
  <c r="I642" i="182"/>
  <c r="I505" i="182"/>
  <c r="I229" i="182"/>
  <c r="I212" i="182"/>
  <c r="I829" i="182"/>
  <c r="I530" i="182"/>
  <c r="I579" i="182"/>
  <c r="I457" i="182"/>
  <c r="I203" i="182"/>
  <c r="I373" i="182"/>
  <c r="I195" i="182"/>
  <c r="I183" i="182"/>
  <c r="I429" i="182"/>
  <c r="I209" i="182"/>
  <c r="I667" i="182"/>
  <c r="I444" i="182"/>
  <c r="I435" i="182"/>
  <c r="I1037" i="182"/>
  <c r="I238" i="182"/>
  <c r="I100" i="182"/>
  <c r="I124" i="182"/>
  <c r="I128" i="182"/>
  <c r="I126" i="182"/>
  <c r="I111" i="182"/>
  <c r="I871" i="182"/>
  <c r="I842" i="182"/>
  <c r="I517" i="182"/>
  <c r="I593" i="182"/>
  <c r="I804" i="182"/>
  <c r="I585" i="182"/>
  <c r="I589" i="182"/>
  <c r="I336" i="182"/>
  <c r="I908" i="182"/>
  <c r="I400" i="182"/>
  <c r="I727" i="182"/>
  <c r="I154" i="182"/>
  <c r="I200" i="182"/>
  <c r="I633" i="182"/>
  <c r="I686" i="182"/>
  <c r="I821" i="182"/>
  <c r="I756" i="182"/>
  <c r="I710" i="182"/>
  <c r="I655" i="182"/>
  <c r="I415" i="182"/>
  <c r="I396" i="182"/>
  <c r="I386" i="182"/>
  <c r="I390" i="182"/>
  <c r="I365" i="182"/>
  <c r="I369" i="182"/>
  <c r="I311" i="182"/>
  <c r="I263" i="182"/>
  <c r="I249" i="182"/>
  <c r="I138" i="182"/>
  <c r="I66" i="182"/>
  <c r="I1074" i="182"/>
  <c r="I1070" i="182"/>
  <c r="I1062" i="182"/>
  <c r="I637" i="182"/>
  <c r="I423" i="182"/>
  <c r="I734" i="182"/>
  <c r="I573" i="182"/>
  <c r="I698" i="182"/>
  <c r="I602" i="182"/>
  <c r="I809" i="182"/>
  <c r="I232" i="182"/>
  <c r="I649" i="182"/>
  <c r="I784" i="182"/>
  <c r="I723" i="182"/>
  <c r="I158" i="182"/>
  <c r="I896" i="182"/>
  <c r="I656" i="182"/>
  <c r="I431" i="182"/>
  <c r="I779" i="182"/>
  <c r="I440" i="182"/>
  <c r="I472" i="182"/>
  <c r="I658" i="182"/>
  <c r="I302" i="182"/>
  <c r="I465" i="182"/>
  <c r="I366" i="182"/>
  <c r="I174" i="182"/>
  <c r="I936" i="182"/>
  <c r="I538" i="182"/>
  <c r="I502" i="182"/>
  <c r="I468" i="182"/>
  <c r="I773" i="182"/>
  <c r="I257" i="182"/>
  <c r="I1016" i="182"/>
  <c r="I233" i="182"/>
  <c r="I900" i="182"/>
  <c r="I594" i="182"/>
  <c r="I389" i="182"/>
  <c r="I146" i="182"/>
  <c r="I357" i="182"/>
  <c r="I625" i="182"/>
  <c r="I895" i="182"/>
  <c r="I683" i="182"/>
  <c r="I452" i="182"/>
  <c r="I718" i="182"/>
  <c r="I816" i="182"/>
  <c r="I476" i="182"/>
  <c r="I707" i="182"/>
  <c r="I382" i="182"/>
  <c r="I256" i="182"/>
  <c r="I460" i="182"/>
  <c r="I456" i="182"/>
  <c r="I926" i="182"/>
  <c r="I413" i="182"/>
  <c r="I110" i="182"/>
  <c r="I106" i="182"/>
  <c r="I387" i="182"/>
  <c r="I883" i="182"/>
  <c r="I103" i="182"/>
  <c r="I220" i="182"/>
  <c r="I291" i="182"/>
  <c r="I140" i="182"/>
  <c r="I117" i="182"/>
  <c r="I108" i="182"/>
  <c r="I744" i="182"/>
  <c r="I289" i="182"/>
  <c r="I604" i="182"/>
  <c r="I817" i="182"/>
  <c r="I305" i="182"/>
  <c r="I192" i="182"/>
  <c r="I417" i="182"/>
  <c r="I786" i="182"/>
  <c r="I601" i="182"/>
  <c r="I870" i="182"/>
  <c r="I730" i="182"/>
  <c r="I170" i="182"/>
  <c r="I428" i="182"/>
  <c r="I659" i="182"/>
  <c r="I699" i="182"/>
  <c r="I731" i="182"/>
  <c r="I808" i="182"/>
  <c r="I924" i="182"/>
  <c r="I913" i="182"/>
  <c r="I751" i="182"/>
  <c r="I714" i="182"/>
  <c r="I634" i="182"/>
  <c r="I412" i="182"/>
  <c r="I370" i="182"/>
  <c r="I316" i="182"/>
  <c r="I241" i="182"/>
  <c r="I252" i="182"/>
  <c r="I196" i="182"/>
  <c r="I150" i="182"/>
  <c r="I99" i="182"/>
  <c r="I73" i="182"/>
  <c r="I72" i="182"/>
  <c r="I88" i="182"/>
  <c r="I69" i="182"/>
  <c r="I1047" i="182"/>
  <c r="I1075" i="182"/>
  <c r="I1058" i="182"/>
  <c r="I1043" i="182"/>
  <c r="I408" i="182"/>
  <c r="I293" i="182"/>
  <c r="I142" i="182"/>
  <c r="I583" i="182"/>
  <c r="I260" i="182"/>
  <c r="I629" i="182"/>
  <c r="I646" i="182"/>
  <c r="I521" i="182"/>
  <c r="I216" i="182"/>
  <c r="I399" i="182"/>
  <c r="I845" i="182"/>
  <c r="I674" i="182"/>
  <c r="I940" i="182"/>
  <c r="I98" i="182"/>
  <c r="I775" i="182"/>
  <c r="I590" i="182"/>
  <c r="I728" i="182"/>
  <c r="I464" i="182"/>
  <c r="I213" i="182"/>
  <c r="I690" i="182"/>
  <c r="I526" i="182"/>
  <c r="I270" i="182"/>
  <c r="I904" i="182"/>
  <c r="I114" i="182"/>
  <c r="I224" i="182"/>
  <c r="I497" i="182"/>
  <c r="I768" i="182"/>
  <c r="I641" i="182"/>
  <c r="I273" i="182"/>
  <c r="I445" i="182"/>
  <c r="I876" i="182"/>
  <c r="I95" i="182"/>
  <c r="I115" i="182"/>
  <c r="I484" i="182"/>
  <c r="I986" i="182"/>
  <c r="I120" i="182"/>
  <c r="I132" i="182"/>
  <c r="I104" i="182"/>
  <c r="I96" i="182"/>
  <c r="I116" i="182"/>
  <c r="I543" i="182"/>
  <c r="I425" i="182"/>
  <c r="I274" i="182"/>
  <c r="I514" i="182"/>
  <c r="I708" i="182"/>
  <c r="I494" i="182"/>
  <c r="I777" i="182"/>
  <c r="I244" i="182"/>
  <c r="I833" i="182"/>
  <c r="I240" i="182"/>
  <c r="I383" i="182"/>
  <c r="I878" i="182"/>
  <c r="I899" i="182"/>
  <c r="I671" i="182"/>
  <c r="I219" i="182"/>
  <c r="I662" i="182"/>
  <c r="I666" i="182"/>
  <c r="I715" i="182"/>
  <c r="I792" i="182"/>
  <c r="I796" i="182"/>
  <c r="I917" i="182"/>
  <c r="I767" i="182"/>
  <c r="I726" i="182"/>
  <c r="I654" i="182"/>
  <c r="I678" i="182"/>
  <c r="I381" i="182"/>
  <c r="I358" i="182"/>
  <c r="I354" i="182"/>
  <c r="I353" i="182"/>
  <c r="I349" i="182"/>
  <c r="I325" i="182"/>
  <c r="I245" i="182"/>
  <c r="I166" i="182"/>
  <c r="I972" i="182"/>
  <c r="I83" i="182"/>
  <c r="I1050" i="182"/>
  <c r="I1054" i="182"/>
  <c r="I1066" i="182"/>
  <c r="I575" i="182"/>
  <c r="I747" i="182"/>
  <c r="I461" i="182"/>
  <c r="I243" i="182"/>
  <c r="I854" i="182"/>
  <c r="I650" i="182"/>
  <c r="I247" i="182"/>
  <c r="I317" i="182"/>
  <c r="I991" i="182"/>
  <c r="I397" i="182"/>
  <c r="I688" i="182"/>
  <c r="I236" i="182"/>
  <c r="I473" i="182"/>
  <c r="I261" i="182"/>
  <c r="I57" i="182"/>
  <c r="I757" i="182"/>
  <c r="I306" i="182"/>
  <c r="I341" i="182"/>
  <c r="I672" i="182"/>
  <c r="I403" i="182"/>
  <c r="I208" i="182"/>
  <c r="I191" i="182"/>
  <c r="I355" i="182"/>
  <c r="I239" i="182"/>
  <c r="I759" i="182"/>
  <c r="I1017" i="182"/>
  <c r="I187" i="182"/>
  <c r="I199" i="182"/>
  <c r="I932" i="182"/>
  <c r="I371" i="182"/>
  <c r="I107" i="182"/>
  <c r="I1028" i="182"/>
  <c r="I486" i="182"/>
  <c r="I509" i="182"/>
  <c r="I1025" i="182"/>
  <c r="I702" i="182"/>
  <c r="I763" i="182"/>
  <c r="I849" i="182"/>
  <c r="I205" i="182"/>
  <c r="I321" i="182"/>
  <c r="I133" i="182"/>
  <c r="I453" i="182"/>
  <c r="I841" i="182"/>
  <c r="I337" i="182"/>
  <c r="I477" i="182"/>
  <c r="I712" i="182"/>
  <c r="I752" i="182"/>
  <c r="I838" i="182"/>
  <c r="I333" i="182"/>
  <c r="I857" i="182"/>
  <c r="I58" i="182"/>
  <c r="I322" i="182"/>
  <c r="I793" i="182"/>
  <c r="I419" i="182"/>
  <c r="I449" i="182"/>
  <c r="I102" i="182"/>
  <c r="I469" i="182"/>
  <c r="I448" i="182"/>
  <c r="I800" i="182"/>
  <c r="I861" i="182"/>
  <c r="I228" i="182"/>
  <c r="I491" i="182"/>
  <c r="I407" i="182"/>
  <c r="I118" i="182"/>
  <c r="I703" i="182"/>
  <c r="I570" i="182"/>
  <c r="I934" i="182"/>
  <c r="I680" i="182"/>
  <c r="I923" i="182"/>
  <c r="I283" i="182"/>
  <c r="I935" i="182"/>
  <c r="I778" i="182"/>
  <c r="I35" i="182"/>
  <c r="I285" i="182"/>
  <c r="I91" i="182"/>
  <c r="I46" i="182"/>
  <c r="I409" i="182"/>
  <c r="I840" i="182"/>
  <c r="I950" i="182"/>
  <c r="I33" i="182"/>
  <c r="I380" i="182"/>
  <c r="I665" i="182"/>
  <c r="I294" i="182"/>
  <c r="I1061" i="182"/>
  <c r="I613" i="182"/>
  <c r="I669" i="182"/>
  <c r="I22" i="182"/>
  <c r="I745" i="182"/>
  <c r="I946" i="182"/>
  <c r="I378" i="182"/>
  <c r="I81" i="182"/>
  <c r="I348" i="182"/>
  <c r="I673" i="182"/>
  <c r="I512" i="182"/>
  <c r="I79" i="182"/>
  <c r="N212" i="119"/>
  <c r="N222" i="119"/>
  <c r="N218" i="119"/>
  <c r="N233" i="119"/>
  <c r="N214" i="119"/>
  <c r="O41" i="182"/>
  <c r="O49" i="182"/>
  <c r="O50" i="182" s="1"/>
  <c r="N238" i="119"/>
  <c r="N221" i="119"/>
  <c r="N210" i="119"/>
  <c r="N1020" i="119"/>
  <c r="N223" i="119"/>
  <c r="N207" i="119"/>
  <c r="N1025" i="119"/>
  <c r="N216" i="119"/>
  <c r="N229" i="119"/>
  <c r="N230" i="119"/>
  <c r="N236" i="119"/>
  <c r="N413" i="119"/>
  <c r="N409" i="119"/>
  <c r="N405" i="119"/>
  <c r="N401" i="119"/>
  <c r="N397" i="119"/>
  <c r="N393" i="119"/>
  <c r="N389" i="119"/>
  <c r="N385" i="119"/>
  <c r="N381" i="119"/>
  <c r="N377" i="119"/>
  <c r="N1039" i="119"/>
  <c r="N1043" i="119"/>
  <c r="N1047" i="119"/>
  <c r="N1055" i="119"/>
  <c r="G56" i="182"/>
  <c r="BF92" i="16"/>
  <c r="BB130" i="16"/>
  <c r="BB129" i="16"/>
  <c r="BB128" i="16"/>
  <c r="O67" i="182"/>
  <c r="I67" i="182"/>
  <c r="G76" i="182"/>
  <c r="BF112" i="16"/>
  <c r="G60" i="182"/>
  <c r="BF96" i="16"/>
  <c r="N231" i="119"/>
  <c r="N1033" i="119"/>
  <c r="N206" i="119"/>
  <c r="N1023" i="119"/>
  <c r="N506" i="119"/>
  <c r="N411" i="119"/>
  <c r="N407" i="119"/>
  <c r="N403" i="119"/>
  <c r="N399" i="119"/>
  <c r="N395" i="119"/>
  <c r="N391" i="119"/>
  <c r="N387" i="119"/>
  <c r="N383" i="119"/>
  <c r="N379" i="119"/>
  <c r="N375" i="119"/>
  <c r="O393" i="182"/>
  <c r="O394" i="182" s="1"/>
  <c r="O352" i="182"/>
  <c r="W145" i="25"/>
  <c r="Y145" i="25" s="1"/>
  <c r="W147" i="25"/>
  <c r="Y147" i="25" s="1"/>
  <c r="W150" i="25"/>
  <c r="Y150" i="25" s="1"/>
  <c r="W146" i="25"/>
  <c r="Y146" i="25" s="1"/>
  <c r="W151" i="25"/>
  <c r="Y151" i="25" s="1"/>
  <c r="W152" i="25"/>
  <c r="Y152" i="25" s="1"/>
  <c r="Y99" i="25"/>
  <c r="W143" i="25"/>
  <c r="Y143" i="25" s="1"/>
  <c r="W153" i="25"/>
  <c r="Y153" i="25" s="1"/>
  <c r="W154" i="25"/>
  <c r="Y154" i="25" s="1"/>
  <c r="W148" i="25"/>
  <c r="Y148" i="25" s="1"/>
  <c r="W142" i="25"/>
  <c r="W144" i="25"/>
  <c r="Y144" i="25" s="1"/>
  <c r="W149" i="25"/>
  <c r="Y149" i="25" s="1"/>
  <c r="O180" i="182"/>
  <c r="N1021" i="119"/>
  <c r="N215" i="119"/>
  <c r="N1036" i="119"/>
  <c r="N1040" i="119"/>
  <c r="N1044" i="119"/>
  <c r="N1052" i="119"/>
  <c r="N1056" i="119"/>
  <c r="N224" i="119"/>
  <c r="N1027" i="119"/>
  <c r="N1035" i="119"/>
  <c r="W1379" i="25"/>
  <c r="Y1379" i="25" s="1"/>
  <c r="W1384" i="25"/>
  <c r="Y1384" i="25" s="1"/>
  <c r="W1385" i="25"/>
  <c r="Y1385" i="25" s="1"/>
  <c r="W1374" i="25"/>
  <c r="W1383" i="25"/>
  <c r="Y1383" i="25" s="1"/>
  <c r="W1378" i="25"/>
  <c r="Y1378" i="25" s="1"/>
  <c r="Y1331" i="25"/>
  <c r="W1382" i="25"/>
  <c r="Y1382" i="25" s="1"/>
  <c r="W1377" i="25"/>
  <c r="Y1377" i="25" s="1"/>
  <c r="W1375" i="25"/>
  <c r="Y1375" i="25" s="1"/>
  <c r="W1381" i="25"/>
  <c r="Y1381" i="25" s="1"/>
  <c r="W1386" i="25"/>
  <c r="Y1386" i="25" s="1"/>
  <c r="W1380" i="25"/>
  <c r="Y1380" i="25" s="1"/>
  <c r="W1376" i="25"/>
  <c r="Y1376" i="25" s="1"/>
  <c r="D1373" i="25"/>
  <c r="D1385" i="25"/>
  <c r="Y1093" i="25"/>
  <c r="W1092" i="25"/>
  <c r="Y1092" i="25" s="1"/>
  <c r="O137" i="182"/>
  <c r="D937" i="25"/>
  <c r="D925" i="25"/>
  <c r="W479" i="25"/>
  <c r="Y479" i="25" s="1"/>
  <c r="W489" i="25"/>
  <c r="Y489" i="25" s="1"/>
  <c r="W487" i="25"/>
  <c r="Y487" i="25" s="1"/>
  <c r="W485" i="25"/>
  <c r="Y485" i="25" s="1"/>
  <c r="W483" i="25"/>
  <c r="Y483" i="25" s="1"/>
  <c r="W484" i="25"/>
  <c r="Y484" i="25" s="1"/>
  <c r="W481" i="25"/>
  <c r="Y481" i="25" s="1"/>
  <c r="W480" i="25"/>
  <c r="Y480" i="25" s="1"/>
  <c r="W478" i="25"/>
  <c r="Y435" i="25"/>
  <c r="W490" i="25"/>
  <c r="Y490" i="25" s="1"/>
  <c r="W486" i="25"/>
  <c r="Y486" i="25" s="1"/>
  <c r="W482" i="25"/>
  <c r="Y482" i="25" s="1"/>
  <c r="W488" i="25"/>
  <c r="Y488" i="25" s="1"/>
  <c r="W365" i="25"/>
  <c r="Y366" i="25"/>
  <c r="N205" i="119"/>
  <c r="N1038" i="119"/>
  <c r="N1042" i="119"/>
  <c r="N1046" i="119"/>
  <c r="N1050" i="119"/>
  <c r="N1054" i="119"/>
  <c r="N1058" i="119"/>
  <c r="N213" i="119"/>
  <c r="N239" i="119"/>
  <c r="N234" i="119"/>
  <c r="N412" i="119"/>
  <c r="N408" i="119"/>
  <c r="N404" i="119"/>
  <c r="N400" i="119"/>
  <c r="N396" i="119"/>
  <c r="N392" i="119"/>
  <c r="N388" i="119"/>
  <c r="N384" i="119"/>
  <c r="N380" i="119"/>
  <c r="N376" i="119"/>
  <c r="N240" i="119"/>
  <c r="N227" i="119"/>
  <c r="W425" i="25"/>
  <c r="Y425" i="25" s="1"/>
  <c r="W428" i="25"/>
  <c r="Y428" i="25" s="1"/>
  <c r="W423" i="25"/>
  <c r="Y423" i="25" s="1"/>
  <c r="W430" i="25"/>
  <c r="Y430" i="25" s="1"/>
  <c r="W434" i="25"/>
  <c r="Y434" i="25" s="1"/>
  <c r="Y379" i="25"/>
  <c r="W422" i="25"/>
  <c r="W432" i="25"/>
  <c r="Y432" i="25" s="1"/>
  <c r="W424" i="25"/>
  <c r="Y424" i="25" s="1"/>
  <c r="W427" i="25"/>
  <c r="Y427" i="25" s="1"/>
  <c r="W431" i="25"/>
  <c r="Y431" i="25" s="1"/>
  <c r="W426" i="25"/>
  <c r="Y426" i="25" s="1"/>
  <c r="W433" i="25"/>
  <c r="Y433" i="25" s="1"/>
  <c r="W429" i="25"/>
  <c r="Y429" i="25" s="1"/>
  <c r="O438" i="182"/>
  <c r="N972" i="119"/>
  <c r="N1026" i="119"/>
  <c r="N1024" i="119"/>
  <c r="N235" i="119"/>
  <c r="N208" i="119"/>
  <c r="W76" i="25"/>
  <c r="Y76" i="25" s="1"/>
  <c r="L43" i="25"/>
  <c r="W43" i="25" s="1"/>
  <c r="BJ129" i="16"/>
  <c r="BJ1166" i="16" s="1"/>
  <c r="BK103" i="16"/>
  <c r="BI118" i="16"/>
  <c r="BA118" i="16"/>
  <c r="AQ118" i="16"/>
  <c r="S103" i="119"/>
  <c r="AD129" i="16"/>
  <c r="N211" i="119"/>
  <c r="N1037" i="119"/>
  <c r="N1041" i="119"/>
  <c r="N1045" i="119"/>
  <c r="N1049" i="119"/>
  <c r="N1053" i="119"/>
  <c r="N1057" i="119"/>
  <c r="N226" i="119"/>
  <c r="N410" i="119"/>
  <c r="N406" i="119"/>
  <c r="N402" i="119"/>
  <c r="N398" i="119"/>
  <c r="N394" i="119"/>
  <c r="N390" i="119"/>
  <c r="N386" i="119"/>
  <c r="N382" i="119"/>
  <c r="N378" i="119"/>
  <c r="T113" i="119"/>
  <c r="T1104" i="119" s="1"/>
  <c r="U79" i="119"/>
  <c r="W113" i="119"/>
  <c r="W1104" i="119" s="1"/>
  <c r="N209" i="119"/>
  <c r="N1031" i="119"/>
  <c r="BG129" i="16"/>
  <c r="BG131" i="16" s="1"/>
  <c r="BC87" i="16"/>
  <c r="BE103" i="16"/>
  <c r="N505" i="119"/>
  <c r="CC32" i="69"/>
  <c r="N202" i="119"/>
  <c r="N225" i="119"/>
  <c r="N232" i="119"/>
  <c r="M1016" i="119"/>
  <c r="N1028" i="119"/>
  <c r="N1015" i="119"/>
  <c r="N1011" i="119"/>
  <c r="N1007" i="119"/>
  <c r="N1003" i="119"/>
  <c r="N999" i="119"/>
  <c r="N995" i="119"/>
  <c r="N991" i="119"/>
  <c r="N987" i="119"/>
  <c r="N983" i="119"/>
  <c r="N979" i="119"/>
  <c r="N929" i="119"/>
  <c r="N925" i="119"/>
  <c r="N921" i="119"/>
  <c r="N917" i="119"/>
  <c r="N909" i="119"/>
  <c r="N905" i="119"/>
  <c r="N901" i="119"/>
  <c r="N897" i="119"/>
  <c r="N893" i="119"/>
  <c r="N970" i="119"/>
  <c r="N962" i="119"/>
  <c r="N958" i="119"/>
  <c r="N954" i="119"/>
  <c r="N950" i="119"/>
  <c r="N946" i="119"/>
  <c r="N942" i="119"/>
  <c r="N938" i="119"/>
  <c r="N934" i="119"/>
  <c r="N884" i="119"/>
  <c r="N880" i="119"/>
  <c r="N876" i="119"/>
  <c r="N872" i="119"/>
  <c r="N868" i="119"/>
  <c r="L801" i="119"/>
  <c r="N866" i="119"/>
  <c r="N862" i="119"/>
  <c r="N854" i="119"/>
  <c r="N850" i="119"/>
  <c r="N800" i="119"/>
  <c r="N796" i="119"/>
  <c r="N788" i="119"/>
  <c r="N784" i="119"/>
  <c r="N780" i="119"/>
  <c r="N776" i="119"/>
  <c r="N772" i="119"/>
  <c r="N768" i="119"/>
  <c r="N710" i="119"/>
  <c r="N706" i="119"/>
  <c r="N702" i="119"/>
  <c r="N698" i="119"/>
  <c r="N694" i="119"/>
  <c r="N690" i="119"/>
  <c r="N671" i="119"/>
  <c r="N667" i="119"/>
  <c r="N663" i="119"/>
  <c r="N659" i="119"/>
  <c r="N655" i="119"/>
  <c r="N651" i="119"/>
  <c r="N647" i="119"/>
  <c r="N643" i="119"/>
  <c r="N635" i="119"/>
  <c r="N585" i="119"/>
  <c r="N581" i="119"/>
  <c r="N569" i="119"/>
  <c r="N565" i="119"/>
  <c r="N557" i="119"/>
  <c r="N553" i="119"/>
  <c r="N549" i="119"/>
  <c r="N503" i="119"/>
  <c r="N683" i="119"/>
  <c r="N679" i="119"/>
  <c r="N675" i="119"/>
  <c r="M672" i="119"/>
  <c r="N625" i="119"/>
  <c r="N617" i="119"/>
  <c r="N613" i="119"/>
  <c r="N605" i="119"/>
  <c r="N593" i="119"/>
  <c r="N589" i="119"/>
  <c r="M586" i="119"/>
  <c r="N535" i="119"/>
  <c r="N527" i="119"/>
  <c r="N523" i="119"/>
  <c r="N515" i="119"/>
  <c r="N511" i="119"/>
  <c r="L543" i="119"/>
  <c r="L457" i="119"/>
  <c r="N374" i="119"/>
  <c r="K414" i="119"/>
  <c r="N455" i="119"/>
  <c r="N451" i="119"/>
  <c r="N447" i="119"/>
  <c r="N443" i="119"/>
  <c r="N439" i="119"/>
  <c r="N435" i="119"/>
  <c r="N431" i="119"/>
  <c r="N427" i="119"/>
  <c r="N423" i="119"/>
  <c r="N419" i="119"/>
  <c r="M543" i="119"/>
  <c r="N496" i="119"/>
  <c r="N492" i="119"/>
  <c r="N488" i="119"/>
  <c r="N484" i="119"/>
  <c r="N480" i="119"/>
  <c r="N476" i="119"/>
  <c r="N472" i="119"/>
  <c r="N468" i="119"/>
  <c r="N464" i="119"/>
  <c r="N460" i="119"/>
  <c r="K500" i="119"/>
  <c r="M457" i="119"/>
  <c r="L414" i="119"/>
  <c r="N367" i="119"/>
  <c r="N363" i="119"/>
  <c r="N359" i="119"/>
  <c r="N355" i="119"/>
  <c r="N351" i="119"/>
  <c r="N347" i="119"/>
  <c r="N343" i="119"/>
  <c r="N339" i="119"/>
  <c r="N335" i="119"/>
  <c r="N331" i="119"/>
  <c r="L328" i="119"/>
  <c r="N324" i="119"/>
  <c r="N320" i="119"/>
  <c r="N316" i="119"/>
  <c r="N312" i="119"/>
  <c r="N308" i="119"/>
  <c r="N304" i="119"/>
  <c r="N300" i="119"/>
  <c r="N296" i="119"/>
  <c r="N292" i="119"/>
  <c r="N288" i="119"/>
  <c r="L285" i="119"/>
  <c r="N284" i="119"/>
  <c r="N280" i="119"/>
  <c r="I32" i="119" s="1"/>
  <c r="N276" i="119"/>
  <c r="N272" i="119"/>
  <c r="N268" i="119"/>
  <c r="N264" i="119"/>
  <c r="N260" i="119"/>
  <c r="N256" i="119"/>
  <c r="N248" i="119"/>
  <c r="L199" i="119"/>
  <c r="N152" i="119"/>
  <c r="N148" i="119"/>
  <c r="N144" i="119"/>
  <c r="N140" i="119"/>
  <c r="N136" i="119"/>
  <c r="N132" i="119"/>
  <c r="N128" i="119"/>
  <c r="N124" i="119"/>
  <c r="N120" i="119"/>
  <c r="N195" i="119"/>
  <c r="N191" i="119"/>
  <c r="N187" i="119"/>
  <c r="N183" i="119"/>
  <c r="N179" i="119"/>
  <c r="N175" i="119"/>
  <c r="N171" i="119"/>
  <c r="N167" i="119"/>
  <c r="N163" i="119"/>
  <c r="N159" i="119"/>
  <c r="K199" i="119"/>
  <c r="N111" i="119"/>
  <c r="N99" i="119"/>
  <c r="N91" i="119"/>
  <c r="N87" i="119"/>
  <c r="N83" i="119"/>
  <c r="N79" i="119"/>
  <c r="N75" i="119"/>
  <c r="N1100" i="119"/>
  <c r="N1096" i="119"/>
  <c r="N1092" i="119"/>
  <c r="N1084" i="119"/>
  <c r="N1080" i="119"/>
  <c r="N1076" i="119"/>
  <c r="N1072" i="119"/>
  <c r="N1068" i="119"/>
  <c r="N1064" i="119"/>
  <c r="L242" i="119"/>
  <c r="N203" i="119"/>
  <c r="N219" i="119"/>
  <c r="N1014" i="119"/>
  <c r="N1010" i="119"/>
  <c r="N1006" i="119"/>
  <c r="N1002" i="119"/>
  <c r="N998" i="119"/>
  <c r="N994" i="119"/>
  <c r="N990" i="119"/>
  <c r="N986" i="119"/>
  <c r="N982" i="119"/>
  <c r="N978" i="119"/>
  <c r="N928" i="119"/>
  <c r="N924" i="119"/>
  <c r="N920" i="119"/>
  <c r="N916" i="119"/>
  <c r="N912" i="119"/>
  <c r="N908" i="119"/>
  <c r="N904" i="119"/>
  <c r="N900" i="119"/>
  <c r="N896" i="119"/>
  <c r="N892" i="119"/>
  <c r="L1059" i="119"/>
  <c r="L973" i="119"/>
  <c r="N969" i="119"/>
  <c r="N965" i="119"/>
  <c r="N961" i="119"/>
  <c r="N957" i="119"/>
  <c r="N953" i="119"/>
  <c r="N949" i="119"/>
  <c r="N945" i="119"/>
  <c r="N933" i="119"/>
  <c r="M930" i="119"/>
  <c r="N879" i="119"/>
  <c r="N875" i="119"/>
  <c r="N865" i="119"/>
  <c r="N861" i="119"/>
  <c r="N857" i="119"/>
  <c r="N853" i="119"/>
  <c r="N849" i="119"/>
  <c r="N799" i="119"/>
  <c r="N795" i="119"/>
  <c r="N791" i="119"/>
  <c r="N787" i="119"/>
  <c r="N783" i="119"/>
  <c r="N779" i="119"/>
  <c r="N775" i="119"/>
  <c r="N771" i="119"/>
  <c r="N767" i="119"/>
  <c r="N763" i="119"/>
  <c r="N713" i="119"/>
  <c r="N709" i="119"/>
  <c r="N705" i="119"/>
  <c r="N701" i="119"/>
  <c r="N697" i="119"/>
  <c r="N693" i="119"/>
  <c r="N689" i="119"/>
  <c r="L672" i="119"/>
  <c r="L586" i="119"/>
  <c r="N670" i="119"/>
  <c r="N666" i="119"/>
  <c r="N662" i="119"/>
  <c r="N658" i="119"/>
  <c r="N654" i="119"/>
  <c r="N650" i="119"/>
  <c r="N646" i="119"/>
  <c r="N642" i="119"/>
  <c r="N638" i="119"/>
  <c r="N634" i="119"/>
  <c r="N584" i="119"/>
  <c r="N576" i="119"/>
  <c r="N568" i="119"/>
  <c r="N564" i="119"/>
  <c r="N556" i="119"/>
  <c r="N548" i="119"/>
  <c r="N686" i="119"/>
  <c r="N682" i="119"/>
  <c r="N678" i="119"/>
  <c r="N628" i="119"/>
  <c r="N624" i="119"/>
  <c r="N620" i="119"/>
  <c r="N616" i="119"/>
  <c r="N612" i="119"/>
  <c r="N608" i="119"/>
  <c r="N604" i="119"/>
  <c r="N600" i="119"/>
  <c r="N596" i="119"/>
  <c r="N542" i="119"/>
  <c r="N538" i="119"/>
  <c r="N530" i="119"/>
  <c r="N526" i="119"/>
  <c r="N518" i="119"/>
  <c r="N454" i="119"/>
  <c r="N450" i="119"/>
  <c r="N446" i="119"/>
  <c r="N442" i="119"/>
  <c r="N438" i="119"/>
  <c r="N434" i="119"/>
  <c r="N430" i="119"/>
  <c r="N426" i="119"/>
  <c r="N422" i="119"/>
  <c r="N418" i="119"/>
  <c r="N499" i="119"/>
  <c r="N495" i="119"/>
  <c r="N491" i="119"/>
  <c r="N487" i="119"/>
  <c r="N483" i="119"/>
  <c r="N479" i="119"/>
  <c r="N475" i="119"/>
  <c r="N471" i="119"/>
  <c r="N467" i="119"/>
  <c r="N463" i="119"/>
  <c r="N370" i="119"/>
  <c r="N366" i="119"/>
  <c r="I34" i="119" s="1"/>
  <c r="N362" i="119"/>
  <c r="N358" i="119"/>
  <c r="N354" i="119"/>
  <c r="N350" i="119"/>
  <c r="N346" i="119"/>
  <c r="N342" i="119"/>
  <c r="N338" i="119"/>
  <c r="N334" i="119"/>
  <c r="N327" i="119"/>
  <c r="N323" i="119"/>
  <c r="I33" i="119" s="1"/>
  <c r="N319" i="119"/>
  <c r="N315" i="119"/>
  <c r="N311" i="119"/>
  <c r="N307" i="119"/>
  <c r="N295" i="119"/>
  <c r="N291" i="119"/>
  <c r="N237" i="119"/>
  <c r="I31" i="119" s="1"/>
  <c r="M285" i="119"/>
  <c r="N283" i="119"/>
  <c r="N279" i="119"/>
  <c r="N275" i="119"/>
  <c r="N271" i="119"/>
  <c r="N267" i="119"/>
  <c r="N263" i="119"/>
  <c r="N259" i="119"/>
  <c r="N255" i="119"/>
  <c r="N251" i="119"/>
  <c r="N247" i="119"/>
  <c r="M199" i="119"/>
  <c r="N155" i="119"/>
  <c r="N151" i="119"/>
  <c r="I29" i="119" s="1"/>
  <c r="N147" i="119"/>
  <c r="N143" i="119"/>
  <c r="N139" i="119"/>
  <c r="N135" i="119"/>
  <c r="N131" i="119"/>
  <c r="N127" i="119"/>
  <c r="N123" i="119"/>
  <c r="N198" i="119"/>
  <c r="N194" i="119"/>
  <c r="I30" i="119" s="1"/>
  <c r="N190" i="119"/>
  <c r="N186" i="119"/>
  <c r="N182" i="119"/>
  <c r="N178" i="119"/>
  <c r="N174" i="119"/>
  <c r="N170" i="119"/>
  <c r="N166" i="119"/>
  <c r="N162" i="119"/>
  <c r="L113" i="119"/>
  <c r="N110" i="119"/>
  <c r="N106" i="119"/>
  <c r="N102" i="119"/>
  <c r="N98" i="119"/>
  <c r="N94" i="119"/>
  <c r="N90" i="119"/>
  <c r="N86" i="119"/>
  <c r="N82" i="119"/>
  <c r="N78" i="119"/>
  <c r="N74" i="119"/>
  <c r="N117" i="119"/>
  <c r="N1099" i="119"/>
  <c r="N1095" i="119"/>
  <c r="N1091" i="119"/>
  <c r="N1087" i="119"/>
  <c r="N1083" i="119"/>
  <c r="N1079" i="119"/>
  <c r="N1075" i="119"/>
  <c r="N1071" i="119"/>
  <c r="N1067" i="119"/>
  <c r="N1063" i="119"/>
  <c r="N204" i="119"/>
  <c r="N217" i="119"/>
  <c r="N1019" i="119"/>
  <c r="N1032" i="119"/>
  <c r="L887" i="119"/>
  <c r="N1013" i="119"/>
  <c r="N1009" i="119"/>
  <c r="N1005" i="119"/>
  <c r="N1001" i="119"/>
  <c r="N997" i="119"/>
  <c r="N993" i="119"/>
  <c r="N989" i="119"/>
  <c r="N985" i="119"/>
  <c r="N981" i="119"/>
  <c r="N977" i="119"/>
  <c r="N927" i="119"/>
  <c r="N923" i="119"/>
  <c r="N919" i="119"/>
  <c r="N915" i="119"/>
  <c r="N911" i="119"/>
  <c r="N907" i="119"/>
  <c r="N903" i="119"/>
  <c r="N899" i="119"/>
  <c r="N891" i="119"/>
  <c r="N968" i="119"/>
  <c r="N964" i="119"/>
  <c r="N960" i="119"/>
  <c r="N956" i="119"/>
  <c r="N952" i="119"/>
  <c r="N948" i="119"/>
  <c r="N944" i="119"/>
  <c r="N940" i="119"/>
  <c r="N936" i="119"/>
  <c r="N882" i="119"/>
  <c r="N878" i="119"/>
  <c r="N870" i="119"/>
  <c r="N864" i="119"/>
  <c r="N860" i="119"/>
  <c r="N856" i="119"/>
  <c r="N852" i="119"/>
  <c r="N848" i="119"/>
  <c r="N798" i="119"/>
  <c r="N794" i="119"/>
  <c r="N790" i="119"/>
  <c r="N786" i="119"/>
  <c r="N782" i="119"/>
  <c r="N778" i="119"/>
  <c r="N774" i="119"/>
  <c r="N770" i="119"/>
  <c r="N766" i="119"/>
  <c r="N762" i="119"/>
  <c r="N712" i="119"/>
  <c r="N704" i="119"/>
  <c r="N700" i="119"/>
  <c r="N696" i="119"/>
  <c r="N692" i="119"/>
  <c r="N688" i="119"/>
  <c r="N669" i="119"/>
  <c r="N665" i="119"/>
  <c r="N661" i="119"/>
  <c r="N657" i="119"/>
  <c r="N653" i="119"/>
  <c r="N649" i="119"/>
  <c r="N645" i="119"/>
  <c r="N641" i="119"/>
  <c r="N637" i="119"/>
  <c r="N633" i="119"/>
  <c r="N583" i="119"/>
  <c r="N575" i="119"/>
  <c r="N559" i="119"/>
  <c r="N551" i="119"/>
  <c r="N547" i="119"/>
  <c r="N508" i="119"/>
  <c r="N685" i="119"/>
  <c r="N681" i="119"/>
  <c r="N677" i="119"/>
  <c r="N623" i="119"/>
  <c r="N615" i="119"/>
  <c r="N611" i="119"/>
  <c r="N607" i="119"/>
  <c r="N603" i="119"/>
  <c r="N599" i="119"/>
  <c r="N595" i="119"/>
  <c r="N591" i="119"/>
  <c r="N541" i="119"/>
  <c r="N537" i="119"/>
  <c r="N533" i="119"/>
  <c r="N529" i="119"/>
  <c r="N525" i="119"/>
  <c r="N517" i="119"/>
  <c r="N513" i="119"/>
  <c r="N509" i="119"/>
  <c r="M500" i="119"/>
  <c r="N453" i="119"/>
  <c r="N449" i="119"/>
  <c r="N445" i="119"/>
  <c r="N441" i="119"/>
  <c r="N437" i="119"/>
  <c r="N433" i="119"/>
  <c r="N429" i="119"/>
  <c r="N425" i="119"/>
  <c r="N421" i="119"/>
  <c r="N417" i="119"/>
  <c r="M371" i="119"/>
  <c r="L500" i="119"/>
  <c r="M414" i="119"/>
  <c r="N498" i="119"/>
  <c r="N494" i="119"/>
  <c r="N490" i="119"/>
  <c r="N486" i="119"/>
  <c r="N482" i="119"/>
  <c r="N478" i="119"/>
  <c r="N474" i="119"/>
  <c r="N470" i="119"/>
  <c r="N466" i="119"/>
  <c r="N462" i="119"/>
  <c r="N369" i="119"/>
  <c r="N365" i="119"/>
  <c r="N361" i="119"/>
  <c r="N357" i="119"/>
  <c r="N353" i="119"/>
  <c r="N349" i="119"/>
  <c r="N341" i="119"/>
  <c r="N337" i="119"/>
  <c r="N333" i="119"/>
  <c r="N326" i="119"/>
  <c r="N318" i="119"/>
  <c r="N314" i="119"/>
  <c r="N310" i="119"/>
  <c r="N306" i="119"/>
  <c r="N298" i="119"/>
  <c r="N294" i="119"/>
  <c r="N282" i="119"/>
  <c r="N278" i="119"/>
  <c r="N274" i="119"/>
  <c r="N270" i="119"/>
  <c r="N266" i="119"/>
  <c r="N262" i="119"/>
  <c r="N258" i="119"/>
  <c r="N254" i="119"/>
  <c r="N250" i="119"/>
  <c r="N246" i="119"/>
  <c r="M242" i="119"/>
  <c r="N154" i="119"/>
  <c r="N130" i="119"/>
  <c r="N197" i="119"/>
  <c r="N193" i="119"/>
  <c r="N189" i="119"/>
  <c r="N185" i="119"/>
  <c r="N181" i="119"/>
  <c r="N177" i="119"/>
  <c r="N173" i="119"/>
  <c r="N169" i="119"/>
  <c r="N165" i="119"/>
  <c r="N161" i="119"/>
  <c r="M156" i="119"/>
  <c r="N109" i="119"/>
  <c r="N105" i="119"/>
  <c r="N101" i="119"/>
  <c r="N93" i="119"/>
  <c r="N89" i="119"/>
  <c r="N85" i="119"/>
  <c r="N81" i="119"/>
  <c r="N77" i="119"/>
  <c r="N73" i="119"/>
  <c r="M1102" i="119"/>
  <c r="L156" i="119"/>
  <c r="L1102" i="119"/>
  <c r="N116" i="119"/>
  <c r="M113" i="119"/>
  <c r="N1098" i="119"/>
  <c r="N1094" i="119"/>
  <c r="N1090" i="119"/>
  <c r="N1086" i="119"/>
  <c r="N1082" i="119"/>
  <c r="N1078" i="119"/>
  <c r="N1074" i="119"/>
  <c r="N1070" i="119"/>
  <c r="N1066" i="119"/>
  <c r="N1062" i="119"/>
  <c r="N228" i="119"/>
  <c r="N1034" i="119"/>
  <c r="L1016" i="119"/>
  <c r="L930" i="119"/>
  <c r="M1059" i="119"/>
  <c r="N1012" i="119"/>
  <c r="N1008" i="119"/>
  <c r="N1004" i="119"/>
  <c r="N1000" i="119"/>
  <c r="N996" i="119"/>
  <c r="N992" i="119"/>
  <c r="N988" i="119"/>
  <c r="N984" i="119"/>
  <c r="N980" i="119"/>
  <c r="N976" i="119"/>
  <c r="K1016" i="119"/>
  <c r="M973" i="119"/>
  <c r="N926" i="119"/>
  <c r="N922" i="119"/>
  <c r="N918" i="119"/>
  <c r="N914" i="119"/>
  <c r="N910" i="119"/>
  <c r="N906" i="119"/>
  <c r="N902" i="119"/>
  <c r="N898" i="119"/>
  <c r="N894" i="119"/>
  <c r="N890" i="119"/>
  <c r="N971" i="119"/>
  <c r="N967" i="119"/>
  <c r="N963" i="119"/>
  <c r="N959" i="119"/>
  <c r="N955" i="119"/>
  <c r="N951" i="119"/>
  <c r="N947" i="119"/>
  <c r="N943" i="119"/>
  <c r="N939" i="119"/>
  <c r="N935" i="119"/>
  <c r="N885" i="119"/>
  <c r="N881" i="119"/>
  <c r="N877" i="119"/>
  <c r="N873" i="119"/>
  <c r="N869" i="119"/>
  <c r="M887" i="119"/>
  <c r="N804" i="119"/>
  <c r="M801" i="119"/>
  <c r="N718" i="119"/>
  <c r="N863" i="119"/>
  <c r="N859" i="119"/>
  <c r="N847" i="119"/>
  <c r="M844" i="119"/>
  <c r="N797" i="119"/>
  <c r="N793" i="119"/>
  <c r="N789" i="119"/>
  <c r="N785" i="119"/>
  <c r="N781" i="119"/>
  <c r="N777" i="119"/>
  <c r="N773" i="119"/>
  <c r="N769" i="119"/>
  <c r="N765" i="119"/>
  <c r="N761" i="119"/>
  <c r="M758" i="119"/>
  <c r="N711" i="119"/>
  <c r="N707" i="119"/>
  <c r="N703" i="119"/>
  <c r="N699" i="119"/>
  <c r="N695" i="119"/>
  <c r="N691" i="119"/>
  <c r="N687" i="119"/>
  <c r="L844" i="119"/>
  <c r="L758" i="119"/>
  <c r="M715" i="119"/>
  <c r="N668" i="119"/>
  <c r="N664" i="119"/>
  <c r="N660" i="119"/>
  <c r="N656" i="119"/>
  <c r="N652" i="119"/>
  <c r="N648" i="119"/>
  <c r="N644" i="119"/>
  <c r="N640" i="119"/>
  <c r="N636" i="119"/>
  <c r="N632" i="119"/>
  <c r="M629" i="119"/>
  <c r="N582" i="119"/>
  <c r="N578" i="119"/>
  <c r="N574" i="119"/>
  <c r="N570" i="119"/>
  <c r="N566" i="119"/>
  <c r="N562" i="119"/>
  <c r="N558" i="119"/>
  <c r="N554" i="119"/>
  <c r="N550" i="119"/>
  <c r="N546" i="119"/>
  <c r="N507" i="119"/>
  <c r="L715" i="119"/>
  <c r="L629" i="119"/>
  <c r="N684" i="119"/>
  <c r="N680" i="119"/>
  <c r="N676" i="119"/>
  <c r="N626" i="119"/>
  <c r="N622" i="119"/>
  <c r="N614" i="119"/>
  <c r="N610" i="119"/>
  <c r="N606" i="119"/>
  <c r="N598" i="119"/>
  <c r="N594" i="119"/>
  <c r="N590" i="119"/>
  <c r="N540" i="119"/>
  <c r="N532" i="119"/>
  <c r="N528" i="119"/>
  <c r="N516" i="119"/>
  <c r="N512" i="119"/>
  <c r="N456" i="119"/>
  <c r="N452" i="119"/>
  <c r="N448" i="119"/>
  <c r="N444" i="119"/>
  <c r="N440" i="119"/>
  <c r="N436" i="119"/>
  <c r="N428" i="119"/>
  <c r="N424" i="119"/>
  <c r="N420" i="119"/>
  <c r="N497" i="119"/>
  <c r="N493" i="119"/>
  <c r="N489" i="119"/>
  <c r="N485" i="119"/>
  <c r="N481" i="119"/>
  <c r="N477" i="119"/>
  <c r="N473" i="119"/>
  <c r="N469" i="119"/>
  <c r="N465" i="119"/>
  <c r="N461" i="119"/>
  <c r="N368" i="119"/>
  <c r="N364" i="119"/>
  <c r="N360" i="119"/>
  <c r="N356" i="119"/>
  <c r="N352" i="119"/>
  <c r="N348" i="119"/>
  <c r="N344" i="119"/>
  <c r="N340" i="119"/>
  <c r="N332" i="119"/>
  <c r="N325" i="119"/>
  <c r="N321" i="119"/>
  <c r="N317" i="119"/>
  <c r="N313" i="119"/>
  <c r="N309" i="119"/>
  <c r="N305" i="119"/>
  <c r="N301" i="119"/>
  <c r="N297" i="119"/>
  <c r="N293" i="119"/>
  <c r="N289" i="119"/>
  <c r="M328" i="119"/>
  <c r="N281" i="119"/>
  <c r="N277" i="119"/>
  <c r="N273" i="119"/>
  <c r="N265" i="119"/>
  <c r="N261" i="119"/>
  <c r="N257" i="119"/>
  <c r="N253" i="119"/>
  <c r="N249" i="119"/>
  <c r="N245" i="119"/>
  <c r="N149" i="119"/>
  <c r="N145" i="119"/>
  <c r="N141" i="119"/>
  <c r="N137" i="119"/>
  <c r="N133" i="119"/>
  <c r="N129" i="119"/>
  <c r="N125" i="119"/>
  <c r="N121" i="119"/>
  <c r="N196" i="119"/>
  <c r="N192" i="119"/>
  <c r="N188" i="119"/>
  <c r="N184" i="119"/>
  <c r="N180" i="119"/>
  <c r="N176" i="119"/>
  <c r="N172" i="119"/>
  <c r="N168" i="119"/>
  <c r="N164" i="119"/>
  <c r="N160" i="119"/>
  <c r="N112" i="119"/>
  <c r="N108" i="119"/>
  <c r="I28" i="119" s="1"/>
  <c r="N104" i="119"/>
  <c r="N100" i="119"/>
  <c r="N96" i="119"/>
  <c r="N92" i="119"/>
  <c r="N88" i="119"/>
  <c r="N84" i="119"/>
  <c r="N80" i="119"/>
  <c r="N76" i="119"/>
  <c r="N119" i="119"/>
  <c r="N1101" i="119"/>
  <c r="N1097" i="119"/>
  <c r="N1093" i="119"/>
  <c r="N1089" i="119"/>
  <c r="N1085" i="119"/>
  <c r="N1081" i="119"/>
  <c r="N1077" i="119"/>
  <c r="N1073" i="119"/>
  <c r="N1069" i="119"/>
  <c r="N1065" i="119"/>
  <c r="BF859" i="16" l="1"/>
  <c r="G789" i="182"/>
  <c r="G722" i="182"/>
  <c r="BF788" i="16"/>
  <c r="AQ804" i="16"/>
  <c r="BF636" i="16"/>
  <c r="G576" i="182"/>
  <c r="BK680" i="16"/>
  <c r="BK714" i="16" s="1"/>
  <c r="BN1211" i="16" s="1"/>
  <c r="R111" i="36" s="1"/>
  <c r="V101" i="69" s="1"/>
  <c r="BI714" i="16"/>
  <c r="BM1211" i="16" s="1"/>
  <c r="BC578" i="16"/>
  <c r="BA804" i="16"/>
  <c r="BA806" i="16" s="1"/>
  <c r="BA803" i="16"/>
  <c r="BA805" i="16"/>
  <c r="O720" i="182"/>
  <c r="G737" i="182"/>
  <c r="U560" i="119"/>
  <c r="K560" i="119"/>
  <c r="N560" i="119" s="1"/>
  <c r="U743" i="119"/>
  <c r="U758" i="119" s="1"/>
  <c r="K743" i="119"/>
  <c r="S758" i="119"/>
  <c r="BK788" i="16"/>
  <c r="BK804" i="16" s="1"/>
  <c r="BN1213" i="16" s="1"/>
  <c r="R113" i="36" s="1"/>
  <c r="V103" i="69" s="1"/>
  <c r="BI804" i="16"/>
  <c r="BM1213" i="16" s="1"/>
  <c r="U1030" i="119"/>
  <c r="K1030" i="119"/>
  <c r="N1030" i="119" s="1"/>
  <c r="G393" i="182"/>
  <c r="BE680" i="16"/>
  <c r="BE672" i="16" s="1"/>
  <c r="BA672" i="16"/>
  <c r="BK174" i="16"/>
  <c r="BN1199" i="16" s="1"/>
  <c r="R99" i="36" s="1"/>
  <c r="V89" i="69" s="1"/>
  <c r="AQ402" i="16"/>
  <c r="BF402" i="16" s="1"/>
  <c r="BF444" i="16" s="1"/>
  <c r="BF446" i="16" s="1"/>
  <c r="U82" i="16"/>
  <c r="G1009" i="182"/>
  <c r="BF1089" i="16"/>
  <c r="U567" i="119"/>
  <c r="K567" i="119"/>
  <c r="N567" i="119" s="1"/>
  <c r="U639" i="119"/>
  <c r="U672" i="119" s="1"/>
  <c r="K639" i="119"/>
  <c r="S672" i="119"/>
  <c r="AB115" i="36"/>
  <c r="AF105" i="69" s="1"/>
  <c r="BC896" i="16"/>
  <c r="BK882" i="16"/>
  <c r="BK894" i="16" s="1"/>
  <c r="BN1215" i="16" s="1"/>
  <c r="R115" i="36" s="1"/>
  <c r="V105" i="69" s="1"/>
  <c r="U810" i="119"/>
  <c r="K810" i="119"/>
  <c r="N810" i="119" s="1"/>
  <c r="K597" i="119"/>
  <c r="N597" i="119" s="1"/>
  <c r="U597" i="119"/>
  <c r="G554" i="182"/>
  <c r="BF612" i="16"/>
  <c r="G618" i="182"/>
  <c r="BF680" i="16"/>
  <c r="AQ714" i="16"/>
  <c r="V1104" i="119"/>
  <c r="G113" i="182"/>
  <c r="BF151" i="16"/>
  <c r="U118" i="119"/>
  <c r="K118" i="119"/>
  <c r="N118" i="119" s="1"/>
  <c r="K134" i="119"/>
  <c r="N134" i="119" s="1"/>
  <c r="U134" i="119"/>
  <c r="BF159" i="16"/>
  <c r="G121" i="182"/>
  <c r="U126" i="119"/>
  <c r="K126" i="119"/>
  <c r="N126" i="119" s="1"/>
  <c r="U122" i="119"/>
  <c r="K122" i="119"/>
  <c r="N122" i="119" s="1"/>
  <c r="BA132" i="16"/>
  <c r="BF147" i="16"/>
  <c r="G109" i="182"/>
  <c r="U142" i="119"/>
  <c r="K142" i="119"/>
  <c r="N142" i="119" s="1"/>
  <c r="BI174" i="16"/>
  <c r="BM1199" i="16" s="1"/>
  <c r="BE135" i="16"/>
  <c r="BE132" i="16" s="1"/>
  <c r="BF143" i="16"/>
  <c r="G105" i="182"/>
  <c r="BF135" i="16"/>
  <c r="G97" i="182"/>
  <c r="O479" i="182"/>
  <c r="O480" i="182" s="1"/>
  <c r="O221" i="182"/>
  <c r="O222" i="182" s="1"/>
  <c r="L371" i="119"/>
  <c r="L1104" i="119" s="1"/>
  <c r="Y813" i="25"/>
  <c r="BA1073" i="16"/>
  <c r="BA1074" i="16"/>
  <c r="BA1076" i="16" s="1"/>
  <c r="BA1075" i="16"/>
  <c r="G812" i="182"/>
  <c r="BF882" i="16"/>
  <c r="AQ894" i="16"/>
  <c r="G830" i="182"/>
  <c r="BF902" i="16"/>
  <c r="BB894" i="16"/>
  <c r="BB893" i="16"/>
  <c r="BB895" i="16"/>
  <c r="G600" i="182"/>
  <c r="BF660" i="16"/>
  <c r="BF948" i="16"/>
  <c r="G874" i="182"/>
  <c r="AX75" i="16"/>
  <c r="BB218" i="16"/>
  <c r="BB219" i="16"/>
  <c r="BB220" i="16"/>
  <c r="K522" i="119"/>
  <c r="N522" i="119" s="1"/>
  <c r="U522" i="119"/>
  <c r="U966" i="119"/>
  <c r="K966" i="119"/>
  <c r="N966" i="119" s="1"/>
  <c r="G1001" i="182"/>
  <c r="BF1081" i="16"/>
  <c r="BB265" i="16"/>
  <c r="BB264" i="16"/>
  <c r="BB263" i="16"/>
  <c r="W114" i="36"/>
  <c r="AA104" i="69" s="1"/>
  <c r="BB851" i="16"/>
  <c r="G920" i="182"/>
  <c r="BF996" i="16"/>
  <c r="BE805" i="16"/>
  <c r="BE804" i="16"/>
  <c r="BE806" i="16" s="1"/>
  <c r="BE803" i="16"/>
  <c r="BI1119" i="16"/>
  <c r="BM1220" i="16" s="1"/>
  <c r="BF264" i="16"/>
  <c r="BF266" i="16" s="1"/>
  <c r="G221" i="182"/>
  <c r="S844" i="119"/>
  <c r="U833" i="119"/>
  <c r="U844" i="119" s="1"/>
  <c r="K833" i="119"/>
  <c r="U621" i="119"/>
  <c r="K621" i="119"/>
  <c r="N621" i="119" s="1"/>
  <c r="BE1032" i="16"/>
  <c r="BF557" i="16"/>
  <c r="G501" i="182"/>
  <c r="BB984" i="16"/>
  <c r="BB985" i="16"/>
  <c r="BB983" i="16"/>
  <c r="BF463" i="16"/>
  <c r="G411" i="182"/>
  <c r="U269" i="119"/>
  <c r="K269" i="119"/>
  <c r="N269" i="119" s="1"/>
  <c r="K867" i="119"/>
  <c r="N867" i="119" s="1"/>
  <c r="U867" i="119"/>
  <c r="W120" i="36"/>
  <c r="AA110" i="69" s="1"/>
  <c r="BB1121" i="16"/>
  <c r="BB804" i="16"/>
  <c r="BB803" i="16"/>
  <c r="BB805" i="16"/>
  <c r="BB760" i="16"/>
  <c r="BB758" i="16"/>
  <c r="BB759" i="16"/>
  <c r="K555" i="119"/>
  <c r="N555" i="119" s="1"/>
  <c r="U555" i="119"/>
  <c r="K520" i="119"/>
  <c r="N520" i="119" s="1"/>
  <c r="U520" i="119"/>
  <c r="BB940" i="16"/>
  <c r="BB939" i="16"/>
  <c r="BB938" i="16"/>
  <c r="BB1075" i="16"/>
  <c r="BB1074" i="16"/>
  <c r="BB1073" i="16"/>
  <c r="K1022" i="119"/>
  <c r="N1022" i="119" s="1"/>
  <c r="U1022" i="119"/>
  <c r="BB669" i="16"/>
  <c r="BB670" i="16"/>
  <c r="BB668" i="16"/>
  <c r="G580" i="182"/>
  <c r="BF640" i="16"/>
  <c r="G248" i="182"/>
  <c r="BF292" i="16"/>
  <c r="BB444" i="16"/>
  <c r="BB445" i="16"/>
  <c r="BB443" i="16"/>
  <c r="I74" i="182"/>
  <c r="AQ1032" i="16"/>
  <c r="BF1032" i="16" s="1"/>
  <c r="BF1074" i="16" s="1"/>
  <c r="BF1076" i="16" s="1"/>
  <c r="AQ80" i="16"/>
  <c r="BE882" i="16"/>
  <c r="BA852" i="16"/>
  <c r="U851" i="119"/>
  <c r="K851" i="119"/>
  <c r="N851" i="119" s="1"/>
  <c r="BE852" i="16"/>
  <c r="BF555" i="16"/>
  <c r="G499" i="182"/>
  <c r="K895" i="119"/>
  <c r="N895" i="119" s="1"/>
  <c r="U895" i="119"/>
  <c r="G945" i="182"/>
  <c r="BF1021" i="16"/>
  <c r="BC1121" i="16"/>
  <c r="AB120" i="36"/>
  <c r="AF110" i="69" s="1"/>
  <c r="AB118" i="36"/>
  <c r="AF108" i="69" s="1"/>
  <c r="BC1031" i="16"/>
  <c r="BB1029" i="16"/>
  <c r="BB1028" i="16"/>
  <c r="BB1030" i="16"/>
  <c r="BB715" i="16"/>
  <c r="BB713" i="16"/>
  <c r="BB714" i="16"/>
  <c r="U601" i="119"/>
  <c r="K601" i="119"/>
  <c r="N601" i="119" s="1"/>
  <c r="BB309" i="16"/>
  <c r="BB310" i="16"/>
  <c r="BB308" i="16"/>
  <c r="S457" i="119"/>
  <c r="U432" i="119"/>
  <c r="U457" i="119" s="1"/>
  <c r="K432" i="119"/>
  <c r="BK463" i="16"/>
  <c r="BK489" i="16" s="1"/>
  <c r="BN1206" i="16" s="1"/>
  <c r="R106" i="36" s="1"/>
  <c r="V96" i="69" s="1"/>
  <c r="BI489" i="16"/>
  <c r="BM1206" i="16" s="1"/>
  <c r="G846" i="182"/>
  <c r="BF918" i="16"/>
  <c r="K941" i="119"/>
  <c r="N941" i="119" s="1"/>
  <c r="U941" i="119"/>
  <c r="BE220" i="16"/>
  <c r="BE218" i="16"/>
  <c r="BE219" i="16"/>
  <c r="BE221" i="16" s="1"/>
  <c r="BB1164" i="16"/>
  <c r="W121" i="36" s="1"/>
  <c r="AA111" i="69" s="1"/>
  <c r="BB1165" i="16"/>
  <c r="BB1163" i="16"/>
  <c r="AZ27" i="195"/>
  <c r="BA25" i="195"/>
  <c r="T193" i="197" s="1"/>
  <c r="BB23" i="195"/>
  <c r="BB24" i="195" s="1"/>
  <c r="U192" i="197" s="1"/>
  <c r="U187" i="197"/>
  <c r="BA66" i="195"/>
  <c r="T191" i="197"/>
  <c r="K190" i="190"/>
  <c r="K110" i="198"/>
  <c r="G540" i="182"/>
  <c r="BF598" i="16"/>
  <c r="G556" i="182"/>
  <c r="BF614" i="16"/>
  <c r="K552" i="119"/>
  <c r="N552" i="119" s="1"/>
  <c r="U552" i="119"/>
  <c r="BB624" i="16"/>
  <c r="BB623" i="16"/>
  <c r="BB625" i="16"/>
  <c r="U561" i="119"/>
  <c r="K561" i="119"/>
  <c r="N561" i="119" s="1"/>
  <c r="BF589" i="16"/>
  <c r="G531" i="182"/>
  <c r="U573" i="119"/>
  <c r="K573" i="119"/>
  <c r="N573" i="119" s="1"/>
  <c r="U577" i="119"/>
  <c r="K577" i="119"/>
  <c r="N577" i="119" s="1"/>
  <c r="G552" i="182"/>
  <c r="BF610" i="16"/>
  <c r="BC580" i="16"/>
  <c r="BF549" i="16"/>
  <c r="G493" i="182"/>
  <c r="K536" i="119"/>
  <c r="N536" i="119" s="1"/>
  <c r="U536" i="119"/>
  <c r="U519" i="119"/>
  <c r="K519" i="119"/>
  <c r="N519" i="119" s="1"/>
  <c r="S543" i="119"/>
  <c r="U510" i="119"/>
  <c r="K510" i="119"/>
  <c r="BK579" i="16"/>
  <c r="BN1208" i="16" s="1"/>
  <c r="R108" i="36" s="1"/>
  <c r="G510" i="182"/>
  <c r="BF566" i="16"/>
  <c r="BF559" i="16"/>
  <c r="G503" i="182"/>
  <c r="U514" i="119"/>
  <c r="K514" i="119"/>
  <c r="N514" i="119" s="1"/>
  <c r="G500" i="182"/>
  <c r="BF556" i="16"/>
  <c r="G489" i="182"/>
  <c r="BF545" i="16"/>
  <c r="AQ579" i="16"/>
  <c r="BI579" i="16"/>
  <c r="BM1208" i="16" s="1"/>
  <c r="BF574" i="16"/>
  <c r="G518" i="182"/>
  <c r="U539" i="119"/>
  <c r="K539" i="119"/>
  <c r="N539" i="119" s="1"/>
  <c r="G498" i="182"/>
  <c r="BF554" i="16"/>
  <c r="U521" i="119"/>
  <c r="K521" i="119"/>
  <c r="N521" i="119" s="1"/>
  <c r="BE545" i="16"/>
  <c r="BE537" i="16" s="1"/>
  <c r="BA537" i="16"/>
  <c r="U534" i="119"/>
  <c r="BB578" i="16"/>
  <c r="BB580" i="16"/>
  <c r="BB579" i="16"/>
  <c r="U531" i="119"/>
  <c r="K531" i="119"/>
  <c r="N531" i="119" s="1"/>
  <c r="U524" i="119"/>
  <c r="K524" i="119"/>
  <c r="N524" i="119" s="1"/>
  <c r="BF571" i="16"/>
  <c r="G515" i="182"/>
  <c r="G513" i="182"/>
  <c r="BF569" i="16"/>
  <c r="O482" i="182"/>
  <c r="BC581" i="16"/>
  <c r="AB108" i="36"/>
  <c r="AF98" i="69" s="1"/>
  <c r="BC536" i="16"/>
  <c r="AB107" i="36"/>
  <c r="AF97" i="69" s="1"/>
  <c r="BB534" i="16"/>
  <c r="BB535" i="16"/>
  <c r="BB533" i="16"/>
  <c r="BE533" i="16"/>
  <c r="BE535" i="16"/>
  <c r="BE534" i="16"/>
  <c r="BE536" i="16" s="1"/>
  <c r="BE447" i="16"/>
  <c r="BE489" i="16" s="1"/>
  <c r="BE491" i="16" s="1"/>
  <c r="BB490" i="16"/>
  <c r="BB488" i="16"/>
  <c r="BE490" i="16"/>
  <c r="AB106" i="36"/>
  <c r="AF96" i="69" s="1"/>
  <c r="BC491" i="16"/>
  <c r="AQ447" i="16"/>
  <c r="BF447" i="16" s="1"/>
  <c r="BF489" i="16" s="1"/>
  <c r="BF491" i="16" s="1"/>
  <c r="AF75" i="16"/>
  <c r="W106" i="36"/>
  <c r="AA96" i="69" s="1"/>
  <c r="BB491" i="16"/>
  <c r="O405" i="182"/>
  <c r="G436" i="182"/>
  <c r="BA490" i="16"/>
  <c r="BA488" i="16"/>
  <c r="BA489" i="16"/>
  <c r="BA491" i="16" s="1"/>
  <c r="BE372" i="16"/>
  <c r="BE357" i="16" s="1"/>
  <c r="BA357" i="16"/>
  <c r="BB400" i="16"/>
  <c r="BB398" i="16"/>
  <c r="BB399" i="16"/>
  <c r="G324" i="182"/>
  <c r="BF372" i="16"/>
  <c r="AQ399" i="16"/>
  <c r="U345" i="119"/>
  <c r="U371" i="119" s="1"/>
  <c r="S371" i="119"/>
  <c r="K345" i="119"/>
  <c r="BK372" i="16"/>
  <c r="BK399" i="16" s="1"/>
  <c r="BN1204" i="16" s="1"/>
  <c r="R104" i="36" s="1"/>
  <c r="BI399" i="16"/>
  <c r="BM1204" i="16" s="1"/>
  <c r="BC401" i="16"/>
  <c r="AB104" i="36"/>
  <c r="AF94" i="69" s="1"/>
  <c r="U299" i="119"/>
  <c r="K299" i="119"/>
  <c r="N299" i="119" s="1"/>
  <c r="BF324" i="16"/>
  <c r="G278" i="182"/>
  <c r="U303" i="119"/>
  <c r="K303" i="119"/>
  <c r="N303" i="119" s="1"/>
  <c r="G282" i="182"/>
  <c r="BF328" i="16"/>
  <c r="BF315" i="16"/>
  <c r="G269" i="182"/>
  <c r="AB103" i="36"/>
  <c r="AF93" i="69" s="1"/>
  <c r="BC356" i="16"/>
  <c r="U290" i="119"/>
  <c r="K290" i="119"/>
  <c r="N290" i="119" s="1"/>
  <c r="BB355" i="16"/>
  <c r="BB353" i="16"/>
  <c r="BB354" i="16"/>
  <c r="I134" i="182"/>
  <c r="I129" i="182"/>
  <c r="H14" i="178"/>
  <c r="S120" i="178"/>
  <c r="V120" i="178" s="1"/>
  <c r="T17" i="165"/>
  <c r="W1316" i="25"/>
  <c r="Y1316" i="25" s="1"/>
  <c r="W1260" i="25"/>
  <c r="Y1260" i="25" s="1"/>
  <c r="K153" i="30"/>
  <c r="K242" i="119"/>
  <c r="AA7" i="196"/>
  <c r="AA9" i="196" s="1"/>
  <c r="L17" i="197"/>
  <c r="AX64" i="195"/>
  <c r="Q217" i="197"/>
  <c r="AX69" i="195"/>
  <c r="AX65" i="195"/>
  <c r="T213" i="197"/>
  <c r="BB46" i="195"/>
  <c r="U213" i="197" s="1"/>
  <c r="T214" i="197"/>
  <c r="BB47" i="195"/>
  <c r="U214" i="197" s="1"/>
  <c r="AY50" i="195"/>
  <c r="W34" i="167"/>
  <c r="BB96" i="195"/>
  <c r="T212" i="197"/>
  <c r="BB45" i="195"/>
  <c r="U212" i="197" s="1"/>
  <c r="BA27" i="195"/>
  <c r="T198" i="197"/>
  <c r="BB31" i="195"/>
  <c r="U198" i="197" s="1"/>
  <c r="Y197" i="25"/>
  <c r="W1036" i="25"/>
  <c r="Y1036" i="25" s="1"/>
  <c r="W981" i="25"/>
  <c r="Y981" i="25" s="1"/>
  <c r="T10" i="165"/>
  <c r="T29" i="165"/>
  <c r="T30" i="165"/>
  <c r="T13" i="165"/>
  <c r="T14" i="165"/>
  <c r="T22" i="165"/>
  <c r="T27" i="165"/>
  <c r="W252" i="25"/>
  <c r="Y252" i="25" s="1"/>
  <c r="W869" i="25"/>
  <c r="Y869" i="25" s="1"/>
  <c r="T11" i="165"/>
  <c r="T9" i="165"/>
  <c r="BZ13" i="165"/>
  <c r="T24" i="165"/>
  <c r="T16" i="165"/>
  <c r="AQ13" i="165"/>
  <c r="AQ12" i="165" s="1"/>
  <c r="AQ11" i="165" s="1"/>
  <c r="AQ10" i="165" s="1"/>
  <c r="AQ9" i="165" s="1"/>
  <c r="T26" i="165"/>
  <c r="T12" i="165"/>
  <c r="T15" i="165"/>
  <c r="I119" i="182"/>
  <c r="O95" i="182"/>
  <c r="AB99" i="36"/>
  <c r="BC176" i="16"/>
  <c r="O125" i="182"/>
  <c r="I125" i="182"/>
  <c r="V91" i="69"/>
  <c r="BA265" i="16"/>
  <c r="BA264" i="16"/>
  <c r="BA266" i="16" s="1"/>
  <c r="BA263" i="16"/>
  <c r="BE265" i="16"/>
  <c r="BE263" i="16"/>
  <c r="BE264" i="16"/>
  <c r="BE266" i="16" s="1"/>
  <c r="I479" i="182"/>
  <c r="I995" i="182"/>
  <c r="I178" i="182"/>
  <c r="Y926" i="25"/>
  <c r="W925" i="25"/>
  <c r="Y758" i="25"/>
  <c r="W757" i="25"/>
  <c r="Y702" i="25"/>
  <c r="W701" i="25"/>
  <c r="Y645" i="25"/>
  <c r="W644" i="25"/>
  <c r="Y644" i="25" s="1"/>
  <c r="W588" i="25"/>
  <c r="Y588" i="25" s="1"/>
  <c r="Y589" i="25"/>
  <c r="W532" i="25"/>
  <c r="Y532" i="25" s="1"/>
  <c r="Y533" i="25"/>
  <c r="Y1206" i="25"/>
  <c r="W1205" i="25"/>
  <c r="Y310" i="25"/>
  <c r="W309" i="25"/>
  <c r="I49" i="182"/>
  <c r="U1048" i="119"/>
  <c r="K1048" i="119"/>
  <c r="S1059" i="119"/>
  <c r="U883" i="119"/>
  <c r="K883" i="119"/>
  <c r="N883" i="119" s="1"/>
  <c r="U855" i="119"/>
  <c r="K855" i="119"/>
  <c r="S887" i="119"/>
  <c r="BF600" i="16"/>
  <c r="G542" i="182"/>
  <c r="AQ624" i="16"/>
  <c r="BI309" i="16"/>
  <c r="BM1202" i="16" s="1"/>
  <c r="BK275" i="16"/>
  <c r="BK309" i="16" s="1"/>
  <c r="BN1202" i="16" s="1"/>
  <c r="R102" i="36" s="1"/>
  <c r="G1067" i="182"/>
  <c r="BF1149" i="16"/>
  <c r="AQ1164" i="16"/>
  <c r="U1051" i="119"/>
  <c r="K1051" i="119"/>
  <c r="N1051" i="119" s="1"/>
  <c r="BE751" i="16"/>
  <c r="BE717" i="16" s="1"/>
  <c r="BA717" i="16"/>
  <c r="G559" i="182"/>
  <c r="BF617" i="16"/>
  <c r="U322" i="119"/>
  <c r="K322" i="119"/>
  <c r="N322" i="119" s="1"/>
  <c r="AF109" i="69"/>
  <c r="U579" i="119"/>
  <c r="K579" i="119"/>
  <c r="N579" i="119" s="1"/>
  <c r="BF992" i="16"/>
  <c r="G916" i="182"/>
  <c r="AQ1029" i="16"/>
  <c r="BK992" i="16"/>
  <c r="BK1029" i="16" s="1"/>
  <c r="BN1218" i="16" s="1"/>
  <c r="R118" i="36" s="1"/>
  <c r="BI1029" i="16"/>
  <c r="BM1218" i="16" s="1"/>
  <c r="U619" i="119"/>
  <c r="K619" i="119"/>
  <c r="N619" i="119" s="1"/>
  <c r="BK1107" i="16"/>
  <c r="BK1119" i="16" s="1"/>
  <c r="BN1220" i="16" s="1"/>
  <c r="R120" i="36" s="1"/>
  <c r="U764" i="119"/>
  <c r="S801" i="119"/>
  <c r="K764" i="119"/>
  <c r="U572" i="119"/>
  <c r="K572" i="119"/>
  <c r="N572" i="119" s="1"/>
  <c r="U858" i="119"/>
  <c r="K858" i="119"/>
  <c r="N858" i="119" s="1"/>
  <c r="U618" i="119"/>
  <c r="K618" i="119"/>
  <c r="N618" i="119" s="1"/>
  <c r="G281" i="182"/>
  <c r="BF327" i="16"/>
  <c r="AQ354" i="16"/>
  <c r="BF1107" i="16"/>
  <c r="G1027" i="182"/>
  <c r="AQ1119" i="16"/>
  <c r="U714" i="119"/>
  <c r="K714" i="119"/>
  <c r="N714" i="119" s="1"/>
  <c r="BE631" i="16"/>
  <c r="BE627" i="16" s="1"/>
  <c r="BA627" i="16"/>
  <c r="BI669" i="16"/>
  <c r="BM1210" i="16" s="1"/>
  <c r="BK631" i="16"/>
  <c r="BK669" i="16" s="1"/>
  <c r="BN1210" i="16" s="1"/>
  <c r="R110" i="36" s="1"/>
  <c r="U571" i="119"/>
  <c r="K571" i="119"/>
  <c r="N571" i="119" s="1"/>
  <c r="BE906" i="16"/>
  <c r="BE897" i="16" s="1"/>
  <c r="BA897" i="16"/>
  <c r="BK906" i="16"/>
  <c r="BK939" i="16" s="1"/>
  <c r="BN1216" i="16" s="1"/>
  <c r="R116" i="36" s="1"/>
  <c r="BI939" i="16"/>
  <c r="BM1216" i="16" s="1"/>
  <c r="U563" i="119"/>
  <c r="S586" i="119"/>
  <c r="K563" i="119"/>
  <c r="U252" i="119"/>
  <c r="K252" i="119"/>
  <c r="S285" i="119"/>
  <c r="U1088" i="119"/>
  <c r="U1102" i="119" s="1"/>
  <c r="S1102" i="119"/>
  <c r="K1088" i="119"/>
  <c r="BK1149" i="16"/>
  <c r="BK1164" i="16" s="1"/>
  <c r="BN1221" i="16" s="1"/>
  <c r="R121" i="36" s="1"/>
  <c r="BI1164" i="16"/>
  <c r="BM1221" i="16" s="1"/>
  <c r="BF966" i="16"/>
  <c r="G892" i="182"/>
  <c r="AQ984" i="16"/>
  <c r="BK966" i="16"/>
  <c r="BK984" i="16" s="1"/>
  <c r="BN1217" i="16" s="1"/>
  <c r="R117" i="36" s="1"/>
  <c r="BI984" i="16"/>
  <c r="BM1217" i="16" s="1"/>
  <c r="U708" i="119"/>
  <c r="S715" i="119"/>
  <c r="K708" i="119"/>
  <c r="U874" i="119"/>
  <c r="K874" i="119"/>
  <c r="N874" i="119" s="1"/>
  <c r="U627" i="119"/>
  <c r="K627" i="119"/>
  <c r="N627" i="119" s="1"/>
  <c r="G301" i="182"/>
  <c r="BF347" i="16"/>
  <c r="BF839" i="16"/>
  <c r="G771" i="182"/>
  <c r="G588" i="182"/>
  <c r="BF648" i="16"/>
  <c r="BE992" i="16"/>
  <c r="BE987" i="16" s="1"/>
  <c r="BA987" i="16"/>
  <c r="BE811" i="16"/>
  <c r="BE807" i="16" s="1"/>
  <c r="BA807" i="16"/>
  <c r="U602" i="119"/>
  <c r="K602" i="119"/>
  <c r="N602" i="119" s="1"/>
  <c r="BF609" i="16"/>
  <c r="G551" i="182"/>
  <c r="BF937" i="16"/>
  <c r="G865" i="182"/>
  <c r="BK327" i="16"/>
  <c r="BK354" i="16" s="1"/>
  <c r="BN1203" i="16" s="1"/>
  <c r="R103" i="36" s="1"/>
  <c r="BI354" i="16"/>
  <c r="BM1203" i="16" s="1"/>
  <c r="U302" i="119"/>
  <c r="K302" i="119"/>
  <c r="S328" i="119"/>
  <c r="O954" i="182"/>
  <c r="O995" i="182"/>
  <c r="O996" i="182" s="1"/>
  <c r="BE1107" i="16"/>
  <c r="BE1077" i="16" s="1"/>
  <c r="BA1077" i="16"/>
  <c r="BF631" i="16"/>
  <c r="G571" i="182"/>
  <c r="AQ669" i="16"/>
  <c r="BF608" i="16"/>
  <c r="G550" i="182"/>
  <c r="BE600" i="16"/>
  <c r="BE582" i="16" s="1"/>
  <c r="BA582" i="16"/>
  <c r="BE275" i="16"/>
  <c r="BE267" i="16" s="1"/>
  <c r="BA267" i="16"/>
  <c r="BE1149" i="16"/>
  <c r="BE1122" i="16" s="1"/>
  <c r="BA1122" i="16"/>
  <c r="BF1110" i="16"/>
  <c r="G1030" i="182"/>
  <c r="U913" i="119"/>
  <c r="S930" i="119"/>
  <c r="K913" i="119"/>
  <c r="G687" i="182"/>
  <c r="BF751" i="16"/>
  <c r="AQ759" i="16"/>
  <c r="U580" i="119"/>
  <c r="K580" i="119"/>
  <c r="N580" i="119" s="1"/>
  <c r="BF925" i="16"/>
  <c r="G853" i="182"/>
  <c r="G606" i="182"/>
  <c r="BF666" i="16"/>
  <c r="V98" i="69"/>
  <c r="G558" i="182"/>
  <c r="BF616" i="16"/>
  <c r="U871" i="119"/>
  <c r="K871" i="119"/>
  <c r="N871" i="119" s="1"/>
  <c r="G598" i="182"/>
  <c r="BF658" i="16"/>
  <c r="BF811" i="16"/>
  <c r="G743" i="182"/>
  <c r="AQ849" i="16"/>
  <c r="BK811" i="16"/>
  <c r="BK849" i="16" s="1"/>
  <c r="BN1214" i="16" s="1"/>
  <c r="R114" i="36" s="1"/>
  <c r="BI849" i="16"/>
  <c r="BM1214" i="16" s="1"/>
  <c r="G581" i="182"/>
  <c r="BF641" i="16"/>
  <c r="U886" i="119"/>
  <c r="K886" i="119"/>
  <c r="N886" i="119" s="1"/>
  <c r="BF657" i="16"/>
  <c r="G597" i="182"/>
  <c r="BE327" i="16"/>
  <c r="BE312" i="16" s="1"/>
  <c r="BA312" i="16"/>
  <c r="I393" i="182"/>
  <c r="BF757" i="16"/>
  <c r="G693" i="182"/>
  <c r="U592" i="119"/>
  <c r="S629" i="119"/>
  <c r="K592" i="119"/>
  <c r="G862" i="182"/>
  <c r="BF934" i="16"/>
  <c r="G834" i="182"/>
  <c r="BF906" i="16"/>
  <c r="AQ939" i="16"/>
  <c r="BK600" i="16"/>
  <c r="BK624" i="16" s="1"/>
  <c r="BN1209" i="16" s="1"/>
  <c r="R109" i="36" s="1"/>
  <c r="BI624" i="16"/>
  <c r="BM1209" i="16" s="1"/>
  <c r="BF275" i="16"/>
  <c r="G231" i="182"/>
  <c r="AQ309" i="16"/>
  <c r="Y1149" i="25"/>
  <c r="W1148" i="25"/>
  <c r="Y1148" i="25" s="1"/>
  <c r="BE966" i="16"/>
  <c r="BE942" i="16" s="1"/>
  <c r="BA942" i="16"/>
  <c r="BK751" i="16"/>
  <c r="BK759" i="16" s="1"/>
  <c r="BN1212" i="16" s="1"/>
  <c r="R112" i="36" s="1"/>
  <c r="BI759" i="16"/>
  <c r="BM1212" i="16" s="1"/>
  <c r="U792" i="119"/>
  <c r="K792" i="119"/>
  <c r="N792" i="119" s="1"/>
  <c r="U609" i="119"/>
  <c r="K609" i="119"/>
  <c r="N609" i="119" s="1"/>
  <c r="U937" i="119"/>
  <c r="S973" i="119"/>
  <c r="K937" i="119"/>
  <c r="G850" i="182"/>
  <c r="BF922" i="16"/>
  <c r="BF909" i="16"/>
  <c r="G837" i="182"/>
  <c r="I221" i="182"/>
  <c r="W66" i="63"/>
  <c r="N414" i="119"/>
  <c r="H34" i="119" s="1"/>
  <c r="O60" i="182"/>
  <c r="I60" i="182"/>
  <c r="I76" i="182"/>
  <c r="O76" i="182"/>
  <c r="BB131" i="16"/>
  <c r="W98" i="36"/>
  <c r="O56" i="182"/>
  <c r="I56" i="182"/>
  <c r="Y422" i="25"/>
  <c r="W421" i="25"/>
  <c r="Y365" i="25"/>
  <c r="W364" i="25"/>
  <c r="Y364" i="25" s="1"/>
  <c r="W477" i="25"/>
  <c r="Y478" i="25"/>
  <c r="Y1374" i="25"/>
  <c r="W1373" i="25"/>
  <c r="Y142" i="25"/>
  <c r="W141" i="25"/>
  <c r="S113" i="119"/>
  <c r="K103" i="119"/>
  <c r="G82" i="182"/>
  <c r="BF118" i="16"/>
  <c r="AQ129" i="16"/>
  <c r="BC130" i="16"/>
  <c r="BC128" i="16"/>
  <c r="BC129" i="16"/>
  <c r="BE118" i="16"/>
  <c r="BE87" i="16" s="1"/>
  <c r="BA87" i="16"/>
  <c r="W90" i="25"/>
  <c r="Y90" i="25" s="1"/>
  <c r="W93" i="25"/>
  <c r="Y93" i="25" s="1"/>
  <c r="W94" i="25"/>
  <c r="Y94" i="25" s="1"/>
  <c r="W86" i="25"/>
  <c r="W98" i="25"/>
  <c r="Y98" i="25" s="1"/>
  <c r="W97" i="25"/>
  <c r="Y97" i="25" s="1"/>
  <c r="W92" i="25"/>
  <c r="Y92" i="25" s="1"/>
  <c r="W89" i="25"/>
  <c r="Y89" i="25" s="1"/>
  <c r="W95" i="25"/>
  <c r="Y95" i="25" s="1"/>
  <c r="W87" i="25"/>
  <c r="Y87" i="25" s="1"/>
  <c r="Y43" i="25"/>
  <c r="W88" i="25"/>
  <c r="Y88" i="25" s="1"/>
  <c r="W91" i="25"/>
  <c r="Y91" i="25" s="1"/>
  <c r="W96" i="25"/>
  <c r="Y96" i="25" s="1"/>
  <c r="U103" i="119"/>
  <c r="U113" i="119" s="1"/>
  <c r="AD84" i="16"/>
  <c r="AQ84" i="16" s="1"/>
  <c r="J75" i="16" s="1"/>
  <c r="AD87" i="16"/>
  <c r="BI87" i="16" s="1"/>
  <c r="BK87" i="16" s="1"/>
  <c r="BI129" i="16"/>
  <c r="BK118" i="16"/>
  <c r="BK129" i="16" s="1"/>
  <c r="M1104" i="119"/>
  <c r="N500" i="119"/>
  <c r="N1016" i="119"/>
  <c r="N199" i="119"/>
  <c r="N242" i="119"/>
  <c r="N156" i="119" l="1"/>
  <c r="H28" i="119" s="1"/>
  <c r="U973" i="119"/>
  <c r="BE713" i="16"/>
  <c r="BE715" i="16"/>
  <c r="BE714" i="16"/>
  <c r="BE716" i="16" s="1"/>
  <c r="BB25" i="195"/>
  <c r="U193" i="197" s="1"/>
  <c r="BA715" i="16"/>
  <c r="BA713" i="16"/>
  <c r="BA714" i="16"/>
  <c r="BA716" i="16" s="1"/>
  <c r="N743" i="119"/>
  <c r="N758" i="119" s="1"/>
  <c r="H42" i="119" s="1"/>
  <c r="P42" i="119" s="1"/>
  <c r="K758" i="119"/>
  <c r="O576" i="182"/>
  <c r="I576" i="182"/>
  <c r="O722" i="182"/>
  <c r="O696" i="182" s="1"/>
  <c r="I722" i="182"/>
  <c r="I737" i="182" s="1"/>
  <c r="BF174" i="16"/>
  <c r="BF176" i="16" s="1"/>
  <c r="AQ672" i="16"/>
  <c r="BF672" i="16" s="1"/>
  <c r="BF714" i="16" s="1"/>
  <c r="BF716" i="16" s="1"/>
  <c r="AF80" i="16"/>
  <c r="O554" i="182"/>
  <c r="I554" i="182"/>
  <c r="O737" i="182"/>
  <c r="O738" i="182" s="1"/>
  <c r="O789" i="182"/>
  <c r="I789" i="182"/>
  <c r="AF82" i="16"/>
  <c r="AQ762" i="16"/>
  <c r="BF762" i="16" s="1"/>
  <c r="BF804" i="16" s="1"/>
  <c r="BF806" i="16" s="1"/>
  <c r="N639" i="119"/>
  <c r="N672" i="119" s="1"/>
  <c r="H40" i="119" s="1"/>
  <c r="K672" i="119"/>
  <c r="O618" i="182"/>
  <c r="G651" i="182"/>
  <c r="I618" i="182"/>
  <c r="I651" i="182" s="1"/>
  <c r="O1009" i="182"/>
  <c r="I1009" i="182"/>
  <c r="U930" i="119"/>
  <c r="U156" i="119"/>
  <c r="O97" i="182"/>
  <c r="I97" i="182"/>
  <c r="K156" i="119"/>
  <c r="BE175" i="16"/>
  <c r="BE174" i="16"/>
  <c r="BE176" i="16" s="1"/>
  <c r="O109" i="182"/>
  <c r="I109" i="182"/>
  <c r="G135" i="182"/>
  <c r="O105" i="182"/>
  <c r="I105" i="182"/>
  <c r="BA173" i="16"/>
  <c r="BA175" i="16"/>
  <c r="BA174" i="16"/>
  <c r="BA176" i="16" s="1"/>
  <c r="BE173" i="16"/>
  <c r="O121" i="182"/>
  <c r="I121" i="182"/>
  <c r="O113" i="182"/>
  <c r="I113" i="182"/>
  <c r="U285" i="119"/>
  <c r="W102" i="36"/>
  <c r="AA92" i="69" s="1"/>
  <c r="BB311" i="16"/>
  <c r="W118" i="36"/>
  <c r="AA108" i="69" s="1"/>
  <c r="BB1031" i="16"/>
  <c r="BA895" i="16"/>
  <c r="BA894" i="16"/>
  <c r="BA896" i="16" s="1"/>
  <c r="BA893" i="16"/>
  <c r="O920" i="182"/>
  <c r="I920" i="182"/>
  <c r="W101" i="36"/>
  <c r="BB266" i="16"/>
  <c r="O874" i="182"/>
  <c r="I874" i="182"/>
  <c r="O600" i="182"/>
  <c r="I600" i="182"/>
  <c r="W115" i="36"/>
  <c r="BB896" i="16"/>
  <c r="AQ852" i="16"/>
  <c r="BF852" i="16" s="1"/>
  <c r="BF894" i="16" s="1"/>
  <c r="BF896" i="16" s="1"/>
  <c r="AQ76" i="16"/>
  <c r="BE488" i="16"/>
  <c r="BE895" i="16"/>
  <c r="BE894" i="16"/>
  <c r="BE896" i="16" s="1"/>
  <c r="BE893" i="16"/>
  <c r="W105" i="36"/>
  <c r="BB446" i="16"/>
  <c r="BB941" i="16"/>
  <c r="W116" i="36"/>
  <c r="AA106" i="69" s="1"/>
  <c r="W112" i="36"/>
  <c r="AA102" i="69" s="1"/>
  <c r="BB761" i="16"/>
  <c r="N833" i="119"/>
  <c r="N844" i="119" s="1"/>
  <c r="K844" i="119"/>
  <c r="W100" i="36"/>
  <c r="BB221" i="16"/>
  <c r="O499" i="182"/>
  <c r="I499" i="182"/>
  <c r="BB671" i="16"/>
  <c r="W110" i="36"/>
  <c r="AA100" i="69" s="1"/>
  <c r="BB1076" i="16"/>
  <c r="W119" i="36"/>
  <c r="BB806" i="16"/>
  <c r="W113" i="36"/>
  <c r="O411" i="182"/>
  <c r="I411" i="182"/>
  <c r="I436" i="182" s="1"/>
  <c r="W117" i="36"/>
  <c r="AA107" i="69" s="1"/>
  <c r="BB986" i="16"/>
  <c r="BE1075" i="16"/>
  <c r="BE1073" i="16"/>
  <c r="BE1074" i="16"/>
  <c r="BE1076" i="16" s="1"/>
  <c r="O1001" i="182"/>
  <c r="I1001" i="182"/>
  <c r="O830" i="182"/>
  <c r="I830" i="182"/>
  <c r="O846" i="182"/>
  <c r="I846" i="182"/>
  <c r="N432" i="119"/>
  <c r="N457" i="119" s="1"/>
  <c r="H35" i="119" s="1"/>
  <c r="K457" i="119"/>
  <c r="BB716" i="16"/>
  <c r="W111" i="36"/>
  <c r="O945" i="182"/>
  <c r="I945" i="182"/>
  <c r="O248" i="182"/>
  <c r="I248" i="182"/>
  <c r="O580" i="182"/>
  <c r="I580" i="182"/>
  <c r="O501" i="182"/>
  <c r="I501" i="182"/>
  <c r="O812" i="182"/>
  <c r="G823" i="182"/>
  <c r="I812" i="182"/>
  <c r="I823" i="182" s="1"/>
  <c r="BA54" i="195"/>
  <c r="AW54" i="195"/>
  <c r="AS54" i="195"/>
  <c r="AO54" i="195"/>
  <c r="AK54" i="195"/>
  <c r="AG54" i="195"/>
  <c r="AC54" i="195"/>
  <c r="Y54" i="195"/>
  <c r="AU54" i="195"/>
  <c r="AM54" i="195"/>
  <c r="AE54" i="195"/>
  <c r="BB54" i="195"/>
  <c r="AT54" i="195"/>
  <c r="AL54" i="195"/>
  <c r="AD54" i="195"/>
  <c r="AZ54" i="195"/>
  <c r="AV54" i="195"/>
  <c r="AR54" i="195"/>
  <c r="AN54" i="195"/>
  <c r="AJ54" i="195"/>
  <c r="AF54" i="195"/>
  <c r="AB54" i="195"/>
  <c r="AY54" i="195"/>
  <c r="AQ54" i="195"/>
  <c r="AI54" i="195"/>
  <c r="AA54" i="195"/>
  <c r="AX54" i="195"/>
  <c r="AP54" i="195"/>
  <c r="AH54" i="195"/>
  <c r="Z54" i="195"/>
  <c r="AZ75" i="195"/>
  <c r="S231" i="197" s="1"/>
  <c r="S195" i="197"/>
  <c r="AZ48" i="195"/>
  <c r="U191" i="197"/>
  <c r="BB66" i="195"/>
  <c r="K178" i="30"/>
  <c r="K135" i="198"/>
  <c r="BB27" i="195"/>
  <c r="BB75" i="195" s="1"/>
  <c r="U231" i="197" s="1"/>
  <c r="O531" i="182"/>
  <c r="I531" i="182"/>
  <c r="O540" i="182"/>
  <c r="I540" i="182"/>
  <c r="O552" i="182"/>
  <c r="I552" i="182"/>
  <c r="W109" i="36"/>
  <c r="AA99" i="69" s="1"/>
  <c r="BB626" i="16"/>
  <c r="O556" i="182"/>
  <c r="I556" i="182"/>
  <c r="G522" i="182"/>
  <c r="O513" i="182"/>
  <c r="I513" i="182"/>
  <c r="O489" i="182"/>
  <c r="I489" i="182"/>
  <c r="O500" i="182"/>
  <c r="I500" i="182"/>
  <c r="O510" i="182"/>
  <c r="I510" i="182"/>
  <c r="W108" i="36"/>
  <c r="BB581" i="16"/>
  <c r="BA578" i="16"/>
  <c r="BA579" i="16"/>
  <c r="BA581" i="16" s="1"/>
  <c r="BA580" i="16"/>
  <c r="O493" i="182"/>
  <c r="I493" i="182"/>
  <c r="O515" i="182"/>
  <c r="I515" i="182"/>
  <c r="BE579" i="16"/>
  <c r="BE581" i="16" s="1"/>
  <c r="BE580" i="16"/>
  <c r="BE578" i="16"/>
  <c r="O518" i="182"/>
  <c r="I518" i="182"/>
  <c r="AQ537" i="16"/>
  <c r="BF537" i="16" s="1"/>
  <c r="BF579" i="16" s="1"/>
  <c r="BF581" i="16" s="1"/>
  <c r="AF77" i="16"/>
  <c r="K543" i="119"/>
  <c r="N510" i="119"/>
  <c r="N543" i="119" s="1"/>
  <c r="H37" i="119" s="1"/>
  <c r="O498" i="182"/>
  <c r="I498" i="182"/>
  <c r="O503" i="182"/>
  <c r="I503" i="182"/>
  <c r="U543" i="119"/>
  <c r="BB536" i="16"/>
  <c r="W107" i="36"/>
  <c r="O395" i="182"/>
  <c r="O436" i="182"/>
  <c r="O437" i="182" s="1"/>
  <c r="AK96" i="69"/>
  <c r="AG106" i="36"/>
  <c r="N345" i="119"/>
  <c r="N371" i="119" s="1"/>
  <c r="H33" i="119" s="1"/>
  <c r="K371" i="119"/>
  <c r="O324" i="182"/>
  <c r="I324" i="182"/>
  <c r="I350" i="182" s="1"/>
  <c r="G350" i="182"/>
  <c r="BA398" i="16"/>
  <c r="BA399" i="16"/>
  <c r="BA401" i="16" s="1"/>
  <c r="BA400" i="16"/>
  <c r="V94" i="69"/>
  <c r="U81" i="16"/>
  <c r="AQ357" i="16"/>
  <c r="BF357" i="16" s="1"/>
  <c r="BF399" i="16" s="1"/>
  <c r="BF401" i="16" s="1"/>
  <c r="W104" i="36"/>
  <c r="AA94" i="69" s="1"/>
  <c r="BB401" i="16"/>
  <c r="BE398" i="16"/>
  <c r="BE399" i="16"/>
  <c r="BE401" i="16" s="1"/>
  <c r="BE400" i="16"/>
  <c r="O278" i="182"/>
  <c r="I278" i="182"/>
  <c r="O269" i="182"/>
  <c r="I269" i="182"/>
  <c r="O282" i="182"/>
  <c r="I282" i="182"/>
  <c r="W103" i="36"/>
  <c r="AA93" i="69" s="1"/>
  <c r="BB356" i="16"/>
  <c r="AY53" i="195"/>
  <c r="AU53" i="195"/>
  <c r="AQ53" i="195"/>
  <c r="AM53" i="195"/>
  <c r="AI53" i="195"/>
  <c r="AE53" i="195"/>
  <c r="AA53" i="195"/>
  <c r="BB53" i="195"/>
  <c r="U220" i="197" s="1"/>
  <c r="AX53" i="195"/>
  <c r="AT53" i="195"/>
  <c r="AP53" i="195"/>
  <c r="AL53" i="195"/>
  <c r="AH53" i="195"/>
  <c r="AD53" i="195"/>
  <c r="Z53" i="195"/>
  <c r="BA53" i="195"/>
  <c r="T220" i="197" s="1"/>
  <c r="AW53" i="195"/>
  <c r="AS53" i="195"/>
  <c r="AO53" i="195"/>
  <c r="AK53" i="195"/>
  <c r="AG53" i="195"/>
  <c r="AC53" i="195"/>
  <c r="Y53" i="195"/>
  <c r="Y55" i="195" s="1"/>
  <c r="Y57" i="195" s="1"/>
  <c r="AZ53" i="195"/>
  <c r="AV53" i="195"/>
  <c r="AR53" i="195"/>
  <c r="AN53" i="195"/>
  <c r="AJ53" i="195"/>
  <c r="AF53" i="195"/>
  <c r="AB53" i="195"/>
  <c r="H42" i="178"/>
  <c r="K215" i="190"/>
  <c r="AX71" i="195"/>
  <c r="AA68" i="194"/>
  <c r="AA17" i="196"/>
  <c r="AA19" i="196" s="1"/>
  <c r="Z71" i="195"/>
  <c r="AA71" i="195"/>
  <c r="Y71" i="195"/>
  <c r="AB71" i="195"/>
  <c r="AC71" i="195"/>
  <c r="AD71" i="195"/>
  <c r="AE71" i="195"/>
  <c r="AF71" i="195"/>
  <c r="AG71" i="195"/>
  <c r="AH71" i="195"/>
  <c r="AI71" i="195"/>
  <c r="AJ71" i="195"/>
  <c r="AL71" i="195"/>
  <c r="AK71" i="195"/>
  <c r="AM71" i="195"/>
  <c r="AO71" i="195"/>
  <c r="AN71" i="195"/>
  <c r="AP71" i="195"/>
  <c r="AQ71" i="195"/>
  <c r="AR71" i="195"/>
  <c r="AS71" i="195"/>
  <c r="AT71" i="195"/>
  <c r="AU71" i="195"/>
  <c r="AV71" i="195"/>
  <c r="N17" i="197"/>
  <c r="L21" i="197"/>
  <c r="AA24" i="196"/>
  <c r="V53" i="195"/>
  <c r="L27" i="197"/>
  <c r="V54" i="195"/>
  <c r="AA13" i="196"/>
  <c r="AA14" i="196" s="1"/>
  <c r="P56" i="195"/>
  <c r="Y56" i="195" s="1"/>
  <c r="Z64" i="195"/>
  <c r="Y64" i="195"/>
  <c r="AA64" i="195"/>
  <c r="AB64" i="195"/>
  <c r="AC64" i="195"/>
  <c r="AD64" i="195"/>
  <c r="AF64" i="195"/>
  <c r="AE64" i="195"/>
  <c r="AG64" i="195"/>
  <c r="AH64" i="195"/>
  <c r="AI64" i="195"/>
  <c r="AJ64" i="195"/>
  <c r="AK64" i="195"/>
  <c r="AL64" i="195"/>
  <c r="AM64" i="195"/>
  <c r="AO64" i="195"/>
  <c r="AN64" i="195"/>
  <c r="AQ64" i="195"/>
  <c r="AP64" i="195"/>
  <c r="AR64" i="195"/>
  <c r="AS64" i="195"/>
  <c r="AT64" i="195"/>
  <c r="AU64" i="195"/>
  <c r="AV64" i="195"/>
  <c r="AW64" i="195"/>
  <c r="AW71" i="195"/>
  <c r="T195" i="197"/>
  <c r="BA75" i="195"/>
  <c r="T231" i="197" s="1"/>
  <c r="BA48" i="195"/>
  <c r="T215" i="197" s="1"/>
  <c r="R217" i="197"/>
  <c r="AY65" i="195"/>
  <c r="AY64" i="195"/>
  <c r="AY69" i="195"/>
  <c r="AY71" i="195" s="1"/>
  <c r="W980" i="25"/>
  <c r="Y980" i="25" s="1"/>
  <c r="AQ14" i="165"/>
  <c r="AQ15" i="165" s="1"/>
  <c r="AQ16" i="165" s="1"/>
  <c r="AQ17" i="165" s="1"/>
  <c r="W868" i="25"/>
  <c r="Y868" i="25" s="1"/>
  <c r="S1104" i="119"/>
  <c r="U715" i="119"/>
  <c r="U629" i="119"/>
  <c r="H44" i="119"/>
  <c r="P44" i="119" s="1"/>
  <c r="AF89" i="69"/>
  <c r="AK89" i="69" s="1"/>
  <c r="AG99" i="36"/>
  <c r="W756" i="25"/>
  <c r="Y756" i="25" s="1"/>
  <c r="Y757" i="25"/>
  <c r="W924" i="25"/>
  <c r="Y924" i="25" s="1"/>
  <c r="Y925" i="25"/>
  <c r="W700" i="25"/>
  <c r="Y700" i="25" s="1"/>
  <c r="Y701" i="25"/>
  <c r="W308" i="25"/>
  <c r="Y308" i="25" s="1"/>
  <c r="Y309" i="25"/>
  <c r="W1204" i="25"/>
  <c r="Y1204" i="25" s="1"/>
  <c r="Y1205" i="25"/>
  <c r="AG109" i="36"/>
  <c r="V99" i="69"/>
  <c r="AK99" i="69" s="1"/>
  <c r="AG121" i="36"/>
  <c r="V111" i="69"/>
  <c r="AK111" i="69" s="1"/>
  <c r="O837" i="182"/>
  <c r="I837" i="182"/>
  <c r="O850" i="182"/>
  <c r="I850" i="182"/>
  <c r="BA985" i="16"/>
  <c r="BA984" i="16"/>
  <c r="BA986" i="16" s="1"/>
  <c r="BA983" i="16"/>
  <c r="BE353" i="16"/>
  <c r="BE355" i="16"/>
  <c r="BE354" i="16"/>
  <c r="BE356" i="16" s="1"/>
  <c r="O581" i="182"/>
  <c r="I581" i="182"/>
  <c r="O743" i="182"/>
  <c r="G780" i="182"/>
  <c r="I743" i="182"/>
  <c r="O1030" i="182"/>
  <c r="I1030" i="182"/>
  <c r="BE310" i="16"/>
  <c r="BE308" i="16"/>
  <c r="BE309" i="16"/>
  <c r="BE311" i="16" s="1"/>
  <c r="O571" i="182"/>
  <c r="G608" i="182"/>
  <c r="I571" i="182"/>
  <c r="K328" i="119"/>
  <c r="N302" i="119"/>
  <c r="N328" i="119" s="1"/>
  <c r="H32" i="119" s="1"/>
  <c r="O865" i="182"/>
  <c r="I865" i="182"/>
  <c r="O551" i="182"/>
  <c r="I551" i="182"/>
  <c r="BA850" i="16"/>
  <c r="BA848" i="16"/>
  <c r="BA849" i="16"/>
  <c r="BA851" i="16" s="1"/>
  <c r="BE1030" i="16"/>
  <c r="BE1029" i="16"/>
  <c r="BE1031" i="16" s="1"/>
  <c r="BE1028" i="16"/>
  <c r="O771" i="182"/>
  <c r="I771" i="182"/>
  <c r="AQ942" i="16"/>
  <c r="BF942" i="16" s="1"/>
  <c r="BF984" i="16" s="1"/>
  <c r="BF986" i="16" s="1"/>
  <c r="AQ78" i="16"/>
  <c r="N1088" i="119"/>
  <c r="N1102" i="119" s="1"/>
  <c r="H50" i="119" s="1"/>
  <c r="K1102" i="119"/>
  <c r="BA940" i="16"/>
  <c r="BA938" i="16"/>
  <c r="BA939" i="16"/>
  <c r="BA941" i="16" s="1"/>
  <c r="AG110" i="36"/>
  <c r="V100" i="69"/>
  <c r="AK100" i="69" s="1"/>
  <c r="N764" i="119"/>
  <c r="N801" i="119" s="1"/>
  <c r="H43" i="119" s="1"/>
  <c r="K801" i="119"/>
  <c r="AG118" i="36"/>
  <c r="V108" i="69"/>
  <c r="AK108" i="69" s="1"/>
  <c r="BA760" i="16"/>
  <c r="BA759" i="16"/>
  <c r="BA761" i="16" s="1"/>
  <c r="BA758" i="16"/>
  <c r="O542" i="182"/>
  <c r="G565" i="182"/>
  <c r="I542" i="182"/>
  <c r="N855" i="119"/>
  <c r="N887" i="119" s="1"/>
  <c r="K887" i="119"/>
  <c r="N937" i="119"/>
  <c r="N973" i="119" s="1"/>
  <c r="K973" i="119"/>
  <c r="BE984" i="16"/>
  <c r="BE986" i="16" s="1"/>
  <c r="BE985" i="16"/>
  <c r="BE983" i="16"/>
  <c r="AQ267" i="16"/>
  <c r="BF267" i="16" s="1"/>
  <c r="BF309" i="16" s="1"/>
  <c r="BF311" i="16" s="1"/>
  <c r="U79" i="16"/>
  <c r="O862" i="182"/>
  <c r="I862" i="182"/>
  <c r="O693" i="182"/>
  <c r="I693" i="182"/>
  <c r="O598" i="182"/>
  <c r="I598" i="182"/>
  <c r="AQ717" i="16"/>
  <c r="BF717" i="16" s="1"/>
  <c r="BF759" i="16" s="1"/>
  <c r="BF761" i="16" s="1"/>
  <c r="AF81" i="16"/>
  <c r="N913" i="119"/>
  <c r="N930" i="119" s="1"/>
  <c r="H46" i="119" s="1"/>
  <c r="K930" i="119"/>
  <c r="BA1165" i="16"/>
  <c r="BA1163" i="16"/>
  <c r="BA1164" i="16"/>
  <c r="BA623" i="16"/>
  <c r="BA625" i="16"/>
  <c r="BA624" i="16"/>
  <c r="BA626" i="16" s="1"/>
  <c r="U328" i="119"/>
  <c r="BE848" i="16"/>
  <c r="BE849" i="16"/>
  <c r="BE851" i="16" s="1"/>
  <c r="BE850" i="16"/>
  <c r="K285" i="119"/>
  <c r="N252" i="119"/>
  <c r="N285" i="119" s="1"/>
  <c r="H31" i="119" s="1"/>
  <c r="U586" i="119"/>
  <c r="BE938" i="16"/>
  <c r="BE940" i="16"/>
  <c r="BE939" i="16"/>
  <c r="BE941" i="16" s="1"/>
  <c r="O281" i="182"/>
  <c r="G307" i="182"/>
  <c r="I281" i="182"/>
  <c r="AQ79" i="16"/>
  <c r="AQ987" i="16"/>
  <c r="BF987" i="16" s="1"/>
  <c r="BF1029" i="16" s="1"/>
  <c r="BF1031" i="16" s="1"/>
  <c r="BE760" i="16"/>
  <c r="BE758" i="16"/>
  <c r="BE759" i="16"/>
  <c r="BE761" i="16" s="1"/>
  <c r="O1067" i="182"/>
  <c r="I1067" i="182"/>
  <c r="I1081" i="182" s="1"/>
  <c r="G1081" i="182"/>
  <c r="V92" i="69"/>
  <c r="AK92" i="69" s="1"/>
  <c r="AG102" i="36"/>
  <c r="U887" i="119"/>
  <c r="K1059" i="119"/>
  <c r="N1048" i="119"/>
  <c r="N1059" i="119" s="1"/>
  <c r="H49" i="119" s="1"/>
  <c r="O231" i="182"/>
  <c r="G264" i="182"/>
  <c r="I231" i="182"/>
  <c r="O834" i="182"/>
  <c r="G866" i="182"/>
  <c r="I834" i="182"/>
  <c r="K629" i="119"/>
  <c r="N592" i="119"/>
  <c r="N629" i="119" s="1"/>
  <c r="O597" i="182"/>
  <c r="I597" i="182"/>
  <c r="AG114" i="36"/>
  <c r="V104" i="69"/>
  <c r="AK104" i="69" s="1"/>
  <c r="O558" i="182"/>
  <c r="I558" i="182"/>
  <c r="O606" i="182"/>
  <c r="I606" i="182"/>
  <c r="BE1165" i="16"/>
  <c r="BE1164" i="16"/>
  <c r="BE1163" i="16"/>
  <c r="BE624" i="16"/>
  <c r="BE626" i="16" s="1"/>
  <c r="BE623" i="16"/>
  <c r="BE625" i="16"/>
  <c r="AF79" i="16"/>
  <c r="AQ627" i="16"/>
  <c r="BF627" i="16" s="1"/>
  <c r="BF669" i="16" s="1"/>
  <c r="BF671" i="16" s="1"/>
  <c r="BA1119" i="16"/>
  <c r="BA1121" i="16" s="1"/>
  <c r="BA1120" i="16"/>
  <c r="BA1118" i="16"/>
  <c r="O301" i="182"/>
  <c r="I301" i="182"/>
  <c r="O892" i="182"/>
  <c r="G909" i="182"/>
  <c r="I892" i="182"/>
  <c r="BA668" i="16"/>
  <c r="BA669" i="16"/>
  <c r="BA671" i="16" s="1"/>
  <c r="BA670" i="16"/>
  <c r="AQ81" i="16"/>
  <c r="AQ1077" i="16"/>
  <c r="BF1077" i="16" s="1"/>
  <c r="BF1119" i="16" s="1"/>
  <c r="BF1121" i="16" s="1"/>
  <c r="AQ312" i="16"/>
  <c r="BF312" i="16" s="1"/>
  <c r="BF354" i="16" s="1"/>
  <c r="BF356" i="16" s="1"/>
  <c r="U80" i="16"/>
  <c r="U801" i="119"/>
  <c r="O916" i="182"/>
  <c r="G952" i="182"/>
  <c r="I916" i="182"/>
  <c r="O559" i="182"/>
  <c r="I559" i="182"/>
  <c r="AQ82" i="16"/>
  <c r="AQ1122" i="16"/>
  <c r="BF1122" i="16" s="1"/>
  <c r="BF1164" i="16" s="1"/>
  <c r="U1059" i="119"/>
  <c r="V102" i="69"/>
  <c r="AQ897" i="16"/>
  <c r="BF897" i="16" s="1"/>
  <c r="BF939" i="16" s="1"/>
  <c r="BF941" i="16" s="1"/>
  <c r="AQ77" i="16"/>
  <c r="BA354" i="16"/>
  <c r="BA356" i="16" s="1"/>
  <c r="BA355" i="16"/>
  <c r="BA353" i="16"/>
  <c r="AQ807" i="16"/>
  <c r="BF807" i="16" s="1"/>
  <c r="BF849" i="16" s="1"/>
  <c r="BF851" i="16" s="1"/>
  <c r="AQ75" i="16"/>
  <c r="O853" i="182"/>
  <c r="I853" i="182"/>
  <c r="O687" i="182"/>
  <c r="G694" i="182"/>
  <c r="I687" i="182"/>
  <c r="BA309" i="16"/>
  <c r="BA311" i="16" s="1"/>
  <c r="BA308" i="16"/>
  <c r="BA310" i="16"/>
  <c r="O550" i="182"/>
  <c r="I550" i="182"/>
  <c r="BE1119" i="16"/>
  <c r="BE1121" i="16" s="1"/>
  <c r="BE1120" i="16"/>
  <c r="BE1118" i="16"/>
  <c r="V93" i="69"/>
  <c r="BA1028" i="16"/>
  <c r="BA1030" i="16"/>
  <c r="BA1029" i="16"/>
  <c r="BA1031" i="16" s="1"/>
  <c r="O588" i="182"/>
  <c r="I588" i="182"/>
  <c r="K715" i="119"/>
  <c r="N708" i="119"/>
  <c r="N715" i="119" s="1"/>
  <c r="AG117" i="36"/>
  <c r="V107" i="69"/>
  <c r="AK107" i="69" s="1"/>
  <c r="N563" i="119"/>
  <c r="N586" i="119" s="1"/>
  <c r="H38" i="119" s="1"/>
  <c r="K586" i="119"/>
  <c r="AG116" i="36"/>
  <c r="V106" i="69"/>
  <c r="AK106" i="69" s="1"/>
  <c r="BE668" i="16"/>
  <c r="BE670" i="16"/>
  <c r="BE669" i="16"/>
  <c r="BE671" i="16" s="1"/>
  <c r="O1027" i="182"/>
  <c r="G1038" i="182"/>
  <c r="I1027" i="182"/>
  <c r="AG120" i="36"/>
  <c r="V110" i="69"/>
  <c r="AK110" i="69" s="1"/>
  <c r="AQ582" i="16"/>
  <c r="BF582" i="16" s="1"/>
  <c r="BF624" i="16" s="1"/>
  <c r="BF626" i="16" s="1"/>
  <c r="AF78" i="16"/>
  <c r="H30" i="119"/>
  <c r="AA88" i="69"/>
  <c r="W140" i="25"/>
  <c r="Y140" i="25" s="1"/>
  <c r="Y141" i="25"/>
  <c r="Y1373" i="25"/>
  <c r="W1372" i="25"/>
  <c r="Y1372" i="25" s="1"/>
  <c r="W420" i="25"/>
  <c r="Y420" i="25" s="1"/>
  <c r="Y421" i="25"/>
  <c r="W476" i="25"/>
  <c r="Y476" i="25" s="1"/>
  <c r="Y477" i="25"/>
  <c r="BN1198" i="16"/>
  <c r="BK1166" i="16"/>
  <c r="BE128" i="16"/>
  <c r="BE129" i="16"/>
  <c r="BE131" i="16" s="1"/>
  <c r="BE130" i="16"/>
  <c r="U75" i="16"/>
  <c r="AQ87" i="16"/>
  <c r="BF87" i="16" s="1"/>
  <c r="BF129" i="16" s="1"/>
  <c r="K113" i="119"/>
  <c r="N103" i="119"/>
  <c r="N113" i="119" s="1"/>
  <c r="H27" i="119" s="1"/>
  <c r="J76" i="16"/>
  <c r="J77" i="16" s="1"/>
  <c r="A79" i="16"/>
  <c r="Y86" i="25"/>
  <c r="W85" i="25"/>
  <c r="BA130" i="16"/>
  <c r="BA128" i="16"/>
  <c r="BA129" i="16"/>
  <c r="BA131" i="16" s="1"/>
  <c r="BM1198" i="16"/>
  <c r="BM1222" i="16" s="1"/>
  <c r="BI1166" i="16"/>
  <c r="AB98" i="36"/>
  <c r="BC131" i="16"/>
  <c r="O82" i="182"/>
  <c r="I82" i="182"/>
  <c r="I92" i="182" s="1"/>
  <c r="G92" i="182"/>
  <c r="H29" i="119"/>
  <c r="H36" i="119"/>
  <c r="H48" i="119"/>
  <c r="J34" i="119"/>
  <c r="P34" i="119"/>
  <c r="J42" i="119" l="1"/>
  <c r="W122" i="36"/>
  <c r="O651" i="182"/>
  <c r="O652" i="182" s="1"/>
  <c r="O610" i="182"/>
  <c r="O135" i="182"/>
  <c r="O136" i="182" s="1"/>
  <c r="O94" i="182"/>
  <c r="I135" i="182"/>
  <c r="I909" i="182"/>
  <c r="I952" i="182"/>
  <c r="AA109" i="69"/>
  <c r="AK109" i="69" s="1"/>
  <c r="AG119" i="36"/>
  <c r="AA101" i="69"/>
  <c r="AK101" i="69" s="1"/>
  <c r="AG111" i="36"/>
  <c r="AA90" i="69"/>
  <c r="AK90" i="69" s="1"/>
  <c r="AG100" i="36"/>
  <c r="AA95" i="69"/>
  <c r="AK95" i="69" s="1"/>
  <c r="AG105" i="36"/>
  <c r="AA105" i="69"/>
  <c r="AK105" i="69" s="1"/>
  <c r="AG115" i="36"/>
  <c r="AK102" i="69"/>
  <c r="I264" i="182"/>
  <c r="AA103" i="69"/>
  <c r="AK103" i="69" s="1"/>
  <c r="AG113" i="36"/>
  <c r="AA91" i="69"/>
  <c r="AK91" i="69" s="1"/>
  <c r="AG101" i="36"/>
  <c r="AG112" i="36"/>
  <c r="O782" i="182"/>
  <c r="O823" i="182"/>
  <c r="O824" i="182" s="1"/>
  <c r="S215" i="197"/>
  <c r="AZ50" i="195"/>
  <c r="BB48" i="195"/>
  <c r="U215" i="197" s="1"/>
  <c r="U195" i="197"/>
  <c r="O522" i="182"/>
  <c r="O523" i="182" s="1"/>
  <c r="O481" i="182"/>
  <c r="AA98" i="69"/>
  <c r="AK98" i="69" s="1"/>
  <c r="AG108" i="36"/>
  <c r="I522" i="182"/>
  <c r="AA97" i="69"/>
  <c r="AK97" i="69" s="1"/>
  <c r="AG107" i="36"/>
  <c r="O309" i="182"/>
  <c r="O350" i="182"/>
  <c r="O351" i="182" s="1"/>
  <c r="AK94" i="69"/>
  <c r="AG104" i="36"/>
  <c r="AK93" i="69"/>
  <c r="AG103" i="36"/>
  <c r="BA55" i="195"/>
  <c r="T222" i="197" s="1"/>
  <c r="BB55" i="195"/>
  <c r="U222" i="197" s="1"/>
  <c r="Y75" i="195"/>
  <c r="V75" i="195"/>
  <c r="S220" i="197"/>
  <c r="AZ55" i="195"/>
  <c r="R221" i="197"/>
  <c r="AY76" i="195"/>
  <c r="P220" i="197"/>
  <c r="AW55" i="195"/>
  <c r="N220" i="197"/>
  <c r="AU55" i="195"/>
  <c r="L220" i="197"/>
  <c r="AS55" i="195"/>
  <c r="T162" i="197"/>
  <c r="AQ76" i="195"/>
  <c r="AP76" i="195"/>
  <c r="S162" i="197"/>
  <c r="P161" i="197"/>
  <c r="AM55" i="195"/>
  <c r="N162" i="197"/>
  <c r="AK76" i="195"/>
  <c r="L161" i="197"/>
  <c r="AI55" i="195"/>
  <c r="T103" i="197"/>
  <c r="AG76" i="195"/>
  <c r="R102" i="197"/>
  <c r="AE55" i="195"/>
  <c r="P102" i="197"/>
  <c r="AC55" i="195"/>
  <c r="N103" i="197"/>
  <c r="AA76" i="195"/>
  <c r="Y76" i="195"/>
  <c r="L114" i="197" s="1"/>
  <c r="N45" i="197"/>
  <c r="L45" i="197" s="1"/>
  <c r="L103" i="197"/>
  <c r="BB76" i="195"/>
  <c r="U232" i="197" s="1"/>
  <c r="U221" i="197"/>
  <c r="AZ76" i="195"/>
  <c r="S221" i="197"/>
  <c r="AX76" i="195"/>
  <c r="Q221" i="197"/>
  <c r="O221" i="197"/>
  <c r="AV76" i="195"/>
  <c r="AT76" i="195"/>
  <c r="M221" i="197"/>
  <c r="U161" i="197"/>
  <c r="AR55" i="195"/>
  <c r="R161" i="197"/>
  <c r="AO55" i="195"/>
  <c r="Q162" i="197"/>
  <c r="AN76" i="195"/>
  <c r="O162" i="197"/>
  <c r="AL76" i="195"/>
  <c r="M161" i="197"/>
  <c r="AJ55" i="195"/>
  <c r="U102" i="197"/>
  <c r="AH55" i="195"/>
  <c r="S102" i="197"/>
  <c r="AF55" i="195"/>
  <c r="Q103" i="197"/>
  <c r="AD76" i="195"/>
  <c r="O102" i="197"/>
  <c r="AB55" i="195"/>
  <c r="L102" i="197"/>
  <c r="N44" i="197"/>
  <c r="M102" i="197"/>
  <c r="Z55" i="195"/>
  <c r="W53" i="195"/>
  <c r="V55" i="195"/>
  <c r="U53" i="195"/>
  <c r="AA23" i="196"/>
  <c r="T221" i="197"/>
  <c r="BA76" i="195"/>
  <c r="Q220" i="197"/>
  <c r="AX55" i="195"/>
  <c r="O220" i="197"/>
  <c r="AV55" i="195"/>
  <c r="M220" i="197"/>
  <c r="AT55" i="195"/>
  <c r="U162" i="197"/>
  <c r="AR76" i="195"/>
  <c r="S161" i="197"/>
  <c r="AP55" i="195"/>
  <c r="Q161" i="197"/>
  <c r="AN55" i="195"/>
  <c r="O161" i="197"/>
  <c r="AL55" i="195"/>
  <c r="AJ76" i="195"/>
  <c r="M162" i="197"/>
  <c r="U103" i="197"/>
  <c r="AH76" i="195"/>
  <c r="S103" i="197"/>
  <c r="AF76" i="195"/>
  <c r="Q102" i="197"/>
  <c r="AD55" i="195"/>
  <c r="O103" i="197"/>
  <c r="AB76" i="195"/>
  <c r="M103" i="197"/>
  <c r="Z76" i="195"/>
  <c r="V76" i="195"/>
  <c r="U54" i="195"/>
  <c r="U76" i="195" s="1"/>
  <c r="L53" i="197" s="1"/>
  <c r="W54" i="195"/>
  <c r="AA25" i="196"/>
  <c r="V59" i="195" s="1"/>
  <c r="R220" i="197"/>
  <c r="AY55" i="195"/>
  <c r="AW76" i="195"/>
  <c r="P221" i="197"/>
  <c r="AU76" i="195"/>
  <c r="N221" i="197"/>
  <c r="AS76" i="195"/>
  <c r="L221" i="197"/>
  <c r="T161" i="197"/>
  <c r="AQ55" i="195"/>
  <c r="R162" i="197"/>
  <c r="AO76" i="195"/>
  <c r="AM76" i="195"/>
  <c r="P162" i="197"/>
  <c r="N161" i="197"/>
  <c r="AK55" i="195"/>
  <c r="L162" i="197"/>
  <c r="AI76" i="195"/>
  <c r="T102" i="197"/>
  <c r="AG55" i="195"/>
  <c r="R103" i="197"/>
  <c r="AE76" i="195"/>
  <c r="P103" i="197"/>
  <c r="AC76" i="195"/>
  <c r="N102" i="197"/>
  <c r="AA55" i="195"/>
  <c r="X97" i="195"/>
  <c r="L23" i="197"/>
  <c r="Q25" i="197" s="1"/>
  <c r="Q20" i="197"/>
  <c r="L26" i="197"/>
  <c r="N21" i="197"/>
  <c r="N23" i="197" s="1"/>
  <c r="BA50" i="195"/>
  <c r="J44" i="119"/>
  <c r="I1038" i="182"/>
  <c r="U1104" i="119"/>
  <c r="I694" i="182"/>
  <c r="H47" i="119"/>
  <c r="P47" i="119" s="1"/>
  <c r="H45" i="119"/>
  <c r="J45" i="119" s="1"/>
  <c r="H41" i="119"/>
  <c r="P41" i="119" s="1"/>
  <c r="H39" i="119"/>
  <c r="J39" i="119" s="1"/>
  <c r="K1104" i="119"/>
  <c r="I866" i="182"/>
  <c r="O1040" i="182"/>
  <c r="O1081" i="182"/>
  <c r="O1082" i="182" s="1"/>
  <c r="O264" i="182"/>
  <c r="O265" i="182" s="1"/>
  <c r="O223" i="182"/>
  <c r="I307" i="182"/>
  <c r="O524" i="182"/>
  <c r="O565" i="182"/>
  <c r="O566" i="182" s="1"/>
  <c r="I608" i="182"/>
  <c r="O780" i="182"/>
  <c r="O781" i="182" s="1"/>
  <c r="O739" i="182"/>
  <c r="O653" i="182"/>
  <c r="O694" i="182"/>
  <c r="O695" i="182" s="1"/>
  <c r="O911" i="182"/>
  <c r="O952" i="182"/>
  <c r="O953" i="182" s="1"/>
  <c r="O868" i="182"/>
  <c r="O909" i="182"/>
  <c r="O910" i="182" s="1"/>
  <c r="O866" i="182"/>
  <c r="O867" i="182" s="1"/>
  <c r="O825" i="182"/>
  <c r="O997" i="182"/>
  <c r="O1038" i="182"/>
  <c r="O1039" i="182" s="1"/>
  <c r="O307" i="182"/>
  <c r="O308" i="182" s="1"/>
  <c r="O266" i="182"/>
  <c r="I565" i="182"/>
  <c r="O567" i="182"/>
  <c r="O608" i="182"/>
  <c r="O609" i="182" s="1"/>
  <c r="I780" i="182"/>
  <c r="P30" i="119"/>
  <c r="J30" i="119"/>
  <c r="C133" i="159"/>
  <c r="J78" i="16"/>
  <c r="C134" i="159" s="1"/>
  <c r="N1104" i="119"/>
  <c r="H1106" i="119" s="1"/>
  <c r="AF88" i="69"/>
  <c r="AF112" i="69" s="1"/>
  <c r="AB122" i="36"/>
  <c r="BF131" i="16"/>
  <c r="BF84" i="16"/>
  <c r="BB76" i="16" s="1"/>
  <c r="R98" i="36"/>
  <c r="AG98" i="36" s="1"/>
  <c r="BN1222" i="16"/>
  <c r="Y85" i="25"/>
  <c r="W84" i="25"/>
  <c r="Y84" i="25" s="1"/>
  <c r="C132" i="159"/>
  <c r="O51" i="182"/>
  <c r="O92" i="182"/>
  <c r="O93" i="182" s="1"/>
  <c r="AA33" i="36"/>
  <c r="J50" i="119"/>
  <c r="P50" i="119"/>
  <c r="J32" i="119"/>
  <c r="P32" i="119"/>
  <c r="P49" i="119"/>
  <c r="J49" i="119"/>
  <c r="P46" i="119"/>
  <c r="J46" i="119"/>
  <c r="J48" i="119"/>
  <c r="P48" i="119"/>
  <c r="P40" i="119"/>
  <c r="J40" i="119"/>
  <c r="J29" i="119"/>
  <c r="P29" i="119"/>
  <c r="P31" i="119"/>
  <c r="J31" i="119"/>
  <c r="P37" i="119"/>
  <c r="J37" i="119"/>
  <c r="J27" i="119"/>
  <c r="P27" i="119"/>
  <c r="J36" i="119"/>
  <c r="P36" i="119"/>
  <c r="J38" i="119"/>
  <c r="P38" i="119"/>
  <c r="J28" i="119"/>
  <c r="P28" i="119"/>
  <c r="J33" i="119"/>
  <c r="P33" i="119"/>
  <c r="J43" i="119"/>
  <c r="P43" i="119"/>
  <c r="J35" i="119"/>
  <c r="P35" i="119"/>
  <c r="AZ69" i="195" l="1"/>
  <c r="AZ71" i="195" s="1"/>
  <c r="AZ64" i="195"/>
  <c r="S217" i="197"/>
  <c r="AZ65" i="195"/>
  <c r="BB50" i="195"/>
  <c r="BB69" i="195"/>
  <c r="BB71" i="195" s="1"/>
  <c r="U217" i="197"/>
  <c r="AA112" i="69"/>
  <c r="AG122" i="36"/>
  <c r="BB78" i="195"/>
  <c r="U234" i="197" s="1"/>
  <c r="BB70" i="195"/>
  <c r="BB106" i="195" s="1"/>
  <c r="BB57" i="195"/>
  <c r="N104" i="197"/>
  <c r="AA70" i="195"/>
  <c r="AA57" i="195"/>
  <c r="R114" i="197"/>
  <c r="AE78" i="195"/>
  <c r="R116" i="197" s="1"/>
  <c r="L173" i="197"/>
  <c r="AI78" i="195"/>
  <c r="L175" i="197" s="1"/>
  <c r="T163" i="197"/>
  <c r="AQ70" i="195"/>
  <c r="AQ57" i="195"/>
  <c r="R222" i="197"/>
  <c r="AY70" i="195"/>
  <c r="AY57" i="195"/>
  <c r="N53" i="197"/>
  <c r="N55" i="197" s="1"/>
  <c r="L55" i="197"/>
  <c r="O114" i="197"/>
  <c r="AB78" i="195"/>
  <c r="O116" i="197" s="1"/>
  <c r="S114" i="197"/>
  <c r="AF78" i="195"/>
  <c r="S116" i="197" s="1"/>
  <c r="Q163" i="197"/>
  <c r="AN57" i="195"/>
  <c r="AN70" i="195"/>
  <c r="U173" i="197"/>
  <c r="AR78" i="195"/>
  <c r="U175" i="197" s="1"/>
  <c r="O222" i="197"/>
  <c r="AV57" i="195"/>
  <c r="AV70" i="195"/>
  <c r="T232" i="197"/>
  <c r="BA78" i="195"/>
  <c r="T234" i="197" s="1"/>
  <c r="W55" i="195"/>
  <c r="V70" i="195"/>
  <c r="L104" i="197"/>
  <c r="Y70" i="195"/>
  <c r="S232" i="197"/>
  <c r="AZ78" i="195"/>
  <c r="S234" i="197" s="1"/>
  <c r="P104" i="197"/>
  <c r="AC70" i="195"/>
  <c r="AC57" i="195"/>
  <c r="T114" i="197"/>
  <c r="AG78" i="195"/>
  <c r="T116" i="197" s="1"/>
  <c r="N173" i="197"/>
  <c r="AK78" i="195"/>
  <c r="N175" i="197" s="1"/>
  <c r="L222" i="197"/>
  <c r="AS57" i="195"/>
  <c r="AS70" i="195"/>
  <c r="P222" i="197"/>
  <c r="AW70" i="195"/>
  <c r="AW57" i="195"/>
  <c r="S222" i="197"/>
  <c r="AZ57" i="195"/>
  <c r="AZ70" i="195"/>
  <c r="P173" i="197"/>
  <c r="AM78" i="195"/>
  <c r="P175" i="197" s="1"/>
  <c r="N232" i="197"/>
  <c r="AU78" i="195"/>
  <c r="N234" i="197" s="1"/>
  <c r="M173" i="197"/>
  <c r="AJ78" i="195"/>
  <c r="M175" i="197" s="1"/>
  <c r="N46" i="197"/>
  <c r="L46" i="197" s="1"/>
  <c r="L44" i="197"/>
  <c r="Q114" i="197"/>
  <c r="AD78" i="195"/>
  <c r="Q116" i="197" s="1"/>
  <c r="U104" i="197"/>
  <c r="AH70" i="195"/>
  <c r="AH57" i="195"/>
  <c r="O173" i="197"/>
  <c r="AL78" i="195"/>
  <c r="O175" i="197" s="1"/>
  <c r="R163" i="197"/>
  <c r="AO70" i="195"/>
  <c r="AO57" i="195"/>
  <c r="S173" i="197"/>
  <c r="AP78" i="195"/>
  <c r="S175" i="197" s="1"/>
  <c r="Y97" i="195"/>
  <c r="Z56" i="195"/>
  <c r="L105" i="197"/>
  <c r="P114" i="197"/>
  <c r="AC78" i="195"/>
  <c r="P116" i="197" s="1"/>
  <c r="T104" i="197"/>
  <c r="AG57" i="195"/>
  <c r="AG70" i="195"/>
  <c r="N163" i="197"/>
  <c r="AK70" i="195"/>
  <c r="AK57" i="195"/>
  <c r="R173" i="197"/>
  <c r="AO78" i="195"/>
  <c r="R175" i="197" s="1"/>
  <c r="X98" i="195"/>
  <c r="X99" i="195" s="1"/>
  <c r="X100" i="195" s="1"/>
  <c r="Y59" i="195"/>
  <c r="X105" i="195"/>
  <c r="M114" i="197"/>
  <c r="Z78" i="195"/>
  <c r="M116" i="197" s="1"/>
  <c r="Q104" i="197"/>
  <c r="AD57" i="195"/>
  <c r="AD70" i="195"/>
  <c r="U114" i="197"/>
  <c r="AH78" i="195"/>
  <c r="U116" i="197" s="1"/>
  <c r="O163" i="197"/>
  <c r="AL70" i="195"/>
  <c r="AL57" i="195"/>
  <c r="S163" i="197"/>
  <c r="AP57" i="195"/>
  <c r="AP70" i="195"/>
  <c r="M222" i="197"/>
  <c r="AT70" i="195"/>
  <c r="AT57" i="195"/>
  <c r="Q222" i="197"/>
  <c r="AX70" i="195"/>
  <c r="AX57" i="195"/>
  <c r="M104" i="197"/>
  <c r="Z57" i="195"/>
  <c r="Z70" i="195"/>
  <c r="M232" i="197"/>
  <c r="AT78" i="195"/>
  <c r="M234" i="197" s="1"/>
  <c r="Q232" i="197"/>
  <c r="AX78" i="195"/>
  <c r="Q234" i="197" s="1"/>
  <c r="N114" i="197"/>
  <c r="AA78" i="195"/>
  <c r="N116" i="197" s="1"/>
  <c r="R104" i="197"/>
  <c r="AE70" i="195"/>
  <c r="AE57" i="195"/>
  <c r="L163" i="197"/>
  <c r="AI57" i="195"/>
  <c r="AI70" i="195"/>
  <c r="P163" i="197"/>
  <c r="AM70" i="195"/>
  <c r="AM57" i="195"/>
  <c r="T173" i="197"/>
  <c r="AQ78" i="195"/>
  <c r="T175" i="197" s="1"/>
  <c r="N222" i="197"/>
  <c r="AU70" i="195"/>
  <c r="AU57" i="195"/>
  <c r="R232" i="197"/>
  <c r="AY78" i="195"/>
  <c r="R234" i="197" s="1"/>
  <c r="V78" i="195"/>
  <c r="U75" i="195"/>
  <c r="U78" i="195" s="1"/>
  <c r="N26" i="197"/>
  <c r="N28" i="197" s="1"/>
  <c r="L28" i="197"/>
  <c r="Q30" i="197" s="1"/>
  <c r="L232" i="197"/>
  <c r="AS78" i="195"/>
  <c r="L234" i="197" s="1"/>
  <c r="P232" i="197"/>
  <c r="AW78" i="195"/>
  <c r="P234" i="197" s="1"/>
  <c r="U55" i="195"/>
  <c r="U70" i="195" s="1"/>
  <c r="O104" i="197"/>
  <c r="AB57" i="195"/>
  <c r="AB70" i="195"/>
  <c r="S104" i="197"/>
  <c r="AF57" i="195"/>
  <c r="AF70" i="195"/>
  <c r="M163" i="197"/>
  <c r="AJ57" i="195"/>
  <c r="AJ70" i="195"/>
  <c r="Q173" i="197"/>
  <c r="AN78" i="195"/>
  <c r="Q175" i="197" s="1"/>
  <c r="U163" i="197"/>
  <c r="AR57" i="195"/>
  <c r="AR70" i="195"/>
  <c r="O232" i="197"/>
  <c r="AV78" i="195"/>
  <c r="O234" i="197" s="1"/>
  <c r="L113" i="197"/>
  <c r="Y78" i="195"/>
  <c r="T217" i="197"/>
  <c r="BA70" i="195"/>
  <c r="BA69" i="195"/>
  <c r="BA71" i="195" s="1"/>
  <c r="BA64" i="195"/>
  <c r="BA57" i="195"/>
  <c r="BA65" i="195"/>
  <c r="H51" i="119"/>
  <c r="P51" i="119" s="1"/>
  <c r="J1106" i="119"/>
  <c r="J47" i="119"/>
  <c r="P45" i="119"/>
  <c r="P39" i="119"/>
  <c r="J79" i="16"/>
  <c r="C135" i="159" s="1"/>
  <c r="H57" i="119" s="1"/>
  <c r="J57" i="119" s="1"/>
  <c r="J41" i="119"/>
  <c r="P1104" i="119"/>
  <c r="BB78" i="16"/>
  <c r="H54" i="119"/>
  <c r="J54" i="119" s="1"/>
  <c r="G1086" i="182"/>
  <c r="H1109" i="119"/>
  <c r="J1109" i="119" s="1"/>
  <c r="H1111" i="119"/>
  <c r="J1111" i="119" s="1"/>
  <c r="G1088" i="182"/>
  <c r="H56" i="119"/>
  <c r="J56" i="119" s="1"/>
  <c r="V88" i="69"/>
  <c r="R122" i="36"/>
  <c r="H55" i="119"/>
  <c r="J55" i="119" s="1"/>
  <c r="G1087" i="182"/>
  <c r="H1110" i="119"/>
  <c r="J1110" i="119" s="1"/>
  <c r="P1106" i="119"/>
  <c r="BB65" i="195" l="1"/>
  <c r="BB64" i="195"/>
  <c r="G1089" i="182"/>
  <c r="G1090" i="182" s="1"/>
  <c r="O1090" i="182" s="1"/>
  <c r="U228" i="197"/>
  <c r="BB82" i="195"/>
  <c r="U236" i="197" s="1"/>
  <c r="U82" i="195"/>
  <c r="Y107" i="195"/>
  <c r="Z107" i="195" s="1"/>
  <c r="AA107" i="195" s="1"/>
  <c r="AB107" i="195" s="1"/>
  <c r="AC107" i="195" s="1"/>
  <c r="AD107" i="195" s="1"/>
  <c r="AE107" i="195" s="1"/>
  <c r="AF107" i="195" s="1"/>
  <c r="AG107" i="195" s="1"/>
  <c r="AH107" i="195" s="1"/>
  <c r="AI107" i="195" s="1"/>
  <c r="AJ107" i="195" s="1"/>
  <c r="AK107" i="195" s="1"/>
  <c r="AL107" i="195" s="1"/>
  <c r="AM107" i="195" s="1"/>
  <c r="AN107" i="195" s="1"/>
  <c r="AO107" i="195" s="1"/>
  <c r="AP107" i="195" s="1"/>
  <c r="AQ107" i="195" s="1"/>
  <c r="AR107" i="195" s="1"/>
  <c r="AS107" i="195" s="1"/>
  <c r="AT107" i="195" s="1"/>
  <c r="AU107" i="195" s="1"/>
  <c r="AV107" i="195" s="1"/>
  <c r="AW107" i="195" s="1"/>
  <c r="AX107" i="195" s="1"/>
  <c r="AY107" i="195" s="1"/>
  <c r="AZ107" i="195" s="1"/>
  <c r="BA107" i="195" s="1"/>
  <c r="BB107" i="195" s="1"/>
  <c r="L116" i="197"/>
  <c r="AR106" i="195"/>
  <c r="U169" i="197"/>
  <c r="AR82" i="195"/>
  <c r="U177" i="197" s="1"/>
  <c r="AF106" i="195"/>
  <c r="AF82" i="195"/>
  <c r="S118" i="197" s="1"/>
  <c r="S110" i="197"/>
  <c r="AM82" i="195"/>
  <c r="P177" i="197" s="1"/>
  <c r="P169" i="197"/>
  <c r="AM106" i="195"/>
  <c r="T110" i="197"/>
  <c r="AG106" i="195"/>
  <c r="AG82" i="195"/>
  <c r="T118" i="197" s="1"/>
  <c r="AH82" i="195"/>
  <c r="U118" i="197" s="1"/>
  <c r="U110" i="197"/>
  <c r="AH106" i="195"/>
  <c r="AZ106" i="195"/>
  <c r="AZ82" i="195"/>
  <c r="S236" i="197" s="1"/>
  <c r="S228" i="197"/>
  <c r="P228" i="197"/>
  <c r="AW106" i="195"/>
  <c r="AW82" i="195"/>
  <c r="P236" i="197" s="1"/>
  <c r="AY82" i="195"/>
  <c r="R236" i="197" s="1"/>
  <c r="R228" i="197"/>
  <c r="AY106" i="195"/>
  <c r="M169" i="197"/>
  <c r="AJ82" i="195"/>
  <c r="M177" i="197" s="1"/>
  <c r="AJ106" i="195"/>
  <c r="M228" i="197"/>
  <c r="AT106" i="195"/>
  <c r="AT82" i="195"/>
  <c r="M236" i="197" s="1"/>
  <c r="Y79" i="195"/>
  <c r="Y98" i="195"/>
  <c r="Y99" i="195" s="1"/>
  <c r="Y100" i="195" s="1"/>
  <c r="Z59" i="195"/>
  <c r="Y72" i="195"/>
  <c r="V82" i="195"/>
  <c r="AV82" i="195"/>
  <c r="O236" i="197" s="1"/>
  <c r="AV106" i="195"/>
  <c r="O228" i="197"/>
  <c r="AI106" i="195"/>
  <c r="L169" i="197"/>
  <c r="AI82" i="195"/>
  <c r="L177" i="197" s="1"/>
  <c r="AE106" i="195"/>
  <c r="AE82" i="195"/>
  <c r="R118" i="197" s="1"/>
  <c r="R110" i="197"/>
  <c r="Z82" i="195"/>
  <c r="M118" i="197" s="1"/>
  <c r="M110" i="197"/>
  <c r="Z106" i="195"/>
  <c r="AX82" i="195"/>
  <c r="Q236" i="197" s="1"/>
  <c r="Q228" i="197"/>
  <c r="AX106" i="195"/>
  <c r="AK106" i="195"/>
  <c r="N169" i="197"/>
  <c r="AK82" i="195"/>
  <c r="N177" i="197" s="1"/>
  <c r="M105" i="197"/>
  <c r="Z97" i="195"/>
  <c r="AA56" i="195"/>
  <c r="L228" i="197"/>
  <c r="AS106" i="195"/>
  <c r="AS82" i="195"/>
  <c r="L236" i="197" s="1"/>
  <c r="AC106" i="195"/>
  <c r="P110" i="197"/>
  <c r="AC82" i="195"/>
  <c r="P118" i="197" s="1"/>
  <c r="Y82" i="195"/>
  <c r="Y84" i="195" s="1"/>
  <c r="N49" i="197"/>
  <c r="L49" i="197" s="1"/>
  <c r="Q40" i="197" s="1"/>
  <c r="Y106" i="195"/>
  <c r="L110" i="197"/>
  <c r="AN82" i="195"/>
  <c r="Q177" i="197" s="1"/>
  <c r="AN106" i="195"/>
  <c r="Q169" i="197"/>
  <c r="AA106" i="195"/>
  <c r="N110" i="197"/>
  <c r="AA82" i="195"/>
  <c r="N118" i="197" s="1"/>
  <c r="O110" i="197"/>
  <c r="AB82" i="195"/>
  <c r="O118" i="197" s="1"/>
  <c r="AB106" i="195"/>
  <c r="AU82" i="195"/>
  <c r="N236" i="197" s="1"/>
  <c r="N228" i="197"/>
  <c r="AU106" i="195"/>
  <c r="AP106" i="195"/>
  <c r="AP82" i="195"/>
  <c r="S177" i="197" s="1"/>
  <c r="S169" i="197"/>
  <c r="AL82" i="195"/>
  <c r="O177" i="197" s="1"/>
  <c r="O169" i="197"/>
  <c r="AL106" i="195"/>
  <c r="Q110" i="197"/>
  <c r="AD106" i="195"/>
  <c r="AD82" i="195"/>
  <c r="Q118" i="197" s="1"/>
  <c r="AO106" i="195"/>
  <c r="R169" i="197"/>
  <c r="AO82" i="195"/>
  <c r="R177" i="197" s="1"/>
  <c r="AQ106" i="195"/>
  <c r="T169" i="197"/>
  <c r="AQ82" i="195"/>
  <c r="T177" i="197" s="1"/>
  <c r="T228" i="197"/>
  <c r="BA82" i="195"/>
  <c r="BA106" i="195"/>
  <c r="H1112" i="119"/>
  <c r="J1112" i="119" s="1"/>
  <c r="J80" i="16"/>
  <c r="C136" i="159" s="1"/>
  <c r="J51" i="119"/>
  <c r="O1086" i="182"/>
  <c r="I1086" i="182"/>
  <c r="O1087" i="182"/>
  <c r="I1087" i="182"/>
  <c r="I1088" i="182"/>
  <c r="O1088" i="182"/>
  <c r="AK88" i="69"/>
  <c r="V112" i="69"/>
  <c r="I1089" i="182" l="1"/>
  <c r="I1090" i="182" s="1"/>
  <c r="O1089" i="182"/>
  <c r="N57" i="197"/>
  <c r="N58" i="197" s="1"/>
  <c r="Q55" i="197" s="1"/>
  <c r="L57" i="197"/>
  <c r="AB56" i="195"/>
  <c r="AA97" i="195"/>
  <c r="N105" i="197"/>
  <c r="L111" i="197"/>
  <c r="N50" i="197"/>
  <c r="L118" i="197"/>
  <c r="Y83" i="195"/>
  <c r="Z72" i="195"/>
  <c r="M111" i="197" s="1"/>
  <c r="AA59" i="195"/>
  <c r="Z98" i="195"/>
  <c r="Z99" i="195" s="1"/>
  <c r="Z100" i="195" s="1"/>
  <c r="Z79" i="195"/>
  <c r="Z84" i="195"/>
  <c r="T236" i="197"/>
  <c r="H81" i="16"/>
  <c r="H80" i="16"/>
  <c r="C131" i="159" s="1"/>
  <c r="H58" i="119"/>
  <c r="H1113" i="119"/>
  <c r="AK112" i="69"/>
  <c r="O1085" i="182"/>
  <c r="O1084" i="182"/>
  <c r="AV23" i="165"/>
  <c r="AV30" i="165"/>
  <c r="AV25" i="165"/>
  <c r="AV26" i="165"/>
  <c r="BA26" i="165" s="1"/>
  <c r="AV24" i="165"/>
  <c r="AV22" i="165"/>
  <c r="AV27" i="165"/>
  <c r="AV28" i="165"/>
  <c r="AV29" i="165"/>
  <c r="Q50" i="197" l="1"/>
  <c r="L58" i="197"/>
  <c r="Z83" i="195"/>
  <c r="Y85" i="195"/>
  <c r="L119" i="197" s="1"/>
  <c r="AA98" i="195"/>
  <c r="AA99" i="195" s="1"/>
  <c r="AA100" i="195" s="1"/>
  <c r="AA72" i="195"/>
  <c r="N111" i="197" s="1"/>
  <c r="AA79" i="195"/>
  <c r="AA84" i="195"/>
  <c r="AB59" i="195"/>
  <c r="L50" i="197"/>
  <c r="Q45" i="197"/>
  <c r="AC56" i="195"/>
  <c r="O105" i="197"/>
  <c r="AB97" i="195"/>
  <c r="J1113" i="119"/>
  <c r="J1115" i="119" s="1"/>
  <c r="H1115" i="119"/>
  <c r="BG47" i="69"/>
  <c r="BG50" i="69" s="1"/>
  <c r="BG53" i="69" s="1"/>
  <c r="BG64" i="69"/>
  <c r="P52" i="119"/>
  <c r="P54" i="119"/>
  <c r="P53" i="119"/>
  <c r="P1112" i="119"/>
  <c r="P1108" i="119"/>
  <c r="P58" i="119"/>
  <c r="J58" i="119"/>
  <c r="J60" i="119" s="1"/>
  <c r="P1111" i="119"/>
  <c r="P1110" i="119"/>
  <c r="P55" i="119"/>
  <c r="P1113" i="119"/>
  <c r="P56" i="119"/>
  <c r="P57" i="119"/>
  <c r="P1109" i="119"/>
  <c r="P1107" i="119"/>
  <c r="H60" i="119"/>
  <c r="BA22" i="165"/>
  <c r="BA30" i="165"/>
  <c r="BA29" i="165"/>
  <c r="BA24" i="165"/>
  <c r="BA23" i="165"/>
  <c r="BA28" i="165"/>
  <c r="BA27" i="165"/>
  <c r="BA25" i="165"/>
  <c r="R175" i="198" l="1"/>
  <c r="O84" i="198"/>
  <c r="AA83" i="195"/>
  <c r="Z85" i="195"/>
  <c r="M119" i="197" s="1"/>
  <c r="AC97" i="195"/>
  <c r="AD56" i="195"/>
  <c r="P105" i="197"/>
  <c r="AB98" i="195"/>
  <c r="AC59" i="195"/>
  <c r="AB79" i="195"/>
  <c r="AB72" i="195"/>
  <c r="O111" i="197" s="1"/>
  <c r="AB84" i="195"/>
  <c r="K1115" i="119"/>
  <c r="K1111" i="119"/>
  <c r="K1110" i="119"/>
  <c r="K1113" i="119"/>
  <c r="K1109" i="119"/>
  <c r="K1112" i="119"/>
  <c r="K1106" i="119"/>
  <c r="BG56" i="69"/>
  <c r="BG59" i="69" s="1"/>
  <c r="K60" i="119"/>
  <c r="P59" i="119"/>
  <c r="P1115" i="119"/>
  <c r="K42" i="119"/>
  <c r="K43" i="119"/>
  <c r="K37" i="119"/>
  <c r="K36" i="119"/>
  <c r="K29" i="119"/>
  <c r="K35" i="119"/>
  <c r="P60" i="119"/>
  <c r="K47" i="119"/>
  <c r="K31" i="119"/>
  <c r="K38" i="119"/>
  <c r="P1114" i="119"/>
  <c r="K54" i="119"/>
  <c r="K30" i="119"/>
  <c r="K50" i="119"/>
  <c r="K41" i="119"/>
  <c r="K33" i="119"/>
  <c r="K28" i="119"/>
  <c r="K27" i="119"/>
  <c r="K45" i="119"/>
  <c r="K57" i="119"/>
  <c r="K56" i="119"/>
  <c r="P64" i="119"/>
  <c r="K34" i="119"/>
  <c r="K48" i="119"/>
  <c r="K46" i="119"/>
  <c r="K49" i="119"/>
  <c r="K32" i="119"/>
  <c r="K39" i="119"/>
  <c r="K55" i="119"/>
  <c r="K44" i="119"/>
  <c r="K40" i="119"/>
  <c r="K58" i="119"/>
  <c r="R177" i="198" l="1"/>
  <c r="O85" i="198"/>
  <c r="S76" i="198" s="1"/>
  <c r="AB99" i="195"/>
  <c r="AB100" i="195" s="1"/>
  <c r="Q105" i="197"/>
  <c r="AD97" i="195"/>
  <c r="AE56" i="195"/>
  <c r="AC72" i="195"/>
  <c r="P111" i="197" s="1"/>
  <c r="AD59" i="195"/>
  <c r="AC79" i="195"/>
  <c r="AC98" i="195"/>
  <c r="AC99" i="195" s="1"/>
  <c r="AC100" i="195" s="1"/>
  <c r="AC84" i="195"/>
  <c r="AB83" i="195"/>
  <c r="AA85" i="195"/>
  <c r="N119" i="197" s="1"/>
  <c r="BG67" i="69"/>
  <c r="AN74" i="69" s="1"/>
  <c r="K51" i="119"/>
  <c r="AC83" i="195" l="1"/>
  <c r="AB85" i="195"/>
  <c r="O119" i="197" s="1"/>
  <c r="AF56" i="195"/>
  <c r="AE97" i="195"/>
  <c r="R105" i="197"/>
  <c r="AE59" i="195"/>
  <c r="AD98" i="195"/>
  <c r="AD99" i="195" s="1"/>
  <c r="AD100" i="195" s="1"/>
  <c r="AD79" i="195"/>
  <c r="AD72" i="195"/>
  <c r="Q111" i="197" s="1"/>
  <c r="AD84" i="195"/>
  <c r="CC33" i="69"/>
  <c r="AE79" i="195" l="1"/>
  <c r="AE98" i="195"/>
  <c r="AE99" i="195" s="1"/>
  <c r="AE100" i="195" s="1"/>
  <c r="AF59" i="195"/>
  <c r="AE84" i="195"/>
  <c r="AE72" i="195"/>
  <c r="R111" i="197" s="1"/>
  <c r="AF97" i="195"/>
  <c r="AG56" i="195"/>
  <c r="S105" i="197"/>
  <c r="AD83" i="195"/>
  <c r="AC85" i="195"/>
  <c r="P119" i="197" s="1"/>
  <c r="AE83" i="195" l="1"/>
  <c r="AD85" i="195"/>
  <c r="Q119" i="197" s="1"/>
  <c r="AG97" i="195"/>
  <c r="T105" i="197"/>
  <c r="AH56" i="195"/>
  <c r="AF98" i="195"/>
  <c r="AF99" i="195" s="1"/>
  <c r="AF100" i="195" s="1"/>
  <c r="AF84" i="195"/>
  <c r="AG59" i="195"/>
  <c r="AF79" i="195"/>
  <c r="AF72" i="195"/>
  <c r="S111" i="197" s="1"/>
  <c r="AH59" i="195" l="1"/>
  <c r="AG98" i="195"/>
  <c r="AG99" i="195" s="1"/>
  <c r="AG100" i="195" s="1"/>
  <c r="AG79" i="195"/>
  <c r="AG84" i="195"/>
  <c r="AG72" i="195"/>
  <c r="T111" i="197" s="1"/>
  <c r="AH97" i="195"/>
  <c r="AI56" i="195"/>
  <c r="U105" i="197"/>
  <c r="AF83" i="195"/>
  <c r="AE85" i="195"/>
  <c r="R119" i="197" s="1"/>
  <c r="AH98" i="195" l="1"/>
  <c r="AH99" i="195" s="1"/>
  <c r="AH100" i="195" s="1"/>
  <c r="AH79" i="195"/>
  <c r="AI59" i="195"/>
  <c r="AH72" i="195"/>
  <c r="U111" i="197" s="1"/>
  <c r="AH84" i="195"/>
  <c r="AG83" i="195"/>
  <c r="AF85" i="195"/>
  <c r="S119" i="197" s="1"/>
  <c r="L164" i="197"/>
  <c r="AJ56" i="195"/>
  <c r="AI97" i="195"/>
  <c r="AH83" i="195" l="1"/>
  <c r="AG85" i="195"/>
  <c r="T119" i="197" s="1"/>
  <c r="M164" i="197"/>
  <c r="AK56" i="195"/>
  <c r="AJ97" i="195"/>
  <c r="AI98" i="195"/>
  <c r="AI99" i="195" s="1"/>
  <c r="AI100" i="195" s="1"/>
  <c r="AI79" i="195"/>
  <c r="AJ59" i="195"/>
  <c r="AI72" i="195"/>
  <c r="L170" i="197" s="1"/>
  <c r="AI84" i="195"/>
  <c r="AI83" i="195" l="1"/>
  <c r="AH85" i="195"/>
  <c r="U119" i="197" s="1"/>
  <c r="AJ98" i="195"/>
  <c r="AJ99" i="195" s="1"/>
  <c r="AJ100" i="195" s="1"/>
  <c r="AJ79" i="195"/>
  <c r="AK59" i="195"/>
  <c r="AJ72" i="195"/>
  <c r="M170" i="197" s="1"/>
  <c r="AJ84" i="195"/>
  <c r="AK97" i="195"/>
  <c r="AL56" i="195"/>
  <c r="N164" i="197"/>
  <c r="O164" i="197" l="1"/>
  <c r="AM56" i="195"/>
  <c r="AL97" i="195"/>
  <c r="AK98" i="195"/>
  <c r="AK99" i="195" s="1"/>
  <c r="AK100" i="195" s="1"/>
  <c r="AK79" i="195"/>
  <c r="AL59" i="195"/>
  <c r="AK84" i="195"/>
  <c r="AK72" i="195"/>
  <c r="N170" i="197" s="1"/>
  <c r="AJ83" i="195"/>
  <c r="AI85" i="195"/>
  <c r="L178" i="197" s="1"/>
  <c r="AM97" i="195" l="1"/>
  <c r="AN56" i="195"/>
  <c r="P164" i="197"/>
  <c r="AK83" i="195"/>
  <c r="AJ85" i="195"/>
  <c r="M178" i="197" s="1"/>
  <c r="AL98" i="195"/>
  <c r="AL99" i="195" s="1"/>
  <c r="AL100" i="195" s="1"/>
  <c r="AL79" i="195"/>
  <c r="AL72" i="195"/>
  <c r="O170" i="197" s="1"/>
  <c r="AM59" i="195"/>
  <c r="AL84" i="195"/>
  <c r="AN97" i="195" l="1"/>
  <c r="AO56" i="195"/>
  <c r="Q164" i="197"/>
  <c r="AM79" i="195"/>
  <c r="AM72" i="195"/>
  <c r="P170" i="197" s="1"/>
  <c r="AM98" i="195"/>
  <c r="AM99" i="195" s="1"/>
  <c r="AM100" i="195" s="1"/>
  <c r="AN59" i="195"/>
  <c r="AM84" i="195"/>
  <c r="AL83" i="195"/>
  <c r="AK85" i="195"/>
  <c r="N178" i="197" s="1"/>
  <c r="AM83" i="195" l="1"/>
  <c r="AL85" i="195"/>
  <c r="O178" i="197" s="1"/>
  <c r="AN72" i="195"/>
  <c r="Q170" i="197" s="1"/>
  <c r="AN98" i="195"/>
  <c r="AN99" i="195" s="1"/>
  <c r="AN100" i="195" s="1"/>
  <c r="AN79" i="195"/>
  <c r="AO59" i="195"/>
  <c r="AN84" i="195"/>
  <c r="R164" i="197"/>
  <c r="AP56" i="195"/>
  <c r="AO97" i="195"/>
  <c r="AO72" i="195" l="1"/>
  <c r="R170" i="197" s="1"/>
  <c r="AO98" i="195"/>
  <c r="AO99" i="195" s="1"/>
  <c r="AO100" i="195" s="1"/>
  <c r="AO79" i="195"/>
  <c r="AO84" i="195"/>
  <c r="AP59" i="195"/>
  <c r="AP97" i="195"/>
  <c r="AQ56" i="195"/>
  <c r="S164" i="197"/>
  <c r="AN83" i="195"/>
  <c r="AM85" i="195"/>
  <c r="P178" i="197" s="1"/>
  <c r="AP79" i="195" l="1"/>
  <c r="AP98" i="195"/>
  <c r="AP99" i="195" s="1"/>
  <c r="AP100" i="195" s="1"/>
  <c r="AP72" i="195"/>
  <c r="S170" i="197" s="1"/>
  <c r="AQ59" i="195"/>
  <c r="AP84" i="195"/>
  <c r="AO83" i="195"/>
  <c r="AN85" i="195"/>
  <c r="Q178" i="197" s="1"/>
  <c r="AQ97" i="195"/>
  <c r="AR56" i="195"/>
  <c r="T164" i="197"/>
  <c r="AP83" i="195" l="1"/>
  <c r="AO85" i="195"/>
  <c r="R178" i="197" s="1"/>
  <c r="AR59" i="195"/>
  <c r="AQ72" i="195"/>
  <c r="T170" i="197" s="1"/>
  <c r="AQ98" i="195"/>
  <c r="AQ99" i="195" s="1"/>
  <c r="AQ100" i="195" s="1"/>
  <c r="AQ79" i="195"/>
  <c r="AQ84" i="195"/>
  <c r="AR97" i="195"/>
  <c r="U164" i="197"/>
  <c r="AS56" i="195"/>
  <c r="L223" i="197" l="1"/>
  <c r="AT56" i="195"/>
  <c r="AS97" i="195"/>
  <c r="AR84" i="195"/>
  <c r="AR98" i="195"/>
  <c r="AR99" i="195" s="1"/>
  <c r="AR100" i="195" s="1"/>
  <c r="AR72" i="195"/>
  <c r="U170" i="197" s="1"/>
  <c r="AR79" i="195"/>
  <c r="AS59" i="195"/>
  <c r="AQ83" i="195"/>
  <c r="AP85" i="195"/>
  <c r="S178" i="197" s="1"/>
  <c r="AS79" i="195" l="1"/>
  <c r="AT59" i="195"/>
  <c r="AS72" i="195"/>
  <c r="L229" i="197" s="1"/>
  <c r="AS98" i="195"/>
  <c r="AS99" i="195" s="1"/>
  <c r="AS100" i="195" s="1"/>
  <c r="AS84" i="195"/>
  <c r="AR83" i="195"/>
  <c r="AQ85" i="195"/>
  <c r="T178" i="197" s="1"/>
  <c r="M223" i="197"/>
  <c r="AU56" i="195"/>
  <c r="AT97" i="195"/>
  <c r="AT72" i="195" l="1"/>
  <c r="M229" i="197" s="1"/>
  <c r="AU59" i="195"/>
  <c r="AT84" i="195"/>
  <c r="AT98" i="195"/>
  <c r="AT79" i="195"/>
  <c r="N223" i="197"/>
  <c r="AU97" i="195"/>
  <c r="AV56" i="195"/>
  <c r="AS83" i="195"/>
  <c r="AR85" i="195"/>
  <c r="U178" i="197" s="1"/>
  <c r="AT99" i="195" l="1"/>
  <c r="AT100" i="195" s="1"/>
  <c r="AU72" i="195"/>
  <c r="N229" i="197" s="1"/>
  <c r="AU98" i="195"/>
  <c r="AU99" i="195" s="1"/>
  <c r="AU100" i="195" s="1"/>
  <c r="AV59" i="195"/>
  <c r="AU79" i="195"/>
  <c r="AU84" i="195"/>
  <c r="AT83" i="195"/>
  <c r="AS85" i="195"/>
  <c r="L237" i="197" s="1"/>
  <c r="O223" i="197"/>
  <c r="AW56" i="195"/>
  <c r="AV97" i="195"/>
  <c r="P223" i="197" l="1"/>
  <c r="AW97" i="195"/>
  <c r="AX56" i="195"/>
  <c r="AV79" i="195"/>
  <c r="AV98" i="195"/>
  <c r="AV99" i="195" s="1"/>
  <c r="AV100" i="195" s="1"/>
  <c r="AW59" i="195"/>
  <c r="AV72" i="195"/>
  <c r="O229" i="197" s="1"/>
  <c r="AV84" i="195"/>
  <c r="AU83" i="195"/>
  <c r="AT85" i="195"/>
  <c r="M237" i="197" s="1"/>
  <c r="AY56" i="195" l="1"/>
  <c r="Q223" i="197"/>
  <c r="AX97" i="195"/>
  <c r="AV83" i="195"/>
  <c r="AU85" i="195"/>
  <c r="N237" i="197" s="1"/>
  <c r="AW79" i="195"/>
  <c r="AW98" i="195"/>
  <c r="AW99" i="195" s="1"/>
  <c r="AW100" i="195" s="1"/>
  <c r="AX59" i="195"/>
  <c r="AW72" i="195"/>
  <c r="P229" i="197" s="1"/>
  <c r="AW84" i="195"/>
  <c r="AY59" i="195" l="1"/>
  <c r="AX72" i="195"/>
  <c r="Q229" i="197" s="1"/>
  <c r="AX98" i="195"/>
  <c r="AX99" i="195" s="1"/>
  <c r="AX100" i="195" s="1"/>
  <c r="AX79" i="195"/>
  <c r="AX84" i="195"/>
  <c r="AW83" i="195"/>
  <c r="AV85" i="195"/>
  <c r="O237" i="197" s="1"/>
  <c r="AY97" i="195"/>
  <c r="R223" i="197"/>
  <c r="AZ56" i="195"/>
  <c r="AX83" i="195" l="1"/>
  <c r="AW85" i="195"/>
  <c r="P237" i="197" s="1"/>
  <c r="BA56" i="195"/>
  <c r="AZ97" i="195"/>
  <c r="S223" i="197"/>
  <c r="AZ59" i="195"/>
  <c r="AY79" i="195"/>
  <c r="AY98" i="195"/>
  <c r="AY99" i="195" s="1"/>
  <c r="AY100" i="195" s="1"/>
  <c r="AY84" i="195"/>
  <c r="AY72" i="195"/>
  <c r="R229" i="197" s="1"/>
  <c r="T223" i="197" l="1"/>
  <c r="BA97" i="195"/>
  <c r="BB56" i="195"/>
  <c r="BA59" i="195"/>
  <c r="AZ98" i="195"/>
  <c r="AZ99" i="195" s="1"/>
  <c r="AZ100" i="195" s="1"/>
  <c r="AZ72" i="195"/>
  <c r="S229" i="197" s="1"/>
  <c r="AZ79" i="195"/>
  <c r="AZ84" i="195"/>
  <c r="AY83" i="195"/>
  <c r="AX85" i="195"/>
  <c r="Q237" i="197" s="1"/>
  <c r="U223" i="197" l="1"/>
  <c r="BB97" i="195"/>
  <c r="AZ83" i="195"/>
  <c r="AY85" i="195"/>
  <c r="R237" i="197" s="1"/>
  <c r="BA98" i="195"/>
  <c r="BA99" i="195" s="1"/>
  <c r="BA100" i="195" s="1"/>
  <c r="BB59" i="195"/>
  <c r="BA79" i="195"/>
  <c r="BA72" i="195"/>
  <c r="T229" i="197" s="1"/>
  <c r="BA84" i="195"/>
  <c r="BA83" i="195" l="1"/>
  <c r="AZ85" i="195"/>
  <c r="S237" i="197" s="1"/>
  <c r="BB79" i="195"/>
  <c r="BB72" i="195"/>
  <c r="U229" i="197" s="1"/>
  <c r="BB84" i="195"/>
  <c r="BB98" i="195"/>
  <c r="BB99" i="195" s="1"/>
  <c r="BB100" i="195" s="1"/>
  <c r="BB83" i="195" l="1"/>
  <c r="BB85" i="195" s="1"/>
  <c r="U237" i="197" s="1"/>
  <c r="BA85" i="195"/>
  <c r="T237" i="197" s="1"/>
  <c r="C157" i="159" l="1"/>
  <c r="C142" i="159"/>
  <c r="C141" i="159"/>
  <c r="C155" i="159"/>
  <c r="C143" i="159"/>
  <c r="C156" i="159"/>
  <c r="D99" i="63" l="1"/>
  <c r="F106" i="63" s="1"/>
  <c r="C171" i="159"/>
  <c r="D97" i="63"/>
  <c r="C169" i="159"/>
  <c r="D98" i="63"/>
  <c r="F105" i="63" s="1"/>
  <c r="C170" i="159"/>
  <c r="S21" i="166" l="1"/>
  <c r="BL21" i="166"/>
  <c r="AB21" i="166"/>
  <c r="BZ17" i="165"/>
  <c r="O93" i="30"/>
  <c r="H93" i="30" s="1"/>
  <c r="AK21" i="166"/>
  <c r="O91" i="190"/>
  <c r="H91" i="190" s="1"/>
  <c r="AT21" i="166"/>
  <c r="BC21" i="166"/>
  <c r="X111" i="13"/>
  <c r="Q104" i="63"/>
  <c r="S103" i="63"/>
  <c r="Q103" i="63"/>
  <c r="F104" i="63"/>
  <c r="Q102" i="63"/>
  <c r="S102" i="63"/>
  <c r="O71" i="30"/>
  <c r="O69" i="190"/>
  <c r="AK19" i="166"/>
  <c r="AB19" i="166"/>
  <c r="X108" i="13"/>
  <c r="AT19" i="166"/>
  <c r="S19" i="166"/>
  <c r="BZ15" i="165"/>
  <c r="BL19" i="166"/>
  <c r="BC19" i="166"/>
  <c r="AB20" i="166"/>
  <c r="BL20" i="166"/>
  <c r="BZ16" i="165"/>
  <c r="AT20" i="166"/>
  <c r="X110" i="13"/>
  <c r="O78" i="30"/>
  <c r="O76" i="190"/>
  <c r="BC20" i="166"/>
  <c r="S20" i="166"/>
  <c r="AK20" i="166"/>
  <c r="BZ18" i="165" l="1"/>
  <c r="AK22" i="166"/>
  <c r="BC22" i="166"/>
  <c r="AT22" i="166"/>
  <c r="BL22" i="166"/>
  <c r="AB22" i="166"/>
  <c r="S101" i="63"/>
  <c r="S22" i="166"/>
  <c r="R178" i="198" l="1"/>
  <c r="V178" i="198" l="1"/>
  <c r="V173" i="198"/>
  <c r="V169" i="198"/>
  <c r="V165" i="198"/>
  <c r="V161" i="198"/>
  <c r="V157" i="198"/>
  <c r="V153" i="198"/>
  <c r="V170" i="198"/>
  <c r="V154" i="198"/>
  <c r="V172" i="198"/>
  <c r="V168" i="198"/>
  <c r="V164" i="198"/>
  <c r="V160" i="198"/>
  <c r="V156" i="198"/>
  <c r="V152" i="198"/>
  <c r="V174" i="198"/>
  <c r="V162" i="198"/>
  <c r="V175" i="198"/>
  <c r="V171" i="198"/>
  <c r="V167" i="198"/>
  <c r="V163" i="198"/>
  <c r="V159" i="198"/>
  <c r="V155" i="198"/>
  <c r="V151" i="198"/>
  <c r="V166" i="198"/>
  <c r="V158" i="198"/>
  <c r="V177" i="198"/>
  <c r="H85" i="198"/>
  <c r="W78" i="198"/>
  <c r="W122" i="190" l="1"/>
  <c r="D84" i="63" l="1"/>
  <c r="Q101" i="63" s="1"/>
  <c r="D94" i="63" l="1"/>
  <c r="T3" i="63" s="1"/>
  <c r="B74" i="69" l="1"/>
  <c r="Z33" i="69" s="1"/>
  <c r="O86" i="198" s="1"/>
  <c r="AZ99" i="69" l="1"/>
  <c r="AZ98" i="69" s="1"/>
  <c r="CC31" i="69"/>
  <c r="BN54" i="69"/>
  <c r="O83" i="198" s="1"/>
  <c r="S71" i="198" s="1"/>
  <c r="W73" i="198" s="1"/>
  <c r="Z51" i="69"/>
  <c r="O87" i="198" s="1"/>
  <c r="Z69" i="69"/>
  <c r="O88" i="198" s="1"/>
  <c r="B104" i="63"/>
  <c r="O93" i="198" l="1"/>
  <c r="CC34" i="69"/>
  <c r="BN74" i="69"/>
  <c r="CF31" i="69"/>
  <c r="S86" i="198"/>
  <c r="W88" i="198" s="1"/>
  <c r="D104" i="63"/>
  <c r="D106" i="63"/>
  <c r="D109" i="63"/>
  <c r="B105" i="63"/>
  <c r="D107" i="63"/>
  <c r="D105" i="63"/>
  <c r="O89" i="198"/>
  <c r="S81" i="198"/>
  <c r="W83" i="198" s="1"/>
  <c r="S91" i="198" l="1"/>
  <c r="W93" i="198" s="1"/>
  <c r="O94" i="198"/>
  <c r="O95" i="198" s="1"/>
  <c r="D108" i="63"/>
  <c r="CW61" i="36"/>
  <c r="AQ98" i="36"/>
  <c r="AQ99" i="36"/>
  <c r="BG11" i="36" s="1"/>
  <c r="AL99" i="36" s="1"/>
  <c r="AQ100" i="36"/>
  <c r="BG13" i="36" s="1"/>
  <c r="AL100" i="36" s="1"/>
  <c r="AL101" i="36"/>
  <c r="AQ101" i="36"/>
  <c r="BG15" i="36" s="1"/>
  <c r="C78" i="159" s="1"/>
  <c r="AQ102" i="36"/>
  <c r="BG17" i="36" s="1"/>
  <c r="AL102" i="36" s="1"/>
  <c r="AQ103" i="36"/>
  <c r="BG19" i="36" s="1"/>
  <c r="C80" i="159" s="1"/>
  <c r="AQ104" i="36"/>
  <c r="AL105" i="36"/>
  <c r="AQ105" i="36"/>
  <c r="BG23" i="36" s="1"/>
  <c r="AQ106" i="36"/>
  <c r="AL107" i="36"/>
  <c r="AQ107" i="36"/>
  <c r="BG27" i="36" s="1"/>
  <c r="C84" i="159" s="1"/>
  <c r="AQ108" i="36"/>
  <c r="AQ109" i="36"/>
  <c r="BG31" i="36" s="1"/>
  <c r="C86" i="159" s="1"/>
  <c r="AQ110" i="36"/>
  <c r="AQ114" i="36"/>
  <c r="BG41" i="36" s="1"/>
  <c r="AL114" i="36" s="1"/>
  <c r="AQ115" i="36"/>
  <c r="BG43" i="36" s="1"/>
  <c r="AL115" i="36" s="1"/>
  <c r="C76" i="159"/>
  <c r="U80" i="13" s="1"/>
  <c r="AI80" i="13" s="1"/>
  <c r="C82" i="159"/>
  <c r="R201" i="30" s="1"/>
  <c r="C92" i="159"/>
  <c r="R211" i="30" s="1"/>
  <c r="I78" i="63"/>
  <c r="I79" i="63"/>
  <c r="I80" i="63"/>
  <c r="I84" i="63"/>
  <c r="I86" i="63"/>
  <c r="I88" i="63"/>
  <c r="I93" i="63"/>
  <c r="I94" i="63"/>
  <c r="U86" i="13"/>
  <c r="AI86" i="13" s="1"/>
  <c r="R195" i="30"/>
  <c r="R232" i="190"/>
  <c r="U96" i="13" l="1"/>
  <c r="AI96" i="13" s="1"/>
  <c r="R248" i="190"/>
  <c r="C91" i="159"/>
  <c r="I89" i="63"/>
  <c r="BG33" i="36"/>
  <c r="U90" i="13"/>
  <c r="AI90" i="13" s="1"/>
  <c r="R242" i="190"/>
  <c r="R205" i="30"/>
  <c r="AL109" i="36"/>
  <c r="I87" i="63"/>
  <c r="BG29" i="36"/>
  <c r="R240" i="190"/>
  <c r="R203" i="30"/>
  <c r="U88" i="13"/>
  <c r="AI88" i="13" s="1"/>
  <c r="I85" i="63"/>
  <c r="BG25" i="36"/>
  <c r="R238" i="190"/>
  <c r="I83" i="63"/>
  <c r="BG21" i="36"/>
  <c r="R236" i="190"/>
  <c r="U84" i="13"/>
  <c r="AI84" i="13" s="1"/>
  <c r="R199" i="30"/>
  <c r="I82" i="63"/>
  <c r="AL103" i="36"/>
  <c r="C79" i="159"/>
  <c r="I81" i="63"/>
  <c r="R197" i="30"/>
  <c r="U82" i="13"/>
  <c r="AI82" i="13" s="1"/>
  <c r="R234" i="190"/>
  <c r="C77" i="159"/>
  <c r="I77" i="63"/>
  <c r="BG9" i="36"/>
  <c r="U95" i="13" l="1"/>
  <c r="AI95" i="13" s="1"/>
  <c r="R210" i="30"/>
  <c r="R247" i="190"/>
  <c r="C87" i="159"/>
  <c r="AL110" i="36"/>
  <c r="AL108" i="36"/>
  <c r="C85" i="159"/>
  <c r="C83" i="159"/>
  <c r="AL106" i="36"/>
  <c r="AL104" i="36"/>
  <c r="C81" i="159"/>
  <c r="U83" i="13"/>
  <c r="AI83" i="13" s="1"/>
  <c r="R198" i="30"/>
  <c r="R235" i="190"/>
  <c r="U81" i="13"/>
  <c r="AI81" i="13" s="1"/>
  <c r="R196" i="30"/>
  <c r="R233" i="190"/>
  <c r="C75" i="159"/>
  <c r="AL98" i="36"/>
  <c r="R206" i="30" l="1"/>
  <c r="R243" i="190"/>
  <c r="U91" i="13"/>
  <c r="AI91" i="13" s="1"/>
  <c r="R241" i="190"/>
  <c r="U89" i="13"/>
  <c r="AI89" i="13" s="1"/>
  <c r="R204" i="30"/>
  <c r="R202" i="30"/>
  <c r="R239" i="190"/>
  <c r="U87" i="13"/>
  <c r="AI87" i="13" s="1"/>
  <c r="R237" i="190"/>
  <c r="R200" i="30"/>
  <c r="U85" i="13"/>
  <c r="AI85" i="13" s="1"/>
  <c r="R194" i="30"/>
  <c r="R231" i="190"/>
  <c r="U79" i="13"/>
  <c r="AI79" i="13" l="1"/>
  <c r="DM25" i="36" l="1"/>
  <c r="BM60" i="37" l="1"/>
  <c r="C236" i="159" l="1"/>
  <c r="AR64" i="37"/>
  <c r="BL123" i="37" s="1"/>
  <c r="V131" i="30" s="1"/>
  <c r="C190" i="159" l="1"/>
  <c r="C193" i="159" l="1"/>
  <c r="O120" i="190"/>
  <c r="S115" i="190" s="1"/>
  <c r="W117" i="190" s="1"/>
  <c r="C194" i="159" l="1"/>
  <c r="C196" i="159" s="1"/>
  <c r="C198" i="159" s="1"/>
  <c r="C210" i="159"/>
  <c r="AZ27" i="37"/>
  <c r="C197" i="159" l="1"/>
  <c r="C203" i="159"/>
  <c r="C205" i="159" s="1"/>
  <c r="BM31" i="37" s="1"/>
  <c r="BM27" i="37"/>
  <c r="C199" i="159"/>
  <c r="C201" i="159" s="1"/>
  <c r="AZ29" i="37"/>
  <c r="O126" i="190" l="1"/>
  <c r="S125" i="190" s="1"/>
  <c r="L126" i="190" s="1"/>
  <c r="W127" i="190" s="1"/>
  <c r="C211" i="159"/>
  <c r="AG37" i="37"/>
  <c r="BL117" i="37" s="1"/>
  <c r="V125" i="30" s="1"/>
  <c r="AZ31" i="37"/>
  <c r="BM29" i="37"/>
  <c r="C208" i="159"/>
  <c r="C214" i="159" s="1"/>
  <c r="AG41" i="37" s="1"/>
  <c r="O125" i="190"/>
  <c r="V37" i="37"/>
  <c r="BL116" i="37" s="1"/>
  <c r="V124" i="30" s="1"/>
  <c r="BF29" i="37"/>
  <c r="C212" i="159" l="1"/>
  <c r="BL100" i="37"/>
  <c r="BM33" i="37"/>
  <c r="O128" i="190"/>
  <c r="S120" i="190"/>
  <c r="AR41" i="37" l="1"/>
  <c r="V108" i="30"/>
  <c r="C206" i="159"/>
  <c r="C207" i="159" s="1"/>
  <c r="AR37" i="37"/>
  <c r="BL118" i="37" s="1"/>
  <c r="V126" i="30" s="1"/>
  <c r="S130" i="190"/>
  <c r="O129" i="190"/>
  <c r="O130" i="190" s="1"/>
  <c r="W132" i="190" s="1"/>
  <c r="BC37" i="37" l="1"/>
  <c r="AS145" i="37"/>
  <c r="BL119" i="37"/>
  <c r="BL130" i="37" l="1"/>
  <c r="V127" i="30"/>
  <c r="V137" i="30" s="1"/>
  <c r="BN37" i="37"/>
  <c r="CE45" i="36" l="1"/>
  <c r="C220" i="159"/>
  <c r="C223" i="159" s="1"/>
  <c r="C239" i="159" s="1"/>
  <c r="AQ111" i="36"/>
  <c r="BG35" i="36"/>
  <c r="BL121" i="37"/>
  <c r="V129" i="30" s="1"/>
  <c r="BL122" i="37"/>
  <c r="V130" i="30" s="1"/>
  <c r="BL127" i="37"/>
  <c r="V134" i="30" s="1"/>
  <c r="V139" i="30" s="1"/>
  <c r="BL101" i="37"/>
  <c r="BL102" i="37" s="1"/>
  <c r="C231" i="159"/>
  <c r="BM56" i="37" s="1"/>
  <c r="C235" i="159"/>
  <c r="BM58" i="37" s="1"/>
  <c r="I90" i="63"/>
  <c r="C88" i="159"/>
  <c r="C246" i="159"/>
  <c r="AZ54" i="37"/>
  <c r="R207" i="30"/>
  <c r="R244" i="190"/>
  <c r="U92" i="13"/>
  <c r="AI92" i="13"/>
  <c r="AL111" i="36"/>
  <c r="V109" i="30" l="1"/>
  <c r="BL108" i="37"/>
  <c r="BZ100" i="37"/>
  <c r="V110" i="30"/>
  <c r="V117" i="30" s="1"/>
  <c r="BL124" i="37"/>
  <c r="BL131" i="37" s="1"/>
  <c r="BL132" i="37"/>
  <c r="C224" i="159"/>
  <c r="V132" i="30" l="1"/>
  <c r="V138" i="30" s="1"/>
  <c r="V140" i="30" s="1"/>
  <c r="BL133" i="37"/>
  <c r="C233" i="159"/>
  <c r="C237" i="159"/>
  <c r="C243" i="159" s="1"/>
  <c r="C226" i="159"/>
  <c r="C228" i="159" s="1"/>
  <c r="BM54" i="37"/>
  <c r="C227" i="159"/>
  <c r="C250" i="159" l="1"/>
  <c r="AG68" i="37"/>
  <c r="C229" i="159"/>
  <c r="AZ56" i="37"/>
  <c r="C240" i="159"/>
  <c r="AZ58" i="37"/>
  <c r="AG64" i="37"/>
  <c r="AH145" i="37" s="1"/>
  <c r="AA75" i="36" l="1"/>
  <c r="Z29" i="69"/>
  <c r="BF56" i="37"/>
  <c r="V64" i="37"/>
  <c r="V68" i="37"/>
  <c r="BC68" i="37"/>
  <c r="C247" i="159"/>
  <c r="C241" i="159"/>
  <c r="O83" i="190"/>
  <c r="O85" i="30"/>
  <c r="AH149" i="37"/>
  <c r="BW74" i="36"/>
  <c r="AA77" i="36" l="1"/>
  <c r="Z37" i="69"/>
  <c r="Q37" i="69" s="1"/>
  <c r="Q51" i="69" s="1"/>
  <c r="C248" i="159"/>
  <c r="AR68" i="37"/>
  <c r="BN68" i="37" s="1"/>
  <c r="DE74" i="36"/>
  <c r="BD149" i="37"/>
  <c r="BC64" i="37"/>
  <c r="W145" i="37"/>
  <c r="AA79" i="36"/>
  <c r="G27" i="182"/>
  <c r="C44" i="159"/>
  <c r="C46" i="159" s="1"/>
  <c r="BD145" i="37" l="1"/>
  <c r="BO145" i="37" s="1"/>
  <c r="BN64" i="37"/>
  <c r="C71" i="159"/>
  <c r="C72" i="159" s="1"/>
  <c r="C47" i="159"/>
  <c r="I27" i="182"/>
  <c r="I29" i="182" s="1"/>
  <c r="O27" i="182"/>
  <c r="G29" i="182"/>
  <c r="C158" i="159"/>
  <c r="H84" i="36"/>
  <c r="C144" i="159"/>
  <c r="D100" i="63" s="1"/>
  <c r="G32" i="182"/>
  <c r="C50" i="159"/>
  <c r="C57" i="159" s="1"/>
  <c r="C58" i="159" s="1"/>
  <c r="F107" i="63" l="1"/>
  <c r="S104" i="63" s="1"/>
  <c r="D101" i="63"/>
  <c r="F99" i="63" s="1"/>
  <c r="O29" i="182"/>
  <c r="O30" i="182" s="1"/>
  <c r="O21" i="182"/>
  <c r="O77" i="190"/>
  <c r="O79" i="30"/>
  <c r="C145" i="159"/>
  <c r="C172" i="159" s="1"/>
  <c r="C159" i="159"/>
  <c r="B97" i="63"/>
  <c r="B98" i="63" s="1"/>
  <c r="C86" i="36"/>
  <c r="C84" i="36" s="1"/>
  <c r="B84" i="63"/>
  <c r="AD86" i="36"/>
  <c r="AD84" i="36" s="1"/>
  <c r="BG122" i="36"/>
  <c r="BG121" i="36" s="1"/>
  <c r="O32" i="182"/>
  <c r="I32" i="182"/>
  <c r="I39" i="182" s="1"/>
  <c r="G39" i="182"/>
  <c r="O39" i="182" l="1"/>
  <c r="O40" i="182" s="1"/>
  <c r="O31" i="182"/>
  <c r="O80" i="30"/>
  <c r="S81" i="30"/>
  <c r="W83" i="30" s="1"/>
  <c r="BG110" i="36"/>
  <c r="BG115" i="36"/>
  <c r="O78" i="190"/>
  <c r="S79" i="190"/>
  <c r="W81" i="190" s="1"/>
  <c r="AQ112" i="36"/>
  <c r="BG37" i="36"/>
  <c r="I91" i="63"/>
  <c r="AL112" i="36"/>
  <c r="C89" i="159"/>
  <c r="U93" i="13"/>
  <c r="AI93" i="13"/>
  <c r="R208" i="30"/>
  <c r="R245" i="190"/>
  <c r="AQ113" i="36"/>
  <c r="BG39" i="36"/>
  <c r="C90" i="159"/>
  <c r="U94" i="13"/>
  <c r="AI94" i="13"/>
  <c r="I92" i="63"/>
  <c r="R209" i="30"/>
  <c r="R246" i="190"/>
  <c r="AL113" i="36"/>
  <c r="AQ116" i="36"/>
  <c r="BG45" i="36"/>
  <c r="I95" i="63"/>
  <c r="C93" i="159"/>
  <c r="R249" i="190"/>
  <c r="R212" i="30"/>
  <c r="AL116" i="36"/>
  <c r="U97" i="13"/>
  <c r="AI97" i="13"/>
  <c r="AQ117" i="36"/>
  <c r="BG47" i="36"/>
  <c r="AL117" i="36"/>
  <c r="C94" i="159"/>
  <c r="U98" i="13"/>
  <c r="AI98" i="13"/>
  <c r="R250" i="190"/>
  <c r="I96" i="63"/>
  <c r="R213" i="30"/>
  <c r="AQ118" i="36"/>
  <c r="BG49" i="36"/>
  <c r="I97" i="63"/>
  <c r="C95" i="159"/>
  <c r="R251" i="190"/>
  <c r="R214" i="30"/>
  <c r="AL118" i="36"/>
  <c r="U99" i="13"/>
  <c r="AI99" i="13"/>
  <c r="AQ119" i="36"/>
  <c r="BG51" i="36"/>
  <c r="AL119" i="36"/>
  <c r="I98" i="63"/>
  <c r="C96" i="159"/>
  <c r="R215" i="30"/>
  <c r="U100" i="13"/>
  <c r="AI100" i="13"/>
  <c r="R252" i="190"/>
  <c r="AQ120" i="36"/>
  <c r="BG53" i="36"/>
  <c r="I99" i="63"/>
  <c r="C97" i="159"/>
  <c r="R216" i="30"/>
  <c r="R253" i="190"/>
  <c r="U101" i="13"/>
  <c r="AI101" i="13"/>
  <c r="AL120" i="36"/>
  <c r="AQ121" i="36"/>
  <c r="BG55" i="36"/>
  <c r="BG64" i="36"/>
  <c r="BE124" i="36"/>
  <c r="C98" i="159"/>
  <c r="C99" i="159"/>
  <c r="D98" i="159"/>
  <c r="E98" i="159"/>
  <c r="F98" i="159"/>
  <c r="C124" i="159"/>
  <c r="D95" i="159"/>
  <c r="E95" i="159"/>
  <c r="F95" i="159"/>
  <c r="C121" i="159"/>
  <c r="D91" i="159"/>
  <c r="E91" i="159"/>
  <c r="F91" i="159"/>
  <c r="C117" i="159"/>
  <c r="D87" i="159"/>
  <c r="E87" i="159"/>
  <c r="F87" i="159"/>
  <c r="C113" i="159"/>
  <c r="D83" i="159"/>
  <c r="E83" i="159"/>
  <c r="F83" i="159"/>
  <c r="C109" i="159"/>
  <c r="D79" i="159"/>
  <c r="E79" i="159"/>
  <c r="F79" i="159"/>
  <c r="C105" i="159"/>
  <c r="I100" i="63"/>
  <c r="C146" i="159"/>
  <c r="C173" i="159"/>
  <c r="O74" i="30" s="1"/>
  <c r="D78" i="159"/>
  <c r="E78" i="159"/>
  <c r="F78" i="159"/>
  <c r="D82" i="159"/>
  <c r="E82" i="159"/>
  <c r="D94" i="159"/>
  <c r="E94" i="159"/>
  <c r="F94" i="159"/>
  <c r="U102" i="13"/>
  <c r="AI102" i="13"/>
  <c r="AI103" i="13"/>
  <c r="AB25" i="166"/>
  <c r="D84" i="159"/>
  <c r="E84" i="159"/>
  <c r="F84" i="159"/>
  <c r="D88" i="159"/>
  <c r="E88" i="159"/>
  <c r="D81" i="159"/>
  <c r="E81" i="159"/>
  <c r="R254" i="190"/>
  <c r="R255" i="190"/>
  <c r="D85" i="159"/>
  <c r="E85" i="159"/>
  <c r="F85" i="159"/>
  <c r="D89" i="159"/>
  <c r="E89" i="159"/>
  <c r="F89" i="159"/>
  <c r="BZ20" i="165"/>
  <c r="D97" i="159"/>
  <c r="E97" i="159"/>
  <c r="F97" i="159"/>
  <c r="C123" i="159"/>
  <c r="C120" i="159"/>
  <c r="D90" i="159"/>
  <c r="E90" i="159"/>
  <c r="F90" i="159"/>
  <c r="C116" i="159"/>
  <c r="D86" i="159"/>
  <c r="E86" i="159"/>
  <c r="F86" i="159"/>
  <c r="C112" i="159"/>
  <c r="F82" i="159"/>
  <c r="C108" i="159"/>
  <c r="C104" i="159"/>
  <c r="D80" i="159"/>
  <c r="E80" i="159"/>
  <c r="F80" i="159"/>
  <c r="D96" i="159"/>
  <c r="E96" i="159"/>
  <c r="F96" i="159"/>
  <c r="AL121" i="36"/>
  <c r="AL122" i="36"/>
  <c r="AK25" i="166"/>
  <c r="D93" i="159"/>
  <c r="E93" i="159"/>
  <c r="F93" i="159"/>
  <c r="C119" i="159"/>
  <c r="C115" i="159"/>
  <c r="C111" i="159"/>
  <c r="F81" i="159"/>
  <c r="C107" i="159"/>
  <c r="D77" i="159"/>
  <c r="E77" i="159"/>
  <c r="F77" i="159"/>
  <c r="C103" i="159"/>
  <c r="R217" i="30"/>
  <c r="R218" i="30"/>
  <c r="D75" i="159"/>
  <c r="E75" i="159"/>
  <c r="F75" i="159"/>
  <c r="D76" i="159"/>
  <c r="E76" i="159"/>
  <c r="D92" i="159"/>
  <c r="E92" i="159"/>
  <c r="E99" i="159"/>
  <c r="BL25" i="166"/>
  <c r="F76" i="159"/>
  <c r="F92" i="159"/>
  <c r="S25" i="166"/>
  <c r="BC25" i="166"/>
  <c r="AT25" i="166"/>
  <c r="G1083" i="182"/>
  <c r="G1092" i="182"/>
  <c r="O1092" i="182"/>
  <c r="O1091" i="182"/>
  <c r="C101" i="159"/>
  <c r="F88" i="159"/>
  <c r="F99" i="159"/>
  <c r="C102" i="159"/>
  <c r="C106" i="159"/>
  <c r="C110" i="159"/>
  <c r="C114" i="159"/>
  <c r="C118" i="159"/>
  <c r="C122" i="159"/>
  <c r="C125" i="159"/>
  <c r="BH36" i="69"/>
  <c r="BH34" i="69" s="1"/>
  <c r="I1083" i="182"/>
  <c r="O1083" i="182"/>
  <c r="I1092" i="182"/>
  <c r="C137" i="159"/>
  <c r="D99" i="159"/>
  <c r="I105" i="63"/>
  <c r="C160" i="159"/>
  <c r="AI36" i="69"/>
  <c r="BA59" i="69"/>
  <c r="U103" i="13"/>
  <c r="AQ122" i="36"/>
  <c r="X112" i="13" l="1"/>
  <c r="O72" i="190"/>
  <c r="BG67" i="36"/>
  <c r="BG70" i="36" l="1"/>
  <c r="BG76" i="36" s="1"/>
  <c r="BG73" i="36"/>
  <c r="CF19" i="165" s="1"/>
  <c r="C147" i="159" l="1"/>
  <c r="C174" i="159" s="1"/>
  <c r="BE127" i="36"/>
  <c r="AO84" i="36" s="1"/>
  <c r="BE130" i="36"/>
  <c r="C161" i="159"/>
  <c r="CF18" i="165"/>
  <c r="BO32" i="36" l="1"/>
  <c r="I17" i="165"/>
  <c r="C148" i="159"/>
  <c r="C175" i="159" s="1"/>
  <c r="BI86" i="36"/>
  <c r="BI84" i="36" s="1"/>
  <c r="DC51" i="36"/>
  <c r="AJ86" i="36"/>
  <c r="AJ84" i="36" s="1"/>
  <c r="BH76" i="69"/>
  <c r="BH74" i="69" s="1"/>
  <c r="AE22" i="37"/>
  <c r="C162" i="159"/>
  <c r="AE49" i="37"/>
  <c r="BG117" i="36"/>
  <c r="CW84" i="36"/>
  <c r="BO84" i="36"/>
  <c r="AI76" i="69"/>
  <c r="BG112" i="36"/>
  <c r="O75" i="30"/>
  <c r="R257" i="190"/>
  <c r="AK26" i="166"/>
  <c r="AK27" i="166" s="1"/>
  <c r="D79" i="63"/>
  <c r="AB26" i="166"/>
  <c r="AB27" i="166" s="1"/>
  <c r="O73" i="190"/>
  <c r="BL26" i="166"/>
  <c r="BL27" i="166" s="1"/>
  <c r="AT26" i="166"/>
  <c r="AT27" i="166" s="1"/>
  <c r="R220" i="30"/>
  <c r="D174" i="159"/>
  <c r="T114" i="13" s="1"/>
  <c r="S26" i="166"/>
  <c r="S27" i="166" s="1"/>
  <c r="BC26" i="166"/>
  <c r="BC27" i="166" s="1"/>
  <c r="X114" i="13"/>
  <c r="H75" i="30" l="1"/>
  <c r="O76" i="30"/>
  <c r="S76" i="30" s="1"/>
  <c r="W78" i="30" s="1"/>
  <c r="R221" i="30"/>
  <c r="O26" i="165"/>
  <c r="BZ22" i="165"/>
  <c r="K90" i="63"/>
  <c r="M90" i="63" s="1"/>
  <c r="K78" i="63"/>
  <c r="M78" i="63" s="1"/>
  <c r="K80" i="63"/>
  <c r="M80" i="63" s="1"/>
  <c r="K82" i="63"/>
  <c r="M82" i="63" s="1"/>
  <c r="K84" i="63"/>
  <c r="M84" i="63" s="1"/>
  <c r="K86" i="63"/>
  <c r="M86" i="63" s="1"/>
  <c r="K88" i="63"/>
  <c r="M88" i="63" s="1"/>
  <c r="K91" i="63"/>
  <c r="M91" i="63" s="1"/>
  <c r="K93" i="63"/>
  <c r="M93" i="63" s="1"/>
  <c r="K95" i="63"/>
  <c r="M95" i="63" s="1"/>
  <c r="K97" i="63"/>
  <c r="M97" i="63" s="1"/>
  <c r="K99" i="63"/>
  <c r="M99" i="63" s="1"/>
  <c r="K77" i="63"/>
  <c r="K79" i="63"/>
  <c r="M79" i="63" s="1"/>
  <c r="K81" i="63"/>
  <c r="M81" i="63" s="1"/>
  <c r="K83" i="63"/>
  <c r="M83" i="63" s="1"/>
  <c r="K85" i="63"/>
  <c r="M85" i="63" s="1"/>
  <c r="K87" i="63"/>
  <c r="M87" i="63" s="1"/>
  <c r="K89" i="63"/>
  <c r="M89" i="63" s="1"/>
  <c r="K92" i="63"/>
  <c r="M92" i="63" s="1"/>
  <c r="K94" i="63"/>
  <c r="M94" i="63" s="1"/>
  <c r="K96" i="63"/>
  <c r="M96" i="63" s="1"/>
  <c r="K98" i="63"/>
  <c r="M98" i="63" s="1"/>
  <c r="K100" i="63"/>
  <c r="M100" i="63" s="1"/>
  <c r="H73" i="190"/>
  <c r="O74" i="190"/>
  <c r="S74" i="190" s="1"/>
  <c r="W76" i="190" s="1"/>
  <c r="R258" i="190"/>
  <c r="C163" i="159"/>
  <c r="C164" i="159"/>
  <c r="C165" i="159" s="1"/>
  <c r="DX53" i="36"/>
  <c r="DX51" i="36" s="1"/>
  <c r="CW53" i="36"/>
  <c r="CW51" i="36" s="1"/>
  <c r="BG116" i="36"/>
  <c r="C140" i="159"/>
  <c r="S71" i="30"/>
  <c r="W73" i="30" s="1"/>
  <c r="S96" i="63" l="1"/>
  <c r="S87" i="63"/>
  <c r="S79" i="63"/>
  <c r="S95" i="63"/>
  <c r="S86" i="63"/>
  <c r="S78" i="63"/>
  <c r="V195" i="30"/>
  <c r="V197" i="30"/>
  <c r="V210" i="30"/>
  <c r="V212" i="30"/>
  <c r="V213" i="30"/>
  <c r="V201" i="30"/>
  <c r="V200" i="30"/>
  <c r="V215" i="30"/>
  <c r="V194" i="30"/>
  <c r="V203" i="30"/>
  <c r="V198" i="30"/>
  <c r="V202" i="30"/>
  <c r="V208" i="30"/>
  <c r="V207" i="30"/>
  <c r="V221" i="30"/>
  <c r="V211" i="30"/>
  <c r="V199" i="30"/>
  <c r="V214" i="30"/>
  <c r="V217" i="30"/>
  <c r="V206" i="30"/>
  <c r="V209" i="30"/>
  <c r="V204" i="30"/>
  <c r="V216" i="30"/>
  <c r="V205" i="30"/>
  <c r="V196" i="30"/>
  <c r="V218" i="30"/>
  <c r="C168" i="159"/>
  <c r="I13" i="165" s="1"/>
  <c r="C150" i="159"/>
  <c r="C149" i="159"/>
  <c r="C176" i="159" s="1"/>
  <c r="S94" i="63"/>
  <c r="S85" i="63"/>
  <c r="M77" i="63"/>
  <c r="K105" i="63"/>
  <c r="S93" i="63"/>
  <c r="S84" i="63"/>
  <c r="S90" i="63"/>
  <c r="V220" i="30"/>
  <c r="V254" i="190"/>
  <c r="V242" i="190"/>
  <c r="V245" i="190"/>
  <c r="V241" i="190"/>
  <c r="V240" i="190"/>
  <c r="V251" i="190"/>
  <c r="V247" i="190"/>
  <c r="V239" i="190"/>
  <c r="V234" i="190"/>
  <c r="V243" i="190"/>
  <c r="V258" i="190"/>
  <c r="V252" i="190"/>
  <c r="V244" i="190"/>
  <c r="V238" i="190"/>
  <c r="V237" i="190"/>
  <c r="V246" i="190"/>
  <c r="V235" i="190"/>
  <c r="V233" i="190"/>
  <c r="V248" i="190"/>
  <c r="V255" i="190"/>
  <c r="V250" i="190"/>
  <c r="V249" i="190"/>
  <c r="V232" i="190"/>
  <c r="V236" i="190"/>
  <c r="V253" i="190"/>
  <c r="V231" i="190"/>
  <c r="S100" i="63"/>
  <c r="S92" i="63"/>
  <c r="S83" i="63"/>
  <c r="S99" i="63"/>
  <c r="S91" i="63"/>
  <c r="S82" i="63"/>
  <c r="BZ21" i="165"/>
  <c r="CF20" i="165" s="1"/>
  <c r="CF21" i="165"/>
  <c r="V257" i="190"/>
  <c r="S98" i="63"/>
  <c r="S89" i="63"/>
  <c r="S81" i="63"/>
  <c r="S97" i="63"/>
  <c r="S88" i="63"/>
  <c r="S80" i="63"/>
  <c r="O27" i="165"/>
  <c r="O25" i="165"/>
  <c r="O28" i="165" l="1"/>
  <c r="C177" i="159"/>
  <c r="C151" i="159"/>
  <c r="C178" i="159" s="1"/>
  <c r="O68" i="190"/>
  <c r="O70" i="190" s="1"/>
  <c r="O82" i="190" s="1"/>
  <c r="X117" i="13"/>
  <c r="X119" i="13" s="1"/>
  <c r="G19" i="182"/>
  <c r="O19" i="182" s="1"/>
  <c r="O20" i="182" s="1"/>
  <c r="V22" i="37"/>
  <c r="AN22" i="37" s="1"/>
  <c r="S69" i="190"/>
  <c r="W71" i="190" s="1"/>
  <c r="S14" i="166"/>
  <c r="V49" i="37"/>
  <c r="AN49" i="37" s="1"/>
  <c r="O70" i="30"/>
  <c r="S66" i="30"/>
  <c r="BG113" i="36"/>
  <c r="S77" i="63"/>
  <c r="S105" i="63" s="1"/>
  <c r="M105" i="63"/>
  <c r="O24" i="165"/>
  <c r="Y25" i="165"/>
  <c r="AD25" i="165" s="1"/>
  <c r="AI25" i="165" s="1"/>
  <c r="C242" i="159"/>
  <c r="C244" i="159" s="1"/>
  <c r="C249" i="159"/>
  <c r="C213" i="159"/>
  <c r="C215" i="159" s="1"/>
  <c r="BC41" i="37" s="1"/>
  <c r="BN41" i="37" s="1"/>
  <c r="AW49" i="37"/>
  <c r="AW22" i="37"/>
  <c r="U95" i="63" l="1"/>
  <c r="W95" i="63" s="1"/>
  <c r="U91" i="63"/>
  <c r="W91" i="63" s="1"/>
  <c r="U90" i="63"/>
  <c r="W90" i="63" s="1"/>
  <c r="U80" i="63"/>
  <c r="W80" i="63" s="1"/>
  <c r="U94" i="63"/>
  <c r="W94" i="63" s="1"/>
  <c r="U88" i="63"/>
  <c r="W88" i="63" s="1"/>
  <c r="U83" i="63"/>
  <c r="W83" i="63" s="1"/>
  <c r="U84" i="63"/>
  <c r="W84" i="63" s="1"/>
  <c r="U98" i="63"/>
  <c r="W98" i="63" s="1"/>
  <c r="U79" i="63"/>
  <c r="W79" i="63" s="1"/>
  <c r="U82" i="63"/>
  <c r="W82" i="63" s="1"/>
  <c r="U78" i="63"/>
  <c r="W78" i="63" s="1"/>
  <c r="U100" i="63"/>
  <c r="W100" i="63" s="1"/>
  <c r="U92" i="63"/>
  <c r="W92" i="63" s="1"/>
  <c r="U99" i="63"/>
  <c r="W99" i="63" s="1"/>
  <c r="U93" i="63"/>
  <c r="W93" i="63" s="1"/>
  <c r="U97" i="63"/>
  <c r="W97" i="63" s="1"/>
  <c r="U85" i="63"/>
  <c r="W85" i="63" s="1"/>
  <c r="U96" i="63"/>
  <c r="W96" i="63" s="1"/>
  <c r="U86" i="63"/>
  <c r="W86" i="63" s="1"/>
  <c r="U81" i="63"/>
  <c r="W81" i="63" s="1"/>
  <c r="U89" i="63"/>
  <c r="W89" i="63" s="1"/>
  <c r="U87" i="63"/>
  <c r="W87" i="63" s="1"/>
  <c r="U101" i="63"/>
  <c r="W101" i="63" s="1"/>
  <c r="Y101" i="63" s="1"/>
  <c r="AA101" i="63" s="1"/>
  <c r="W60" i="63" s="1"/>
  <c r="U103" i="63"/>
  <c r="W103" i="63" s="1"/>
  <c r="Y103" i="63" s="1"/>
  <c r="AA103" i="63" s="1"/>
  <c r="W62" i="63" s="1"/>
  <c r="U77" i="63"/>
  <c r="U102" i="63"/>
  <c r="W102" i="63" s="1"/>
  <c r="Y102" i="63" s="1"/>
  <c r="AA102" i="63" s="1"/>
  <c r="W61" i="63" s="1"/>
  <c r="U104" i="63"/>
  <c r="W104" i="63" s="1"/>
  <c r="Y104" i="63" s="1"/>
  <c r="AA104" i="63" s="1"/>
  <c r="W63" i="63" s="1"/>
  <c r="BZ24" i="165"/>
  <c r="BF26" i="165"/>
  <c r="BJ76" i="37"/>
  <c r="BG111" i="36"/>
  <c r="X115" i="13"/>
  <c r="Y24" i="165"/>
  <c r="AD24" i="165" s="1"/>
  <c r="AI24" i="165" s="1"/>
  <c r="O23" i="165"/>
  <c r="S30" i="166"/>
  <c r="S29" i="166"/>
  <c r="AV11" i="165"/>
  <c r="BA11" i="165" s="1"/>
  <c r="BF11" i="165" s="1"/>
  <c r="BK11" i="165" s="1"/>
  <c r="AV12" i="165"/>
  <c r="BA12" i="165" s="1"/>
  <c r="BF12" i="165" s="1"/>
  <c r="BK12" i="165" s="1"/>
  <c r="AV10" i="165"/>
  <c r="BA10" i="165" s="1"/>
  <c r="BF10" i="165" s="1"/>
  <c r="BK10" i="165" s="1"/>
  <c r="AV15" i="165"/>
  <c r="BA15" i="165" s="1"/>
  <c r="BF15" i="165" s="1"/>
  <c r="BK15" i="165" s="1"/>
  <c r="AV9" i="165"/>
  <c r="BA9" i="165" s="1"/>
  <c r="BF9" i="165" s="1"/>
  <c r="BK9" i="165" s="1"/>
  <c r="AV16" i="165"/>
  <c r="BA16" i="165" s="1"/>
  <c r="BF16" i="165" s="1"/>
  <c r="BK16" i="165" s="1"/>
  <c r="AV17" i="165"/>
  <c r="BA17" i="165" s="1"/>
  <c r="BF17" i="165" s="1"/>
  <c r="BK17" i="165" s="1"/>
  <c r="AV13" i="165"/>
  <c r="BA13" i="165" s="1"/>
  <c r="BF13" i="165" s="1"/>
  <c r="BK13" i="165" s="1"/>
  <c r="AV14" i="165"/>
  <c r="BA14" i="165" s="1"/>
  <c r="BF14" i="165" s="1"/>
  <c r="BK14" i="165" s="1"/>
  <c r="O13" i="165"/>
  <c r="B22" i="165"/>
  <c r="BZ26" i="165"/>
  <c r="Y26" i="165"/>
  <c r="AD26" i="165" s="1"/>
  <c r="AI26" i="165" s="1"/>
  <c r="J267" i="182"/>
  <c r="J271" i="182"/>
  <c r="J275" i="182"/>
  <c r="J279" i="182"/>
  <c r="J283" i="182"/>
  <c r="J287" i="182"/>
  <c r="J291" i="182"/>
  <c r="J295" i="182"/>
  <c r="J299" i="182"/>
  <c r="J303" i="182"/>
  <c r="J829" i="182"/>
  <c r="J833" i="182"/>
  <c r="J837" i="182"/>
  <c r="J841" i="182"/>
  <c r="J845" i="182"/>
  <c r="J849" i="182"/>
  <c r="J853" i="182"/>
  <c r="J857" i="182"/>
  <c r="J861" i="182"/>
  <c r="J865" i="182"/>
  <c r="J24" i="182"/>
  <c r="J28" i="182"/>
  <c r="J999" i="182"/>
  <c r="J1003" i="182"/>
  <c r="J1007" i="182"/>
  <c r="J1011" i="182"/>
  <c r="J1015" i="182"/>
  <c r="J1019" i="182"/>
  <c r="J1023" i="182"/>
  <c r="J1027" i="182"/>
  <c r="J1031" i="182"/>
  <c r="J1035" i="182"/>
  <c r="J1086" i="182"/>
  <c r="J268" i="182"/>
  <c r="J272" i="182"/>
  <c r="J276" i="182"/>
  <c r="J280" i="182"/>
  <c r="J284" i="182"/>
  <c r="J288" i="182"/>
  <c r="J292" i="182"/>
  <c r="J296" i="182"/>
  <c r="J300" i="182"/>
  <c r="J304" i="182"/>
  <c r="J826" i="182"/>
  <c r="J830" i="182"/>
  <c r="J834" i="182"/>
  <c r="J838" i="182"/>
  <c r="J842" i="182"/>
  <c r="J846" i="182"/>
  <c r="J850" i="182"/>
  <c r="J854" i="182"/>
  <c r="J858" i="182"/>
  <c r="J862" i="182"/>
  <c r="J25" i="182"/>
  <c r="J1000" i="182"/>
  <c r="J1004" i="182"/>
  <c r="J1008" i="182"/>
  <c r="J1012" i="182"/>
  <c r="J1016" i="182"/>
  <c r="J1020" i="182"/>
  <c r="J1024" i="182"/>
  <c r="J1028" i="182"/>
  <c r="J1032" i="182"/>
  <c r="J1036" i="182"/>
  <c r="J1087" i="182"/>
  <c r="J269" i="182"/>
  <c r="J273" i="182"/>
  <c r="J277" i="182"/>
  <c r="J281" i="182"/>
  <c r="J285" i="182"/>
  <c r="J289" i="182"/>
  <c r="J293" i="182"/>
  <c r="J297" i="182"/>
  <c r="J301" i="182"/>
  <c r="J305" i="182"/>
  <c r="J827" i="182"/>
  <c r="J831" i="182"/>
  <c r="J835" i="182"/>
  <c r="J839" i="182"/>
  <c r="J843" i="182"/>
  <c r="J847" i="182"/>
  <c r="J851" i="182"/>
  <c r="J855" i="182"/>
  <c r="J859" i="182"/>
  <c r="J863" i="182"/>
  <c r="J22" i="182"/>
  <c r="J29" i="182" s="1"/>
  <c r="J26" i="182"/>
  <c r="J1001" i="182"/>
  <c r="J1005" i="182"/>
  <c r="J1009" i="182"/>
  <c r="J1013" i="182"/>
  <c r="J1017" i="182"/>
  <c r="J1021" i="182"/>
  <c r="J1025" i="182"/>
  <c r="J1029" i="182"/>
  <c r="J1033" i="182"/>
  <c r="J1037" i="182"/>
  <c r="J1088" i="182"/>
  <c r="J270" i="182"/>
  <c r="J274" i="182"/>
  <c r="J278" i="182"/>
  <c r="J282" i="182"/>
  <c r="J286" i="182"/>
  <c r="J290" i="182"/>
  <c r="J294" i="182"/>
  <c r="J298" i="182"/>
  <c r="J302" i="182"/>
  <c r="J306" i="182"/>
  <c r="J828" i="182"/>
  <c r="J832" i="182"/>
  <c r="J836" i="182"/>
  <c r="J840" i="182"/>
  <c r="J844" i="182"/>
  <c r="J848" i="182"/>
  <c r="J852" i="182"/>
  <c r="J856" i="182"/>
  <c r="J860" i="182"/>
  <c r="J864" i="182"/>
  <c r="J23" i="182"/>
  <c r="J27" i="182"/>
  <c r="J998" i="182"/>
  <c r="J1002" i="182"/>
  <c r="J1006" i="182"/>
  <c r="J1010" i="182"/>
  <c r="J1014" i="182"/>
  <c r="J1018" i="182"/>
  <c r="J1022" i="182"/>
  <c r="J1026" i="182"/>
  <c r="J1034" i="182"/>
  <c r="J1089" i="182"/>
  <c r="J1044" i="182"/>
  <c r="J1048" i="182"/>
  <c r="J1052" i="182"/>
  <c r="J1056" i="182"/>
  <c r="J1060" i="182"/>
  <c r="J1064" i="182"/>
  <c r="J1068" i="182"/>
  <c r="J1072" i="182"/>
  <c r="J1076" i="182"/>
  <c r="J1080" i="182"/>
  <c r="G1094" i="182"/>
  <c r="J914" i="182"/>
  <c r="J918" i="182"/>
  <c r="J922" i="182"/>
  <c r="J926" i="182"/>
  <c r="J930" i="182"/>
  <c r="J934" i="182"/>
  <c r="J938" i="182"/>
  <c r="J942" i="182"/>
  <c r="J946" i="182"/>
  <c r="J950" i="182"/>
  <c r="J612" i="182"/>
  <c r="J616" i="182"/>
  <c r="J620" i="182"/>
  <c r="J624" i="182"/>
  <c r="J628" i="182"/>
  <c r="J632" i="182"/>
  <c r="J636" i="182"/>
  <c r="J640" i="182"/>
  <c r="J644" i="182"/>
  <c r="J648" i="182"/>
  <c r="J1041" i="182"/>
  <c r="J1045" i="182"/>
  <c r="J1049" i="182"/>
  <c r="J1053" i="182"/>
  <c r="J1057" i="182"/>
  <c r="J1061" i="182"/>
  <c r="J1065" i="182"/>
  <c r="J1069" i="182"/>
  <c r="J1073" i="182"/>
  <c r="J1077" i="182"/>
  <c r="J915" i="182"/>
  <c r="J919" i="182"/>
  <c r="J923" i="182"/>
  <c r="J927" i="182"/>
  <c r="J931" i="182"/>
  <c r="J935" i="182"/>
  <c r="J939" i="182"/>
  <c r="J943" i="182"/>
  <c r="J947" i="182"/>
  <c r="J951" i="182"/>
  <c r="J613" i="182"/>
  <c r="J617" i="182"/>
  <c r="J621" i="182"/>
  <c r="J625" i="182"/>
  <c r="J629" i="182"/>
  <c r="J633" i="182"/>
  <c r="J637" i="182"/>
  <c r="J641" i="182"/>
  <c r="J645" i="182"/>
  <c r="J649" i="182"/>
  <c r="J1092" i="182"/>
  <c r="J1042" i="182"/>
  <c r="J1046" i="182"/>
  <c r="J1050" i="182"/>
  <c r="J1054" i="182"/>
  <c r="J1058" i="182"/>
  <c r="J1062" i="182"/>
  <c r="J1066" i="182"/>
  <c r="J1070" i="182"/>
  <c r="J1074" i="182"/>
  <c r="J1078" i="182"/>
  <c r="J912" i="182"/>
  <c r="J916" i="182"/>
  <c r="J920" i="182"/>
  <c r="J924" i="182"/>
  <c r="J928" i="182"/>
  <c r="J932" i="182"/>
  <c r="J936" i="182"/>
  <c r="J940" i="182"/>
  <c r="J944" i="182"/>
  <c r="J948" i="182"/>
  <c r="J614" i="182"/>
  <c r="J618" i="182"/>
  <c r="J622" i="182"/>
  <c r="J626" i="182"/>
  <c r="J630" i="182"/>
  <c r="J634" i="182"/>
  <c r="J638" i="182"/>
  <c r="J642" i="182"/>
  <c r="J646" i="182"/>
  <c r="J650" i="182"/>
  <c r="J1030" i="182"/>
  <c r="J1043" i="182"/>
  <c r="J1047" i="182"/>
  <c r="J1051" i="182"/>
  <c r="J1055" i="182"/>
  <c r="J1059" i="182"/>
  <c r="J1063" i="182"/>
  <c r="J1067" i="182"/>
  <c r="J1071" i="182"/>
  <c r="J1075" i="182"/>
  <c r="J1079" i="182"/>
  <c r="J1083" i="182"/>
  <c r="J913" i="182"/>
  <c r="J917" i="182"/>
  <c r="J921" i="182"/>
  <c r="J925" i="182"/>
  <c r="J929" i="182"/>
  <c r="J933" i="182"/>
  <c r="J937" i="182"/>
  <c r="J941" i="182"/>
  <c r="J945" i="182"/>
  <c r="J949" i="182"/>
  <c r="J611" i="182"/>
  <c r="J615" i="182"/>
  <c r="J619" i="182"/>
  <c r="J623" i="182"/>
  <c r="J627" i="182"/>
  <c r="J631" i="182"/>
  <c r="J635" i="182"/>
  <c r="J639" i="182"/>
  <c r="J643" i="182"/>
  <c r="J647" i="182"/>
  <c r="J871" i="182"/>
  <c r="J875" i="182"/>
  <c r="J879" i="182"/>
  <c r="J883" i="182"/>
  <c r="J887" i="182"/>
  <c r="J891" i="182"/>
  <c r="J895" i="182"/>
  <c r="J899" i="182"/>
  <c r="J903" i="182"/>
  <c r="J907" i="182"/>
  <c r="J225" i="182"/>
  <c r="J229" i="182"/>
  <c r="J233" i="182"/>
  <c r="J237" i="182"/>
  <c r="J241" i="182"/>
  <c r="J245" i="182"/>
  <c r="J249" i="182"/>
  <c r="J253" i="182"/>
  <c r="J257" i="182"/>
  <c r="J261" i="182"/>
  <c r="J183" i="182"/>
  <c r="J187" i="182"/>
  <c r="J191" i="182"/>
  <c r="J195" i="182"/>
  <c r="J199" i="182"/>
  <c r="J203" i="182"/>
  <c r="J207" i="182"/>
  <c r="J211" i="182"/>
  <c r="J215" i="182"/>
  <c r="J219" i="182"/>
  <c r="J527" i="182"/>
  <c r="J531" i="182"/>
  <c r="J535" i="182"/>
  <c r="J539" i="182"/>
  <c r="J543" i="182"/>
  <c r="J547" i="182"/>
  <c r="J551" i="182"/>
  <c r="J555" i="182"/>
  <c r="J559" i="182"/>
  <c r="J563" i="182"/>
  <c r="J741" i="182"/>
  <c r="J745" i="182"/>
  <c r="J749" i="182"/>
  <c r="J753" i="182"/>
  <c r="J757" i="182"/>
  <c r="J761" i="182"/>
  <c r="J765" i="182"/>
  <c r="J769" i="182"/>
  <c r="J773" i="182"/>
  <c r="J777" i="182"/>
  <c r="J397" i="182"/>
  <c r="J401" i="182"/>
  <c r="J405" i="182"/>
  <c r="J409" i="182"/>
  <c r="J413" i="182"/>
  <c r="J417" i="182"/>
  <c r="J421" i="182"/>
  <c r="J425" i="182"/>
  <c r="J429" i="182"/>
  <c r="J433" i="182"/>
  <c r="J872" i="182"/>
  <c r="J876" i="182"/>
  <c r="J880" i="182"/>
  <c r="J884" i="182"/>
  <c r="J888" i="182"/>
  <c r="J892" i="182"/>
  <c r="J896" i="182"/>
  <c r="J900" i="182"/>
  <c r="J904" i="182"/>
  <c r="J908" i="182"/>
  <c r="J226" i="182"/>
  <c r="J230" i="182"/>
  <c r="J234" i="182"/>
  <c r="J238" i="182"/>
  <c r="J242" i="182"/>
  <c r="J246" i="182"/>
  <c r="J250" i="182"/>
  <c r="J254" i="182"/>
  <c r="J258" i="182"/>
  <c r="J262" i="182"/>
  <c r="J184" i="182"/>
  <c r="J188" i="182"/>
  <c r="J192" i="182"/>
  <c r="J196" i="182"/>
  <c r="J200" i="182"/>
  <c r="J204" i="182"/>
  <c r="J208" i="182"/>
  <c r="J212" i="182"/>
  <c r="J216" i="182"/>
  <c r="J220" i="182"/>
  <c r="J528" i="182"/>
  <c r="J532" i="182"/>
  <c r="J536" i="182"/>
  <c r="J540" i="182"/>
  <c r="J544" i="182"/>
  <c r="J548" i="182"/>
  <c r="J552" i="182"/>
  <c r="J556" i="182"/>
  <c r="J560" i="182"/>
  <c r="J564" i="182"/>
  <c r="J742" i="182"/>
  <c r="J746" i="182"/>
  <c r="J750" i="182"/>
  <c r="J754" i="182"/>
  <c r="J758" i="182"/>
  <c r="J762" i="182"/>
  <c r="J766" i="182"/>
  <c r="J770" i="182"/>
  <c r="J774" i="182"/>
  <c r="J778" i="182"/>
  <c r="J398" i="182"/>
  <c r="J402" i="182"/>
  <c r="J406" i="182"/>
  <c r="J410" i="182"/>
  <c r="J414" i="182"/>
  <c r="J418" i="182"/>
  <c r="J422" i="182"/>
  <c r="J426" i="182"/>
  <c r="J430" i="182"/>
  <c r="J434" i="182"/>
  <c r="J869" i="182"/>
  <c r="J873" i="182"/>
  <c r="J877" i="182"/>
  <c r="J881" i="182"/>
  <c r="J885" i="182"/>
  <c r="J889" i="182"/>
  <c r="J893" i="182"/>
  <c r="J897" i="182"/>
  <c r="J901" i="182"/>
  <c r="J905" i="182"/>
  <c r="J227" i="182"/>
  <c r="J231" i="182"/>
  <c r="J235" i="182"/>
  <c r="J239" i="182"/>
  <c r="J243" i="182"/>
  <c r="J247" i="182"/>
  <c r="J251" i="182"/>
  <c r="J255" i="182"/>
  <c r="J259" i="182"/>
  <c r="J263" i="182"/>
  <c r="J181" i="182"/>
  <c r="J185" i="182"/>
  <c r="J189" i="182"/>
  <c r="J193" i="182"/>
  <c r="J197" i="182"/>
  <c r="J201" i="182"/>
  <c r="J205" i="182"/>
  <c r="J209" i="182"/>
  <c r="J213" i="182"/>
  <c r="J217" i="182"/>
  <c r="J525" i="182"/>
  <c r="J529" i="182"/>
  <c r="J533" i="182"/>
  <c r="J537" i="182"/>
  <c r="J541" i="182"/>
  <c r="J545" i="182"/>
  <c r="J549" i="182"/>
  <c r="J553" i="182"/>
  <c r="J557" i="182"/>
  <c r="J561" i="182"/>
  <c r="J743" i="182"/>
  <c r="J747" i="182"/>
  <c r="J751" i="182"/>
  <c r="J755" i="182"/>
  <c r="J759" i="182"/>
  <c r="J763" i="182"/>
  <c r="J767" i="182"/>
  <c r="J771" i="182"/>
  <c r="J775" i="182"/>
  <c r="J779" i="182"/>
  <c r="J399" i="182"/>
  <c r="J403" i="182"/>
  <c r="J407" i="182"/>
  <c r="J411" i="182"/>
  <c r="J415" i="182"/>
  <c r="J419" i="182"/>
  <c r="J423" i="182"/>
  <c r="J427" i="182"/>
  <c r="J431" i="182"/>
  <c r="J435" i="182"/>
  <c r="J870" i="182"/>
  <c r="J874" i="182"/>
  <c r="J878" i="182"/>
  <c r="J882" i="182"/>
  <c r="J886" i="182"/>
  <c r="J890" i="182"/>
  <c r="J894" i="182"/>
  <c r="J898" i="182"/>
  <c r="J902" i="182"/>
  <c r="J906" i="182"/>
  <c r="J224" i="182"/>
  <c r="J228" i="182"/>
  <c r="J232" i="182"/>
  <c r="J236" i="182"/>
  <c r="J240" i="182"/>
  <c r="J244" i="182"/>
  <c r="J248" i="182"/>
  <c r="J252" i="182"/>
  <c r="J256" i="182"/>
  <c r="J260" i="182"/>
  <c r="J182" i="182"/>
  <c r="J186" i="182"/>
  <c r="J190" i="182"/>
  <c r="J194" i="182"/>
  <c r="J198" i="182"/>
  <c r="J202" i="182"/>
  <c r="J206" i="182"/>
  <c r="J210" i="182"/>
  <c r="J214" i="182"/>
  <c r="J218" i="182"/>
  <c r="J526" i="182"/>
  <c r="J530" i="182"/>
  <c r="J534" i="182"/>
  <c r="J538" i="182"/>
  <c r="J542" i="182"/>
  <c r="J546" i="182"/>
  <c r="J550" i="182"/>
  <c r="J554" i="182"/>
  <c r="J558" i="182"/>
  <c r="J562" i="182"/>
  <c r="J740" i="182"/>
  <c r="J744" i="182"/>
  <c r="J748" i="182"/>
  <c r="J752" i="182"/>
  <c r="J756" i="182"/>
  <c r="J760" i="182"/>
  <c r="J764" i="182"/>
  <c r="J768" i="182"/>
  <c r="J772" i="182"/>
  <c r="J776" i="182"/>
  <c r="J396" i="182"/>
  <c r="J400" i="182"/>
  <c r="J404" i="182"/>
  <c r="J408" i="182"/>
  <c r="J412" i="182"/>
  <c r="J416" i="182"/>
  <c r="J420" i="182"/>
  <c r="J432" i="182"/>
  <c r="J32" i="182"/>
  <c r="J36" i="182"/>
  <c r="J353" i="182"/>
  <c r="J357" i="182"/>
  <c r="J361" i="182"/>
  <c r="J365" i="182"/>
  <c r="J369" i="182"/>
  <c r="J373" i="182"/>
  <c r="J377" i="182"/>
  <c r="J381" i="182"/>
  <c r="J385" i="182"/>
  <c r="J389" i="182"/>
  <c r="J98" i="182"/>
  <c r="J102" i="182"/>
  <c r="J106" i="182"/>
  <c r="J110" i="182"/>
  <c r="J114" i="182"/>
  <c r="J118" i="182"/>
  <c r="J122" i="182"/>
  <c r="J126" i="182"/>
  <c r="J130" i="182"/>
  <c r="J134" i="182"/>
  <c r="J139" i="182"/>
  <c r="J143" i="182"/>
  <c r="J147" i="182"/>
  <c r="J151" i="182"/>
  <c r="J155" i="182"/>
  <c r="J159" i="182"/>
  <c r="J163" i="182"/>
  <c r="J167" i="182"/>
  <c r="J171" i="182"/>
  <c r="J175" i="182"/>
  <c r="J43" i="182"/>
  <c r="J47" i="182"/>
  <c r="J571" i="182"/>
  <c r="J575" i="182"/>
  <c r="J579" i="182"/>
  <c r="J583" i="182"/>
  <c r="J587" i="182"/>
  <c r="J591" i="182"/>
  <c r="J595" i="182"/>
  <c r="J599" i="182"/>
  <c r="J603" i="182"/>
  <c r="J607" i="182"/>
  <c r="J956" i="182"/>
  <c r="J960" i="182"/>
  <c r="J964" i="182"/>
  <c r="J968" i="182"/>
  <c r="J972" i="182"/>
  <c r="J976" i="182"/>
  <c r="J980" i="182"/>
  <c r="J984" i="182"/>
  <c r="J988" i="182"/>
  <c r="J992" i="182"/>
  <c r="J697" i="182"/>
  <c r="J701" i="182"/>
  <c r="J33" i="182"/>
  <c r="J37" i="182"/>
  <c r="J354" i="182"/>
  <c r="J358" i="182"/>
  <c r="J362" i="182"/>
  <c r="J366" i="182"/>
  <c r="J370" i="182"/>
  <c r="J374" i="182"/>
  <c r="J378" i="182"/>
  <c r="J382" i="182"/>
  <c r="J386" i="182"/>
  <c r="J390" i="182"/>
  <c r="J95" i="182"/>
  <c r="J99" i="182"/>
  <c r="J103" i="182"/>
  <c r="J107" i="182"/>
  <c r="J111" i="182"/>
  <c r="J115" i="182"/>
  <c r="J119" i="182"/>
  <c r="J123" i="182"/>
  <c r="J127" i="182"/>
  <c r="J131" i="182"/>
  <c r="J140" i="182"/>
  <c r="J144" i="182"/>
  <c r="J148" i="182"/>
  <c r="J152" i="182"/>
  <c r="J156" i="182"/>
  <c r="J160" i="182"/>
  <c r="J164" i="182"/>
  <c r="J168" i="182"/>
  <c r="J172" i="182"/>
  <c r="J176" i="182"/>
  <c r="J44" i="182"/>
  <c r="J48" i="182"/>
  <c r="J568" i="182"/>
  <c r="J572" i="182"/>
  <c r="J576" i="182"/>
  <c r="J580" i="182"/>
  <c r="J584" i="182"/>
  <c r="J588" i="182"/>
  <c r="J592" i="182"/>
  <c r="J596" i="182"/>
  <c r="J600" i="182"/>
  <c r="J604" i="182"/>
  <c r="J957" i="182"/>
  <c r="J961" i="182"/>
  <c r="J965" i="182"/>
  <c r="J969" i="182"/>
  <c r="J973" i="182"/>
  <c r="J977" i="182"/>
  <c r="J981" i="182"/>
  <c r="J985" i="182"/>
  <c r="J989" i="182"/>
  <c r="J993" i="182"/>
  <c r="J698" i="182"/>
  <c r="J702" i="182"/>
  <c r="J424" i="182"/>
  <c r="J34" i="182"/>
  <c r="J38" i="182"/>
  <c r="J355" i="182"/>
  <c r="J359" i="182"/>
  <c r="J363" i="182"/>
  <c r="J367" i="182"/>
  <c r="J371" i="182"/>
  <c r="J375" i="182"/>
  <c r="J379" i="182"/>
  <c r="J383" i="182"/>
  <c r="J387" i="182"/>
  <c r="J391" i="182"/>
  <c r="J96" i="182"/>
  <c r="J100" i="182"/>
  <c r="J104" i="182"/>
  <c r="J108" i="182"/>
  <c r="J112" i="182"/>
  <c r="J116" i="182"/>
  <c r="J120" i="182"/>
  <c r="J124" i="182"/>
  <c r="J128" i="182"/>
  <c r="J132" i="182"/>
  <c r="J141" i="182"/>
  <c r="J145" i="182"/>
  <c r="J149" i="182"/>
  <c r="J153" i="182"/>
  <c r="J157" i="182"/>
  <c r="J161" i="182"/>
  <c r="J165" i="182"/>
  <c r="J169" i="182"/>
  <c r="J173" i="182"/>
  <c r="J177" i="182"/>
  <c r="J45" i="182"/>
  <c r="J569" i="182"/>
  <c r="J573" i="182"/>
  <c r="J577" i="182"/>
  <c r="J581" i="182"/>
  <c r="J585" i="182"/>
  <c r="J589" i="182"/>
  <c r="J593" i="182"/>
  <c r="J597" i="182"/>
  <c r="J601" i="182"/>
  <c r="J605" i="182"/>
  <c r="J958" i="182"/>
  <c r="J962" i="182"/>
  <c r="J966" i="182"/>
  <c r="J970" i="182"/>
  <c r="J974" i="182"/>
  <c r="J978" i="182"/>
  <c r="J982" i="182"/>
  <c r="J986" i="182"/>
  <c r="J990" i="182"/>
  <c r="J994" i="182"/>
  <c r="J699" i="182"/>
  <c r="J703" i="182"/>
  <c r="J428" i="182"/>
  <c r="J35" i="182"/>
  <c r="J356" i="182"/>
  <c r="J360" i="182"/>
  <c r="J364" i="182"/>
  <c r="J368" i="182"/>
  <c r="J372" i="182"/>
  <c r="J376" i="182"/>
  <c r="J380" i="182"/>
  <c r="J384" i="182"/>
  <c r="J388" i="182"/>
  <c r="J392" i="182"/>
  <c r="J97" i="182"/>
  <c r="J101" i="182"/>
  <c r="J105" i="182"/>
  <c r="J109" i="182"/>
  <c r="J113" i="182"/>
  <c r="J117" i="182"/>
  <c r="J121" i="182"/>
  <c r="J125" i="182"/>
  <c r="J129" i="182"/>
  <c r="J133" i="182"/>
  <c r="J138" i="182"/>
  <c r="J142" i="182"/>
  <c r="J146" i="182"/>
  <c r="J150" i="182"/>
  <c r="J154" i="182"/>
  <c r="J158" i="182"/>
  <c r="J162" i="182"/>
  <c r="J166" i="182"/>
  <c r="J170" i="182"/>
  <c r="J174" i="182"/>
  <c r="J42" i="182"/>
  <c r="J46" i="182"/>
  <c r="J570" i="182"/>
  <c r="J574" i="182"/>
  <c r="J578" i="182"/>
  <c r="J582" i="182"/>
  <c r="J586" i="182"/>
  <c r="J590" i="182"/>
  <c r="J594" i="182"/>
  <c r="J598" i="182"/>
  <c r="J602" i="182"/>
  <c r="J606" i="182"/>
  <c r="J955" i="182"/>
  <c r="J959" i="182"/>
  <c r="J963" i="182"/>
  <c r="J967" i="182"/>
  <c r="J971" i="182"/>
  <c r="J975" i="182"/>
  <c r="J979" i="182"/>
  <c r="J983" i="182"/>
  <c r="J987" i="182"/>
  <c r="J991" i="182"/>
  <c r="J700" i="182"/>
  <c r="J706" i="182"/>
  <c r="J710" i="182"/>
  <c r="J714" i="182"/>
  <c r="J718" i="182"/>
  <c r="J722" i="182"/>
  <c r="J726" i="182"/>
  <c r="J730" i="182"/>
  <c r="J734" i="182"/>
  <c r="J482" i="182"/>
  <c r="J486" i="182"/>
  <c r="J490" i="182"/>
  <c r="J494" i="182"/>
  <c r="J498" i="182"/>
  <c r="J502" i="182"/>
  <c r="J506" i="182"/>
  <c r="J510" i="182"/>
  <c r="J514" i="182"/>
  <c r="J518" i="182"/>
  <c r="J313" i="182"/>
  <c r="J317" i="182"/>
  <c r="J321" i="182"/>
  <c r="J325" i="182"/>
  <c r="J329" i="182"/>
  <c r="J333" i="182"/>
  <c r="J337" i="182"/>
  <c r="J341" i="182"/>
  <c r="J345" i="182"/>
  <c r="J349" i="182"/>
  <c r="J654" i="182"/>
  <c r="J658" i="182"/>
  <c r="J662" i="182"/>
  <c r="J666" i="182"/>
  <c r="J670" i="182"/>
  <c r="J674" i="182"/>
  <c r="J678" i="182"/>
  <c r="J682" i="182"/>
  <c r="J686" i="182"/>
  <c r="J690" i="182"/>
  <c r="J439" i="182"/>
  <c r="J443" i="182"/>
  <c r="J447" i="182"/>
  <c r="J451" i="182"/>
  <c r="J455" i="182"/>
  <c r="J459" i="182"/>
  <c r="J463" i="182"/>
  <c r="J467" i="182"/>
  <c r="J471" i="182"/>
  <c r="J475" i="182"/>
  <c r="J785" i="182"/>
  <c r="J789" i="182"/>
  <c r="J793" i="182"/>
  <c r="J797" i="182"/>
  <c r="J801" i="182"/>
  <c r="J805" i="182"/>
  <c r="J809" i="182"/>
  <c r="J813" i="182"/>
  <c r="J817" i="182"/>
  <c r="J821" i="182"/>
  <c r="J55" i="182"/>
  <c r="J59" i="182"/>
  <c r="J63" i="182"/>
  <c r="J67" i="182"/>
  <c r="J71" i="182"/>
  <c r="J75" i="182"/>
  <c r="J79" i="182"/>
  <c r="J83" i="182"/>
  <c r="J87" i="182"/>
  <c r="J91" i="182"/>
  <c r="J90" i="182"/>
  <c r="J707" i="182"/>
  <c r="J711" i="182"/>
  <c r="J715" i="182"/>
  <c r="J719" i="182"/>
  <c r="J723" i="182"/>
  <c r="J727" i="182"/>
  <c r="J731" i="182"/>
  <c r="J735" i="182"/>
  <c r="J483" i="182"/>
  <c r="J487" i="182"/>
  <c r="J491" i="182"/>
  <c r="J495" i="182"/>
  <c r="J499" i="182"/>
  <c r="J503" i="182"/>
  <c r="J507" i="182"/>
  <c r="J511" i="182"/>
  <c r="J515" i="182"/>
  <c r="J519" i="182"/>
  <c r="J310" i="182"/>
  <c r="J314" i="182"/>
  <c r="J318" i="182"/>
  <c r="J322" i="182"/>
  <c r="J326" i="182"/>
  <c r="J330" i="182"/>
  <c r="J334" i="182"/>
  <c r="J338" i="182"/>
  <c r="J342" i="182"/>
  <c r="J346" i="182"/>
  <c r="J655" i="182"/>
  <c r="J659" i="182"/>
  <c r="J663" i="182"/>
  <c r="J667" i="182"/>
  <c r="J671" i="182"/>
  <c r="J675" i="182"/>
  <c r="J679" i="182"/>
  <c r="J683" i="182"/>
  <c r="J687" i="182"/>
  <c r="J691" i="182"/>
  <c r="J440" i="182"/>
  <c r="J444" i="182"/>
  <c r="J448" i="182"/>
  <c r="J452" i="182"/>
  <c r="J456" i="182"/>
  <c r="J460" i="182"/>
  <c r="J464" i="182"/>
  <c r="J468" i="182"/>
  <c r="J472" i="182"/>
  <c r="J476" i="182"/>
  <c r="J786" i="182"/>
  <c r="J790" i="182"/>
  <c r="J794" i="182"/>
  <c r="J798" i="182"/>
  <c r="J802" i="182"/>
  <c r="J806" i="182"/>
  <c r="J810" i="182"/>
  <c r="J814" i="182"/>
  <c r="J818" i="182"/>
  <c r="J822" i="182"/>
  <c r="J52" i="182"/>
  <c r="J56" i="182"/>
  <c r="J60" i="182"/>
  <c r="J64" i="182"/>
  <c r="J68" i="182"/>
  <c r="J72" i="182"/>
  <c r="J76" i="182"/>
  <c r="J80" i="182"/>
  <c r="J84" i="182"/>
  <c r="J88" i="182"/>
  <c r="J704" i="182"/>
  <c r="J708" i="182"/>
  <c r="J712" i="182"/>
  <c r="J716" i="182"/>
  <c r="J720" i="182"/>
  <c r="J724" i="182"/>
  <c r="J728" i="182"/>
  <c r="J732" i="182"/>
  <c r="J736" i="182"/>
  <c r="J484" i="182"/>
  <c r="J488" i="182"/>
  <c r="J492" i="182"/>
  <c r="J496" i="182"/>
  <c r="J500" i="182"/>
  <c r="J504" i="182"/>
  <c r="J508" i="182"/>
  <c r="J512" i="182"/>
  <c r="J516" i="182"/>
  <c r="J520" i="182"/>
  <c r="J311" i="182"/>
  <c r="J315" i="182"/>
  <c r="J319" i="182"/>
  <c r="J323" i="182"/>
  <c r="J327" i="182"/>
  <c r="J331" i="182"/>
  <c r="J335" i="182"/>
  <c r="J339" i="182"/>
  <c r="J343" i="182"/>
  <c r="J347" i="182"/>
  <c r="J656" i="182"/>
  <c r="J660" i="182"/>
  <c r="J664" i="182"/>
  <c r="J668" i="182"/>
  <c r="J672" i="182"/>
  <c r="J676" i="182"/>
  <c r="J680" i="182"/>
  <c r="J684" i="182"/>
  <c r="J688" i="182"/>
  <c r="J692" i="182"/>
  <c r="J441" i="182"/>
  <c r="J445" i="182"/>
  <c r="J449" i="182"/>
  <c r="J453" i="182"/>
  <c r="J457" i="182"/>
  <c r="J461" i="182"/>
  <c r="J465" i="182"/>
  <c r="J469" i="182"/>
  <c r="J473" i="182"/>
  <c r="J477" i="182"/>
  <c r="J783" i="182"/>
  <c r="J787" i="182"/>
  <c r="J791" i="182"/>
  <c r="J795" i="182"/>
  <c r="J799" i="182"/>
  <c r="J803" i="182"/>
  <c r="J807" i="182"/>
  <c r="J811" i="182"/>
  <c r="J815" i="182"/>
  <c r="J819" i="182"/>
  <c r="J53" i="182"/>
  <c r="J57" i="182"/>
  <c r="J61" i="182"/>
  <c r="J65" i="182"/>
  <c r="J69" i="182"/>
  <c r="J73" i="182"/>
  <c r="J77" i="182"/>
  <c r="J81" i="182"/>
  <c r="J85" i="182"/>
  <c r="J89" i="182"/>
  <c r="J86" i="182"/>
  <c r="J705" i="182"/>
  <c r="J709" i="182"/>
  <c r="J713" i="182"/>
  <c r="J717" i="182"/>
  <c r="J721" i="182"/>
  <c r="J725" i="182"/>
  <c r="J729" i="182"/>
  <c r="J733" i="182"/>
  <c r="J485" i="182"/>
  <c r="J489" i="182"/>
  <c r="J493" i="182"/>
  <c r="J497" i="182"/>
  <c r="J501" i="182"/>
  <c r="J505" i="182"/>
  <c r="J509" i="182"/>
  <c r="J513" i="182"/>
  <c r="J517" i="182"/>
  <c r="J521" i="182"/>
  <c r="J312" i="182"/>
  <c r="J316" i="182"/>
  <c r="J320" i="182"/>
  <c r="J324" i="182"/>
  <c r="J328" i="182"/>
  <c r="J332" i="182"/>
  <c r="J336" i="182"/>
  <c r="J340" i="182"/>
  <c r="J344" i="182"/>
  <c r="J348" i="182"/>
  <c r="J657" i="182"/>
  <c r="J661" i="182"/>
  <c r="J665" i="182"/>
  <c r="J669" i="182"/>
  <c r="J673" i="182"/>
  <c r="J677" i="182"/>
  <c r="J681" i="182"/>
  <c r="J685" i="182"/>
  <c r="J689" i="182"/>
  <c r="J693" i="182"/>
  <c r="J442" i="182"/>
  <c r="J446" i="182"/>
  <c r="J450" i="182"/>
  <c r="J454" i="182"/>
  <c r="J458" i="182"/>
  <c r="J462" i="182"/>
  <c r="J466" i="182"/>
  <c r="J470" i="182"/>
  <c r="J474" i="182"/>
  <c r="J478" i="182"/>
  <c r="J784" i="182"/>
  <c r="J788" i="182"/>
  <c r="J792" i="182"/>
  <c r="J796" i="182"/>
  <c r="J800" i="182"/>
  <c r="J804" i="182"/>
  <c r="J808" i="182"/>
  <c r="J812" i="182"/>
  <c r="J816" i="182"/>
  <c r="J820" i="182"/>
  <c r="J54" i="182"/>
  <c r="J58" i="182"/>
  <c r="J62" i="182"/>
  <c r="J66" i="182"/>
  <c r="J70" i="182"/>
  <c r="J74" i="182"/>
  <c r="J78" i="182"/>
  <c r="J82" i="182"/>
  <c r="C252" i="159"/>
  <c r="CW74" i="36"/>
  <c r="BO74" i="36"/>
  <c r="BL97" i="37" s="1"/>
  <c r="O29" i="165"/>
  <c r="Y28" i="165"/>
  <c r="AD28" i="165" s="1"/>
  <c r="AI28" i="165" s="1"/>
  <c r="O94" i="63"/>
  <c r="Q94" i="63" s="1"/>
  <c r="Y94" i="63" s="1"/>
  <c r="AA94" i="63" s="1"/>
  <c r="W50" i="63" s="1"/>
  <c r="O88" i="63"/>
  <c r="Q88" i="63" s="1"/>
  <c r="Y88" i="63" s="1"/>
  <c r="AA88" i="63" s="1"/>
  <c r="W44" i="63" s="1"/>
  <c r="O99" i="63"/>
  <c r="Q99" i="63" s="1"/>
  <c r="Y99" i="63" s="1"/>
  <c r="AA99" i="63" s="1"/>
  <c r="W55" i="63" s="1"/>
  <c r="O90" i="63"/>
  <c r="Q90" i="63" s="1"/>
  <c r="Y90" i="63" s="1"/>
  <c r="AA90" i="63" s="1"/>
  <c r="W46" i="63" s="1"/>
  <c r="O95" i="63"/>
  <c r="Q95" i="63" s="1"/>
  <c r="Y95" i="63" s="1"/>
  <c r="AA95" i="63" s="1"/>
  <c r="W51" i="63" s="1"/>
  <c r="O91" i="63"/>
  <c r="Q91" i="63" s="1"/>
  <c r="Y91" i="63" s="1"/>
  <c r="AA91" i="63" s="1"/>
  <c r="W47" i="63" s="1"/>
  <c r="O80" i="63"/>
  <c r="Q80" i="63" s="1"/>
  <c r="Y80" i="63" s="1"/>
  <c r="AA80" i="63" s="1"/>
  <c r="W36" i="63" s="1"/>
  <c r="O82" i="63"/>
  <c r="Q82" i="63" s="1"/>
  <c r="Y82" i="63" s="1"/>
  <c r="AA82" i="63" s="1"/>
  <c r="W38" i="63" s="1"/>
  <c r="O78" i="63"/>
  <c r="Q78" i="63" s="1"/>
  <c r="Y78" i="63" s="1"/>
  <c r="AA78" i="63" s="1"/>
  <c r="W34" i="63" s="1"/>
  <c r="O100" i="63"/>
  <c r="Q100" i="63" s="1"/>
  <c r="Y100" i="63" s="1"/>
  <c r="AA100" i="63" s="1"/>
  <c r="W56" i="63" s="1"/>
  <c r="O92" i="63"/>
  <c r="Q92" i="63" s="1"/>
  <c r="Y92" i="63" s="1"/>
  <c r="AA92" i="63" s="1"/>
  <c r="W48" i="63" s="1"/>
  <c r="O93" i="63"/>
  <c r="Q93" i="63" s="1"/>
  <c r="Y93" i="63" s="1"/>
  <c r="AA93" i="63" s="1"/>
  <c r="W49" i="63" s="1"/>
  <c r="O97" i="63"/>
  <c r="Q97" i="63" s="1"/>
  <c r="Y97" i="63" s="1"/>
  <c r="AA97" i="63" s="1"/>
  <c r="W53" i="63" s="1"/>
  <c r="O83" i="63"/>
  <c r="Q83" i="63" s="1"/>
  <c r="Y83" i="63" s="1"/>
  <c r="AA83" i="63" s="1"/>
  <c r="W39" i="63" s="1"/>
  <c r="O84" i="63"/>
  <c r="Q84" i="63" s="1"/>
  <c r="Y84" i="63" s="1"/>
  <c r="AA84" i="63" s="1"/>
  <c r="W40" i="63" s="1"/>
  <c r="O98" i="63"/>
  <c r="Q98" i="63" s="1"/>
  <c r="Y98" i="63" s="1"/>
  <c r="AA98" i="63" s="1"/>
  <c r="W54" i="63" s="1"/>
  <c r="O81" i="63"/>
  <c r="Q81" i="63" s="1"/>
  <c r="Y81" i="63" s="1"/>
  <c r="AA81" i="63" s="1"/>
  <c r="W37" i="63" s="1"/>
  <c r="O89" i="63"/>
  <c r="Q89" i="63" s="1"/>
  <c r="Y89" i="63" s="1"/>
  <c r="AA89" i="63" s="1"/>
  <c r="W45" i="63" s="1"/>
  <c r="O79" i="63"/>
  <c r="Q79" i="63" s="1"/>
  <c r="Y79" i="63" s="1"/>
  <c r="AA79" i="63" s="1"/>
  <c r="W35" i="63" s="1"/>
  <c r="O87" i="63"/>
  <c r="Q87" i="63" s="1"/>
  <c r="Y87" i="63" s="1"/>
  <c r="AA87" i="63" s="1"/>
  <c r="W43" i="63" s="1"/>
  <c r="O85" i="63"/>
  <c r="Q85" i="63" s="1"/>
  <c r="Y85" i="63" s="1"/>
  <c r="AA85" i="63" s="1"/>
  <c r="W41" i="63" s="1"/>
  <c r="O96" i="63"/>
  <c r="Q96" i="63" s="1"/>
  <c r="Y96" i="63" s="1"/>
  <c r="AA96" i="63" s="1"/>
  <c r="W52" i="63" s="1"/>
  <c r="O86" i="63"/>
  <c r="Q86" i="63" s="1"/>
  <c r="Y86" i="63" s="1"/>
  <c r="AA86" i="63" s="1"/>
  <c r="W42" i="63" s="1"/>
  <c r="O77" i="63"/>
  <c r="O72" i="30"/>
  <c r="O84" i="30"/>
  <c r="O90" i="190"/>
  <c r="O85" i="190"/>
  <c r="Y27" i="165"/>
  <c r="AD27" i="165" s="1"/>
  <c r="AI27" i="165" s="1"/>
  <c r="O105" i="190" l="1"/>
  <c r="O106" i="190" s="1"/>
  <c r="S84" i="190"/>
  <c r="W86" i="190" s="1"/>
  <c r="O92" i="190"/>
  <c r="S89" i="190" s="1"/>
  <c r="W91" i="190" s="1"/>
  <c r="O119" i="190"/>
  <c r="O146" i="190"/>
  <c r="O147" i="190" s="1"/>
  <c r="T170" i="190" s="1"/>
  <c r="J694" i="182"/>
  <c r="J522" i="182"/>
  <c r="J866" i="182"/>
  <c r="W64" i="63"/>
  <c r="BL107" i="37"/>
  <c r="BZ97" i="37"/>
  <c r="V105" i="30"/>
  <c r="J92" i="182"/>
  <c r="J350" i="182"/>
  <c r="J178" i="182"/>
  <c r="J608" i="182"/>
  <c r="J737" i="182"/>
  <c r="J393" i="182"/>
  <c r="J780" i="182"/>
  <c r="J221" i="182"/>
  <c r="J909" i="182"/>
  <c r="J952" i="182"/>
  <c r="O22" i="165"/>
  <c r="Y22" i="165" s="1"/>
  <c r="AD22" i="165" s="1"/>
  <c r="AI22" i="165" s="1"/>
  <c r="Y23" i="165"/>
  <c r="AD23" i="165" s="1"/>
  <c r="AI23" i="165" s="1"/>
  <c r="BJ86" i="37"/>
  <c r="BJ87" i="37"/>
  <c r="BJ82" i="37"/>
  <c r="BJ81" i="37"/>
  <c r="BJ88" i="37"/>
  <c r="BJ83" i="37"/>
  <c r="BJ79" i="37"/>
  <c r="BJ84" i="37"/>
  <c r="BJ80" i="37"/>
  <c r="BJ85" i="37"/>
  <c r="Y29" i="165"/>
  <c r="AD29" i="165" s="1"/>
  <c r="AI29" i="165" s="1"/>
  <c r="O30" i="165"/>
  <c r="Y30" i="165" s="1"/>
  <c r="AD30" i="165" s="1"/>
  <c r="AI30" i="165" s="1"/>
  <c r="J823" i="182"/>
  <c r="J479" i="182"/>
  <c r="J1081" i="182"/>
  <c r="BF24" i="165"/>
  <c r="BK24" i="165" s="1"/>
  <c r="BF22" i="165"/>
  <c r="BK22" i="165" s="1"/>
  <c r="BF29" i="165"/>
  <c r="BK29" i="165" s="1"/>
  <c r="BF30" i="165"/>
  <c r="BK30" i="165" s="1"/>
  <c r="BF25" i="165"/>
  <c r="BK25" i="165" s="1"/>
  <c r="BF28" i="165"/>
  <c r="BK28" i="165" s="1"/>
  <c r="BF27" i="165"/>
  <c r="BK27" i="165" s="1"/>
  <c r="BF23" i="165"/>
  <c r="BK23" i="165" s="1"/>
  <c r="BK26" i="165"/>
  <c r="W77" i="63"/>
  <c r="W105" i="63" s="1"/>
  <c r="U105" i="63"/>
  <c r="O92" i="30"/>
  <c r="O87" i="30"/>
  <c r="V41" i="37"/>
  <c r="W149" i="37"/>
  <c r="DU74" i="36"/>
  <c r="O94" i="190"/>
  <c r="O95" i="190" s="1"/>
  <c r="Q77" i="63"/>
  <c r="O105" i="63"/>
  <c r="C253" i="159"/>
  <c r="BZ28" i="165" s="1"/>
  <c r="BZ29" i="165" s="1"/>
  <c r="CM74" i="36"/>
  <c r="J995" i="182"/>
  <c r="J49" i="182"/>
  <c r="J135" i="182"/>
  <c r="J39" i="182"/>
  <c r="J436" i="182"/>
  <c r="J264" i="182"/>
  <c r="J565" i="182"/>
  <c r="J651" i="182"/>
  <c r="I1094" i="182"/>
  <c r="O1094" i="182"/>
  <c r="O1093" i="182" s="1"/>
  <c r="J1094" i="182"/>
  <c r="J1038" i="182"/>
  <c r="J1090" i="182"/>
  <c r="J307" i="182"/>
  <c r="Y13" i="165"/>
  <c r="AD13" i="165" s="1"/>
  <c r="AI13" i="165" s="1"/>
  <c r="O12" i="165"/>
  <c r="O14" i="165"/>
  <c r="BZ27" i="165"/>
  <c r="BJ89" i="37" l="1"/>
  <c r="T156" i="190"/>
  <c r="BT79" i="37"/>
  <c r="W156" i="190" s="1"/>
  <c r="BT82" i="37"/>
  <c r="W159" i="190" s="1"/>
  <c r="T159" i="190"/>
  <c r="O11" i="165"/>
  <c r="Y12" i="165"/>
  <c r="AD12" i="165" s="1"/>
  <c r="AI12" i="165" s="1"/>
  <c r="O109" i="190"/>
  <c r="O150" i="190"/>
  <c r="BT85" i="37"/>
  <c r="W162" i="190" s="1"/>
  <c r="T162" i="190"/>
  <c r="T160" i="190"/>
  <c r="BT83" i="37"/>
  <c r="W160" i="190" s="1"/>
  <c r="BT87" i="37"/>
  <c r="W164" i="190" s="1"/>
  <c r="T164" i="190"/>
  <c r="V116" i="30"/>
  <c r="BL110" i="37"/>
  <c r="Y14" i="165"/>
  <c r="AD14" i="165" s="1"/>
  <c r="AI14" i="165" s="1"/>
  <c r="O15" i="165"/>
  <c r="Y77" i="63"/>
  <c r="AA77" i="63" s="1"/>
  <c r="Q105" i="63"/>
  <c r="Y105" i="63" s="1"/>
  <c r="CJ20" i="69"/>
  <c r="AM24" i="165"/>
  <c r="DH61" i="36"/>
  <c r="BO28" i="165"/>
  <c r="BO149" i="37"/>
  <c r="AM27" i="165"/>
  <c r="BO24" i="165"/>
  <c r="AM25" i="165"/>
  <c r="AM14" i="165"/>
  <c r="BO23" i="165"/>
  <c r="AM23" i="165"/>
  <c r="AM29" i="165"/>
  <c r="BO16" i="165"/>
  <c r="BO25" i="165"/>
  <c r="BO9" i="165"/>
  <c r="C180" i="159"/>
  <c r="C179" i="159"/>
  <c r="BO15" i="165"/>
  <c r="BZ22" i="36"/>
  <c r="BO13" i="165"/>
  <c r="BO29" i="165"/>
  <c r="BO14" i="165"/>
  <c r="BO27" i="165"/>
  <c r="BO30" i="165"/>
  <c r="DS61" i="36"/>
  <c r="BO26" i="165"/>
  <c r="CK22" i="36"/>
  <c r="BO22" i="165"/>
  <c r="BO11" i="165"/>
  <c r="BY20" i="69"/>
  <c r="BO17" i="165"/>
  <c r="BO10" i="165"/>
  <c r="AM12" i="165"/>
  <c r="BO12" i="165"/>
  <c r="AM30" i="165"/>
  <c r="AM22" i="165"/>
  <c r="AM26" i="165"/>
  <c r="AM28" i="165"/>
  <c r="AM13" i="165"/>
  <c r="O108" i="190"/>
  <c r="O149" i="190"/>
  <c r="T157" i="190"/>
  <c r="BT80" i="37"/>
  <c r="W157" i="190" s="1"/>
  <c r="T165" i="190"/>
  <c r="BT88" i="37"/>
  <c r="W165" i="190" s="1"/>
  <c r="BT86" i="37"/>
  <c r="W163" i="190" s="1"/>
  <c r="T163" i="190"/>
  <c r="W170" i="190"/>
  <c r="S86" i="30"/>
  <c r="W88" i="30" s="1"/>
  <c r="O94" i="30"/>
  <c r="S91" i="30" s="1"/>
  <c r="W93" i="30" s="1"/>
  <c r="BT84" i="37"/>
  <c r="W161" i="190" s="1"/>
  <c r="T161" i="190"/>
  <c r="BT81" i="37"/>
  <c r="W158" i="190" s="1"/>
  <c r="T158" i="190"/>
  <c r="S110" i="190"/>
  <c r="W112" i="190" s="1"/>
  <c r="O121" i="190"/>
  <c r="S31" i="166"/>
  <c r="S32" i="166" s="1"/>
  <c r="AA105" i="63" l="1"/>
  <c r="W33" i="63"/>
  <c r="AF98" i="63"/>
  <c r="W57" i="63" s="1"/>
  <c r="W68" i="63" s="1"/>
  <c r="Y15" i="165"/>
  <c r="AD15" i="165" s="1"/>
  <c r="O16" i="165"/>
  <c r="O10" i="165"/>
  <c r="Y11" i="165"/>
  <c r="AD11" i="165" s="1"/>
  <c r="T166" i="190"/>
  <c r="T168" i="190" s="1"/>
  <c r="O96" i="30"/>
  <c r="O97" i="30" s="1"/>
  <c r="BZ110" i="37"/>
  <c r="V119" i="30"/>
  <c r="BT89" i="37"/>
  <c r="W166" i="190" s="1"/>
  <c r="BJ91" i="37"/>
  <c r="W168" i="190" l="1"/>
  <c r="T169" i="190"/>
  <c r="W169" i="190" s="1"/>
  <c r="AI15" i="165"/>
  <c r="AM15" i="165"/>
  <c r="O9" i="165"/>
  <c r="Y9" i="165" s="1"/>
  <c r="AD9" i="165" s="1"/>
  <c r="Y10" i="165"/>
  <c r="AD10" i="165" s="1"/>
  <c r="AI11" i="165"/>
  <c r="AM11" i="165"/>
  <c r="Y16" i="165"/>
  <c r="AD16" i="165" s="1"/>
  <c r="O17" i="165"/>
  <c r="Y17" i="165" s="1"/>
  <c r="AD17" i="165" s="1"/>
  <c r="AI17" i="165" l="1"/>
  <c r="AM17" i="165"/>
  <c r="AI10" i="165"/>
  <c r="AM10" i="165"/>
  <c r="AI16" i="165"/>
  <c r="AM16" i="165"/>
  <c r="AI9" i="165"/>
  <c r="AM9" i="165"/>
</calcChain>
</file>

<file path=xl/sharedStrings.xml><?xml version="1.0" encoding="utf-8"?>
<sst xmlns="http://schemas.openxmlformats.org/spreadsheetml/2006/main" count="4587" uniqueCount="1908">
  <si>
    <t>Description of Work</t>
  </si>
  <si>
    <t>Masonry</t>
  </si>
  <si>
    <t>ea</t>
  </si>
  <si>
    <t>ls</t>
  </si>
  <si>
    <t>Storage Container</t>
  </si>
  <si>
    <t>job</t>
  </si>
  <si>
    <t>Chemical Toilet</t>
  </si>
  <si>
    <t>mo</t>
  </si>
  <si>
    <t>Roofing</t>
  </si>
  <si>
    <t>sq</t>
  </si>
  <si>
    <t>Roof sheathing, plywood 1/2", remove &amp; install</t>
  </si>
  <si>
    <t>sf</t>
  </si>
  <si>
    <t>lf</t>
  </si>
  <si>
    <t>Siding</t>
  </si>
  <si>
    <t>Demo existing siding</t>
  </si>
  <si>
    <t>Painting</t>
  </si>
  <si>
    <t>Paint exterior door</t>
  </si>
  <si>
    <t>New mailbox</t>
  </si>
  <si>
    <t>hrs</t>
  </si>
  <si>
    <t>Insulation</t>
  </si>
  <si>
    <t>Walls/Ceilings</t>
  </si>
  <si>
    <t>Door hardware, knobs only</t>
  </si>
  <si>
    <t>Fireplace mantel</t>
  </si>
  <si>
    <t>Closet shelf and rod</t>
  </si>
  <si>
    <t>sy</t>
  </si>
  <si>
    <t>Plumbing</t>
  </si>
  <si>
    <t>Replace gas hot water heater, 40 gallon</t>
  </si>
  <si>
    <t>Electrical</t>
  </si>
  <si>
    <t>Can lighting</t>
  </si>
  <si>
    <t>HVAC</t>
  </si>
  <si>
    <t>Programmable thermostat</t>
  </si>
  <si>
    <t>Replace supply air grilles/returns</t>
  </si>
  <si>
    <t>Clean ductwork</t>
  </si>
  <si>
    <t>Garbage Disposal</t>
  </si>
  <si>
    <t>Other</t>
  </si>
  <si>
    <t>Unit</t>
  </si>
  <si>
    <t>MAT</t>
  </si>
  <si>
    <t>LABOR</t>
  </si>
  <si>
    <t>SUB</t>
  </si>
  <si>
    <t>TOTALS</t>
  </si>
  <si>
    <t>QTY</t>
  </si>
  <si>
    <t>Pedestal sink</t>
  </si>
  <si>
    <t>Bath accessories, towel bar, toilet disp, ea bathroom</t>
  </si>
  <si>
    <t>Mulch, standard 3" thick</t>
  </si>
  <si>
    <t>New cabinet door pulls</t>
  </si>
  <si>
    <t>Kitchen</t>
  </si>
  <si>
    <t>Bathrooms</t>
  </si>
  <si>
    <t>Toilet seats</t>
  </si>
  <si>
    <t>Exterior light fixture</t>
  </si>
  <si>
    <t>Turn on utilities</t>
  </si>
  <si>
    <t>Paint trim only</t>
  </si>
  <si>
    <t>New address #</t>
  </si>
  <si>
    <t>Sand &amp; refinish decking</t>
  </si>
  <si>
    <t>Drywall bid/allowance, case by case</t>
  </si>
  <si>
    <t>Siding bid/allowance</t>
  </si>
  <si>
    <t>Masonry bid/allowance</t>
  </si>
  <si>
    <t>Roofing bid/allowance</t>
  </si>
  <si>
    <t>Exterior Painting</t>
  </si>
  <si>
    <t>Structural framing bid/allowance, case by case</t>
  </si>
  <si>
    <t>Insulation bid/allowance</t>
  </si>
  <si>
    <t>Finish carpentry bid/allowance</t>
  </si>
  <si>
    <t>Interior painting, bid/allowance</t>
  </si>
  <si>
    <t>Interior Painting</t>
  </si>
  <si>
    <t>Plumbing, bid/allowance</t>
  </si>
  <si>
    <t>HVAC, bid/allowance</t>
  </si>
  <si>
    <t>wk</t>
  </si>
  <si>
    <t>Truck expense/car payment</t>
  </si>
  <si>
    <t>GENERAL CONDITIONS</t>
  </si>
  <si>
    <t>PAINTING</t>
  </si>
  <si>
    <t>PLUMBING</t>
  </si>
  <si>
    <t>ELECTRICAL</t>
  </si>
  <si>
    <t>Concrete bid/allowance</t>
  </si>
  <si>
    <t>Stair mud jacking, case by case</t>
  </si>
  <si>
    <t>Address</t>
  </si>
  <si>
    <t>Buying Costs</t>
  </si>
  <si>
    <t>Holding Costs</t>
  </si>
  <si>
    <t>Property Taxes</t>
  </si>
  <si>
    <t>Selling Costs</t>
  </si>
  <si>
    <t>Desired Profit</t>
  </si>
  <si>
    <t>Project management</t>
  </si>
  <si>
    <t>Professional Photography</t>
  </si>
  <si>
    <t>Total Cost</t>
  </si>
  <si>
    <t>Project Name:</t>
  </si>
  <si>
    <t>School District:</t>
  </si>
  <si>
    <t>Repair Costs</t>
  </si>
  <si>
    <t>Buying Costs (Closing costs, Appraisal fees, Inspection costs, etc.)</t>
  </si>
  <si>
    <t>Exhaust Fan</t>
  </si>
  <si>
    <t>Potential Sales Price</t>
  </si>
  <si>
    <t>Maximum Purchase Price</t>
  </si>
  <si>
    <t>Net to Owner</t>
  </si>
  <si>
    <t>Offer 1:</t>
  </si>
  <si>
    <t>Date:</t>
  </si>
  <si>
    <t>Offer 2:</t>
  </si>
  <si>
    <t>Offer 3:</t>
  </si>
  <si>
    <t>Counter 1:</t>
  </si>
  <si>
    <t>Counter 2:</t>
  </si>
  <si>
    <t>Counter 3:</t>
  </si>
  <si>
    <t>General Conditions</t>
  </si>
  <si>
    <t>Doors &amp; Windows</t>
  </si>
  <si>
    <t>Demolition</t>
  </si>
  <si>
    <t>Preliminary Maximum Purchase Price Analysis</t>
  </si>
  <si>
    <t>Post Walkthrough MPP Analysis</t>
  </si>
  <si>
    <t>Street Address:</t>
  </si>
  <si>
    <t># of Beds:</t>
  </si>
  <si>
    <t># of Baths:</t>
  </si>
  <si>
    <t xml:space="preserve">Users of our products, services and website are advised to do their own due diligence when it comes to making business decisions and all information, programs, products and services that have been provided should be independently verified by your own qualified professionals.  Our information, products and services should be carefully considered and evaluated before reaching a business decision, or whether to rely on them.  </t>
  </si>
  <si>
    <t>You agree that our company is not responsible for the success or failure of your business decisions relating to any information presented by our company, or our company products and/or services.</t>
  </si>
  <si>
    <t>Spreadsheet License</t>
  </si>
  <si>
    <t xml:space="preserve">Each spreadsheet is protected by copyright laws and international copyright treaties, as well as other intellectual property laws and treaties. </t>
  </si>
  <si>
    <t xml:space="preserve">3. DISCLAIMER.  Real property businesses and earnings derived therefrom, have unknown risks 
involved, and are not suitable for everyone.  Making decisions based on any information presented in our products or on our website, should be done only with the knowledge that you could experience significant losses, or make no money at all.  Only risk capital should be used.
</t>
  </si>
  <si>
    <t>4. MISCELLANEOUS. Some states do not allow the limitation or exclusion of liability for incidental or consequential damages, so the above limitation may not apply to you.</t>
  </si>
  <si>
    <t>PROPERTY FEATURES</t>
  </si>
  <si>
    <t>EXTERIOR PROPERTY FEATURES/REPAIRS</t>
  </si>
  <si>
    <t>Repair/Replace</t>
  </si>
  <si>
    <t>Exterior Notes:</t>
  </si>
  <si>
    <t>Kitchen Notes:</t>
  </si>
  <si>
    <t>Sq ft</t>
  </si>
  <si>
    <t>Base Cabinets</t>
  </si>
  <si>
    <t>Wood siding</t>
  </si>
  <si>
    <t>Upper Cabinets</t>
  </si>
  <si>
    <t>Wood trim</t>
  </si>
  <si>
    <t>Countertop</t>
  </si>
  <si>
    <t>Vinyl siding</t>
  </si>
  <si>
    <t>Backsplash</t>
  </si>
  <si>
    <t xml:space="preserve">Brick/stone </t>
  </si>
  <si>
    <t>Tile flooring</t>
  </si>
  <si>
    <t>SQ</t>
  </si>
  <si>
    <t>Hardwood flooring</t>
  </si>
  <si>
    <t>Gutters/downspouts</t>
  </si>
  <si>
    <t>Paint</t>
  </si>
  <si>
    <t>Garage Doors</t>
  </si>
  <si>
    <t>Entry door</t>
  </si>
  <si>
    <t>Sink</t>
  </si>
  <si>
    <t>Patio door</t>
  </si>
  <si>
    <t>Faucet Fixture</t>
  </si>
  <si>
    <t>Windows</t>
  </si>
  <si>
    <t>Shutters</t>
  </si>
  <si>
    <t>Range</t>
  </si>
  <si>
    <t>Deck</t>
  </si>
  <si>
    <t>Refrigerator</t>
  </si>
  <si>
    <t>Fence</t>
  </si>
  <si>
    <t>Dishwasher</t>
  </si>
  <si>
    <t>Concrete driveway</t>
  </si>
  <si>
    <t>Concrete sidewalk</t>
  </si>
  <si>
    <t>Duct vent</t>
  </si>
  <si>
    <t>Shed</t>
  </si>
  <si>
    <t>GFI Plugs/Outlets</t>
  </si>
  <si>
    <t>Mulch</t>
  </si>
  <si>
    <t>Light fixtures</t>
  </si>
  <si>
    <t>Fill in Quantity Below:</t>
  </si>
  <si>
    <t>Notes:</t>
  </si>
  <si>
    <t>Master</t>
  </si>
  <si>
    <t>Bed 1</t>
  </si>
  <si>
    <t>Bed 2</t>
  </si>
  <si>
    <t>Bed 3</t>
  </si>
  <si>
    <t xml:space="preserve">Living </t>
  </si>
  <si>
    <t xml:space="preserve">Dining </t>
  </si>
  <si>
    <t>Other 1</t>
  </si>
  <si>
    <t>Other 2</t>
  </si>
  <si>
    <t>Total</t>
  </si>
  <si>
    <t>Carpet</t>
  </si>
  <si>
    <t>Hardwood</t>
  </si>
  <si>
    <t>Vinyl flooring</t>
  </si>
  <si>
    <t>Wallpaper</t>
  </si>
  <si>
    <t>Doors</t>
  </si>
  <si>
    <t>Door hardware</t>
  </si>
  <si>
    <t>Closet Doors</t>
  </si>
  <si>
    <t>Closet Shelving</t>
  </si>
  <si>
    <t>Crown Molding</t>
  </si>
  <si>
    <t>Wood Trim</t>
  </si>
  <si>
    <t>Duct Vents</t>
  </si>
  <si>
    <t>Can light</t>
  </si>
  <si>
    <t>Dome light</t>
  </si>
  <si>
    <t>Fan Lights</t>
  </si>
  <si>
    <t>BATHROOM FEATURES/REPAIRS</t>
  </si>
  <si>
    <t>MEP SYSTEMS</t>
  </si>
  <si>
    <t>Bathroom Notes</t>
  </si>
  <si>
    <t>System</t>
  </si>
  <si>
    <t>Replace:</t>
  </si>
  <si>
    <t>Bath 1</t>
  </si>
  <si>
    <t>Bath 2</t>
  </si>
  <si>
    <t>Bath 3</t>
  </si>
  <si>
    <t>Subfloor</t>
  </si>
  <si>
    <t>YES  /  NO</t>
  </si>
  <si>
    <t>Air conditioner unit</t>
  </si>
  <si>
    <t>Vanity cabinet</t>
  </si>
  <si>
    <t>Vanity countertop</t>
  </si>
  <si>
    <t>Duct work modification req'd:</t>
  </si>
  <si>
    <t>Asbestos wrapping on duct?</t>
  </si>
  <si>
    <t>Mirror</t>
  </si>
  <si>
    <t>Faucet</t>
  </si>
  <si>
    <t>Lf</t>
  </si>
  <si>
    <t>Water Heater:     GAS /  ELEC</t>
  </si>
  <si>
    <t>Piping:    COPP /  GALV   /  LEAD</t>
  </si>
  <si>
    <t>Water supply line work:</t>
  </si>
  <si>
    <t>Shower pan</t>
  </si>
  <si>
    <t>Sanitary line work:</t>
  </si>
  <si>
    <t>Asbestos insulation on piping</t>
  </si>
  <si>
    <t>Bathtub</t>
  </si>
  <si>
    <t>Shower/tub faucet</t>
  </si>
  <si>
    <t>Toilet</t>
  </si>
  <si>
    <t xml:space="preserve">Electrical Service:    </t>
  </si>
  <si>
    <t>GFI</t>
  </si>
  <si>
    <t xml:space="preserve">Electrical Panel:       </t>
  </si>
  <si>
    <t>Vanity light</t>
  </si>
  <si>
    <t>Wiring:    COPP  / ALUM / KNOB</t>
  </si>
  <si>
    <t>Cable Service Work:</t>
  </si>
  <si>
    <t>Exhaust fan</t>
  </si>
  <si>
    <t>Structural Improvements</t>
  </si>
  <si>
    <t>Repair Cost Contingency</t>
  </si>
  <si>
    <t>Material Deliveries</t>
  </si>
  <si>
    <t>Final cleaning</t>
  </si>
  <si>
    <t>Demo bid/allowance</t>
  </si>
  <si>
    <t>Concrete/Flatwork</t>
  </si>
  <si>
    <t>Deck bid/allowance</t>
  </si>
  <si>
    <t>sheet</t>
  </si>
  <si>
    <t>Steel entry door,  single</t>
  </si>
  <si>
    <t>Landscaping</t>
  </si>
  <si>
    <t>Landscaping bid/allowance, trees, bushes, flowers</t>
  </si>
  <si>
    <t>Tree removal, per tree</t>
  </si>
  <si>
    <t>Miscellaneous Exterior Improvements</t>
  </si>
  <si>
    <t>Framing/Drywall</t>
  </si>
  <si>
    <t>Drywall wallboard, 1/2" thick, finish one side</t>
  </si>
  <si>
    <t>Countertop bid/allowance</t>
  </si>
  <si>
    <t>Replace cabinet doors, only</t>
  </si>
  <si>
    <t>Replace cabinet drawer fronts, only</t>
  </si>
  <si>
    <t>Doors and Trim</t>
  </si>
  <si>
    <t>Interior door, prehung, hollow-core door</t>
  </si>
  <si>
    <t>Interior mirrored, sliding, closet doors</t>
  </si>
  <si>
    <t>Interior bi-fold, closet doors</t>
  </si>
  <si>
    <t>Carpet and Resilient Flooring</t>
  </si>
  <si>
    <t>Hardwood Flooring</t>
  </si>
  <si>
    <t>Underlayment</t>
  </si>
  <si>
    <t>Tiling</t>
  </si>
  <si>
    <t>Tiling bid/allowance</t>
  </si>
  <si>
    <t>Shower tile, standard</t>
  </si>
  <si>
    <t>Kitchen backsplash, mosaic tile</t>
  </si>
  <si>
    <t>Backer board 1/4" at floor tile</t>
  </si>
  <si>
    <t>Paint wood base</t>
  </si>
  <si>
    <t>Strip, paint cabinets/vanities</t>
  </si>
  <si>
    <t>Appliances</t>
  </si>
  <si>
    <t>Plumbing rough-in, per hour</t>
  </si>
  <si>
    <t>Plumbing finish work, per hour</t>
  </si>
  <si>
    <t>Kitchen faucet fixture</t>
  </si>
  <si>
    <t>Hookup dishwasher</t>
  </si>
  <si>
    <t>Water supply line for refrigerator</t>
  </si>
  <si>
    <t>Bathroom faucet fixture</t>
  </si>
  <si>
    <t>Fiberglass tub</t>
  </si>
  <si>
    <t>Fiberglass tub/shower surround</t>
  </si>
  <si>
    <t>Showerhead/tub kit</t>
  </si>
  <si>
    <t>Electrical, bid/allowance</t>
  </si>
  <si>
    <t>Smoke detectors</t>
  </si>
  <si>
    <t>Carbon monoxide detector</t>
  </si>
  <si>
    <t>Lighting</t>
  </si>
  <si>
    <t>Ceiling dome light</t>
  </si>
  <si>
    <t>Ceiling fan fixture</t>
  </si>
  <si>
    <t>Bathroom vanity light</t>
  </si>
  <si>
    <t>Staging and Furnishings</t>
  </si>
  <si>
    <t>Concrete demo for below slab rough-in</t>
  </si>
  <si>
    <t>Exterior painting, bid/allowance</t>
  </si>
  <si>
    <t>Framing</t>
  </si>
  <si>
    <t>Framing and Drywall</t>
  </si>
  <si>
    <t>Doors &amp; Trim</t>
  </si>
  <si>
    <t>Cabinets &amp; Countertops</t>
  </si>
  <si>
    <t>Hardwood floors, bid/allowance</t>
  </si>
  <si>
    <t>Misc. Ext. Improv.</t>
  </si>
  <si>
    <t>Cabinets/Counters</t>
  </si>
  <si>
    <t>Carpet &amp; Resilient</t>
  </si>
  <si>
    <t xml:space="preserve">Plumbing </t>
  </si>
  <si>
    <t>DIY (x)</t>
  </si>
  <si>
    <t>Dumpster rental-40 yard</t>
  </si>
  <si>
    <t>Decking</t>
  </si>
  <si>
    <t xml:space="preserve">Kitchen </t>
  </si>
  <si>
    <t>Backer board 1/2" at wall tile</t>
  </si>
  <si>
    <t>Demolition work per hour</t>
  </si>
  <si>
    <t>Concrete flatwork demo</t>
  </si>
  <si>
    <t>Stucco</t>
  </si>
  <si>
    <t>HVAC Rough-In, per hour</t>
  </si>
  <si>
    <t>HVAC Finish Work, per hour</t>
  </si>
  <si>
    <t>Electrical Rough-in, per hour</t>
  </si>
  <si>
    <t>Electrical Finish Work, per hour</t>
  </si>
  <si>
    <t>APPLIANCES</t>
  </si>
  <si>
    <t>TILING</t>
  </si>
  <si>
    <t>HARDWOOD FLOORING</t>
  </si>
  <si>
    <t>LANDSCAPING</t>
  </si>
  <si>
    <t>GARAGE DOORS</t>
  </si>
  <si>
    <t>ROOFING</t>
  </si>
  <si>
    <t>SIDING</t>
  </si>
  <si>
    <t>MASONRY</t>
  </si>
  <si>
    <t>Cabinet Installation bid/allowance</t>
  </si>
  <si>
    <t>Cabinet Material bid/allowance</t>
  </si>
  <si>
    <t>MAXIMUM PURCHASE PRICE</t>
  </si>
  <si>
    <t>ANNUALIZED ROI</t>
  </si>
  <si>
    <t>Premium for 3 layer tear off</t>
  </si>
  <si>
    <t>Premium for steep pitch roof</t>
  </si>
  <si>
    <t>Sub</t>
  </si>
  <si>
    <t>FRAMING &amp; DRYWALL</t>
  </si>
  <si>
    <t>DOORS &amp; TRIM</t>
  </si>
  <si>
    <t>Drywall ceilings, 1/2" thick</t>
  </si>
  <si>
    <t>Kitchen sink bowl, stainless steel, undermount</t>
  </si>
  <si>
    <t>Kitchen sink bowl, composite, undermount</t>
  </si>
  <si>
    <t>Shower tile, accent mosaic tile</t>
  </si>
  <si>
    <t>Miscellaneous Tiling</t>
  </si>
  <si>
    <t>Bowing foundation walls, vertical I-Beams</t>
  </si>
  <si>
    <t>Settled foundation walls, concrete piers/underpinning</t>
  </si>
  <si>
    <t>Sales Price</t>
  </si>
  <si>
    <t>Shrubs/plantings, 1 gallon</t>
  </si>
  <si>
    <t>Shrubs/plantings, 2 gallon</t>
  </si>
  <si>
    <t>Miscellaneous Plumbing</t>
  </si>
  <si>
    <t xml:space="preserve">Miscellaneous Electrical </t>
  </si>
  <si>
    <t>Lab</t>
  </si>
  <si>
    <t>Mat'l</t>
  </si>
  <si>
    <t>LABOR, MATERIAL, SUB SORTER</t>
  </si>
  <si>
    <t>Notes</t>
  </si>
  <si>
    <t xml:space="preserve">IMPORTANT—READ CAREFULLY:   This End-User License Agreement (“EULA”) is a legal agreement between you and houseflippingspreadsheet.com that covers all products made by houseflippingspreadsheet.com. By downloading, accessing or otherwise using any spreadsheets you agree to be bound by the terms of this EULA. </t>
  </si>
  <si>
    <t xml:space="preserve">2. TERMINATION.  Without prejudice to any other rights, houseflippingspreadsheet.com may terminate this EULA if you fail to comply with the terms and conditions of this EULA.  In such event, you must destroy all copies of any spreadsheet.  </t>
  </si>
  <si>
    <t>Wall tile</t>
  </si>
  <si>
    <t>Floor tile</t>
  </si>
  <si>
    <t>Microwave/Range Hood</t>
  </si>
  <si>
    <t>STRUCTURAL REPAIRS</t>
  </si>
  <si>
    <t>Bowing Walls:   YES   /   NO</t>
  </si>
  <si>
    <t>Settling?:    YES  /   NO</t>
  </si>
  <si>
    <t>Tree removal/trim</t>
  </si>
  <si>
    <t>Furnace:     GAS     /    ELECTRIC</t>
  </si>
  <si>
    <t>Piers:  SOG 8ft oc  |  1-Story 7ft oc  |  2-Story 6ft oc | Masonry  5ft oc + 2 piers @ corners</t>
  </si>
  <si>
    <t>Cracks?:   YES  /  NO</t>
  </si>
  <si>
    <t>Moisture?:  YES  /  NO</t>
  </si>
  <si>
    <t>COMMON ROOM FEATURES/REPAIRS</t>
  </si>
  <si>
    <t>City/State/Zip:</t>
  </si>
  <si>
    <t>Square Feet:</t>
  </si>
  <si>
    <t>Baths:</t>
  </si>
  <si>
    <t>Property Information</t>
  </si>
  <si>
    <t>Beds</t>
  </si>
  <si>
    <t>Baths</t>
  </si>
  <si>
    <t>Sqft</t>
  </si>
  <si>
    <t>$/sf</t>
  </si>
  <si>
    <t>After Repair Value:</t>
  </si>
  <si>
    <t>Gross Profit:</t>
  </si>
  <si>
    <t>Annualized ROI</t>
  </si>
  <si>
    <t>Company Information:</t>
  </si>
  <si>
    <t>Company Name:</t>
  </si>
  <si>
    <t>Phone:</t>
  </si>
  <si>
    <t>Website:</t>
  </si>
  <si>
    <t>AFTER REPAIR VALUE</t>
  </si>
  <si>
    <t>FIXED COSTS</t>
  </si>
  <si>
    <t>TOTAL REPAIR COSTS</t>
  </si>
  <si>
    <t>TOTAL BUYING COSTS</t>
  </si>
  <si>
    <t>BUYING COSTS</t>
  </si>
  <si>
    <t>HOLDING COSTS</t>
  </si>
  <si>
    <t>SELLING COSTS</t>
  </si>
  <si>
    <t>TOTAL SELLING COSTS</t>
  </si>
  <si>
    <t>TOTAL FIXED COSTS</t>
  </si>
  <si>
    <t>DIY VS SUBBED</t>
  </si>
  <si>
    <t>Per Month</t>
  </si>
  <si>
    <t>PROFIT PER MONTH</t>
  </si>
  <si>
    <t>City/State/Zip Code:</t>
  </si>
  <si>
    <t>Email:</t>
  </si>
  <si>
    <t>70% RULE</t>
  </si>
  <si>
    <t>NOTES:</t>
  </si>
  <si>
    <t>REO</t>
  </si>
  <si>
    <t>Single Family Home</t>
  </si>
  <si>
    <t>Offer Type:</t>
  </si>
  <si>
    <t>Lists:</t>
  </si>
  <si>
    <t>Property Type:</t>
  </si>
  <si>
    <t>Duplex</t>
  </si>
  <si>
    <t>Condo</t>
  </si>
  <si>
    <t>Apartment</t>
  </si>
  <si>
    <t>Status:</t>
  </si>
  <si>
    <t>FSBO</t>
  </si>
  <si>
    <t>HUD</t>
  </si>
  <si>
    <t>Homepath</t>
  </si>
  <si>
    <t>Short Sale</t>
  </si>
  <si>
    <t>Structural Repairs</t>
  </si>
  <si>
    <t>All Cash</t>
  </si>
  <si>
    <t>Loan Required:</t>
  </si>
  <si>
    <t>Financed</t>
  </si>
  <si>
    <t>Yes</t>
  </si>
  <si>
    <t>No</t>
  </si>
  <si>
    <t>Purchase Price Only</t>
  </si>
  <si>
    <t>Repair Cost Only</t>
  </si>
  <si>
    <t>All Costs</t>
  </si>
  <si>
    <t>Down Payment Amount</t>
  </si>
  <si>
    <t>Lists</t>
  </si>
  <si>
    <t>Units</t>
  </si>
  <si>
    <t>Scope of Work</t>
  </si>
  <si>
    <t>01</t>
  </si>
  <si>
    <t>02</t>
  </si>
  <si>
    <t>03</t>
  </si>
  <si>
    <t>04</t>
  </si>
  <si>
    <t>06</t>
  </si>
  <si>
    <t>07</t>
  </si>
  <si>
    <t>08</t>
  </si>
  <si>
    <t>Property Information:</t>
  </si>
  <si>
    <t>CASH ROI</t>
  </si>
  <si>
    <t>Specific Loan Amount</t>
  </si>
  <si>
    <t>All products and services of our company are for educational and informational purposes only and are provided "As-Is" without warranty of any kind.  Houseflippingspreadsheet.com hereby disclaim all warranties and conditions with regard to the products, including all implied warranties and conditions of merchantability, fitness for a particular purpose, title and non-infringement.  In no event shall houseflippingspreadsheet.com be liable for any special, indirect or consequential damages or any damages whatsoever resulting from loss of use, data or profits, whether in action of the contract, negligence or other tortious action, arising out of or in connection with the products.  Use caution and seek the advice of qualified professionals.  Check with your accountant, lawyer or professional advisor, before acting on this or any information.</t>
  </si>
  <si>
    <t>Furnishings</t>
  </si>
  <si>
    <t>REHAB PROFIT</t>
  </si>
  <si>
    <t>HVAC SYSTEM</t>
  </si>
  <si>
    <t>PLUMBING SYSTEM</t>
  </si>
  <si>
    <t>ELECTRICAL SYSTEM</t>
  </si>
  <si>
    <t>OFFER TRACKING</t>
  </si>
  <si>
    <t>Bathroom mirrors</t>
  </si>
  <si>
    <t>Toilets</t>
  </si>
  <si>
    <t>Prep/clean siding</t>
  </si>
  <si>
    <t>Paint siding</t>
  </si>
  <si>
    <t>Floor tile, Kitchen</t>
  </si>
  <si>
    <t>Iron balusters</t>
  </si>
  <si>
    <t>Raised panel wood wainscoting</t>
  </si>
  <si>
    <t>Bead board wainscoting</t>
  </si>
  <si>
    <t>Track/Pendent light</t>
  </si>
  <si>
    <t>Fireplace tiling</t>
  </si>
  <si>
    <t>DIY SAVINGS</t>
  </si>
  <si>
    <t>TOTAL</t>
  </si>
  <si>
    <t>Fuel/gas expense</t>
  </si>
  <si>
    <t>Foundation</t>
  </si>
  <si>
    <t>Footing trenching</t>
  </si>
  <si>
    <t>Excavation bid/allowance</t>
  </si>
  <si>
    <t xml:space="preserve">Backfill of trenches </t>
  </si>
  <si>
    <t>Concrete slab on grade, 4" thick</t>
  </si>
  <si>
    <t>Stem wall, single story</t>
  </si>
  <si>
    <t>LABOR/EQUIP</t>
  </si>
  <si>
    <t>Structural Concrete</t>
  </si>
  <si>
    <t>Existing deck, replace decking</t>
  </si>
  <si>
    <t>New deck, columns, joists, railing-treated lumber</t>
  </si>
  <si>
    <t>New deck, columns, joists, railing-cedar</t>
  </si>
  <si>
    <t xml:space="preserve">Concrete footing, 12" wide </t>
  </si>
  <si>
    <t>Garage Doors Only- 16' door, manual</t>
  </si>
  <si>
    <t>Garage Doors Only- 9'x7'  door, manual</t>
  </si>
  <si>
    <t>Sod</t>
  </si>
  <si>
    <t>Seeding</t>
  </si>
  <si>
    <t>Wood fencing</t>
  </si>
  <si>
    <t>Premanufactured carport</t>
  </si>
  <si>
    <t>Rough-in openings</t>
  </si>
  <si>
    <t>Subflooring, 3/4" plywood</t>
  </si>
  <si>
    <t>Open load bearing/structural wall</t>
  </si>
  <si>
    <t>Roof framing/rafters</t>
  </si>
  <si>
    <t>Floor joists/ceiling joists</t>
  </si>
  <si>
    <t>Wall insulation</t>
  </si>
  <si>
    <t>Floor insulation</t>
  </si>
  <si>
    <t>Attic insulation, blown-in</t>
  </si>
  <si>
    <t>Interior wall framing</t>
  </si>
  <si>
    <t>Structural/Exterior wall framing</t>
  </si>
  <si>
    <t>Wood columns</t>
  </si>
  <si>
    <t>Wood handrail - rail only</t>
  </si>
  <si>
    <t>Wood balusters</t>
  </si>
  <si>
    <t>Floor tile, bathrooms</t>
  </si>
  <si>
    <t xml:space="preserve">Floor tile, entry </t>
  </si>
  <si>
    <t>gall</t>
  </si>
  <si>
    <t>Exterior painting materials allowance</t>
  </si>
  <si>
    <t>Interior painting materials allowance</t>
  </si>
  <si>
    <t>Paint doors &amp; frames</t>
  </si>
  <si>
    <t>Paint ceilings</t>
  </si>
  <si>
    <t>Paint walls</t>
  </si>
  <si>
    <t>Replace GFI outlets/ground back to panel</t>
  </si>
  <si>
    <t>CATV Rough-in, per hour</t>
  </si>
  <si>
    <t>Fiberglass shower stall</t>
  </si>
  <si>
    <t>SORTER</t>
  </si>
  <si>
    <t>MAT'L</t>
  </si>
  <si>
    <t>Foundation bid/allowance</t>
  </si>
  <si>
    <t>Excavation</t>
  </si>
  <si>
    <t>Structural Repairs bid/allowance</t>
  </si>
  <si>
    <t>MATERIAL</t>
  </si>
  <si>
    <t>Material</t>
  </si>
  <si>
    <t>05</t>
  </si>
  <si>
    <t>09</t>
  </si>
  <si>
    <t>10</t>
  </si>
  <si>
    <t>SUBBED</t>
  </si>
  <si>
    <t>DIYED</t>
  </si>
  <si>
    <t>Picture Caption</t>
  </si>
  <si>
    <t xml:space="preserve">Exterior door hardware w/ dead bolt </t>
  </si>
  <si>
    <t>Glass storm door, single</t>
  </si>
  <si>
    <t>11</t>
  </si>
  <si>
    <t>12</t>
  </si>
  <si>
    <t>13</t>
  </si>
  <si>
    <t>Inspection Checklist</t>
  </si>
  <si>
    <t>Send Proof of Funds Letter (if required)</t>
  </si>
  <si>
    <t>The following is a detailed appraisal and best-faith offer for your real property in as-is condition based upon comparable sales and required renovations and repairs.  Please use this information as a reference and acknowledgement of due diligence in evaluating our offer.</t>
  </si>
  <si>
    <t>Disclaimer:  The information above is provided as a basis in establishing our Property Price Opinion.  The  intent of our offer is to earn a profit after property rehabilitation.  Actual property figures including rehab cost, fixed cost, and profit, may vary materially, and there is no guarantee of accuracy of the figures presented above.</t>
  </si>
  <si>
    <t>OUR OFFER BY THE NUMBERS</t>
  </si>
  <si>
    <t>Allocate Portion of Profit</t>
  </si>
  <si>
    <t>Total Amount Allocated</t>
  </si>
  <si>
    <t>PROPERTY INVESTMENT ANALYSIS</t>
  </si>
  <si>
    <t xml:space="preserve">SCOPE OF WORK </t>
  </si>
  <si>
    <t>Raw Cost of Work</t>
  </si>
  <si>
    <t>% of Total Repairs</t>
  </si>
  <si>
    <t>Total Allocated</t>
  </si>
  <si>
    <t>Profits Allocated</t>
  </si>
  <si>
    <t>Profit Amount Allocated</t>
  </si>
  <si>
    <t>Cost w/ Allocations</t>
  </si>
  <si>
    <t>Fixed Cost Allocated</t>
  </si>
  <si>
    <t>Profit Shown</t>
  </si>
  <si>
    <t>Contingency Amount</t>
  </si>
  <si>
    <t>Total Repair Costs</t>
  </si>
  <si>
    <t>Homeowner Offer Report</t>
  </si>
  <si>
    <t>Crown molding</t>
  </si>
  <si>
    <t>Chandelier light fixture</t>
  </si>
  <si>
    <t>Misc. Tools &amp; Materials</t>
  </si>
  <si>
    <t>Rekey/lock box</t>
  </si>
  <si>
    <t>Holding Costs (Mortgage Payments, PMI, Taxes, Utilities, Insurance, etc.)</t>
  </si>
  <si>
    <t>DIYED OR SUBBED</t>
  </si>
  <si>
    <t>Scopes of Work DIY vs Subbed Sorter</t>
  </si>
  <si>
    <t xml:space="preserve">1. GRANT OF LICENSE.  This EULA grants you the right to use this spreadsheet for personal or business use only and it may not be distributed outside of your organization.  You may not sell, resell, license, rent, lease, lend, or otherwise transfer for value.  You may not remove or alter any logo, trademark, copyright, hyperlinks, disclaimers, terms of use, or other proprietary notices within the spreadsheet.  </t>
  </si>
  <si>
    <t>Bank Transfer</t>
  </si>
  <si>
    <t>Subcontractor</t>
  </si>
  <si>
    <t>14</t>
  </si>
  <si>
    <t>15</t>
  </si>
  <si>
    <t>16</t>
  </si>
  <si>
    <t>17</t>
  </si>
  <si>
    <t>18</t>
  </si>
  <si>
    <t>19</t>
  </si>
  <si>
    <t>20</t>
  </si>
  <si>
    <t>21</t>
  </si>
  <si>
    <t>22</t>
  </si>
  <si>
    <t>23</t>
  </si>
  <si>
    <t>24</t>
  </si>
  <si>
    <t>25</t>
  </si>
  <si>
    <t>26</t>
  </si>
  <si>
    <t>27</t>
  </si>
  <si>
    <t>28</t>
  </si>
  <si>
    <t>29</t>
  </si>
  <si>
    <t>30</t>
  </si>
  <si>
    <t>Totals</t>
  </si>
  <si>
    <t>CONCRETE &amp; FLATWORK</t>
  </si>
  <si>
    <t>OTHER</t>
  </si>
  <si>
    <t>States</t>
  </si>
  <si>
    <t>Yes/No</t>
  </si>
  <si>
    <t>Alabama</t>
  </si>
  <si>
    <t>Alaska</t>
  </si>
  <si>
    <t>Arizona</t>
  </si>
  <si>
    <t>Arkansas</t>
  </si>
  <si>
    <t>California</t>
  </si>
  <si>
    <t>Check</t>
  </si>
  <si>
    <t>Colorado</t>
  </si>
  <si>
    <t>Credit Card</t>
  </si>
  <si>
    <t>Connecticut</t>
  </si>
  <si>
    <t>Debit Card</t>
  </si>
  <si>
    <t>Delaware</t>
  </si>
  <si>
    <t>Cash</t>
  </si>
  <si>
    <t>Florida</t>
  </si>
  <si>
    <t>Georgia</t>
  </si>
  <si>
    <t>Paypal</t>
  </si>
  <si>
    <t>Hawaii</t>
  </si>
  <si>
    <t>Idaho</t>
  </si>
  <si>
    <t>Illinois</t>
  </si>
  <si>
    <t>Indiana</t>
  </si>
  <si>
    <t>Labor/Equipment</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</si>
  <si>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</si>
  <si>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</si>
  <si>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</si>
  <si>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</si>
  <si>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</si>
  <si>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</si>
  <si>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</si>
  <si>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</si>
  <si>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</si>
  <si>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</si>
  <si>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</si>
  <si>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</si>
  <si>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</si>
  <si>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</si>
  <si>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</si>
  <si>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</si>
  <si>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</si>
  <si>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</si>
  <si>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</si>
  <si>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</si>
  <si>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</si>
  <si>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</si>
  <si>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</si>
  <si>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</si>
  <si>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</si>
  <si>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</si>
  <si>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</si>
  <si>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</si>
  <si>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</si>
  <si>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</si>
  <si>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</si>
  <si>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</si>
  <si>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</si>
  <si>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</si>
  <si>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</si>
  <si>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</si>
  <si>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REHABBER PROFIT</t>
  </si>
  <si>
    <t>ARV</t>
  </si>
  <si>
    <t>REHABBER MAXIMUM PURCHASE PRICE</t>
  </si>
  <si>
    <t>of sale price</t>
  </si>
  <si>
    <t>WHOLESALER ASSIGNMENT FEE</t>
  </si>
  <si>
    <t>WHOLESALER MAXIMUM ALLOWABLE OFFER</t>
  </si>
  <si>
    <t>Monthly</t>
  </si>
  <si>
    <t>Revenues</t>
  </si>
  <si>
    <t>Vacancy Loss Amount</t>
  </si>
  <si>
    <t>Vacancy Loss</t>
  </si>
  <si>
    <t>Gross Operating Income</t>
  </si>
  <si>
    <t>Operating Expenses</t>
  </si>
  <si>
    <t>Property Insurance</t>
  </si>
  <si>
    <t>Total Operating Expenses</t>
  </si>
  <si>
    <t>Net Operating Income</t>
  </si>
  <si>
    <t>Financing</t>
  </si>
  <si>
    <t>Mortgage Payment (Interest Amount)</t>
  </si>
  <si>
    <t>Mortgage Payment (Principal Amount)</t>
  </si>
  <si>
    <t>Total Financing</t>
  </si>
  <si>
    <t xml:space="preserve">Cash Flow </t>
  </si>
  <si>
    <t>Equity</t>
  </si>
  <si>
    <t>Equity-on-Cash ROI</t>
  </si>
  <si>
    <t>Total Return</t>
  </si>
  <si>
    <t>Total Return-on-Cash</t>
  </si>
  <si>
    <t>Loan Balance</t>
  </si>
  <si>
    <t>#</t>
  </si>
  <si>
    <t>Street Address</t>
  </si>
  <si>
    <t>Email</t>
  </si>
  <si>
    <t>PURCHASE PRICE</t>
  </si>
  <si>
    <t>WORK BREAKDOWN BY SCOPE OF WORK</t>
  </si>
  <si>
    <t>Chart of Accounts</t>
  </si>
  <si>
    <t>Bank Account</t>
  </si>
  <si>
    <t>Loan</t>
  </si>
  <si>
    <t>Petty Cash</t>
  </si>
  <si>
    <t>Expense Reimbursement</t>
  </si>
  <si>
    <t>YEAR 01</t>
  </si>
  <si>
    <t>END-USER LICENSE AGREEMENT</t>
  </si>
  <si>
    <t>STRUCTURAL CONCRETE</t>
  </si>
  <si>
    <t>CABINETS &amp; COUNTERTOPS</t>
  </si>
  <si>
    <t>week</t>
  </si>
  <si>
    <t>month</t>
  </si>
  <si>
    <t>gallon</t>
  </si>
  <si>
    <t>cy</t>
  </si>
  <si>
    <t>Architectural Fees</t>
  </si>
  <si>
    <t>Engineering Fees</t>
  </si>
  <si>
    <t>Room demolition, typical room</t>
  </si>
  <si>
    <t>Room demolition, kitchen</t>
  </si>
  <si>
    <t>Room demolition, bathroom</t>
  </si>
  <si>
    <t>Concrete slab demolition, 4"-6"</t>
  </si>
  <si>
    <t>Building demolition, 1-story wood-framed</t>
  </si>
  <si>
    <t>Building demolition, 2-story wood framed</t>
  </si>
  <si>
    <t>Building demolition, masonry</t>
  </si>
  <si>
    <t>Building demolition, steel/concrete</t>
  </si>
  <si>
    <t>Mold, minimum charge</t>
  </si>
  <si>
    <t>Abatement</t>
  </si>
  <si>
    <t>Asbestos bid/allowance</t>
  </si>
  <si>
    <t>Epoxy crack injection</t>
  </si>
  <si>
    <t>Foundation waterproofing &amp; drain tile, single story</t>
  </si>
  <si>
    <t>Concrete driveway/patio, 6" thick</t>
  </si>
  <si>
    <t>Concrete sidewalk, 4" thick</t>
  </si>
  <si>
    <t>Asphalt</t>
  </si>
  <si>
    <t>Asphalt bid/allowance</t>
  </si>
  <si>
    <t>Asphalt pavement, 5" thick</t>
  </si>
  <si>
    <t>Asphalt pavement, 7" thick</t>
  </si>
  <si>
    <t>CMU, 4x8</t>
  </si>
  <si>
    <t>CMU, 8x8</t>
  </si>
  <si>
    <t>Brick veneer</t>
  </si>
  <si>
    <t>Masonry waterproofing</t>
  </si>
  <si>
    <t>Power wash masonry</t>
  </si>
  <si>
    <t xml:space="preserve">Chimney, brick </t>
  </si>
  <si>
    <t>vlf</t>
  </si>
  <si>
    <t>Chimney, stone</t>
  </si>
  <si>
    <t>Add to above for chimney cap</t>
  </si>
  <si>
    <t>Natural stone</t>
  </si>
  <si>
    <t>Fireplace complete, brick, 3ft-4ft wide w/ chimney</t>
  </si>
  <si>
    <t>Plywood panel, douglas fir</t>
  </si>
  <si>
    <t>Plywood panel, cedar</t>
  </si>
  <si>
    <t>Tongue and groove, douglas fir</t>
  </si>
  <si>
    <t>Tongue and groove, cedar</t>
  </si>
  <si>
    <t>Board and batten, douglas fir</t>
  </si>
  <si>
    <t>Board and batten, cedar</t>
  </si>
  <si>
    <t>Wood shingle/shake</t>
  </si>
  <si>
    <t>Fiber cement siding, 4x8 panels</t>
  </si>
  <si>
    <t>Fiber cement siding, lap</t>
  </si>
  <si>
    <t>Vinyl siding, non-insulated</t>
  </si>
  <si>
    <t>Vinyl siding, insulated</t>
  </si>
  <si>
    <t>Trim, 1"x4", pine</t>
  </si>
  <si>
    <t>Trim, 1"x3", pine</t>
  </si>
  <si>
    <t>Trim, 1"x6", pine</t>
  </si>
  <si>
    <t>Siding patch, window/door, siding, insulation</t>
  </si>
  <si>
    <t>Install railing w/ wood balusters only</t>
  </si>
  <si>
    <t>Install railing w/ metal balusters only</t>
  </si>
  <si>
    <t>Pavers bid/allowance</t>
  </si>
  <si>
    <t>Brick pavers, sand base</t>
  </si>
  <si>
    <t>Brick pavers, mortar base</t>
  </si>
  <si>
    <t>Pavers</t>
  </si>
  <si>
    <t>Asphalt pavement, wearing course, 1" thick only</t>
  </si>
  <si>
    <t>Add for 4" base rock below asphalt pavement</t>
  </si>
  <si>
    <t>Add for 4" base rock below concrete pavement</t>
  </si>
  <si>
    <t>Asphalt seal coat</t>
  </si>
  <si>
    <t>Stairs, 5 to 7 risers</t>
  </si>
  <si>
    <t>Covered Patio</t>
  </si>
  <si>
    <t>Covered Patio bid/allowance</t>
  </si>
  <si>
    <t>Covered patio, floor, roof frame, decking, treated</t>
  </si>
  <si>
    <t>DECKING AND PATIOS</t>
  </si>
  <si>
    <t>Wood board ceiling, tongue and groove</t>
  </si>
  <si>
    <t>Insect screening</t>
  </si>
  <si>
    <t>Roof repair/patch, asphalt</t>
  </si>
  <si>
    <t>Garage Door Operator only</t>
  </si>
  <si>
    <t>Replace springs for garage door</t>
  </si>
  <si>
    <t>Asphalt shingle roof</t>
  </si>
  <si>
    <t>Roof replacement-demo &amp; replace, architectural</t>
  </si>
  <si>
    <t>Roof replacement-demo &amp; replace, 3-tab</t>
  </si>
  <si>
    <t>Wood Shingle Roof</t>
  </si>
  <si>
    <t>Roof repair/patch, wood</t>
  </si>
  <si>
    <t>Wood shingle, low end</t>
  </si>
  <si>
    <t>Wood shingle, high end</t>
  </si>
  <si>
    <t>Slate/Clay Tile</t>
  </si>
  <si>
    <t>Roof replacement-demo &amp; replace, slate</t>
  </si>
  <si>
    <t>Gutters &amp; downspouts, aluminum</t>
  </si>
  <si>
    <t>TOTAL REPAIR ESTIMATE</t>
  </si>
  <si>
    <t>DIY SORT</t>
  </si>
  <si>
    <t>CARPET &amp; RESILIENT</t>
  </si>
  <si>
    <t>French patio door, pair</t>
  </si>
  <si>
    <t>Sliding glass door, vinyl, double</t>
  </si>
  <si>
    <t>Exterior Doors</t>
  </si>
  <si>
    <t>Exterior doors bid/allowance</t>
  </si>
  <si>
    <t>New windows, vinyl, average size</t>
  </si>
  <si>
    <t>Replacement windows, vinyl, average size</t>
  </si>
  <si>
    <t>Skylight, 3x3, fixed</t>
  </si>
  <si>
    <t>Skylight, operable</t>
  </si>
  <si>
    <t>Replace broken window pane</t>
  </si>
  <si>
    <t>Replace broken screens</t>
  </si>
  <si>
    <t>Repair broken screens</t>
  </si>
  <si>
    <t>Wood windows, average size</t>
  </si>
  <si>
    <t>ESTIMATE BREAKDOWN BY SCOPE OF WORK</t>
  </si>
  <si>
    <t>UNIT PRICES</t>
  </si>
  <si>
    <t>UNIT</t>
  </si>
  <si>
    <t>DESCRIPTION OF WORK</t>
  </si>
  <si>
    <t>Misc. Exterior Structures</t>
  </si>
  <si>
    <t>Pools</t>
  </si>
  <si>
    <t>Pool heater/motor</t>
  </si>
  <si>
    <t>Pool filter system</t>
  </si>
  <si>
    <t>Storage shed, wood</t>
  </si>
  <si>
    <t>Miscellaneous Improvements</t>
  </si>
  <si>
    <t>Fencing</t>
  </si>
  <si>
    <t>Gazebo</t>
  </si>
  <si>
    <t>Clean gutters &amp; downspouts</t>
  </si>
  <si>
    <t>Kitchen Base Cabinetry</t>
  </si>
  <si>
    <t>Kitchen Upper Cabinetry</t>
  </si>
  <si>
    <t>Kitchen Pantry Cabinet</t>
  </si>
  <si>
    <t>Plastic laminate countertop</t>
  </si>
  <si>
    <t>Closet kit, 8ft long</t>
  </si>
  <si>
    <t>Door casings</t>
  </si>
  <si>
    <t>Window casings</t>
  </si>
  <si>
    <t>Window sills</t>
  </si>
  <si>
    <t>Garage Doors Bid/Allowance</t>
  </si>
  <si>
    <t>New Pool structure</t>
  </si>
  <si>
    <t>Replaster existing pool wall</t>
  </si>
  <si>
    <t>Stone/solid surface countertop, kitchen</t>
  </si>
  <si>
    <t>Vanity countertop, stone/solid surface</t>
  </si>
  <si>
    <t>Carpet, economy grade</t>
  </si>
  <si>
    <t>Carpet average grade</t>
  </si>
  <si>
    <t>Carpet, premium grade</t>
  </si>
  <si>
    <t>Sheet vinyl, economy grade</t>
  </si>
  <si>
    <t>Carpeting</t>
  </si>
  <si>
    <t>Sheet Vinyl</t>
  </si>
  <si>
    <t>Sheet vinyl, average grade</t>
  </si>
  <si>
    <t>Sheet vinyl, premium grade</t>
  </si>
  <si>
    <t>Clean and wax vinyl</t>
  </si>
  <si>
    <t>Vinyl Tile</t>
  </si>
  <si>
    <t>Vinyl tile, economy grade</t>
  </si>
  <si>
    <t>Carpeting &amp; Resilient bid/allowance</t>
  </si>
  <si>
    <t>Vinyl tile, premium grade</t>
  </si>
  <si>
    <t>Vinyl tile, average grade</t>
  </si>
  <si>
    <t>Appliances, Bid/Allowance</t>
  </si>
  <si>
    <t>Range, economy</t>
  </si>
  <si>
    <t>Range, average</t>
  </si>
  <si>
    <t>Refrigerator, economy</t>
  </si>
  <si>
    <t>Refrigerator, average</t>
  </si>
  <si>
    <t>Dishwasher, economy</t>
  </si>
  <si>
    <t>Dishwasher, average</t>
  </si>
  <si>
    <t>Hotel type, hot/cold packaged unit</t>
  </si>
  <si>
    <t>HVAC equipment tune-up/service call</t>
  </si>
  <si>
    <t>Window mounted unit</t>
  </si>
  <si>
    <t>Replace electrical panel, 200 AMP</t>
  </si>
  <si>
    <t>Replace electrical panel, 100 AMP</t>
  </si>
  <si>
    <t>Replace outlets, light switches</t>
  </si>
  <si>
    <t>MISCELLANEOUS</t>
  </si>
  <si>
    <t>Concrete</t>
  </si>
  <si>
    <t># OF MONTHS</t>
  </si>
  <si>
    <t>REHAB SCHEDULE</t>
  </si>
  <si>
    <t>LISTING PERIOD</t>
  </si>
  <si>
    <t>TOTAL HOLDING</t>
  </si>
  <si>
    <t>BROKERAGE FEE ($300 Avg.)</t>
  </si>
  <si>
    <t>INSPECTION COSTS ($400 Avg.)</t>
  </si>
  <si>
    <t>APPRAISAL FEE ($500 Avg.)</t>
  </si>
  <si>
    <t>TITLE SEARCH ($300 Avg.)</t>
  </si>
  <si>
    <t>CLOSING COSTS &amp;POINTS</t>
  </si>
  <si>
    <t>PROPERTY TAXES</t>
  </si>
  <si>
    <t>UTILITIES</t>
  </si>
  <si>
    <t>INSURANCE</t>
  </si>
  <si>
    <t>HOA DUES</t>
  </si>
  <si>
    <t>MAINTENANCE</t>
  </si>
  <si>
    <t>COMMISSIONS</t>
  </si>
  <si>
    <t>SELLER ASSISTED CLOSING COSTS</t>
  </si>
  <si>
    <t>HOME WARRANTY ($450 Avg.)</t>
  </si>
  <si>
    <t>2ND APPRAISAL ($500 Avg.)</t>
  </si>
  <si>
    <t>CLOSING COSTS &amp; POINTS</t>
  </si>
  <si>
    <t xml:space="preserve">OTHER </t>
  </si>
  <si>
    <t>LOAN PAYMENT</t>
  </si>
  <si>
    <t>Purchase Price</t>
  </si>
  <si>
    <t>Total Investment</t>
  </si>
  <si>
    <t>Fixed Costs</t>
  </si>
  <si>
    <t>DEAL ANALYSIS REPORTS</t>
  </si>
  <si>
    <t>gal</t>
  </si>
  <si>
    <t>TITLE INSURANCE ($150 Avg.)</t>
  </si>
  <si>
    <t>DEMOLITION</t>
  </si>
  <si>
    <t>NOTES</t>
  </si>
  <si>
    <t>DIYED LABOR</t>
  </si>
  <si>
    <t>SUBBED LABOR</t>
  </si>
  <si>
    <t>Shrubs/plantings, 5 gallon</t>
  </si>
  <si>
    <t>Small trees, 1-2" caliper, 10 gallon</t>
  </si>
  <si>
    <t>36" box tree</t>
  </si>
  <si>
    <t>Small trees, 1-2" 15 gallon</t>
  </si>
  <si>
    <t>Landscape rock, 3/4"</t>
  </si>
  <si>
    <t>Cobble stone rock</t>
  </si>
  <si>
    <t>Stacked, retaining wall</t>
  </si>
  <si>
    <t>Laminate wood flooring, economy grade</t>
  </si>
  <si>
    <t>Laminate wood flooring, average grade</t>
  </si>
  <si>
    <t>Laminate wood flooring, premium grade</t>
  </si>
  <si>
    <t>Laminate Flooring</t>
  </si>
  <si>
    <t>Hardwood flooring, economy grade</t>
  </si>
  <si>
    <t>Hardwood flooring, average grade</t>
  </si>
  <si>
    <t>Hardwood flooring, premium grade</t>
  </si>
  <si>
    <t>Hardwood Floor Refinishing</t>
  </si>
  <si>
    <t>Floor refinishing</t>
  </si>
  <si>
    <t>Lacing new hardwood to match existing, case-by-case</t>
  </si>
  <si>
    <t>Miscellaneous</t>
  </si>
  <si>
    <t>Shoe moldings</t>
  </si>
  <si>
    <t>Stair treads, 4ft avg</t>
  </si>
  <si>
    <t>Replace air conditioning unit, ~1,000 sf, 2 ton</t>
  </si>
  <si>
    <t>Replace gas fired forced air unit, 3,000, 100k btus</t>
  </si>
  <si>
    <t>Replace gas fired forced air unit, 2,000, 80k btus</t>
  </si>
  <si>
    <t>Replace gas fired forced air unit, 1000 sf, 60k btus</t>
  </si>
  <si>
    <t>Replace air conditioning unit, ~3,000sf, 5 ton</t>
  </si>
  <si>
    <t>Replace air conditioning unit, ~2,000 sf, 3.5 ton</t>
  </si>
  <si>
    <t>Total Repair Estimate</t>
  </si>
  <si>
    <t>Window coverings, each window</t>
  </si>
  <si>
    <t>Down payment Yes or Nos?</t>
  </si>
  <si>
    <t>Asbestos testing</t>
  </si>
  <si>
    <t>Asbestos abatement, minimum charge</t>
  </si>
  <si>
    <t>Tuck-point masonry</t>
  </si>
  <si>
    <t>Chain link fencing</t>
  </si>
  <si>
    <t>Skim coating/texturing walls</t>
  </si>
  <si>
    <t>Skim coating/texturing ceilings</t>
  </si>
  <si>
    <t>Cost w/ Contingency</t>
  </si>
  <si>
    <t>Wood  base</t>
  </si>
  <si>
    <t>Garbage disposal</t>
  </si>
  <si>
    <t>REPAIR ESTIMATE</t>
  </si>
  <si>
    <t>Net to Owner (-6% Sales Comm)</t>
  </si>
  <si>
    <t>Misc. Ext Improvements bid/allowance</t>
  </si>
  <si>
    <t>Upfront</t>
  </si>
  <si>
    <t>Interest Rate %:</t>
  </si>
  <si>
    <t xml:space="preserve"> Lender Points %:</t>
  </si>
  <si>
    <t>Points Amount</t>
  </si>
  <si>
    <t>Points Added to Loan Balance</t>
  </si>
  <si>
    <t>Points Paid Upfront or Rolled?:</t>
  </si>
  <si>
    <t>Payments Made Monthly or Rolled?:</t>
  </si>
  <si>
    <t>Rolled</t>
  </si>
  <si>
    <t>Loan 1</t>
  </si>
  <si>
    <t>Suggested, but Not Required</t>
  </si>
  <si>
    <t>Required Field</t>
  </si>
  <si>
    <t>Field Completed</t>
  </si>
  <si>
    <t>Total Financing Costs</t>
  </si>
  <si>
    <t>2nd Loan:</t>
  </si>
  <si>
    <t>1st Loan:</t>
  </si>
  <si>
    <t>Interest Only</t>
  </si>
  <si>
    <t>Amortized</t>
  </si>
  <si>
    <t>Total Costs</t>
  </si>
  <si>
    <t xml:space="preserve">Purchase Price % OF ARV                </t>
  </si>
  <si>
    <t>INVESTMENT BREAKDOWN</t>
  </si>
  <si>
    <t>Down Payment</t>
  </si>
  <si>
    <t>Monthly Interest</t>
  </si>
  <si>
    <t>Total Interest</t>
  </si>
  <si>
    <t>Interest Added to Loan Balance</t>
  </si>
  <si>
    <t>Mortgage PMT (Interest)</t>
  </si>
  <si>
    <t>Mortgage PMT (Principal)</t>
  </si>
  <si>
    <t>CASH FLOW REPORT</t>
  </si>
  <si>
    <t>DETAILED</t>
  </si>
  <si>
    <t>LUMP SUM</t>
  </si>
  <si>
    <t>QUICK BID</t>
  </si>
  <si>
    <t>Rehab Analyzer</t>
  </si>
  <si>
    <t>Alternative Exit Strategies</t>
  </si>
  <si>
    <t>Rental Calculator</t>
  </si>
  <si>
    <t>Deal Analysis Reports</t>
  </si>
  <si>
    <t>Deal Analysis Tools</t>
  </si>
  <si>
    <t>Wholesale Calculator</t>
  </si>
  <si>
    <t>Investment Report</t>
  </si>
  <si>
    <t>LOCKED</t>
  </si>
  <si>
    <t># of Licenses:</t>
  </si>
  <si>
    <t>REPAIR ESTIMATOR</t>
  </si>
  <si>
    <t>REHAB ANALYZER</t>
  </si>
  <si>
    <t>INSPECTION CHECKLIST</t>
  </si>
  <si>
    <t>INVESTMENT REPORT</t>
  </si>
  <si>
    <t>SCOPE OF WORK REPORT</t>
  </si>
  <si>
    <t>DEAL ANALYSIS TOOLS</t>
  </si>
  <si>
    <t>RENTAL CALCULATOR</t>
  </si>
  <si>
    <t>WHOLESALE CALCULATOR</t>
  </si>
  <si>
    <t>REPAIR COST ESTIMATE REPORT</t>
  </si>
  <si>
    <t>TOOL OR REPORT</t>
  </si>
  <si>
    <t>PASSWORD PROTECTED?</t>
  </si>
  <si>
    <t>PASSWORD</t>
  </si>
  <si>
    <t>This Sheet's Password</t>
  </si>
  <si>
    <t>INFO SHEET</t>
  </si>
  <si>
    <t>% OF ARV</t>
  </si>
  <si>
    <t>COCR</t>
  </si>
  <si>
    <t>per month</t>
  </si>
  <si>
    <t>per year</t>
  </si>
  <si>
    <t>Fixed Expenses:</t>
  </si>
  <si>
    <t>Purchase + Repairs</t>
  </si>
  <si>
    <t>Loan Type</t>
  </si>
  <si>
    <t>Neighborhood:</t>
  </si>
  <si>
    <t>monthly</t>
  </si>
  <si>
    <t>yearly</t>
  </si>
  <si>
    <t>MONTHLY CASH FLOW</t>
  </si>
  <si>
    <t>Monthly Rental Income</t>
  </si>
  <si>
    <t>Mortgage Payment  (interest)</t>
  </si>
  <si>
    <t>Mortgage Payment (principal)</t>
  </si>
  <si>
    <t>TOTAL RETURN (cash + equity)</t>
  </si>
  <si>
    <t>Cash Flow</t>
  </si>
  <si>
    <t>Cash on Cash ROI</t>
  </si>
  <si>
    <t>Equity Earned (principal paydown)</t>
  </si>
  <si>
    <t>Total Return (cash + equity)</t>
  </si>
  <si>
    <t>Cleaning and Maintenance:</t>
  </si>
  <si>
    <t>HOA Dues:</t>
  </si>
  <si>
    <t>Lawn and Groundskeeping:</t>
  </si>
  <si>
    <t>Auto and Travel:</t>
  </si>
  <si>
    <t>Electrical Utilities:</t>
  </si>
  <si>
    <t>Water Utilities:</t>
  </si>
  <si>
    <t>Gas Utilities:</t>
  </si>
  <si>
    <t>Garbage:</t>
  </si>
  <si>
    <t>Advertising:</t>
  </si>
  <si>
    <t>Accounting &amp; Legal:</t>
  </si>
  <si>
    <t>Other 1:</t>
  </si>
  <si>
    <t>Other 2:</t>
  </si>
  <si>
    <t>Purchase Price:</t>
  </si>
  <si>
    <t>Total Interest Income</t>
  </si>
  <si>
    <t>Total Income to Lender</t>
  </si>
  <si>
    <t>Interest Income</t>
  </si>
  <si>
    <t>MONTHLY RENTAL INCOME</t>
  </si>
  <si>
    <t>%</t>
  </si>
  <si>
    <t>% of rent</t>
  </si>
  <si>
    <t>ALTERNATIVE STRATEGY REPORTS</t>
  </si>
  <si>
    <t>ALTERNATIVE EXIT STRATEGIES</t>
  </si>
  <si>
    <t>Licensed To:</t>
  </si>
  <si>
    <t>Licensing Information:</t>
  </si>
  <si>
    <t>Product Information:</t>
  </si>
  <si>
    <t>Product Name:</t>
  </si>
  <si>
    <t>Release #:</t>
  </si>
  <si>
    <t>Copyright Information:</t>
  </si>
  <si>
    <t>Company:</t>
  </si>
  <si>
    <t xml:space="preserve">Costpoint Solutions, LLC DBA </t>
  </si>
  <si>
    <t>Houseflippingspreadsheet.com</t>
  </si>
  <si>
    <t>Company Address:</t>
  </si>
  <si>
    <t>P.O. Box 165324</t>
  </si>
  <si>
    <t>North Kansas City, MO 64116</t>
  </si>
  <si>
    <t>Company Phone:</t>
  </si>
  <si>
    <t>816.388.0197</t>
  </si>
  <si>
    <t>Hidden</t>
  </si>
  <si>
    <t>TOTAL PROJECT COSTS</t>
  </si>
  <si>
    <t>Total Loan Requested</t>
  </si>
  <si>
    <t>© 2016 by Houseflippingspreadsheet.com. All rights reserved</t>
  </si>
  <si>
    <t>Input Specific Amount</t>
  </si>
  <si>
    <t>Repair Costs Only</t>
  </si>
  <si>
    <t>All Project Costs</t>
  </si>
  <si>
    <t xml:space="preserve">Down Payment or LTV?: </t>
  </si>
  <si>
    <t>LTV</t>
  </si>
  <si>
    <t>input # (ex. 6)</t>
  </si>
  <si>
    <t>% of ARV</t>
  </si>
  <si>
    <t>Total Financed Amount</t>
  </si>
  <si>
    <t>Length of Loan Payments (months)</t>
  </si>
  <si>
    <t>SCOPE OF WORK</t>
  </si>
  <si>
    <t>$ / SF</t>
  </si>
  <si>
    <t>Investment Reports</t>
  </si>
  <si>
    <t>Interest Rate</t>
  </si>
  <si>
    <t>CALCULATED REHAB PROFIT</t>
  </si>
  <si>
    <t>Input your Purchase Price below:</t>
  </si>
  <si>
    <t>Rental Reports</t>
  </si>
  <si>
    <t>Profit</t>
  </si>
  <si>
    <t>ROI</t>
  </si>
  <si>
    <t>Result</t>
  </si>
  <si>
    <t>Lender Funding Reports</t>
  </si>
  <si>
    <t>Wholesaling Reports</t>
  </si>
  <si>
    <t>Rehabbing Reports</t>
  </si>
  <si>
    <t xml:space="preserve">Inspection Checklist </t>
  </si>
  <si>
    <t xml:space="preserve">Repair Estimate Reports </t>
  </si>
  <si>
    <t>A pre-built offer report that can be given to a Homeowner or Seller of a property.</t>
  </si>
  <si>
    <t>Results</t>
  </si>
  <si>
    <t>Repair Estimator</t>
  </si>
  <si>
    <t>Project Name</t>
  </si>
  <si>
    <t># of Beds</t>
  </si>
  <si>
    <t># of Baths</t>
  </si>
  <si>
    <t>Square Feet</t>
  </si>
  <si>
    <t>Project Information</t>
  </si>
  <si>
    <t>City/State/Zip</t>
  </si>
  <si>
    <t>Phone</t>
  </si>
  <si>
    <t>Website</t>
  </si>
  <si>
    <t>Repair Estimator - The Basics</t>
  </si>
  <si>
    <t>Description</t>
  </si>
  <si>
    <t>Total Estimate:</t>
  </si>
  <si>
    <t>SubTotal Estimate:</t>
  </si>
  <si>
    <t>TOTAL ESTIMATE:</t>
  </si>
  <si>
    <t>Page 1</t>
  </si>
  <si>
    <t>Page 2</t>
  </si>
  <si>
    <t>Page 3</t>
  </si>
  <si>
    <t>Rehab Reports</t>
  </si>
  <si>
    <t>Alternative Exit Strategy Reports</t>
  </si>
  <si>
    <t>Analyze Your Rehab Deal</t>
  </si>
  <si>
    <t>Offer Tracker</t>
  </si>
  <si>
    <t>Home Owner Offer Report</t>
  </si>
  <si>
    <t>© 2016 by HouseFlippingSpreadsheet.com. All rights reserved</t>
  </si>
  <si>
    <t>Offer Price</t>
  </si>
  <si>
    <t>Buying Costs:</t>
  </si>
  <si>
    <t>Total Fixed Costs</t>
  </si>
  <si>
    <t>Repair Estimate</t>
  </si>
  <si>
    <t>Input Offer 1 Below:</t>
  </si>
  <si>
    <t>Input Offer 2 Below:</t>
  </si>
  <si>
    <t>Input Offer 3 Below:</t>
  </si>
  <si>
    <t>Input Offer 4 Below:</t>
  </si>
  <si>
    <t>Input Offer 5 Below:</t>
  </si>
  <si>
    <t>Total Profit</t>
  </si>
  <si>
    <t>Funding Strategy:</t>
  </si>
  <si>
    <t>Fixed Costs Percentage</t>
  </si>
  <si>
    <t>Buying Costs %:</t>
  </si>
  <si>
    <t>Rehab Analyzer Calculation Method</t>
  </si>
  <si>
    <t>Analyzer Setting Description</t>
  </si>
  <si>
    <t>Profit per Month</t>
  </si>
  <si>
    <t>Annualized COCR</t>
  </si>
  <si>
    <t>After Repair Value Result</t>
  </si>
  <si>
    <t xml:space="preserve">Quality </t>
  </si>
  <si>
    <t>Size of Project</t>
  </si>
  <si>
    <t>Disclaimer</t>
  </si>
  <si>
    <t>Location</t>
  </si>
  <si>
    <t>Video Quick Links</t>
  </si>
  <si>
    <t>Changing Scopes of Work</t>
  </si>
  <si>
    <t>Changing Unit Prices</t>
  </si>
  <si>
    <t>Repair Estimate Report</t>
  </si>
  <si>
    <t>East Coast:</t>
  </si>
  <si>
    <t>Urban Areas:</t>
  </si>
  <si>
    <t>Washington DC</t>
  </si>
  <si>
    <t>New York, NY</t>
  </si>
  <si>
    <t>Boston, MA</t>
  </si>
  <si>
    <t>Philadelphia, PA</t>
  </si>
  <si>
    <t>Pittsburgh, PA</t>
  </si>
  <si>
    <t>Charlotte, NC</t>
  </si>
  <si>
    <t>Miami, FL</t>
  </si>
  <si>
    <t>Jacksonville, FL</t>
  </si>
  <si>
    <t>Multiplier</t>
  </si>
  <si>
    <t>Midwest/Mountain:</t>
  </si>
  <si>
    <t>Rural Areas:</t>
  </si>
  <si>
    <t>Atlanta, GA</t>
  </si>
  <si>
    <t>Nashville, TN</t>
  </si>
  <si>
    <t>Indianapolis, IN</t>
  </si>
  <si>
    <t>New Orleans, LA</t>
  </si>
  <si>
    <t>.80 to 1.00</t>
  </si>
  <si>
    <t>San Antonio</t>
  </si>
  <si>
    <t>Dallas</t>
  </si>
  <si>
    <t>Oklahoma City</t>
  </si>
  <si>
    <t>St. Louis</t>
  </si>
  <si>
    <t>Chicago, IL</t>
  </si>
  <si>
    <t>Denver, CO</t>
  </si>
  <si>
    <t>Houston, TX</t>
  </si>
  <si>
    <t>Kansas City, MO</t>
  </si>
  <si>
    <t>Detroit, MI</t>
  </si>
  <si>
    <t>Austin, TX</t>
  </si>
  <si>
    <t>Milwaukee, WI</t>
  </si>
  <si>
    <t>Minneapolis, MN</t>
  </si>
  <si>
    <t>.70 to .95</t>
  </si>
  <si>
    <t>Los Angeles, CA</t>
  </si>
  <si>
    <t>West Coast</t>
  </si>
  <si>
    <t>San Francisco, CA</t>
  </si>
  <si>
    <t>Oakland, CA</t>
  </si>
  <si>
    <t>San Diego, CA</t>
  </si>
  <si>
    <t>Sacramento, CA</t>
  </si>
  <si>
    <t>Las Vegas, NV</t>
  </si>
  <si>
    <t>Portland, OR</t>
  </si>
  <si>
    <t>Seattle, WA</t>
  </si>
  <si>
    <t>San Jose, CA</t>
  </si>
  <si>
    <t>Fresno, CA</t>
  </si>
  <si>
    <t>Bakersfield, CA</t>
  </si>
  <si>
    <t>Santa Rosa, CA</t>
  </si>
  <si>
    <t>Rural Areas (CA)</t>
  </si>
  <si>
    <t>Average</t>
  </si>
  <si>
    <t>Did you adjust your unit prices to fit your specific quality and level of finish?</t>
  </si>
  <si>
    <t>Did you double check your quantities, prices &amp; figures for accuracy?</t>
  </si>
  <si>
    <t>Welcome to the Repair Cost Estimator.  The Repair Cost Estimator is pre-built with 24 Scopes of Work, and over 400 common work items and unit prices that you would typically see on a rehab project.  The cost database and information is based upon on National Averages.  However, these unit prices are just starting points, as there are many factors that can influence the unit pricing.  The most accurate way of estimating costs is to consult with local construction professionals in your area.</t>
  </si>
  <si>
    <t>Make 'Go' or 'No-Go' Decision o Make an Offer</t>
  </si>
  <si>
    <t>Due Diligence &amp; Analysis</t>
  </si>
  <si>
    <t>Send Signed Offer/Purchase Agreement to Seller</t>
  </si>
  <si>
    <t>Send Copy of Earnest Money Deposit/Certified Check (if required)</t>
  </si>
  <si>
    <t>Contact Agent and Contractor to Walkthrough and Inspect Property</t>
  </si>
  <si>
    <t>The quality of materials, and quality of contractor craftsmanship can influence costs. The prices included assume hired licensed contractors to install according to builder-grade building standards.</t>
  </si>
  <si>
    <t>Construction costs can vary significantly by region and localized areas.  Adjust your project costs by your local modifier as necessary.  Also consider, in dense urban areas, traffic &amp; site storage may increase costs.  In rural areas, lower wage rates may be in effect.</t>
  </si>
  <si>
    <t>Did you adjust your unit prices for the size of the project ('economies of scale')?</t>
  </si>
  <si>
    <t>Location Multipliers</t>
  </si>
  <si>
    <t>Tip:</t>
  </si>
  <si>
    <t>If you are not comfortable estimating a particular scope of work, contact a local contractor in your area that specializes in that particular trade.</t>
  </si>
  <si>
    <r>
      <rPr>
        <b/>
        <i/>
        <sz val="12"/>
        <color theme="1" tint="0.249977111117893"/>
        <rFont val="Calibri"/>
        <family val="2"/>
        <scheme val="minor"/>
      </rPr>
      <t xml:space="preserve">For example: </t>
    </r>
    <r>
      <rPr>
        <i/>
        <sz val="12"/>
        <color theme="1" tint="0.249977111117893"/>
        <rFont val="Calibri"/>
        <family val="2"/>
        <scheme val="minor"/>
      </rPr>
      <t xml:space="preserve"> If your property needs a roof replaced, but you are unsure how to calculate the roof size and/or are unsure about your localized unit prices call a local roofing company in your area.  If you receive a secretary, ask for a sales representative or someone in 'Estimating'.  Describe the size of the property, the type of shingles you are requesting (generally 3-tab or architectural asphalt shingles) and any other pertinent information.  With this limited information, the roofing contractor should be able to give you a unit price, and a rough cost range of what the roof would cost to replace.  With this contractor feedback and information, you can input a realistic estimate for the roof costs in the estimator.</t>
    </r>
  </si>
  <si>
    <t>House Flipping Spreadsheet.com has created the Repair Estimator database with their own personal experience, due diligence and judgmenet.  However, HFS makes no express or implied warranty or guarantee of accuracy, correctness, value, sufficiency or completeness of the data.  HFS shall have no liability to any customer or third party for any loss, expense, or damage, including consequential, incidental, special or punitive damage including lost profits or revene caused direcly or indircetly by any error or omission.  Use common sense, caution and seek professional advice from qualified professionals when creating estimates.</t>
  </si>
  <si>
    <t>ROOMS</t>
  </si>
  <si>
    <t>Factors that Affect Costs</t>
  </si>
  <si>
    <t>Estimator Operation</t>
  </si>
  <si>
    <t>Other Factors</t>
  </si>
  <si>
    <t>Availability of:</t>
  </si>
  <si>
    <t>- Weather Conditions</t>
  </si>
  <si>
    <t>- Code Requirements</t>
  </si>
  <si>
    <t>- Safety Requirements</t>
  </si>
  <si>
    <t>- Skilled Labor</t>
  </si>
  <si>
    <t>- Building Materials</t>
  </si>
  <si>
    <t>Project Characteristics</t>
  </si>
  <si>
    <t>The size, scope of work and type of construction will have a significant impact on cost.  'Economies of scale' can reduce costs for large projects.  Unit prices can often run higher for smaller projects.  Prices are based upon a ~ 1,500sf to 2,000 sf rehab project.</t>
  </si>
  <si>
    <t>The types of properties and property characteristics can influence costs.  A 10 -year cookie cutter property will likely be cheaper to renovate than a 100 year-old historic home, due to the level of finishes, historic requirements, &amp; MEP upgrades required to the historic property.</t>
  </si>
  <si>
    <t>Season of Year</t>
  </si>
  <si>
    <t>The time of the year can influence different trade labor rates and fees.  For example, HVAC contractors may charge more during the cold winter months as they get swamped with emergency calls for furnaces failures, than in the moderate months of the Fall/Spring.</t>
  </si>
  <si>
    <t>Step 1:</t>
  </si>
  <si>
    <t>Inspect the property and create a detailed Scope of Work with quantities of repairs</t>
  </si>
  <si>
    <t>Input the quantities into the Quantity (Qty) column for the items that need repaired, replaced or installed.</t>
  </si>
  <si>
    <t>Step 2:</t>
  </si>
  <si>
    <t>Step 3:</t>
  </si>
  <si>
    <t>Change the unit prices as necessary to meet your specific project needs &amp; location.</t>
  </si>
  <si>
    <t>Repair Estimator Help</t>
  </si>
  <si>
    <t>Location Modifiers</t>
  </si>
  <si>
    <t>Estimating Checklist</t>
  </si>
  <si>
    <r>
      <t xml:space="preserve">Are you managing the project yourself or hiring a General Contractor?  If hiring a GC did you factor in </t>
    </r>
    <r>
      <rPr>
        <i/>
        <u/>
        <sz val="14"/>
        <color rgb="FF398CCC"/>
        <rFont val="Calibri Light"/>
        <family val="2"/>
      </rPr>
      <t>Contractor Overhead &amp; Profit</t>
    </r>
    <r>
      <rPr>
        <i/>
        <sz val="14"/>
        <rFont val="Calibri Light"/>
        <family val="2"/>
      </rPr>
      <t>? (10 to 15%)</t>
    </r>
  </si>
  <si>
    <r>
      <t xml:space="preserve">Did you adjust your unit prices to fit your specific location? Use the </t>
    </r>
    <r>
      <rPr>
        <i/>
        <u/>
        <sz val="14"/>
        <color rgb="FF398CCC"/>
        <rFont val="Calibri Light"/>
        <family val="2"/>
      </rPr>
      <t>Location Multipliers</t>
    </r>
    <r>
      <rPr>
        <i/>
        <sz val="14"/>
        <rFont val="Calibri Light"/>
        <family val="2"/>
      </rPr>
      <t xml:space="preserve"> as necessary.</t>
    </r>
  </si>
  <si>
    <r>
      <t xml:space="preserve">Will your project be requiring </t>
    </r>
    <r>
      <rPr>
        <i/>
        <u/>
        <sz val="14"/>
        <color rgb="FF398CCC"/>
        <rFont val="Calibri Light"/>
        <family val="2"/>
      </rPr>
      <t>Building Permits</t>
    </r>
    <r>
      <rPr>
        <i/>
        <sz val="14"/>
        <rFont val="Calibri Light"/>
        <family val="2"/>
      </rPr>
      <t>?  (Generally, permits can cost 1 to 2% of construction costs)</t>
    </r>
  </si>
  <si>
    <t>Location Multiplier</t>
  </si>
  <si>
    <t>Permit Cost: (1 to 2%)</t>
  </si>
  <si>
    <r>
      <t xml:space="preserve">Costs provided in the Repair Estimator are based upon </t>
    </r>
    <r>
      <rPr>
        <b/>
        <i/>
        <sz val="12"/>
        <color theme="1" tint="0.249977111117893"/>
        <rFont val="Calibri Light"/>
        <family val="2"/>
      </rPr>
      <t>National Averages</t>
    </r>
    <r>
      <rPr>
        <i/>
        <sz val="12"/>
        <color theme="1" tint="0.249977111117893"/>
        <rFont val="Calibri Light"/>
        <family val="2"/>
      </rPr>
      <t xml:space="preserve"> for installation and materials.  To adjust these costs for a specific location, multiply the base cost by the location factor for your area.  For areas or cities that are not listed, use the factor for a nearby city with similar economic characteristics.</t>
    </r>
  </si>
  <si>
    <r>
      <t xml:space="preserve">Did you include an </t>
    </r>
    <r>
      <rPr>
        <i/>
        <u/>
        <sz val="14"/>
        <color rgb="FF398CCC"/>
        <rFont val="Calibri Light"/>
        <family val="2"/>
      </rPr>
      <t>Estimating Contingency</t>
    </r>
    <r>
      <rPr>
        <i/>
        <sz val="14"/>
        <rFont val="Calibri Light"/>
        <family val="2"/>
      </rPr>
      <t xml:space="preserve"> to cover any estimating errors, omissions &amp; unforseen issues?  (varies depending on construction knowledge and estimating experience, from 5% up to 25% may be required)</t>
    </r>
  </si>
  <si>
    <t>Upon Offer Acceptance</t>
  </si>
  <si>
    <t>Did you include all components (Scopes of Work, Work Items, and correct Quantities) in your Estimate?</t>
  </si>
  <si>
    <t>Shown</t>
  </si>
  <si>
    <t>RAW REPAIR ESTIMATE</t>
  </si>
  <si>
    <t>ADDERS</t>
  </si>
  <si>
    <t>Permit Cost: (1 to 2%):</t>
  </si>
  <si>
    <t>Location Multiplier:</t>
  </si>
  <si>
    <t>Contractors OH &amp; P: (10%+)</t>
  </si>
  <si>
    <t>Adder Amount</t>
  </si>
  <si>
    <t>Total Adders:</t>
  </si>
  <si>
    <t>Contingency  (5 to 15%):</t>
  </si>
  <si>
    <t>Contingency (5 to 25%)</t>
  </si>
  <si>
    <t>Raw Repair Estimate:</t>
  </si>
  <si>
    <t>Schedule Sensitivity</t>
  </si>
  <si>
    <t>Current Analysis Input:</t>
  </si>
  <si>
    <t># of Months</t>
  </si>
  <si>
    <t>Monthly Holding Costs</t>
  </si>
  <si>
    <t>Total Holding Costs</t>
  </si>
  <si>
    <t>Vary by:</t>
  </si>
  <si>
    <t>Profit Per Month</t>
  </si>
  <si>
    <t>TOTAL RAW ESTIMATE</t>
  </si>
  <si>
    <t>Location Multiplier Adjustment - Repair Estimator</t>
  </si>
  <si>
    <t>Permit Cost Adder - Repair Estimator</t>
  </si>
  <si>
    <t>Contractors Overhead and Profit - Repair Estimator</t>
  </si>
  <si>
    <t>Contingency - Repair Estimator</t>
  </si>
  <si>
    <t>Permit Cost % - Repair Estimator</t>
  </si>
  <si>
    <t>Contractors Overhead and Profit % - Repair Estimator</t>
  </si>
  <si>
    <t>Contingency % - Repair Estimator</t>
  </si>
  <si>
    <t>TOTAL ADDER %</t>
  </si>
  <si>
    <t>TOTAL ADDER AMOUNT</t>
  </si>
  <si>
    <t>Resale Value</t>
  </si>
  <si>
    <t>SUBTOTAL ESTIMATE</t>
  </si>
  <si>
    <t>TOTAL ESTIMATE</t>
  </si>
  <si>
    <t xml:space="preserve">SUBTOTAL ESTIMATE </t>
  </si>
  <si>
    <t>TOTAL ADDERS</t>
  </si>
  <si>
    <t>% of Total</t>
  </si>
  <si>
    <t>Amount</t>
  </si>
  <si>
    <t>Raw Repair Estimate Costs (DIYED)</t>
  </si>
  <si>
    <t>Repair Costs w/ Adders (DIYED)</t>
  </si>
  <si>
    <t>Summary</t>
  </si>
  <si>
    <t>Detail</t>
  </si>
  <si>
    <t>Cover</t>
  </si>
  <si>
    <t>Photos</t>
  </si>
  <si>
    <t>All Hidden?</t>
  </si>
  <si>
    <t>The Homeowner Offer report can be given to a Home Owner (Seller) that breaks down your offer and valuation of their property.  The report gives a detailed analysis of comparable sales, repair costs, and fixed costs that can be given to a seller to show that your offer is backed by market research and due diligence.</t>
  </si>
  <si>
    <t>$/SF</t>
  </si>
  <si>
    <t>Investment Report Tutorial</t>
  </si>
  <si>
    <t>Inspection Checklist Tutorial</t>
  </si>
  <si>
    <t>Home Owner Offer Report Tutorial</t>
  </si>
  <si>
    <t>The Inspection Checklist is a printer-friendly checklist of common repair items that will help establish the Scope of Work for the project  and create a detailed Repair Cost Estimate.</t>
  </si>
  <si>
    <t>The Investment Report summarizes your Rehab Financial Analysis and can be given to business partners and lenders to highlight your due diligence and financial analysis performed for the project.</t>
  </si>
  <si>
    <t>Fixed Cost Amount</t>
  </si>
  <si>
    <t>Allocate Profits? (Yes/No)</t>
  </si>
  <si>
    <t>Allocate FC? (Yes/No)</t>
  </si>
  <si>
    <t>Adders</t>
  </si>
  <si>
    <t>ESTIMATE SUMMARY</t>
  </si>
  <si>
    <t>zoom setting</t>
  </si>
  <si>
    <t>Investor Name:</t>
  </si>
  <si>
    <t>Sheet Settings</t>
  </si>
  <si>
    <t>Scenarios</t>
  </si>
  <si>
    <t>Comparable Sales</t>
  </si>
  <si>
    <t>Funding Report</t>
  </si>
  <si>
    <t>Comparable Sales Report</t>
  </si>
  <si>
    <t>Rental Report</t>
  </si>
  <si>
    <t>Wholesale Report</t>
  </si>
  <si>
    <t>Known Purchase Price</t>
  </si>
  <si>
    <t>How do you want to fund your Rehab Project?</t>
  </si>
  <si>
    <t>How many loans will be required to finance the project?</t>
  </si>
  <si>
    <t>One</t>
  </si>
  <si>
    <t>Two</t>
  </si>
  <si>
    <t>Select your Loan Amount Below:</t>
  </si>
  <si>
    <t>Number of Loans</t>
  </si>
  <si>
    <t>Note: Loan Amounts are Pending &amp; will change based upon your remaining entries &amp; calculations…</t>
  </si>
  <si>
    <t>Points Paid Upfront</t>
  </si>
  <si>
    <t>Total Loan Payments</t>
  </si>
  <si>
    <t>Income Tax Rate:</t>
  </si>
  <si>
    <t>Analyze Workflow</t>
  </si>
  <si>
    <t>Project Schedule</t>
  </si>
  <si>
    <t>Results Based upon Maximum Purchase Price Calculation</t>
  </si>
  <si>
    <t>After Repair Value</t>
  </si>
  <si>
    <t>Raw Repair Costs</t>
  </si>
  <si>
    <t>Total Project Costs</t>
  </si>
  <si>
    <t>Total Upfront Costs (excludes selling costs)</t>
  </si>
  <si>
    <t>Financing Results</t>
  </si>
  <si>
    <t>Results Based upon Known Purchase Price</t>
  </si>
  <si>
    <t>Funding Strategy</t>
  </si>
  <si>
    <t>Loan 1 Results</t>
  </si>
  <si>
    <t>Loan 1 Amount</t>
  </si>
  <si>
    <t>Down Payment or LTV</t>
  </si>
  <si>
    <t>Lender Points %</t>
  </si>
  <si>
    <t>Lender Points Amount</t>
  </si>
  <si>
    <t>Loan 2 Results</t>
  </si>
  <si>
    <t>Loan 2 Amount</t>
  </si>
  <si>
    <t>Deal Results Based Upon Analysis Selection</t>
  </si>
  <si>
    <t>Purchase price</t>
  </si>
  <si>
    <t>Monthly Payment Amount</t>
  </si>
  <si>
    <t>Points Rolled</t>
  </si>
  <si>
    <t>Points Paid Upfront/Rolled</t>
  </si>
  <si>
    <t>Interest Payments Paid Monthly/Rolled</t>
  </si>
  <si>
    <t>Interest Payments Rolled</t>
  </si>
  <si>
    <t>Final Loan Amount (w/ interest/points rolled)</t>
  </si>
  <si>
    <t>Loan 1 Basis</t>
  </si>
  <si>
    <t>Loan Term</t>
  </si>
  <si>
    <t>Interest Only Payment Amount</t>
  </si>
  <si>
    <t>Amortized (Interest Only Portion)</t>
  </si>
  <si>
    <t>Loan 2 Basis</t>
  </si>
  <si>
    <t>Loan 1 Cash Calculations</t>
  </si>
  <si>
    <t>Total Cash at Closing</t>
  </si>
  <si>
    <t>Total Cash Required During Flip</t>
  </si>
  <si>
    <t>Loan 2 Cash Calculations</t>
  </si>
  <si>
    <t>Total Cash Calculations</t>
  </si>
  <si>
    <t>CAPITAL NEEDED</t>
  </si>
  <si>
    <t>Total Cash Needed</t>
  </si>
  <si>
    <t>Adders Result</t>
  </si>
  <si>
    <t>Second Loan (Yes = 1, No = 0)</t>
  </si>
  <si>
    <t>Purchase Price Sensitivity</t>
  </si>
  <si>
    <t>Estimate Sensitivity</t>
  </si>
  <si>
    <t>Raw Repair Estimate</t>
  </si>
  <si>
    <t>Resale Value Sensitivity</t>
  </si>
  <si>
    <t>Repair Adjuster</t>
  </si>
  <si>
    <t>Schedule Adjuster</t>
  </si>
  <si>
    <t>BASELINE OFFER</t>
  </si>
  <si>
    <t>OFFER 1</t>
  </si>
  <si>
    <t>OFFER 2</t>
  </si>
  <si>
    <t>OFFER 3</t>
  </si>
  <si>
    <t>OFFER 4</t>
  </si>
  <si>
    <t>OFFER 5</t>
  </si>
  <si>
    <t>&lt;- Input Offer Amounts</t>
  </si>
  <si>
    <t>SCENARIOS BUILDER</t>
  </si>
  <si>
    <t>SETUP</t>
  </si>
  <si>
    <t>OFFER TRACKER</t>
  </si>
  <si>
    <t>Fixed Cost Graph</t>
  </si>
  <si>
    <t>Deal Analysis Reports…</t>
  </si>
  <si>
    <t>Comparables Sales</t>
  </si>
  <si>
    <t>Property Info</t>
  </si>
  <si>
    <t>City, State, Zip Code</t>
  </si>
  <si>
    <t>Square Footage</t>
  </si>
  <si>
    <t>Price per Square Foot</t>
  </si>
  <si>
    <t>Subject Property:</t>
  </si>
  <si>
    <t>Comparable 1</t>
  </si>
  <si>
    <t>Comparable 2</t>
  </si>
  <si>
    <t>Comparable 3</t>
  </si>
  <si>
    <t>Neighborhood</t>
  </si>
  <si>
    <t>Neigbhorhood</t>
  </si>
  <si>
    <t>Days on Market</t>
  </si>
  <si>
    <t>List Price/Sales Price</t>
  </si>
  <si>
    <t>Status Date</t>
  </si>
  <si>
    <t>Current Status</t>
  </si>
  <si>
    <t>Active</t>
  </si>
  <si>
    <t>Pending</t>
  </si>
  <si>
    <t>Sold</t>
  </si>
  <si>
    <t>Characteristics</t>
  </si>
  <si>
    <t>Year Built</t>
  </si>
  <si>
    <t># of Garages</t>
  </si>
  <si>
    <t>Central Heat</t>
  </si>
  <si>
    <t>Air Conditioning</t>
  </si>
  <si>
    <t>Property Condition</t>
  </si>
  <si>
    <t>Property Characteristic:</t>
  </si>
  <si>
    <t>Description:</t>
  </si>
  <si>
    <t>+ / -</t>
  </si>
  <si>
    <t>Other Improvements:</t>
  </si>
  <si>
    <t>Basement Type:</t>
  </si>
  <si>
    <t>No Basement</t>
  </si>
  <si>
    <t xml:space="preserve">Unfinished </t>
  </si>
  <si>
    <t>Finished</t>
  </si>
  <si>
    <t>Finished, Walkout</t>
  </si>
  <si>
    <t>As-Is, Distressed</t>
  </si>
  <si>
    <t>Moderate Updates</t>
  </si>
  <si>
    <t>Fully Renovated</t>
  </si>
  <si>
    <t>Value w/ Adjustments:</t>
  </si>
  <si>
    <t>Subtotal Estimate</t>
  </si>
  <si>
    <t>Total Estimate</t>
  </si>
  <si>
    <t>Comparables</t>
  </si>
  <si>
    <t>Comparables?</t>
  </si>
  <si>
    <t>Note: Estimating Adders have been included to cover our project location, building permits, contractors OH &amp; P, and Contingency.</t>
  </si>
  <si>
    <t>Concatenated Address</t>
  </si>
  <si>
    <t>Concatnated Property Size</t>
  </si>
  <si>
    <t>Remove and dispose of all appliances in the kitchen.</t>
  </si>
  <si>
    <t>Daily general clean-up and prep work for new construction activities.</t>
  </si>
  <si>
    <t>Temporarily disconnect/cap all plumbing lines at existing plumbing fixtures.</t>
  </si>
  <si>
    <t>Remove and dispose of all demolition debris into project dumpster.</t>
  </si>
  <si>
    <t>Remove and dispose all yard waste and debris into project dumpster.</t>
  </si>
  <si>
    <t>Remove and dispose of any furnishings left by previous owner into project dumpster.</t>
  </si>
  <si>
    <t>Demolish and remove existing pavement to accommodate new pavement.</t>
  </si>
  <si>
    <t>Provide tooled construction joints and edges with a brushed finish.</t>
  </si>
  <si>
    <t>Fine grade, prep &amp; re-seed disturbed areas.</t>
  </si>
  <si>
    <t>Provide warranty for Structural Concrete/Foundation repairs.</t>
  </si>
  <si>
    <t>Deck structural design and layout is to be approved by the City prior to installation.</t>
  </si>
  <si>
    <t>Deck construction to meet or exceed local building codes.</t>
  </si>
  <si>
    <t>Remove existing shingles as necessary to install new roof shingles.</t>
  </si>
  <si>
    <t>Plywood replacement will be priced by each sheet required to be replaced.  Price per sheet: $_______________</t>
  </si>
  <si>
    <t>Replace damaged or rotted plywood sheathing as necessary.</t>
  </si>
  <si>
    <t>Furnish and install new roof shingles, roof vents, flashings &amp; components as required by local building standards.</t>
  </si>
  <si>
    <t>(a) Architectural Shingle Specification: ______________________</t>
  </si>
  <si>
    <t>Alternate materials and manufacturers that provide savings to the Client will be considered, but must be approved.</t>
  </si>
  <si>
    <t>Repair any loose or damaged gutters or downspouts.</t>
  </si>
  <si>
    <t>Contractor to field verify door window sizes and openings.</t>
  </si>
  <si>
    <t>Remove existing doors and windows to be replaced with new.</t>
  </si>
  <si>
    <t>Demolish and remove existing bushes and plantings on the front side of the home.</t>
  </si>
  <si>
    <t>Clean front and back yards of debris and trash.</t>
  </si>
  <si>
    <t>Submitting an Offer Checklist</t>
  </si>
  <si>
    <t>Map</t>
  </si>
  <si>
    <t>COMPARABLES SUMMARY</t>
  </si>
  <si>
    <t>Analysis Date:</t>
  </si>
  <si>
    <t>Property Info:</t>
  </si>
  <si>
    <t>Subject Property</t>
  </si>
  <si>
    <t>COMPARABLES - DETAILS</t>
  </si>
  <si>
    <t>COMPARABLES - MAP</t>
  </si>
  <si>
    <t>Grab and drop your icons below to your map to indicate your comparable sales locations:</t>
  </si>
  <si>
    <t>Comparables Key:</t>
  </si>
  <si>
    <t>Property Address</t>
  </si>
  <si>
    <t>Sales Date</t>
  </si>
  <si>
    <t>Comparable 1:</t>
  </si>
  <si>
    <t>Comparable 2:</t>
  </si>
  <si>
    <t>Comparable 3:</t>
  </si>
  <si>
    <t>Beds, Baths, Square Footage</t>
  </si>
  <si>
    <t>City, State, Zip Code:</t>
  </si>
  <si>
    <t>List Price/Sales Price:</t>
  </si>
  <si>
    <t>Current Status:</t>
  </si>
  <si>
    <t>Status Date:</t>
  </si>
  <si>
    <t>Days on Market:</t>
  </si>
  <si>
    <t>Beds, Baths, SF</t>
  </si>
  <si>
    <t>Property Characteristics</t>
  </si>
  <si>
    <t>Sales Price/SF</t>
  </si>
  <si>
    <t>N/A</t>
  </si>
  <si>
    <t>+/-</t>
  </si>
  <si>
    <t>Price per SF:</t>
  </si>
  <si>
    <t>COMPARABLES</t>
  </si>
  <si>
    <t>Raw Estimate</t>
  </si>
  <si>
    <t>Baseline Scenario</t>
  </si>
  <si>
    <t>Note: Changes made to the Baseline Scenario below will automatically adjust your deal analysis data.</t>
  </si>
  <si>
    <t>Results highlight your current analysis results based upon your Baseline Scenario.</t>
  </si>
  <si>
    <t>Selling Costs %:</t>
  </si>
  <si>
    <t>Total Cost Graph -MPP</t>
  </si>
  <si>
    <t>Total Cost Graph - KNOWN</t>
  </si>
  <si>
    <t>Comparables Sales Report</t>
  </si>
  <si>
    <t>Other Costs:</t>
  </si>
  <si>
    <t>ESTIMATE REPORT</t>
  </si>
  <si>
    <t xml:space="preserve"> OFFER REPORT</t>
  </si>
  <si>
    <t>COMPARABLES REPORT</t>
  </si>
  <si>
    <t>WHOLESALE REPORT</t>
  </si>
  <si>
    <t>RENTAL REPORT</t>
  </si>
  <si>
    <t>INDEX</t>
  </si>
  <si>
    <t>Input a brief description of repairs required to the property.</t>
  </si>
  <si>
    <t>Repair Estimate Report Tutorial</t>
  </si>
  <si>
    <t xml:space="preserve">The Repair Estimate report can be used to summarize and detail your Scope of Work and estimated Repair Costs for your rehab project.  </t>
  </si>
  <si>
    <t>Living Room</t>
  </si>
  <si>
    <t>Bedrooms</t>
  </si>
  <si>
    <t>Dining Room</t>
  </si>
  <si>
    <t>Basement</t>
  </si>
  <si>
    <t>SKU #s</t>
  </si>
  <si>
    <t>Contractor's  OH &amp; P: (10%+)</t>
  </si>
  <si>
    <t>SCOPES OF WORK</t>
  </si>
  <si>
    <t>All structural concrete/foundation components and repairs are to be contractor furnished, contractor installed.</t>
  </si>
  <si>
    <t>All concrete and sidewalk components are to be contractor furnished, contractor installed.</t>
  </si>
  <si>
    <t>Furnish and install new concrete pavement with new 4" base rock to replace existing. CFCI</t>
  </si>
  <si>
    <t>All deck framing, decking, railing, balusters &amp; stair components are to be contractor furnished, contractor installed.</t>
  </si>
  <si>
    <t>Wood to be pressure treated decking materials. (CFCI)</t>
  </si>
  <si>
    <t>All roofing components are to be contractor furnished, contractor installed.</t>
  </si>
  <si>
    <t>All door and window components are to be contractor furnished, contractor installed.</t>
  </si>
  <si>
    <t>Furnish and install caulking, flashing, trim boards around doors and windows to provide water tight installation. (CFCI)</t>
  </si>
  <si>
    <t>Install (5) 1-gallon bushes in front planting beds. (OFCI)</t>
  </si>
  <si>
    <t>(4) Install (10) ½ gallon plantings/annuals/perennials in front planting beds. (OFCI)</t>
  </si>
  <si>
    <t>Install filter fabric over in front planting beds. (OFCI)</t>
  </si>
  <si>
    <t>Install black mulch beds in front planting beds. (OFCI)</t>
  </si>
  <si>
    <t>REPORT OPTIONS</t>
  </si>
  <si>
    <t>Show All Rows</t>
  </si>
  <si>
    <t>Hide Blank Rows</t>
  </si>
  <si>
    <t>View Setting</t>
  </si>
  <si>
    <t>Data View</t>
  </si>
  <si>
    <t>Print View</t>
  </si>
  <si>
    <t>Scope 1</t>
  </si>
  <si>
    <t>Scope 2</t>
  </si>
  <si>
    <t>Scope 3</t>
  </si>
  <si>
    <t>Scope 4</t>
  </si>
  <si>
    <t>Scope 5</t>
  </si>
  <si>
    <t>Scope 6</t>
  </si>
  <si>
    <t>Scope 7</t>
  </si>
  <si>
    <t>Scope 8</t>
  </si>
  <si>
    <t>Scope 9</t>
  </si>
  <si>
    <t>Scope 10</t>
  </si>
  <si>
    <t>Scope 11</t>
  </si>
  <si>
    <t>Scope 12</t>
  </si>
  <si>
    <t>Scope 13</t>
  </si>
  <si>
    <t>Scope 14</t>
  </si>
  <si>
    <t>Scope 15</t>
  </si>
  <si>
    <t>Scope 16</t>
  </si>
  <si>
    <t>Scope 17</t>
  </si>
  <si>
    <t>Scope 18</t>
  </si>
  <si>
    <t>Scope 19</t>
  </si>
  <si>
    <t>Scope 20</t>
  </si>
  <si>
    <t>Scope 21</t>
  </si>
  <si>
    <t>Scope 22</t>
  </si>
  <si>
    <t>Scope 23</t>
  </si>
  <si>
    <t>Scope 24</t>
  </si>
  <si>
    <t>Deck joists sizes, column sizes and structural framing sizes should be confirmed with local build</t>
  </si>
  <si>
    <r>
      <t xml:space="preserve">All siding components and repairs are to be </t>
    </r>
    <r>
      <rPr>
        <b/>
        <sz val="12"/>
        <color indexed="8"/>
        <rFont val="Calibri Light"/>
        <family val="2"/>
      </rPr>
      <t>contractor furnished, contractor installed.</t>
    </r>
  </si>
  <si>
    <t>Tuckpoint, repair and replace existing grout lines as necessary.</t>
  </si>
  <si>
    <t>Furnish and install new red, face brick according to local building standards.</t>
  </si>
  <si>
    <t>(a) Brick Product Specification: _______________________</t>
  </si>
  <si>
    <t>Provide tooled mortar joints.</t>
  </si>
  <si>
    <t>Include all necessary waterproofing membrane, flashings, mortar, anchors &amp; accessories as necessary for masonry installation.</t>
  </si>
  <si>
    <t>Furnish and install steel lintels above doors &amp; windows (if applicable)</t>
  </si>
  <si>
    <r>
      <t xml:space="preserve">All concrete and sidewalk components are to be </t>
    </r>
    <r>
      <rPr>
        <b/>
        <sz val="12"/>
        <color indexed="8"/>
        <rFont val="Calibri Light"/>
        <family val="2"/>
      </rPr>
      <t>contractor furnished, contractor installed.</t>
    </r>
  </si>
  <si>
    <t>Provide re-inforcing bar/mesh material if required by local building codes/standards.</t>
  </si>
  <si>
    <t>Provide concrete PSI strength that meets or exceeds local building codes/standards.</t>
  </si>
  <si>
    <t>Provide necessary expansion joints and tooled construction joints and edges with a brushed finish.</t>
  </si>
  <si>
    <r>
      <t>All masonry work is to be</t>
    </r>
    <r>
      <rPr>
        <b/>
        <sz val="12"/>
        <color indexed="8"/>
        <rFont val="Calibri Light"/>
        <family val="2"/>
      </rPr>
      <t xml:space="preserve"> contractor furnished, contractor installed.</t>
    </r>
  </si>
  <si>
    <t>Furnish and install new siding according to local building codes.</t>
  </si>
  <si>
    <t>(a) Siding Product Specification: _______________________</t>
  </si>
  <si>
    <t>Include all necessary weather proofing membranes, flashings, trim boards, fascia boards, soffits, anchors and accessories.</t>
  </si>
  <si>
    <t>Final Cleaning:  After mortar is set and cured, clean exposed masonry and surrounding areas.</t>
  </si>
  <si>
    <t>Final Cleaning:  Clean up all scrap lumber and screws from project site.</t>
  </si>
  <si>
    <t>Final Cleaning:  Clean up all scrap siding, screws and anchors from project site.</t>
  </si>
  <si>
    <t>Final Cleaning:  Clean up all scrap roofing materials, debris and screws from project site.</t>
  </si>
  <si>
    <r>
      <t xml:space="preserve">All door and window components are to be </t>
    </r>
    <r>
      <rPr>
        <b/>
        <sz val="12"/>
        <color indexed="8"/>
        <rFont val="Calibri Light"/>
        <family val="2"/>
      </rPr>
      <t>contractor furnished, contractor installed.</t>
    </r>
  </si>
  <si>
    <r>
      <t>All roofing components are to be</t>
    </r>
    <r>
      <rPr>
        <b/>
        <sz val="12"/>
        <color indexed="8"/>
        <rFont val="Calibri Light"/>
        <family val="2"/>
      </rPr>
      <t xml:space="preserve"> contractor furnished, contractor installed.</t>
    </r>
  </si>
  <si>
    <r>
      <t xml:space="preserve">All deck framing, decking, railing, balusters &amp; stair components are to be </t>
    </r>
    <r>
      <rPr>
        <b/>
        <sz val="12"/>
        <color indexed="8"/>
        <rFont val="Calibri Light"/>
        <family val="2"/>
      </rPr>
      <t>contractor furnished, contractor installed.</t>
    </r>
  </si>
  <si>
    <r>
      <t xml:space="preserve">All structural concrete/foundation components and repairs are to be </t>
    </r>
    <r>
      <rPr>
        <b/>
        <sz val="12"/>
        <color indexed="8"/>
        <rFont val="Calibri Light"/>
        <family val="2"/>
      </rPr>
      <t>contractor furnished, contractor installed.</t>
    </r>
  </si>
  <si>
    <r>
      <t xml:space="preserve">All garage door components are to be </t>
    </r>
    <r>
      <rPr>
        <b/>
        <sz val="12"/>
        <color indexed="8"/>
        <rFont val="Calibri Light"/>
        <family val="2"/>
      </rPr>
      <t>contractor furnished, contractor installed.</t>
    </r>
  </si>
  <si>
    <t>Install new garage doors, and door operators.</t>
  </si>
  <si>
    <t>(a) Garage Door Specification: ______________________</t>
  </si>
  <si>
    <t>(b) Garage Door Operator Specification: ______________________</t>
  </si>
  <si>
    <t>Remove existing garage doors, and equipment as necessary to install new garage doors.</t>
  </si>
  <si>
    <t>Remove and dispose of existing bushes and plantings on the front side of the home.</t>
  </si>
  <si>
    <t>Water new plantings as recommended by planting specifications.</t>
  </si>
  <si>
    <r>
      <t xml:space="preserve">All framing and drywall components are to be </t>
    </r>
    <r>
      <rPr>
        <b/>
        <sz val="12"/>
        <color indexed="8"/>
        <rFont val="Calibri Light"/>
        <family val="2"/>
      </rPr>
      <t>contractor furnished, contractor installed.</t>
    </r>
  </si>
  <si>
    <t>Furnish and install fire-resistant, mold-resistant drywall in areas required by local building codes/standards.</t>
  </si>
  <si>
    <t>Provide pressure treated/fire-resistant lumber as required by local building codes/standards.</t>
  </si>
  <si>
    <t>Any structural framing work shall be performed per local building codes/ standards.</t>
  </si>
  <si>
    <t>Patch existing walls at new plumbing/electrical rough-in locations (if required).</t>
  </si>
  <si>
    <t>Patch and prep miscellaneous cracks in walls and ceilings.</t>
  </si>
  <si>
    <t>Patch and prep miscellenaous holes in walls and ceilings.</t>
  </si>
  <si>
    <t>Provide knockdown texture on ceilings throughout.</t>
  </si>
  <si>
    <r>
      <t xml:space="preserve">Cabinetry materials and countertops will be </t>
    </r>
    <r>
      <rPr>
        <b/>
        <sz val="12"/>
        <color indexed="8"/>
        <rFont val="Calibri Light"/>
        <family val="2"/>
      </rPr>
      <t>Owner Furnished, Contractor Installed.</t>
    </r>
  </si>
  <si>
    <t>Install cabinet crown molding, base molding, filler panels, end panels and trim pieces as necessary. (OFCI)</t>
  </si>
  <si>
    <t>Install kitchen cabinets, base, upper &amp; pantry cabinets. (OFCI)</t>
  </si>
  <si>
    <t>Install kitchen cabinets per the layout in the kitchen sketches/drawings provided. (OFCI)</t>
  </si>
  <si>
    <t>Install cabinet door pulls. (OFCI)</t>
  </si>
  <si>
    <t>Provide all necessary shims and fasteners as required.</t>
  </si>
  <si>
    <t>All cabinets shall be attached to wall blocking or framing.</t>
  </si>
  <si>
    <r>
      <t xml:space="preserve">All doors, trim, and molding components will be </t>
    </r>
    <r>
      <rPr>
        <b/>
        <sz val="12"/>
        <color indexed="8"/>
        <rFont val="Calibri Light"/>
        <family val="2"/>
      </rPr>
      <t>Contractor Furnished, Contractor Installed.</t>
    </r>
  </si>
  <si>
    <t>Furnish and install new hollow core, split-frame, 6-panel doors and frames thorughout.</t>
  </si>
  <si>
    <t>Furnish and install all new door hardware on new and existing doors to remain.</t>
  </si>
  <si>
    <r>
      <t xml:space="preserve">All carpeting components will be </t>
    </r>
    <r>
      <rPr>
        <b/>
        <sz val="12"/>
        <color indexed="8"/>
        <rFont val="Calibri Light"/>
        <family val="2"/>
      </rPr>
      <t>Contractor Furnished, Contractor Installed.</t>
    </r>
  </si>
  <si>
    <t>Furnish and install new carpeting in designated rooms.</t>
  </si>
  <si>
    <t>Provide carpet warranty information/documentation.</t>
  </si>
  <si>
    <t>(a) Carpet Pad Thickness: _______________</t>
  </si>
  <si>
    <t>(a) Carpet Specification: _______________</t>
  </si>
  <si>
    <r>
      <t xml:space="preserve">All hardwood flooring components will be </t>
    </r>
    <r>
      <rPr>
        <b/>
        <sz val="12"/>
        <color indexed="8"/>
        <rFont val="Calibri Light"/>
        <family val="2"/>
      </rPr>
      <t>Contractor Furnished, Contractor Installed.</t>
    </r>
  </si>
  <si>
    <t>Furnish and install new hardwood flooring in designated rooms.</t>
  </si>
  <si>
    <t>(a) Hardwood Flooring Specification: ____________________</t>
  </si>
  <si>
    <t>Furnish and install new carpet pad, tack strip and accessories as necessary.</t>
  </si>
  <si>
    <t>If wood selected is unfinished, include staining and finishing of floor.</t>
  </si>
  <si>
    <t>Include temporary floor protection after installation.</t>
  </si>
  <si>
    <t>All Rows</t>
  </si>
  <si>
    <t>Show Sorted Rows</t>
  </si>
  <si>
    <r>
      <t xml:space="preserve">All tiling components will be </t>
    </r>
    <r>
      <rPr>
        <b/>
        <sz val="12"/>
        <color indexed="8"/>
        <rFont val="Calibri Light"/>
        <family val="2"/>
      </rPr>
      <t>Contractor Furnished, Contractor Installed.</t>
    </r>
  </si>
  <si>
    <t>Furnish and install new tiling in designated areas.</t>
  </si>
  <si>
    <r>
      <t xml:space="preserve">Furnish and install cement board (or equivalent) at all tile areas. </t>
    </r>
    <r>
      <rPr>
        <b/>
        <sz val="12"/>
        <color indexed="8"/>
        <rFont val="Calibri Light"/>
        <family val="2"/>
      </rPr>
      <t>(CFCI)</t>
    </r>
  </si>
  <si>
    <r>
      <t xml:space="preserve">Furnish and install all grout and mortar. </t>
    </r>
    <r>
      <rPr>
        <b/>
        <sz val="12"/>
        <color indexed="8"/>
        <rFont val="Calibri Light"/>
        <family val="2"/>
      </rPr>
      <t>(CFCI)</t>
    </r>
  </si>
  <si>
    <r>
      <t xml:space="preserve">Install fluied-appplied or mechanically fastened waterproofing membrane at shower tile. </t>
    </r>
    <r>
      <rPr>
        <b/>
        <sz val="12"/>
        <color indexed="8"/>
        <rFont val="Calibri Light"/>
        <family val="2"/>
      </rPr>
      <t>(CFCI)</t>
    </r>
  </si>
  <si>
    <r>
      <t xml:space="preserve">Install pre-fabricated or filed built shower base (contractor's preference) at master bathroom shower. </t>
    </r>
    <r>
      <rPr>
        <b/>
        <sz val="12"/>
        <color indexed="8"/>
        <rFont val="Calibri Light"/>
        <family val="2"/>
      </rPr>
      <t>(CFCI)</t>
    </r>
  </si>
  <si>
    <r>
      <t>Install tile sealant and joint sealants. (</t>
    </r>
    <r>
      <rPr>
        <b/>
        <sz val="12"/>
        <color indexed="8"/>
        <rFont val="Calibri Light"/>
        <family val="2"/>
      </rPr>
      <t>CFCI)</t>
    </r>
  </si>
  <si>
    <t>(a) Tiling Material Specification: ____________________</t>
  </si>
  <si>
    <r>
      <t xml:space="preserve">All painting components will be </t>
    </r>
    <r>
      <rPr>
        <b/>
        <sz val="12"/>
        <color indexed="8"/>
        <rFont val="Calibri Light"/>
        <family val="2"/>
      </rPr>
      <t>Contractor Furnished, Contractor Installed.</t>
    </r>
  </si>
  <si>
    <t>Power wash existing siding as necessary to prep for new paint.</t>
  </si>
  <si>
    <t>Scape existing peeling, splintering or cracking paint to prep for new paint.</t>
  </si>
  <si>
    <r>
      <t xml:space="preserve">Caulk and prep all new &amp; existing exterior trim boards. </t>
    </r>
    <r>
      <rPr>
        <b/>
        <sz val="12"/>
        <color indexed="8"/>
        <rFont val="Calibri Light"/>
        <family val="2"/>
      </rPr>
      <t>(CFCI)</t>
    </r>
  </si>
  <si>
    <t>Exterior Painting Plan Scheme:   Walls ________________   Trim ________________ Front Door _________________</t>
  </si>
  <si>
    <r>
      <t xml:space="preserve">Paint interior walls, ceilings, doors and trim. </t>
    </r>
    <r>
      <rPr>
        <b/>
        <sz val="12"/>
        <color indexed="8"/>
        <rFont val="Calibri Light"/>
        <family val="2"/>
      </rPr>
      <t>(CFCI)</t>
    </r>
  </si>
  <si>
    <t>Prep and patch minor dents/imperfections in existing walls to receive paint.</t>
  </si>
  <si>
    <t>Protect existing surfaces not to receive paint.</t>
  </si>
  <si>
    <r>
      <t xml:space="preserve">Caulk all new &amp; existing trim to receive paint as required. </t>
    </r>
    <r>
      <rPr>
        <b/>
        <sz val="12"/>
        <color indexed="8"/>
        <rFont val="Calibri Light"/>
        <family val="2"/>
      </rPr>
      <t>(CFCI)</t>
    </r>
  </si>
  <si>
    <t>Interior Painting Plan Scheme:   Walls ________________  Ceilings ________________ Trim _________________  Doors ________________</t>
  </si>
  <si>
    <r>
      <t xml:space="preserve">Appliances will be </t>
    </r>
    <r>
      <rPr>
        <b/>
        <sz val="12"/>
        <color indexed="8"/>
        <rFont val="Calibri Light"/>
        <family val="2"/>
      </rPr>
      <t>Owner-Furnished, Contractor-Installed.</t>
    </r>
  </si>
  <si>
    <r>
      <t>All cords, hoses, and connections to be</t>
    </r>
    <r>
      <rPr>
        <b/>
        <sz val="12"/>
        <color indexed="8"/>
        <rFont val="Calibri Light"/>
        <family val="2"/>
      </rPr>
      <t xml:space="preserve"> Owner-Furnished, Contractor-Installed</t>
    </r>
  </si>
  <si>
    <t>Install and connect all owener furnished kitchen appliances.</t>
  </si>
  <si>
    <t xml:space="preserve">Copper or PEX piping are acceptable water supply lines.  </t>
  </si>
  <si>
    <t>Remove any existing piping as required to complete new plumbing work.</t>
  </si>
  <si>
    <r>
      <t xml:space="preserve">All work associated with plumbing is </t>
    </r>
    <r>
      <rPr>
        <b/>
        <sz val="12"/>
        <color indexed="8"/>
        <rFont val="Calibri Light"/>
        <family val="2"/>
      </rPr>
      <t>contractor furnished, contractor installed unless otherwise noted.</t>
    </r>
  </si>
  <si>
    <t>Connect water supply lines to dishwasher &amp; refrigerator.</t>
  </si>
  <si>
    <r>
      <t>Connect kitchen sinks &amp; bathoom sink water supply and waste piping. (</t>
    </r>
    <r>
      <rPr>
        <b/>
        <sz val="12"/>
        <color indexed="8"/>
        <rFont val="Calibri Light"/>
        <family val="2"/>
      </rPr>
      <t>CFCI)</t>
    </r>
  </si>
  <si>
    <r>
      <t>Install and connect garbage disposal.</t>
    </r>
    <r>
      <rPr>
        <b/>
        <sz val="12"/>
        <color indexed="8"/>
        <rFont val="Calibri Light"/>
        <family val="2"/>
      </rPr>
      <t xml:space="preserve"> (CFCI)</t>
    </r>
  </si>
  <si>
    <t>Provide new water-supply, waste, &amp; vent piping rough-in work as necessary for new Kitchen &amp; bathroom layouts.</t>
  </si>
  <si>
    <r>
      <t xml:space="preserve">All work associated with HVAC is </t>
    </r>
    <r>
      <rPr>
        <b/>
        <sz val="12"/>
        <color indexed="8"/>
        <rFont val="Calibri Light"/>
        <family val="2"/>
      </rPr>
      <t>contractor furnished, contractor installed.</t>
    </r>
  </si>
  <si>
    <t>Provide ductwork rough-in as necessary for new register locations.</t>
  </si>
  <si>
    <r>
      <t xml:space="preserve">Install new registers and grilles throughout </t>
    </r>
    <r>
      <rPr>
        <b/>
        <sz val="12"/>
        <color indexed="8"/>
        <rFont val="Calibri Light"/>
        <family val="2"/>
      </rPr>
      <t>(CFCI).</t>
    </r>
  </si>
  <si>
    <r>
      <t xml:space="preserve">All work associated with electrical is </t>
    </r>
    <r>
      <rPr>
        <b/>
        <sz val="12"/>
        <color indexed="8"/>
        <rFont val="Calibri Light"/>
        <family val="2"/>
      </rPr>
      <t>contractor furnished, contractor installed</t>
    </r>
    <r>
      <rPr>
        <sz val="12"/>
        <color indexed="8"/>
        <rFont val="Calibri Light"/>
        <family val="2"/>
      </rPr>
      <t xml:space="preserve"> unless otherwise noted.</t>
    </r>
  </si>
  <si>
    <t>Perform any necessary electrical demolition to accommodate new floor layout.</t>
  </si>
  <si>
    <t>Re-use existing electrical circuits where applicable.</t>
  </si>
  <si>
    <r>
      <t>Replace all existing outlets and switches with new white devices and cover plates.</t>
    </r>
    <r>
      <rPr>
        <b/>
        <sz val="12"/>
        <color indexed="8"/>
        <rFont val="Calibri Light"/>
        <family val="2"/>
      </rPr>
      <t xml:space="preserve"> (CFCI)</t>
    </r>
  </si>
  <si>
    <t>Rough-in new power and lighting circuits for new layouts as required by local buildling code/standards.</t>
  </si>
  <si>
    <r>
      <t xml:space="preserve">Furnish and install new grounded circuits and outlets at kitchens and bathrooms as required by local buliding code/standards. </t>
    </r>
    <r>
      <rPr>
        <b/>
        <sz val="12"/>
        <color indexed="8"/>
        <rFont val="Calibri Light"/>
        <family val="2"/>
      </rPr>
      <t>(CFCI)</t>
    </r>
  </si>
  <si>
    <r>
      <t xml:space="preserve">Furnish and install new Owner-Furnished light fixtures as designated. </t>
    </r>
    <r>
      <rPr>
        <b/>
        <sz val="12"/>
        <color indexed="8"/>
        <rFont val="Calibri Light"/>
        <family val="2"/>
      </rPr>
      <t>(OFCI)</t>
    </r>
  </si>
  <si>
    <t>OFCI</t>
  </si>
  <si>
    <t>CFCI</t>
  </si>
  <si>
    <t>Furnish and install new programmable themostat. Thermostat Specification: __________________</t>
  </si>
  <si>
    <r>
      <t>Install and connect Owner-Furnished plumbing fixtures (toilets, faucets, tub/shower kits).</t>
    </r>
    <r>
      <rPr>
        <b/>
        <sz val="12"/>
        <color indexed="8"/>
        <rFont val="Calibri Light"/>
        <family val="2"/>
      </rPr>
      <t xml:space="preserve"> (OFCI)</t>
    </r>
  </si>
  <si>
    <t>Appliance Package</t>
  </si>
  <si>
    <t>Average, (fridge, range, hood, dw, microwave)</t>
  </si>
  <si>
    <t>Economy, (fridge, range, hood, dw, microwave)</t>
  </si>
  <si>
    <t>Appliances, Detailed, Average</t>
  </si>
  <si>
    <t>Range Hood, average</t>
  </si>
  <si>
    <t>Microwave, average</t>
  </si>
  <si>
    <t>Appliance delivery</t>
  </si>
  <si>
    <t>Appliances, Detailed, Ecomony</t>
  </si>
  <si>
    <t>High End, (fridge, range, hood, dw, microwave)</t>
  </si>
  <si>
    <t>Range Hood, economy</t>
  </si>
  <si>
    <t>Microwave, economy</t>
  </si>
  <si>
    <t>Appliances, Detailed, High End</t>
  </si>
  <si>
    <t>Refrigerator, high end</t>
  </si>
  <si>
    <t>Range, high end</t>
  </si>
  <si>
    <t>Range Hood, high end</t>
  </si>
  <si>
    <t>Dishwasher, high end</t>
  </si>
  <si>
    <t>Microwave, high end</t>
  </si>
  <si>
    <t>PRELIMINARY DEAL ANALYSIS</t>
  </si>
  <si>
    <t>Unallocated</t>
  </si>
  <si>
    <t>New SF:</t>
  </si>
  <si>
    <t>PROJECT COST REPORT</t>
  </si>
  <si>
    <t>Cost Item</t>
  </si>
  <si>
    <t>All Project Costs Report</t>
  </si>
  <si>
    <t>All Project Cost Report</t>
  </si>
  <si>
    <t>A detailed report itemizing every project cost to purchase, rehab, hold &amp; sell the property.</t>
  </si>
  <si>
    <t>A professional investment report that summarizes your Rehab Financial analysis.</t>
  </si>
  <si>
    <t>An Inspection Checklist to inspect properties and create a scope of work for your rehab project.</t>
  </si>
  <si>
    <t>A professional lending report that can be presented to lenders and investors.</t>
  </si>
  <si>
    <t>A rental pro-forma report that summarizes the Rental Income, Operating Expense &amp; Cash Flow.</t>
  </si>
  <si>
    <t>A report that summarizes you compare sales data and information for Comparable properties.</t>
  </si>
  <si>
    <t>A wholesale report that can be marketed to your rehab wholesale buyers list.</t>
  </si>
  <si>
    <t>An estimate reports that summarizes and details your Repair Cost Estimate information.</t>
  </si>
  <si>
    <t>Show Adders</t>
  </si>
  <si>
    <t>SCENARIOS</t>
  </si>
  <si>
    <t>COMPARABLE SALES</t>
  </si>
  <si>
    <t>ALL PROJECT COSTS REPORT</t>
  </si>
  <si>
    <t>LENDER FUNDING REPORT</t>
  </si>
  <si>
    <t>HOMEOWNER OFFFER REPORT</t>
  </si>
  <si>
    <t>COMPARABLE SALES REPORT</t>
  </si>
  <si>
    <t>Admin Settings</t>
  </si>
  <si>
    <t>Estimate Report</t>
  </si>
  <si>
    <t>Cash Investment</t>
  </si>
  <si>
    <t>Original Square Feet</t>
  </si>
  <si>
    <t>New Square Feet</t>
  </si>
  <si>
    <t>Property Size</t>
  </si>
  <si>
    <t>Cash Upfront</t>
  </si>
  <si>
    <t>Cash During Flip</t>
  </si>
  <si>
    <t>Total Cash</t>
  </si>
  <si>
    <t xml:space="preserve">Total Capital </t>
  </si>
  <si>
    <t>Funding</t>
  </si>
  <si>
    <t>Total Points</t>
  </si>
  <si>
    <t>Financing %</t>
  </si>
  <si>
    <t>Loan 2 Results:</t>
  </si>
  <si>
    <t>Loan 1 Results:</t>
  </si>
  <si>
    <t>% of Loan</t>
  </si>
  <si>
    <t>Type of Deal</t>
  </si>
  <si>
    <t>Rehab</t>
  </si>
  <si>
    <t>Wholesale</t>
  </si>
  <si>
    <t>Quick</t>
  </si>
  <si>
    <t>SUM</t>
  </si>
  <si>
    <t>Itemized</t>
  </si>
  <si>
    <t>Wholesale Fee</t>
  </si>
  <si>
    <t>costp</t>
  </si>
  <si>
    <t>Insert Cover Photo</t>
  </si>
  <si>
    <t>PROJECT FINANCIAL OVERVIEW</t>
  </si>
  <si>
    <t>PROJECT COSTS</t>
  </si>
  <si>
    <t>Project Costs</t>
  </si>
  <si>
    <t>Total Purchase Costs</t>
  </si>
  <si>
    <t>Financing Costs</t>
  </si>
  <si>
    <t>Total Carrying Costs</t>
  </si>
  <si>
    <t>Investor Cash Outlay</t>
  </si>
  <si>
    <t>PROJECT RETURNS</t>
  </si>
  <si>
    <t>Projected Sales Price (ARV):</t>
  </si>
  <si>
    <t>Upfront Project Costs (excluding Selling)</t>
  </si>
  <si>
    <t>Project Profit</t>
  </si>
  <si>
    <t>Cash-On-Cash Return</t>
  </si>
  <si>
    <t>PROJECT HIGHLIGHTS</t>
  </si>
  <si>
    <t>Total Repairs</t>
  </si>
  <si>
    <t>% of ARV:</t>
  </si>
  <si>
    <t xml:space="preserve">Total Fixed Costs </t>
  </si>
  <si>
    <t>% of TOTAL</t>
  </si>
  <si>
    <t>Estimate Adders (Contingencies, Contractor OH &amp; P, Taxes, etc.)</t>
  </si>
  <si>
    <t>FINANCING COSTS</t>
  </si>
  <si>
    <t>TOTAL FINANCING COSTS</t>
  </si>
  <si>
    <t>© 2018 by Houseflippingspreadsheet.com. All rights reserved</t>
  </si>
  <si>
    <t>Input an estimate description</t>
  </si>
  <si>
    <t>PROPERTY PHOTOS</t>
  </si>
  <si>
    <t>Setup</t>
  </si>
  <si>
    <t>Page 5 of 6</t>
  </si>
  <si>
    <t>Page 6 of 6</t>
  </si>
  <si>
    <t>Page 4 of 6</t>
  </si>
  <si>
    <t>Page 3 of 6</t>
  </si>
  <si>
    <t>Page 2 of 6</t>
  </si>
  <si>
    <t>Page 1 of 6</t>
  </si>
  <si>
    <t>Back to Rehab Analyzer</t>
  </si>
  <si>
    <t>FINANCING SHEET</t>
  </si>
  <si>
    <t>© 2018 by HouseFlippingSpreadsheet.com. All rights reserved</t>
  </si>
  <si>
    <t>Combo</t>
  </si>
  <si>
    <t>Other Loan Costs</t>
  </si>
  <si>
    <t>Investor Name</t>
  </si>
  <si>
    <t>Profit Share %</t>
  </si>
  <si>
    <t>Profit Amount</t>
  </si>
  <si>
    <t>Current Project Profit Amount:</t>
  </si>
  <si>
    <t>Categories</t>
  </si>
  <si>
    <t>Category Name</t>
  </si>
  <si>
    <t>CATEGORY SETUP</t>
  </si>
  <si>
    <t>EXTERIOR DOORS &amp; WINDOWS</t>
  </si>
  <si>
    <t>MISC. EXTERIOR ITEMS</t>
  </si>
  <si>
    <t>Setup Basic Property Information &amp; Company Information which will be displayed on all reports.</t>
  </si>
  <si>
    <t>Investor 1</t>
  </si>
  <si>
    <t>Investor 2</t>
  </si>
  <si>
    <t>Investor 3</t>
  </si>
  <si>
    <t>Investor 4</t>
  </si>
  <si>
    <t>Investor 5</t>
  </si>
  <si>
    <t>Investor 6</t>
  </si>
  <si>
    <t>Investor 7</t>
  </si>
  <si>
    <t>Investor 8</t>
  </si>
  <si>
    <t>Investor 9</t>
  </si>
  <si>
    <t>Investor 10</t>
  </si>
  <si>
    <t>The Equity Option is used if you are partnering and sharing the Project Profit with Other Investors.</t>
  </si>
  <si>
    <t>Your Profit:</t>
  </si>
  <si>
    <t>Debt (Loan)</t>
  </si>
  <si>
    <t>Equity (Profit Share)</t>
  </si>
  <si>
    <t>- Comparables Report</t>
  </si>
  <si>
    <t>- Homeowner Offer Report</t>
  </si>
  <si>
    <t>- Lender Funding Report</t>
  </si>
  <si>
    <t>- Inspection Checklist</t>
  </si>
  <si>
    <t>- Estimate Reports</t>
  </si>
  <si>
    <t>- Investment Reports</t>
  </si>
  <si>
    <t>- All Project Costs Report</t>
  </si>
  <si>
    <t>- Wholesale Reports</t>
  </si>
  <si>
    <t>- Rental Cash Flow Report</t>
  </si>
  <si>
    <t>Property Setup</t>
  </si>
  <si>
    <r>
      <t xml:space="preserve">Walkthrough/Inspect property &amp; create Detailed Scope of Work using the </t>
    </r>
    <r>
      <rPr>
        <u/>
        <sz val="14"/>
        <color rgb="FF398CCC"/>
        <rFont val="Calibri"/>
        <family val="2"/>
        <scheme val="minor"/>
      </rPr>
      <t>Inspection Checklist</t>
    </r>
  </si>
  <si>
    <r>
      <t xml:space="preserve">Create Pre-liminary Repair Cost Estimate using the </t>
    </r>
    <r>
      <rPr>
        <u/>
        <sz val="14"/>
        <color rgb="FF398CCC"/>
        <rFont val="Calibri"/>
        <family val="2"/>
        <scheme val="minor"/>
      </rPr>
      <t>Repair Cost Estimator</t>
    </r>
  </si>
  <si>
    <r>
      <t xml:space="preserve">Calculate the Maximum Purchase Price to Offer for the Property using the </t>
    </r>
    <r>
      <rPr>
        <u/>
        <sz val="14"/>
        <color rgb="FF398CCC"/>
        <rFont val="Calibri"/>
        <family val="2"/>
        <scheme val="minor"/>
      </rPr>
      <t>Rehab Analyzer</t>
    </r>
  </si>
  <si>
    <r>
      <t>Distribute Financial Analysis (</t>
    </r>
    <r>
      <rPr>
        <u/>
        <sz val="14"/>
        <color rgb="FF398CCC"/>
        <rFont val="Calibri"/>
        <family val="2"/>
        <scheme val="minor"/>
      </rPr>
      <t>Investment Reports</t>
    </r>
    <r>
      <rPr>
        <sz val="14"/>
        <color theme="1" tint="0.249977111117893"/>
        <rFont val="Calibri"/>
        <family val="2"/>
        <scheme val="minor"/>
      </rPr>
      <t>) to Partners (if applicable)</t>
    </r>
  </si>
  <si>
    <r>
      <t xml:space="preserve">Track your Offers and Counter Offer using the </t>
    </r>
    <r>
      <rPr>
        <u/>
        <sz val="14"/>
        <color rgb="FF398CCC"/>
        <rFont val="Calibri"/>
        <family val="2"/>
        <scheme val="minor"/>
      </rPr>
      <t>Offer Tracker</t>
    </r>
  </si>
  <si>
    <t>Other Tools</t>
  </si>
  <si>
    <t>Rehab Tools</t>
  </si>
  <si>
    <t>- Offer Tracker</t>
  </si>
  <si>
    <t>- Rental Calculator</t>
  </si>
  <si>
    <t>- Wholesale Calculator</t>
  </si>
  <si>
    <t>STEP 1: AFTER REPAIR VALUE</t>
  </si>
  <si>
    <t>STEP 2: FIXED COSTS</t>
  </si>
  <si>
    <t>- Scenarios Analyzer</t>
  </si>
  <si>
    <t>Setup your Project Categories which will be used to Estimate Repairs and Track Project Costs.</t>
  </si>
  <si>
    <t>STEP 3: REPAIR COSTS</t>
  </si>
  <si>
    <t>DETAILED ESTIMATE</t>
  </si>
  <si>
    <t>Estimate</t>
  </si>
  <si>
    <t>Subject</t>
  </si>
  <si>
    <t>School District</t>
  </si>
  <si>
    <t>Basement Type</t>
  </si>
  <si>
    <t>Other Improvements</t>
  </si>
  <si>
    <t>TOTAL ADJUSTMENTS</t>
  </si>
  <si>
    <t>PRICE PER SF</t>
  </si>
  <si>
    <t>Comps</t>
  </si>
  <si>
    <t>LENDER REPORT</t>
  </si>
  <si>
    <t>REHAB INVESTMENT OPPORTUNITY</t>
  </si>
  <si>
    <t>The Lender Report summarizes the Lender's financial Return on Investment based upon the Loan Terms, Interest Rate, Points &amp; Fees you have built into the deal.  The Lender Report can be marketed to your Private Money Lenders to solicit private money for your rehab projects.</t>
  </si>
  <si>
    <t>- Comparables Tool</t>
  </si>
  <si>
    <t>- Less Loan Amount Requested</t>
  </si>
  <si>
    <t>Rehabber Cash Outlay</t>
  </si>
  <si>
    <t>Describe the terms of the loan that you are requesting.</t>
  </si>
  <si>
    <t>LOAN AMOUNT</t>
  </si>
  <si>
    <t>Project Costs (excluding selling costs)</t>
  </si>
  <si>
    <t>LOAN TERMS</t>
  </si>
  <si>
    <t>Loan Term (# of Months)</t>
  </si>
  <si>
    <t>Points/Fees</t>
  </si>
  <si>
    <t>Total Project Costs (excl. Selling)</t>
  </si>
  <si>
    <t>Annual Interest Rate:</t>
  </si>
  <si>
    <t>Annualized ROI:</t>
  </si>
  <si>
    <t>% of Loan:</t>
  </si>
  <si>
    <t>EQUITY TABLE</t>
  </si>
  <si>
    <t>Investment Amount</t>
  </si>
  <si>
    <t>Amount Invested</t>
  </si>
  <si>
    <t>STORE</t>
  </si>
  <si>
    <t>Back to Repair Estimator</t>
  </si>
  <si>
    <t>Note:  To Unlock the spreadsheet at anytime, you can press Cntrl + Shift + Z</t>
  </si>
  <si>
    <t>STEP 4: REHAB PROFIT</t>
  </si>
  <si>
    <t>Property Value</t>
  </si>
  <si>
    <t>Amounts</t>
  </si>
  <si>
    <t>Analyze the Profit/Equity you can build into the property upfront by buying the property at a discount &amp; rehabbing the property.</t>
  </si>
  <si>
    <t>% of Purchase</t>
  </si>
  <si>
    <t>TOTAL PURCHASE COSTS</t>
  </si>
  <si>
    <t>Construction Costs</t>
  </si>
  <si>
    <t>Holding Costs During Rehab:</t>
  </si>
  <si>
    <t>$ per Month</t>
  </si>
  <si>
    <t># of Months for Rehab</t>
  </si>
  <si>
    <t>Utilities</t>
  </si>
  <si>
    <t>Insurance</t>
  </si>
  <si>
    <t>HOA Dues</t>
  </si>
  <si>
    <t>Maintenance</t>
  </si>
  <si>
    <t>Other Holding Costs</t>
  </si>
  <si>
    <t>TOTAL HOLDING COSTS</t>
  </si>
  <si>
    <t>Selling Costs:</t>
  </si>
  <si>
    <t>Cash Purchase</t>
  </si>
  <si>
    <t>Outside Funding</t>
  </si>
  <si>
    <t>What type of Funding will you use for your Purchase?</t>
  </si>
  <si>
    <t>Bridge Loan</t>
  </si>
  <si>
    <t>Short Term Financing (Bridge Loan)</t>
  </si>
  <si>
    <t>Note: This Loan Setup is the for the initial short-term Bridge Loan that will be used to Purchase the property and fund the repair costs.  You can setup your long term conventional financing on the Rental Analysis page.</t>
  </si>
  <si>
    <t>Loan Amount (input value or select from dropdown)</t>
  </si>
  <si>
    <t>LTV Ratio (generally 65 to 80%)</t>
  </si>
  <si>
    <t>BRIDGE LOAN AMOUNT:</t>
  </si>
  <si>
    <t>Loan Term (# of Months):</t>
  </si>
  <si>
    <t>Interest Rate (Annual %)</t>
  </si>
  <si>
    <t>Points/Fees (% of Loan):</t>
  </si>
  <si>
    <t>Rehab Profit Calculation</t>
  </si>
  <si>
    <t>Purchase Results</t>
  </si>
  <si>
    <t>TOTAL PROFIT/EQUITY AFTER REHAB:</t>
  </si>
  <si>
    <t>Cash Outlay Calculation</t>
  </si>
  <si>
    <t>TOTAL INVESTOR CASH OUTLAY:</t>
  </si>
  <si>
    <t># of months</t>
  </si>
  <si>
    <t>Year of Sale</t>
  </si>
  <si>
    <t>% Increase per Year</t>
  </si>
  <si>
    <t xml:space="preserve">% </t>
  </si>
  <si>
    <t>GROSS SCHEDULED INCOME</t>
  </si>
  <si>
    <t>Tenant Concessions</t>
  </si>
  <si>
    <t>Other Income</t>
  </si>
  <si>
    <t>GROSS OPERATING INCOME</t>
  </si>
  <si>
    <t>Property Management:</t>
  </si>
  <si>
    <t>% of GSI</t>
  </si>
  <si>
    <t>Repairs:</t>
  </si>
  <si>
    <t>Cap Ex:</t>
  </si>
  <si>
    <t>TOTAL OPERATING EXPENSES</t>
  </si>
  <si>
    <t>NET OPERATING INCOME</t>
  </si>
  <si>
    <t>Long-Term Financing</t>
  </si>
  <si>
    <t>TOTAL FINANCING</t>
  </si>
  <si>
    <t>Debt Service Coverage Ratio (DSCR) (Lenders generally require &gt;1.20)</t>
  </si>
  <si>
    <t>Investor Cash Remaining in Deal</t>
  </si>
  <si>
    <t>Returns</t>
  </si>
  <si>
    <t>Calculation Method</t>
  </si>
  <si>
    <t>Appreciation</t>
  </si>
  <si>
    <t>Purchase Capitalization Rate (NOI/Total Investment)</t>
  </si>
  <si>
    <t>Resale Capitalization Rate (NOI / Property Value)</t>
  </si>
  <si>
    <t>Gross Rent Multiplier</t>
  </si>
  <si>
    <t>Cash Flow From Operations</t>
  </si>
  <si>
    <t>Cash Flow Before Debt (NOI)</t>
  </si>
  <si>
    <t>Cash Flow After Debt (NOI - Debt Service)</t>
  </si>
  <si>
    <t>Unlevered Cash-On-Cash ROI (Cash Flow Before Debt / Cash in Deal)</t>
  </si>
  <si>
    <t>Levered Cash On-Cash ROI (Cash Flow After Debt / Cash in Deal)</t>
  </si>
  <si>
    <t>Equity Earned from Purchase &amp; Rehab</t>
  </si>
  <si>
    <t>Equity Earned (Principal Paydown)</t>
  </si>
  <si>
    <t>Equity Earned (Property Appreciation)</t>
  </si>
  <si>
    <t>Total Equity Earned (Rehab Equity + Principal Paydown + Appreciation)</t>
  </si>
  <si>
    <t>Total Return (Cash Flow + Equity)</t>
  </si>
  <si>
    <t>Total Return Accrued</t>
  </si>
  <si>
    <t>Total Return on Cash</t>
  </si>
  <si>
    <t>Total Return-on-Cash Accrued</t>
  </si>
  <si>
    <t>Internal Rate of Return</t>
  </si>
  <si>
    <t/>
  </si>
  <si>
    <t>Year</t>
  </si>
  <si>
    <t xml:space="preserve">Month </t>
  </si>
  <si>
    <t>-Less Selling Costs</t>
  </si>
  <si>
    <t>-Less Loan Payback</t>
  </si>
  <si>
    <t>-Less Investor Cash</t>
  </si>
  <si>
    <t>Cash Flow From Sale</t>
  </si>
  <si>
    <t>IRR Calculations</t>
  </si>
  <si>
    <t>Cash Flow from Operations</t>
  </si>
  <si>
    <t>Profit if Sold</t>
  </si>
  <si>
    <t>IRR</t>
  </si>
  <si>
    <t>Note: This Loan Setup is the for the Long-Term amortized, conventional loan that will be used to finance or refinance the property.</t>
  </si>
  <si>
    <t>Loan Amount (select or type in your own value)</t>
  </si>
  <si>
    <t>LONG-TERM LOAN AMOUNT:</t>
  </si>
  <si>
    <t>Loan Terms</t>
  </si>
  <si>
    <t>Loan Term (Years):</t>
  </si>
  <si>
    <t>Interest Rate (Annual %):</t>
  </si>
  <si>
    <t>Initial Cash Outlay at Purchase</t>
  </si>
  <si>
    <t>TOTAL PROJECT COSTS (Excl. Selling Costs)</t>
  </si>
  <si>
    <t>INITIAL INVESTOR CASH OUTLAY</t>
  </si>
  <si>
    <t>EXISTING BRIDGE LOAN AMOUNT</t>
  </si>
  <si>
    <t>INITIAL INVESTOR CASH OUTLAY + REFINANCING COSTS</t>
  </si>
  <si>
    <t>LONG-TERM FINANCING AMOUNT</t>
  </si>
  <si>
    <t>CASH REMAINING IN DEAL</t>
  </si>
  <si>
    <t>Go Back To: Rental Analysis</t>
  </si>
  <si>
    <t>Edit Rental Analysis</t>
  </si>
  <si>
    <t>RENTAL INVESTMENT</t>
  </si>
  <si>
    <t>PURCHASE ANALYSIS</t>
  </si>
  <si>
    <t>PROFIT/EQUITY FROM REHAB</t>
  </si>
  <si>
    <t>Long Term Financing</t>
  </si>
  <si>
    <t>INVESTOR CASH IN DEAL</t>
  </si>
  <si>
    <t>LEVERED CASH-ON-CASH ROI</t>
  </si>
  <si>
    <t>Cash Flow After Debt</t>
  </si>
  <si>
    <t>Levered Cash on Cash ROI</t>
  </si>
  <si>
    <t>Equity Earned (property appreciation)</t>
  </si>
  <si>
    <t>TOTAL RETURN %</t>
  </si>
  <si>
    <t>Total Equity Earned</t>
  </si>
  <si>
    <t>Total ROI (cash + equity)</t>
  </si>
  <si>
    <t>Levered Cash-On-Cash ROI</t>
  </si>
  <si>
    <t>Equity Earned (Appreciation)</t>
  </si>
  <si>
    <t>Insert Caption</t>
  </si>
  <si>
    <t>How do you plan on Funding Your Rental Purchase?</t>
  </si>
  <si>
    <t>Long-Term Financing Setup</t>
  </si>
  <si>
    <t>Rental Unit 2  -  ( units, square feet, beds, baths)</t>
  </si>
  <si>
    <t>Rental Unit 3  -  ( units, square feet, beds, baths)</t>
  </si>
  <si>
    <t>Rental Unit 4  -  ( units, square feet, beds, baths)</t>
  </si>
  <si>
    <t>Rental Unit 5  -  ( units, square feet, beds, baths)</t>
  </si>
  <si>
    <t>Rental Calculations</t>
  </si>
  <si>
    <t>Rental Funding Strategy</t>
  </si>
  <si>
    <t>Rental Funding Type</t>
  </si>
  <si>
    <t xml:space="preserve">Your Conventional Loan information will be setup on the Long Term Funding Sheet.  </t>
  </si>
  <si>
    <t>Long-Term Conventional</t>
  </si>
  <si>
    <t>- Less Holding Costs</t>
  </si>
  <si>
    <t>- Less Purchase Costs</t>
  </si>
  <si>
    <t>- Less Selling Costs</t>
  </si>
  <si>
    <t>Back to Rental Analysis</t>
  </si>
  <si>
    <t>$ per SF</t>
  </si>
  <si>
    <t>- Less Bridge Loan Financing Costs</t>
  </si>
  <si>
    <t>Total Project Costs (excl. Selling Costs):</t>
  </si>
  <si>
    <t>Short Term Loan (Bridge Loan) Amount:</t>
  </si>
  <si>
    <t>Project Capital</t>
  </si>
  <si>
    <t>Rental Unit 1  -  ( units, square feet, beds, baths)</t>
  </si>
  <si>
    <t>RENTAL INVESTMENT PACKET</t>
  </si>
  <si>
    <t>Rental Analysis</t>
  </si>
  <si>
    <t>Rental Purchase</t>
  </si>
  <si>
    <t>- Less Construction Costs</t>
  </si>
  <si>
    <t>LONG-TERM FINANCING</t>
  </si>
  <si>
    <t>Other Costs</t>
  </si>
  <si>
    <t>Our Offer:</t>
  </si>
  <si>
    <t>RENTAL PRO FORMA - YEAR 1</t>
  </si>
  <si>
    <t>LENDER RESULTS</t>
  </si>
  <si>
    <t>LENDER TERMS &amp; RESULTS</t>
  </si>
  <si>
    <t>LOAN HIGHLIGHTS</t>
  </si>
  <si>
    <t>Rehabber's Profit</t>
  </si>
  <si>
    <t>EQUITY RESULTS</t>
  </si>
  <si>
    <t>Equity Investor Profit</t>
  </si>
  <si>
    <t>Total Project Profit</t>
  </si>
  <si>
    <t>Calculated Purchase Price</t>
  </si>
  <si>
    <t>Total Debt &amp; Equity</t>
  </si>
  <si>
    <t>Total Equity Investment</t>
  </si>
  <si>
    <t>FINANCIAL BREAKDOWN</t>
  </si>
  <si>
    <t>Debt Financing</t>
  </si>
  <si>
    <t>Equity Financing</t>
  </si>
  <si>
    <t>Rehabber's Cash Outlay</t>
  </si>
  <si>
    <t>Other Financing Costs</t>
  </si>
  <si>
    <t>Total Debt</t>
  </si>
  <si>
    <t>Total Equity</t>
  </si>
  <si>
    <t>DEBT</t>
  </si>
  <si>
    <t>EQUITY</t>
  </si>
  <si>
    <t>CASH</t>
  </si>
  <si>
    <t>Start Analyzing the Deal</t>
  </si>
  <si>
    <t>Lender Cash-On-Cash ROI</t>
  </si>
  <si>
    <t>Lender Annualized COCR</t>
  </si>
  <si>
    <t>Other Fees</t>
  </si>
  <si>
    <t>REHAB OPPORTUNITY</t>
  </si>
  <si>
    <t>Wholesale Marketing Packet</t>
  </si>
  <si>
    <t>PROJECT FINANCIALS</t>
  </si>
  <si>
    <t>PROJECT INFO</t>
  </si>
  <si>
    <t>Square Footage:</t>
  </si>
  <si>
    <t>PROPERTY INFO</t>
  </si>
  <si>
    <t>Capital Amount</t>
  </si>
  <si>
    <t>Capital Item</t>
  </si>
  <si>
    <t>Capital Needed (All Project Costs excluding Selling Costs)</t>
  </si>
  <si>
    <t>Total Debt Financing</t>
  </si>
  <si>
    <t>Outside Equity Investment Amount</t>
  </si>
  <si>
    <t>- Less Total Debt Financing</t>
  </si>
  <si>
    <t>- Less Equity Financing</t>
  </si>
  <si>
    <t>Total Financing Costs:</t>
  </si>
  <si>
    <t>Debt Financing Costs</t>
  </si>
  <si>
    <t>Loan 1 Interest</t>
  </si>
  <si>
    <t xml:space="preserve">Loan 2 Points </t>
  </si>
  <si>
    <t>Loan 2 Other Costs</t>
  </si>
  <si>
    <t xml:space="preserve">Loan 1 Points </t>
  </si>
  <si>
    <t>Loan 1 Other Costs</t>
  </si>
  <si>
    <t>Total Loan 1 Financing Costs</t>
  </si>
  <si>
    <t>Loan 2</t>
  </si>
  <si>
    <t>Loan 2 Interest</t>
  </si>
  <si>
    <t>Total Loan 2 Financing Costs</t>
  </si>
  <si>
    <t>Equity Financing Costs</t>
  </si>
  <si>
    <t>Equity Investor Profit Split</t>
  </si>
  <si>
    <t>Loan 1 Financing Costs</t>
  </si>
  <si>
    <t>Loan 2 Financing Costs</t>
  </si>
  <si>
    <t>Project Capital Results:</t>
  </si>
  <si>
    <t>Equity Financing Costs (Profit Share)</t>
  </si>
  <si>
    <t>PROJECT CAPITAL</t>
  </si>
  <si>
    <t>- Less Total Equity Financing</t>
  </si>
  <si>
    <t xml:space="preserve">Loan 1 </t>
  </si>
  <si>
    <t>Loan 1 Points</t>
  </si>
  <si>
    <t>Loan 2 Points</t>
  </si>
  <si>
    <t>Capital</t>
  </si>
  <si>
    <t>Click to Unlock Workbook</t>
  </si>
  <si>
    <t>Visible</t>
  </si>
  <si>
    <t>The Project Cost Report includes all project costs associated with Purchasing, Holding, Rehabbing and Reselling the Property.   The report provides a detailed report of every project expense that makes up your Total Project Investment.</t>
  </si>
  <si>
    <t>Basic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</si>
</sst>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5" formatCode="&quot;$&quot;#,##0_);\(&quot;$&quot;#,##0\)"/>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
    <numFmt numFmtId="167" formatCode="[$-F800]dddd\,\ mmmm\ dd\,\ yyyy"/>
    <numFmt numFmtId="168" formatCode="&quot;$&quot;#,##0.00"/>
    <numFmt numFmtId="169" formatCode="0.0%"/>
    <numFmt numFmtId="170" formatCode="&quot;$&quot;#,##0.0\ &quot;/sf&quot;"/>
    <numFmt numFmtId="171" formatCode="[&lt;=9999999]###\-####;\(###\)\ ###\-####"/>
    <numFmt numFmtId="172" formatCode="0\ &quot;months&quot;"/>
    <numFmt numFmtId="173" formatCode="0.0"/>
    <numFmt numFmtId="174" formatCode="#,##0\ &quot;sf&quot;"/>
    <numFmt numFmtId="175" formatCode="&quot;$&quot;#,##0\ &quot;/sf&quot;"/>
    <numFmt numFmtId="176" formatCode="#,##0.0\ &quot;months&quot;"/>
    <numFmt numFmtId="177" formatCode="#,##0\ &quot;months&quot;"/>
    <numFmt numFmtId="178" formatCode="0\ &quot;beds&quot;"/>
    <numFmt numFmtId="179" formatCode="0\ &quot;garages&quot;"/>
    <numFmt numFmtId="180" formatCode="0\ &quot;sf&quot;"/>
    <numFmt numFmtId="181" formatCode="0.0\ &quot;months&quot;"/>
    <numFmt numFmtId="182" formatCode="&quot;$&quot;#,##0.00\ &quot;/sf/mo&quot;"/>
    <numFmt numFmtId="183" formatCode="0\ &quot;baths&quot;"/>
    <numFmt numFmtId="184" formatCode="0\ &quot;Days&quot;"/>
    <numFmt numFmtId="185" formatCode="0.0\ &quot;baths&quot;"/>
    <numFmt numFmtId="186" formatCode="&quot;$&quot;#,##0.0"/>
    <numFmt numFmtId="187" formatCode="#,##0.0\ &quot;mos&quot;"/>
    <numFmt numFmtId="188" formatCode="#,##0.0\ &quot;years&quot;"/>
    <numFmt numFmtId="189" formatCode="&quot;$&quot;#,##0\ &quot;/mo&quot;"/>
  </numFmts>
  <fonts count="479">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2"/>
      <name val="Arial"/>
      <family val="2"/>
    </font>
    <font>
      <sz val="12"/>
      <name val="Arial MT"/>
    </font>
    <font>
      <sz val="10"/>
      <name val="MS Sans Serif"/>
      <family val="2"/>
    </font>
    <font>
      <sz val="10"/>
      <name val="Arial"/>
      <family val="2"/>
    </font>
    <font>
      <sz val="11"/>
      <color theme="1"/>
      <name val="Calibri"/>
      <family val="2"/>
      <scheme val="minor"/>
    </font>
    <font>
      <sz val="12"/>
      <name val="Myriad Pro Light"/>
      <family val="2"/>
    </font>
    <font>
      <b/>
      <sz val="13"/>
      <color theme="1" tint="0.24994659260841701"/>
      <name val="Cambria"/>
      <family val="2"/>
      <scheme val="major"/>
    </font>
    <font>
      <sz val="11"/>
      <color theme="1" tint="0.24994659260841701"/>
      <name val="Cambria"/>
      <family val="2"/>
      <scheme val="major"/>
    </font>
    <font>
      <b/>
      <sz val="42"/>
      <color theme="7"/>
      <name val="Cambria"/>
      <family val="2"/>
      <scheme val="major"/>
    </font>
    <font>
      <sz val="14"/>
      <color theme="1" tint="0.24994659260841701"/>
      <name val="Calibri"/>
      <family val="2"/>
      <scheme val="minor"/>
    </font>
    <font>
      <b/>
      <sz val="11"/>
      <color theme="1" tint="0.24994659260841701"/>
      <name val="Calibri"/>
      <family val="2"/>
      <scheme val="minor"/>
    </font>
    <font>
      <b/>
      <sz val="9.5"/>
      <color theme="1" tint="0.499984740745262"/>
      <name val="Calibri"/>
      <family val="2"/>
      <scheme val="minor"/>
    </font>
    <font>
      <b/>
      <sz val="13"/>
      <color theme="7"/>
      <name val="Cambria"/>
      <family val="2"/>
      <scheme val="major"/>
    </font>
    <font>
      <u/>
      <sz val="12"/>
      <color theme="10"/>
      <name val="Arial MT"/>
    </font>
    <font>
      <sz val="12"/>
      <name val="Myriad Pro"/>
      <family val="2"/>
    </font>
    <font>
      <b/>
      <sz val="10"/>
      <name val="Myriad Pro"/>
      <family val="2"/>
    </font>
    <font>
      <sz val="10"/>
      <name val="Myriad Pro"/>
      <family val="2"/>
    </font>
    <font>
      <sz val="9"/>
      <name val="Myriad Pro"/>
      <family val="2"/>
    </font>
    <font>
      <sz val="11"/>
      <name val="Myriad Pro"/>
      <family val="2"/>
    </font>
    <font>
      <i/>
      <sz val="7"/>
      <name val="Myriad Pro"/>
      <family val="2"/>
    </font>
    <font>
      <sz val="8"/>
      <name val="Myriad Pro"/>
      <family val="2"/>
    </font>
    <font>
      <sz val="7"/>
      <name val="Myriad Pro"/>
      <family val="2"/>
    </font>
    <font>
      <sz val="11"/>
      <color theme="1"/>
      <name val="Myriad Pro"/>
      <family val="2"/>
    </font>
    <font>
      <sz val="8"/>
      <color theme="1"/>
      <name val="Myriad Pro"/>
      <family val="2"/>
    </font>
    <font>
      <b/>
      <sz val="16"/>
      <name val="Myriad Pro Light"/>
      <family val="2"/>
    </font>
    <font>
      <sz val="28"/>
      <name val="Myriad Pro"/>
      <family val="2"/>
    </font>
    <font>
      <b/>
      <sz val="48"/>
      <color theme="6"/>
      <name val="Calibri"/>
      <family val="2"/>
      <scheme val="minor"/>
    </font>
    <font>
      <sz val="14"/>
      <name val="Calibri Light"/>
      <family val="2"/>
    </font>
    <font>
      <sz val="16"/>
      <name val="Calibri Light"/>
      <family val="2"/>
    </font>
    <font>
      <sz val="12"/>
      <name val="Calibri Light"/>
      <family val="2"/>
    </font>
    <font>
      <sz val="11"/>
      <name val="Calibri"/>
      <family val="2"/>
      <scheme val="minor"/>
    </font>
    <font>
      <u/>
      <sz val="14"/>
      <name val="Calibri Light"/>
      <family val="2"/>
    </font>
    <font>
      <sz val="11"/>
      <name val="Calibri Light"/>
      <family val="2"/>
    </font>
    <font>
      <sz val="18"/>
      <color theme="0"/>
      <name val="Calibri"/>
      <family val="2"/>
      <scheme val="minor"/>
    </font>
    <font>
      <sz val="11"/>
      <color indexed="8"/>
      <name val="Calibri Light"/>
      <family val="2"/>
    </font>
    <font>
      <sz val="12"/>
      <color indexed="8"/>
      <name val="Calibri Light"/>
      <family val="2"/>
    </font>
    <font>
      <sz val="12"/>
      <color theme="0" tint="-4.9989318521683403E-2"/>
      <name val="Calibri Light"/>
      <family val="2"/>
    </font>
    <font>
      <sz val="12"/>
      <color theme="0"/>
      <name val="Calibri"/>
      <family val="2"/>
      <scheme val="minor"/>
    </font>
    <font>
      <b/>
      <sz val="12"/>
      <color indexed="8"/>
      <name val="Calibri Light"/>
      <family val="2"/>
    </font>
    <font>
      <sz val="18"/>
      <color rgb="FFF8F8F8"/>
      <name val="Calibri"/>
      <family val="2"/>
      <scheme val="minor"/>
    </font>
    <font>
      <b/>
      <sz val="14"/>
      <color theme="1"/>
      <name val="Calibri"/>
      <family val="2"/>
      <scheme val="minor"/>
    </font>
    <font>
      <sz val="18"/>
      <color theme="2" tint="-0.749992370372631"/>
      <name val="Calibri"/>
      <family val="2"/>
      <scheme val="minor"/>
    </font>
    <font>
      <sz val="12"/>
      <color theme="1"/>
      <name val="Calibri"/>
      <family val="2"/>
      <scheme val="minor"/>
    </font>
    <font>
      <sz val="18"/>
      <name val="Calibri"/>
      <family val="2"/>
      <scheme val="minor"/>
    </font>
    <font>
      <sz val="5"/>
      <name val="Calibri"/>
      <family val="2"/>
      <scheme val="minor"/>
    </font>
    <font>
      <u/>
      <sz val="14"/>
      <color theme="0"/>
      <name val="Calibri"/>
      <family val="2"/>
      <scheme val="minor"/>
    </font>
    <font>
      <b/>
      <sz val="12"/>
      <color theme="1"/>
      <name val="Calibri"/>
      <family val="2"/>
      <scheme val="minor"/>
    </font>
    <font>
      <sz val="12"/>
      <color theme="1"/>
      <name val="Calibri Light"/>
      <family val="2"/>
    </font>
    <font>
      <b/>
      <sz val="16"/>
      <name val="Calibri Light"/>
      <family val="2"/>
    </font>
    <font>
      <sz val="10"/>
      <name val="Calibri Light"/>
      <family val="2"/>
    </font>
    <font>
      <b/>
      <sz val="12"/>
      <name val="Calibri Light"/>
      <family val="2"/>
    </font>
    <font>
      <b/>
      <sz val="8"/>
      <name val="Calibri Light"/>
      <family val="2"/>
    </font>
    <font>
      <sz val="7"/>
      <name val="Calibri Light"/>
      <family val="2"/>
    </font>
    <font>
      <b/>
      <sz val="11"/>
      <name val="Calibri Light"/>
      <family val="2"/>
    </font>
    <font>
      <b/>
      <sz val="10"/>
      <name val="Calibri Light"/>
      <family val="2"/>
    </font>
    <font>
      <b/>
      <sz val="11"/>
      <color indexed="8"/>
      <name val="Calibri Light"/>
      <family val="2"/>
    </font>
    <font>
      <sz val="11"/>
      <color theme="1"/>
      <name val="Calibri Light"/>
      <family val="2"/>
    </font>
    <font>
      <b/>
      <sz val="12"/>
      <color theme="1"/>
      <name val="Calibri Light"/>
      <family val="2"/>
    </font>
    <font>
      <sz val="20"/>
      <color theme="0"/>
      <name val="Calibri Light"/>
      <family val="2"/>
    </font>
    <font>
      <sz val="8"/>
      <name val="Calibri Light"/>
      <family val="2"/>
    </font>
    <font>
      <b/>
      <u/>
      <sz val="16"/>
      <name val="Calibri Light"/>
      <family val="2"/>
    </font>
    <font>
      <sz val="14"/>
      <color theme="0" tint="-0.34998626667073579"/>
      <name val="Cambria"/>
      <family val="2"/>
      <scheme val="major"/>
    </font>
    <font>
      <sz val="18"/>
      <color theme="1" tint="0.34998626667073579"/>
      <name val="Calibri"/>
      <family val="2"/>
      <scheme val="minor"/>
    </font>
    <font>
      <sz val="14"/>
      <color theme="3" tint="0.499984740745262"/>
      <name val="Calibri"/>
      <family val="2"/>
      <scheme val="minor"/>
    </font>
    <font>
      <b/>
      <sz val="9"/>
      <color theme="0"/>
      <name val="Calibri"/>
      <family val="2"/>
      <scheme val="minor"/>
    </font>
    <font>
      <sz val="12"/>
      <color theme="0" tint="-0.34998626667073579"/>
      <name val="Calibri"/>
      <family val="2"/>
      <scheme val="minor"/>
    </font>
    <font>
      <sz val="20"/>
      <color theme="0" tint="-0.34998626667073579"/>
      <name val="Calibri"/>
      <family val="2"/>
      <scheme val="minor"/>
    </font>
    <font>
      <sz val="10"/>
      <color theme="1" tint="0.34998626667073579"/>
      <name val="Cambria"/>
      <family val="2"/>
      <scheme val="major"/>
    </font>
    <font>
      <sz val="24"/>
      <color theme="4"/>
      <name val="Cambria"/>
      <family val="2"/>
      <scheme val="major"/>
    </font>
    <font>
      <u/>
      <sz val="12"/>
      <name val="Calibri Light"/>
      <family val="2"/>
    </font>
    <font>
      <sz val="9"/>
      <name val="Calibri Light"/>
      <family val="2"/>
    </font>
    <font>
      <i/>
      <sz val="11"/>
      <name val="Calibri Light"/>
      <family val="2"/>
    </font>
    <font>
      <i/>
      <sz val="14"/>
      <name val="Calibri Light"/>
      <family val="2"/>
    </font>
    <font>
      <i/>
      <sz val="12"/>
      <name val="Calibri Light"/>
      <family val="2"/>
    </font>
    <font>
      <b/>
      <sz val="9"/>
      <name val="Calibri Light"/>
      <family val="2"/>
    </font>
    <font>
      <i/>
      <sz val="9"/>
      <name val="Calibri Light"/>
      <family val="2"/>
    </font>
    <font>
      <b/>
      <sz val="11"/>
      <color theme="1"/>
      <name val="Calibri Light"/>
      <family val="2"/>
    </font>
    <font>
      <i/>
      <sz val="13"/>
      <name val="Calibri Light"/>
      <family val="2"/>
    </font>
    <font>
      <i/>
      <sz val="12"/>
      <color theme="0" tint="-0.499984740745262"/>
      <name val="Calibri Light"/>
      <family val="2"/>
    </font>
    <font>
      <i/>
      <sz val="10"/>
      <name val="Myriad Pro"/>
      <family val="2"/>
    </font>
    <font>
      <b/>
      <sz val="18"/>
      <color theme="1" tint="0.249977111117893"/>
      <name val="Calibri"/>
      <family val="2"/>
      <scheme val="minor"/>
    </font>
    <font>
      <b/>
      <sz val="20"/>
      <color theme="1" tint="0.249977111117893"/>
      <name val="Calibri"/>
      <family val="2"/>
      <scheme val="minor"/>
    </font>
    <font>
      <b/>
      <sz val="16"/>
      <color theme="1" tint="0.249977111117893"/>
      <name val="Calibri"/>
      <family val="2"/>
      <scheme val="minor"/>
    </font>
    <font>
      <b/>
      <sz val="16"/>
      <name val="Calibri"/>
      <family val="2"/>
      <scheme val="minor"/>
    </font>
    <font>
      <i/>
      <sz val="10"/>
      <color theme="1" tint="0.249977111117893"/>
      <name val="Calibri Light"/>
      <family val="2"/>
    </font>
    <font>
      <b/>
      <sz val="14"/>
      <color theme="1" tint="0.249977111117893"/>
      <name val="Calibri"/>
      <family val="2"/>
      <scheme val="minor"/>
    </font>
    <font>
      <sz val="9"/>
      <color theme="1"/>
      <name val="Myriad Pro"/>
      <family val="2"/>
    </font>
    <font>
      <u/>
      <sz val="20"/>
      <name val="Calibri Light"/>
      <family val="2"/>
    </font>
    <font>
      <b/>
      <u/>
      <sz val="11"/>
      <color indexed="8"/>
      <name val="Calibri Light"/>
      <family val="2"/>
    </font>
    <font>
      <i/>
      <sz val="11"/>
      <color indexed="8"/>
      <name val="Calibri Light"/>
      <family val="2"/>
    </font>
    <font>
      <sz val="10"/>
      <color theme="1"/>
      <name val="Calibri Light"/>
      <family val="2"/>
    </font>
    <font>
      <b/>
      <i/>
      <sz val="16"/>
      <color theme="1" tint="0.499984740745262"/>
      <name val="Calibri Light"/>
      <family val="2"/>
    </font>
    <font>
      <sz val="12"/>
      <color theme="1" tint="0.499984740745262"/>
      <name val="Calibri Light"/>
      <family val="2"/>
    </font>
    <font>
      <sz val="20"/>
      <color theme="1" tint="0.499984740745262"/>
      <name val="Calibri Light"/>
      <family val="2"/>
    </font>
    <font>
      <sz val="12"/>
      <color theme="0" tint="-0.249977111117893"/>
      <name val="Calibri Light"/>
      <family val="2"/>
    </font>
    <font>
      <sz val="11"/>
      <color theme="0"/>
      <name val="Calibri"/>
      <family val="2"/>
      <scheme val="minor"/>
    </font>
    <font>
      <b/>
      <sz val="12"/>
      <color theme="0"/>
      <name val="Calibri Light"/>
      <family val="2"/>
    </font>
    <font>
      <sz val="12"/>
      <color theme="1" tint="4.9989318521683403E-2"/>
      <name val="Calibri Light"/>
      <family val="2"/>
    </font>
    <font>
      <b/>
      <sz val="12"/>
      <color theme="1" tint="0.249977111117893"/>
      <name val="Calibri"/>
      <family val="2"/>
      <scheme val="minor"/>
    </font>
    <font>
      <b/>
      <sz val="14"/>
      <name val="Calibri"/>
      <family val="2"/>
      <scheme val="minor"/>
    </font>
    <font>
      <i/>
      <sz val="18"/>
      <color theme="1" tint="0.14999847407452621"/>
      <name val="Calibri Light"/>
      <family val="2"/>
    </font>
    <font>
      <b/>
      <sz val="48"/>
      <color theme="8"/>
      <name val="Calibri"/>
      <family val="2"/>
      <scheme val="minor"/>
    </font>
    <font>
      <b/>
      <u/>
      <sz val="22"/>
      <color theme="1" tint="0.249977111117893"/>
      <name val="Garamond"/>
      <family val="1"/>
    </font>
    <font>
      <sz val="11"/>
      <color theme="0" tint="-4.9989318521683403E-2"/>
      <name val="Calibri"/>
      <family val="2"/>
      <scheme val="minor"/>
    </font>
    <font>
      <sz val="5"/>
      <color theme="0"/>
      <name val="Calibri"/>
      <family val="2"/>
      <scheme val="minor"/>
    </font>
    <font>
      <sz val="11"/>
      <color theme="0"/>
      <name val="Myriad Pro"/>
      <family val="2"/>
    </font>
    <font>
      <sz val="8"/>
      <color theme="0"/>
      <name val="Calibri"/>
      <family val="2"/>
      <scheme val="minor"/>
    </font>
    <font>
      <b/>
      <sz val="18"/>
      <color theme="2" tint="-0.749992370372631"/>
      <name val="Calibri"/>
      <family val="2"/>
      <scheme val="minor"/>
    </font>
    <font>
      <sz val="8"/>
      <color theme="1" tint="0.34998626667073579"/>
      <name val="Calibri"/>
      <family val="2"/>
      <scheme val="minor"/>
    </font>
    <font>
      <sz val="12"/>
      <color theme="1" tint="0.249977111117893"/>
      <name val="Calibri Light"/>
      <family val="2"/>
    </font>
    <font>
      <sz val="12"/>
      <color rgb="FFFF0000"/>
      <name val="Arial MT"/>
    </font>
    <font>
      <u/>
      <sz val="18"/>
      <name val="Cambria"/>
      <family val="1"/>
      <scheme val="major"/>
    </font>
    <font>
      <b/>
      <sz val="48"/>
      <color rgb="FF398CCC"/>
      <name val="Calibri"/>
      <family val="2"/>
      <scheme val="minor"/>
    </font>
    <font>
      <sz val="10"/>
      <color theme="2"/>
      <name val="Calibri Light"/>
      <family val="2"/>
    </font>
    <font>
      <sz val="12"/>
      <color rgb="FF545F6B"/>
      <name val="Calibri Light"/>
      <family val="2"/>
    </font>
    <font>
      <sz val="8"/>
      <color theme="1"/>
      <name val="Calibri Light"/>
      <family val="2"/>
    </font>
    <font>
      <sz val="9"/>
      <color theme="1"/>
      <name val="Calibri"/>
      <family val="2"/>
      <scheme val="minor"/>
    </font>
    <font>
      <b/>
      <sz val="16"/>
      <color theme="1"/>
      <name val="Calibri"/>
      <family val="2"/>
      <scheme val="minor"/>
    </font>
    <font>
      <b/>
      <sz val="14"/>
      <color theme="1" tint="4.9989318521683403E-2"/>
      <name val="Calibri"/>
      <family val="2"/>
      <scheme val="minor"/>
    </font>
    <font>
      <i/>
      <sz val="12"/>
      <color theme="1" tint="0.249977111117893"/>
      <name val="Calibri Light"/>
      <family val="2"/>
    </font>
    <font>
      <b/>
      <i/>
      <sz val="12"/>
      <color theme="1" tint="0.249977111117893"/>
      <name val="Calibri Light"/>
      <family val="2"/>
    </font>
    <font>
      <i/>
      <sz val="14"/>
      <color theme="1" tint="0.249977111117893"/>
      <name val="Calibri Light"/>
      <family val="2"/>
    </font>
    <font>
      <i/>
      <sz val="10"/>
      <color theme="1" tint="0.34998626667073579"/>
      <name val="Calibri Light"/>
      <family val="2"/>
    </font>
    <font>
      <sz val="12"/>
      <color rgb="FFFF0000"/>
      <name val="Calibri Light"/>
      <family val="2"/>
    </font>
    <font>
      <b/>
      <i/>
      <sz val="12"/>
      <name val="Myriad Pro"/>
      <family val="2"/>
    </font>
    <font>
      <sz val="8"/>
      <name val="Arial MT"/>
    </font>
    <font>
      <u/>
      <sz val="12"/>
      <color theme="11"/>
      <name val="Arial MT"/>
    </font>
    <font>
      <b/>
      <sz val="18"/>
      <color rgb="FF2F74A8"/>
      <name val="Calibri"/>
      <family val="2"/>
      <scheme val="minor"/>
    </font>
    <font>
      <sz val="12"/>
      <color theme="1" tint="0.14999847407452621"/>
      <name val="Calibri Light"/>
      <family val="2"/>
    </font>
    <font>
      <b/>
      <sz val="22"/>
      <name val="Garamond"/>
      <family val="1"/>
    </font>
    <font>
      <sz val="10"/>
      <color rgb="FF2F74A8"/>
      <name val="Calibri Light"/>
      <family val="2"/>
    </font>
    <font>
      <u/>
      <sz val="12"/>
      <color rgb="FF398CCC"/>
      <name val="Calibri Light"/>
      <family val="2"/>
    </font>
    <font>
      <b/>
      <u/>
      <sz val="28"/>
      <color rgb="FF2F74A8"/>
      <name val="Calibri"/>
      <family val="2"/>
      <scheme val="minor"/>
    </font>
    <font>
      <b/>
      <u/>
      <sz val="14"/>
      <color theme="1" tint="0.249977111117893"/>
      <name val="Calibri"/>
      <family val="2"/>
      <scheme val="minor"/>
    </font>
    <font>
      <b/>
      <i/>
      <sz val="16"/>
      <color rgb="FF2F74A8"/>
      <name val="Calibri"/>
      <family val="2"/>
      <scheme val="minor"/>
    </font>
    <font>
      <i/>
      <sz val="12"/>
      <color theme="1" tint="0.14999847407452621"/>
      <name val="Calibri Light"/>
      <family val="2"/>
    </font>
    <font>
      <b/>
      <sz val="13"/>
      <color theme="9"/>
      <name val="Calibri"/>
      <family val="2"/>
      <scheme val="minor"/>
    </font>
    <font>
      <i/>
      <sz val="11"/>
      <color theme="1"/>
      <name val="Calibri Light"/>
      <family val="2"/>
    </font>
    <font>
      <b/>
      <sz val="48"/>
      <color theme="7"/>
      <name val="Calibri"/>
      <family val="2"/>
      <scheme val="minor"/>
    </font>
    <font>
      <b/>
      <i/>
      <sz val="14"/>
      <name val="Calibri"/>
      <family val="2"/>
      <scheme val="minor"/>
    </font>
    <font>
      <b/>
      <sz val="48"/>
      <color rgb="FF545F6B"/>
      <name val="Calibri"/>
      <family val="2"/>
      <scheme val="minor"/>
    </font>
    <font>
      <i/>
      <u/>
      <sz val="12"/>
      <name val="Calibri Light"/>
      <family val="2"/>
    </font>
    <font>
      <i/>
      <sz val="16"/>
      <name val="Calibri Light"/>
      <family val="2"/>
    </font>
    <font>
      <sz val="12"/>
      <color theme="2"/>
      <name val="Myriad Pro"/>
      <family val="2"/>
    </font>
    <font>
      <i/>
      <sz val="10"/>
      <color theme="1"/>
      <name val="Calibri Light"/>
      <family val="2"/>
    </font>
    <font>
      <i/>
      <sz val="12"/>
      <color theme="1"/>
      <name val="Calibri Light"/>
      <family val="2"/>
    </font>
    <font>
      <i/>
      <u/>
      <sz val="12"/>
      <color rgb="FF398CCC"/>
      <name val="Calibri Light"/>
      <family val="2"/>
    </font>
    <font>
      <i/>
      <sz val="12"/>
      <color rgb="FF398CCC"/>
      <name val="Calibri Light"/>
      <family val="2"/>
    </font>
    <font>
      <i/>
      <sz val="12"/>
      <color rgb="FFFF0000"/>
      <name val="Calibri Light"/>
      <family val="2"/>
    </font>
    <font>
      <sz val="12"/>
      <color rgb="FFFF0000"/>
      <name val="Myriad Pro"/>
      <family val="2"/>
    </font>
    <font>
      <sz val="9"/>
      <color theme="2"/>
      <name val="Myriad Pro"/>
      <family val="2"/>
    </font>
    <font>
      <u/>
      <sz val="12"/>
      <color theme="1" tint="0.499984740745262"/>
      <name val="Calibri Light"/>
      <family val="2"/>
    </font>
    <font>
      <sz val="11"/>
      <color theme="0" tint="-4.9989318521683403E-2"/>
      <name val="Calibri Light"/>
      <family val="2"/>
    </font>
    <font>
      <i/>
      <sz val="12"/>
      <name val="Myriad Pro"/>
      <family val="2"/>
    </font>
    <font>
      <i/>
      <sz val="11"/>
      <name val="Calibri"/>
      <family val="2"/>
      <scheme val="minor"/>
    </font>
    <font>
      <b/>
      <i/>
      <u/>
      <sz val="14"/>
      <name val="Calibri"/>
      <family val="2"/>
      <scheme val="minor"/>
    </font>
    <font>
      <i/>
      <sz val="12"/>
      <name val="Arial MT"/>
    </font>
    <font>
      <b/>
      <i/>
      <sz val="20"/>
      <color theme="1" tint="0.249977111117893"/>
      <name val="Calibri"/>
      <family val="2"/>
      <scheme val="minor"/>
    </font>
    <font>
      <b/>
      <i/>
      <sz val="22"/>
      <color theme="1" tint="0.249977111117893"/>
      <name val="Calibri"/>
      <family val="2"/>
      <scheme val="minor"/>
    </font>
    <font>
      <b/>
      <i/>
      <sz val="14"/>
      <color theme="1" tint="0.249977111117893"/>
      <name val="Calibri"/>
      <family val="2"/>
      <scheme val="minor"/>
    </font>
    <font>
      <i/>
      <sz val="14"/>
      <color theme="0" tint="-0.34998626667073579"/>
      <name val="Calibri Light"/>
      <family val="2"/>
    </font>
    <font>
      <i/>
      <sz val="14"/>
      <name val="Myriad Pro"/>
      <family val="2"/>
    </font>
    <font>
      <i/>
      <sz val="14"/>
      <color theme="0"/>
      <name val="Myriad Pro"/>
      <family val="2"/>
    </font>
    <font>
      <i/>
      <sz val="26"/>
      <color theme="2" tint="-0.749992370372631"/>
      <name val="Calibri"/>
      <family val="2"/>
      <scheme val="minor"/>
    </font>
    <font>
      <i/>
      <u/>
      <sz val="22"/>
      <name val="Garamond"/>
      <family val="1"/>
    </font>
    <font>
      <i/>
      <sz val="16"/>
      <name val="Myriad Pro"/>
      <family val="2"/>
    </font>
    <font>
      <b/>
      <i/>
      <sz val="18"/>
      <color theme="1" tint="0.249977111117893"/>
      <name val="Calibri"/>
      <family val="2"/>
      <scheme val="minor"/>
    </font>
    <font>
      <b/>
      <i/>
      <sz val="16"/>
      <color theme="1" tint="0.249977111117893"/>
      <name val="Calibri"/>
      <family val="2"/>
      <scheme val="minor"/>
    </font>
    <font>
      <i/>
      <sz val="20"/>
      <color theme="0"/>
      <name val="Calibri Light"/>
      <family val="2"/>
    </font>
    <font>
      <i/>
      <u/>
      <sz val="18"/>
      <name val="Calibri Light"/>
      <family val="2"/>
    </font>
    <font>
      <b/>
      <i/>
      <sz val="14"/>
      <color theme="1" tint="0.34998626667073579"/>
      <name val="Calibri"/>
      <family val="2"/>
      <scheme val="minor"/>
    </font>
    <font>
      <b/>
      <i/>
      <sz val="16"/>
      <name val="Calibri"/>
      <family val="2"/>
      <scheme val="minor"/>
    </font>
    <font>
      <i/>
      <sz val="12"/>
      <color theme="0"/>
      <name val="Calibri"/>
      <family val="2"/>
      <scheme val="minor"/>
    </font>
    <font>
      <sz val="12"/>
      <color theme="1" tint="0.249977111117893"/>
      <name val="Arial MT"/>
    </font>
    <font>
      <sz val="8"/>
      <color theme="1" tint="0.249977111117893"/>
      <name val="Myriad Pro"/>
      <family val="2"/>
    </font>
    <font>
      <sz val="11"/>
      <color theme="1" tint="0.249977111117893"/>
      <name val="Myriad Pro"/>
      <family val="2"/>
    </font>
    <font>
      <sz val="12"/>
      <color theme="1" tint="0.34998626667073579"/>
      <name val="Calibri Light"/>
      <family val="2"/>
    </font>
    <font>
      <b/>
      <sz val="22"/>
      <color theme="6"/>
      <name val="Calibri"/>
      <family val="2"/>
      <scheme val="minor"/>
    </font>
    <font>
      <sz val="12"/>
      <color rgb="FFFF0000"/>
      <name val="Calibri"/>
      <family val="2"/>
      <scheme val="minor"/>
    </font>
    <font>
      <b/>
      <i/>
      <u/>
      <sz val="14"/>
      <color theme="1" tint="0.249977111117893"/>
      <name val="Calibri"/>
      <family val="2"/>
      <scheme val="minor"/>
    </font>
    <font>
      <b/>
      <i/>
      <sz val="22"/>
      <color rgb="FF2E7BBD"/>
      <name val="Calibri"/>
      <family val="2"/>
      <scheme val="minor"/>
    </font>
    <font>
      <i/>
      <sz val="11"/>
      <color rgb="FFF75556"/>
      <name val="Calibri"/>
      <family val="2"/>
      <scheme val="minor"/>
    </font>
    <font>
      <i/>
      <sz val="14"/>
      <color rgb="FF317EBD"/>
      <name val="Calibri Light"/>
      <family val="2"/>
    </font>
    <font>
      <i/>
      <sz val="12"/>
      <color theme="1" tint="0.249977111117893"/>
      <name val="Calibri"/>
      <family val="2"/>
      <scheme val="minor"/>
    </font>
    <font>
      <b/>
      <sz val="20"/>
      <color rgb="FF398CCC"/>
      <name val="Calibri"/>
      <family val="2"/>
      <scheme val="minor"/>
    </font>
    <font>
      <sz val="12"/>
      <name val="Calibri"/>
      <family val="2"/>
      <scheme val="minor"/>
    </font>
    <font>
      <sz val="9"/>
      <name val="Calibri"/>
      <family val="2"/>
      <scheme val="minor"/>
    </font>
    <font>
      <b/>
      <sz val="12"/>
      <name val="Calibri"/>
      <family val="2"/>
      <scheme val="minor"/>
    </font>
    <font>
      <sz val="10"/>
      <name val="Calibri"/>
      <family val="2"/>
      <scheme val="minor"/>
    </font>
    <font>
      <b/>
      <sz val="11"/>
      <name val="Calibri"/>
      <family val="2"/>
      <scheme val="minor"/>
    </font>
    <font>
      <b/>
      <sz val="26"/>
      <color rgb="FF398CCC"/>
      <name val="Calibri"/>
      <family val="2"/>
      <scheme val="minor"/>
    </font>
    <font>
      <sz val="11"/>
      <color theme="1" tint="0.249977111117893"/>
      <name val="Calibri Light"/>
      <family val="2"/>
    </font>
    <font>
      <sz val="12"/>
      <color theme="0" tint="-0.499984740745262"/>
      <name val="Calibri Light"/>
      <family val="2"/>
    </font>
    <font>
      <b/>
      <sz val="12"/>
      <color theme="0"/>
      <name val="Calibri"/>
      <family val="2"/>
      <scheme val="minor"/>
    </font>
    <font>
      <b/>
      <u/>
      <sz val="12"/>
      <color theme="0"/>
      <name val="Calibri"/>
      <family val="2"/>
      <scheme val="minor"/>
    </font>
    <font>
      <b/>
      <sz val="14"/>
      <color indexed="8"/>
      <name val="Calibri"/>
      <family val="2"/>
      <scheme val="minor"/>
    </font>
    <font>
      <b/>
      <sz val="13"/>
      <color theme="1"/>
      <name val="Calibri"/>
      <family val="2"/>
      <scheme val="minor"/>
    </font>
    <font>
      <b/>
      <sz val="11"/>
      <color theme="1"/>
      <name val="Calibri"/>
      <family val="2"/>
      <scheme val="minor"/>
    </font>
    <font>
      <b/>
      <sz val="12"/>
      <color theme="1" tint="4.9989318521683403E-2"/>
      <name val="Calibri"/>
      <family val="2"/>
      <scheme val="minor"/>
    </font>
    <font>
      <sz val="12"/>
      <color theme="1" tint="4.9989318521683403E-2"/>
      <name val="Arial MT"/>
    </font>
    <font>
      <sz val="11"/>
      <color theme="0" tint="-4.9989318521683403E-2"/>
      <name val="Arial MT"/>
    </font>
    <font>
      <i/>
      <sz val="11"/>
      <color rgb="FF398CCC"/>
      <name val="Calibri"/>
      <family val="2"/>
      <scheme val="minor"/>
    </font>
    <font>
      <b/>
      <sz val="13"/>
      <color theme="1" tint="0.249977111117893"/>
      <name val="Calibri"/>
      <family val="2"/>
      <scheme val="minor"/>
    </font>
    <font>
      <sz val="10"/>
      <color theme="1" tint="0.249977111117893"/>
      <name val="Calibri Light"/>
      <family val="2"/>
    </font>
    <font>
      <u/>
      <sz val="12"/>
      <color theme="1" tint="0.249977111117893"/>
      <name val="Calibri Light"/>
      <family val="2"/>
    </font>
    <font>
      <i/>
      <sz val="9"/>
      <name val="Myriad Pro"/>
      <family val="2"/>
    </font>
    <font>
      <b/>
      <i/>
      <sz val="20"/>
      <color rgb="FF545F6B"/>
      <name val="Calibri"/>
      <family val="2"/>
      <scheme val="minor"/>
    </font>
    <font>
      <i/>
      <sz val="11"/>
      <name val="Myriad Pro"/>
      <family val="2"/>
    </font>
    <font>
      <b/>
      <i/>
      <sz val="16"/>
      <color rgb="FF545F6B"/>
      <name val="Calibri"/>
      <family val="2"/>
      <scheme val="minor"/>
    </font>
    <font>
      <i/>
      <sz val="12"/>
      <color rgb="FF333A3D"/>
      <name val="Calibri Light"/>
      <family val="2"/>
    </font>
    <font>
      <b/>
      <i/>
      <sz val="16"/>
      <color theme="0"/>
      <name val="Calibri"/>
      <family val="2"/>
      <scheme val="minor"/>
    </font>
    <font>
      <sz val="8"/>
      <color rgb="FFFF0000"/>
      <name val="Myriad Pro"/>
      <family val="2"/>
    </font>
    <font>
      <sz val="6"/>
      <color rgb="FFFF0000"/>
      <name val="Myriad Pro"/>
      <family val="2"/>
    </font>
    <font>
      <b/>
      <i/>
      <sz val="11"/>
      <name val="Calibri"/>
      <family val="2"/>
      <scheme val="minor"/>
    </font>
    <font>
      <i/>
      <u/>
      <sz val="11"/>
      <color rgb="FF398CCC"/>
      <name val="Calibri Light"/>
      <family val="2"/>
    </font>
    <font>
      <b/>
      <i/>
      <sz val="14"/>
      <color theme="0"/>
      <name val="Calibri"/>
      <family val="2"/>
      <scheme val="minor"/>
    </font>
    <font>
      <sz val="12"/>
      <color theme="1" tint="0.249977111117893"/>
      <name val="Calibri"/>
      <family val="2"/>
      <scheme val="minor"/>
    </font>
    <font>
      <b/>
      <i/>
      <sz val="12"/>
      <color theme="1" tint="0.249977111117893"/>
      <name val="Calibri"/>
      <family val="2"/>
      <scheme val="minor"/>
    </font>
    <font>
      <b/>
      <i/>
      <sz val="22"/>
      <name val="Calibri"/>
      <family val="2"/>
      <scheme val="minor"/>
    </font>
    <font>
      <i/>
      <u/>
      <sz val="14"/>
      <color rgb="FF398CCC"/>
      <name val="Calibri Light"/>
      <family val="2"/>
    </font>
    <font>
      <u/>
      <sz val="10"/>
      <color rgb="FF398CCC"/>
      <name val="Calibri Light"/>
      <family val="2"/>
    </font>
    <font>
      <b/>
      <i/>
      <sz val="11"/>
      <color theme="1"/>
      <name val="Calibri"/>
      <family val="2"/>
      <scheme val="minor"/>
    </font>
    <font>
      <i/>
      <sz val="11"/>
      <color rgb="FF398CCC"/>
      <name val="Calibri Light"/>
      <family val="2"/>
    </font>
    <font>
      <b/>
      <sz val="14"/>
      <name val="Calibri Light"/>
      <family val="2"/>
    </font>
    <font>
      <b/>
      <sz val="48"/>
      <name val="Calibri Light"/>
      <family val="2"/>
    </font>
    <font>
      <i/>
      <sz val="14"/>
      <color rgb="FFFF0000"/>
      <name val="Calibri Light"/>
      <family val="2"/>
    </font>
    <font>
      <b/>
      <sz val="13"/>
      <name val="Calibri"/>
      <family val="2"/>
      <scheme val="minor"/>
    </font>
    <font>
      <b/>
      <sz val="10"/>
      <name val="Calibri"/>
      <family val="2"/>
      <scheme val="minor"/>
    </font>
    <font>
      <b/>
      <u/>
      <sz val="14"/>
      <name val="Garamond"/>
      <family val="1"/>
    </font>
    <font>
      <sz val="16"/>
      <color theme="0" tint="-0.34998626667073579"/>
      <name val="Calibri Light"/>
      <family val="2"/>
    </font>
    <font>
      <b/>
      <sz val="24"/>
      <color rgb="FF398CCC"/>
      <name val="Calibri"/>
      <family val="2"/>
      <scheme val="minor"/>
    </font>
    <font>
      <sz val="11"/>
      <color rgb="FFFF0000"/>
      <name val="Myriad Pro"/>
      <family val="2"/>
    </font>
    <font>
      <b/>
      <sz val="16"/>
      <color theme="9"/>
      <name val="Calibri"/>
      <family val="2"/>
      <scheme val="minor"/>
    </font>
    <font>
      <b/>
      <sz val="48"/>
      <color theme="5"/>
      <name val="Calibri"/>
      <family val="2"/>
      <scheme val="minor"/>
    </font>
    <font>
      <u/>
      <sz val="12"/>
      <color rgb="FF398CCC"/>
      <name val="Calibri"/>
      <family val="2"/>
      <scheme val="minor"/>
    </font>
    <font>
      <b/>
      <sz val="16"/>
      <color theme="5"/>
      <name val="Calibri"/>
      <family val="2"/>
      <scheme val="minor"/>
    </font>
    <font>
      <sz val="10"/>
      <color rgb="FF398CCC"/>
      <name val="Calibri"/>
      <family val="2"/>
      <scheme val="minor"/>
    </font>
    <font>
      <b/>
      <u/>
      <sz val="12"/>
      <name val="Calibri"/>
      <family val="2"/>
      <scheme val="minor"/>
    </font>
    <font>
      <b/>
      <sz val="18"/>
      <color theme="8"/>
      <name val="Calibri"/>
      <family val="2"/>
      <scheme val="minor"/>
    </font>
    <font>
      <b/>
      <sz val="85"/>
      <color theme="1" tint="0.249977111117893"/>
      <name val="Calibri"/>
      <family val="2"/>
      <scheme val="minor"/>
    </font>
    <font>
      <sz val="14"/>
      <color theme="1" tint="0.249977111117893"/>
      <name val="Calibri Light"/>
      <family val="2"/>
    </font>
    <font>
      <b/>
      <sz val="16"/>
      <color theme="6"/>
      <name val="Calibri"/>
      <family val="2"/>
      <scheme val="minor"/>
    </font>
    <font>
      <sz val="18"/>
      <color theme="1" tint="0.14999847407452621"/>
      <name val="Calibri Light"/>
      <family val="2"/>
    </font>
    <font>
      <sz val="10"/>
      <color theme="0" tint="-0.499984740745262"/>
      <name val="Calibri Light"/>
      <family val="2"/>
    </font>
    <font>
      <b/>
      <sz val="16"/>
      <color rgb="FF398CCC"/>
      <name val="Calibri"/>
      <family val="2"/>
      <scheme val="minor"/>
    </font>
    <font>
      <b/>
      <sz val="18"/>
      <color rgb="FF398CCC"/>
      <name val="Calibri"/>
      <family val="2"/>
      <scheme val="minor"/>
    </font>
    <font>
      <b/>
      <u/>
      <sz val="16"/>
      <name val="Calibri"/>
      <family val="2"/>
      <scheme val="minor"/>
    </font>
    <font>
      <sz val="13"/>
      <name val="Calibri Light"/>
      <family val="2"/>
    </font>
    <font>
      <b/>
      <sz val="13"/>
      <color theme="1" tint="0.14999847407452621"/>
      <name val="Calibri"/>
      <family val="2"/>
      <scheme val="minor"/>
    </font>
    <font>
      <sz val="12"/>
      <color rgb="FF398CCC"/>
      <name val="Calibri Light"/>
      <family val="2"/>
    </font>
    <font>
      <sz val="10"/>
      <color rgb="FF333A3D"/>
      <name val="Calibri Light"/>
      <family val="2"/>
    </font>
    <font>
      <sz val="12"/>
      <color rgb="FF333A3D"/>
      <name val="Calibri Light"/>
      <family val="2"/>
    </font>
    <font>
      <b/>
      <sz val="14"/>
      <color rgb="FF333A3D"/>
      <name val="Calibri"/>
      <family val="2"/>
      <scheme val="minor"/>
    </font>
    <font>
      <b/>
      <sz val="16"/>
      <color theme="0"/>
      <name val="Calibri"/>
      <family val="2"/>
      <scheme val="minor"/>
    </font>
    <font>
      <sz val="14"/>
      <color rgb="FF333A3D"/>
      <name val="Calibri"/>
      <family val="2"/>
      <scheme val="minor"/>
    </font>
    <font>
      <b/>
      <sz val="95"/>
      <color theme="1" tint="0.249977111117893"/>
      <name val="Calibri"/>
      <family val="2"/>
      <scheme val="minor"/>
    </font>
    <font>
      <sz val="8"/>
      <color theme="1" tint="0.249977111117893"/>
      <name val="Calibri Light"/>
      <family val="2"/>
    </font>
    <font>
      <sz val="11"/>
      <color rgb="FF545F6B"/>
      <name val="Calibri Light"/>
      <family val="2"/>
    </font>
    <font>
      <b/>
      <sz val="16"/>
      <color indexed="8"/>
      <name val="Garamond"/>
      <family val="1"/>
    </font>
    <font>
      <b/>
      <u/>
      <sz val="13"/>
      <color indexed="8"/>
      <name val="Garamond"/>
      <family val="1"/>
    </font>
    <font>
      <sz val="12"/>
      <color rgb="FF317EBD"/>
      <name val="Myriad Pro"/>
      <family val="2"/>
    </font>
    <font>
      <sz val="10"/>
      <color theme="1" tint="0.249977111117893"/>
      <name val="Garamond"/>
      <family val="1"/>
    </font>
    <font>
      <b/>
      <sz val="22"/>
      <color theme="1" tint="0.249977111117893"/>
      <name val="Garamond"/>
      <family val="1"/>
    </font>
    <font>
      <b/>
      <sz val="18"/>
      <color theme="1" tint="0.249977111117893"/>
      <name val="Garamond"/>
      <family val="1"/>
    </font>
    <font>
      <b/>
      <u/>
      <sz val="13"/>
      <color rgb="FF317EBD"/>
      <name val="Garamond"/>
      <family val="1"/>
    </font>
    <font>
      <sz val="12"/>
      <color theme="1" tint="0.249977111117893"/>
      <name val="Garamond"/>
      <family val="1"/>
    </font>
    <font>
      <b/>
      <sz val="12"/>
      <color theme="1" tint="0.249977111117893"/>
      <name val="Garamond"/>
      <family val="1"/>
    </font>
    <font>
      <b/>
      <sz val="22"/>
      <color rgb="FF317EBD"/>
      <name val="Garamond"/>
      <family val="1"/>
    </font>
    <font>
      <b/>
      <u/>
      <sz val="22"/>
      <color rgb="FF317EBD"/>
      <name val="Garamond"/>
      <family val="1"/>
    </font>
    <font>
      <sz val="14"/>
      <color theme="1" tint="0.249977111117893"/>
      <name val="Garamond"/>
      <family val="1"/>
    </font>
    <font>
      <u/>
      <sz val="13"/>
      <color rgb="FF317EBD"/>
      <name val="Garamond"/>
      <family val="1"/>
    </font>
    <font>
      <b/>
      <sz val="14"/>
      <name val="Garamond"/>
      <family val="1"/>
    </font>
    <font>
      <b/>
      <sz val="14"/>
      <color theme="1"/>
      <name val="Garamond"/>
      <family val="1"/>
    </font>
    <font>
      <sz val="12"/>
      <name val="Garamond"/>
      <family val="1"/>
    </font>
    <font>
      <b/>
      <sz val="14"/>
      <color theme="1" tint="0.249977111117893"/>
      <name val="Garamond"/>
      <family val="1"/>
    </font>
    <font>
      <u/>
      <sz val="14"/>
      <color theme="1" tint="0.249977111117893"/>
      <name val="Garamond"/>
      <family val="1"/>
    </font>
    <font>
      <sz val="14"/>
      <name val="Garamond"/>
      <family val="1"/>
    </font>
    <font>
      <b/>
      <u/>
      <sz val="12"/>
      <color rgb="FF317EBD"/>
      <name val="Garamond"/>
      <family val="1"/>
    </font>
    <font>
      <b/>
      <sz val="12"/>
      <name val="Garamond"/>
      <family val="1"/>
    </font>
    <font>
      <b/>
      <sz val="12"/>
      <color theme="1"/>
      <name val="Garamond"/>
      <family val="1"/>
    </font>
    <font>
      <b/>
      <sz val="20"/>
      <color rgb="FF317EBD"/>
      <name val="Garamond"/>
      <family val="1"/>
    </font>
    <font>
      <b/>
      <sz val="13"/>
      <color theme="1" tint="0.249977111117893"/>
      <name val="Garamond"/>
      <family val="1"/>
    </font>
    <font>
      <b/>
      <sz val="18"/>
      <color theme="0"/>
      <name val="Calibri"/>
      <family val="2"/>
      <scheme val="minor"/>
    </font>
    <font>
      <sz val="14"/>
      <color theme="0" tint="-0.499984740745262"/>
      <name val="Calibri Light"/>
      <family val="2"/>
    </font>
    <font>
      <b/>
      <sz val="16"/>
      <name val="Garamond"/>
      <family val="1"/>
    </font>
    <font>
      <sz val="14"/>
      <name val="Calibri"/>
      <family val="2"/>
      <scheme val="minor"/>
    </font>
    <font>
      <b/>
      <sz val="48"/>
      <color theme="9"/>
      <name val="Calibri"/>
      <family val="2"/>
      <scheme val="minor"/>
    </font>
    <font>
      <b/>
      <sz val="18"/>
      <color rgb="FF545F6B"/>
      <name val="Calibri"/>
      <family val="2"/>
      <scheme val="minor"/>
    </font>
    <font>
      <sz val="14"/>
      <color rgb="FFFF5050"/>
      <name val="Calibri Light"/>
      <family val="2"/>
    </font>
    <font>
      <b/>
      <sz val="20"/>
      <color rgb="FF545F6B"/>
      <name val="Calibri"/>
      <family val="2"/>
      <scheme val="minor"/>
    </font>
    <font>
      <sz val="9"/>
      <color rgb="FF545F6B"/>
      <name val="Calibri Light"/>
      <family val="2"/>
    </font>
    <font>
      <sz val="9"/>
      <color theme="0" tint="-4.9989318521683403E-2"/>
      <name val="Calibri Light"/>
      <family val="2"/>
    </font>
    <font>
      <b/>
      <sz val="18"/>
      <color theme="0"/>
      <name val="Webdings"/>
      <family val="1"/>
      <charset val="2"/>
    </font>
    <font>
      <b/>
      <sz val="16"/>
      <color rgb="FF2F74A8"/>
      <name val="Calibri"/>
      <family val="2"/>
      <scheme val="minor"/>
    </font>
    <font>
      <b/>
      <sz val="12"/>
      <color rgb="FF545F6B"/>
      <name val="Calibri"/>
      <family val="2"/>
      <scheme val="minor"/>
    </font>
    <font>
      <b/>
      <sz val="16"/>
      <color rgb="FF545F6B"/>
      <name val="Calibri"/>
      <family val="2"/>
      <scheme val="minor"/>
    </font>
    <font>
      <sz val="14"/>
      <color rgb="FF545F6B"/>
      <name val="Calibri Light"/>
      <family val="2"/>
    </font>
    <font>
      <i/>
      <u/>
      <sz val="13"/>
      <color rgb="FF398CCC"/>
      <name val="Calibri Light"/>
      <family val="2"/>
    </font>
    <font>
      <b/>
      <u/>
      <sz val="14"/>
      <name val="Calibri"/>
      <family val="2"/>
      <scheme val="minor"/>
    </font>
    <font>
      <u/>
      <sz val="11"/>
      <color rgb="FF398CCC"/>
      <name val="Calibri"/>
      <family val="2"/>
      <scheme val="minor"/>
    </font>
    <font>
      <b/>
      <u/>
      <sz val="24"/>
      <name val="Garamond"/>
      <family val="1"/>
    </font>
    <font>
      <b/>
      <u/>
      <sz val="12"/>
      <color indexed="8"/>
      <name val="Calibri Light"/>
      <family val="2"/>
    </font>
    <font>
      <sz val="11"/>
      <color theme="1" tint="0.249977111117893"/>
      <name val="Calibri"/>
      <family val="2"/>
      <scheme val="minor"/>
    </font>
    <font>
      <b/>
      <sz val="13"/>
      <color theme="1" tint="4.9989318521683403E-2"/>
      <name val="Calibri"/>
      <family val="2"/>
      <scheme val="minor"/>
    </font>
    <font>
      <sz val="13"/>
      <color theme="1" tint="0.249977111117893"/>
      <name val="Calibri Light"/>
      <family val="2"/>
    </font>
    <font>
      <u/>
      <sz val="11"/>
      <color theme="1" tint="0.249977111117893"/>
      <name val="Calibri Light"/>
      <family val="2"/>
    </font>
    <font>
      <sz val="11"/>
      <color rgb="FF398CCC"/>
      <name val="Calibri Light"/>
      <family val="2"/>
    </font>
    <font>
      <b/>
      <sz val="14"/>
      <color indexed="8"/>
      <name val="Garamond"/>
      <family val="1"/>
    </font>
    <font>
      <b/>
      <sz val="7"/>
      <name val="Calibri Light"/>
      <family val="2"/>
    </font>
    <font>
      <sz val="10"/>
      <color theme="1" tint="0.249977111117893"/>
      <name val="Calibri"/>
      <family val="2"/>
      <scheme val="minor"/>
    </font>
    <font>
      <b/>
      <sz val="12"/>
      <color indexed="8"/>
      <name val="Calibri"/>
      <family val="2"/>
      <scheme val="minor"/>
    </font>
    <font>
      <b/>
      <sz val="22"/>
      <color theme="1" tint="0.249977111117893"/>
      <name val="Calibri"/>
      <family val="2"/>
      <scheme val="minor"/>
    </font>
    <font>
      <sz val="14"/>
      <color rgb="FF317EBD"/>
      <name val="Calibri Light"/>
      <family val="2"/>
    </font>
    <font>
      <sz val="8"/>
      <color theme="0" tint="-4.9989318521683403E-2"/>
      <name val="Calibri Light"/>
      <family val="2"/>
    </font>
    <font>
      <sz val="8"/>
      <color indexed="8"/>
      <name val="Calibri Light"/>
      <family val="2"/>
    </font>
    <font>
      <sz val="14"/>
      <color theme="0"/>
      <name val="Calibri Light"/>
      <family val="2"/>
    </font>
    <font>
      <b/>
      <sz val="24"/>
      <color rgb="FF2F74A8"/>
      <name val="Calibri"/>
      <family val="2"/>
      <scheme val="minor"/>
    </font>
    <font>
      <b/>
      <sz val="12"/>
      <color rgb="FF333A3D"/>
      <name val="Calibri"/>
      <family val="2"/>
      <scheme val="minor"/>
    </font>
    <font>
      <b/>
      <sz val="18"/>
      <color rgb="FF333A3D"/>
      <name val="Calibri"/>
      <family val="2"/>
      <scheme val="minor"/>
    </font>
    <font>
      <b/>
      <sz val="22"/>
      <color rgb="FF398CCC"/>
      <name val="Calibri"/>
      <family val="2"/>
      <scheme val="minor"/>
    </font>
    <font>
      <sz val="16"/>
      <name val="Calibri"/>
      <family val="2"/>
      <scheme val="minor"/>
    </font>
    <font>
      <b/>
      <sz val="12"/>
      <color theme="1" tint="0.34998626667073579"/>
      <name val="Calibri"/>
      <family val="2"/>
      <scheme val="minor"/>
    </font>
    <font>
      <b/>
      <sz val="32"/>
      <color rgb="FF398CCC"/>
      <name val="Calibri"/>
      <family val="2"/>
      <scheme val="minor"/>
    </font>
    <font>
      <b/>
      <u/>
      <sz val="28"/>
      <name val="Garamond"/>
      <family val="1"/>
    </font>
    <font>
      <b/>
      <sz val="18"/>
      <color theme="1" tint="0.34998626667073579"/>
      <name val="Garamond"/>
      <family val="1"/>
    </font>
    <font>
      <b/>
      <u/>
      <sz val="16"/>
      <color theme="1" tint="0.34998626667073579"/>
      <name val="Garamond"/>
      <family val="1"/>
    </font>
    <font>
      <sz val="13"/>
      <color theme="1" tint="0.249977111117893"/>
      <name val="Calibri"/>
      <family val="2"/>
      <scheme val="minor"/>
    </font>
    <font>
      <b/>
      <sz val="16"/>
      <color theme="1" tint="0.249977111117893"/>
      <name val="Garamond"/>
      <family val="1"/>
    </font>
    <font>
      <b/>
      <sz val="12"/>
      <color rgb="FF00B050"/>
      <name val="Calibri"/>
      <family val="2"/>
      <scheme val="minor"/>
    </font>
    <font>
      <b/>
      <sz val="22"/>
      <color theme="1" tint="0.34998626667073579"/>
      <name val="Calibri"/>
      <family val="2"/>
      <scheme val="minor"/>
    </font>
    <font>
      <b/>
      <sz val="22"/>
      <color rgb="FFFF5050"/>
      <name val="Calibri"/>
      <family val="2"/>
      <scheme val="minor"/>
    </font>
    <font>
      <b/>
      <sz val="22"/>
      <color rgb="FF00B050"/>
      <name val="Calibri"/>
      <family val="2"/>
      <scheme val="minor"/>
    </font>
    <font>
      <b/>
      <u/>
      <sz val="12"/>
      <color theme="1" tint="0.34998626667073579"/>
      <name val="Calibri"/>
      <family val="2"/>
      <scheme val="minor"/>
    </font>
    <font>
      <sz val="13"/>
      <color theme="1" tint="0.34998626667073579"/>
      <name val="Calibri"/>
      <family val="2"/>
      <scheme val="minor"/>
    </font>
    <font>
      <b/>
      <sz val="14"/>
      <color theme="1" tint="0.34998626667073579"/>
      <name val="Calibri"/>
      <family val="2"/>
      <scheme val="minor"/>
    </font>
    <font>
      <sz val="14"/>
      <color theme="1" tint="0.34998626667073579"/>
      <name val="Calibri"/>
      <family val="2"/>
      <scheme val="minor"/>
    </font>
    <font>
      <b/>
      <sz val="14"/>
      <color theme="5"/>
      <name val="Calibri"/>
      <family val="2"/>
      <scheme val="minor"/>
    </font>
    <font>
      <b/>
      <sz val="11"/>
      <color theme="1"/>
      <name val="Myriad Pro"/>
    </font>
    <font>
      <b/>
      <sz val="14"/>
      <color theme="1" tint="0.499984740745262"/>
      <name val="Calibri"/>
      <family val="2"/>
      <scheme val="minor"/>
    </font>
    <font>
      <sz val="12"/>
      <color rgb="FF333A3D"/>
      <name val="Calibri"/>
      <family val="2"/>
      <scheme val="minor"/>
    </font>
    <font>
      <sz val="12"/>
      <color rgb="FF317EBD"/>
      <name val="Calibri"/>
      <family val="2"/>
      <scheme val="minor"/>
    </font>
    <font>
      <b/>
      <u/>
      <sz val="18"/>
      <color theme="1" tint="0.249977111117893"/>
      <name val="Calibri"/>
      <family val="2"/>
      <scheme val="minor"/>
    </font>
    <font>
      <sz val="14"/>
      <color theme="1" tint="0.249977111117893"/>
      <name val="Calibri"/>
      <family val="2"/>
      <scheme val="minor"/>
    </font>
    <font>
      <u/>
      <sz val="14"/>
      <color rgb="FF398CCC"/>
      <name val="Calibri"/>
      <family val="2"/>
      <scheme val="minor"/>
    </font>
    <font>
      <b/>
      <u/>
      <sz val="14"/>
      <color rgb="FF333A3D"/>
      <name val="Calibri"/>
      <family val="2"/>
      <scheme val="minor"/>
    </font>
    <font>
      <sz val="12"/>
      <color rgb="FF2E7BBD"/>
      <name val="Calibri"/>
      <family val="2"/>
      <scheme val="minor"/>
    </font>
    <font>
      <b/>
      <sz val="14"/>
      <color theme="0"/>
      <name val="Calibri"/>
      <family val="2"/>
      <scheme val="minor"/>
    </font>
    <font>
      <b/>
      <sz val="18"/>
      <color rgb="FFF8F8F8"/>
      <name val="Calibri"/>
      <family val="2"/>
      <scheme val="minor"/>
    </font>
    <font>
      <sz val="12"/>
      <color rgb="FF398CCC"/>
      <name val="Calibri"/>
      <family val="2"/>
      <scheme val="minor"/>
    </font>
    <font>
      <b/>
      <sz val="12"/>
      <color rgb="FFFFFFFF"/>
      <name val="Calibri"/>
      <family val="2"/>
      <scheme val="minor"/>
    </font>
    <font>
      <sz val="12"/>
      <color rgb="FF000000"/>
      <name val="Calibri"/>
      <family val="2"/>
      <scheme val="minor"/>
    </font>
    <font>
      <b/>
      <sz val="12"/>
      <color rgb="FF000000"/>
      <name val="Calibri"/>
      <family val="2"/>
      <scheme val="minor"/>
    </font>
    <font>
      <b/>
      <sz val="14"/>
      <color rgb="FF000000"/>
      <name val="Calibri"/>
      <family val="2"/>
      <scheme val="minor"/>
    </font>
    <font>
      <b/>
      <sz val="12"/>
      <name val="Myriad Pro"/>
    </font>
    <font>
      <b/>
      <u/>
      <sz val="16"/>
      <color theme="1" tint="0.34998626667073579"/>
      <name val="Calibri Light"/>
      <family val="2"/>
    </font>
    <font>
      <b/>
      <sz val="13"/>
      <color theme="1" tint="0.34998626667073579"/>
      <name val="Calibri"/>
      <family val="2"/>
      <scheme val="minor"/>
    </font>
    <font>
      <sz val="12"/>
      <color theme="1" tint="0.34998626667073579"/>
      <name val="Calibri"/>
      <family val="2"/>
      <scheme val="minor"/>
    </font>
    <font>
      <sz val="10"/>
      <color theme="1" tint="0.34998626667073579"/>
      <name val="Calibri"/>
      <family val="2"/>
      <scheme val="minor"/>
    </font>
    <font>
      <b/>
      <u/>
      <sz val="13"/>
      <name val="Calibri"/>
      <family val="2"/>
      <scheme val="minor"/>
    </font>
    <font>
      <sz val="11"/>
      <color rgb="FFFF0000"/>
      <name val="Calibri"/>
      <family val="2"/>
      <scheme val="minor"/>
    </font>
    <font>
      <sz val="12"/>
      <color rgb="FF000000"/>
      <name val="Arimo"/>
    </font>
    <font>
      <b/>
      <sz val="18"/>
      <color rgb="FF2E7BBD"/>
      <name val="Calibri"/>
      <family val="2"/>
      <scheme val="minor"/>
    </font>
    <font>
      <b/>
      <sz val="14"/>
      <color rgb="FFFFFFFF"/>
      <name val="Calibri"/>
      <family val="2"/>
      <scheme val="minor"/>
    </font>
    <font>
      <b/>
      <sz val="13"/>
      <color rgb="FFFFFFFF"/>
      <name val="Calibri"/>
      <family val="2"/>
      <scheme val="minor"/>
    </font>
    <font>
      <sz val="13"/>
      <color rgb="FF000000"/>
      <name val="Calibri"/>
      <family val="2"/>
      <scheme val="minor"/>
    </font>
    <font>
      <sz val="13"/>
      <color rgb="FF666666"/>
      <name val="Calibri"/>
      <family val="2"/>
      <scheme val="minor"/>
    </font>
    <font>
      <sz val="14"/>
      <color rgb="FF000000"/>
      <name val="Calibri"/>
      <family val="2"/>
      <scheme val="minor"/>
    </font>
    <font>
      <sz val="12"/>
      <color rgb="FFFFFFFF"/>
      <name val="Calibri"/>
      <family val="2"/>
      <scheme val="minor"/>
    </font>
    <font>
      <sz val="12"/>
      <name val="Calibri"/>
      <family val="2"/>
    </font>
    <font>
      <sz val="12"/>
      <color rgb="FF000000"/>
      <name val="Calibri"/>
      <family val="2"/>
    </font>
    <font>
      <sz val="11"/>
      <name val="Calibri"/>
      <family val="2"/>
    </font>
    <font>
      <b/>
      <sz val="14"/>
      <color rgb="FF434343"/>
      <name val="Calibri"/>
      <family val="2"/>
    </font>
    <font>
      <b/>
      <sz val="14"/>
      <color rgb="FF3F3F3F"/>
      <name val="Calibri"/>
      <family val="2"/>
    </font>
    <font>
      <b/>
      <sz val="14"/>
      <color rgb="FF000000"/>
      <name val="Calibri"/>
      <family val="2"/>
    </font>
    <font>
      <b/>
      <sz val="60"/>
      <color rgb="FF000000"/>
      <name val="Calibri"/>
      <family val="2"/>
    </font>
    <font>
      <sz val="14"/>
      <color rgb="FF000000"/>
      <name val="Calibri"/>
      <family val="2"/>
    </font>
    <font>
      <sz val="10"/>
      <name val="Calibri"/>
      <family val="2"/>
    </font>
    <font>
      <b/>
      <sz val="14"/>
      <color rgb="FFFFFFFF"/>
      <name val="Calibri"/>
      <family val="2"/>
    </font>
    <font>
      <sz val="11"/>
      <color rgb="FFFFFFFF"/>
      <name val="Calibri"/>
      <family val="2"/>
    </font>
    <font>
      <b/>
      <sz val="11"/>
      <color rgb="FF000000"/>
      <name val="Calibri"/>
      <family val="2"/>
    </font>
    <font>
      <sz val="8"/>
      <color rgb="FF000000"/>
      <name val="Calibri"/>
      <family val="2"/>
    </font>
    <font>
      <sz val="11"/>
      <color rgb="FF000000"/>
      <name val="Calibri"/>
      <family val="2"/>
    </font>
    <font>
      <sz val="10"/>
      <color rgb="FF000000"/>
      <name val="Calibri"/>
      <family val="2"/>
    </font>
    <font>
      <b/>
      <sz val="12"/>
      <color rgb="FF000000"/>
      <name val="Calibri"/>
      <family val="2"/>
    </font>
    <font>
      <b/>
      <sz val="12"/>
      <color rgb="FF398CCC"/>
      <name val="Calibri"/>
      <family val="2"/>
    </font>
    <font>
      <sz val="12"/>
      <color rgb="FFFFFFFF"/>
      <name val="Calibri"/>
      <family val="2"/>
    </font>
    <font>
      <b/>
      <sz val="12"/>
      <color rgb="FFFFFFFF"/>
      <name val="Calibri"/>
      <family val="2"/>
    </font>
    <font>
      <b/>
      <sz val="11"/>
      <color rgb="FFFFFFFF"/>
      <name val="Calibri"/>
      <family val="2"/>
    </font>
    <font>
      <sz val="10"/>
      <color rgb="FFC0504D"/>
      <name val="Calibri"/>
      <family val="2"/>
    </font>
    <font>
      <sz val="12"/>
      <color rgb="FF0C0C0C"/>
      <name val="Calibri"/>
      <family val="2"/>
    </font>
    <font>
      <sz val="8"/>
      <name val="Calibri"/>
      <family val="2"/>
    </font>
    <font>
      <b/>
      <sz val="11"/>
      <color rgb="FF3F3F3F"/>
      <name val="Calibri"/>
      <family val="2"/>
    </font>
    <font>
      <b/>
      <sz val="12"/>
      <color rgb="FF3F3F3F"/>
      <name val="Calibri"/>
      <family val="2"/>
    </font>
    <font>
      <b/>
      <sz val="12"/>
      <color rgb="FFF8F8F8"/>
      <name val="Calibri"/>
      <family val="2"/>
    </font>
    <font>
      <sz val="9"/>
      <name val="Calibri"/>
      <family val="2"/>
    </font>
    <font>
      <b/>
      <sz val="14"/>
      <name val="Calibri"/>
      <family val="2"/>
    </font>
    <font>
      <b/>
      <sz val="18"/>
      <color rgb="FF595959"/>
      <name val="Calibri"/>
      <family val="2"/>
    </font>
    <font>
      <sz val="9"/>
      <color rgb="FFFFFFFF"/>
      <name val="Calibri"/>
      <family val="2"/>
    </font>
    <font>
      <sz val="11"/>
      <color rgb="FF0C0C0C"/>
      <name val="Calibri"/>
      <family val="2"/>
    </font>
    <font>
      <b/>
      <sz val="12"/>
      <color rgb="FF434343"/>
      <name val="Calibri"/>
      <family val="2"/>
    </font>
    <font>
      <sz val="11"/>
      <color rgb="FF434343"/>
      <name val="Calibri"/>
      <family val="2"/>
    </font>
    <font>
      <sz val="12"/>
      <color rgb="FF3F3F3F"/>
      <name val="Calibri"/>
      <family val="2"/>
    </font>
    <font>
      <sz val="11"/>
      <color rgb="FF3F3F3F"/>
      <name val="Calibri"/>
      <family val="2"/>
    </font>
    <font>
      <sz val="8"/>
      <color rgb="FF0C0C0C"/>
      <name val="Calibri"/>
      <family val="2"/>
    </font>
    <font>
      <sz val="12"/>
      <color theme="1" tint="0.14999847407452621"/>
      <name val="Calibri"/>
      <family val="2"/>
    </font>
    <font>
      <sz val="10"/>
      <color rgb="FFFFFFFF"/>
      <name val="Calibri"/>
      <family val="2"/>
    </font>
    <font>
      <b/>
      <sz val="12"/>
      <color rgb="FF0C0C0C"/>
      <name val="Calibri"/>
      <family val="2"/>
    </font>
    <font>
      <b/>
      <sz val="13"/>
      <color rgb="FFFFFFFF"/>
      <name val="Calibri"/>
      <family val="2"/>
    </font>
    <font>
      <sz val="13"/>
      <color rgb="FF000000"/>
      <name val="Calibri"/>
      <family val="2"/>
    </font>
    <font>
      <i/>
      <sz val="14"/>
      <color rgb="FFFFFFFF"/>
      <name val="Calibri"/>
      <family val="2"/>
    </font>
    <font>
      <i/>
      <sz val="12"/>
      <name val="Calibri"/>
      <family val="2"/>
    </font>
    <font>
      <u/>
      <sz val="11"/>
      <color rgb="FF317EBD"/>
      <name val="Calibri"/>
      <family val="2"/>
    </font>
    <font>
      <b/>
      <sz val="24"/>
      <name val="Calibri"/>
      <family val="2"/>
    </font>
    <font>
      <b/>
      <sz val="24"/>
      <color rgb="FF398CCC"/>
      <name val="Calibri"/>
      <family val="2"/>
    </font>
    <font>
      <u/>
      <sz val="11"/>
      <name val="Calibri"/>
      <family val="2"/>
    </font>
    <font>
      <b/>
      <sz val="12"/>
      <name val="Calibri"/>
      <family val="2"/>
    </font>
    <font>
      <b/>
      <sz val="30"/>
      <color rgb="FF398CCC"/>
      <name val="Calibri"/>
      <family val="2"/>
    </font>
    <font>
      <sz val="30"/>
      <color rgb="FF000000"/>
      <name val="Calibri"/>
      <family val="2"/>
    </font>
    <font>
      <sz val="30"/>
      <name val="Calibri"/>
      <family val="2"/>
    </font>
    <font>
      <b/>
      <sz val="13"/>
      <name val="Calibri"/>
      <family val="2"/>
    </font>
    <font>
      <sz val="16"/>
      <name val="Calibri"/>
      <family val="2"/>
    </font>
    <font>
      <b/>
      <sz val="30"/>
      <color rgb="FF00B050"/>
      <name val="Calibri"/>
      <family val="2"/>
    </font>
    <font>
      <i/>
      <sz val="10"/>
      <name val="Calibri"/>
      <family val="2"/>
    </font>
    <font>
      <u/>
      <sz val="14"/>
      <name val="Calibri"/>
      <family val="2"/>
    </font>
    <font>
      <sz val="12"/>
      <color rgb="FFFF5050"/>
      <name val="Calibri"/>
      <family val="2"/>
    </font>
    <font>
      <i/>
      <sz val="13"/>
      <name val="Calibri"/>
      <family val="2"/>
    </font>
    <font>
      <b/>
      <sz val="20"/>
      <color rgb="FF3F3F3F"/>
      <name val="Calibri"/>
      <family val="2"/>
    </font>
    <font>
      <sz val="13"/>
      <name val="Calibri"/>
      <family val="2"/>
    </font>
    <font>
      <u/>
      <sz val="13"/>
      <name val="Calibri"/>
      <family val="2"/>
    </font>
    <font>
      <sz val="10"/>
      <color rgb="FF3F3F3F"/>
      <name val="Calibri"/>
      <family val="2"/>
    </font>
    <font>
      <sz val="18"/>
      <color rgb="FF7F7F7F"/>
      <name val="Calibri"/>
      <family val="2"/>
    </font>
    <font>
      <u/>
      <sz val="10"/>
      <name val="Calibri"/>
      <family val="2"/>
    </font>
    <font>
      <sz val="10"/>
      <color rgb="FFFF0000"/>
      <name val="Calibri"/>
      <family val="2"/>
    </font>
    <font>
      <b/>
      <sz val="10"/>
      <name val="Calibri"/>
      <family val="2"/>
    </font>
    <font>
      <sz val="11"/>
      <color theme="1" tint="0.249977111117893"/>
      <name val="Calibri"/>
      <family val="2"/>
    </font>
    <font>
      <sz val="12"/>
      <color theme="1" tint="0.249977111117893"/>
      <name val="Calibri"/>
      <family val="2"/>
    </font>
    <font>
      <sz val="12"/>
      <color rgb="FF7F7F7F"/>
      <name val="Calibri"/>
      <family val="2"/>
    </font>
    <font>
      <sz val="12"/>
      <color theme="0"/>
      <name val="Calibri"/>
      <family val="2"/>
    </font>
    <font>
      <sz val="11"/>
      <color rgb="FF2E7BBD"/>
      <name val="Calibri"/>
      <family val="2"/>
      <scheme val="minor"/>
    </font>
    <font>
      <b/>
      <sz val="14"/>
      <color theme="0"/>
      <name val="Calibri"/>
      <family val="2"/>
    </font>
    <font>
      <b/>
      <sz val="13"/>
      <color rgb="FF000000"/>
      <name val="Calibri"/>
      <family val="2"/>
    </font>
    <font>
      <b/>
      <u/>
      <sz val="12"/>
      <color rgb="FF000000"/>
      <name val="Calibri"/>
      <family val="2"/>
    </font>
    <font>
      <b/>
      <u/>
      <sz val="12"/>
      <name val="Calibri"/>
      <family val="2"/>
    </font>
    <font>
      <b/>
      <u/>
      <sz val="12"/>
      <color rgb="FF000000"/>
      <name val="Calibri"/>
      <family val="2"/>
      <scheme val="minor"/>
    </font>
    <font>
      <sz val="11"/>
      <color rgb="FF000000"/>
      <name val="Calibri"/>
      <family val="2"/>
      <scheme val="minor"/>
    </font>
    <font>
      <b/>
      <sz val="18"/>
      <color rgb="FF398CCC"/>
      <name val="Calibri"/>
      <family val="2"/>
    </font>
    <font>
      <b/>
      <sz val="12"/>
      <color rgb="FF262626"/>
      <name val="Calibri"/>
      <family val="2"/>
    </font>
    <font>
      <b/>
      <u/>
      <sz val="12"/>
      <color theme="1" tint="0.249977111117893"/>
      <name val="Calibri"/>
      <family val="2"/>
      <scheme val="minor"/>
    </font>
    <font>
      <b/>
      <sz val="20"/>
      <name val="Garamond"/>
      <family val="1"/>
    </font>
    <font>
      <b/>
      <u/>
      <sz val="16"/>
      <color theme="1" tint="0.249977111117893"/>
      <name val="Garamond"/>
      <family val="1"/>
    </font>
    <font>
      <sz val="9"/>
      <color theme="1" tint="0.34998626667073579"/>
      <name val="Calibri"/>
      <family val="2"/>
      <scheme val="minor"/>
    </font>
    <font>
      <sz val="9"/>
      <color theme="1" tint="0.249977111117893"/>
      <name val="Calibri"/>
      <family val="2"/>
      <scheme val="minor"/>
    </font>
    <font>
      <b/>
      <sz val="13"/>
      <color rgb="FF398CCC"/>
      <name val="Calibri"/>
      <family val="2"/>
      <scheme val="minor"/>
    </font>
    <font>
      <u/>
      <sz val="14"/>
      <color rgb="FF333A3D"/>
      <name val="Calibri"/>
      <family val="2"/>
      <scheme val="minor"/>
    </font>
    <font>
      <b/>
      <i/>
      <sz val="14"/>
      <color rgb="FF00B050"/>
      <name val="Calibri"/>
      <family val="2"/>
      <scheme val="minor"/>
    </font>
    <font>
      <u/>
      <sz val="13"/>
      <color theme="1" tint="0.249977111117893"/>
      <name val="Calibri"/>
      <family val="2"/>
      <scheme val="minor"/>
    </font>
  </fonts>
  <fills count="63">
    <fill>
      <patternFill patternType="none"/>
    </fill>
    <fill>
      <patternFill patternType="gray125"/>
    </fill>
    <fill>
      <patternFill patternType="solid">
        <fgColor rgb="FFFFFFCC"/>
      </patternFill>
    </fill>
    <fill>
      <patternFill patternType="solid">
        <fgColor theme="5" tint="0.59999389629810485"/>
        <bgColor indexed="65"/>
      </patternFill>
    </fill>
    <fill>
      <patternFill patternType="solid">
        <fgColor theme="6" tint="0.59999389629810485"/>
        <bgColor indexed="65"/>
      </patternFill>
    </fill>
    <fill>
      <patternFill patternType="solid">
        <fgColor theme="8" tint="0.79998168889431442"/>
        <bgColor indexed="65"/>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79998168889431442"/>
        <bgColor indexed="65"/>
      </patternFill>
    </fill>
    <fill>
      <patternFill patternType="solid">
        <fgColor theme="5"/>
        <bgColor indexed="64"/>
      </patternFill>
    </fill>
    <fill>
      <patternFill patternType="solid">
        <fgColor theme="5" tint="0.79998168889431442"/>
        <bgColor indexed="64"/>
      </patternFill>
    </fill>
    <fill>
      <patternFill patternType="solid">
        <fgColor theme="9" tint="0.59996337778862885"/>
        <bgColor indexed="64"/>
      </patternFill>
    </fill>
    <fill>
      <patternFill patternType="solid">
        <fgColor rgb="FFFFFFCC"/>
        <bgColor indexed="64"/>
      </patternFill>
    </fill>
    <fill>
      <patternFill patternType="solid">
        <fgColor theme="6"/>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theme="1" tint="0.249977111117893"/>
        <bgColor indexed="64"/>
      </patternFill>
    </fill>
    <fill>
      <patternFill patternType="solid">
        <fgColor theme="8"/>
        <bgColor indexed="64"/>
      </patternFill>
    </fill>
    <fill>
      <patternFill patternType="solid">
        <fgColor theme="2"/>
        <bgColor indexed="64"/>
      </patternFill>
    </fill>
    <fill>
      <patternFill patternType="solid">
        <fgColor theme="8" tint="0.79998168889431442"/>
        <bgColor indexed="64"/>
      </patternFill>
    </fill>
    <fill>
      <patternFill patternType="darkUp">
        <fgColor theme="0" tint="-0.499984740745262"/>
        <bgColor theme="0"/>
      </patternFill>
    </fill>
    <fill>
      <patternFill patternType="darkUp">
        <fgColor theme="1" tint="0.34998626667073579"/>
        <bgColor theme="0"/>
      </patternFill>
    </fill>
    <fill>
      <patternFill patternType="solid">
        <fgColor theme="0" tint="-0.249977111117893"/>
        <bgColor indexed="64"/>
      </patternFill>
    </fill>
    <fill>
      <patternFill patternType="solid">
        <fgColor rgb="FF398CCC"/>
        <bgColor indexed="64"/>
      </patternFill>
    </fill>
    <fill>
      <patternFill patternType="solid">
        <fgColor rgb="FFEDEFF2"/>
        <bgColor indexed="64"/>
      </patternFill>
    </fill>
    <fill>
      <patternFill patternType="solid">
        <fgColor rgb="FF545F6B"/>
        <bgColor indexed="64"/>
      </patternFill>
    </fill>
    <fill>
      <patternFill patternType="solid">
        <fgColor theme="6" tint="0.79998168889431442"/>
        <bgColor indexed="64"/>
      </patternFill>
    </fill>
    <fill>
      <patternFill patternType="solid">
        <fgColor theme="0" tint="-4.9989318521683403E-2"/>
        <bgColor theme="0" tint="-0.34998626667073579"/>
      </patternFill>
    </fill>
    <fill>
      <patternFill patternType="solid">
        <fgColor rgb="FFFFFFE5"/>
        <bgColor indexed="64"/>
      </patternFill>
    </fill>
    <fill>
      <patternFill patternType="solid">
        <fgColor rgb="FFEDEFF3"/>
        <bgColor indexed="64"/>
      </patternFill>
    </fill>
    <fill>
      <patternFill patternType="solid">
        <fgColor rgb="FF2E7BBD"/>
        <bgColor indexed="64"/>
      </patternFill>
    </fill>
    <fill>
      <patternFill patternType="darkUp">
        <fgColor theme="0" tint="-0.24994659260841701"/>
        <bgColor theme="0"/>
      </patternFill>
    </fill>
    <fill>
      <patternFill patternType="solid">
        <fgColor theme="1" tint="0.34998626667073579"/>
        <bgColor indexed="64"/>
      </patternFill>
    </fill>
    <fill>
      <patternFill patternType="solid">
        <fgColor rgb="FFFFCCCC"/>
        <bgColor indexed="64"/>
      </patternFill>
    </fill>
    <fill>
      <patternFill patternType="solid">
        <fgColor rgb="FF398CCC"/>
        <bgColor rgb="FF398CCC"/>
      </patternFill>
    </fill>
    <fill>
      <patternFill patternType="solid">
        <fgColor rgb="FFF2F2F2"/>
        <bgColor rgb="FFF2F2F2"/>
      </patternFill>
    </fill>
    <fill>
      <patternFill patternType="solid">
        <fgColor rgb="FFFFFFCC"/>
        <bgColor rgb="FFFFFFCC"/>
      </patternFill>
    </fill>
    <fill>
      <patternFill patternType="solid">
        <fgColor rgb="FFEEECE1"/>
        <bgColor rgb="FFEEECE1"/>
      </patternFill>
    </fill>
    <fill>
      <patternFill patternType="solid">
        <fgColor rgb="FFFFFFFF"/>
        <bgColor rgb="FFFFFFFF"/>
      </patternFill>
    </fill>
    <fill>
      <patternFill patternType="solid">
        <fgColor rgb="FF317EBD"/>
        <bgColor rgb="FF317EBD"/>
      </patternFill>
    </fill>
    <fill>
      <patternFill patternType="solid">
        <fgColor rgb="FFDAEEF3"/>
        <bgColor rgb="FFDAEEF3"/>
      </patternFill>
    </fill>
    <fill>
      <patternFill patternType="solid">
        <fgColor theme="0" tint="-4.9989318521683403E-2"/>
        <bgColor rgb="FF317EBD"/>
      </patternFill>
    </fill>
    <fill>
      <patternFill patternType="solid">
        <fgColor theme="0"/>
        <bgColor rgb="FFEEECE1"/>
      </patternFill>
    </fill>
    <fill>
      <patternFill patternType="solid">
        <fgColor theme="8" tint="0.79998168889431442"/>
        <bgColor rgb="FFEEECE1"/>
      </patternFill>
    </fill>
    <fill>
      <patternFill patternType="solid">
        <fgColor rgb="FFCCCCCC"/>
        <bgColor rgb="FFCCCCCC"/>
      </patternFill>
    </fill>
    <fill>
      <patternFill patternType="solid">
        <fgColor rgb="FF545F6B"/>
        <bgColor rgb="FF545F6B"/>
      </patternFill>
    </fill>
    <fill>
      <patternFill patternType="solid">
        <fgColor rgb="FF545F6B"/>
        <bgColor rgb="FFEEECE1"/>
      </patternFill>
    </fill>
    <fill>
      <patternFill patternType="solid">
        <fgColor rgb="FFF3F3F3"/>
        <bgColor rgb="FFF3F3F3"/>
      </patternFill>
    </fill>
    <fill>
      <patternFill patternType="solid">
        <fgColor rgb="FFDBE5F1"/>
        <bgColor rgb="FFDBE5F1"/>
      </patternFill>
    </fill>
    <fill>
      <patternFill patternType="solid">
        <fgColor rgb="FFC0504D"/>
        <bgColor rgb="FFC0504D"/>
      </patternFill>
    </fill>
    <fill>
      <patternFill patternType="solid">
        <fgColor rgb="FF00B050"/>
        <bgColor rgb="FF00B050"/>
      </patternFill>
    </fill>
    <fill>
      <patternFill patternType="solid">
        <fgColor rgb="FFF79646"/>
        <bgColor rgb="FFF79646"/>
      </patternFill>
    </fill>
    <fill>
      <patternFill patternType="solid">
        <fgColor rgb="FFD8D8D8"/>
        <bgColor rgb="FFD8D8D8"/>
      </patternFill>
    </fill>
    <fill>
      <patternFill patternType="solid">
        <fgColor rgb="FFFFFFCC"/>
        <bgColor rgb="FF545F6B"/>
      </patternFill>
    </fill>
    <fill>
      <patternFill patternType="solid">
        <fgColor rgb="FFEDEFF2"/>
        <bgColor rgb="FFEDEFF2"/>
      </patternFill>
    </fill>
    <fill>
      <patternFill patternType="solid">
        <fgColor rgb="FFEDEFF3"/>
        <bgColor rgb="FFEDEFF3"/>
      </patternFill>
    </fill>
    <fill>
      <patternFill patternType="solid">
        <fgColor rgb="FF545F6B"/>
        <bgColor rgb="FFEDEFF2"/>
      </patternFill>
    </fill>
    <fill>
      <patternFill patternType="solid">
        <fgColor theme="8" tint="0.79998168889431442"/>
        <bgColor rgb="FFDBE5F1"/>
      </patternFill>
    </fill>
    <fill>
      <patternFill patternType="solid">
        <fgColor theme="0"/>
        <bgColor rgb="FFEDEFF2"/>
      </patternFill>
    </fill>
    <fill>
      <patternFill patternType="solid">
        <fgColor theme="0" tint="-4.9989318521683403E-2"/>
        <bgColor rgb="FFF3F3F3"/>
      </patternFill>
    </fill>
  </fills>
  <borders count="790">
    <border>
      <left/>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right/>
      <top style="double">
        <color auto="1"/>
      </top>
      <bottom/>
      <diagonal/>
    </border>
    <border>
      <left/>
      <right/>
      <top/>
      <bottom style="double">
        <color auto="1"/>
      </bottom>
      <diagonal/>
    </border>
    <border>
      <left/>
      <right/>
      <top style="thin">
        <color theme="9" tint="-0.24994659260841701"/>
      </top>
      <bottom style="thin">
        <color theme="9" tint="-0.24994659260841701"/>
      </bottom>
      <diagonal/>
    </border>
    <border>
      <left/>
      <right/>
      <top/>
      <bottom style="thin">
        <color theme="7"/>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style="thin">
        <color theme="9"/>
      </left>
      <right/>
      <top/>
      <bottom style="thin">
        <color theme="9"/>
      </bottom>
      <diagonal/>
    </border>
    <border>
      <left/>
      <right/>
      <top/>
      <bottom style="thin">
        <color theme="9"/>
      </bottom>
      <diagonal/>
    </border>
    <border>
      <left/>
      <right style="thin">
        <color theme="9"/>
      </right>
      <top/>
      <bottom style="thin">
        <color theme="9"/>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thin">
        <color theme="9"/>
      </left>
      <right/>
      <top/>
      <bottom/>
      <diagonal/>
    </border>
    <border>
      <left/>
      <right style="thin">
        <color theme="9"/>
      </right>
      <top/>
      <bottom/>
      <diagonal/>
    </border>
    <border>
      <left/>
      <right style="medium">
        <color theme="9"/>
      </right>
      <top style="thin">
        <color theme="9"/>
      </top>
      <bottom/>
      <diagonal/>
    </border>
    <border>
      <left/>
      <right style="medium">
        <color theme="9"/>
      </right>
      <top/>
      <bottom style="thin">
        <color theme="9"/>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medium">
        <color theme="6"/>
      </left>
      <right/>
      <top style="medium">
        <color theme="6"/>
      </top>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medium">
        <color theme="8"/>
      </left>
      <right/>
      <top/>
      <bottom/>
      <diagonal/>
    </border>
    <border>
      <left/>
      <right style="medium">
        <color theme="8"/>
      </right>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thin">
        <color theme="9"/>
      </left>
      <right/>
      <top style="double">
        <color auto="1"/>
      </top>
      <bottom/>
      <diagonal/>
    </border>
    <border>
      <left/>
      <right style="medium">
        <color theme="9"/>
      </right>
      <top style="double">
        <color auto="1"/>
      </top>
      <bottom/>
      <diagonal/>
    </border>
    <border>
      <left style="thin">
        <color theme="9"/>
      </left>
      <right/>
      <top/>
      <bottom style="thin">
        <color theme="0" tint="-0.34998626667073579"/>
      </bottom>
      <diagonal/>
    </border>
    <border>
      <left/>
      <right/>
      <top/>
      <bottom style="thin">
        <color theme="0" tint="-0.34998626667073579"/>
      </bottom>
      <diagonal/>
    </border>
    <border>
      <left/>
      <right style="medium">
        <color theme="9"/>
      </right>
      <top/>
      <bottom style="thin">
        <color theme="0" tint="-0.34998626667073579"/>
      </bottom>
      <diagonal/>
    </border>
    <border>
      <left style="thin">
        <color theme="9"/>
      </left>
      <right/>
      <top/>
      <bottom style="double">
        <color auto="1"/>
      </bottom>
      <diagonal/>
    </border>
    <border>
      <left/>
      <right style="thin">
        <color theme="9"/>
      </right>
      <top/>
      <bottom style="double">
        <color auto="1"/>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bottom style="thin">
        <color theme="0" tint="-0.14999847407452621"/>
      </bottom>
      <diagonal/>
    </border>
    <border>
      <left style="medium">
        <color rgb="FFFFC000"/>
      </left>
      <right/>
      <top/>
      <bottom/>
      <diagonal/>
    </border>
    <border>
      <left/>
      <right/>
      <top style="thin">
        <color theme="5"/>
      </top>
      <bottom/>
      <diagonal/>
    </border>
    <border>
      <left style="medium">
        <color theme="5"/>
      </left>
      <right style="thin">
        <color theme="5"/>
      </right>
      <top style="thin">
        <color theme="5"/>
      </top>
      <bottom style="medium">
        <color theme="5"/>
      </bottom>
      <diagonal/>
    </border>
    <border>
      <left style="medium">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n">
        <color theme="5"/>
      </right>
      <top style="thin">
        <color theme="5"/>
      </top>
      <bottom style="medium">
        <color theme="5"/>
      </bottom>
      <diagonal/>
    </border>
    <border>
      <left style="thin">
        <color theme="5"/>
      </left>
      <right/>
      <top/>
      <bottom style="thin">
        <color theme="5"/>
      </bottom>
      <diagonal/>
    </border>
    <border>
      <left style="thin">
        <color theme="5"/>
      </left>
      <right/>
      <top/>
      <bottom/>
      <diagonal/>
    </border>
    <border>
      <left/>
      <right/>
      <top/>
      <bottom style="thin">
        <color theme="5"/>
      </bottom>
      <diagonal/>
    </border>
    <border>
      <left/>
      <right style="thin">
        <color theme="5"/>
      </right>
      <top/>
      <bottom/>
      <diagonal/>
    </border>
    <border>
      <left/>
      <right style="thin">
        <color theme="5"/>
      </right>
      <top/>
      <bottom style="thin">
        <color theme="5"/>
      </bottom>
      <diagonal/>
    </border>
    <border>
      <left style="thin">
        <color theme="5"/>
      </left>
      <right/>
      <top/>
      <bottom style="medium">
        <color theme="5"/>
      </bottom>
      <diagonal/>
    </border>
    <border>
      <left/>
      <right style="thin">
        <color theme="5"/>
      </right>
      <top/>
      <bottom style="medium">
        <color theme="5"/>
      </bottom>
      <diagonal/>
    </border>
    <border>
      <left style="thin">
        <color theme="5"/>
      </left>
      <right/>
      <top style="thin">
        <color theme="5"/>
      </top>
      <bottom/>
      <diagonal/>
    </border>
    <border>
      <left/>
      <right style="thin">
        <color theme="5"/>
      </right>
      <top style="thin">
        <color theme="5"/>
      </top>
      <bottom/>
      <diagonal/>
    </border>
    <border>
      <left/>
      <right style="medium">
        <color theme="5"/>
      </right>
      <top/>
      <bottom style="thin">
        <color theme="5"/>
      </bottom>
      <diagonal/>
    </border>
    <border>
      <left/>
      <right/>
      <top style="thin">
        <color theme="0" tint="-0.14999847407452621"/>
      </top>
      <bottom/>
      <diagonal/>
    </border>
    <border>
      <left/>
      <right/>
      <top style="medium">
        <color theme="0" tint="-0.34998626667073579"/>
      </top>
      <bottom style="medium">
        <color theme="0" tint="-0.34998626667073579"/>
      </bottom>
      <diagonal/>
    </border>
    <border>
      <left/>
      <right/>
      <top/>
      <bottom style="dashed">
        <color theme="1" tint="0.34998626667073579"/>
      </bottom>
      <diagonal/>
    </border>
    <border>
      <left/>
      <right/>
      <top/>
      <bottom style="thin">
        <color theme="0" tint="-0.499984740745262"/>
      </bottom>
      <diagonal/>
    </border>
    <border>
      <left style="thin">
        <color theme="0" tint="-0.499984740745262"/>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style="thin">
        <color theme="0" tint="-0.34998626667073579"/>
      </left>
      <right/>
      <top/>
      <bottom/>
      <diagonal/>
    </border>
    <border>
      <left/>
      <right style="thin">
        <color theme="0" tint="-0.14999847407452621"/>
      </right>
      <top/>
      <bottom/>
      <diagonal/>
    </border>
    <border>
      <left/>
      <right/>
      <top/>
      <bottom style="thin">
        <color theme="0" tint="-0.14999847407452621"/>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right/>
      <top/>
      <bottom style="double">
        <color theme="0" tint="-0.34998626667073579"/>
      </bottom>
      <diagonal/>
    </border>
    <border>
      <left/>
      <right/>
      <top style="double">
        <color theme="0" tint="-0.34998626667073579"/>
      </top>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rgb="FFF4D80A"/>
      </left>
      <right/>
      <top style="medium">
        <color rgb="FFF4D80A"/>
      </top>
      <bottom style="medium">
        <color rgb="FFF4D80A"/>
      </bottom>
      <diagonal/>
    </border>
    <border>
      <left/>
      <right style="medium">
        <color rgb="FFF4D80A"/>
      </right>
      <top style="medium">
        <color rgb="FFF4D80A"/>
      </top>
      <bottom style="medium">
        <color rgb="FFF4D80A"/>
      </bottom>
      <diagonal/>
    </border>
    <border>
      <left/>
      <right/>
      <top style="thin">
        <color theme="0" tint="-0.249977111117893"/>
      </top>
      <bottom/>
      <diagonal/>
    </border>
    <border>
      <left/>
      <right/>
      <top/>
      <bottom style="thin">
        <color theme="0" tint="-0.249977111117893"/>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1"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medium">
        <color theme="0" tint="-0.499984740745262"/>
      </top>
      <bottom/>
      <diagonal/>
    </border>
    <border>
      <left/>
      <right/>
      <top/>
      <bottom style="medium">
        <color theme="0" tint="-0.499984740745262"/>
      </bottom>
      <diagonal/>
    </border>
    <border>
      <left style="medium">
        <color theme="1" tint="0.499984740745262"/>
      </left>
      <right/>
      <top style="medium">
        <color theme="0" tint="-0.499984740745262"/>
      </top>
      <bottom/>
      <diagonal/>
    </border>
    <border>
      <left style="medium">
        <color theme="1" tint="0.499984740745262"/>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diagonal/>
    </border>
    <border>
      <left style="medium">
        <color theme="1" tint="0.499984740745262"/>
      </left>
      <right/>
      <top/>
      <bottom style="medium">
        <color theme="0" tint="-0.499984740745262"/>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bottom/>
      <diagonal/>
    </border>
    <border>
      <left style="thin">
        <color theme="0" tint="-0.14999847407452621"/>
      </left>
      <right/>
      <top style="thin">
        <color theme="0" tint="-0.14999847407452621"/>
      </top>
      <bottom style="thin">
        <color theme="0" tint="-0.14999847407452621"/>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medium">
        <color theme="7"/>
      </left>
      <right style="medium">
        <color theme="1" tint="0.34998626667073579"/>
      </right>
      <top style="medium">
        <color theme="7"/>
      </top>
      <bottom style="medium">
        <color theme="1" tint="0.34998626667073579"/>
      </bottom>
      <diagonal/>
    </border>
    <border>
      <left style="medium">
        <color theme="1" tint="0.34998626667073579"/>
      </left>
      <right style="medium">
        <color theme="1" tint="0.34998626667073579"/>
      </right>
      <top style="medium">
        <color theme="7"/>
      </top>
      <bottom style="medium">
        <color theme="1" tint="0.34998626667073579"/>
      </bottom>
      <diagonal/>
    </border>
    <border>
      <left style="medium">
        <color theme="1" tint="0.34998626667073579"/>
      </left>
      <right style="medium">
        <color theme="7"/>
      </right>
      <top style="medium">
        <color theme="7"/>
      </top>
      <bottom style="medium">
        <color theme="1" tint="0.34998626667073579"/>
      </bottom>
      <diagonal/>
    </border>
    <border>
      <left style="medium">
        <color theme="7"/>
      </left>
      <right style="medium">
        <color theme="1" tint="0.34998626667073579"/>
      </right>
      <top style="medium">
        <color theme="1" tint="0.34998626667073579"/>
      </top>
      <bottom style="medium">
        <color theme="1" tint="0.34998626667073579"/>
      </bottom>
      <diagonal/>
    </border>
    <border>
      <left style="medium">
        <color theme="1" tint="0.34998626667073579"/>
      </left>
      <right style="medium">
        <color theme="7"/>
      </right>
      <top style="medium">
        <color theme="1" tint="0.34998626667073579"/>
      </top>
      <bottom style="medium">
        <color theme="1" tint="0.34998626667073579"/>
      </bottom>
      <diagonal/>
    </border>
    <border>
      <left style="medium">
        <color theme="7"/>
      </left>
      <right style="medium">
        <color theme="1" tint="0.34998626667073579"/>
      </right>
      <top style="medium">
        <color theme="1" tint="0.34998626667073579"/>
      </top>
      <bottom style="medium">
        <color theme="7"/>
      </bottom>
      <diagonal/>
    </border>
    <border>
      <left style="medium">
        <color theme="1" tint="0.34998626667073579"/>
      </left>
      <right style="medium">
        <color theme="1" tint="0.34998626667073579"/>
      </right>
      <top style="medium">
        <color theme="1" tint="0.34998626667073579"/>
      </top>
      <bottom style="medium">
        <color theme="7"/>
      </bottom>
      <diagonal/>
    </border>
    <border>
      <left style="medium">
        <color theme="1" tint="0.34998626667073579"/>
      </left>
      <right style="medium">
        <color theme="7"/>
      </right>
      <top style="medium">
        <color theme="1" tint="0.34998626667073579"/>
      </top>
      <bottom style="medium">
        <color theme="7"/>
      </bottom>
      <diagonal/>
    </border>
    <border>
      <left style="medium">
        <color theme="9"/>
      </left>
      <right style="medium">
        <color theme="9"/>
      </right>
      <top style="medium">
        <color theme="9"/>
      </top>
      <bottom style="medium">
        <color theme="9"/>
      </bottom>
      <diagonal/>
    </border>
    <border>
      <left style="medium">
        <color theme="9"/>
      </left>
      <right style="medium">
        <color theme="9"/>
      </right>
      <top/>
      <bottom/>
      <diagonal/>
    </border>
    <border>
      <left style="thin">
        <color theme="9"/>
      </left>
      <right style="thin">
        <color theme="9"/>
      </right>
      <top style="thin">
        <color theme="9"/>
      </top>
      <bottom style="thin">
        <color theme="9"/>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style="thick">
        <color theme="5"/>
      </left>
      <right/>
      <top/>
      <bottom/>
      <diagonal/>
    </border>
    <border>
      <left/>
      <right style="thick">
        <color theme="5"/>
      </right>
      <top/>
      <bottom/>
      <diagonal/>
    </border>
    <border>
      <left style="thick">
        <color theme="5"/>
      </left>
      <right/>
      <top/>
      <bottom style="thick">
        <color theme="5"/>
      </bottom>
      <diagonal/>
    </border>
    <border>
      <left/>
      <right/>
      <top/>
      <bottom style="thick">
        <color theme="5"/>
      </bottom>
      <diagonal/>
    </border>
    <border>
      <left/>
      <right style="thick">
        <color theme="5"/>
      </right>
      <top/>
      <bottom style="thick">
        <color theme="5"/>
      </bottom>
      <diagonal/>
    </border>
    <border>
      <left style="medium">
        <color theme="1" tint="0.34998626667073579"/>
      </left>
      <right style="medium">
        <color theme="1" tint="0.34998626667073579"/>
      </right>
      <top/>
      <bottom style="medium">
        <color theme="1" tint="0.34998626667073579"/>
      </bottom>
      <diagonal/>
    </border>
    <border>
      <left style="medium">
        <color rgb="FFFFC000"/>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style="medium">
        <color rgb="FF545F6B"/>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249977111117893"/>
      </left>
      <right style="thin">
        <color theme="0" tint="-0.249977111117893"/>
      </right>
      <top/>
      <bottom/>
      <diagonal/>
    </border>
    <border>
      <left/>
      <right style="thin">
        <color theme="0" tint="-0.249977111117893"/>
      </right>
      <top style="thin">
        <color theme="0" tint="-0.34998626667073579"/>
      </top>
      <bottom style="thin">
        <color theme="0" tint="-0.34998626667073579"/>
      </bottom>
      <diagonal/>
    </border>
    <border>
      <left/>
      <right style="medium">
        <color theme="1" tint="0.249977111117893"/>
      </right>
      <top/>
      <bottom/>
      <diagonal/>
    </border>
    <border>
      <left style="medium">
        <color theme="1" tint="0.249977111117893"/>
      </left>
      <right/>
      <top style="medium">
        <color theme="1" tint="0.249977111117893"/>
      </top>
      <bottom/>
      <diagonal/>
    </border>
    <border>
      <left/>
      <right/>
      <top style="medium">
        <color theme="1" tint="0.249977111117893"/>
      </top>
      <bottom/>
      <diagonal/>
    </border>
    <border>
      <left/>
      <right style="medium">
        <color theme="1" tint="0.249977111117893"/>
      </right>
      <top style="medium">
        <color theme="1" tint="0.249977111117893"/>
      </top>
      <bottom/>
      <diagonal/>
    </border>
    <border>
      <left style="medium">
        <color theme="1" tint="0.249977111117893"/>
      </left>
      <right/>
      <top/>
      <bottom/>
      <diagonal/>
    </border>
    <border>
      <left style="medium">
        <color theme="1" tint="0.249977111117893"/>
      </left>
      <right/>
      <top/>
      <bottom style="medium">
        <color theme="1" tint="0.249977111117893"/>
      </bottom>
      <diagonal/>
    </border>
    <border>
      <left/>
      <right/>
      <top/>
      <bottom style="medium">
        <color theme="1" tint="0.249977111117893"/>
      </bottom>
      <diagonal/>
    </border>
    <border>
      <left/>
      <right style="medium">
        <color theme="1" tint="0.249977111117893"/>
      </right>
      <top/>
      <bottom style="medium">
        <color theme="1" tint="0.249977111117893"/>
      </bottom>
      <diagonal/>
    </border>
    <border>
      <left/>
      <right/>
      <top/>
      <bottom style="thin">
        <color theme="8"/>
      </bottom>
      <diagonal/>
    </border>
    <border>
      <left/>
      <right style="medium">
        <color theme="8"/>
      </right>
      <top/>
      <bottom style="thin">
        <color theme="8"/>
      </bottom>
      <diagonal/>
    </border>
    <border>
      <left style="medium">
        <color theme="8"/>
      </left>
      <right/>
      <top/>
      <bottom style="thin">
        <color theme="8"/>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rgb="FF398CCC"/>
      </left>
      <right/>
      <top style="medium">
        <color rgb="FF398CCC"/>
      </top>
      <bottom/>
      <diagonal/>
    </border>
    <border>
      <left/>
      <right/>
      <top style="medium">
        <color rgb="FF398CCC"/>
      </top>
      <bottom/>
      <diagonal/>
    </border>
    <border>
      <left/>
      <right style="medium">
        <color rgb="FF398CCC"/>
      </right>
      <top style="medium">
        <color rgb="FF398CCC"/>
      </top>
      <bottom/>
      <diagonal/>
    </border>
    <border>
      <left style="medium">
        <color rgb="FF398CCC"/>
      </left>
      <right/>
      <top/>
      <bottom/>
      <diagonal/>
    </border>
    <border>
      <left/>
      <right style="medium">
        <color rgb="FF398CCC"/>
      </right>
      <top/>
      <bottom/>
      <diagonal/>
    </border>
    <border>
      <left style="medium">
        <color rgb="FF398CCC"/>
      </left>
      <right/>
      <top/>
      <bottom style="medium">
        <color rgb="FF398CCC"/>
      </bottom>
      <diagonal/>
    </border>
    <border>
      <left/>
      <right/>
      <top/>
      <bottom style="medium">
        <color rgb="FF398CCC"/>
      </bottom>
      <diagonal/>
    </border>
    <border>
      <left/>
      <right style="medium">
        <color rgb="FF398CCC"/>
      </right>
      <top/>
      <bottom style="medium">
        <color rgb="FF398CCC"/>
      </bottom>
      <diagonal/>
    </border>
    <border>
      <left/>
      <right/>
      <top/>
      <bottom style="medium">
        <color rgb="FFFFC000"/>
      </bottom>
      <diagonal/>
    </border>
    <border>
      <left style="medium">
        <color theme="8"/>
      </left>
      <right/>
      <top style="thin">
        <color theme="8"/>
      </top>
      <bottom/>
      <diagonal/>
    </border>
    <border>
      <left/>
      <right/>
      <top style="thin">
        <color theme="8"/>
      </top>
      <bottom/>
      <diagonal/>
    </border>
    <border>
      <left/>
      <right style="medium">
        <color theme="8"/>
      </right>
      <top style="thin">
        <color theme="8"/>
      </top>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right style="medium">
        <color rgb="FFFFC000"/>
      </right>
      <top/>
      <bottom/>
      <diagonal/>
    </border>
    <border>
      <left style="medium">
        <color rgb="FFFFC000"/>
      </left>
      <right/>
      <top/>
      <bottom style="medium">
        <color rgb="FFFFC000"/>
      </bottom>
      <diagonal/>
    </border>
    <border>
      <left/>
      <right style="medium">
        <color rgb="FFFFC000"/>
      </right>
      <top/>
      <bottom style="medium">
        <color rgb="FFFFC000"/>
      </bottom>
      <diagonal/>
    </border>
    <border>
      <left style="medium">
        <color rgb="FF317EBD"/>
      </left>
      <right/>
      <top style="medium">
        <color rgb="FF317EBD"/>
      </top>
      <bottom/>
      <diagonal/>
    </border>
    <border>
      <left/>
      <right/>
      <top style="medium">
        <color rgb="FF317EBD"/>
      </top>
      <bottom/>
      <diagonal/>
    </border>
    <border>
      <left/>
      <right style="medium">
        <color rgb="FF317EBD"/>
      </right>
      <top style="medium">
        <color rgb="FF317EBD"/>
      </top>
      <bottom/>
      <diagonal/>
    </border>
    <border>
      <left style="medium">
        <color rgb="FF317EBD"/>
      </left>
      <right/>
      <top/>
      <bottom/>
      <diagonal/>
    </border>
    <border>
      <left/>
      <right style="medium">
        <color rgb="FF317EBD"/>
      </right>
      <top/>
      <bottom/>
      <diagonal/>
    </border>
    <border>
      <left style="medium">
        <color theme="6"/>
      </left>
      <right/>
      <top style="medium">
        <color theme="1" tint="0.249977111117893"/>
      </top>
      <bottom/>
      <diagonal/>
    </border>
    <border>
      <left/>
      <right style="medium">
        <color theme="6"/>
      </right>
      <top style="medium">
        <color theme="1" tint="0.249977111117893"/>
      </top>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style="thin">
        <color rgb="FF398CCC"/>
      </left>
      <right style="thin">
        <color rgb="FF398CCC"/>
      </right>
      <top style="thin">
        <color rgb="FF398CCC"/>
      </top>
      <bottom style="thin">
        <color rgb="FF398CCC"/>
      </bottom>
      <diagonal/>
    </border>
    <border>
      <left style="medium">
        <color rgb="FF398CCC"/>
      </left>
      <right style="thin">
        <color theme="0" tint="-0.249977111117893"/>
      </right>
      <top/>
      <bottom style="thin">
        <color theme="0" tint="-0.249977111117893"/>
      </bottom>
      <diagonal/>
    </border>
    <border>
      <left style="thin">
        <color theme="0" tint="-0.249977111117893"/>
      </left>
      <right style="medium">
        <color rgb="FF398CCC"/>
      </right>
      <top/>
      <bottom style="thin">
        <color theme="0" tint="-0.249977111117893"/>
      </bottom>
      <diagonal/>
    </border>
    <border>
      <left style="medium">
        <color rgb="FF398CCC"/>
      </left>
      <right style="thin">
        <color theme="0" tint="-0.249977111117893"/>
      </right>
      <top style="thin">
        <color theme="0" tint="-0.249977111117893"/>
      </top>
      <bottom style="thin">
        <color theme="0" tint="-0.249977111117893"/>
      </bottom>
      <diagonal/>
    </border>
    <border>
      <left style="thin">
        <color theme="0" tint="-0.249977111117893"/>
      </left>
      <right style="medium">
        <color rgb="FF398CCC"/>
      </right>
      <top style="thin">
        <color theme="0" tint="-0.249977111117893"/>
      </top>
      <bottom style="thin">
        <color theme="0" tint="-0.249977111117893"/>
      </bottom>
      <diagonal/>
    </border>
    <border>
      <left style="medium">
        <color rgb="FF398CCC"/>
      </left>
      <right style="thin">
        <color theme="0" tint="-0.249977111117893"/>
      </right>
      <top style="thin">
        <color theme="0" tint="-0.249977111117893"/>
      </top>
      <bottom style="medium">
        <color rgb="FF398CCC"/>
      </bottom>
      <diagonal/>
    </border>
    <border>
      <left style="thin">
        <color theme="0" tint="-0.249977111117893"/>
      </left>
      <right style="thin">
        <color theme="0" tint="-0.249977111117893"/>
      </right>
      <top style="thin">
        <color theme="0" tint="-0.249977111117893"/>
      </top>
      <bottom style="medium">
        <color rgb="FF398CCC"/>
      </bottom>
      <diagonal/>
    </border>
    <border>
      <left style="thin">
        <color theme="0" tint="-0.249977111117893"/>
      </left>
      <right style="medium">
        <color rgb="FF398CCC"/>
      </right>
      <top style="thin">
        <color theme="0" tint="-0.249977111117893"/>
      </top>
      <bottom style="medium">
        <color rgb="FF398CCC"/>
      </bottom>
      <diagonal/>
    </border>
    <border>
      <left style="thin">
        <color theme="0" tint="-0.249977111117893"/>
      </left>
      <right/>
      <top style="thin">
        <color theme="0" tint="-0.249977111117893"/>
      </top>
      <bottom style="medium">
        <color rgb="FF398CCC"/>
      </bottom>
      <diagonal/>
    </border>
    <border>
      <left/>
      <right style="thin">
        <color theme="0" tint="-0.249977111117893"/>
      </right>
      <top style="thin">
        <color theme="0" tint="-0.249977111117893"/>
      </top>
      <bottom style="medium">
        <color rgb="FF398CCC"/>
      </bottom>
      <diagonal/>
    </border>
    <border>
      <left style="thin">
        <color rgb="FF398CCC"/>
      </left>
      <right style="thin">
        <color rgb="FF398CCC"/>
      </right>
      <top/>
      <bottom style="thin">
        <color rgb="FF398CCC"/>
      </bottom>
      <diagonal/>
    </border>
    <border>
      <left/>
      <right style="thin">
        <color rgb="FF398CCC"/>
      </right>
      <top/>
      <bottom style="thin">
        <color rgb="FF398CCC"/>
      </bottom>
      <diagonal/>
    </border>
    <border>
      <left style="thin">
        <color rgb="FF398CCC"/>
      </left>
      <right/>
      <top style="thin">
        <color rgb="FF398CCC"/>
      </top>
      <bottom/>
      <diagonal/>
    </border>
    <border>
      <left/>
      <right/>
      <top style="thin">
        <color rgb="FF398CCC"/>
      </top>
      <bottom/>
      <diagonal/>
    </border>
    <border>
      <left/>
      <right style="thin">
        <color rgb="FF398CCC"/>
      </right>
      <top style="thin">
        <color rgb="FF398CCC"/>
      </top>
      <bottom/>
      <diagonal/>
    </border>
    <border>
      <left style="thin">
        <color rgb="FF398CCC"/>
      </left>
      <right/>
      <top/>
      <bottom/>
      <diagonal/>
    </border>
    <border>
      <left/>
      <right style="thin">
        <color rgb="FF398CCC"/>
      </right>
      <top/>
      <bottom/>
      <diagonal/>
    </border>
    <border>
      <left style="thin">
        <color rgb="FF398CCC"/>
      </left>
      <right/>
      <top/>
      <bottom style="thin">
        <color rgb="FF398CCC"/>
      </bottom>
      <diagonal/>
    </border>
    <border>
      <left/>
      <right style="thin">
        <color theme="0" tint="-0.249977111117893"/>
      </right>
      <top/>
      <bottom style="thin">
        <color rgb="FF398CCC"/>
      </bottom>
      <diagonal/>
    </border>
    <border>
      <left style="thin">
        <color theme="0" tint="-0.249977111117893"/>
      </left>
      <right/>
      <top/>
      <bottom style="thin">
        <color rgb="FF398CCC"/>
      </bottom>
      <diagonal/>
    </border>
    <border>
      <left/>
      <right/>
      <top/>
      <bottom style="thin">
        <color rgb="FF398CCC"/>
      </bottom>
      <diagonal/>
    </border>
    <border>
      <left style="thin">
        <color rgb="FF398CCC"/>
      </left>
      <right/>
      <top style="thin">
        <color rgb="FF398CCC"/>
      </top>
      <bottom style="thin">
        <color rgb="FF398CCC"/>
      </bottom>
      <diagonal/>
    </border>
    <border>
      <left/>
      <right/>
      <top style="thin">
        <color rgb="FF398CCC"/>
      </top>
      <bottom style="thin">
        <color rgb="FF398CCC"/>
      </bottom>
      <diagonal/>
    </border>
    <border>
      <left/>
      <right style="thin">
        <color rgb="FF398CCC"/>
      </right>
      <top style="thin">
        <color rgb="FF398CCC"/>
      </top>
      <bottom style="thin">
        <color rgb="FF398CCC"/>
      </bottom>
      <diagonal/>
    </border>
    <border>
      <left/>
      <right style="thin">
        <color theme="0" tint="-4.9989318521683403E-2"/>
      </right>
      <top/>
      <bottom style="thin">
        <color theme="0" tint="-0.249977111117893"/>
      </bottom>
      <diagonal/>
    </border>
    <border>
      <left style="thin">
        <color theme="0" tint="-0.249977111117893"/>
      </left>
      <right style="thin">
        <color theme="0" tint="-0.249977111117893"/>
      </right>
      <top style="thin">
        <color theme="0" tint="-0.249977111117893"/>
      </top>
      <bottom style="double">
        <color theme="1" tint="0.14999847407452621"/>
      </bottom>
      <diagonal/>
    </border>
    <border>
      <left style="thin">
        <color theme="0" tint="-0.249977111117893"/>
      </left>
      <right style="thin">
        <color theme="0" tint="-0.249977111117893"/>
      </right>
      <top style="double">
        <color theme="1" tint="0.14999847407452621"/>
      </top>
      <bottom style="thin">
        <color theme="0" tint="-0.249977111117893"/>
      </bottom>
      <diagonal/>
    </border>
    <border>
      <left style="thin">
        <color theme="0" tint="-0.249977111117893"/>
      </left>
      <right style="thin">
        <color theme="0" tint="-0.249977111117893"/>
      </right>
      <top style="thin">
        <color theme="0" tint="-0.249977111117893"/>
      </top>
      <bottom style="double">
        <color rgb="FF333A3D"/>
      </bottom>
      <diagonal/>
    </border>
    <border>
      <left style="thin">
        <color theme="0" tint="-0.249977111117893"/>
      </left>
      <right style="thin">
        <color theme="0" tint="-0.249977111117893"/>
      </right>
      <top style="thin">
        <color theme="0" tint="-0.249977111117893"/>
      </top>
      <bottom style="double">
        <color theme="1" tint="0.249977111117893"/>
      </bottom>
      <diagonal/>
    </border>
    <border>
      <left style="thin">
        <color theme="0" tint="-0.249977111117893"/>
      </left>
      <right/>
      <top/>
      <bottom style="double">
        <color theme="1" tint="0.249977111117893"/>
      </bottom>
      <diagonal/>
    </border>
    <border>
      <left/>
      <right/>
      <top/>
      <bottom style="double">
        <color theme="1" tint="0.249977111117893"/>
      </bottom>
      <diagonal/>
    </border>
    <border>
      <left/>
      <right style="thin">
        <color theme="0" tint="-0.249977111117893"/>
      </right>
      <top/>
      <bottom style="double">
        <color theme="1" tint="0.249977111117893"/>
      </bottom>
      <diagonal/>
    </border>
    <border>
      <left style="thick">
        <color rgb="FF398CCC"/>
      </left>
      <right style="thin">
        <color theme="0" tint="-0.249977111117893"/>
      </right>
      <top style="thick">
        <color rgb="FF398CCC"/>
      </top>
      <bottom style="thick">
        <color rgb="FF398CCC"/>
      </bottom>
      <diagonal/>
    </border>
    <border>
      <left style="thin">
        <color theme="0" tint="-0.249977111117893"/>
      </left>
      <right style="thin">
        <color theme="0" tint="-0.249977111117893"/>
      </right>
      <top style="thick">
        <color rgb="FF398CCC"/>
      </top>
      <bottom style="thick">
        <color rgb="FF398CCC"/>
      </bottom>
      <diagonal/>
    </border>
    <border>
      <left/>
      <right style="thick">
        <color rgb="FF398CCC"/>
      </right>
      <top/>
      <bottom/>
      <diagonal/>
    </border>
    <border>
      <left style="thin">
        <color theme="0" tint="-0.249977111117893"/>
      </left>
      <right/>
      <top style="thick">
        <color rgb="FF398CCC"/>
      </top>
      <bottom style="thick">
        <color rgb="FF398CCC"/>
      </bottom>
      <diagonal/>
    </border>
    <border>
      <left/>
      <right/>
      <top style="thick">
        <color rgb="FF398CCC"/>
      </top>
      <bottom style="thick">
        <color rgb="FF398CCC"/>
      </bottom>
      <diagonal/>
    </border>
    <border>
      <left/>
      <right style="thin">
        <color theme="0" tint="-0.249977111117893"/>
      </right>
      <top style="thick">
        <color rgb="FF398CCC"/>
      </top>
      <bottom style="thick">
        <color rgb="FF398CCC"/>
      </bottom>
      <diagonal/>
    </border>
    <border>
      <left style="thick">
        <color rgb="FF398CCC"/>
      </left>
      <right/>
      <top style="thick">
        <color rgb="FF398CCC"/>
      </top>
      <bottom/>
      <diagonal/>
    </border>
    <border>
      <left/>
      <right/>
      <top style="thick">
        <color rgb="FF398CCC"/>
      </top>
      <bottom/>
      <diagonal/>
    </border>
    <border>
      <left/>
      <right style="thick">
        <color rgb="FF398CCC"/>
      </right>
      <top style="thick">
        <color rgb="FF398CCC"/>
      </top>
      <bottom/>
      <diagonal/>
    </border>
    <border>
      <left style="thick">
        <color rgb="FF398CCC"/>
      </left>
      <right/>
      <top/>
      <bottom/>
      <diagonal/>
    </border>
    <border>
      <left style="thick">
        <color rgb="FF398CCC"/>
      </left>
      <right/>
      <top/>
      <bottom style="thick">
        <color rgb="FF398CCC"/>
      </bottom>
      <diagonal/>
    </border>
    <border>
      <left/>
      <right/>
      <top/>
      <bottom style="thick">
        <color rgb="FF398CCC"/>
      </bottom>
      <diagonal/>
    </border>
    <border>
      <left/>
      <right style="thick">
        <color rgb="FF398CCC"/>
      </right>
      <top/>
      <bottom style="thick">
        <color rgb="FF398CCC"/>
      </bottom>
      <diagonal/>
    </border>
    <border>
      <left style="thin">
        <color theme="0" tint="-0.249977111117893"/>
      </left>
      <right/>
      <top style="thin">
        <color theme="0" tint="-0.249977111117893"/>
      </top>
      <bottom style="double">
        <color theme="1" tint="0.249977111117893"/>
      </bottom>
      <diagonal/>
    </border>
    <border>
      <left/>
      <right style="thin">
        <color theme="0" tint="-0.249977111117893"/>
      </right>
      <top style="thin">
        <color theme="0" tint="-0.249977111117893"/>
      </top>
      <bottom style="double">
        <color theme="1" tint="0.249977111117893"/>
      </bottom>
      <diagonal/>
    </border>
    <border>
      <left style="thin">
        <color theme="0" tint="-0.249977111117893"/>
      </left>
      <right style="thin">
        <color theme="1" tint="0.499984740745262"/>
      </right>
      <top style="thin">
        <color theme="0" tint="-0.249977111117893"/>
      </top>
      <bottom style="thin">
        <color theme="1" tint="0.499984740745262"/>
      </bottom>
      <diagonal/>
    </border>
    <border>
      <left style="thin">
        <color theme="1" tint="0.499984740745262"/>
      </left>
      <right style="thin">
        <color theme="1" tint="0.499984740745262"/>
      </right>
      <top style="thin">
        <color theme="0" tint="-0.249977111117893"/>
      </top>
      <bottom style="thin">
        <color theme="1" tint="0.499984740745262"/>
      </bottom>
      <diagonal/>
    </border>
    <border>
      <left style="thin">
        <color theme="1" tint="0.499984740745262"/>
      </left>
      <right style="thin">
        <color theme="0" tint="-0.249977111117893"/>
      </right>
      <top style="thin">
        <color theme="0" tint="-0.249977111117893"/>
      </top>
      <bottom style="thin">
        <color theme="1" tint="0.499984740745262"/>
      </bottom>
      <diagonal/>
    </border>
    <border>
      <left style="thin">
        <color theme="0" tint="-0.249977111117893"/>
      </left>
      <right style="thin">
        <color theme="1" tint="0.499984740745262"/>
      </right>
      <top style="thin">
        <color theme="1" tint="0.499984740745262"/>
      </top>
      <bottom style="thin">
        <color theme="0" tint="-0.249977111117893"/>
      </bottom>
      <diagonal/>
    </border>
    <border>
      <left style="thin">
        <color theme="1" tint="0.499984740745262"/>
      </left>
      <right style="thin">
        <color theme="1" tint="0.499984740745262"/>
      </right>
      <top style="thin">
        <color theme="1" tint="0.499984740745262"/>
      </top>
      <bottom style="thin">
        <color theme="0" tint="-0.249977111117893"/>
      </bottom>
      <diagonal/>
    </border>
    <border>
      <left style="thin">
        <color theme="1" tint="0.499984740745262"/>
      </left>
      <right style="thin">
        <color theme="0" tint="-0.249977111117893"/>
      </right>
      <top style="thin">
        <color theme="1" tint="0.499984740745262"/>
      </top>
      <bottom style="thin">
        <color theme="0" tint="-0.249977111117893"/>
      </bottom>
      <diagonal/>
    </border>
    <border>
      <left/>
      <right/>
      <top style="thick">
        <color theme="9"/>
      </top>
      <bottom/>
      <diagonal/>
    </border>
    <border>
      <left style="thick">
        <color rgb="FFFF5050"/>
      </left>
      <right/>
      <top style="thick">
        <color rgb="FFFF5050"/>
      </top>
      <bottom style="thick">
        <color rgb="FFFF5050"/>
      </bottom>
      <diagonal/>
    </border>
    <border>
      <left/>
      <right/>
      <top style="thick">
        <color rgb="FFFF5050"/>
      </top>
      <bottom style="thick">
        <color rgb="FFFF5050"/>
      </bottom>
      <diagonal/>
    </border>
    <border>
      <left/>
      <right style="thick">
        <color rgb="FFFF5050"/>
      </right>
      <top style="thick">
        <color rgb="FFFF5050"/>
      </top>
      <bottom style="thick">
        <color rgb="FFFF5050"/>
      </bottom>
      <diagonal/>
    </border>
    <border>
      <left style="thick">
        <color rgb="FF398CCC"/>
      </left>
      <right style="thick">
        <color rgb="FF398CCC"/>
      </right>
      <top/>
      <bottom/>
      <diagonal/>
    </border>
    <border>
      <left style="thin">
        <color theme="0" tint="-0.249977111117893"/>
      </left>
      <right/>
      <top style="thick">
        <color rgb="FF398CCC"/>
      </top>
      <bottom style="thin">
        <color theme="0" tint="-0.249977111117893"/>
      </bottom>
      <diagonal/>
    </border>
    <border>
      <left/>
      <right/>
      <top style="thick">
        <color rgb="FF398CCC"/>
      </top>
      <bottom style="thin">
        <color theme="0" tint="-0.249977111117893"/>
      </bottom>
      <diagonal/>
    </border>
    <border>
      <left/>
      <right style="thin">
        <color theme="0" tint="-0.249977111117893"/>
      </right>
      <top style="thick">
        <color rgb="FF398CCC"/>
      </top>
      <bottom style="thin">
        <color theme="0" tint="-0.249977111117893"/>
      </bottom>
      <diagonal/>
    </border>
    <border>
      <left style="thin">
        <color theme="0" tint="-0.249977111117893"/>
      </left>
      <right/>
      <top style="thin">
        <color theme="0" tint="-0.249977111117893"/>
      </top>
      <bottom style="thick">
        <color rgb="FF398CCC"/>
      </bottom>
      <diagonal/>
    </border>
    <border>
      <left/>
      <right/>
      <top style="thin">
        <color theme="0" tint="-0.249977111117893"/>
      </top>
      <bottom style="thick">
        <color rgb="FF398CCC"/>
      </bottom>
      <diagonal/>
    </border>
    <border>
      <left/>
      <right style="thin">
        <color theme="0" tint="-0.249977111117893"/>
      </right>
      <top style="thin">
        <color theme="0" tint="-0.249977111117893"/>
      </top>
      <bottom style="thick">
        <color rgb="FF398CCC"/>
      </bottom>
      <diagonal/>
    </border>
    <border>
      <left style="thin">
        <color rgb="FF398CCC"/>
      </left>
      <right style="thin">
        <color rgb="FF398CCC"/>
      </right>
      <top style="thin">
        <color rgb="FF398CCC"/>
      </top>
      <bottom/>
      <diagonal/>
    </border>
    <border>
      <left style="thin">
        <color rgb="FF398CCC"/>
      </left>
      <right style="thin">
        <color rgb="FF398CCC"/>
      </right>
      <top/>
      <bottom/>
      <diagonal/>
    </border>
    <border>
      <left style="medium">
        <color theme="9"/>
      </left>
      <right/>
      <top style="thick">
        <color theme="9"/>
      </top>
      <bottom/>
      <diagonal/>
    </border>
    <border>
      <left/>
      <right style="medium">
        <color theme="9"/>
      </right>
      <top style="thick">
        <color theme="9"/>
      </top>
      <bottom/>
      <diagonal/>
    </border>
    <border>
      <left style="medium">
        <color theme="1" tint="0.14999847407452621"/>
      </left>
      <right/>
      <top style="medium">
        <color theme="1" tint="0.14999847407452621"/>
      </top>
      <bottom/>
      <diagonal/>
    </border>
    <border>
      <left/>
      <right/>
      <top style="medium">
        <color theme="1" tint="0.14999847407452621"/>
      </top>
      <bottom/>
      <diagonal/>
    </border>
    <border>
      <left/>
      <right style="medium">
        <color theme="1" tint="0.14999847407452621"/>
      </right>
      <top style="medium">
        <color theme="1" tint="0.14999847407452621"/>
      </top>
      <bottom/>
      <diagonal/>
    </border>
    <border>
      <left style="medium">
        <color theme="1" tint="0.14999847407452621"/>
      </left>
      <right/>
      <top/>
      <bottom/>
      <diagonal/>
    </border>
    <border>
      <left/>
      <right style="medium">
        <color theme="1" tint="0.14999847407452621"/>
      </right>
      <top/>
      <bottom/>
      <diagonal/>
    </border>
    <border>
      <left style="medium">
        <color theme="1" tint="0.14999847407452621"/>
      </left>
      <right/>
      <top/>
      <bottom style="medium">
        <color theme="1" tint="0.14999847407452621"/>
      </bottom>
      <diagonal/>
    </border>
    <border>
      <left/>
      <right/>
      <top/>
      <bottom style="medium">
        <color theme="1" tint="0.14999847407452621"/>
      </bottom>
      <diagonal/>
    </border>
    <border>
      <left/>
      <right style="medium">
        <color rgb="FF545F6B"/>
      </right>
      <top/>
      <bottom style="medium">
        <color theme="1" tint="0.14999847407452621"/>
      </bottom>
      <diagonal/>
    </border>
    <border>
      <left/>
      <right style="medium">
        <color theme="1" tint="0.14999847407452621"/>
      </right>
      <top/>
      <bottom style="medium">
        <color theme="1" tint="0.14999847407452621"/>
      </bottom>
      <diagonal/>
    </border>
    <border>
      <left style="medium">
        <color theme="1" tint="0.249977111117893"/>
      </left>
      <right/>
      <top/>
      <bottom style="medium">
        <color theme="1" tint="0.14999847407452621"/>
      </bottom>
      <diagonal/>
    </border>
    <border>
      <left/>
      <right style="medium">
        <color theme="1" tint="0.249977111117893"/>
      </right>
      <top/>
      <bottom style="medium">
        <color theme="1" tint="0.14999847407452621"/>
      </bottom>
      <diagonal/>
    </border>
    <border>
      <left style="medium">
        <color theme="1" tint="0.249977111117893"/>
      </left>
      <right style="medium">
        <color theme="1" tint="0.34998626667073579"/>
      </right>
      <top/>
      <bottom style="medium">
        <color theme="1" tint="0.34998626667073579"/>
      </bottom>
      <diagonal/>
    </border>
    <border>
      <left style="medium">
        <color theme="1" tint="0.34998626667073579"/>
      </left>
      <right style="medium">
        <color theme="1" tint="0.249977111117893"/>
      </right>
      <top/>
      <bottom style="medium">
        <color theme="1" tint="0.34998626667073579"/>
      </bottom>
      <diagonal/>
    </border>
    <border>
      <left style="medium">
        <color theme="1" tint="0.249977111117893"/>
      </left>
      <right style="medium">
        <color theme="1" tint="0.34998626667073579"/>
      </right>
      <top style="medium">
        <color theme="1" tint="0.34998626667073579"/>
      </top>
      <bottom style="medium">
        <color theme="1" tint="0.34998626667073579"/>
      </bottom>
      <diagonal/>
    </border>
    <border>
      <left style="medium">
        <color theme="1" tint="0.34998626667073579"/>
      </left>
      <right style="medium">
        <color theme="1" tint="0.249977111117893"/>
      </right>
      <top style="medium">
        <color theme="1" tint="0.34998626667073579"/>
      </top>
      <bottom style="medium">
        <color theme="1" tint="0.34998626667073579"/>
      </bottom>
      <diagonal/>
    </border>
    <border>
      <left style="medium">
        <color theme="1" tint="0.249977111117893"/>
      </left>
      <right style="medium">
        <color theme="1" tint="0.34998626667073579"/>
      </right>
      <top style="medium">
        <color theme="1" tint="0.34998626667073579"/>
      </top>
      <bottom style="medium">
        <color theme="1" tint="0.249977111117893"/>
      </bottom>
      <diagonal/>
    </border>
    <border>
      <left style="medium">
        <color theme="1" tint="0.34998626667073579"/>
      </left>
      <right style="medium">
        <color theme="1" tint="0.34998626667073579"/>
      </right>
      <top style="medium">
        <color theme="1" tint="0.34998626667073579"/>
      </top>
      <bottom style="medium">
        <color theme="1" tint="0.249977111117893"/>
      </bottom>
      <diagonal/>
    </border>
    <border>
      <left style="medium">
        <color theme="1" tint="0.34998626667073579"/>
      </left>
      <right style="medium">
        <color theme="1" tint="0.249977111117893"/>
      </right>
      <top style="medium">
        <color theme="1" tint="0.34998626667073579"/>
      </top>
      <bottom style="medium">
        <color theme="1" tint="0.249977111117893"/>
      </bottom>
      <diagonal/>
    </border>
    <border>
      <left style="medium">
        <color theme="6"/>
      </left>
      <right/>
      <top/>
      <bottom style="medium">
        <color theme="1" tint="0.249977111117893"/>
      </bottom>
      <diagonal/>
    </border>
    <border>
      <left/>
      <right style="medium">
        <color theme="6"/>
      </right>
      <top/>
      <bottom style="medium">
        <color theme="1" tint="0.249977111117893"/>
      </bottom>
      <diagonal/>
    </border>
    <border>
      <left style="medium">
        <color theme="9"/>
      </left>
      <right style="medium">
        <color theme="9"/>
      </right>
      <top/>
      <bottom style="medium">
        <color theme="9"/>
      </bottom>
      <diagonal/>
    </border>
    <border>
      <left style="medium">
        <color rgb="FF398CCC"/>
      </left>
      <right style="thin">
        <color theme="0" tint="-0.249977111117893"/>
      </right>
      <top style="medium">
        <color rgb="FF398CCC"/>
      </top>
      <bottom style="thin">
        <color theme="0" tint="-0.249977111117893"/>
      </bottom>
      <diagonal/>
    </border>
    <border>
      <left style="thin">
        <color theme="0" tint="-0.249977111117893"/>
      </left>
      <right style="thin">
        <color theme="0" tint="-0.249977111117893"/>
      </right>
      <top style="medium">
        <color rgb="FF398CCC"/>
      </top>
      <bottom style="thin">
        <color theme="0" tint="-0.249977111117893"/>
      </bottom>
      <diagonal/>
    </border>
    <border>
      <left style="thin">
        <color theme="0" tint="-0.249977111117893"/>
      </left>
      <right style="medium">
        <color rgb="FF398CCC"/>
      </right>
      <top style="medium">
        <color rgb="FF398CCC"/>
      </top>
      <bottom style="thin">
        <color theme="0" tint="-0.249977111117893"/>
      </bottom>
      <diagonal/>
    </border>
    <border>
      <left style="medium">
        <color rgb="FF398CCC"/>
      </left>
      <right style="thin">
        <color theme="0" tint="-0.249977111117893"/>
      </right>
      <top style="thin">
        <color theme="0" tint="-0.249977111117893"/>
      </top>
      <bottom style="double">
        <color theme="1" tint="0.14999847407452621"/>
      </bottom>
      <diagonal/>
    </border>
    <border>
      <left style="medium">
        <color rgb="FF398CCC"/>
      </left>
      <right/>
      <top style="thin">
        <color theme="0" tint="-0.249977111117893"/>
      </top>
      <bottom/>
      <diagonal/>
    </border>
    <border>
      <left/>
      <right style="thin">
        <color theme="0" tint="-0.249977111117893"/>
      </right>
      <top/>
      <bottom style="medium">
        <color rgb="FF398CCC"/>
      </bottom>
      <diagonal/>
    </border>
    <border>
      <left/>
      <right style="thin">
        <color theme="0" tint="-0.249977111117893"/>
      </right>
      <top style="medium">
        <color rgb="FF398CCC"/>
      </top>
      <bottom style="thin">
        <color theme="0" tint="-0.249977111117893"/>
      </bottom>
      <diagonal/>
    </border>
    <border>
      <left/>
      <right/>
      <top style="medium">
        <color rgb="FF398CCC"/>
      </top>
      <bottom style="medium">
        <color rgb="FF398CCC"/>
      </bottom>
      <diagonal/>
    </border>
    <border>
      <left/>
      <right style="medium">
        <color rgb="FF398CCC"/>
      </right>
      <top style="thin">
        <color theme="0" tint="-0.249977111117893"/>
      </top>
      <bottom style="thin">
        <color theme="0" tint="-0.249977111117893"/>
      </bottom>
      <diagonal/>
    </border>
    <border>
      <left style="medium">
        <color rgb="FF398CCC"/>
      </left>
      <right/>
      <top style="thin">
        <color theme="0" tint="-0.249977111117893"/>
      </top>
      <bottom style="thin">
        <color theme="0" tint="-0.249977111117893"/>
      </bottom>
      <diagonal/>
    </border>
    <border>
      <left style="thin">
        <color theme="0" tint="-0.249977111117893"/>
      </left>
      <right/>
      <top style="medium">
        <color rgb="FF398CCC"/>
      </top>
      <bottom style="thin">
        <color theme="0" tint="-0.249977111117893"/>
      </bottom>
      <diagonal/>
    </border>
    <border>
      <left style="medium">
        <color rgb="FF398CCC"/>
      </left>
      <right/>
      <top style="medium">
        <color rgb="FF398CCC"/>
      </top>
      <bottom style="thin">
        <color theme="0" tint="-0.249977111117893"/>
      </bottom>
      <diagonal/>
    </border>
    <border>
      <left/>
      <right/>
      <top style="medium">
        <color rgb="FF398CCC"/>
      </top>
      <bottom style="thin">
        <color theme="0" tint="-0.249977111117893"/>
      </bottom>
      <diagonal/>
    </border>
    <border>
      <left/>
      <right style="medium">
        <color rgb="FF398CCC"/>
      </right>
      <top style="medium">
        <color rgb="FF398CCC"/>
      </top>
      <bottom style="thin">
        <color theme="0" tint="-0.249977111117893"/>
      </bottom>
      <diagonal/>
    </border>
    <border>
      <left style="medium">
        <color rgb="FF398CCC"/>
      </left>
      <right style="thin">
        <color theme="0" tint="-0.249977111117893"/>
      </right>
      <top style="thin">
        <color theme="0" tint="-0.249977111117893"/>
      </top>
      <bottom style="double">
        <color theme="1" tint="0.249977111117893"/>
      </bottom>
      <diagonal/>
    </border>
    <border>
      <left style="thin">
        <color theme="0" tint="-0.249977111117893"/>
      </left>
      <right style="medium">
        <color rgb="FF398CCC"/>
      </right>
      <top style="thin">
        <color theme="0" tint="-0.249977111117893"/>
      </top>
      <bottom style="double">
        <color theme="1" tint="0.249977111117893"/>
      </bottom>
      <diagonal/>
    </border>
    <border>
      <left style="thin">
        <color theme="0" tint="-0.249977111117893"/>
      </left>
      <right style="thick">
        <color rgb="FF398CCC"/>
      </right>
      <top style="thick">
        <color rgb="FF398CCC"/>
      </top>
      <bottom style="thick">
        <color rgb="FF398CCC"/>
      </bottom>
      <diagonal/>
    </border>
    <border>
      <left style="thin">
        <color rgb="FF317EBD"/>
      </left>
      <right style="thin">
        <color rgb="FF317EBD"/>
      </right>
      <top style="thin">
        <color rgb="FF317EBD"/>
      </top>
      <bottom style="thin">
        <color rgb="FF317EBD"/>
      </bottom>
      <diagonal/>
    </border>
    <border>
      <left/>
      <right/>
      <top/>
      <bottom style="thin">
        <color rgb="FF317EBD"/>
      </bottom>
      <diagonal/>
    </border>
    <border>
      <left style="medium">
        <color rgb="FF317EBD"/>
      </left>
      <right/>
      <top/>
      <bottom style="medium">
        <color rgb="FF317EBD"/>
      </bottom>
      <diagonal/>
    </border>
    <border>
      <left/>
      <right/>
      <top/>
      <bottom style="medium">
        <color rgb="FF317EBD"/>
      </bottom>
      <diagonal/>
    </border>
    <border>
      <left/>
      <right style="medium">
        <color rgb="FF317EBD"/>
      </right>
      <top/>
      <bottom style="medium">
        <color rgb="FF317EBD"/>
      </bottom>
      <diagonal/>
    </border>
    <border>
      <left style="medium">
        <color rgb="FF317EBD"/>
      </left>
      <right style="medium">
        <color rgb="FF317EBD"/>
      </right>
      <top style="medium">
        <color rgb="FF317EBD"/>
      </top>
      <bottom/>
      <diagonal/>
    </border>
    <border>
      <left style="medium">
        <color rgb="FF317EBD"/>
      </left>
      <right style="medium">
        <color rgb="FF317EBD"/>
      </right>
      <top/>
      <bottom/>
      <diagonal/>
    </border>
    <border>
      <left style="medium">
        <color rgb="FF317EBD"/>
      </left>
      <right style="medium">
        <color rgb="FF317EBD"/>
      </right>
      <top/>
      <bottom style="medium">
        <color rgb="FF317EBD"/>
      </bottom>
      <diagonal/>
    </border>
    <border>
      <left style="thin">
        <color rgb="FF317EBD"/>
      </left>
      <right/>
      <top style="thin">
        <color rgb="FF317EBD"/>
      </top>
      <bottom/>
      <diagonal/>
    </border>
    <border>
      <left/>
      <right/>
      <top style="thin">
        <color rgb="FF317EBD"/>
      </top>
      <bottom/>
      <diagonal/>
    </border>
    <border>
      <left/>
      <right style="thin">
        <color rgb="FF317EBD"/>
      </right>
      <top style="thin">
        <color rgb="FF317EBD"/>
      </top>
      <bottom/>
      <diagonal/>
    </border>
    <border>
      <left style="thin">
        <color rgb="FF317EBD"/>
      </left>
      <right/>
      <top/>
      <bottom/>
      <diagonal/>
    </border>
    <border>
      <left/>
      <right style="thin">
        <color rgb="FF317EBD"/>
      </right>
      <top/>
      <bottom/>
      <diagonal/>
    </border>
    <border>
      <left style="thin">
        <color rgb="FF317EBD"/>
      </left>
      <right/>
      <top/>
      <bottom style="thin">
        <color rgb="FF317EBD"/>
      </bottom>
      <diagonal/>
    </border>
    <border>
      <left/>
      <right style="thin">
        <color rgb="FF317EBD"/>
      </right>
      <top/>
      <bottom style="thin">
        <color rgb="FF317EBD"/>
      </bottom>
      <diagonal/>
    </border>
    <border>
      <left style="medium">
        <color rgb="FF2F74A8"/>
      </left>
      <right style="thin">
        <color theme="0" tint="-0.249977111117893"/>
      </right>
      <top style="medium">
        <color rgb="FF2F74A8"/>
      </top>
      <bottom style="medium">
        <color rgb="FF317EBD"/>
      </bottom>
      <diagonal/>
    </border>
    <border>
      <left style="thin">
        <color theme="0" tint="-0.249977111117893"/>
      </left>
      <right style="thin">
        <color theme="0" tint="-0.249977111117893"/>
      </right>
      <top style="medium">
        <color rgb="FF2F74A8"/>
      </top>
      <bottom style="medium">
        <color rgb="FF317EBD"/>
      </bottom>
      <diagonal/>
    </border>
    <border>
      <left style="thin">
        <color theme="0" tint="-0.249977111117893"/>
      </left>
      <right style="medium">
        <color rgb="FF2F74A8"/>
      </right>
      <top style="medium">
        <color rgb="FF2F74A8"/>
      </top>
      <bottom style="medium">
        <color rgb="FF317EBD"/>
      </bottom>
      <diagonal/>
    </border>
    <border>
      <left style="medium">
        <color rgb="FF2F74A8"/>
      </left>
      <right style="thin">
        <color theme="0" tint="-0.249977111117893"/>
      </right>
      <top style="thin">
        <color theme="0" tint="-0.249977111117893"/>
      </top>
      <bottom style="thin">
        <color theme="0" tint="-0.249977111117893"/>
      </bottom>
      <diagonal/>
    </border>
    <border>
      <left style="thin">
        <color theme="0" tint="-0.249977111117893"/>
      </left>
      <right style="medium">
        <color rgb="FF2F74A8"/>
      </right>
      <top style="thin">
        <color theme="0" tint="-0.249977111117893"/>
      </top>
      <bottom style="thin">
        <color theme="0" tint="-0.249977111117893"/>
      </bottom>
      <diagonal/>
    </border>
    <border>
      <left style="medium">
        <color rgb="FF2F74A8"/>
      </left>
      <right style="thin">
        <color theme="0" tint="-0.249977111117893"/>
      </right>
      <top style="thin">
        <color theme="0" tint="-0.249977111117893"/>
      </top>
      <bottom style="medium">
        <color rgb="FF2F74A8"/>
      </bottom>
      <diagonal/>
    </border>
    <border>
      <left style="thin">
        <color theme="0" tint="-0.249977111117893"/>
      </left>
      <right style="thin">
        <color theme="0" tint="-0.249977111117893"/>
      </right>
      <top style="thin">
        <color theme="0" tint="-0.249977111117893"/>
      </top>
      <bottom style="medium">
        <color rgb="FF2F74A8"/>
      </bottom>
      <diagonal/>
    </border>
    <border>
      <left style="thin">
        <color theme="0" tint="-0.249977111117893"/>
      </left>
      <right style="medium">
        <color rgb="FF2F74A8"/>
      </right>
      <top style="thin">
        <color theme="0" tint="-0.249977111117893"/>
      </top>
      <bottom style="medium">
        <color rgb="FF2F74A8"/>
      </bottom>
      <diagonal/>
    </border>
    <border>
      <left/>
      <right style="thin">
        <color theme="0" tint="-0.249977111117893"/>
      </right>
      <top style="medium">
        <color rgb="FF2F74A8"/>
      </top>
      <bottom style="thin">
        <color theme="0" tint="-0.249977111117893"/>
      </bottom>
      <diagonal/>
    </border>
    <border>
      <left style="thin">
        <color theme="0" tint="-0.249977111117893"/>
      </left>
      <right style="thin">
        <color theme="0" tint="-0.249977111117893"/>
      </right>
      <top style="medium">
        <color rgb="FF2F74A8"/>
      </top>
      <bottom style="thin">
        <color theme="0" tint="-0.249977111117893"/>
      </bottom>
      <diagonal/>
    </border>
    <border>
      <left style="thin">
        <color theme="0" tint="-0.249977111117893"/>
      </left>
      <right/>
      <top style="medium">
        <color rgb="FF2F74A8"/>
      </top>
      <bottom style="thin">
        <color theme="0" tint="-0.249977111117893"/>
      </bottom>
      <diagonal/>
    </border>
    <border>
      <left style="medium">
        <color rgb="FF2F74A8"/>
      </left>
      <right style="thin">
        <color theme="0" tint="-0.249977111117893"/>
      </right>
      <top style="medium">
        <color rgb="FF2F74A8"/>
      </top>
      <bottom style="thin">
        <color theme="0" tint="-0.249977111117893"/>
      </bottom>
      <diagonal/>
    </border>
    <border>
      <left/>
      <right/>
      <top style="medium">
        <color rgb="FF2F74A8"/>
      </top>
      <bottom style="thin">
        <color theme="0" tint="-0.249977111117893"/>
      </bottom>
      <diagonal/>
    </border>
    <border>
      <left style="thin">
        <color theme="0" tint="-0.249977111117893"/>
      </left>
      <right style="medium">
        <color rgb="FF2F74A8"/>
      </right>
      <top style="medium">
        <color rgb="FF2F74A8"/>
      </top>
      <bottom style="thin">
        <color theme="0" tint="-0.249977111117893"/>
      </bottom>
      <diagonal/>
    </border>
    <border>
      <left style="medium">
        <color rgb="FF2F74A8"/>
      </left>
      <right/>
      <top/>
      <bottom style="thin">
        <color theme="0" tint="-0.249977111117893"/>
      </bottom>
      <diagonal/>
    </border>
    <border>
      <left style="medium">
        <color rgb="FF2F74A8"/>
      </left>
      <right/>
      <top style="thin">
        <color theme="0" tint="-0.249977111117893"/>
      </top>
      <bottom style="thin">
        <color theme="0" tint="-0.249977111117893"/>
      </bottom>
      <diagonal/>
    </border>
    <border>
      <left style="medium">
        <color rgb="FF2F74A8"/>
      </left>
      <right/>
      <top style="thin">
        <color theme="0" tint="-0.249977111117893"/>
      </top>
      <bottom/>
      <diagonal/>
    </border>
    <border>
      <left style="thin">
        <color theme="0" tint="-0.249977111117893"/>
      </left>
      <right style="medium">
        <color rgb="FF2F74A8"/>
      </right>
      <top/>
      <bottom/>
      <diagonal/>
    </border>
    <border>
      <left style="thin">
        <color theme="0" tint="-0.249977111117893"/>
      </left>
      <right/>
      <top/>
      <bottom style="medium">
        <color rgb="FF2F74A8"/>
      </bottom>
      <diagonal/>
    </border>
    <border>
      <left/>
      <right/>
      <top/>
      <bottom style="medium">
        <color rgb="FF2F74A8"/>
      </bottom>
      <diagonal/>
    </border>
    <border>
      <left/>
      <right style="thin">
        <color theme="0" tint="-0.249977111117893"/>
      </right>
      <top/>
      <bottom style="medium">
        <color rgb="FF2F74A8"/>
      </bottom>
      <diagonal/>
    </border>
    <border>
      <left style="thin">
        <color theme="0" tint="-0.249977111117893"/>
      </left>
      <right style="thin">
        <color theme="0" tint="-0.249977111117893"/>
      </right>
      <top/>
      <bottom style="medium">
        <color rgb="FF2F74A8"/>
      </bottom>
      <diagonal/>
    </border>
    <border>
      <left style="thin">
        <color theme="0" tint="-0.249977111117893"/>
      </left>
      <right style="medium">
        <color rgb="FF2F74A8"/>
      </right>
      <top/>
      <bottom style="medium">
        <color rgb="FF2F74A8"/>
      </bottom>
      <diagonal/>
    </border>
    <border>
      <left style="thin">
        <color theme="0" tint="-0.249977111117893"/>
      </left>
      <right/>
      <top style="medium">
        <color rgb="FF2F74A8"/>
      </top>
      <bottom/>
      <diagonal/>
    </border>
    <border>
      <left/>
      <right/>
      <top style="medium">
        <color rgb="FF2F74A8"/>
      </top>
      <bottom/>
      <diagonal/>
    </border>
    <border>
      <left/>
      <right style="thin">
        <color theme="0" tint="-0.249977111117893"/>
      </right>
      <top style="medium">
        <color rgb="FF2F74A8"/>
      </top>
      <bottom/>
      <diagonal/>
    </border>
    <border>
      <left style="medium">
        <color rgb="FF2F74A8"/>
      </left>
      <right/>
      <top style="medium">
        <color rgb="FF2F74A8"/>
      </top>
      <bottom/>
      <diagonal/>
    </border>
    <border>
      <left/>
      <right style="medium">
        <color rgb="FF2F74A8"/>
      </right>
      <top style="medium">
        <color rgb="FF2F74A8"/>
      </top>
      <bottom/>
      <diagonal/>
    </border>
    <border>
      <left style="medium">
        <color rgb="FF2F74A8"/>
      </left>
      <right/>
      <top/>
      <bottom/>
      <diagonal/>
    </border>
    <border>
      <left style="thick">
        <color rgb="FF398CCC"/>
      </left>
      <right/>
      <top style="thick">
        <color rgb="FF398CCC"/>
      </top>
      <bottom style="thick">
        <color rgb="FF398CCC"/>
      </bottom>
      <diagonal/>
    </border>
    <border>
      <left/>
      <right style="thick">
        <color rgb="FF398CCC"/>
      </right>
      <top style="thick">
        <color rgb="FF398CCC"/>
      </top>
      <bottom style="thick">
        <color rgb="FF398CCC"/>
      </bottom>
      <diagonal/>
    </border>
    <border>
      <left style="medium">
        <color rgb="FF398CCC"/>
      </left>
      <right style="thin">
        <color theme="0" tint="-0.249977111117893"/>
      </right>
      <top style="medium">
        <color rgb="FF398CCC"/>
      </top>
      <bottom style="medium">
        <color rgb="FF398CCC"/>
      </bottom>
      <diagonal/>
    </border>
    <border>
      <left style="thin">
        <color theme="0" tint="-0.249977111117893"/>
      </left>
      <right style="thin">
        <color theme="0" tint="-0.249977111117893"/>
      </right>
      <top style="medium">
        <color rgb="FF398CCC"/>
      </top>
      <bottom style="medium">
        <color rgb="FF398CCC"/>
      </bottom>
      <diagonal/>
    </border>
    <border>
      <left style="thin">
        <color theme="0" tint="-0.249977111117893"/>
      </left>
      <right style="medium">
        <color rgb="FF398CCC"/>
      </right>
      <top style="medium">
        <color rgb="FF398CCC"/>
      </top>
      <bottom style="medium">
        <color rgb="FF398CCC"/>
      </bottom>
      <diagonal/>
    </border>
    <border>
      <left/>
      <right/>
      <top style="thin">
        <color theme="0" tint="-0.249977111117893"/>
      </top>
      <bottom style="medium">
        <color rgb="FF398CCC"/>
      </bottom>
      <diagonal/>
    </border>
    <border>
      <left style="thin">
        <color theme="0" tint="-0.249977111117893"/>
      </left>
      <right style="thin">
        <color theme="0" tint="-0.34998626667073579"/>
      </right>
      <top style="thin">
        <color theme="0" tint="-0.34998626667073579"/>
      </top>
      <bottom/>
      <diagonal/>
    </border>
    <border>
      <left style="thin">
        <color theme="0" tint="-0.34998626667073579"/>
      </left>
      <right style="thin">
        <color theme="0" tint="-0.249977111117893"/>
      </right>
      <top style="thin">
        <color theme="0" tint="-0.34998626667073579"/>
      </top>
      <bottom/>
      <diagonal/>
    </border>
    <border>
      <left style="thin">
        <color theme="0" tint="-0.249977111117893"/>
      </left>
      <right style="thin">
        <color theme="0" tint="-0.34998626667073579"/>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249977111117893"/>
      </top>
      <bottom style="thin">
        <color theme="0" tint="-0.249977111117893"/>
      </bottom>
      <diagonal/>
    </border>
    <border>
      <left/>
      <right style="medium">
        <color rgb="FF398CCC"/>
      </right>
      <top style="thin">
        <color theme="0" tint="-0.249977111117893"/>
      </top>
      <bottom style="medium">
        <color rgb="FF398CCC"/>
      </bottom>
      <diagonal/>
    </border>
    <border>
      <left/>
      <right style="thin">
        <color theme="0" tint="-0.249977111117893"/>
      </right>
      <top/>
      <bottom style="thin">
        <color theme="0" tint="-0.34998626667073579"/>
      </bottom>
      <diagonal/>
    </border>
    <border>
      <left/>
      <right style="thin">
        <color theme="0" tint="-0.249977111117893"/>
      </right>
      <top style="thin">
        <color theme="0" tint="-0.34998626667073579"/>
      </top>
      <bottom/>
      <diagonal/>
    </border>
    <border>
      <left/>
      <right style="thin">
        <color theme="0" tint="-0.249977111117893"/>
      </right>
      <top/>
      <bottom style="double">
        <color theme="0" tint="-0.34998626667073579"/>
      </bottom>
      <diagonal/>
    </border>
    <border>
      <left/>
      <right style="thin">
        <color theme="0" tint="-0.249977111117893"/>
      </right>
      <top style="double">
        <color theme="0" tint="-0.34998626667073579"/>
      </top>
      <bottom/>
      <diagonal/>
    </border>
    <border>
      <left style="thin">
        <color theme="0" tint="-0.34998626667073579"/>
      </left>
      <right/>
      <top style="thin">
        <color theme="0" tint="-0.34998626667073579"/>
      </top>
      <bottom style="thin">
        <color rgb="FF398CCC"/>
      </bottom>
      <diagonal/>
    </border>
    <border>
      <left/>
      <right/>
      <top style="thin">
        <color theme="0" tint="-0.34998626667073579"/>
      </top>
      <bottom style="thin">
        <color rgb="FF398CCC"/>
      </bottom>
      <diagonal/>
    </border>
    <border>
      <left style="thin">
        <color rgb="FF398CCC"/>
      </left>
      <right/>
      <top style="thin">
        <color theme="0" tint="-0.34998626667073579"/>
      </top>
      <bottom style="thin">
        <color rgb="FF398CCC"/>
      </bottom>
      <diagonal/>
    </border>
    <border>
      <left/>
      <right style="thin">
        <color rgb="FF398CCC"/>
      </right>
      <top style="thin">
        <color theme="0" tint="-0.34998626667073579"/>
      </top>
      <bottom style="thin">
        <color rgb="FF398CCC"/>
      </bottom>
      <diagonal/>
    </border>
    <border>
      <left style="thin">
        <color rgb="FF398CCC"/>
      </left>
      <right style="thin">
        <color rgb="FF398CCC"/>
      </right>
      <top style="thin">
        <color theme="0" tint="-0.34998626667073579"/>
      </top>
      <bottom style="thin">
        <color rgb="FF398CCC"/>
      </bottom>
      <diagonal/>
    </border>
    <border>
      <left style="thin">
        <color rgb="FF398CCC"/>
      </left>
      <right style="thin">
        <color theme="0" tint="-0.34998626667073579"/>
      </right>
      <top style="thin">
        <color theme="0" tint="-0.34998626667073579"/>
      </top>
      <bottom style="thin">
        <color rgb="FF398CCC"/>
      </bottom>
      <diagonal/>
    </border>
    <border>
      <left style="thin">
        <color theme="0" tint="-0.34998626667073579"/>
      </left>
      <right/>
      <top style="thin">
        <color theme="0" tint="-0.249977111117893"/>
      </top>
      <bottom style="thin">
        <color theme="0" tint="-0.249977111117893"/>
      </bottom>
      <diagonal/>
    </border>
    <border>
      <left/>
      <right style="thin">
        <color theme="0" tint="-0.34998626667073579"/>
      </right>
      <top style="thin">
        <color theme="0" tint="-0.249977111117893"/>
      </top>
      <bottom style="thin">
        <color theme="0" tint="-0.249977111117893"/>
      </bottom>
      <diagonal/>
    </border>
    <border>
      <left style="thin">
        <color theme="0" tint="-0.34998626667073579"/>
      </left>
      <right style="thin">
        <color theme="0" tint="-0.249977111117893"/>
      </right>
      <top/>
      <bottom style="thin">
        <color theme="0" tint="-0.249977111117893"/>
      </bottom>
      <diagonal/>
    </border>
    <border>
      <left style="thin">
        <color theme="0" tint="-0.34998626667073579"/>
      </left>
      <right/>
      <top/>
      <bottom style="thin">
        <color theme="0" tint="-0.249977111117893"/>
      </bottom>
      <diagonal/>
    </border>
    <border>
      <left style="thin">
        <color theme="0" tint="-0.249977111117893"/>
      </left>
      <right style="thin">
        <color theme="0" tint="-0.249977111117893"/>
      </right>
      <top style="thin">
        <color theme="0" tint="-0.34998626667073579"/>
      </top>
      <bottom/>
      <diagonal/>
    </border>
    <border>
      <left/>
      <right/>
      <top style="thin">
        <color theme="0" tint="-0.249977111117893"/>
      </top>
      <bottom style="double">
        <color theme="1" tint="0.249977111117893"/>
      </bottom>
      <diagonal/>
    </border>
    <border>
      <left style="thin">
        <color theme="0" tint="-0.249977111117893"/>
      </left>
      <right/>
      <top style="double">
        <color theme="1" tint="0.249977111117893"/>
      </top>
      <bottom style="thin">
        <color theme="0" tint="-0.249977111117893"/>
      </bottom>
      <diagonal/>
    </border>
    <border>
      <left/>
      <right/>
      <top style="double">
        <color theme="1" tint="0.249977111117893"/>
      </top>
      <bottom style="thin">
        <color theme="0" tint="-0.249977111117893"/>
      </bottom>
      <diagonal/>
    </border>
    <border>
      <left/>
      <right style="thin">
        <color theme="0" tint="-0.249977111117893"/>
      </right>
      <top style="double">
        <color theme="1" tint="0.249977111117893"/>
      </top>
      <bottom style="thin">
        <color theme="0" tint="-0.249977111117893"/>
      </bottom>
      <diagonal/>
    </border>
    <border>
      <left style="thin">
        <color theme="0" tint="-0.249977111117893"/>
      </left>
      <right style="thin">
        <color theme="0" tint="-0.249977111117893"/>
      </right>
      <top style="double">
        <color theme="1" tint="0.249977111117893"/>
      </top>
      <bottom style="thin">
        <color theme="0" tint="-0.249977111117893"/>
      </bottom>
      <diagonal/>
    </border>
    <border>
      <left/>
      <right/>
      <top style="thin">
        <color theme="0" tint="-0.14999847407452621"/>
      </top>
      <bottom style="double">
        <color indexed="64"/>
      </bottom>
      <diagonal/>
    </border>
    <border>
      <left style="thick">
        <color theme="5"/>
      </left>
      <right/>
      <top/>
      <bottom style="double">
        <color auto="1"/>
      </bottom>
      <diagonal/>
    </border>
    <border>
      <left style="medium">
        <color theme="9"/>
      </left>
      <right style="medium">
        <color theme="9"/>
      </right>
      <top style="medium">
        <color theme="9"/>
      </top>
      <bottom/>
      <diagonal/>
    </border>
    <border>
      <left style="thick">
        <color theme="5"/>
      </left>
      <right/>
      <top style="double">
        <color auto="1"/>
      </top>
      <bottom/>
      <diagonal/>
    </border>
    <border>
      <left style="thin">
        <color theme="0" tint="-0.249977111117893"/>
      </left>
      <right/>
      <top style="thin">
        <color theme="0" tint="-0.249977111117893"/>
      </top>
      <bottom style="double">
        <color auto="1"/>
      </bottom>
      <diagonal/>
    </border>
    <border>
      <left/>
      <right/>
      <top style="thin">
        <color theme="0" tint="-0.249977111117893"/>
      </top>
      <bottom style="double">
        <color auto="1"/>
      </bottom>
      <diagonal/>
    </border>
    <border>
      <left/>
      <right style="thin">
        <color theme="0" tint="-0.249977111117893"/>
      </right>
      <top style="thin">
        <color theme="0" tint="-0.249977111117893"/>
      </top>
      <bottom style="double">
        <color auto="1"/>
      </bottom>
      <diagonal/>
    </border>
    <border>
      <left/>
      <right/>
      <top style="thin">
        <color theme="0" tint="-0.24994659260841701"/>
      </top>
      <bottom style="thin">
        <color theme="0" tint="-0.24994659260841701"/>
      </bottom>
      <diagonal/>
    </border>
    <border>
      <left/>
      <right/>
      <top style="thin">
        <color theme="0" tint="-0.24994659260841701"/>
      </top>
      <bottom style="double">
        <color auto="1"/>
      </bottom>
      <diagonal/>
    </border>
    <border>
      <left style="thin">
        <color theme="0" tint="-0.249977111117893"/>
      </left>
      <right style="thin">
        <color theme="0" tint="-0.249977111117893"/>
      </right>
      <top style="thin">
        <color theme="0" tint="-0.249977111117893"/>
      </top>
      <bottom style="double">
        <color indexed="64"/>
      </bottom>
      <diagonal/>
    </border>
    <border>
      <left style="thin">
        <color rgb="FF398CCC"/>
      </left>
      <right style="thin">
        <color theme="0" tint="-0.249977111117893"/>
      </right>
      <top style="thin">
        <color rgb="FF398CCC"/>
      </top>
      <bottom style="thin">
        <color rgb="FF398CCC"/>
      </bottom>
      <diagonal/>
    </border>
    <border>
      <left style="thin">
        <color theme="0" tint="-0.249977111117893"/>
      </left>
      <right style="thin">
        <color theme="0" tint="-0.249977111117893"/>
      </right>
      <top style="thin">
        <color rgb="FF398CCC"/>
      </top>
      <bottom style="thin">
        <color rgb="FF398CCC"/>
      </bottom>
      <diagonal/>
    </border>
    <border>
      <left style="thin">
        <color theme="0" tint="-0.249977111117893"/>
      </left>
      <right style="thin">
        <color rgb="FF398CCC"/>
      </right>
      <top style="thin">
        <color rgb="FF398CCC"/>
      </top>
      <bottom style="thin">
        <color rgb="FF398CCC"/>
      </bottom>
      <diagonal/>
    </border>
    <border>
      <left style="thin">
        <color theme="0" tint="-0.249977111117893"/>
      </left>
      <right style="medium">
        <color rgb="FF398CCC"/>
      </right>
      <top style="thin">
        <color theme="0" tint="-0.249977111117893"/>
      </top>
      <bottom/>
      <diagonal/>
    </border>
    <border>
      <left style="medium">
        <color rgb="FF398CCC"/>
      </left>
      <right style="thin">
        <color theme="0" tint="-0.249977111117893"/>
      </right>
      <top style="thin">
        <color theme="0" tint="-0.249977111117893"/>
      </top>
      <bottom/>
      <diagonal/>
    </border>
    <border>
      <left/>
      <right/>
      <top/>
      <bottom style="double">
        <color rgb="FF3F3F3F"/>
      </bottom>
      <diagonal/>
    </border>
    <border>
      <left/>
      <right/>
      <top/>
      <bottom style="double">
        <color rgb="FF434343"/>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style="thick">
        <color theme="5"/>
      </top>
      <bottom/>
      <diagonal/>
    </border>
    <border>
      <left/>
      <right style="thick">
        <color rgb="FFC00000"/>
      </right>
      <top style="thick">
        <color theme="5"/>
      </top>
      <bottom/>
      <diagonal/>
    </border>
    <border>
      <left style="thick">
        <color rgb="FFC00000"/>
      </left>
      <right/>
      <top/>
      <bottom style="double">
        <color auto="1"/>
      </bottom>
      <diagonal/>
    </border>
    <border>
      <left/>
      <right style="thick">
        <color rgb="FFC00000"/>
      </right>
      <top/>
      <bottom style="double">
        <color auto="1"/>
      </bottom>
      <diagonal/>
    </border>
    <border>
      <left style="thick">
        <color rgb="FFC00000"/>
      </left>
      <right/>
      <top style="double">
        <color auto="1"/>
      </top>
      <bottom/>
      <diagonal/>
    </border>
    <border>
      <left/>
      <right style="thick">
        <color rgb="FFC00000"/>
      </right>
      <top style="double">
        <color indexed="64"/>
      </top>
      <bottom/>
      <diagonal/>
    </border>
    <border>
      <left style="thick">
        <color rgb="FFC00000"/>
      </left>
      <right/>
      <top/>
      <bottom style="thick">
        <color theme="5"/>
      </bottom>
      <diagonal/>
    </border>
    <border>
      <left/>
      <right style="thick">
        <color rgb="FFC00000"/>
      </right>
      <top/>
      <bottom style="thick">
        <color theme="5"/>
      </bottom>
      <diagonal/>
    </border>
    <border>
      <left/>
      <right style="thick">
        <color rgb="FFC00000"/>
      </right>
      <top style="thin">
        <color theme="0" tint="-0.24994659260841701"/>
      </top>
      <bottom style="thin">
        <color theme="0" tint="-0.24994659260841701"/>
      </bottom>
      <diagonal/>
    </border>
    <border>
      <left/>
      <right style="thick">
        <color rgb="FFC00000"/>
      </right>
      <top style="thin">
        <color theme="0" tint="-0.24994659260841701"/>
      </top>
      <bottom style="double">
        <color auto="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double">
        <color auto="1"/>
      </bottom>
      <diagonal/>
    </border>
    <border>
      <left style="thin">
        <color theme="0" tint="-0.24994659260841701"/>
      </left>
      <right/>
      <top style="double">
        <color auto="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ck">
        <color rgb="FFC00000"/>
      </right>
      <top/>
      <bottom style="thin">
        <color theme="0" tint="-0.24994659260841701"/>
      </bottom>
      <diagonal/>
    </border>
    <border>
      <left style="thin">
        <color theme="0" tint="-0.249977111117893"/>
      </left>
      <right/>
      <top style="thin">
        <color theme="0" tint="-0.249977111117893"/>
      </top>
      <bottom style="double">
        <color theme="1" tint="0.14999847407452621"/>
      </bottom>
      <diagonal/>
    </border>
    <border>
      <left/>
      <right/>
      <top style="thin">
        <color theme="0" tint="-0.249977111117893"/>
      </top>
      <bottom style="double">
        <color theme="1" tint="0.14999847407452621"/>
      </bottom>
      <diagonal/>
    </border>
    <border>
      <left/>
      <right/>
      <top style="thin">
        <color theme="0" tint="-0.14996795556505021"/>
      </top>
      <bottom style="thin">
        <color theme="0" tint="-0.14996795556505021"/>
      </bottom>
      <diagonal/>
    </border>
    <border>
      <left/>
      <right style="thin">
        <color theme="0" tint="-0.249977111117893"/>
      </right>
      <top style="thin">
        <color theme="0" tint="-0.14996795556505021"/>
      </top>
      <bottom style="thin">
        <color theme="0" tint="-0.14996795556505021"/>
      </bottom>
      <diagonal/>
    </border>
    <border>
      <left style="thin">
        <color theme="0" tint="-0.249977111117893"/>
      </left>
      <right style="thin">
        <color theme="0" tint="-0.249977111117893"/>
      </right>
      <top style="thin">
        <color theme="0" tint="-0.14996795556505021"/>
      </top>
      <bottom style="thin">
        <color theme="0" tint="-0.14996795556505021"/>
      </bottom>
      <diagonal/>
    </border>
    <border>
      <left style="thin">
        <color theme="0" tint="-0.249977111117893"/>
      </left>
      <right/>
      <top style="thin">
        <color theme="0" tint="-0.14996795556505021"/>
      </top>
      <bottom style="thin">
        <color theme="0" tint="-0.14996795556505021"/>
      </bottom>
      <diagonal/>
    </border>
    <border>
      <left/>
      <right/>
      <top style="thin">
        <color theme="0" tint="-0.14999847407452621"/>
      </top>
      <bottom style="thin">
        <color theme="0" tint="-0.14996795556505021"/>
      </bottom>
      <diagonal/>
    </border>
    <border>
      <left/>
      <right/>
      <top style="thin">
        <color theme="0" tint="-0.14996795556505021"/>
      </top>
      <bottom/>
      <diagonal/>
    </border>
    <border>
      <left/>
      <right/>
      <top style="double">
        <color auto="1"/>
      </top>
      <bottom style="thin">
        <color theme="0" tint="-0.249977111117893"/>
      </bottom>
      <diagonal/>
    </border>
    <border>
      <left style="thin">
        <color theme="0" tint="-0.249977111117893"/>
      </left>
      <right/>
      <top style="double">
        <color auto="1"/>
      </top>
      <bottom style="thin">
        <color theme="0" tint="-0.249977111117893"/>
      </bottom>
      <diagonal/>
    </border>
    <border>
      <left/>
      <right style="thin">
        <color theme="0" tint="-0.249977111117893"/>
      </right>
      <top style="double">
        <color auto="1"/>
      </top>
      <bottom style="thin">
        <color theme="0" tint="-0.249977111117893"/>
      </bottom>
      <diagonal/>
    </border>
    <border>
      <left style="thin">
        <color rgb="FF317EBD"/>
      </left>
      <right/>
      <top style="thin">
        <color rgb="FF317EBD"/>
      </top>
      <bottom style="thin">
        <color rgb="FF317EBD"/>
      </bottom>
      <diagonal/>
    </border>
    <border>
      <left/>
      <right/>
      <top style="thin">
        <color rgb="FF317EBD"/>
      </top>
      <bottom style="thin">
        <color rgb="FF317EBD"/>
      </bottom>
      <diagonal/>
    </border>
    <border>
      <left/>
      <right style="thin">
        <color rgb="FF317EBD"/>
      </right>
      <top style="thin">
        <color rgb="FF317EBD"/>
      </top>
      <bottom style="thin">
        <color rgb="FF317EBD"/>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D9D9D9"/>
      </left>
      <right/>
      <top/>
      <bottom style="thin">
        <color rgb="FFBFBFBF"/>
      </bottom>
      <diagonal/>
    </border>
    <border>
      <left/>
      <right/>
      <top/>
      <bottom style="thin">
        <color rgb="FFBFBFBF"/>
      </bottom>
      <diagonal/>
    </border>
    <border>
      <left style="thin">
        <color rgb="FFBFBFBF"/>
      </left>
      <right/>
      <top/>
      <bottom style="thin">
        <color rgb="FFBFBFBF"/>
      </bottom>
      <diagonal/>
    </border>
    <border>
      <left/>
      <right style="thin">
        <color rgb="FFD9D9D9"/>
      </right>
      <top/>
      <bottom style="thin">
        <color rgb="FFBFBFBF"/>
      </bottom>
      <diagonal/>
    </border>
    <border>
      <left style="thin">
        <color rgb="FFD9D9D9"/>
      </left>
      <right/>
      <top style="thin">
        <color rgb="FFBFBFBF"/>
      </top>
      <bottom style="double">
        <color rgb="FF434343"/>
      </bottom>
      <diagonal/>
    </border>
    <border>
      <left/>
      <right/>
      <top style="thin">
        <color rgb="FFBFBFBF"/>
      </top>
      <bottom style="double">
        <color rgb="FF434343"/>
      </bottom>
      <diagonal/>
    </border>
    <border>
      <left style="thin">
        <color rgb="FFD9D9D9"/>
      </left>
      <right/>
      <top/>
      <bottom style="double">
        <color rgb="FF434343"/>
      </bottom>
      <diagonal/>
    </border>
    <border>
      <left/>
      <right style="thin">
        <color rgb="FFBFBFBF"/>
      </right>
      <top/>
      <bottom style="double">
        <color rgb="FF434343"/>
      </bottom>
      <diagonal/>
    </border>
    <border>
      <left/>
      <right style="thin">
        <color rgb="FFD9D9D9"/>
      </right>
      <top style="thin">
        <color rgb="FFBFBFBF"/>
      </top>
      <bottom style="double">
        <color rgb="FF434343"/>
      </bottom>
      <diagonal/>
    </border>
    <border>
      <left style="thin">
        <color rgb="FFD9D9D9"/>
      </left>
      <right/>
      <top/>
      <bottom style="thin">
        <color rgb="FFD9D9D9"/>
      </bottom>
      <diagonal/>
    </border>
    <border>
      <left/>
      <right/>
      <top/>
      <bottom style="thin">
        <color rgb="FFD9D9D9"/>
      </bottom>
      <diagonal/>
    </border>
    <border>
      <left style="thin">
        <color rgb="FFBFBFBF"/>
      </left>
      <right/>
      <top/>
      <bottom style="thin">
        <color rgb="FFD9D9D9"/>
      </bottom>
      <diagonal/>
    </border>
    <border>
      <left/>
      <right style="thin">
        <color rgb="FFD9D9D9"/>
      </right>
      <top/>
      <bottom style="thin">
        <color rgb="FFD9D9D9"/>
      </bottom>
      <diagonal/>
    </border>
    <border>
      <left style="thin">
        <color rgb="FFD9D9D9"/>
      </left>
      <right/>
      <top/>
      <bottom/>
      <diagonal/>
    </border>
    <border>
      <left style="thin">
        <color rgb="FFBFBFBF"/>
      </left>
      <right/>
      <top/>
      <bottom/>
      <diagonal/>
    </border>
    <border>
      <left/>
      <right style="thin">
        <color rgb="FFBFBFBF"/>
      </right>
      <top/>
      <bottom style="thin">
        <color rgb="FFBFBFBF"/>
      </bottom>
      <diagonal/>
    </border>
    <border>
      <left style="thin">
        <color rgb="FFBFBFBF"/>
      </left>
      <right/>
      <top/>
      <bottom style="double">
        <color rgb="FF3F3F3F"/>
      </bottom>
      <diagonal/>
    </border>
    <border>
      <left/>
      <right style="thin">
        <color rgb="FFBFBFBF"/>
      </right>
      <top/>
      <bottom style="double">
        <color rgb="FF3F3F3F"/>
      </bottom>
      <diagonal/>
    </border>
    <border>
      <left style="thin">
        <color rgb="FFBFBFBF"/>
      </left>
      <right/>
      <top style="double">
        <color rgb="FF3F3F3F"/>
      </top>
      <bottom style="thin">
        <color rgb="FFBFBFBF"/>
      </bottom>
      <diagonal/>
    </border>
    <border>
      <left/>
      <right/>
      <top style="double">
        <color rgb="FF3F3F3F"/>
      </top>
      <bottom style="thin">
        <color rgb="FFBFBFBF"/>
      </bottom>
      <diagonal/>
    </border>
    <border>
      <left/>
      <right style="thin">
        <color theme="0" tint="-0.249977111117893"/>
      </right>
      <top style="double">
        <color rgb="FF3F3F3F"/>
      </top>
      <bottom style="thin">
        <color rgb="FFBFBFBF"/>
      </bottom>
      <diagonal/>
    </border>
    <border>
      <left/>
      <right style="thin">
        <color rgb="FFBFBFBF"/>
      </right>
      <top style="double">
        <color rgb="FF3F3F3F"/>
      </top>
      <bottom style="thin">
        <color rgb="FFBFBFBF"/>
      </bottom>
      <diagonal/>
    </border>
    <border>
      <left style="thin">
        <color rgb="FFBFBFBF"/>
      </left>
      <right/>
      <top style="thin">
        <color rgb="FFBFBFBF"/>
      </top>
      <bottom style="double">
        <color rgb="FF434343"/>
      </bottom>
      <diagonal/>
    </border>
    <border>
      <left/>
      <right style="thin">
        <color rgb="FFBFBFBF"/>
      </right>
      <top style="thin">
        <color rgb="FFBFBFBF"/>
      </top>
      <bottom style="double">
        <color rgb="FF434343"/>
      </bottom>
      <diagonal/>
    </border>
    <border>
      <left/>
      <right style="thin">
        <color rgb="FFBFBFBF"/>
      </right>
      <top/>
      <bottom/>
      <diagonal/>
    </border>
    <border>
      <left/>
      <right/>
      <top/>
      <bottom style="mediumDashed">
        <color rgb="FF398CCC"/>
      </bottom>
      <diagonal/>
    </border>
    <border>
      <left style="thin">
        <color rgb="FFBFBFBF"/>
      </left>
      <right/>
      <top style="thin">
        <color rgb="FFBFBFBF"/>
      </top>
      <bottom style="double">
        <color rgb="FF3F3F3F"/>
      </bottom>
      <diagonal/>
    </border>
    <border>
      <left/>
      <right/>
      <top style="thin">
        <color rgb="FFBFBFBF"/>
      </top>
      <bottom style="double">
        <color rgb="FF3F3F3F"/>
      </bottom>
      <diagonal/>
    </border>
    <border>
      <left/>
      <right style="thin">
        <color rgb="FFBFBFBF"/>
      </right>
      <top style="thin">
        <color rgb="FFBFBFBF"/>
      </top>
      <bottom style="double">
        <color rgb="FF3F3F3F"/>
      </bottom>
      <diagonal/>
    </border>
    <border>
      <left style="thin">
        <color rgb="FF4F81BD"/>
      </left>
      <right style="thin">
        <color rgb="FF4F81BD"/>
      </right>
      <top style="thin">
        <color rgb="FF4F81BD"/>
      </top>
      <bottom style="thin">
        <color rgb="FF4F81BD"/>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4F81BD"/>
      </left>
      <right/>
      <top style="thin">
        <color rgb="FF4F81BD"/>
      </top>
      <bottom style="thin">
        <color rgb="FF4F81BD"/>
      </bottom>
      <diagonal/>
    </border>
    <border>
      <left/>
      <right/>
      <top style="thin">
        <color rgb="FF4F81BD"/>
      </top>
      <bottom style="thin">
        <color rgb="FF4F81BD"/>
      </bottom>
      <diagonal/>
    </border>
    <border>
      <left/>
      <right style="thin">
        <color rgb="FF4F81BD"/>
      </right>
      <top style="thin">
        <color rgb="FF4F81BD"/>
      </top>
      <bottom style="thin">
        <color rgb="FF4F81BD"/>
      </bottom>
      <diagonal/>
    </border>
    <border>
      <left style="thin">
        <color rgb="FF398CCC"/>
      </left>
      <right style="thin">
        <color rgb="FFBFBFBF"/>
      </right>
      <top style="thin">
        <color rgb="FF398CCC"/>
      </top>
      <bottom style="thin">
        <color rgb="FF398CCC"/>
      </bottom>
      <diagonal/>
    </border>
    <border>
      <left style="thin">
        <color rgb="FFBFBFBF"/>
      </left>
      <right style="thin">
        <color rgb="FFBFBFBF"/>
      </right>
      <top style="thin">
        <color rgb="FF398CCC"/>
      </top>
      <bottom style="thin">
        <color rgb="FF398CCC"/>
      </bottom>
      <diagonal/>
    </border>
    <border>
      <left style="thin">
        <color rgb="FFBFBFBF"/>
      </left>
      <right style="thin">
        <color rgb="FF398CCC"/>
      </right>
      <top style="thin">
        <color rgb="FF398CCC"/>
      </top>
      <bottom style="thin">
        <color rgb="FF398CCC"/>
      </bottom>
      <diagonal/>
    </border>
    <border>
      <left style="thin">
        <color rgb="FF4F81BD"/>
      </left>
      <right/>
      <top style="thin">
        <color rgb="FF4F81BD"/>
      </top>
      <bottom/>
      <diagonal/>
    </border>
    <border>
      <left/>
      <right/>
      <top style="thin">
        <color rgb="FF4F81BD"/>
      </top>
      <bottom/>
      <diagonal/>
    </border>
    <border>
      <left/>
      <right style="thin">
        <color rgb="FF4F81BD"/>
      </right>
      <top style="thin">
        <color rgb="FF4F81BD"/>
      </top>
      <bottom/>
      <diagonal/>
    </border>
    <border>
      <left style="thin">
        <color rgb="FF4F81BD"/>
      </left>
      <right/>
      <top/>
      <bottom style="thin">
        <color rgb="FFBFBFBF"/>
      </bottom>
      <diagonal/>
    </border>
    <border>
      <left/>
      <right style="thin">
        <color rgb="FF4F81BD"/>
      </right>
      <top/>
      <bottom style="thin">
        <color rgb="FFBFBFBF"/>
      </bottom>
      <diagonal/>
    </border>
    <border>
      <left style="thin">
        <color rgb="FF4F81BD"/>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4F81BD"/>
      </right>
      <top/>
      <bottom style="thin">
        <color rgb="FFBFBFBF"/>
      </bottom>
      <diagonal/>
    </border>
    <border>
      <left style="thin">
        <color rgb="FFBFBFBF"/>
      </left>
      <right style="thin">
        <color rgb="FF4F81BD"/>
      </right>
      <top style="thin">
        <color rgb="FFBFBFBF"/>
      </top>
      <bottom style="thin">
        <color rgb="FFBFBFBF"/>
      </bottom>
      <diagonal/>
    </border>
    <border>
      <left style="thin">
        <color rgb="FF4F81BD"/>
      </left>
      <right/>
      <top style="thin">
        <color rgb="FFBFBFBF"/>
      </top>
      <bottom style="thin">
        <color rgb="FFBFBFBF"/>
      </bottom>
      <diagonal/>
    </border>
    <border>
      <left/>
      <right style="thin">
        <color rgb="FF4F81BD"/>
      </right>
      <top style="thin">
        <color rgb="FFBFBFBF"/>
      </top>
      <bottom style="thin">
        <color rgb="FFBFBFBF"/>
      </bottom>
      <diagonal/>
    </border>
    <border>
      <left style="thin">
        <color rgb="FF4F81BD"/>
      </left>
      <right style="thin">
        <color rgb="FFBFBFBF"/>
      </right>
      <top style="thin">
        <color rgb="FFBFBFBF"/>
      </top>
      <bottom style="thin">
        <color rgb="FFBFBFBF"/>
      </bottom>
      <diagonal/>
    </border>
    <border>
      <left style="thin">
        <color rgb="FF4F81BD"/>
      </left>
      <right/>
      <top style="thin">
        <color rgb="FFBFBFBF"/>
      </top>
      <bottom/>
      <diagonal/>
    </border>
    <border>
      <left/>
      <right/>
      <top style="thin">
        <color rgb="FFBFBFBF"/>
      </top>
      <bottom/>
      <diagonal/>
    </border>
    <border>
      <left/>
      <right style="thin">
        <color rgb="FFBFBFBF"/>
      </right>
      <top style="thin">
        <color rgb="FFBFBFBF"/>
      </top>
      <bottom/>
      <diagonal/>
    </border>
    <border>
      <left style="thin">
        <color rgb="FFBFBFBF"/>
      </left>
      <right/>
      <top style="thin">
        <color rgb="FFBFBFBF"/>
      </top>
      <bottom/>
      <diagonal/>
    </border>
    <border>
      <left/>
      <right style="thin">
        <color rgb="FF4F81BD"/>
      </right>
      <top style="thin">
        <color rgb="FFBFBFBF"/>
      </top>
      <bottom/>
      <diagonal/>
    </border>
    <border>
      <left style="thin">
        <color rgb="FF4F81BD"/>
      </left>
      <right style="thin">
        <color rgb="FFBFBFBF"/>
      </right>
      <top style="thin">
        <color rgb="FFBFBFBF"/>
      </top>
      <bottom/>
      <diagonal/>
    </border>
    <border>
      <left style="thin">
        <color rgb="FFBFBFBF"/>
      </left>
      <right style="thin">
        <color rgb="FF4F81BD"/>
      </right>
      <top style="thin">
        <color rgb="FFBFBFBF"/>
      </top>
      <bottom/>
      <diagonal/>
    </border>
    <border>
      <left style="thin">
        <color rgb="FF4F81BD"/>
      </left>
      <right/>
      <top style="medium">
        <color rgb="FF398CCC"/>
      </top>
      <bottom style="thin">
        <color rgb="FFBFBFBF"/>
      </bottom>
      <diagonal/>
    </border>
    <border>
      <left/>
      <right/>
      <top style="medium">
        <color rgb="FF398CCC"/>
      </top>
      <bottom style="thin">
        <color rgb="FFBFBFBF"/>
      </bottom>
      <diagonal/>
    </border>
    <border>
      <left/>
      <right style="thin">
        <color rgb="FF4F81BD"/>
      </right>
      <top style="medium">
        <color rgb="FF398CCC"/>
      </top>
      <bottom style="thin">
        <color rgb="FFBFBFBF"/>
      </bottom>
      <diagonal/>
    </border>
    <border>
      <left style="thin">
        <color rgb="FF4F81BD"/>
      </left>
      <right style="thin">
        <color rgb="FFBFBFBF"/>
      </right>
      <top style="medium">
        <color rgb="FF398CCC"/>
      </top>
      <bottom style="thin">
        <color rgb="FFBFBFBF"/>
      </bottom>
      <diagonal/>
    </border>
    <border>
      <left style="thin">
        <color rgb="FFBFBFBF"/>
      </left>
      <right style="thin">
        <color rgb="FFBFBFBF"/>
      </right>
      <top style="medium">
        <color rgb="FF398CCC"/>
      </top>
      <bottom style="thin">
        <color rgb="FFBFBFBF"/>
      </bottom>
      <diagonal/>
    </border>
    <border>
      <left style="thin">
        <color rgb="FFBFBFBF"/>
      </left>
      <right style="thin">
        <color rgb="FF4F81BD"/>
      </right>
      <top style="medium">
        <color rgb="FF398CCC"/>
      </top>
      <bottom style="thin">
        <color rgb="FFBFBFBF"/>
      </bottom>
      <diagonal/>
    </border>
    <border>
      <left style="thin">
        <color rgb="FF4F81BD"/>
      </left>
      <right/>
      <top/>
      <bottom style="thin">
        <color rgb="FF4F81BD"/>
      </bottom>
      <diagonal/>
    </border>
    <border>
      <left/>
      <right/>
      <top/>
      <bottom style="thin">
        <color rgb="FF4F81BD"/>
      </bottom>
      <diagonal/>
    </border>
    <border>
      <left/>
      <right style="thin">
        <color rgb="FF4F81BD"/>
      </right>
      <top/>
      <bottom style="thin">
        <color rgb="FF4F81BD"/>
      </bottom>
      <diagonal/>
    </border>
    <border>
      <left style="thin">
        <color rgb="FFC0504D"/>
      </left>
      <right/>
      <top style="thin">
        <color rgb="FFC0504D"/>
      </top>
      <bottom style="thin">
        <color rgb="FFC0504D"/>
      </bottom>
      <diagonal/>
    </border>
    <border>
      <left/>
      <right/>
      <top style="thin">
        <color rgb="FFC0504D"/>
      </top>
      <bottom style="thin">
        <color rgb="FFC0504D"/>
      </bottom>
      <diagonal/>
    </border>
    <border>
      <left style="medium">
        <color rgb="FFC0504D"/>
      </left>
      <right/>
      <top style="thin">
        <color rgb="FFC0504D"/>
      </top>
      <bottom style="thin">
        <color rgb="FFC0504D"/>
      </bottom>
      <diagonal/>
    </border>
    <border>
      <left/>
      <right style="medium">
        <color rgb="FFC0504D"/>
      </right>
      <top style="thin">
        <color rgb="FFC0504D"/>
      </top>
      <bottom style="thin">
        <color rgb="FFC0504D"/>
      </bottom>
      <diagonal/>
    </border>
    <border>
      <left/>
      <right style="thin">
        <color rgb="FFC0504D"/>
      </right>
      <top style="thin">
        <color rgb="FFC0504D"/>
      </top>
      <bottom style="thin">
        <color rgb="FFC0504D"/>
      </bottom>
      <diagonal/>
    </border>
    <border>
      <left style="thin">
        <color rgb="FFC0504D"/>
      </left>
      <right style="medium">
        <color rgb="FFC0504D"/>
      </right>
      <top style="thin">
        <color rgb="FFC0504D"/>
      </top>
      <bottom/>
      <diagonal/>
    </border>
    <border>
      <left style="medium">
        <color rgb="FFC0504D"/>
      </left>
      <right/>
      <top style="thin">
        <color rgb="FFC0504D"/>
      </top>
      <bottom/>
      <diagonal/>
    </border>
    <border>
      <left style="medium">
        <color rgb="FFC0504D"/>
      </left>
      <right style="thin">
        <color rgb="FFC0504D"/>
      </right>
      <top style="thin">
        <color rgb="FFC0504D"/>
      </top>
      <bottom/>
      <diagonal/>
    </border>
    <border>
      <left style="thin">
        <color rgb="FFC0504D"/>
      </left>
      <right/>
      <top style="thin">
        <color rgb="FFC0504D"/>
      </top>
      <bottom/>
      <diagonal/>
    </border>
    <border>
      <left style="thin">
        <color rgb="FFC0504D"/>
      </left>
      <right/>
      <top/>
      <bottom/>
      <diagonal/>
    </border>
    <border>
      <left/>
      <right style="thin">
        <color rgb="FFC0504D"/>
      </right>
      <top/>
      <bottom/>
      <diagonal/>
    </border>
    <border>
      <left style="thin">
        <color rgb="FFC0504D"/>
      </left>
      <right/>
      <top style="thin">
        <color rgb="FFC0504D"/>
      </top>
      <bottom style="thin">
        <color rgb="FFBFBFBF"/>
      </bottom>
      <diagonal/>
    </border>
    <border>
      <left/>
      <right/>
      <top style="thin">
        <color rgb="FFC0504D"/>
      </top>
      <bottom style="thin">
        <color rgb="FFBFBFBF"/>
      </bottom>
      <diagonal/>
    </border>
    <border>
      <left/>
      <right style="thin">
        <color rgb="FFBFBFBF"/>
      </right>
      <top style="thin">
        <color rgb="FFC0504D"/>
      </top>
      <bottom style="thin">
        <color rgb="FFBFBFBF"/>
      </bottom>
      <diagonal/>
    </border>
    <border>
      <left style="thin">
        <color rgb="FFBFBFBF"/>
      </left>
      <right/>
      <top style="thin">
        <color rgb="FFC0504D"/>
      </top>
      <bottom style="thin">
        <color rgb="FFBFBFBF"/>
      </bottom>
      <diagonal/>
    </border>
    <border>
      <left/>
      <right style="thin">
        <color rgb="FFC0504D"/>
      </right>
      <top style="thin">
        <color rgb="FFC0504D"/>
      </top>
      <bottom style="thin">
        <color rgb="FFBFBFBF"/>
      </bottom>
      <diagonal/>
    </border>
    <border>
      <left style="thin">
        <color rgb="FFC0504D"/>
      </left>
      <right style="thin">
        <color rgb="FFBFBFBF"/>
      </right>
      <top/>
      <bottom style="thin">
        <color rgb="FFBFBFBF"/>
      </bottom>
      <diagonal/>
    </border>
    <border>
      <left style="thin">
        <color rgb="FFBFBFBF"/>
      </left>
      <right style="thin">
        <color rgb="FFC0504D"/>
      </right>
      <top/>
      <bottom style="thin">
        <color rgb="FFBFBFBF"/>
      </bottom>
      <diagonal/>
    </border>
    <border>
      <left style="thin">
        <color rgb="FFC0504D"/>
      </left>
      <right style="thin">
        <color rgb="FFBFBFBF"/>
      </right>
      <top style="thin">
        <color rgb="FFC0504D"/>
      </top>
      <bottom style="thin">
        <color rgb="FFBFBFBF"/>
      </bottom>
      <diagonal/>
    </border>
    <border>
      <left style="thin">
        <color rgb="FFBFBFBF"/>
      </left>
      <right style="thin">
        <color rgb="FFBFBFBF"/>
      </right>
      <top style="thin">
        <color rgb="FFC0504D"/>
      </top>
      <bottom style="thin">
        <color rgb="FFBFBFBF"/>
      </bottom>
      <diagonal/>
    </border>
    <border>
      <left style="thin">
        <color rgb="FFBFBFBF"/>
      </left>
      <right style="thin">
        <color rgb="FFC0504D"/>
      </right>
      <top style="thin">
        <color rgb="FFC0504D"/>
      </top>
      <bottom style="thin">
        <color rgb="FFBFBFBF"/>
      </bottom>
      <diagonal/>
    </border>
    <border>
      <left style="thin">
        <color rgb="FFC0504D"/>
      </left>
      <right/>
      <top style="thin">
        <color rgb="FFBFBFBF"/>
      </top>
      <bottom style="thin">
        <color rgb="FFBFBFBF"/>
      </bottom>
      <diagonal/>
    </border>
    <border>
      <left/>
      <right style="thin">
        <color rgb="FFC0504D"/>
      </right>
      <top style="thin">
        <color rgb="FFBFBFBF"/>
      </top>
      <bottom style="thin">
        <color rgb="FFBFBFBF"/>
      </bottom>
      <diagonal/>
    </border>
    <border>
      <left style="thin">
        <color rgb="FFC0504D"/>
      </left>
      <right style="thin">
        <color rgb="FFBFBFBF"/>
      </right>
      <top style="thin">
        <color rgb="FFBFBFBF"/>
      </top>
      <bottom style="thin">
        <color rgb="FFBFBFBF"/>
      </bottom>
      <diagonal/>
    </border>
    <border>
      <left style="thin">
        <color rgb="FFBFBFBF"/>
      </left>
      <right style="thin">
        <color rgb="FFC0504D"/>
      </right>
      <top style="thin">
        <color rgb="FFBFBFBF"/>
      </top>
      <bottom style="thin">
        <color rgb="FFBFBFBF"/>
      </bottom>
      <diagonal/>
    </border>
    <border>
      <left style="thin">
        <color rgb="FFC0504D"/>
      </left>
      <right/>
      <top style="thin">
        <color rgb="FFBFBFBF"/>
      </top>
      <bottom style="thin">
        <color rgb="FFC0504D"/>
      </bottom>
      <diagonal/>
    </border>
    <border>
      <left/>
      <right/>
      <top style="thin">
        <color rgb="FFBFBFBF"/>
      </top>
      <bottom style="thin">
        <color rgb="FFC0504D"/>
      </bottom>
      <diagonal/>
    </border>
    <border>
      <left/>
      <right style="thin">
        <color rgb="FFBFBFBF"/>
      </right>
      <top style="thin">
        <color rgb="FFBFBFBF"/>
      </top>
      <bottom style="thin">
        <color rgb="FFC0504D"/>
      </bottom>
      <diagonal/>
    </border>
    <border>
      <left style="thin">
        <color rgb="FFBFBFBF"/>
      </left>
      <right/>
      <top style="thin">
        <color rgb="FFBFBFBF"/>
      </top>
      <bottom style="thin">
        <color rgb="FFC0504D"/>
      </bottom>
      <diagonal/>
    </border>
    <border>
      <left/>
      <right style="thin">
        <color rgb="FFC0504D"/>
      </right>
      <top style="thin">
        <color rgb="FFBFBFBF"/>
      </top>
      <bottom style="thin">
        <color rgb="FFC0504D"/>
      </bottom>
      <diagonal/>
    </border>
    <border>
      <left style="thin">
        <color rgb="FFC0504D"/>
      </left>
      <right style="thin">
        <color rgb="FFBFBFBF"/>
      </right>
      <top style="thin">
        <color rgb="FFBFBFBF"/>
      </top>
      <bottom style="thin">
        <color rgb="FFC0504D"/>
      </bottom>
      <diagonal/>
    </border>
    <border>
      <left style="thin">
        <color rgb="FFBFBFBF"/>
      </left>
      <right style="thin">
        <color rgb="FFBFBFBF"/>
      </right>
      <top style="thin">
        <color rgb="FFBFBFBF"/>
      </top>
      <bottom style="thin">
        <color rgb="FFC0504D"/>
      </bottom>
      <diagonal/>
    </border>
    <border>
      <left style="thin">
        <color rgb="FFBFBFBF"/>
      </left>
      <right style="thin">
        <color rgb="FFC0504D"/>
      </right>
      <top style="thin">
        <color rgb="FFBFBFBF"/>
      </top>
      <bottom style="thin">
        <color rgb="FFC0504D"/>
      </bottom>
      <diagonal/>
    </border>
    <border>
      <left style="thin">
        <color rgb="FFC0504D"/>
      </left>
      <right style="thin">
        <color rgb="FFD8D8D8"/>
      </right>
      <top/>
      <bottom style="thin">
        <color rgb="FFD8D8D8"/>
      </bottom>
      <diagonal/>
    </border>
    <border>
      <left style="thin">
        <color rgb="FFD8D8D8"/>
      </left>
      <right/>
      <top/>
      <bottom style="thin">
        <color rgb="FFD8D8D8"/>
      </bottom>
      <diagonal/>
    </border>
    <border>
      <left style="thin">
        <color rgb="FFD8D8D8"/>
      </left>
      <right style="thin">
        <color rgb="FFD8D8D8"/>
      </right>
      <top/>
      <bottom style="thin">
        <color rgb="FFD8D8D8"/>
      </bottom>
      <diagonal/>
    </border>
    <border>
      <left style="thin">
        <color rgb="FFBFBFBF"/>
      </left>
      <right style="thin">
        <color rgb="FFD8D8D8"/>
      </right>
      <top/>
      <bottom style="thin">
        <color rgb="FFD8D8D8"/>
      </bottom>
      <diagonal/>
    </border>
    <border>
      <left/>
      <right style="thin">
        <color rgb="FFC0504D"/>
      </right>
      <top/>
      <bottom style="thin">
        <color rgb="FFD8D8D8"/>
      </bottom>
      <diagonal/>
    </border>
    <border>
      <left style="thin">
        <color rgb="FFC0504D"/>
      </left>
      <right/>
      <top/>
      <bottom style="thin">
        <color rgb="FFC0504D"/>
      </bottom>
      <diagonal/>
    </border>
    <border>
      <left/>
      <right/>
      <top/>
      <bottom style="thin">
        <color rgb="FFC0504D"/>
      </bottom>
      <diagonal/>
    </border>
    <border>
      <left/>
      <right style="thin">
        <color rgb="FFC0504D"/>
      </right>
      <top/>
      <bottom style="thin">
        <color rgb="FFC0504D"/>
      </bottom>
      <diagonal/>
    </border>
    <border>
      <left style="thin">
        <color rgb="FFC0504D"/>
      </left>
      <right style="medium">
        <color rgb="FFC0504D"/>
      </right>
      <top/>
      <bottom style="thin">
        <color rgb="FFC0504D"/>
      </bottom>
      <diagonal/>
    </border>
    <border>
      <left style="medium">
        <color rgb="FFC0504D"/>
      </left>
      <right style="medium">
        <color rgb="FFC0504D"/>
      </right>
      <top/>
      <bottom style="thin">
        <color rgb="FFC0504D"/>
      </bottom>
      <diagonal/>
    </border>
    <border>
      <left style="thin">
        <color rgb="FFC0504D"/>
      </left>
      <right/>
      <top style="medium">
        <color rgb="FFC0504D"/>
      </top>
      <bottom style="thin">
        <color rgb="FFC0504D"/>
      </bottom>
      <diagonal/>
    </border>
    <border>
      <left style="medium">
        <color rgb="FFC0504D"/>
      </left>
      <right/>
      <top style="medium">
        <color rgb="FFC0504D"/>
      </top>
      <bottom style="thin">
        <color rgb="FFC0504D"/>
      </bottom>
      <diagonal/>
    </border>
    <border>
      <left style="medium">
        <color rgb="FFC0504D"/>
      </left>
      <right style="thin">
        <color rgb="FFC0504D"/>
      </right>
      <top style="medium">
        <color rgb="FFC0504D"/>
      </top>
      <bottom style="thin">
        <color rgb="FFC0504D"/>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F79646"/>
      </left>
      <right/>
      <top style="thin">
        <color rgb="FFF79646"/>
      </top>
      <bottom/>
      <diagonal/>
    </border>
    <border>
      <left/>
      <right style="thin">
        <color rgb="FFF79646"/>
      </right>
      <top style="thin">
        <color rgb="FFF79646"/>
      </top>
      <bottom/>
      <diagonal/>
    </border>
    <border>
      <left/>
      <right/>
      <top style="thin">
        <color rgb="FFF79646"/>
      </top>
      <bottom style="medium">
        <color rgb="FFF79646"/>
      </bottom>
      <diagonal/>
    </border>
    <border>
      <left/>
      <right style="thin">
        <color rgb="FFF79646"/>
      </right>
      <top style="thin">
        <color rgb="FFF79646"/>
      </top>
      <bottom style="medium">
        <color rgb="FFF79646"/>
      </bottom>
      <diagonal/>
    </border>
    <border>
      <left style="thin">
        <color rgb="FFF79646"/>
      </left>
      <right/>
      <top style="thin">
        <color rgb="FFF79646"/>
      </top>
      <bottom style="medium">
        <color rgb="FFF79646"/>
      </bottom>
      <diagonal/>
    </border>
    <border>
      <left/>
      <right/>
      <top style="thin">
        <color rgb="FFF79646"/>
      </top>
      <bottom/>
      <diagonal/>
    </border>
    <border>
      <left style="thin">
        <color rgb="FFF79646"/>
      </left>
      <right/>
      <top/>
      <bottom/>
      <diagonal/>
    </border>
    <border>
      <left/>
      <right style="thin">
        <color rgb="FFF79646"/>
      </right>
      <top/>
      <bottom/>
      <diagonal/>
    </border>
    <border>
      <left/>
      <right/>
      <top style="medium">
        <color rgb="FFF79646"/>
      </top>
      <bottom style="thin">
        <color rgb="FFD8D8D8"/>
      </bottom>
      <diagonal/>
    </border>
    <border>
      <left/>
      <right style="thin">
        <color rgb="FFF79646"/>
      </right>
      <top style="medium">
        <color rgb="FFF79646"/>
      </top>
      <bottom style="thin">
        <color rgb="FFD8D8D8"/>
      </bottom>
      <diagonal/>
    </border>
    <border>
      <left style="thin">
        <color rgb="FFF79646"/>
      </left>
      <right style="thin">
        <color rgb="FFBFBFBF"/>
      </right>
      <top style="medium">
        <color rgb="FFF79646"/>
      </top>
      <bottom style="thin">
        <color rgb="FFD8D8D8"/>
      </bottom>
      <diagonal/>
    </border>
    <border>
      <left style="thin">
        <color rgb="FFBFBFBF"/>
      </left>
      <right style="thin">
        <color rgb="FFBFBFBF"/>
      </right>
      <top style="medium">
        <color rgb="FFF79646"/>
      </top>
      <bottom style="thin">
        <color rgb="FFD8D8D8"/>
      </bottom>
      <diagonal/>
    </border>
    <border>
      <left/>
      <right style="thin">
        <color rgb="FFF79646"/>
      </right>
      <top/>
      <bottom style="thin">
        <color rgb="FFD8D8D8"/>
      </bottom>
      <diagonal/>
    </border>
    <border>
      <left style="thin">
        <color rgb="FFF79646"/>
      </left>
      <right style="thin">
        <color rgb="FFBFBFBF"/>
      </right>
      <top style="thin">
        <color rgb="FFF79646"/>
      </top>
      <bottom style="thin">
        <color rgb="FFBFBFBF"/>
      </bottom>
      <diagonal/>
    </border>
    <border>
      <left style="thin">
        <color rgb="FFBFBFBF"/>
      </left>
      <right style="thin">
        <color rgb="FFBFBFBF"/>
      </right>
      <top style="thin">
        <color rgb="FFF79646"/>
      </top>
      <bottom style="thin">
        <color rgb="FFBFBFBF"/>
      </bottom>
      <diagonal/>
    </border>
    <border>
      <left style="thin">
        <color rgb="FFBFBFBF"/>
      </left>
      <right/>
      <top style="thin">
        <color rgb="FFF79646"/>
      </top>
      <bottom style="thin">
        <color rgb="FFBFBFBF"/>
      </bottom>
      <diagonal/>
    </border>
    <border>
      <left style="thin">
        <color rgb="FFBFBFBF"/>
      </left>
      <right style="thin">
        <color rgb="FFF79646"/>
      </right>
      <top style="thin">
        <color rgb="FFF79646"/>
      </top>
      <bottom style="thin">
        <color rgb="FFBFBFBF"/>
      </bottom>
      <diagonal/>
    </border>
    <border>
      <left style="thin">
        <color rgb="FFF79646"/>
      </left>
      <right style="thin">
        <color rgb="FFBFBFBF"/>
      </right>
      <top style="thin">
        <color rgb="FFD8D8D8"/>
      </top>
      <bottom/>
      <diagonal/>
    </border>
    <border>
      <left style="thin">
        <color rgb="FFBFBFBF"/>
      </left>
      <right style="thin">
        <color rgb="FFBFBFBF"/>
      </right>
      <top style="thin">
        <color rgb="FFD8D8D8"/>
      </top>
      <bottom/>
      <diagonal/>
    </border>
    <border>
      <left/>
      <right style="thin">
        <color rgb="FFF79646"/>
      </right>
      <top style="thin">
        <color rgb="FFD8D8D8"/>
      </top>
      <bottom/>
      <diagonal/>
    </border>
    <border>
      <left style="thin">
        <color rgb="FFF79646"/>
      </left>
      <right style="thin">
        <color rgb="FFBFBFBF"/>
      </right>
      <top style="thin">
        <color rgb="FFBFBFBF"/>
      </top>
      <bottom style="thin">
        <color rgb="FFF79646"/>
      </bottom>
      <diagonal/>
    </border>
    <border>
      <left style="thin">
        <color rgb="FFBFBFBF"/>
      </left>
      <right style="thin">
        <color rgb="FFBFBFBF"/>
      </right>
      <top style="thin">
        <color rgb="FFBFBFBF"/>
      </top>
      <bottom style="thin">
        <color rgb="FFF79646"/>
      </bottom>
      <diagonal/>
    </border>
    <border>
      <left style="thin">
        <color rgb="FFBFBFBF"/>
      </left>
      <right style="thin">
        <color rgb="FFF79646"/>
      </right>
      <top style="thin">
        <color rgb="FFBFBFBF"/>
      </top>
      <bottom style="thin">
        <color rgb="FFF79646"/>
      </bottom>
      <diagonal/>
    </border>
    <border>
      <left/>
      <right/>
      <top style="medium">
        <color rgb="FFF79646"/>
      </top>
      <bottom/>
      <diagonal/>
    </border>
    <border>
      <left/>
      <right style="thin">
        <color rgb="FFF79646"/>
      </right>
      <top style="medium">
        <color rgb="FFF79646"/>
      </top>
      <bottom/>
      <diagonal/>
    </border>
    <border>
      <left style="thin">
        <color rgb="FFF79646"/>
      </left>
      <right style="medium">
        <color rgb="FFF79646"/>
      </right>
      <top style="thin">
        <color rgb="FFF79646"/>
      </top>
      <bottom style="thin">
        <color rgb="FFD8D8D8"/>
      </bottom>
      <diagonal/>
    </border>
    <border>
      <left style="medium">
        <color rgb="FFF79646"/>
      </left>
      <right style="medium">
        <color rgb="FFF79646"/>
      </right>
      <top style="thin">
        <color rgb="FFF79646"/>
      </top>
      <bottom style="thin">
        <color rgb="FFD8D8D8"/>
      </bottom>
      <diagonal/>
    </border>
    <border>
      <left/>
      <right style="thin">
        <color rgb="FFF79646"/>
      </right>
      <top style="thin">
        <color rgb="FFF79646"/>
      </top>
      <bottom style="thin">
        <color rgb="FFD8D8D8"/>
      </bottom>
      <diagonal/>
    </border>
    <border>
      <left style="thin">
        <color rgb="FFF79646"/>
      </left>
      <right style="medium">
        <color rgb="FFF79646"/>
      </right>
      <top/>
      <bottom/>
      <diagonal/>
    </border>
    <border>
      <left style="medium">
        <color rgb="FFF79646"/>
      </left>
      <right style="medium">
        <color rgb="FFF79646"/>
      </right>
      <top/>
      <bottom/>
      <diagonal/>
    </border>
    <border>
      <left/>
      <right style="medium">
        <color rgb="FFF79646"/>
      </right>
      <top/>
      <bottom/>
      <diagonal/>
    </border>
    <border>
      <left style="medium">
        <color rgb="FFF79646"/>
      </left>
      <right style="thin">
        <color rgb="FFF79646"/>
      </right>
      <top/>
      <bottom/>
      <diagonal/>
    </border>
    <border>
      <left/>
      <right/>
      <top style="thin">
        <color rgb="FFF79646"/>
      </top>
      <bottom style="thin">
        <color rgb="FFD8D8D8"/>
      </bottom>
      <diagonal/>
    </border>
    <border>
      <left style="thin">
        <color rgb="FFF79646"/>
      </left>
      <right/>
      <top/>
      <bottom style="thin">
        <color rgb="FFD8D8D8"/>
      </bottom>
      <diagonal/>
    </border>
    <border>
      <left style="thin">
        <color rgb="FFD8D8D8"/>
      </left>
      <right style="thin">
        <color rgb="FFF79646"/>
      </right>
      <top/>
      <bottom style="thin">
        <color rgb="FFD8D8D8"/>
      </bottom>
      <diagonal/>
    </border>
    <border>
      <left style="thin">
        <color rgb="FFF79646"/>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F79646"/>
      </right>
      <top style="thin">
        <color rgb="FFA5A5A5"/>
      </top>
      <bottom style="thin">
        <color rgb="FFA5A5A5"/>
      </bottom>
      <diagonal/>
    </border>
    <border>
      <left style="thin">
        <color rgb="FFF79646"/>
      </left>
      <right/>
      <top/>
      <bottom style="thin">
        <color rgb="FFF79646"/>
      </bottom>
      <diagonal/>
    </border>
    <border>
      <left/>
      <right style="thin">
        <color rgb="FFF79646"/>
      </right>
      <top/>
      <bottom style="thin">
        <color rgb="FFF79646"/>
      </bottom>
      <diagonal/>
    </border>
    <border>
      <left/>
      <right/>
      <top/>
      <bottom style="thin">
        <color rgb="FFF79646"/>
      </bottom>
      <diagonal/>
    </border>
    <border>
      <left style="thin">
        <color rgb="FFD8D8D8"/>
      </left>
      <right style="thin">
        <color rgb="FFD8D8D8"/>
      </right>
      <top/>
      <bottom style="thin">
        <color rgb="FFF79646"/>
      </bottom>
      <diagonal/>
    </border>
    <border>
      <left style="thin">
        <color rgb="FFF79646"/>
      </left>
      <right style="thin">
        <color rgb="FFA5A5A5"/>
      </right>
      <top style="thin">
        <color rgb="FFA5A5A5"/>
      </top>
      <bottom style="thin">
        <color rgb="FFF79646"/>
      </bottom>
      <diagonal/>
    </border>
    <border>
      <left style="thin">
        <color rgb="FFA5A5A5"/>
      </left>
      <right style="thin">
        <color rgb="FFA5A5A5"/>
      </right>
      <top style="thin">
        <color rgb="FFA5A5A5"/>
      </top>
      <bottom style="thin">
        <color rgb="FFF79646"/>
      </bottom>
      <diagonal/>
    </border>
    <border>
      <left style="thin">
        <color rgb="FFA5A5A5"/>
      </left>
      <right style="thin">
        <color rgb="FFF79646"/>
      </right>
      <top style="thin">
        <color rgb="FFA5A5A5"/>
      </top>
      <bottom style="thin">
        <color rgb="FFF79646"/>
      </bottom>
      <diagonal/>
    </border>
    <border>
      <left style="thin">
        <color rgb="FF8064A2"/>
      </left>
      <right/>
      <top style="thin">
        <color rgb="FF8064A2"/>
      </top>
      <bottom/>
      <diagonal/>
    </border>
    <border>
      <left/>
      <right/>
      <top style="thin">
        <color rgb="FF8064A2"/>
      </top>
      <bottom/>
      <diagonal/>
    </border>
    <border>
      <left/>
      <right style="thin">
        <color rgb="FF8064A2"/>
      </right>
      <top style="thin">
        <color rgb="FF8064A2"/>
      </top>
      <bottom/>
      <diagonal/>
    </border>
    <border>
      <left style="thin">
        <color rgb="FF545F6B"/>
      </left>
      <right/>
      <top style="thin">
        <color rgb="FF545F6B"/>
      </top>
      <bottom style="thin">
        <color rgb="FF545F6B"/>
      </bottom>
      <diagonal/>
    </border>
    <border>
      <left/>
      <right/>
      <top style="thin">
        <color rgb="FF545F6B"/>
      </top>
      <bottom style="thin">
        <color rgb="FF545F6B"/>
      </bottom>
      <diagonal/>
    </border>
    <border>
      <left/>
      <right style="thin">
        <color rgb="FF545F6B"/>
      </right>
      <top style="thin">
        <color rgb="FF545F6B"/>
      </top>
      <bottom style="thin">
        <color rgb="FF545F6B"/>
      </bottom>
      <diagonal/>
    </border>
    <border>
      <left style="thin">
        <color rgb="FF545F6B"/>
      </left>
      <right style="thin">
        <color rgb="FF545F6B"/>
      </right>
      <top style="thin">
        <color rgb="FF545F6B"/>
      </top>
      <bottom style="thin">
        <color rgb="FF545F6B"/>
      </bottom>
      <diagonal/>
    </border>
    <border>
      <left style="thin">
        <color rgb="FF545F6B"/>
      </left>
      <right/>
      <top style="thin">
        <color rgb="FF545F6B"/>
      </top>
      <bottom/>
      <diagonal/>
    </border>
    <border>
      <left/>
      <right/>
      <top style="thin">
        <color rgb="FF545F6B"/>
      </top>
      <bottom/>
      <diagonal/>
    </border>
    <border>
      <left/>
      <right style="thin">
        <color rgb="FF545F6B"/>
      </right>
      <top style="thin">
        <color rgb="FF545F6B"/>
      </top>
      <bottom/>
      <diagonal/>
    </border>
    <border>
      <left style="thin">
        <color rgb="FF545F6B"/>
      </left>
      <right/>
      <top/>
      <bottom/>
      <diagonal/>
    </border>
    <border>
      <left/>
      <right style="thin">
        <color rgb="FF545F6B"/>
      </right>
      <top/>
      <bottom/>
      <diagonal/>
    </border>
    <border>
      <left style="thin">
        <color rgb="FF3F3F3F"/>
      </left>
      <right/>
      <top style="thin">
        <color rgb="FFD8D8D8"/>
      </top>
      <bottom style="thin">
        <color rgb="FFD8D8D8"/>
      </bottom>
      <diagonal/>
    </border>
    <border>
      <left/>
      <right/>
      <top style="thin">
        <color rgb="FFD8D8D8"/>
      </top>
      <bottom style="thin">
        <color rgb="FFD8D8D8"/>
      </bottom>
      <diagonal/>
    </border>
    <border>
      <left/>
      <right style="thin">
        <color rgb="FF3F3F3F"/>
      </right>
      <top style="thin">
        <color rgb="FFD8D8D8"/>
      </top>
      <bottom style="thin">
        <color rgb="FFD8D8D8"/>
      </bottom>
      <diagonal/>
    </border>
    <border>
      <left style="thin">
        <color rgb="FF3F3F3F"/>
      </left>
      <right/>
      <top/>
      <bottom style="thin">
        <color rgb="FFD8D8D8"/>
      </bottom>
      <diagonal/>
    </border>
    <border>
      <left/>
      <right style="thin">
        <color rgb="FF3F3F3F"/>
      </right>
      <top/>
      <bottom style="thin">
        <color rgb="FFD8D8D8"/>
      </bottom>
      <diagonal/>
    </border>
    <border>
      <left style="thin">
        <color rgb="FFBFBFBF"/>
      </left>
      <right/>
      <top style="thin">
        <color rgb="FFD8D8D8"/>
      </top>
      <bottom style="thin">
        <color rgb="FFD8D8D8"/>
      </bottom>
      <diagonal/>
    </border>
    <border>
      <left style="thin">
        <color rgb="FFD8D8D8"/>
      </left>
      <right style="thin">
        <color rgb="FFD8D8D8"/>
      </right>
      <top style="thin">
        <color rgb="FFD8D8D8"/>
      </top>
      <bottom style="thin">
        <color rgb="FFD8D8D8"/>
      </bottom>
      <diagonal/>
    </border>
    <border>
      <left/>
      <right style="thin">
        <color rgb="FFBFBFBF"/>
      </right>
      <top/>
      <bottom style="thin">
        <color rgb="FFD8D8D8"/>
      </bottom>
      <diagonal/>
    </border>
    <border>
      <left/>
      <right style="thin">
        <color rgb="FFD8D8D8"/>
      </right>
      <top style="thin">
        <color rgb="FFD8D8D8"/>
      </top>
      <bottom style="thin">
        <color rgb="FFD8D8D8"/>
      </bottom>
      <diagonal/>
    </border>
    <border>
      <left/>
      <right/>
      <top/>
      <bottom style="thin">
        <color rgb="FFD8D8D8"/>
      </bottom>
      <diagonal/>
    </border>
    <border>
      <left style="thin">
        <color rgb="FFD8D8D8"/>
      </left>
      <right/>
      <top style="thin">
        <color rgb="FFD8D8D8"/>
      </top>
      <bottom style="thin">
        <color rgb="FFD8D8D8"/>
      </bottom>
      <diagonal/>
    </border>
    <border>
      <left style="thin">
        <color rgb="FFD8D8D8"/>
      </left>
      <right style="thin">
        <color rgb="FFBFBFBF"/>
      </right>
      <top style="thin">
        <color rgb="FFD8D8D8"/>
      </top>
      <bottom style="thin">
        <color rgb="FFD8D8D8"/>
      </bottom>
      <diagonal/>
    </border>
    <border>
      <left style="thin">
        <color rgb="FFD8D8D8"/>
      </left>
      <right style="thin">
        <color rgb="FF3F3F3F"/>
      </right>
      <top style="thin">
        <color rgb="FFD8D8D8"/>
      </top>
      <bottom style="thin">
        <color rgb="FFD8D8D8"/>
      </bottom>
      <diagonal/>
    </border>
    <border>
      <left style="thin">
        <color rgb="FF3F3F3F"/>
      </left>
      <right/>
      <top style="thin">
        <color rgb="FFD8D8D8"/>
      </top>
      <bottom style="thin">
        <color rgb="FF545F6B"/>
      </bottom>
      <diagonal/>
    </border>
    <border>
      <left/>
      <right/>
      <top style="thin">
        <color rgb="FFD8D8D8"/>
      </top>
      <bottom style="thin">
        <color rgb="FF545F6B"/>
      </bottom>
      <diagonal/>
    </border>
    <border>
      <left/>
      <right style="thin">
        <color rgb="FF3F3F3F"/>
      </right>
      <top style="thin">
        <color rgb="FFD8D8D8"/>
      </top>
      <bottom style="thin">
        <color rgb="FF545F6B"/>
      </bottom>
      <diagonal/>
    </border>
    <border>
      <left style="thin">
        <color rgb="FF3F3F3F"/>
      </left>
      <right/>
      <top/>
      <bottom style="thin">
        <color rgb="FF3F3F3F"/>
      </bottom>
      <diagonal/>
    </border>
    <border>
      <left style="thin">
        <color rgb="FFD8D8D8"/>
      </left>
      <right style="thin">
        <color rgb="FFD8D8D8"/>
      </right>
      <top/>
      <bottom style="thin">
        <color rgb="FF3F3F3F"/>
      </bottom>
      <diagonal/>
    </border>
    <border>
      <left/>
      <right style="thin">
        <color rgb="FF3F3F3F"/>
      </right>
      <top/>
      <bottom style="thin">
        <color rgb="FF3F3F3F"/>
      </bottom>
      <diagonal/>
    </border>
    <border>
      <left style="thin">
        <color rgb="FFBFBFBF"/>
      </left>
      <right/>
      <top style="thin">
        <color rgb="FFD8D8D8"/>
      </top>
      <bottom style="thin">
        <color rgb="FF545F6B"/>
      </bottom>
      <diagonal/>
    </border>
    <border>
      <left style="thin">
        <color rgb="FFD8D8D8"/>
      </left>
      <right style="thin">
        <color rgb="FFD8D8D8"/>
      </right>
      <top style="thin">
        <color rgb="FFD8D8D8"/>
      </top>
      <bottom style="thin">
        <color rgb="FF545F6B"/>
      </bottom>
      <diagonal/>
    </border>
    <border>
      <left/>
      <right style="thin">
        <color rgb="FFBFBFBF"/>
      </right>
      <top/>
      <bottom style="thin">
        <color rgb="FF545F6B"/>
      </bottom>
      <diagonal/>
    </border>
    <border>
      <left/>
      <right style="thin">
        <color rgb="FFD8D8D8"/>
      </right>
      <top style="thin">
        <color rgb="FFD8D8D8"/>
      </top>
      <bottom style="thin">
        <color rgb="FF545F6B"/>
      </bottom>
      <diagonal/>
    </border>
    <border>
      <left/>
      <right/>
      <top/>
      <bottom style="thin">
        <color rgb="FF545F6B"/>
      </bottom>
      <diagonal/>
    </border>
    <border>
      <left style="thin">
        <color rgb="FFD8D8D8"/>
      </left>
      <right/>
      <top style="thin">
        <color rgb="FFD8D8D8"/>
      </top>
      <bottom style="thin">
        <color rgb="FF545F6B"/>
      </bottom>
      <diagonal/>
    </border>
    <border>
      <left style="thin">
        <color rgb="FFD8D8D8"/>
      </left>
      <right style="thin">
        <color rgb="FFBFBFBF"/>
      </right>
      <top style="thin">
        <color rgb="FFD8D8D8"/>
      </top>
      <bottom style="thin">
        <color rgb="FF545F6B"/>
      </bottom>
      <diagonal/>
    </border>
    <border>
      <left style="thin">
        <color rgb="FFD8D8D8"/>
      </left>
      <right style="thin">
        <color rgb="FF3F3F3F"/>
      </right>
      <top style="thin">
        <color rgb="FFD8D8D8"/>
      </top>
      <bottom style="thin">
        <color rgb="FF545F6B"/>
      </bottom>
      <diagonal/>
    </border>
    <border>
      <left style="thin">
        <color rgb="FF3F3F3F"/>
      </left>
      <right/>
      <top style="thin">
        <color rgb="FF3F3F3F"/>
      </top>
      <bottom/>
      <diagonal/>
    </border>
    <border>
      <left/>
      <right/>
      <top style="thin">
        <color rgb="FF3F3F3F"/>
      </top>
      <bottom/>
      <diagonal/>
    </border>
    <border>
      <left/>
      <right style="thin">
        <color rgb="FF3F3F3F"/>
      </right>
      <top style="thin">
        <color rgb="FF3F3F3F"/>
      </top>
      <bottom/>
      <diagonal/>
    </border>
    <border>
      <left style="thin">
        <color rgb="FF3F3F3F"/>
      </left>
      <right/>
      <top style="thin">
        <color rgb="FF3F3F3F"/>
      </top>
      <bottom style="thin">
        <color rgb="FF545F6B"/>
      </bottom>
      <diagonal/>
    </border>
    <border>
      <left/>
      <right/>
      <top style="thin">
        <color rgb="FF3F3F3F"/>
      </top>
      <bottom style="thin">
        <color rgb="FF545F6B"/>
      </bottom>
      <diagonal/>
    </border>
    <border>
      <left/>
      <right style="thin">
        <color rgb="FF3F3F3F"/>
      </right>
      <top style="thin">
        <color rgb="FF3F3F3F"/>
      </top>
      <bottom style="thin">
        <color rgb="FF545F6B"/>
      </bottom>
      <diagonal/>
    </border>
    <border>
      <left style="thin">
        <color rgb="FF3F3F3F"/>
      </left>
      <right style="thin">
        <color rgb="FF545F6B"/>
      </right>
      <top style="thin">
        <color rgb="FF3F3F3F"/>
      </top>
      <bottom style="thin">
        <color rgb="FF545F6B"/>
      </bottom>
      <diagonal/>
    </border>
    <border>
      <left style="thin">
        <color rgb="FF545F6B"/>
      </left>
      <right style="thin">
        <color rgb="FF545F6B"/>
      </right>
      <top style="thin">
        <color rgb="FF3F3F3F"/>
      </top>
      <bottom style="thin">
        <color rgb="FF545F6B"/>
      </bottom>
      <diagonal/>
    </border>
    <border>
      <left style="thin">
        <color rgb="FF545F6B"/>
      </left>
      <right style="thin">
        <color rgb="FF3F3F3F"/>
      </right>
      <top style="thin">
        <color rgb="FF3F3F3F"/>
      </top>
      <bottom style="thin">
        <color rgb="FF545F6B"/>
      </bottom>
      <diagonal/>
    </border>
    <border>
      <left style="thin">
        <color rgb="FF3F3F3F"/>
      </left>
      <right/>
      <top style="thin">
        <color rgb="FF545F6B"/>
      </top>
      <bottom style="thin">
        <color rgb="FFD8D8D8"/>
      </bottom>
      <diagonal/>
    </border>
    <border>
      <left/>
      <right/>
      <top style="thin">
        <color rgb="FF545F6B"/>
      </top>
      <bottom style="thin">
        <color rgb="FFD8D8D8"/>
      </bottom>
      <diagonal/>
    </border>
    <border>
      <left/>
      <right style="thin">
        <color rgb="FF3F3F3F"/>
      </right>
      <top style="thin">
        <color rgb="FF545F6B"/>
      </top>
      <bottom style="thin">
        <color rgb="FFD8D8D8"/>
      </bottom>
      <diagonal/>
    </border>
    <border>
      <left style="thin">
        <color rgb="FF3F3F3F"/>
      </left>
      <right style="thin">
        <color rgb="FFBFBFBF"/>
      </right>
      <top style="thin">
        <color rgb="FF545F6B"/>
      </top>
      <bottom style="thin">
        <color rgb="FFD8D8D8"/>
      </bottom>
      <diagonal/>
    </border>
    <border>
      <left style="thin">
        <color rgb="FFBFBFBF"/>
      </left>
      <right/>
      <top style="thin">
        <color rgb="FF545F6B"/>
      </top>
      <bottom style="thin">
        <color rgb="FFD8D8D8"/>
      </bottom>
      <diagonal/>
    </border>
    <border>
      <left style="thin">
        <color rgb="FF3F3F3F"/>
      </left>
      <right style="thin">
        <color rgb="FF3F3F3F"/>
      </right>
      <top/>
      <bottom style="thin">
        <color rgb="FFD8D8D8"/>
      </bottom>
      <diagonal/>
    </border>
    <border>
      <left style="thin">
        <color rgb="FFBFBFBF"/>
      </left>
      <right style="thin">
        <color rgb="FFD8D8D8"/>
      </right>
      <top style="thin">
        <color rgb="FF545F6B"/>
      </top>
      <bottom style="thin">
        <color rgb="FFD8D8D8"/>
      </bottom>
      <diagonal/>
    </border>
    <border>
      <left style="thin">
        <color rgb="FFD8D8D8"/>
      </left>
      <right style="thin">
        <color rgb="FFD8D8D8"/>
      </right>
      <top style="thin">
        <color rgb="FF545F6B"/>
      </top>
      <bottom style="thin">
        <color rgb="FFD8D8D8"/>
      </bottom>
      <diagonal/>
    </border>
    <border>
      <left style="thin">
        <color rgb="FFD8D8D8"/>
      </left>
      <right style="thin">
        <color rgb="FFBFBFBF"/>
      </right>
      <top style="thin">
        <color rgb="FF545F6B"/>
      </top>
      <bottom style="thin">
        <color rgb="FFD8D8D8"/>
      </bottom>
      <diagonal/>
    </border>
    <border>
      <left/>
      <right style="thin">
        <color rgb="FFD8D8D8"/>
      </right>
      <top style="thin">
        <color rgb="FF545F6B"/>
      </top>
      <bottom style="thin">
        <color rgb="FFD8D8D8"/>
      </bottom>
      <diagonal/>
    </border>
    <border>
      <left style="thin">
        <color rgb="FFD8D8D8"/>
      </left>
      <right style="thin">
        <color rgb="FF3F3F3F"/>
      </right>
      <top style="thin">
        <color rgb="FF545F6B"/>
      </top>
      <bottom style="thin">
        <color rgb="FFD8D8D8"/>
      </bottom>
      <diagonal/>
    </border>
    <border>
      <left/>
      <right/>
      <top/>
      <bottom style="thin">
        <color rgb="FF3F3F3F"/>
      </bottom>
      <diagonal/>
    </border>
    <border>
      <left style="thin">
        <color rgb="FF3F3F3F"/>
      </left>
      <right style="thin">
        <color rgb="FFBFBFBF"/>
      </right>
      <top/>
      <bottom style="thin">
        <color rgb="FF3F3F3F"/>
      </bottom>
      <diagonal/>
    </border>
    <border>
      <left style="thin">
        <color rgb="FFBFBFBF"/>
      </left>
      <right/>
      <top/>
      <bottom style="thin">
        <color rgb="FF3F3F3F"/>
      </bottom>
      <diagonal/>
    </border>
    <border>
      <left style="thin">
        <color rgb="FFBFBFBF"/>
      </left>
      <right style="thin">
        <color rgb="FFD8D8D8"/>
      </right>
      <top/>
      <bottom style="thin">
        <color rgb="FF3F3F3F"/>
      </bottom>
      <diagonal/>
    </border>
    <border>
      <left style="thin">
        <color rgb="FFD8D8D8"/>
      </left>
      <right style="thin">
        <color rgb="FFBFBFBF"/>
      </right>
      <top/>
      <bottom style="thin">
        <color rgb="FF3F3F3F"/>
      </bottom>
      <diagonal/>
    </border>
    <border>
      <left/>
      <right style="thin">
        <color rgb="FFD8D8D8"/>
      </right>
      <top/>
      <bottom style="thin">
        <color rgb="FF3F3F3F"/>
      </bottom>
      <diagonal/>
    </border>
    <border>
      <left style="thin">
        <color rgb="FFD8D8D8"/>
      </left>
      <right style="thin">
        <color rgb="FF3F3F3F"/>
      </right>
      <top/>
      <bottom style="thin">
        <color rgb="FF3F3F3F"/>
      </bottom>
      <diagonal/>
    </border>
    <border>
      <left style="thin">
        <color rgb="FFD8D8D8"/>
      </left>
      <right style="thin">
        <color rgb="FF3F3F3F"/>
      </right>
      <top/>
      <bottom style="thin">
        <color rgb="FFD8D8D8"/>
      </bottom>
      <diagonal/>
    </border>
    <border>
      <left style="thin">
        <color rgb="FFBFBFBF"/>
      </left>
      <right/>
      <top/>
      <bottom style="thin">
        <color rgb="FFD8D8D8"/>
      </bottom>
      <diagonal/>
    </border>
    <border>
      <left/>
      <right style="thin">
        <color rgb="FFD8D8D8"/>
      </right>
      <top/>
      <bottom style="thin">
        <color rgb="FFD8D8D8"/>
      </bottom>
      <diagonal/>
    </border>
    <border>
      <left style="thin">
        <color rgb="FFD8D8D8"/>
      </left>
      <right style="thin">
        <color rgb="FFBFBFBF"/>
      </right>
      <top/>
      <bottom style="thin">
        <color rgb="FFD8D8D8"/>
      </bottom>
      <diagonal/>
    </border>
    <border>
      <left style="thin">
        <color rgb="FFD8D8D8"/>
      </left>
      <right/>
      <top/>
      <bottom style="thin">
        <color rgb="FF3F3F3F"/>
      </bottom>
      <diagonal/>
    </border>
    <border>
      <left style="thin">
        <color rgb="FF3F3F3F"/>
      </left>
      <right/>
      <top style="thin">
        <color rgb="FF545F6B"/>
      </top>
      <bottom style="thin">
        <color rgb="FFBFBFBF"/>
      </bottom>
      <diagonal/>
    </border>
    <border>
      <left/>
      <right/>
      <top style="thin">
        <color rgb="FF545F6B"/>
      </top>
      <bottom style="thin">
        <color rgb="FFBFBFBF"/>
      </bottom>
      <diagonal/>
    </border>
    <border>
      <left/>
      <right style="thin">
        <color rgb="FF3F3F3F"/>
      </right>
      <top style="thin">
        <color rgb="FF545F6B"/>
      </top>
      <bottom style="thin">
        <color rgb="FFBFBFBF"/>
      </bottom>
      <diagonal/>
    </border>
    <border>
      <left style="thin">
        <color rgb="FF3F3F3F"/>
      </left>
      <right style="thin">
        <color rgb="FFBFBFBF"/>
      </right>
      <top style="thin">
        <color rgb="FF545F6B"/>
      </top>
      <bottom style="thin">
        <color rgb="FFBFBFBF"/>
      </bottom>
      <diagonal/>
    </border>
    <border>
      <left style="thin">
        <color rgb="FFBFBFBF"/>
      </left>
      <right/>
      <top style="thin">
        <color rgb="FF545F6B"/>
      </top>
      <bottom style="thin">
        <color rgb="FFBFBFBF"/>
      </bottom>
      <diagonal/>
    </border>
    <border>
      <left style="thin">
        <color rgb="FFBFBFBF"/>
      </left>
      <right style="thin">
        <color rgb="FFD8D8D8"/>
      </right>
      <top style="thin">
        <color rgb="FF545F6B"/>
      </top>
      <bottom style="thin">
        <color rgb="FFBFBFBF"/>
      </bottom>
      <diagonal/>
    </border>
    <border>
      <left style="thin">
        <color rgb="FFD8D8D8"/>
      </left>
      <right style="thin">
        <color rgb="FFD8D8D8"/>
      </right>
      <top style="thin">
        <color rgb="FF545F6B"/>
      </top>
      <bottom style="thin">
        <color rgb="FFBFBFBF"/>
      </bottom>
      <diagonal/>
    </border>
    <border>
      <left style="thin">
        <color rgb="FFD8D8D8"/>
      </left>
      <right style="thin">
        <color rgb="FFBFBFBF"/>
      </right>
      <top style="thin">
        <color rgb="FF545F6B"/>
      </top>
      <bottom style="thin">
        <color rgb="FFBFBFBF"/>
      </bottom>
      <diagonal/>
    </border>
    <border>
      <left/>
      <right style="thin">
        <color rgb="FFD8D8D8"/>
      </right>
      <top style="thin">
        <color rgb="FF545F6B"/>
      </top>
      <bottom style="thin">
        <color rgb="FFBFBFBF"/>
      </bottom>
      <diagonal/>
    </border>
    <border>
      <left style="thin">
        <color rgb="FFD8D8D8"/>
      </left>
      <right style="thin">
        <color rgb="FF3F3F3F"/>
      </right>
      <top style="thin">
        <color rgb="FF545F6B"/>
      </top>
      <bottom style="thin">
        <color rgb="FFBFBFBF"/>
      </bottom>
      <diagonal/>
    </border>
    <border>
      <left style="thin">
        <color rgb="FF3F3F3F"/>
      </left>
      <right/>
      <top/>
      <bottom style="thin">
        <color rgb="FFBFBFBF"/>
      </bottom>
      <diagonal/>
    </border>
    <border>
      <left/>
      <right style="thin">
        <color rgb="FF3F3F3F"/>
      </right>
      <top/>
      <bottom style="thin">
        <color rgb="FFBFBFBF"/>
      </bottom>
      <diagonal/>
    </border>
    <border>
      <left style="thin">
        <color rgb="FF3F3F3F"/>
      </left>
      <right style="thin">
        <color rgb="FFBFBFBF"/>
      </right>
      <top/>
      <bottom style="thin">
        <color rgb="FFBFBFBF"/>
      </bottom>
      <diagonal/>
    </border>
    <border>
      <left style="thin">
        <color rgb="FFBFBFBF"/>
      </left>
      <right style="thin">
        <color rgb="FFD8D8D8"/>
      </right>
      <top/>
      <bottom style="thin">
        <color rgb="FFBFBFBF"/>
      </bottom>
      <diagonal/>
    </border>
    <border>
      <left style="thin">
        <color rgb="FFD8D8D8"/>
      </left>
      <right style="thin">
        <color rgb="FFD8D8D8"/>
      </right>
      <top/>
      <bottom style="thin">
        <color rgb="FFBFBFBF"/>
      </bottom>
      <diagonal/>
    </border>
    <border>
      <left style="thin">
        <color rgb="FFD8D8D8"/>
      </left>
      <right style="thin">
        <color rgb="FFBFBFBF"/>
      </right>
      <top/>
      <bottom style="thin">
        <color rgb="FFBFBFBF"/>
      </bottom>
      <diagonal/>
    </border>
    <border>
      <left/>
      <right style="thin">
        <color rgb="FFD8D8D8"/>
      </right>
      <top/>
      <bottom style="thin">
        <color rgb="FFBFBFBF"/>
      </bottom>
      <diagonal/>
    </border>
    <border>
      <left style="thin">
        <color rgb="FFD8D8D8"/>
      </left>
      <right style="thin">
        <color rgb="FF3F3F3F"/>
      </right>
      <top/>
      <bottom style="thin">
        <color rgb="FFBFBFBF"/>
      </bottom>
      <diagonal/>
    </border>
    <border>
      <left style="thin">
        <color rgb="FF3F3F3F"/>
      </left>
      <right/>
      <top/>
      <bottom style="double">
        <color rgb="FF434343"/>
      </bottom>
      <diagonal/>
    </border>
    <border>
      <left/>
      <right style="thin">
        <color rgb="FF3F3F3F"/>
      </right>
      <top/>
      <bottom style="double">
        <color rgb="FF434343"/>
      </bottom>
      <diagonal/>
    </border>
    <border>
      <left style="thin">
        <color rgb="FF3F3F3F"/>
      </left>
      <right style="thin">
        <color rgb="FFBFBFBF"/>
      </right>
      <top/>
      <bottom style="double">
        <color rgb="FF434343"/>
      </bottom>
      <diagonal/>
    </border>
    <border>
      <left style="thin">
        <color rgb="FFBFBFBF"/>
      </left>
      <right/>
      <top/>
      <bottom style="double">
        <color rgb="FF434343"/>
      </bottom>
      <diagonal/>
    </border>
    <border>
      <left style="thin">
        <color rgb="FFBFBFBF"/>
      </left>
      <right style="thin">
        <color rgb="FFD8D8D8"/>
      </right>
      <top/>
      <bottom style="double">
        <color rgb="FF434343"/>
      </bottom>
      <diagonal/>
    </border>
    <border>
      <left style="thin">
        <color rgb="FFD8D8D8"/>
      </left>
      <right style="thin">
        <color rgb="FFD8D8D8"/>
      </right>
      <top/>
      <bottom style="double">
        <color rgb="FF434343"/>
      </bottom>
      <diagonal/>
    </border>
    <border>
      <left style="thin">
        <color rgb="FFD8D8D8"/>
      </left>
      <right style="thin">
        <color rgb="FFBFBFBF"/>
      </right>
      <top/>
      <bottom style="double">
        <color rgb="FF434343"/>
      </bottom>
      <diagonal/>
    </border>
    <border>
      <left/>
      <right style="thin">
        <color rgb="FFD8D8D8"/>
      </right>
      <top/>
      <bottom style="double">
        <color rgb="FF434343"/>
      </bottom>
      <diagonal/>
    </border>
    <border>
      <left style="thin">
        <color rgb="FFD8D8D8"/>
      </left>
      <right style="thin">
        <color rgb="FF3F3F3F"/>
      </right>
      <top/>
      <bottom style="double">
        <color rgb="FF434343"/>
      </bottom>
      <diagonal/>
    </border>
    <border>
      <left style="thin">
        <color rgb="FF3F3F3F"/>
      </left>
      <right style="thin">
        <color rgb="FF3F3F3F"/>
      </right>
      <top/>
      <bottom/>
      <diagonal/>
    </border>
    <border>
      <left style="thin">
        <color rgb="FF3F3F3F"/>
      </left>
      <right/>
      <top/>
      <bottom/>
      <diagonal/>
    </border>
    <border>
      <left style="thin">
        <color rgb="FFBFBFBF"/>
      </left>
      <right style="thin">
        <color rgb="FFD8D8D8"/>
      </right>
      <top/>
      <bottom/>
      <diagonal/>
    </border>
    <border>
      <left style="thin">
        <color rgb="FFD8D8D8"/>
      </left>
      <right style="thin">
        <color rgb="FFD8D8D8"/>
      </right>
      <top/>
      <bottom/>
      <diagonal/>
    </border>
    <border>
      <left style="thin">
        <color rgb="FFD8D8D8"/>
      </left>
      <right style="thin">
        <color rgb="FFBFBFBF"/>
      </right>
      <top/>
      <bottom/>
      <diagonal/>
    </border>
    <border>
      <left/>
      <right style="thin">
        <color rgb="FFD8D8D8"/>
      </right>
      <top/>
      <bottom/>
      <diagonal/>
    </border>
    <border>
      <left style="thin">
        <color rgb="FFD8D8D8"/>
      </left>
      <right style="thin">
        <color rgb="FF3F3F3F"/>
      </right>
      <top/>
      <bottom/>
      <diagonal/>
    </border>
    <border>
      <left style="thin">
        <color rgb="FFD8D8D8"/>
      </left>
      <right style="thin">
        <color rgb="FF3F3F3F"/>
      </right>
      <top style="thin">
        <color rgb="FFD8D8D8"/>
      </top>
      <bottom style="thin">
        <color rgb="FF3F3F3F"/>
      </bottom>
      <diagonal/>
    </border>
    <border>
      <left/>
      <right style="thin">
        <color rgb="FFBFBFBF"/>
      </right>
      <top style="thin">
        <color rgb="FFD8D8D8"/>
      </top>
      <bottom style="thin">
        <color rgb="FF545F6B"/>
      </bottom>
      <diagonal/>
    </border>
    <border>
      <left style="thin">
        <color rgb="FF545F6B"/>
      </left>
      <right/>
      <top style="thin">
        <color rgb="FF545F6B"/>
      </top>
      <bottom style="thin">
        <color rgb="FFD8D8D8"/>
      </bottom>
      <diagonal/>
    </border>
    <border>
      <left/>
      <right style="thin">
        <color rgb="FF545F6B"/>
      </right>
      <top style="thin">
        <color rgb="FF545F6B"/>
      </top>
      <bottom style="thin">
        <color rgb="FFD8D8D8"/>
      </bottom>
      <diagonal/>
    </border>
    <border>
      <left style="thin">
        <color rgb="FF3F3F3F"/>
      </left>
      <right style="thin">
        <color rgb="FFBFBFBF"/>
      </right>
      <top style="thin">
        <color rgb="FF545F6B"/>
      </top>
      <bottom style="thin">
        <color rgb="FF3F3F3F"/>
      </bottom>
      <diagonal/>
    </border>
    <border>
      <left style="thin">
        <color rgb="FFBFBFBF"/>
      </left>
      <right/>
      <top style="thin">
        <color rgb="FF545F6B"/>
      </top>
      <bottom style="thin">
        <color rgb="FF3F3F3F"/>
      </bottom>
      <diagonal/>
    </border>
    <border>
      <left style="thin">
        <color rgb="FF545F6B"/>
      </left>
      <right/>
      <top style="thin">
        <color rgb="FFD8D8D8"/>
      </top>
      <bottom style="thin">
        <color rgb="FFD8D8D8"/>
      </bottom>
      <diagonal/>
    </border>
    <border>
      <left/>
      <right style="thin">
        <color rgb="FF545F6B"/>
      </right>
      <top style="thin">
        <color rgb="FFD8D8D8"/>
      </top>
      <bottom style="thin">
        <color rgb="FFD8D8D8"/>
      </bottom>
      <diagonal/>
    </border>
    <border>
      <left style="thin">
        <color rgb="FFBFBFBF"/>
      </left>
      <right style="thin">
        <color rgb="FFD8D8D8"/>
      </right>
      <top style="thin">
        <color rgb="FFD8D8D8"/>
      </top>
      <bottom style="thin">
        <color rgb="FFD8D8D8"/>
      </bottom>
      <diagonal/>
    </border>
    <border>
      <left style="thin">
        <color rgb="FF545F6B"/>
      </left>
      <right/>
      <top style="thin">
        <color rgb="FFD8D8D8"/>
      </top>
      <bottom style="thin">
        <color rgb="FF545F6B"/>
      </bottom>
      <diagonal/>
    </border>
    <border>
      <left/>
      <right style="thin">
        <color rgb="FF545F6B"/>
      </right>
      <top style="thin">
        <color rgb="FFD8D8D8"/>
      </top>
      <bottom style="thin">
        <color rgb="FF545F6B"/>
      </bottom>
      <diagonal/>
    </border>
    <border>
      <left style="thin">
        <color rgb="FF3F3F3F"/>
      </left>
      <right/>
      <top style="thin">
        <color rgb="FFD8D8D8"/>
      </top>
      <bottom style="thin">
        <color rgb="FF3F3F3F"/>
      </bottom>
      <diagonal/>
    </border>
    <border>
      <left style="thin">
        <color rgb="FFBFBFBF"/>
      </left>
      <right style="thin">
        <color rgb="FFD8D8D8"/>
      </right>
      <top style="thin">
        <color rgb="FFD8D8D8"/>
      </top>
      <bottom style="thin">
        <color rgb="FF3F3F3F"/>
      </bottom>
      <diagonal/>
    </border>
    <border>
      <left style="thin">
        <color rgb="FFD8D8D8"/>
      </left>
      <right style="thin">
        <color rgb="FFD8D8D8"/>
      </right>
      <top style="thin">
        <color rgb="FFD8D8D8"/>
      </top>
      <bottom style="thin">
        <color rgb="FF3F3F3F"/>
      </bottom>
      <diagonal/>
    </border>
    <border>
      <left style="thin">
        <color rgb="FFD8D8D8"/>
      </left>
      <right style="thin">
        <color rgb="FFBFBFBF"/>
      </right>
      <top style="thin">
        <color rgb="FFD8D8D8"/>
      </top>
      <bottom style="thin">
        <color rgb="FF3F3F3F"/>
      </bottom>
      <diagonal/>
    </border>
    <border>
      <left/>
      <right style="thin">
        <color rgb="FFD8D8D8"/>
      </right>
      <top style="thin">
        <color rgb="FFD8D8D8"/>
      </top>
      <bottom style="thin">
        <color rgb="FF3F3F3F"/>
      </bottom>
      <diagonal/>
    </border>
    <border>
      <left/>
      <right style="thin">
        <color theme="0" tint="-0.24994659260841701"/>
      </right>
      <top style="thin">
        <color theme="0" tint="-0.24994659260841701"/>
      </top>
      <bottom style="thin">
        <color theme="0" tint="-0.24994659260841701"/>
      </bottom>
      <diagonal/>
    </border>
    <border>
      <left/>
      <right style="thin">
        <color rgb="FFBFBFBF"/>
      </right>
      <top style="thin">
        <color theme="0" tint="-0.24994659260841701"/>
      </top>
      <bottom style="thin">
        <color theme="0" tint="-0.24994659260841701"/>
      </bottom>
      <diagonal/>
    </border>
    <border>
      <left style="thin">
        <color rgb="FFBFBFBF"/>
      </left>
      <right/>
      <top style="thin">
        <color theme="0" tint="-0.24994659260841701"/>
      </top>
      <bottom/>
      <diagonal/>
    </border>
    <border>
      <left/>
      <right/>
      <top style="thin">
        <color theme="0" tint="-0.24994659260841701"/>
      </top>
      <bottom/>
      <diagonal/>
    </border>
    <border>
      <left/>
      <right style="thin">
        <color rgb="FFBFBFBF"/>
      </right>
      <top style="thin">
        <color theme="0" tint="-0.24994659260841701"/>
      </top>
      <bottom/>
      <diagonal/>
    </border>
    <border>
      <left/>
      <right/>
      <top/>
      <bottom style="thin">
        <color rgb="FFA5A5A5"/>
      </bottom>
      <diagonal/>
    </border>
    <border>
      <left style="medium">
        <color rgb="FF2E7BBD"/>
      </left>
      <right/>
      <top style="medium">
        <color rgb="FF2E7BBD"/>
      </top>
      <bottom style="medium">
        <color rgb="FF2E7BBD"/>
      </bottom>
      <diagonal/>
    </border>
    <border>
      <left/>
      <right/>
      <top style="medium">
        <color rgb="FF2E7BBD"/>
      </top>
      <bottom style="medium">
        <color rgb="FF2E7BBD"/>
      </bottom>
      <diagonal/>
    </border>
    <border>
      <left style="thin">
        <color rgb="FFBFBFBF"/>
      </left>
      <right/>
      <top style="thin">
        <color rgb="FFD9D9D9"/>
      </top>
      <bottom/>
      <diagonal/>
    </border>
    <border>
      <left/>
      <right/>
      <top style="thin">
        <color rgb="FFD9D9D9"/>
      </top>
      <bottom/>
      <diagonal/>
    </border>
    <border>
      <left/>
      <right style="thin">
        <color rgb="FFBFBFBF"/>
      </right>
      <top style="thin">
        <color rgb="FFD9D9D9"/>
      </top>
      <bottom/>
      <diagonal/>
    </border>
    <border>
      <left style="medium">
        <color rgb="FF2E7BBD"/>
      </left>
      <right/>
      <top/>
      <bottom style="medium">
        <color rgb="FF2E7BBD"/>
      </bottom>
      <diagonal/>
    </border>
    <border>
      <left/>
      <right/>
      <top/>
      <bottom style="medium">
        <color rgb="FF2E7BBD"/>
      </bottom>
      <diagonal/>
    </border>
    <border>
      <left/>
      <right style="thin">
        <color rgb="FFBFBFBF"/>
      </right>
      <top style="medium">
        <color rgb="FF2E7BBD"/>
      </top>
      <bottom style="medium">
        <color rgb="FF2E7BBD"/>
      </bottom>
      <diagonal/>
    </border>
    <border>
      <left style="thin">
        <color rgb="FFBFBFBF"/>
      </left>
      <right/>
      <top style="medium">
        <color rgb="FF2E7BBD"/>
      </top>
      <bottom style="medium">
        <color rgb="FF2E7BBD"/>
      </bottom>
      <diagonal/>
    </border>
    <border>
      <left style="thin">
        <color rgb="FFBFBFBF"/>
      </left>
      <right style="thin">
        <color rgb="FFBFBFBF"/>
      </right>
      <top style="medium">
        <color rgb="FF2E7BBD"/>
      </top>
      <bottom style="medium">
        <color rgb="FF2E7BBD"/>
      </bottom>
      <diagonal/>
    </border>
    <border>
      <left style="thin">
        <color rgb="FFBFBFBF"/>
      </left>
      <right style="medium">
        <color rgb="FF2E7BBD"/>
      </right>
      <top style="medium">
        <color rgb="FF2E7BBD"/>
      </top>
      <bottom style="medium">
        <color rgb="FF2E7BBD"/>
      </bottom>
      <diagonal/>
    </border>
    <border>
      <left style="thin">
        <color rgb="FFBFBFBF"/>
      </left>
      <right style="thin">
        <color rgb="FFBFBFBF"/>
      </right>
      <top style="thin">
        <color rgb="FFBFBFBF"/>
      </top>
      <bottom style="double">
        <color rgb="FF434343"/>
      </bottom>
      <diagonal/>
    </border>
    <border>
      <left style="medium">
        <color rgb="FF2E7BBD"/>
      </left>
      <right/>
      <top style="medium">
        <color rgb="FF2E7BBD"/>
      </top>
      <bottom style="thin">
        <color rgb="FFBFBFBF"/>
      </bottom>
      <diagonal/>
    </border>
    <border>
      <left/>
      <right/>
      <top style="medium">
        <color rgb="FF2E7BBD"/>
      </top>
      <bottom style="thin">
        <color rgb="FFBFBFBF"/>
      </bottom>
      <diagonal/>
    </border>
    <border>
      <left/>
      <right style="thin">
        <color rgb="FFBFBFBF"/>
      </right>
      <top style="medium">
        <color rgb="FF2E7BBD"/>
      </top>
      <bottom style="thin">
        <color rgb="FFBFBFBF"/>
      </bottom>
      <diagonal/>
    </border>
    <border>
      <left style="thin">
        <color rgb="FFBFBFBF"/>
      </left>
      <right style="thin">
        <color rgb="FFBFBFBF"/>
      </right>
      <top style="medium">
        <color rgb="FF2E7BBD"/>
      </top>
      <bottom style="thin">
        <color rgb="FFBFBFBF"/>
      </bottom>
      <diagonal/>
    </border>
    <border>
      <left style="thin">
        <color rgb="FFBFBFBF"/>
      </left>
      <right style="medium">
        <color rgb="FF2E7BBD"/>
      </right>
      <top style="medium">
        <color rgb="FF2E7BBD"/>
      </top>
      <bottom style="thin">
        <color rgb="FFBFBFBF"/>
      </bottom>
      <diagonal/>
    </border>
    <border>
      <left style="medium">
        <color rgb="FF2E7BBD"/>
      </left>
      <right/>
      <top style="thin">
        <color rgb="FFBFBFBF"/>
      </top>
      <bottom style="medium">
        <color rgb="FF2E7BBD"/>
      </bottom>
      <diagonal/>
    </border>
    <border>
      <left/>
      <right/>
      <top style="thin">
        <color rgb="FFBFBFBF"/>
      </top>
      <bottom style="medium">
        <color rgb="FF2E7BBD"/>
      </bottom>
      <diagonal/>
    </border>
    <border>
      <left/>
      <right style="thin">
        <color rgb="FFBFBFBF"/>
      </right>
      <top style="thin">
        <color rgb="FFBFBFBF"/>
      </top>
      <bottom style="medium">
        <color rgb="FF2E7BBD"/>
      </bottom>
      <diagonal/>
    </border>
    <border>
      <left style="thin">
        <color rgb="FFBFBFBF"/>
      </left>
      <right style="thin">
        <color rgb="FFBFBFBF"/>
      </right>
      <top style="thin">
        <color rgb="FFBFBFBF"/>
      </top>
      <bottom style="medium">
        <color rgb="FF2E7BBD"/>
      </bottom>
      <diagonal/>
    </border>
    <border>
      <left style="thin">
        <color rgb="FFBFBFBF"/>
      </left>
      <right style="medium">
        <color rgb="FF2E7BBD"/>
      </right>
      <top style="thin">
        <color rgb="FFBFBFBF"/>
      </top>
      <bottom style="medium">
        <color rgb="FF2E7BBD"/>
      </bottom>
      <diagonal/>
    </border>
    <border>
      <left style="medium">
        <color rgb="FF2E7BBD"/>
      </left>
      <right/>
      <top style="thin">
        <color rgb="FFBFBFBF"/>
      </top>
      <bottom style="thin">
        <color rgb="FFBFBFBF"/>
      </bottom>
      <diagonal/>
    </border>
    <border>
      <left style="thin">
        <color rgb="FFBFBFBF"/>
      </left>
      <right style="medium">
        <color rgb="FF2E7BBD"/>
      </right>
      <top style="thin">
        <color rgb="FFBFBFBF"/>
      </top>
      <bottom style="thin">
        <color rgb="FFBFBFBF"/>
      </bottom>
      <diagonal/>
    </border>
    <border>
      <left style="medium">
        <color rgb="FF2E7BBD"/>
      </left>
      <right/>
      <top style="thin">
        <color rgb="FFBFBFBF"/>
      </top>
      <bottom style="double">
        <color rgb="FF3F3F3F"/>
      </bottom>
      <diagonal/>
    </border>
    <border>
      <left style="thin">
        <color rgb="FFBFBFBF"/>
      </left>
      <right style="thin">
        <color rgb="FFBFBFBF"/>
      </right>
      <top style="thin">
        <color rgb="FFBFBFBF"/>
      </top>
      <bottom style="double">
        <color rgb="FF3F3F3F"/>
      </bottom>
      <diagonal/>
    </border>
    <border>
      <left style="thin">
        <color rgb="FFBFBFBF"/>
      </left>
      <right style="medium">
        <color rgb="FF2E7BBD"/>
      </right>
      <top style="thin">
        <color rgb="FFBFBFBF"/>
      </top>
      <bottom style="double">
        <color rgb="FF3F3F3F"/>
      </bottom>
      <diagonal/>
    </border>
    <border>
      <left/>
      <right style="thin">
        <color rgb="FFBFBFBF"/>
      </right>
      <top/>
      <bottom style="medium">
        <color rgb="FF2E7BBD"/>
      </bottom>
      <diagonal/>
    </border>
    <border>
      <left style="thin">
        <color rgb="FFBFBFBF"/>
      </left>
      <right/>
      <top/>
      <bottom style="medium">
        <color rgb="FF2E7BBD"/>
      </bottom>
      <diagonal/>
    </border>
    <border>
      <left style="thin">
        <color rgb="FFBFBFBF"/>
      </left>
      <right style="thin">
        <color rgb="FFBFBFBF"/>
      </right>
      <top/>
      <bottom style="medium">
        <color rgb="FF2E7BBD"/>
      </bottom>
      <diagonal/>
    </border>
    <border>
      <left style="thin">
        <color rgb="FFBFBFBF"/>
      </left>
      <right style="medium">
        <color rgb="FF2E7BBD"/>
      </right>
      <top/>
      <bottom style="medium">
        <color rgb="FF2E7BBD"/>
      </bottom>
      <diagonal/>
    </border>
    <border>
      <left style="thin">
        <color rgb="FF4F81BD"/>
      </left>
      <right/>
      <top/>
      <bottom/>
      <diagonal/>
    </border>
    <border>
      <left/>
      <right style="thin">
        <color rgb="FF4F81BD"/>
      </right>
      <top/>
      <bottom/>
      <diagonal/>
    </border>
    <border>
      <left style="thin">
        <color rgb="FFBFBFBF"/>
      </left>
      <right/>
      <top style="thin">
        <color rgb="FFBFBFBF"/>
      </top>
      <bottom style="double">
        <color indexed="64"/>
      </bottom>
      <diagonal/>
    </border>
    <border>
      <left/>
      <right/>
      <top style="thin">
        <color rgb="FFBFBFBF"/>
      </top>
      <bottom style="double">
        <color indexed="64"/>
      </bottom>
      <diagonal/>
    </border>
    <border>
      <left/>
      <right style="thin">
        <color rgb="FFBFBFBF"/>
      </right>
      <top style="thin">
        <color rgb="FFBFBFBF"/>
      </top>
      <bottom style="double">
        <color indexed="64"/>
      </bottom>
      <diagonal/>
    </border>
    <border>
      <left style="thin">
        <color rgb="FF398CCC"/>
      </left>
      <right/>
      <top/>
      <bottom style="double">
        <color auto="1"/>
      </bottom>
      <diagonal/>
    </border>
    <border>
      <left/>
      <right style="thin">
        <color rgb="FF398CCC"/>
      </right>
      <top style="double">
        <color indexed="64"/>
      </top>
      <bottom/>
      <diagonal/>
    </border>
    <border>
      <left style="thin">
        <color rgb="FFBFBFBF"/>
      </left>
      <right style="thin">
        <color rgb="FFBFBFBF"/>
      </right>
      <top style="thin">
        <color rgb="FFBFBFBF"/>
      </top>
      <bottom style="double">
        <color auto="1"/>
      </bottom>
      <diagonal/>
    </border>
    <border>
      <left/>
      <right/>
      <top style="thin">
        <color theme="0" tint="-0.249977111117893"/>
      </top>
      <bottom style="thin">
        <color theme="0" tint="-0.24994659260841701"/>
      </bottom>
      <diagonal/>
    </border>
    <border>
      <left/>
      <right style="thin">
        <color theme="0" tint="-0.249977111117893"/>
      </right>
      <top style="thin">
        <color theme="0" tint="-0.24994659260841701"/>
      </top>
      <bottom style="thin">
        <color theme="0" tint="-0.24994659260841701"/>
      </bottom>
      <diagonal/>
    </border>
    <border>
      <left/>
      <right style="thin">
        <color theme="0" tint="-0.14999847407452621"/>
      </right>
      <top style="thin">
        <color theme="0" tint="-0.14999847407452621"/>
      </top>
      <bottom style="double">
        <color indexed="64"/>
      </bottom>
      <diagonal/>
    </border>
    <border>
      <left style="thin">
        <color theme="0" tint="-0.14999847407452621"/>
      </left>
      <right/>
      <top style="thin">
        <color theme="0" tint="-0.14999847407452621"/>
      </top>
      <bottom style="double">
        <color indexed="64"/>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double">
        <color auto="1"/>
      </bottom>
      <diagonal/>
    </border>
    <border>
      <left/>
      <right style="thin">
        <color theme="0" tint="-0.14996795556505021"/>
      </right>
      <top/>
      <bottom style="double">
        <color auto="1"/>
      </bottom>
      <diagonal/>
    </border>
    <border>
      <left style="thin">
        <color theme="0" tint="-0.249977111117893"/>
      </left>
      <right/>
      <top/>
      <bottom style="thin">
        <color theme="0" tint="-0.14999847407452621"/>
      </bottom>
      <diagonal/>
    </border>
    <border>
      <left style="thin">
        <color theme="0" tint="-0.249977111117893"/>
      </left>
      <right/>
      <top style="thin">
        <color theme="0" tint="-0.14999847407452621"/>
      </top>
      <bottom/>
      <diagonal/>
    </border>
    <border>
      <left/>
      <right style="thin">
        <color theme="0" tint="-0.249977111117893"/>
      </right>
      <top style="thin">
        <color theme="0" tint="-0.14999847407452621"/>
      </top>
      <bottom/>
      <diagonal/>
    </border>
    <border>
      <left/>
      <right style="thin">
        <color theme="0" tint="-0.249977111117893"/>
      </right>
      <top/>
      <bottom style="thin">
        <color theme="0" tint="-0.14999847407452621"/>
      </bottom>
      <diagonal/>
    </border>
    <border>
      <left style="thin">
        <color theme="0" tint="-0.249977111117893"/>
      </left>
      <right/>
      <top style="thin">
        <color theme="0" tint="-0.14999847407452621"/>
      </top>
      <bottom style="thin">
        <color theme="0" tint="-0.14999847407452621"/>
      </bottom>
      <diagonal/>
    </border>
    <border>
      <left/>
      <right style="thin">
        <color theme="0" tint="-0.249977111117893"/>
      </right>
      <top style="thin">
        <color theme="0" tint="-0.14999847407452621"/>
      </top>
      <bottom style="thin">
        <color theme="0" tint="-0.14999847407452621"/>
      </bottom>
      <diagonal/>
    </border>
    <border>
      <left style="thin">
        <color theme="0" tint="-0.249977111117893"/>
      </left>
      <right/>
      <top/>
      <bottom style="double">
        <color auto="1"/>
      </bottom>
      <diagonal/>
    </border>
    <border>
      <left/>
      <right style="thin">
        <color theme="0" tint="-0.249977111117893"/>
      </right>
      <top/>
      <bottom style="double">
        <color auto="1"/>
      </bottom>
      <diagonal/>
    </border>
  </borders>
  <cellStyleXfs count="1300">
    <xf numFmtId="0" fontId="0" fillId="0" borderId="0"/>
    <xf numFmtId="43" fontId="23" fillId="0" borderId="0" applyFont="0" applyFill="0" applyBorder="0" applyAlignment="0" applyProtection="0"/>
    <xf numFmtId="43" fontId="23" fillId="0" borderId="0" applyFont="0" applyFill="0" applyBorder="0" applyAlignment="0" applyProtection="0"/>
    <xf numFmtId="44" fontId="24" fillId="0" borderId="0" applyFont="0" applyFill="0" applyBorder="0" applyAlignment="0" applyProtection="0"/>
    <xf numFmtId="44" fontId="22" fillId="0" borderId="0" applyFont="0" applyFill="0" applyBorder="0" applyAlignment="0" applyProtection="0"/>
    <xf numFmtId="44" fontId="2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4" fillId="0" borderId="0" applyFont="0" applyFill="0" applyBorder="0" applyAlignment="0" applyProtection="0"/>
    <xf numFmtId="0" fontId="25" fillId="0" borderId="0"/>
    <xf numFmtId="0" fontId="26" fillId="0" borderId="0"/>
    <xf numFmtId="0" fontId="25" fillId="0" borderId="0"/>
    <xf numFmtId="0" fontId="27" fillId="0" borderId="0"/>
    <xf numFmtId="0" fontId="27" fillId="0" borderId="0"/>
    <xf numFmtId="0" fontId="27" fillId="0" borderId="0"/>
    <xf numFmtId="0" fontId="24" fillId="0" borderId="0"/>
    <xf numFmtId="9" fontId="21" fillId="0" borderId="0" applyFont="0" applyFill="0" applyBorder="0" applyAlignment="0" applyProtection="0"/>
    <xf numFmtId="9" fontId="23" fillId="0" borderId="0" applyFont="0" applyFill="0" applyBorder="0" applyAlignment="0" applyProtection="0"/>
    <xf numFmtId="0" fontId="20" fillId="0" borderId="0"/>
    <xf numFmtId="0" fontId="20" fillId="2" borderId="5" applyNumberFormat="0" applyFont="0" applyAlignment="0" applyProtection="0"/>
    <xf numFmtId="44" fontId="20" fillId="0" borderId="0" applyFont="0" applyFill="0" applyBorder="0" applyAlignment="0" applyProtection="0"/>
    <xf numFmtId="9" fontId="20" fillId="0" borderId="0" applyFont="0" applyFill="0" applyBorder="0" applyAlignment="0" applyProtection="0"/>
    <xf numFmtId="9" fontId="24" fillId="0" borderId="0" applyFont="0" applyFill="0" applyBorder="0" applyAlignment="0" applyProtection="0"/>
    <xf numFmtId="0" fontId="19" fillId="0" borderId="0"/>
    <xf numFmtId="0" fontId="19" fillId="2" borderId="5" applyNumberFormat="0" applyFont="0" applyAlignment="0" applyProtection="0"/>
    <xf numFmtId="44" fontId="19" fillId="0" borderId="0" applyFont="0" applyFill="0" applyBorder="0" applyAlignment="0" applyProtection="0"/>
    <xf numFmtId="9" fontId="19" fillId="0" borderId="0" applyFont="0" applyFill="0" applyBorder="0" applyAlignment="0" applyProtection="0"/>
    <xf numFmtId="0" fontId="18" fillId="10" borderId="0" applyNumberFormat="0" applyBorder="0" applyAlignment="0" applyProtection="0"/>
    <xf numFmtId="43" fontId="2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3" fillId="0" borderId="0"/>
    <xf numFmtId="0" fontId="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 fillId="0" borderId="0"/>
    <xf numFmtId="0" fontId="23" fillId="0" borderId="0"/>
    <xf numFmtId="0" fontId="23" fillId="0" borderId="0"/>
    <xf numFmtId="0" fontId="18" fillId="2" borderId="5" applyNumberFormat="0" applyFont="0" applyAlignment="0" applyProtection="0"/>
    <xf numFmtId="0" fontId="18" fillId="2" borderId="5" applyNumberFormat="0" applyFont="0" applyAlignment="0" applyProtection="0"/>
    <xf numFmtId="0" fontId="18" fillId="0" borderId="0"/>
    <xf numFmtId="0" fontId="18" fillId="2" borderId="5" applyNumberFormat="0" applyFont="0" applyAlignment="0" applyProtection="0"/>
    <xf numFmtId="44" fontId="18" fillId="0" borderId="0" applyFont="0" applyFill="0" applyBorder="0" applyAlignment="0" applyProtection="0"/>
    <xf numFmtId="0" fontId="18" fillId="4"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7" fillId="0" borderId="0"/>
    <xf numFmtId="0" fontId="17" fillId="2" borderId="5" applyNumberFormat="0" applyFont="0" applyAlignment="0" applyProtection="0"/>
    <xf numFmtId="44" fontId="17" fillId="0" borderId="0" applyFont="0" applyFill="0" applyBorder="0" applyAlignment="0" applyProtection="0"/>
    <xf numFmtId="0" fontId="29" fillId="0" borderId="0" applyFill="0" applyBorder="0" applyProtection="0">
      <alignment horizontal="left"/>
    </xf>
    <xf numFmtId="0" fontId="30" fillId="0" borderId="0" applyNumberFormat="0" applyFill="0" applyBorder="0" applyProtection="0">
      <alignment vertical="center"/>
    </xf>
    <xf numFmtId="0" fontId="31" fillId="0" borderId="0" applyNumberFormat="0" applyFill="0" applyBorder="0" applyAlignment="0" applyProtection="0"/>
    <xf numFmtId="0" fontId="32" fillId="0" borderId="0" applyNumberFormat="0" applyFill="0" applyBorder="0" applyProtection="0">
      <alignment horizontal="left" vertical="center"/>
    </xf>
    <xf numFmtId="0" fontId="33" fillId="13" borderId="9" applyNumberFormat="0" applyProtection="0">
      <alignment horizontal="left" vertical="center"/>
    </xf>
    <xf numFmtId="0" fontId="34" fillId="0" borderId="0" applyFill="0" applyBorder="0" applyProtection="0">
      <alignment horizontal="center"/>
    </xf>
    <xf numFmtId="3" fontId="34" fillId="0" borderId="10" applyFill="0" applyProtection="0">
      <alignment horizontal="center"/>
    </xf>
    <xf numFmtId="9" fontId="35" fillId="0" borderId="0" applyFill="0" applyBorder="0" applyProtection="0">
      <alignment horizontal="center" vertical="center"/>
    </xf>
    <xf numFmtId="0" fontId="36" fillId="0" borderId="0" applyNumberFormat="0" applyFill="0" applyBorder="0" applyAlignment="0" applyProtection="0"/>
    <xf numFmtId="0" fontId="16" fillId="0" borderId="0"/>
    <xf numFmtId="44" fontId="21" fillId="0" borderId="0" applyFont="0" applyFill="0" applyBorder="0" applyAlignment="0" applyProtection="0"/>
    <xf numFmtId="0" fontId="84" fillId="0" borderId="84" applyNumberFormat="0" applyFill="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18" borderId="0">
      <alignment horizontal="center" vertical="center"/>
    </xf>
    <xf numFmtId="9" fontId="88" fillId="0" borderId="0">
      <alignment horizontal="left" vertical="center" indent="1"/>
    </xf>
    <xf numFmtId="5" fontId="89" fillId="0" borderId="85">
      <alignment horizontal="center" vertical="center"/>
    </xf>
    <xf numFmtId="0" fontId="90" fillId="0" borderId="0" applyFill="0" applyBorder="0">
      <alignment vertical="center"/>
    </xf>
    <xf numFmtId="0" fontId="14" fillId="0" borderId="0"/>
    <xf numFmtId="9" fontId="14" fillId="0" borderId="0" applyFont="0" applyFill="0" applyBorder="0" applyAlignment="0" applyProtection="0"/>
    <xf numFmtId="0" fontId="91"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2" borderId="5" applyNumberFormat="0" applyFont="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2" borderId="5" applyNumberFormat="0" applyFont="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10" borderId="0" applyNumberFormat="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5" applyNumberFormat="0" applyFont="0" applyAlignment="0" applyProtection="0"/>
    <xf numFmtId="0" fontId="13" fillId="2" borderId="5" applyNumberFormat="0" applyFont="0" applyAlignment="0" applyProtection="0"/>
    <xf numFmtId="0" fontId="13" fillId="0" borderId="0"/>
    <xf numFmtId="0" fontId="13" fillId="2" borderId="5" applyNumberFormat="0" applyFont="0" applyAlignment="0" applyProtection="0"/>
    <xf numFmtId="44" fontId="13" fillId="0" borderId="0" applyFont="0" applyFill="0" applyBorder="0" applyAlignment="0" applyProtection="0"/>
    <xf numFmtId="0" fontId="13" fillId="4" borderId="0" applyNumberFormat="0" applyBorder="0" applyAlignment="0" applyProtection="0"/>
    <xf numFmtId="0" fontId="13" fillId="3" borderId="0" applyNumberFormat="0" applyBorder="0" applyAlignment="0" applyProtection="0"/>
    <xf numFmtId="0" fontId="13" fillId="5" borderId="0" applyNumberFormat="0" applyBorder="0" applyAlignment="0" applyProtection="0"/>
    <xf numFmtId="0" fontId="13" fillId="0" borderId="0"/>
    <xf numFmtId="0" fontId="13" fillId="2" borderId="5" applyNumberFormat="0" applyFont="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2" borderId="5" applyNumberFormat="0" applyFont="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2" borderId="5" applyNumberFormat="0" applyFont="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5" applyNumberFormat="0" applyFont="0" applyAlignment="0" applyProtection="0"/>
    <xf numFmtId="0" fontId="12" fillId="2" borderId="5" applyNumberFormat="0" applyFont="0" applyAlignment="0" applyProtection="0"/>
    <xf numFmtId="0" fontId="12" fillId="0" borderId="0"/>
    <xf numFmtId="0" fontId="12" fillId="2" borderId="5" applyNumberFormat="0" applyFont="0" applyAlignment="0" applyProtection="0"/>
    <xf numFmtId="44" fontId="12" fillId="0" borderId="0" applyFont="0" applyFill="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5" borderId="0" applyNumberFormat="0" applyBorder="0" applyAlignment="0" applyProtection="0"/>
    <xf numFmtId="0" fontId="12" fillId="0" borderId="0"/>
    <xf numFmtId="0" fontId="12" fillId="2" borderId="5" applyNumberFormat="0" applyFont="0" applyAlignment="0" applyProtection="0"/>
    <xf numFmtId="44"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 borderId="5" applyNumberFormat="0" applyFont="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2" borderId="5" applyNumberFormat="0" applyFont="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5" applyNumberFormat="0" applyFont="0" applyAlignment="0" applyProtection="0"/>
    <xf numFmtId="0" fontId="12" fillId="2" borderId="5" applyNumberFormat="0" applyFont="0" applyAlignment="0" applyProtection="0"/>
    <xf numFmtId="0" fontId="12" fillId="0" borderId="0"/>
    <xf numFmtId="0" fontId="12" fillId="2" borderId="5" applyNumberFormat="0" applyFont="0" applyAlignment="0" applyProtection="0"/>
    <xf numFmtId="44" fontId="12" fillId="0" borderId="0" applyFont="0" applyFill="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5" borderId="0" applyNumberFormat="0" applyBorder="0" applyAlignment="0" applyProtection="0"/>
    <xf numFmtId="0" fontId="12" fillId="0" borderId="0"/>
    <xf numFmtId="0" fontId="12" fillId="2" borderId="5" applyNumberFormat="0" applyFont="0" applyAlignment="0" applyProtection="0"/>
    <xf numFmtId="44" fontId="12" fillId="0" borderId="0" applyFont="0" applyFill="0" applyBorder="0" applyAlignment="0" applyProtection="0"/>
    <xf numFmtId="0" fontId="12" fillId="0" borderId="0"/>
    <xf numFmtId="0" fontId="11"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10"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0" fontId="10" fillId="2" borderId="5" applyNumberFormat="0" applyFont="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5" borderId="0" applyNumberFormat="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10"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0" fontId="10" fillId="2" borderId="5" applyNumberFormat="0" applyFont="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5" borderId="0" applyNumberFormat="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10"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0" fontId="10" fillId="2" borderId="5" applyNumberFormat="0" applyFont="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5" borderId="0" applyNumberFormat="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10"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0" fontId="10" fillId="2" borderId="5" applyNumberFormat="0" applyFont="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5" borderId="0" applyNumberFormat="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10"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0" fontId="10" fillId="2" borderId="5" applyNumberFormat="0" applyFont="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5" borderId="0" applyNumberFormat="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10"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0" fontId="10" fillId="2" borderId="5" applyNumberFormat="0" applyFont="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5" borderId="0" applyNumberFormat="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10"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0" fontId="10" fillId="2" borderId="5" applyNumberFormat="0" applyFont="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5" borderId="0" applyNumberFormat="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10"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0" fontId="10" fillId="2" borderId="5" applyNumberFormat="0" applyFont="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5" borderId="0" applyNumberFormat="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10"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0" fontId="10" fillId="2" borderId="5" applyNumberFormat="0" applyFont="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5" borderId="0" applyNumberFormat="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10"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0" fontId="10" fillId="2" borderId="5" applyNumberFormat="0" applyFont="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5" borderId="0" applyNumberFormat="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10"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0" fontId="10" fillId="2" borderId="5" applyNumberFormat="0" applyFont="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5" borderId="0" applyNumberFormat="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10"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5" applyNumberFormat="0" applyFont="0" applyAlignment="0" applyProtection="0"/>
    <xf numFmtId="0" fontId="10" fillId="2" borderId="5" applyNumberFormat="0" applyFont="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5" borderId="0" applyNumberFormat="0" applyBorder="0" applyAlignment="0" applyProtection="0"/>
    <xf numFmtId="0" fontId="10" fillId="0" borderId="0"/>
    <xf numFmtId="0" fontId="10" fillId="2" borderId="5" applyNumberFormat="0" applyFont="0" applyAlignment="0" applyProtection="0"/>
    <xf numFmtId="44" fontId="10" fillId="0" borderId="0" applyFont="0" applyFill="0" applyBorder="0" applyAlignment="0" applyProtection="0"/>
    <xf numFmtId="0" fontId="10" fillId="0" borderId="0"/>
    <xf numFmtId="0" fontId="149" fillId="0" borderId="0" applyNumberFormat="0" applyFill="0" applyBorder="0" applyAlignment="0" applyProtection="0"/>
    <xf numFmtId="0" fontId="9" fillId="0" borderId="0"/>
    <xf numFmtId="0" fontId="8" fillId="0" borderId="0"/>
    <xf numFmtId="0" fontId="6" fillId="3"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4" fillId="0" borderId="0"/>
    <xf numFmtId="0" fontId="383" fillId="0" borderId="0"/>
  </cellStyleXfs>
  <cellXfs count="4309">
    <xf numFmtId="0" fontId="0" fillId="0" borderId="0" xfId="0"/>
    <xf numFmtId="0" fontId="44" fillId="21" borderId="0" xfId="0" applyFont="1" applyFill="1"/>
    <xf numFmtId="0" fontId="37" fillId="21" borderId="0" xfId="0" applyFont="1" applyFill="1" applyProtection="1">
      <protection locked="0"/>
    </xf>
    <xf numFmtId="0" fontId="37" fillId="21" borderId="0" xfId="0" applyFont="1" applyFill="1" applyBorder="1" applyProtection="1">
      <protection locked="0"/>
    </xf>
    <xf numFmtId="0" fontId="41" fillId="21" borderId="0" xfId="0" applyFont="1" applyFill="1" applyBorder="1" applyProtection="1">
      <protection hidden="1"/>
    </xf>
    <xf numFmtId="0" fontId="40" fillId="21" borderId="0" xfId="0" applyFont="1" applyFill="1" applyBorder="1" applyProtection="1">
      <protection hidden="1"/>
    </xf>
    <xf numFmtId="0" fontId="37" fillId="21" borderId="0" xfId="0" applyFont="1" applyFill="1" applyBorder="1" applyProtection="1">
      <protection hidden="1"/>
    </xf>
    <xf numFmtId="0" fontId="43" fillId="21" borderId="0" xfId="0" applyFont="1" applyFill="1" applyBorder="1" applyAlignment="1" applyProtection="1">
      <protection hidden="1"/>
    </xf>
    <xf numFmtId="0" fontId="40" fillId="21" borderId="0" xfId="0" applyFont="1" applyFill="1" applyBorder="1" applyAlignment="1" applyProtection="1">
      <alignment vertical="center"/>
      <protection hidden="1"/>
    </xf>
    <xf numFmtId="0" fontId="40" fillId="21" borderId="0" xfId="0" applyNumberFormat="1" applyFont="1" applyFill="1" applyBorder="1" applyAlignment="1" applyProtection="1">
      <alignment vertical="center" wrapText="1"/>
      <protection hidden="1"/>
    </xf>
    <xf numFmtId="0" fontId="41" fillId="21" borderId="0" xfId="0" applyFont="1" applyFill="1" applyBorder="1" applyAlignment="1" applyProtection="1">
      <protection hidden="1"/>
    </xf>
    <xf numFmtId="0" fontId="37" fillId="21" borderId="0" xfId="0" applyFont="1" applyFill="1" applyProtection="1"/>
    <xf numFmtId="0" fontId="37" fillId="21" borderId="0" xfId="0" applyFont="1" applyFill="1" applyProtection="1">
      <protection hidden="1"/>
    </xf>
    <xf numFmtId="41" fontId="37" fillId="21" borderId="0" xfId="0" applyNumberFormat="1" applyFont="1" applyFill="1" applyProtection="1">
      <protection hidden="1"/>
    </xf>
    <xf numFmtId="0" fontId="15" fillId="6" borderId="0" xfId="90" applyFont="1" applyFill="1" applyBorder="1" applyProtection="1">
      <protection locked="0"/>
    </xf>
    <xf numFmtId="0" fontId="37" fillId="21" borderId="0" xfId="0" applyFont="1" applyFill="1" applyBorder="1" applyProtection="1"/>
    <xf numFmtId="167" fontId="37" fillId="21" borderId="0" xfId="0" applyNumberFormat="1" applyFont="1" applyFill="1" applyProtection="1">
      <protection hidden="1"/>
    </xf>
    <xf numFmtId="0" fontId="44" fillId="21" borderId="0" xfId="0" applyFont="1" applyFill="1" applyProtection="1"/>
    <xf numFmtId="164" fontId="39" fillId="21" borderId="0" xfId="1" applyNumberFormat="1" applyFont="1" applyFill="1" applyAlignment="1" applyProtection="1">
      <alignment horizontal="right"/>
    </xf>
    <xf numFmtId="0" fontId="39" fillId="21" borderId="0" xfId="0" applyFont="1" applyFill="1" applyProtection="1">
      <protection locked="0"/>
    </xf>
    <xf numFmtId="164" fontId="39" fillId="21" borderId="0" xfId="1" applyNumberFormat="1" applyFont="1" applyFill="1" applyAlignment="1" applyProtection="1">
      <alignment horizontal="right"/>
      <protection locked="0"/>
    </xf>
    <xf numFmtId="0" fontId="44" fillId="21" borderId="0" xfId="0" applyFont="1" applyFill="1" applyProtection="1">
      <protection locked="0"/>
    </xf>
    <xf numFmtId="0" fontId="41" fillId="21" borderId="0" xfId="0" applyFont="1" applyFill="1" applyProtection="1">
      <protection locked="0"/>
    </xf>
    <xf numFmtId="0" fontId="0" fillId="6" borderId="0" xfId="0" applyFill="1" applyProtection="1">
      <protection hidden="1"/>
    </xf>
    <xf numFmtId="0" fontId="0" fillId="21" borderId="0" xfId="0" applyFill="1" applyProtection="1">
      <protection hidden="1"/>
    </xf>
    <xf numFmtId="0" fontId="39" fillId="21" borderId="0" xfId="0" applyFont="1" applyFill="1" applyProtection="1">
      <protection hidden="1"/>
    </xf>
    <xf numFmtId="0" fontId="42" fillId="21" borderId="0" xfId="0" applyFont="1" applyFill="1" applyAlignment="1" applyProtection="1">
      <alignment wrapText="1"/>
      <protection hidden="1"/>
    </xf>
    <xf numFmtId="0" fontId="102" fillId="21" borderId="0" xfId="0" applyFont="1" applyFill="1" applyAlignment="1" applyProtection="1">
      <alignment wrapText="1"/>
      <protection hidden="1"/>
    </xf>
    <xf numFmtId="0" fontId="101" fillId="21" borderId="0" xfId="0" applyFont="1" applyFill="1" applyAlignment="1" applyProtection="1">
      <alignment vertical="top"/>
      <protection hidden="1"/>
    </xf>
    <xf numFmtId="41" fontId="37" fillId="21" borderId="0" xfId="0" applyNumberFormat="1" applyFont="1" applyFill="1" applyBorder="1" applyProtection="1">
      <protection hidden="1"/>
    </xf>
    <xf numFmtId="0" fontId="55" fillId="0" borderId="0" xfId="0" applyFont="1" applyFill="1" applyBorder="1" applyProtection="1">
      <protection hidden="1"/>
    </xf>
    <xf numFmtId="168" fontId="76" fillId="0" borderId="97" xfId="0" applyNumberFormat="1" applyFont="1" applyFill="1" applyBorder="1" applyAlignment="1" applyProtection="1">
      <alignment horizontal="center"/>
      <protection hidden="1"/>
    </xf>
    <xf numFmtId="168" fontId="55" fillId="0" borderId="105" xfId="0" applyNumberFormat="1" applyFont="1" applyFill="1" applyBorder="1" applyAlignment="1" applyProtection="1">
      <alignment horizontal="center"/>
      <protection hidden="1"/>
    </xf>
    <xf numFmtId="168" fontId="55" fillId="0" borderId="97" xfId="0" applyNumberFormat="1" applyFont="1" applyFill="1" applyBorder="1" applyAlignment="1" applyProtection="1">
      <alignment horizontal="center"/>
      <protection hidden="1"/>
    </xf>
    <xf numFmtId="0" fontId="37" fillId="21" borderId="0" xfId="0" applyFont="1" applyFill="1" applyAlignment="1" applyProtection="1">
      <alignment horizontal="center" vertical="center"/>
      <protection hidden="1"/>
    </xf>
    <xf numFmtId="0" fontId="37" fillId="6" borderId="0" xfId="0" applyFont="1" applyFill="1" applyProtection="1">
      <protection locked="0"/>
    </xf>
    <xf numFmtId="0" fontId="78" fillId="0" borderId="0" xfId="0" applyFont="1" applyFill="1" applyBorder="1" applyAlignment="1" applyProtection="1">
      <alignment horizontal="left" indent="2"/>
      <protection locked="0"/>
    </xf>
    <xf numFmtId="2" fontId="78" fillId="0" borderId="0" xfId="0" applyNumberFormat="1" applyFont="1" applyFill="1" applyBorder="1" applyAlignment="1" applyProtection="1">
      <alignment vertical="center"/>
      <protection locked="0"/>
    </xf>
    <xf numFmtId="44" fontId="52" fillId="25" borderId="127" xfId="3" applyFont="1" applyFill="1" applyBorder="1" applyAlignment="1" applyProtection="1">
      <alignment horizontal="center" vertical="center" wrapText="1"/>
      <protection locked="0"/>
    </xf>
    <xf numFmtId="0" fontId="52" fillId="21" borderId="0" xfId="0" applyFont="1" applyFill="1" applyProtection="1"/>
    <xf numFmtId="1" fontId="52" fillId="21" borderId="0" xfId="0" applyNumberFormat="1" applyFont="1" applyFill="1" applyProtection="1"/>
    <xf numFmtId="0" fontId="52" fillId="21" borderId="0" xfId="0" applyFont="1" applyFill="1" applyBorder="1" applyProtection="1"/>
    <xf numFmtId="0" fontId="72" fillId="21" borderId="0" xfId="0" applyFont="1" applyFill="1" applyProtection="1">
      <protection locked="0"/>
    </xf>
    <xf numFmtId="1" fontId="52" fillId="21" borderId="0" xfId="0" applyNumberFormat="1" applyFont="1" applyFill="1" applyProtection="1">
      <protection locked="0"/>
    </xf>
    <xf numFmtId="0" fontId="52" fillId="21" borderId="0" xfId="0" applyFont="1" applyFill="1" applyProtection="1">
      <protection locked="0"/>
    </xf>
    <xf numFmtId="0" fontId="52" fillId="21" borderId="0" xfId="0" applyFont="1" applyFill="1" applyBorder="1" applyProtection="1">
      <protection locked="0"/>
    </xf>
    <xf numFmtId="0" fontId="113" fillId="21" borderId="0" xfId="27" applyFont="1" applyFill="1" applyBorder="1" applyAlignment="1" applyProtection="1">
      <alignment vertical="center"/>
    </xf>
    <xf numFmtId="165" fontId="113" fillId="21" borderId="0" xfId="27" applyNumberFormat="1" applyFont="1" applyFill="1" applyBorder="1" applyAlignment="1" applyProtection="1">
      <alignment vertical="center"/>
    </xf>
    <xf numFmtId="1" fontId="52" fillId="21" borderId="0" xfId="0" applyNumberFormat="1" applyFont="1" applyFill="1" applyBorder="1" applyProtection="1"/>
    <xf numFmtId="0" fontId="72" fillId="6" borderId="121" xfId="0" applyFont="1" applyFill="1" applyBorder="1" applyProtection="1"/>
    <xf numFmtId="0" fontId="72" fillId="21" borderId="0" xfId="0" applyFont="1" applyFill="1" applyProtection="1"/>
    <xf numFmtId="0" fontId="101" fillId="21" borderId="0" xfId="0" applyFont="1" applyFill="1" applyAlignment="1">
      <alignment vertical="top"/>
    </xf>
    <xf numFmtId="0" fontId="52" fillId="6" borderId="0" xfId="0" applyFont="1" applyFill="1" applyBorder="1" applyProtection="1">
      <protection hidden="1"/>
    </xf>
    <xf numFmtId="0" fontId="52" fillId="0" borderId="0" xfId="0" applyFont="1" applyFill="1" applyBorder="1" applyProtection="1">
      <protection hidden="1"/>
    </xf>
    <xf numFmtId="0" fontId="82" fillId="0" borderId="0" xfId="0" applyFont="1" applyFill="1" applyBorder="1" applyProtection="1">
      <protection hidden="1"/>
    </xf>
    <xf numFmtId="0" fontId="72" fillId="0" borderId="119" xfId="0" applyFont="1" applyFill="1" applyBorder="1" applyAlignment="1" applyProtection="1">
      <alignment vertical="center"/>
      <protection hidden="1"/>
    </xf>
    <xf numFmtId="0" fontId="72" fillId="0" borderId="117" xfId="0" applyFont="1" applyFill="1" applyBorder="1" applyAlignment="1" applyProtection="1">
      <alignment vertical="center"/>
      <protection hidden="1"/>
    </xf>
    <xf numFmtId="0" fontId="72" fillId="0" borderId="120" xfId="0" applyFont="1" applyFill="1" applyBorder="1" applyAlignment="1" applyProtection="1">
      <alignment vertical="center"/>
      <protection hidden="1"/>
    </xf>
    <xf numFmtId="0" fontId="72" fillId="0" borderId="0" xfId="0" applyFont="1" applyFill="1" applyBorder="1" applyAlignment="1" applyProtection="1">
      <alignment vertical="center"/>
      <protection hidden="1"/>
    </xf>
    <xf numFmtId="0" fontId="55" fillId="0" borderId="0" xfId="0" applyFont="1" applyFill="1" applyBorder="1" applyAlignment="1" applyProtection="1">
      <protection hidden="1"/>
    </xf>
    <xf numFmtId="0" fontId="72" fillId="0" borderId="129" xfId="0" applyFont="1" applyFill="1" applyBorder="1" applyAlignment="1" applyProtection="1">
      <alignment vertical="center"/>
      <protection hidden="1"/>
    </xf>
    <xf numFmtId="0" fontId="72" fillId="0" borderId="118" xfId="0" applyFont="1" applyFill="1" applyBorder="1" applyAlignment="1" applyProtection="1">
      <alignment vertical="center"/>
      <protection hidden="1"/>
    </xf>
    <xf numFmtId="0" fontId="83" fillId="0" borderId="0" xfId="0" applyFont="1" applyFill="1" applyBorder="1" applyAlignment="1" applyProtection="1">
      <alignment vertical="center"/>
      <protection hidden="1"/>
    </xf>
    <xf numFmtId="0" fontId="115" fillId="0" borderId="0" xfId="0" applyFont="1" applyFill="1" applyBorder="1" applyProtection="1">
      <protection hidden="1"/>
    </xf>
    <xf numFmtId="0" fontId="55" fillId="25" borderId="108" xfId="0" applyFont="1" applyFill="1" applyBorder="1" applyAlignment="1" applyProtection="1">
      <alignment horizontal="center"/>
      <protection locked="0"/>
    </xf>
    <xf numFmtId="0" fontId="57" fillId="25" borderId="0" xfId="0" applyFont="1" applyFill="1" applyBorder="1" applyAlignment="1" applyProtection="1">
      <alignment horizontal="left" indent="2"/>
      <protection locked="0"/>
    </xf>
    <xf numFmtId="0" fontId="57" fillId="25" borderId="0" xfId="0" applyFont="1" applyFill="1" applyBorder="1" applyAlignment="1" applyProtection="1">
      <alignment horizontal="center"/>
      <protection locked="0"/>
    </xf>
    <xf numFmtId="2" fontId="57" fillId="25" borderId="0" xfId="0" applyNumberFormat="1" applyFont="1" applyFill="1" applyBorder="1" applyAlignment="1" applyProtection="1">
      <alignment horizontal="center"/>
      <protection locked="0"/>
    </xf>
    <xf numFmtId="166" fontId="79" fillId="25" borderId="125" xfId="94" applyNumberFormat="1" applyFont="1" applyFill="1" applyBorder="1" applyAlignment="1" applyProtection="1">
      <alignment horizontal="center"/>
    </xf>
    <xf numFmtId="166" fontId="79" fillId="25" borderId="125" xfId="93" applyNumberFormat="1" applyFont="1" applyFill="1" applyBorder="1" applyAlignment="1" applyProtection="1">
      <alignment horizontal="center"/>
    </xf>
    <xf numFmtId="166" fontId="70" fillId="25" borderId="125" xfId="95" applyNumberFormat="1" applyFont="1" applyFill="1" applyBorder="1" applyAlignment="1" applyProtection="1">
      <alignment horizontal="right" indent="1"/>
    </xf>
    <xf numFmtId="0" fontId="76" fillId="21" borderId="123" xfId="0" applyFont="1" applyFill="1" applyBorder="1" applyAlignment="1" applyProtection="1">
      <alignment horizontal="center"/>
      <protection locked="0"/>
    </xf>
    <xf numFmtId="2" fontId="78" fillId="21" borderId="123" xfId="0" applyNumberFormat="1" applyFont="1" applyFill="1" applyBorder="1" applyAlignment="1" applyProtection="1">
      <alignment vertical="center"/>
      <protection locked="0"/>
    </xf>
    <xf numFmtId="2" fontId="61" fillId="21" borderId="123" xfId="0" applyNumberFormat="1" applyFont="1" applyFill="1" applyBorder="1" applyAlignment="1" applyProtection="1">
      <alignment horizontal="right" vertical="center"/>
      <protection locked="0"/>
    </xf>
    <xf numFmtId="0" fontId="72" fillId="6" borderId="121" xfId="0" applyFont="1" applyFill="1" applyBorder="1" applyAlignment="1" applyProtection="1">
      <alignment vertical="center"/>
    </xf>
    <xf numFmtId="166" fontId="117" fillId="25" borderId="125" xfId="95" applyNumberFormat="1" applyFont="1" applyFill="1" applyBorder="1" applyAlignment="1" applyProtection="1">
      <alignment horizontal="right" indent="1"/>
    </xf>
    <xf numFmtId="0" fontId="45" fillId="21" borderId="0" xfId="353" applyFont="1" applyFill="1" applyBorder="1" applyProtection="1"/>
    <xf numFmtId="0" fontId="45" fillId="21" borderId="0" xfId="353" applyFont="1" applyFill="1" applyBorder="1"/>
    <xf numFmtId="0" fontId="11" fillId="21" borderId="0" xfId="353" applyFont="1" applyFill="1" applyBorder="1" applyProtection="1"/>
    <xf numFmtId="166" fontId="64" fillId="6" borderId="0" xfId="353" applyNumberFormat="1" applyFont="1" applyFill="1" applyBorder="1" applyAlignment="1" applyProtection="1">
      <protection locked="0"/>
    </xf>
    <xf numFmtId="0" fontId="11" fillId="6" borderId="0" xfId="353" applyFont="1" applyFill="1" applyBorder="1" applyProtection="1">
      <protection locked="0"/>
    </xf>
    <xf numFmtId="166" fontId="66" fillId="6" borderId="0" xfId="353" applyNumberFormat="1" applyFont="1" applyFill="1" applyBorder="1" applyAlignment="1" applyProtection="1">
      <protection locked="0"/>
    </xf>
    <xf numFmtId="166" fontId="11" fillId="6" borderId="0" xfId="353" applyNumberFormat="1" applyFont="1" applyFill="1" applyBorder="1" applyAlignment="1" applyProtection="1">
      <alignment vertical="center"/>
      <protection locked="0"/>
    </xf>
    <xf numFmtId="0" fontId="11" fillId="6" borderId="0" xfId="353" applyFont="1" applyFill="1" applyBorder="1" applyAlignment="1" applyProtection="1">
      <protection locked="0"/>
    </xf>
    <xf numFmtId="0" fontId="11" fillId="21" borderId="17" xfId="353" applyFont="1" applyFill="1" applyBorder="1" applyProtection="1"/>
    <xf numFmtId="0" fontId="11" fillId="6" borderId="17" xfId="353" applyFont="1" applyFill="1" applyBorder="1" applyAlignment="1" applyProtection="1">
      <alignment vertical="center"/>
      <protection locked="0"/>
    </xf>
    <xf numFmtId="0" fontId="11" fillId="6" borderId="0" xfId="353" applyFont="1" applyFill="1" applyBorder="1" applyAlignment="1" applyProtection="1">
      <alignment vertical="center"/>
      <protection locked="0"/>
    </xf>
    <xf numFmtId="0" fontId="45" fillId="21" borderId="0" xfId="353" applyFont="1" applyFill="1" applyBorder="1" applyAlignment="1" applyProtection="1"/>
    <xf numFmtId="0" fontId="45" fillId="21" borderId="0" xfId="353" applyFont="1" applyFill="1" applyBorder="1" applyAlignment="1">
      <alignment horizontal="right"/>
    </xf>
    <xf numFmtId="0" fontId="37" fillId="6" borderId="0" xfId="0" applyFont="1" applyFill="1" applyBorder="1" applyProtection="1">
      <protection hidden="1"/>
    </xf>
    <xf numFmtId="0" fontId="52" fillId="21" borderId="0" xfId="0" applyFont="1" applyFill="1" applyProtection="1">
      <protection hidden="1"/>
    </xf>
    <xf numFmtId="2" fontId="52" fillId="21" borderId="0" xfId="0" applyNumberFormat="1" applyFont="1" applyFill="1" applyProtection="1"/>
    <xf numFmtId="2" fontId="52" fillId="21" borderId="0" xfId="0" applyNumberFormat="1" applyFont="1" applyFill="1" applyBorder="1" applyProtection="1"/>
    <xf numFmtId="2" fontId="52" fillId="21" borderId="0" xfId="0" applyNumberFormat="1" applyFont="1" applyFill="1" applyProtection="1">
      <protection locked="0"/>
    </xf>
    <xf numFmtId="0" fontId="0" fillId="24" borderId="88" xfId="0" applyFill="1" applyBorder="1" applyAlignment="1" applyProtection="1">
      <alignment horizontal="center"/>
      <protection hidden="1"/>
    </xf>
    <xf numFmtId="0" fontId="55" fillId="6" borderId="121" xfId="0" applyFont="1" applyFill="1" applyBorder="1" applyAlignment="1" applyProtection="1">
      <alignment vertical="center"/>
      <protection hidden="1"/>
    </xf>
    <xf numFmtId="0" fontId="126" fillId="7" borderId="37" xfId="90" applyFont="1" applyFill="1" applyBorder="1" applyProtection="1">
      <protection locked="0"/>
    </xf>
    <xf numFmtId="0" fontId="126" fillId="7" borderId="0" xfId="90" applyFont="1" applyFill="1" applyBorder="1" applyProtection="1">
      <protection locked="0"/>
    </xf>
    <xf numFmtId="0" fontId="126" fillId="7" borderId="38" xfId="90" applyFont="1" applyFill="1" applyBorder="1" applyProtection="1">
      <protection locked="0"/>
    </xf>
    <xf numFmtId="0" fontId="118" fillId="6" borderId="0" xfId="353" applyFont="1" applyFill="1" applyBorder="1" applyProtection="1">
      <protection locked="0"/>
    </xf>
    <xf numFmtId="166" fontId="56" fillId="6" borderId="0" xfId="353" applyNumberFormat="1" applyFont="1" applyFill="1" applyBorder="1" applyAlignment="1" applyProtection="1">
      <protection locked="0"/>
    </xf>
    <xf numFmtId="166" fontId="129" fillId="6" borderId="0" xfId="353" applyNumberFormat="1" applyFont="1" applyFill="1" applyBorder="1" applyAlignment="1" applyProtection="1">
      <alignment horizontal="right" vertical="center"/>
      <protection locked="0"/>
    </xf>
    <xf numFmtId="166" fontId="129" fillId="6" borderId="0" xfId="353" applyNumberFormat="1" applyFont="1" applyFill="1" applyBorder="1" applyAlignment="1" applyProtection="1">
      <alignment vertical="center"/>
      <protection locked="0"/>
    </xf>
    <xf numFmtId="166" fontId="129" fillId="6" borderId="0" xfId="353" applyNumberFormat="1" applyFont="1" applyFill="1" applyBorder="1" applyAlignment="1" applyProtection="1">
      <protection locked="0"/>
    </xf>
    <xf numFmtId="166" fontId="131" fillId="6" borderId="0" xfId="353" applyNumberFormat="1" applyFont="1" applyFill="1" applyBorder="1" applyAlignment="1" applyProtection="1">
      <protection locked="0"/>
    </xf>
    <xf numFmtId="166" fontId="131" fillId="6" borderId="0" xfId="353" applyNumberFormat="1" applyFont="1" applyFill="1" applyBorder="1" applyAlignment="1" applyProtection="1">
      <alignment horizontal="right" vertical="center"/>
      <protection locked="0"/>
    </xf>
    <xf numFmtId="166" fontId="131" fillId="6" borderId="0" xfId="353" applyNumberFormat="1" applyFont="1" applyFill="1" applyBorder="1" applyAlignment="1" applyProtection="1">
      <alignment vertical="center"/>
      <protection locked="0"/>
    </xf>
    <xf numFmtId="9" fontId="126" fillId="7" borderId="0" xfId="90" applyNumberFormat="1" applyFont="1" applyFill="1" applyBorder="1" applyProtection="1">
      <protection locked="0"/>
    </xf>
    <xf numFmtId="168" fontId="55" fillId="0" borderId="102" xfId="0" applyNumberFormat="1" applyFont="1" applyFill="1" applyBorder="1" applyAlignment="1" applyProtection="1">
      <alignment horizontal="center"/>
      <protection hidden="1"/>
    </xf>
    <xf numFmtId="0" fontId="0" fillId="26" borderId="0" xfId="0" applyFill="1"/>
    <xf numFmtId="0" fontId="37" fillId="27" borderId="0" xfId="0" applyFont="1" applyFill="1" applyBorder="1" applyProtection="1">
      <protection hidden="1"/>
    </xf>
    <xf numFmtId="0" fontId="81" fillId="27" borderId="0" xfId="0" applyFont="1" applyFill="1" applyBorder="1" applyAlignment="1" applyProtection="1">
      <alignment horizontal="left" vertical="center" indent="5"/>
      <protection hidden="1"/>
    </xf>
    <xf numFmtId="0" fontId="39" fillId="27" borderId="0" xfId="0" applyFont="1" applyFill="1" applyBorder="1" applyProtection="1">
      <protection hidden="1"/>
    </xf>
    <xf numFmtId="0" fontId="37" fillId="27" borderId="0" xfId="0" applyFont="1" applyFill="1" applyProtection="1">
      <protection hidden="1"/>
    </xf>
    <xf numFmtId="0" fontId="81" fillId="27" borderId="0" xfId="0" applyFont="1" applyFill="1" applyAlignment="1" applyProtection="1">
      <alignment horizontal="left" vertical="center" indent="5"/>
      <protection hidden="1"/>
    </xf>
    <xf numFmtId="0" fontId="39" fillId="27" borderId="0" xfId="0" applyFont="1" applyFill="1" applyProtection="1">
      <protection hidden="1"/>
    </xf>
    <xf numFmtId="0" fontId="37" fillId="27" borderId="61" xfId="0" applyFont="1" applyFill="1" applyBorder="1" applyProtection="1">
      <protection hidden="1"/>
    </xf>
    <xf numFmtId="0" fontId="81" fillId="27" borderId="61" xfId="0" applyFont="1" applyFill="1" applyBorder="1" applyAlignment="1" applyProtection="1">
      <alignment horizontal="left" vertical="center" indent="5"/>
      <protection hidden="1"/>
    </xf>
    <xf numFmtId="0" fontId="39" fillId="27" borderId="61" xfId="0" applyFont="1" applyFill="1" applyBorder="1" applyProtection="1">
      <protection hidden="1"/>
    </xf>
    <xf numFmtId="41" fontId="37" fillId="27" borderId="0" xfId="0" applyNumberFormat="1" applyFont="1" applyFill="1" applyBorder="1" applyProtection="1">
      <protection hidden="1"/>
    </xf>
    <xf numFmtId="0" fontId="0" fillId="26" borderId="0" xfId="0" applyFill="1" applyBorder="1"/>
    <xf numFmtId="5" fontId="58" fillId="22" borderId="125" xfId="0" applyNumberFormat="1" applyFont="1" applyFill="1" applyBorder="1" applyAlignment="1" applyProtection="1">
      <alignment horizontal="center" vertical="center" wrapText="1"/>
    </xf>
    <xf numFmtId="5" fontId="58" fillId="22" borderId="127" xfId="0" applyNumberFormat="1" applyFont="1" applyFill="1" applyBorder="1" applyAlignment="1" applyProtection="1">
      <alignment horizontal="center" vertical="center" wrapText="1"/>
    </xf>
    <xf numFmtId="0" fontId="43" fillId="21" borderId="0" xfId="0" applyFont="1" applyFill="1" applyProtection="1">
      <protection locked="0"/>
    </xf>
    <xf numFmtId="5" fontId="58" fillId="22" borderId="125" xfId="0" applyNumberFormat="1" applyFont="1" applyFill="1" applyBorder="1" applyAlignment="1" applyProtection="1">
      <alignment vertical="center" wrapText="1"/>
    </xf>
    <xf numFmtId="0" fontId="136" fillId="21" borderId="123" xfId="0" applyFont="1" applyFill="1" applyBorder="1" applyProtection="1"/>
    <xf numFmtId="166" fontId="64" fillId="6" borderId="158" xfId="353" applyNumberFormat="1" applyFont="1" applyFill="1" applyBorder="1" applyAlignment="1" applyProtection="1">
      <protection locked="0"/>
    </xf>
    <xf numFmtId="166" fontId="56" fillId="6" borderId="158" xfId="353" applyNumberFormat="1" applyFont="1" applyFill="1" applyBorder="1" applyAlignment="1" applyProtection="1">
      <protection locked="0"/>
    </xf>
    <xf numFmtId="0" fontId="79" fillId="6" borderId="0" xfId="90" applyFont="1" applyFill="1" applyBorder="1" applyAlignment="1" applyProtection="1">
      <alignment vertical="center"/>
      <protection locked="0"/>
    </xf>
    <xf numFmtId="0" fontId="79" fillId="6" borderId="0" xfId="353" applyFont="1" applyFill="1" applyBorder="1" applyAlignment="1" applyProtection="1">
      <alignment vertical="center"/>
      <protection locked="0"/>
    </xf>
    <xf numFmtId="0" fontId="79" fillId="6" borderId="23" xfId="353" applyFont="1" applyFill="1" applyBorder="1" applyAlignment="1" applyProtection="1">
      <alignment vertical="center"/>
      <protection locked="0"/>
    </xf>
    <xf numFmtId="0" fontId="11" fillId="8" borderId="0" xfId="353" applyFont="1" applyFill="1" applyBorder="1" applyAlignment="1" applyProtection="1"/>
    <xf numFmtId="0" fontId="11" fillId="8" borderId="18" xfId="353" applyFont="1" applyFill="1" applyBorder="1" applyAlignment="1" applyProtection="1"/>
    <xf numFmtId="0" fontId="147" fillId="21" borderId="0" xfId="0" applyFont="1" applyFill="1" applyProtection="1">
      <protection hidden="1"/>
    </xf>
    <xf numFmtId="168" fontId="113" fillId="6" borderId="121" xfId="3" applyNumberFormat="1" applyFont="1" applyFill="1" applyBorder="1" applyProtection="1"/>
    <xf numFmtId="0" fontId="82" fillId="6" borderId="88" xfId="0" applyFont="1" applyFill="1" applyBorder="1" applyProtection="1"/>
    <xf numFmtId="0" fontId="82" fillId="6" borderId="88" xfId="0" applyFont="1" applyFill="1" applyBorder="1" applyAlignment="1" applyProtection="1">
      <alignment horizontal="center"/>
    </xf>
    <xf numFmtId="168" fontId="37" fillId="21" borderId="0" xfId="0" applyNumberFormat="1" applyFont="1" applyFill="1" applyProtection="1"/>
    <xf numFmtId="0" fontId="52" fillId="6" borderId="128" xfId="0" applyFont="1" applyFill="1" applyBorder="1" applyProtection="1">
      <protection hidden="1"/>
    </xf>
    <xf numFmtId="0" fontId="52" fillId="6" borderId="133" xfId="0" applyFont="1" applyFill="1" applyBorder="1" applyProtection="1">
      <protection hidden="1"/>
    </xf>
    <xf numFmtId="0" fontId="52" fillId="0" borderId="0" xfId="0" applyFont="1" applyBorder="1" applyProtection="1">
      <protection locked="0"/>
    </xf>
    <xf numFmtId="0" fontId="52" fillId="0" borderId="0" xfId="0" applyFont="1" applyProtection="1">
      <protection locked="0"/>
    </xf>
    <xf numFmtId="0" fontId="54" fillId="0" borderId="0" xfId="0" applyFont="1" applyBorder="1" applyAlignment="1" applyProtection="1">
      <protection locked="0"/>
    </xf>
    <xf numFmtId="0" fontId="50" fillId="0" borderId="0" xfId="0" applyFont="1" applyBorder="1" applyAlignment="1" applyProtection="1">
      <protection locked="0"/>
    </xf>
    <xf numFmtId="0" fontId="72" fillId="0" borderId="0" xfId="0" applyFont="1" applyBorder="1" applyProtection="1">
      <protection locked="0"/>
    </xf>
    <xf numFmtId="0" fontId="72" fillId="0" borderId="0" xfId="0" applyFont="1" applyProtection="1">
      <protection locked="0"/>
    </xf>
    <xf numFmtId="0" fontId="54" fillId="0" borderId="0" xfId="0" applyFont="1" applyFill="1" applyBorder="1" applyAlignment="1" applyProtection="1">
      <protection locked="0"/>
    </xf>
    <xf numFmtId="0" fontId="52" fillId="6" borderId="0" xfId="0" applyFont="1" applyFill="1" applyProtection="1">
      <protection locked="0"/>
    </xf>
    <xf numFmtId="0" fontId="45" fillId="21" borderId="0" xfId="90" applyFont="1" applyFill="1" applyBorder="1" applyProtection="1">
      <protection hidden="1"/>
    </xf>
    <xf numFmtId="0" fontId="46" fillId="21" borderId="0" xfId="90" applyFont="1" applyFill="1" applyBorder="1" applyProtection="1">
      <protection hidden="1"/>
    </xf>
    <xf numFmtId="0" fontId="45" fillId="21" borderId="0" xfId="90" applyFont="1" applyFill="1" applyBorder="1" applyAlignment="1" applyProtection="1">
      <protection hidden="1"/>
    </xf>
    <xf numFmtId="0" fontId="72" fillId="6" borderId="121" xfId="0" applyFont="1" applyFill="1" applyBorder="1" applyProtection="1">
      <protection locked="0"/>
    </xf>
    <xf numFmtId="0" fontId="41" fillId="6" borderId="0" xfId="0" applyFont="1" applyFill="1" applyBorder="1" applyProtection="1">
      <protection hidden="1"/>
    </xf>
    <xf numFmtId="0" fontId="45" fillId="6" borderId="0" xfId="90" applyFont="1" applyFill="1" applyBorder="1" applyProtection="1"/>
    <xf numFmtId="0" fontId="146" fillId="27" borderId="0" xfId="0" applyFont="1" applyFill="1" applyProtection="1">
      <protection hidden="1"/>
    </xf>
    <xf numFmtId="0" fontId="146" fillId="26" borderId="0" xfId="0" applyFont="1" applyFill="1" applyProtection="1">
      <protection hidden="1"/>
    </xf>
    <xf numFmtId="0" fontId="155" fillId="27" borderId="0" xfId="107" applyFont="1" applyFill="1" applyAlignment="1" applyProtection="1">
      <alignment vertical="center"/>
      <protection hidden="1"/>
    </xf>
    <xf numFmtId="0" fontId="65" fillId="8" borderId="18" xfId="353" applyFont="1" applyFill="1" applyBorder="1" applyAlignment="1" applyProtection="1">
      <alignment vertical="center"/>
    </xf>
    <xf numFmtId="0" fontId="0" fillId="7" borderId="0" xfId="0" applyFill="1"/>
    <xf numFmtId="175" fontId="166" fillId="21" borderId="0" xfId="0" applyNumberFormat="1" applyFont="1" applyFill="1" applyBorder="1" applyProtection="1"/>
    <xf numFmtId="0" fontId="59" fillId="27" borderId="0" xfId="0" applyFont="1" applyFill="1" applyProtection="1">
      <protection hidden="1"/>
    </xf>
    <xf numFmtId="0" fontId="79" fillId="6" borderId="0" xfId="90" applyFont="1" applyFill="1" applyBorder="1" applyAlignment="1" applyProtection="1">
      <alignment horizontal="left" vertical="center" indent="1"/>
      <protection locked="0"/>
    </xf>
    <xf numFmtId="0" fontId="65" fillId="8" borderId="0" xfId="353" applyFont="1" applyFill="1" applyBorder="1" applyAlignment="1" applyProtection="1">
      <alignment vertical="center"/>
    </xf>
    <xf numFmtId="0" fontId="128" fillId="6" borderId="0" xfId="353" applyFont="1" applyFill="1" applyBorder="1" applyProtection="1"/>
    <xf numFmtId="0" fontId="45" fillId="6" borderId="0" xfId="353" applyFont="1" applyFill="1" applyBorder="1" applyProtection="1"/>
    <xf numFmtId="169" fontId="63" fillId="6" borderId="0" xfId="22" applyNumberFormat="1" applyFont="1" applyFill="1" applyBorder="1" applyAlignment="1" applyProtection="1">
      <alignment vertical="center"/>
      <protection locked="0"/>
    </xf>
    <xf numFmtId="169" fontId="63" fillId="6" borderId="23" xfId="22" applyNumberFormat="1" applyFont="1" applyFill="1" applyBorder="1" applyAlignment="1" applyProtection="1">
      <alignment vertical="center"/>
      <protection locked="0"/>
    </xf>
    <xf numFmtId="0" fontId="37" fillId="6" borderId="0" xfId="0" applyFont="1" applyFill="1" applyBorder="1" applyProtection="1">
      <protection locked="0"/>
    </xf>
    <xf numFmtId="0" fontId="115" fillId="27" borderId="0" xfId="0" applyFont="1" applyFill="1" applyProtection="1">
      <protection hidden="1"/>
    </xf>
    <xf numFmtId="0" fontId="28" fillId="27" borderId="0" xfId="0" applyFont="1" applyFill="1" applyProtection="1">
      <protection hidden="1"/>
    </xf>
    <xf numFmtId="0" fontId="47" fillId="27" borderId="0" xfId="0" applyFont="1" applyFill="1" applyAlignment="1" applyProtection="1">
      <protection hidden="1"/>
    </xf>
    <xf numFmtId="0" fontId="48" fillId="27" borderId="0" xfId="0" applyFont="1" applyFill="1" applyAlignment="1" applyProtection="1">
      <alignment vertical="center"/>
      <protection hidden="1"/>
    </xf>
    <xf numFmtId="0" fontId="28" fillId="27" borderId="0" xfId="0" applyFont="1" applyFill="1" applyAlignment="1" applyProtection="1">
      <protection hidden="1"/>
    </xf>
    <xf numFmtId="0" fontId="28" fillId="6" borderId="128" xfId="0" applyFont="1" applyFill="1" applyBorder="1" applyProtection="1">
      <protection hidden="1"/>
    </xf>
    <xf numFmtId="0" fontId="52" fillId="6" borderId="0" xfId="0" applyFont="1" applyFill="1" applyBorder="1" applyAlignment="1" applyProtection="1">
      <alignment horizontal="left" vertical="center" indent="1"/>
      <protection hidden="1"/>
    </xf>
    <xf numFmtId="0" fontId="50" fillId="6" borderId="128" xfId="0" applyFont="1" applyFill="1" applyBorder="1" applyProtection="1">
      <protection hidden="1"/>
    </xf>
    <xf numFmtId="0" fontId="50" fillId="6" borderId="133" xfId="0" applyFont="1" applyFill="1" applyBorder="1" applyProtection="1">
      <protection hidden="1"/>
    </xf>
    <xf numFmtId="0" fontId="95" fillId="6" borderId="0" xfId="0" applyFont="1" applyFill="1" applyBorder="1" applyAlignment="1" applyProtection="1">
      <alignment vertical="top" wrapText="1"/>
      <protection hidden="1"/>
    </xf>
    <xf numFmtId="0" fontId="28" fillId="6" borderId="133" xfId="0" applyFont="1" applyFill="1" applyBorder="1" applyProtection="1">
      <protection hidden="1"/>
    </xf>
    <xf numFmtId="0" fontId="28" fillId="6" borderId="0" xfId="0" applyFont="1" applyFill="1" applyBorder="1" applyProtection="1">
      <protection hidden="1"/>
    </xf>
    <xf numFmtId="0" fontId="158" fillId="27" borderId="0" xfId="0" applyFont="1" applyFill="1" applyBorder="1" applyAlignment="1" applyProtection="1">
      <alignment vertical="center"/>
      <protection hidden="1"/>
    </xf>
    <xf numFmtId="0" fontId="0" fillId="26" borderId="0" xfId="0" applyFill="1" applyProtection="1">
      <protection hidden="1"/>
    </xf>
    <xf numFmtId="0" fontId="95" fillId="27" borderId="109" xfId="0" applyFont="1" applyFill="1" applyBorder="1" applyAlignment="1" applyProtection="1">
      <alignment vertical="center"/>
      <protection hidden="1"/>
    </xf>
    <xf numFmtId="0" fontId="95" fillId="0" borderId="0" xfId="0" applyFont="1" applyFill="1" applyBorder="1" applyAlignment="1" applyProtection="1">
      <alignment vertical="center"/>
      <protection hidden="1"/>
    </xf>
    <xf numFmtId="0" fontId="28" fillId="27" borderId="133" xfId="0" applyFont="1" applyFill="1" applyBorder="1" applyProtection="1">
      <protection hidden="1"/>
    </xf>
    <xf numFmtId="0" fontId="95" fillId="0" borderId="132" xfId="0" applyFont="1" applyFill="1" applyBorder="1" applyAlignment="1" applyProtection="1">
      <alignment vertical="center"/>
      <protection hidden="1"/>
    </xf>
    <xf numFmtId="0" fontId="173" fillId="21" borderId="0" xfId="0" applyFont="1" applyFill="1" applyAlignment="1" applyProtection="1">
      <alignment horizontal="right" vertical="center"/>
    </xf>
    <xf numFmtId="0" fontId="166" fillId="21" borderId="0" xfId="0" applyFont="1" applyFill="1" applyProtection="1"/>
    <xf numFmtId="0" fontId="46" fillId="21" borderId="37" xfId="90" applyFont="1" applyFill="1" applyBorder="1" applyProtection="1">
      <protection hidden="1"/>
    </xf>
    <xf numFmtId="0" fontId="41" fillId="21" borderId="0" xfId="0" applyFont="1" applyFill="1" applyBorder="1" applyProtection="1">
      <protection locked="0"/>
    </xf>
    <xf numFmtId="0" fontId="44" fillId="21" borderId="0" xfId="0" applyFont="1" applyFill="1" applyBorder="1" applyProtection="1">
      <protection locked="0"/>
    </xf>
    <xf numFmtId="0" fontId="39" fillId="21" borderId="0" xfId="0" applyFont="1" applyFill="1" applyBorder="1" applyProtection="1">
      <protection locked="0"/>
    </xf>
    <xf numFmtId="0" fontId="178" fillId="0" borderId="0" xfId="0" applyFont="1" applyBorder="1" applyAlignment="1" applyProtection="1">
      <alignment horizontal="left" vertical="center" wrapText="1"/>
      <protection locked="0"/>
    </xf>
    <xf numFmtId="0" fontId="179" fillId="26" borderId="0" xfId="0" applyFont="1" applyFill="1"/>
    <xf numFmtId="0" fontId="176" fillId="21" borderId="0" xfId="0" applyFont="1" applyFill="1" applyProtection="1">
      <protection hidden="1"/>
    </xf>
    <xf numFmtId="41" fontId="176" fillId="21" borderId="0" xfId="0" applyNumberFormat="1" applyFont="1" applyFill="1" applyProtection="1">
      <protection hidden="1"/>
    </xf>
    <xf numFmtId="0" fontId="176" fillId="21" borderId="0" xfId="0" applyFont="1" applyFill="1" applyAlignment="1" applyProtection="1">
      <alignment horizontal="left"/>
      <protection hidden="1"/>
    </xf>
    <xf numFmtId="168" fontId="176" fillId="21" borderId="0" xfId="0" applyNumberFormat="1" applyFont="1" applyFill="1" applyAlignment="1" applyProtection="1">
      <alignment horizontal="center"/>
      <protection hidden="1"/>
    </xf>
    <xf numFmtId="0" fontId="184" fillId="21" borderId="0" xfId="0" applyFont="1" applyFill="1" applyBorder="1" applyAlignment="1" applyProtection="1">
      <alignment horizontal="center" vertical="top"/>
      <protection hidden="1"/>
    </xf>
    <xf numFmtId="0" fontId="185" fillId="21" borderId="0" xfId="0" applyFont="1" applyFill="1" applyBorder="1" applyAlignment="1" applyProtection="1">
      <alignment vertical="top"/>
      <protection hidden="1"/>
    </xf>
    <xf numFmtId="0" fontId="186" fillId="6" borderId="0" xfId="0" applyFont="1" applyFill="1" applyBorder="1" applyAlignment="1" applyProtection="1">
      <protection locked="0"/>
    </xf>
    <xf numFmtId="0" fontId="187" fillId="0" borderId="0" xfId="0" applyFont="1" applyBorder="1" applyAlignment="1" applyProtection="1">
      <alignment horizontal="left" vertical="center"/>
      <protection locked="0"/>
    </xf>
    <xf numFmtId="0" fontId="176" fillId="0" borderId="0" xfId="0" applyFont="1" applyBorder="1" applyAlignment="1" applyProtection="1">
      <alignment horizontal="left" vertical="top" wrapText="1"/>
      <protection locked="0"/>
    </xf>
    <xf numFmtId="0" fontId="188" fillId="0" borderId="0" xfId="0" applyFont="1" applyBorder="1" applyAlignment="1" applyProtection="1">
      <alignment vertical="top" wrapText="1"/>
      <protection locked="0"/>
    </xf>
    <xf numFmtId="0" fontId="96" fillId="0" borderId="0" xfId="0" applyFont="1" applyBorder="1" applyProtection="1">
      <protection locked="0"/>
    </xf>
    <xf numFmtId="0" fontId="96" fillId="0" borderId="0" xfId="0" applyFont="1" applyProtection="1">
      <protection locked="0"/>
    </xf>
    <xf numFmtId="0" fontId="94" fillId="6" borderId="0" xfId="0" applyFont="1" applyFill="1" applyBorder="1" applyAlignment="1" applyProtection="1">
      <alignment vertical="center" wrapText="1"/>
      <protection locked="0"/>
    </xf>
    <xf numFmtId="0" fontId="191" fillId="27" borderId="0" xfId="0" applyFont="1" applyFill="1" applyBorder="1" applyAlignment="1" applyProtection="1">
      <alignment horizontal="left" vertical="center" indent="4"/>
      <protection hidden="1"/>
    </xf>
    <xf numFmtId="0" fontId="185" fillId="27" borderId="0" xfId="0" applyFont="1" applyFill="1" applyBorder="1" applyAlignment="1" applyProtection="1">
      <alignment horizontal="left" vertical="center" indent="3"/>
      <protection hidden="1"/>
    </xf>
    <xf numFmtId="41" fontId="176" fillId="27" borderId="0" xfId="0" applyNumberFormat="1" applyFont="1" applyFill="1" applyBorder="1" applyProtection="1">
      <protection hidden="1"/>
    </xf>
    <xf numFmtId="0" fontId="176" fillId="27" borderId="0" xfId="0" applyFont="1" applyFill="1" applyBorder="1" applyAlignment="1" applyProtection="1">
      <alignment horizontal="left"/>
      <protection hidden="1"/>
    </xf>
    <xf numFmtId="166" fontId="176" fillId="27" borderId="0" xfId="0" applyNumberFormat="1" applyFont="1" applyFill="1" applyBorder="1" applyAlignment="1" applyProtection="1">
      <alignment horizontal="center"/>
      <protection hidden="1"/>
    </xf>
    <xf numFmtId="0" fontId="176" fillId="27" borderId="0" xfId="0" applyFont="1" applyFill="1" applyBorder="1" applyProtection="1">
      <protection hidden="1"/>
    </xf>
    <xf numFmtId="166" fontId="176" fillId="21" borderId="0" xfId="0" applyNumberFormat="1" applyFont="1" applyFill="1" applyAlignment="1" applyProtection="1">
      <alignment horizontal="center"/>
      <protection hidden="1"/>
    </xf>
    <xf numFmtId="41" fontId="96" fillId="6" borderId="0" xfId="0" applyNumberFormat="1" applyFont="1" applyFill="1" applyProtection="1">
      <protection locked="0" hidden="1"/>
    </xf>
    <xf numFmtId="0" fontId="96" fillId="6" borderId="0" xfId="0" applyFont="1" applyFill="1" applyAlignment="1" applyProtection="1">
      <alignment horizontal="left"/>
      <protection locked="0" hidden="1"/>
    </xf>
    <xf numFmtId="168" fontId="96" fillId="6" borderId="0" xfId="0" applyNumberFormat="1" applyFont="1" applyFill="1" applyAlignment="1" applyProtection="1">
      <alignment horizontal="center"/>
      <protection locked="0" hidden="1"/>
    </xf>
    <xf numFmtId="0" fontId="96" fillId="6" borderId="0" xfId="0" applyFont="1" applyFill="1" applyProtection="1">
      <protection locked="0" hidden="1"/>
    </xf>
    <xf numFmtId="166" fontId="96" fillId="6" borderId="0" xfId="0" applyNumberFormat="1" applyFont="1" applyFill="1" applyAlignment="1" applyProtection="1">
      <alignment horizontal="center"/>
      <protection locked="0" hidden="1"/>
    </xf>
    <xf numFmtId="0" fontId="176" fillId="6" borderId="0" xfId="0" applyFont="1" applyFill="1" applyProtection="1">
      <protection locked="0" hidden="1"/>
    </xf>
    <xf numFmtId="0" fontId="192" fillId="6" borderId="0" xfId="0" applyFont="1" applyFill="1" applyAlignment="1" applyProtection="1">
      <protection locked="0" hidden="1"/>
    </xf>
    <xf numFmtId="168" fontId="176" fillId="6" borderId="0" xfId="0" applyNumberFormat="1" applyFont="1" applyFill="1" applyAlignment="1" applyProtection="1">
      <alignment horizontal="center"/>
      <protection locked="0" hidden="1"/>
    </xf>
    <xf numFmtId="166" fontId="176" fillId="6" borderId="0" xfId="0" applyNumberFormat="1" applyFont="1" applyFill="1" applyAlignment="1" applyProtection="1">
      <alignment horizontal="center"/>
      <protection locked="0" hidden="1"/>
    </xf>
    <xf numFmtId="0" fontId="96" fillId="6" borderId="0" xfId="0" applyNumberFormat="1" applyFont="1" applyFill="1" applyProtection="1">
      <protection locked="0" hidden="1"/>
    </xf>
    <xf numFmtId="0" fontId="96" fillId="6" borderId="0" xfId="0" applyFont="1" applyFill="1" applyAlignment="1" applyProtection="1">
      <alignment vertical="top"/>
      <protection locked="0" hidden="1"/>
    </xf>
    <xf numFmtId="0" fontId="183" fillId="6" borderId="0" xfId="0" applyNumberFormat="1" applyFont="1" applyFill="1" applyAlignment="1" applyProtection="1">
      <alignment horizontal="left" vertical="center"/>
      <protection locked="0" hidden="1"/>
    </xf>
    <xf numFmtId="0" fontId="96" fillId="6" borderId="0" xfId="0" applyFont="1" applyFill="1" applyAlignment="1" applyProtection="1">
      <alignment horizontal="left" vertical="top"/>
      <protection hidden="1"/>
    </xf>
    <xf numFmtId="168" fontId="123" fillId="6" borderId="0" xfId="0" applyNumberFormat="1" applyFont="1" applyFill="1" applyAlignment="1" applyProtection="1">
      <alignment horizontal="center" vertical="top"/>
      <protection hidden="1"/>
    </xf>
    <xf numFmtId="0" fontId="95" fillId="25" borderId="0" xfId="0" applyFont="1" applyFill="1" applyBorder="1" applyAlignment="1" applyProtection="1">
      <alignment horizontal="center" vertical="top" wrapText="1"/>
      <protection locked="0" hidden="1"/>
    </xf>
    <xf numFmtId="165" fontId="41" fillId="21" borderId="0" xfId="3" applyNumberFormat="1" applyFont="1" applyFill="1" applyBorder="1" applyAlignment="1" applyProtection="1">
      <alignment horizontal="center" vertical="center"/>
      <protection hidden="1"/>
    </xf>
    <xf numFmtId="0" fontId="72" fillId="14" borderId="121" xfId="0" applyFont="1" applyFill="1" applyBorder="1" applyAlignment="1" applyProtection="1">
      <alignment horizontal="center" vertical="center"/>
      <protection locked="0"/>
    </xf>
    <xf numFmtId="0" fontId="183" fillId="6" borderId="0" xfId="0" applyNumberFormat="1" applyFont="1" applyFill="1" applyAlignment="1" applyProtection="1">
      <alignment horizontal="left" vertical="center"/>
      <protection locked="0" hidden="1"/>
    </xf>
    <xf numFmtId="168" fontId="95" fillId="22" borderId="121" xfId="0" applyNumberFormat="1" applyFont="1" applyFill="1" applyBorder="1" applyAlignment="1" applyProtection="1">
      <alignment horizontal="center" vertical="center"/>
      <protection hidden="1"/>
    </xf>
    <xf numFmtId="0" fontId="191" fillId="27" borderId="61" xfId="0" applyFont="1" applyFill="1" applyBorder="1" applyAlignment="1" applyProtection="1">
      <alignment horizontal="left" vertical="center" indent="4"/>
      <protection hidden="1"/>
    </xf>
    <xf numFmtId="0" fontId="185" fillId="27" borderId="61" xfId="0" applyFont="1" applyFill="1" applyBorder="1" applyAlignment="1" applyProtection="1">
      <alignment horizontal="left" vertical="center" indent="3"/>
      <protection hidden="1"/>
    </xf>
    <xf numFmtId="41" fontId="176" fillId="27" borderId="61" xfId="0" applyNumberFormat="1" applyFont="1" applyFill="1" applyBorder="1" applyProtection="1">
      <protection hidden="1"/>
    </xf>
    <xf numFmtId="0" fontId="176" fillId="27" borderId="61" xfId="0" applyFont="1" applyFill="1" applyBorder="1" applyAlignment="1" applyProtection="1">
      <alignment horizontal="left"/>
      <protection hidden="1"/>
    </xf>
    <xf numFmtId="168" fontId="176" fillId="27" borderId="61" xfId="0" applyNumberFormat="1" applyFont="1" applyFill="1" applyBorder="1" applyAlignment="1" applyProtection="1">
      <alignment horizontal="center"/>
      <protection hidden="1"/>
    </xf>
    <xf numFmtId="166" fontId="176" fillId="27" borderId="61" xfId="0" applyNumberFormat="1" applyFont="1" applyFill="1" applyBorder="1" applyAlignment="1" applyProtection="1">
      <alignment horizontal="center"/>
      <protection hidden="1"/>
    </xf>
    <xf numFmtId="41" fontId="37" fillId="27" borderId="61" xfId="0" applyNumberFormat="1" applyFont="1" applyFill="1" applyBorder="1" applyProtection="1">
      <protection hidden="1"/>
    </xf>
    <xf numFmtId="0" fontId="96" fillId="6" borderId="0" xfId="0" applyFont="1" applyFill="1" applyBorder="1" applyAlignment="1">
      <alignment vertical="center"/>
    </xf>
    <xf numFmtId="0" fontId="96" fillId="6" borderId="109" xfId="0" applyFont="1" applyFill="1" applyBorder="1" applyAlignment="1">
      <alignment vertical="center"/>
    </xf>
    <xf numFmtId="0" fontId="96" fillId="26" borderId="0" xfId="0" applyFont="1" applyFill="1" applyAlignment="1">
      <alignment vertical="center"/>
    </xf>
    <xf numFmtId="0" fontId="171" fillId="26" borderId="0" xfId="0" applyFont="1" applyFill="1" applyAlignment="1">
      <alignment vertical="center"/>
    </xf>
    <xf numFmtId="0" fontId="0" fillId="26" borderId="0" xfId="0" applyFill="1" applyBorder="1" applyAlignment="1" applyProtection="1">
      <protection hidden="1"/>
    </xf>
    <xf numFmtId="0" fontId="196" fillId="26" borderId="0" xfId="0" applyFont="1" applyFill="1" applyBorder="1" applyAlignment="1" applyProtection="1">
      <protection hidden="1"/>
    </xf>
    <xf numFmtId="0" fontId="197" fillId="21" borderId="0" xfId="90" applyFont="1" applyFill="1" applyBorder="1" applyProtection="1">
      <protection hidden="1"/>
    </xf>
    <xf numFmtId="0" fontId="198" fillId="21" borderId="0" xfId="90" applyFont="1" applyFill="1" applyBorder="1" applyProtection="1">
      <protection hidden="1"/>
    </xf>
    <xf numFmtId="0" fontId="197" fillId="21" borderId="0" xfId="90" applyFont="1" applyFill="1" applyBorder="1" applyAlignment="1" applyProtection="1">
      <alignment vertical="center"/>
      <protection hidden="1"/>
    </xf>
    <xf numFmtId="168" fontId="45" fillId="21" borderId="0" xfId="90" applyNumberFormat="1" applyFont="1" applyFill="1" applyBorder="1" applyProtection="1">
      <protection hidden="1"/>
    </xf>
    <xf numFmtId="0" fontId="96" fillId="0" borderId="0" xfId="0" applyFont="1" applyBorder="1" applyAlignment="1" applyProtection="1">
      <alignment vertical="top" wrapText="1"/>
      <protection locked="0"/>
    </xf>
    <xf numFmtId="0" fontId="52" fillId="26" borderId="0" xfId="0" applyFont="1" applyFill="1"/>
    <xf numFmtId="168" fontId="176" fillId="21" borderId="0" xfId="0" applyNumberFormat="1" applyFont="1" applyFill="1" applyBorder="1" applyAlignment="1" applyProtection="1">
      <alignment horizontal="center"/>
      <protection hidden="1"/>
    </xf>
    <xf numFmtId="0" fontId="201" fillId="33" borderId="0" xfId="0" applyFont="1" applyFill="1" applyProtection="1">
      <protection hidden="1"/>
    </xf>
    <xf numFmtId="0" fontId="201" fillId="32" borderId="0" xfId="0" applyFont="1" applyFill="1" applyProtection="1">
      <protection hidden="1"/>
    </xf>
    <xf numFmtId="0" fontId="201" fillId="6" borderId="0" xfId="0" applyFont="1" applyFill="1" applyBorder="1" applyProtection="1">
      <protection hidden="1"/>
    </xf>
    <xf numFmtId="0" fontId="201" fillId="6" borderId="133" xfId="0" applyFont="1" applyFill="1" applyBorder="1" applyProtection="1">
      <protection hidden="1"/>
    </xf>
    <xf numFmtId="0" fontId="203" fillId="32" borderId="0" xfId="0" applyFont="1" applyFill="1" applyAlignment="1" applyProtection="1">
      <alignment vertical="center"/>
      <protection hidden="1"/>
    </xf>
    <xf numFmtId="0" fontId="201" fillId="6" borderId="0" xfId="0" applyFont="1" applyFill="1" applyBorder="1" applyAlignment="1" applyProtection="1">
      <protection hidden="1"/>
    </xf>
    <xf numFmtId="0" fontId="204" fillId="6" borderId="0" xfId="0" applyFont="1" applyFill="1" applyBorder="1" applyAlignment="1" applyProtection="1">
      <alignment vertical="center"/>
      <protection hidden="1"/>
    </xf>
    <xf numFmtId="0" fontId="201" fillId="6" borderId="109" xfId="0" applyFont="1" applyFill="1" applyBorder="1" applyProtection="1">
      <protection hidden="1"/>
    </xf>
    <xf numFmtId="0" fontId="201" fillId="6" borderId="126" xfId="0" applyFont="1" applyFill="1" applyBorder="1" applyProtection="1">
      <protection hidden="1"/>
    </xf>
    <xf numFmtId="0" fontId="201" fillId="6" borderId="108" xfId="0" applyFont="1" applyFill="1" applyBorder="1" applyProtection="1">
      <protection hidden="1"/>
    </xf>
    <xf numFmtId="0" fontId="181" fillId="6" borderId="108" xfId="0" applyFont="1" applyFill="1" applyBorder="1" applyAlignment="1" applyProtection="1">
      <alignment vertical="center"/>
      <protection hidden="1"/>
    </xf>
    <xf numFmtId="0" fontId="205" fillId="6" borderId="108" xfId="0" applyFont="1" applyFill="1" applyBorder="1" applyAlignment="1" applyProtection="1">
      <alignment vertical="center"/>
      <protection hidden="1"/>
    </xf>
    <xf numFmtId="0" fontId="201" fillId="6" borderId="132" xfId="0" applyFont="1" applyFill="1" applyBorder="1" applyProtection="1">
      <protection hidden="1"/>
    </xf>
    <xf numFmtId="0" fontId="201" fillId="6" borderId="128" xfId="0" applyFont="1" applyFill="1" applyBorder="1" applyProtection="1">
      <protection hidden="1"/>
    </xf>
    <xf numFmtId="9" fontId="72" fillId="0" borderId="177" xfId="22" applyFont="1" applyFill="1" applyBorder="1" applyAlignment="1" applyProtection="1">
      <alignment horizontal="center" vertical="center"/>
      <protection hidden="1"/>
    </xf>
    <xf numFmtId="49" fontId="52" fillId="0" borderId="0" xfId="0" applyNumberFormat="1" applyFont="1" applyFill="1" applyBorder="1" applyAlignment="1" applyProtection="1">
      <alignment horizontal="center" vertical="center"/>
      <protection hidden="1"/>
    </xf>
    <xf numFmtId="0" fontId="52" fillId="0" borderId="6" xfId="0" applyFont="1" applyFill="1" applyBorder="1" applyAlignment="1" applyProtection="1">
      <alignment horizontal="left" vertical="center" indent="1"/>
      <protection hidden="1"/>
    </xf>
    <xf numFmtId="0" fontId="72" fillId="0" borderId="0" xfId="0" applyFont="1" applyFill="1" applyBorder="1" applyAlignment="1" applyProtection="1">
      <alignment horizontal="left" vertical="center"/>
      <protection hidden="1"/>
    </xf>
    <xf numFmtId="0" fontId="52" fillId="0" borderId="0" xfId="0" applyFont="1" applyFill="1" applyBorder="1" applyAlignment="1" applyProtection="1">
      <alignment horizontal="center" vertical="center"/>
      <protection hidden="1"/>
    </xf>
    <xf numFmtId="49" fontId="52" fillId="0" borderId="6" xfId="0" applyNumberFormat="1" applyFont="1" applyFill="1" applyBorder="1" applyAlignment="1" applyProtection="1">
      <alignment horizontal="left" vertical="center" indent="1"/>
      <protection hidden="1"/>
    </xf>
    <xf numFmtId="0" fontId="52" fillId="0" borderId="0" xfId="0" applyFont="1" applyFill="1" applyBorder="1" applyAlignment="1" applyProtection="1">
      <alignment horizontal="left" vertical="center"/>
      <protection hidden="1"/>
    </xf>
    <xf numFmtId="0" fontId="72" fillId="6" borderId="121" xfId="0" applyFont="1" applyFill="1" applyBorder="1" applyAlignment="1" applyProtection="1">
      <alignment vertical="center"/>
      <protection locked="0"/>
    </xf>
    <xf numFmtId="0" fontId="113" fillId="21" borderId="0" xfId="27" applyFont="1" applyFill="1" applyBorder="1" applyAlignment="1" applyProtection="1">
      <alignment horizontal="center" vertical="center"/>
    </xf>
    <xf numFmtId="0" fontId="43" fillId="21" borderId="0" xfId="0" applyFont="1" applyFill="1" applyBorder="1" applyProtection="1">
      <protection locked="0"/>
    </xf>
    <xf numFmtId="0" fontId="44" fillId="21" borderId="0" xfId="0" applyFont="1" applyFill="1" applyBorder="1" applyProtection="1"/>
    <xf numFmtId="5" fontId="58" fillId="22" borderId="132" xfId="0" applyNumberFormat="1" applyFont="1" applyFill="1" applyBorder="1" applyAlignment="1" applyProtection="1">
      <alignment vertical="center" wrapText="1"/>
    </xf>
    <xf numFmtId="5" fontId="58" fillId="22" borderId="131" xfId="0" applyNumberFormat="1" applyFont="1" applyFill="1" applyBorder="1" applyAlignment="1" applyProtection="1">
      <alignment horizontal="center" vertical="center" wrapText="1"/>
    </xf>
    <xf numFmtId="166" fontId="213" fillId="21" borderId="0" xfId="0" applyNumberFormat="1" applyFont="1" applyFill="1" applyBorder="1" applyAlignment="1" applyProtection="1">
      <alignment horizontal="center" vertical="center"/>
      <protection locked="0"/>
    </xf>
    <xf numFmtId="0" fontId="79" fillId="21" borderId="0" xfId="27" applyFont="1" applyFill="1" applyBorder="1" applyAlignment="1" applyProtection="1">
      <alignment horizontal="left" vertical="center" indent="3"/>
      <protection locked="0"/>
    </xf>
    <xf numFmtId="0" fontId="222" fillId="7" borderId="109" xfId="0" applyFont="1" applyFill="1" applyBorder="1"/>
    <xf numFmtId="0" fontId="223" fillId="26" borderId="0" xfId="0" applyFont="1" applyFill="1" applyBorder="1" applyAlignment="1">
      <alignment horizontal="center"/>
    </xf>
    <xf numFmtId="0" fontId="224" fillId="6" borderId="0" xfId="0" applyFont="1" applyFill="1" applyBorder="1" applyAlignment="1" applyProtection="1">
      <alignment vertical="center"/>
      <protection hidden="1"/>
    </xf>
    <xf numFmtId="0" fontId="230" fillId="21" borderId="0" xfId="0" applyFont="1" applyFill="1" applyBorder="1" applyAlignment="1" applyProtection="1">
      <protection locked="0" hidden="1"/>
    </xf>
    <xf numFmtId="0" fontId="102" fillId="21" borderId="0" xfId="0" applyFont="1" applyFill="1" applyBorder="1" applyProtection="1">
      <protection locked="0" hidden="1"/>
    </xf>
    <xf numFmtId="0" fontId="230" fillId="21" borderId="0" xfId="0" applyFont="1" applyFill="1" applyBorder="1" applyProtection="1">
      <protection locked="0" hidden="1"/>
    </xf>
    <xf numFmtId="0" fontId="177" fillId="21" borderId="0" xfId="0" applyFont="1" applyFill="1" applyBorder="1" applyProtection="1">
      <protection locked="0" hidden="1"/>
    </xf>
    <xf numFmtId="0" fontId="230" fillId="21" borderId="0" xfId="0" applyFont="1" applyFill="1" applyBorder="1" applyProtection="1">
      <protection hidden="1"/>
    </xf>
    <xf numFmtId="0" fontId="52" fillId="7" borderId="0" xfId="0" applyFont="1" applyFill="1"/>
    <xf numFmtId="0" fontId="52" fillId="6" borderId="121" xfId="0" applyFont="1" applyFill="1" applyBorder="1"/>
    <xf numFmtId="14" fontId="229" fillId="6" borderId="0" xfId="0" applyNumberFormat="1" applyFont="1" applyFill="1" applyBorder="1" applyAlignment="1" applyProtection="1">
      <alignment vertical="center"/>
      <protection locked="0" hidden="1"/>
    </xf>
    <xf numFmtId="0" fontId="230" fillId="6" borderId="0" xfId="0" applyFont="1" applyFill="1" applyBorder="1" applyProtection="1">
      <protection locked="0" hidden="1"/>
    </xf>
    <xf numFmtId="0" fontId="177" fillId="6" borderId="0" xfId="0" applyFont="1" applyFill="1" applyBorder="1" applyProtection="1">
      <protection locked="0" hidden="1"/>
    </xf>
    <xf numFmtId="0" fontId="41" fillId="6" borderId="128" xfId="0" applyFont="1" applyFill="1" applyBorder="1" applyProtection="1">
      <protection hidden="1"/>
    </xf>
    <xf numFmtId="0" fontId="230" fillId="6" borderId="133" xfId="0" applyFont="1" applyFill="1" applyBorder="1" applyProtection="1">
      <protection locked="0" hidden="1"/>
    </xf>
    <xf numFmtId="14" fontId="229" fillId="6" borderId="128" xfId="0" applyNumberFormat="1" applyFont="1" applyFill="1" applyBorder="1" applyAlignment="1" applyProtection="1">
      <alignment vertical="center"/>
      <protection locked="0" hidden="1"/>
    </xf>
    <xf numFmtId="14" fontId="189" fillId="6" borderId="0" xfId="0" applyNumberFormat="1" applyFont="1" applyFill="1" applyBorder="1" applyAlignment="1" applyProtection="1">
      <alignment vertical="center"/>
      <protection hidden="1"/>
    </xf>
    <xf numFmtId="14" fontId="229" fillId="6" borderId="133" xfId="0" applyNumberFormat="1" applyFont="1" applyFill="1" applyBorder="1" applyAlignment="1" applyProtection="1">
      <alignment vertical="center"/>
      <protection locked="0" hidden="1"/>
    </xf>
    <xf numFmtId="14" fontId="229" fillId="6" borderId="130" xfId="0" applyNumberFormat="1" applyFont="1" applyFill="1" applyBorder="1" applyAlignment="1" applyProtection="1">
      <alignment vertical="center"/>
      <protection locked="0" hidden="1"/>
    </xf>
    <xf numFmtId="14" fontId="229" fillId="6" borderId="109" xfId="0" applyNumberFormat="1" applyFont="1" applyFill="1" applyBorder="1" applyAlignment="1" applyProtection="1">
      <alignment vertical="center"/>
      <protection locked="0" hidden="1"/>
    </xf>
    <xf numFmtId="14" fontId="189" fillId="6" borderId="109" xfId="0" applyNumberFormat="1" applyFont="1" applyFill="1" applyBorder="1" applyAlignment="1" applyProtection="1">
      <alignment vertical="center"/>
      <protection hidden="1"/>
    </xf>
    <xf numFmtId="14" fontId="229" fillId="6" borderId="131" xfId="0" applyNumberFormat="1" applyFont="1" applyFill="1" applyBorder="1" applyAlignment="1" applyProtection="1">
      <alignment vertical="center"/>
      <protection locked="0" hidden="1"/>
    </xf>
    <xf numFmtId="0" fontId="231" fillId="6" borderId="0" xfId="0" applyFont="1" applyFill="1" applyBorder="1" applyAlignment="1" applyProtection="1">
      <alignment horizontal="center" vertical="center"/>
      <protection locked="0" hidden="1"/>
    </xf>
    <xf numFmtId="0" fontId="73" fillId="6" borderId="121" xfId="0" applyFont="1" applyFill="1" applyBorder="1"/>
    <xf numFmtId="0" fontId="73" fillId="6" borderId="121" xfId="0" applyFont="1" applyFill="1" applyBorder="1" applyAlignment="1">
      <alignment horizontal="right"/>
    </xf>
    <xf numFmtId="169" fontId="52" fillId="6" borderId="121" xfId="22" applyNumberFormat="1" applyFont="1" applyFill="1" applyBorder="1"/>
    <xf numFmtId="0" fontId="133" fillId="26" borderId="0" xfId="0" applyFont="1" applyFill="1" applyBorder="1" applyAlignment="1" applyProtection="1">
      <protection hidden="1"/>
    </xf>
    <xf numFmtId="0" fontId="234" fillId="21" borderId="0" xfId="90" applyFont="1" applyFill="1" applyBorder="1" applyProtection="1">
      <protection hidden="1"/>
    </xf>
    <xf numFmtId="0" fontId="234" fillId="21" borderId="0" xfId="90" applyFont="1" applyFill="1" applyBorder="1" applyAlignment="1" applyProtection="1">
      <alignment vertical="center"/>
      <protection hidden="1"/>
    </xf>
    <xf numFmtId="0" fontId="235" fillId="21" borderId="0" xfId="90" applyFont="1" applyFill="1" applyBorder="1" applyAlignment="1" applyProtection="1">
      <alignment horizontal="left" vertical="center"/>
      <protection hidden="1"/>
    </xf>
    <xf numFmtId="0" fontId="43" fillId="6" borderId="181" xfId="0" applyFont="1" applyFill="1" applyBorder="1" applyAlignment="1" applyProtection="1">
      <alignment horizontal="center"/>
      <protection locked="0"/>
    </xf>
    <xf numFmtId="0" fontId="43" fillId="6" borderId="182" xfId="0" applyFont="1" applyFill="1" applyBorder="1" applyAlignment="1" applyProtection="1">
      <alignment horizontal="center"/>
      <protection locked="0"/>
    </xf>
    <xf numFmtId="0" fontId="43" fillId="6" borderId="183" xfId="0" applyFont="1" applyFill="1" applyBorder="1" applyAlignment="1" applyProtection="1">
      <alignment horizontal="center"/>
      <protection locked="0"/>
    </xf>
    <xf numFmtId="0" fontId="43" fillId="6" borderId="184" xfId="0" applyFont="1" applyFill="1" applyBorder="1" applyAlignment="1" applyProtection="1">
      <alignment horizontal="center"/>
      <protection locked="0"/>
    </xf>
    <xf numFmtId="0" fontId="43" fillId="6" borderId="185" xfId="0" applyFont="1" applyFill="1" applyBorder="1" applyAlignment="1" applyProtection="1">
      <alignment horizontal="center"/>
      <protection locked="0"/>
    </xf>
    <xf numFmtId="0" fontId="39" fillId="6" borderId="0" xfId="0" applyFont="1" applyFill="1" applyProtection="1">
      <protection locked="0"/>
    </xf>
    <xf numFmtId="0" fontId="43" fillId="6" borderId="225" xfId="0" applyFont="1" applyFill="1" applyBorder="1" applyAlignment="1" applyProtection="1">
      <alignment horizontal="center"/>
      <protection locked="0"/>
    </xf>
    <xf numFmtId="0" fontId="43" fillId="6" borderId="218" xfId="0" applyFont="1" applyFill="1" applyBorder="1" applyAlignment="1" applyProtection="1">
      <alignment horizontal="center"/>
      <protection locked="0"/>
    </xf>
    <xf numFmtId="0" fontId="43" fillId="6" borderId="220" xfId="0" applyFont="1" applyFill="1" applyBorder="1" applyAlignment="1" applyProtection="1">
      <alignment horizontal="center"/>
      <protection locked="0"/>
    </xf>
    <xf numFmtId="0" fontId="43" fillId="6" borderId="221" xfId="0" applyFont="1" applyFill="1" applyBorder="1" applyAlignment="1" applyProtection="1">
      <alignment horizontal="center"/>
      <protection locked="0"/>
    </xf>
    <xf numFmtId="0" fontId="43" fillId="6" borderId="216" xfId="0" applyFont="1" applyFill="1" applyBorder="1" applyAlignment="1" applyProtection="1">
      <alignment horizontal="center"/>
      <protection locked="0"/>
    </xf>
    <xf numFmtId="0" fontId="39" fillId="6" borderId="0" xfId="0" applyFont="1" applyFill="1" applyBorder="1" applyProtection="1">
      <protection locked="0"/>
    </xf>
    <xf numFmtId="0" fontId="43" fillId="6" borderId="222" xfId="0" applyFont="1" applyFill="1" applyBorder="1" applyAlignment="1" applyProtection="1">
      <alignment horizontal="center"/>
      <protection locked="0"/>
    </xf>
    <xf numFmtId="0" fontId="43" fillId="6" borderId="0" xfId="0" applyFont="1" applyFill="1" applyBorder="1" applyAlignment="1" applyProtection="1">
      <protection locked="0"/>
    </xf>
    <xf numFmtId="0" fontId="43" fillId="6" borderId="182" xfId="0" applyFont="1" applyFill="1" applyBorder="1" applyAlignment="1" applyProtection="1">
      <protection locked="0"/>
    </xf>
    <xf numFmtId="0" fontId="43" fillId="6" borderId="184" xfId="0" applyFont="1" applyFill="1" applyBorder="1" applyAlignment="1" applyProtection="1">
      <protection locked="0"/>
    </xf>
    <xf numFmtId="0" fontId="238" fillId="6" borderId="0" xfId="0" applyFont="1" applyFill="1" applyBorder="1" applyAlignment="1" applyProtection="1">
      <alignment horizontal="center" vertical="center"/>
      <protection locked="0"/>
    </xf>
    <xf numFmtId="0" fontId="122" fillId="6" borderId="0" xfId="0" applyFont="1" applyFill="1" applyBorder="1" applyAlignment="1" applyProtection="1">
      <alignment horizontal="center" vertical="center"/>
      <protection locked="0"/>
    </xf>
    <xf numFmtId="0" fontId="96" fillId="6" borderId="184" xfId="0" applyFont="1" applyFill="1" applyBorder="1" applyAlignment="1" applyProtection="1">
      <alignment horizontal="left" vertical="center" indent="4"/>
      <protection locked="0"/>
    </xf>
    <xf numFmtId="0" fontId="122" fillId="6" borderId="184" xfId="0" applyFont="1" applyFill="1" applyBorder="1" applyAlignment="1" applyProtection="1">
      <alignment horizontal="center" vertical="center"/>
      <protection locked="0"/>
    </xf>
    <xf numFmtId="0" fontId="37" fillId="6" borderId="184" xfId="0" applyFont="1" applyFill="1" applyBorder="1" applyProtection="1">
      <protection locked="0"/>
    </xf>
    <xf numFmtId="0" fontId="43" fillId="6" borderId="0" xfId="0" applyFont="1" applyFill="1" applyBorder="1" applyProtection="1">
      <protection locked="0"/>
    </xf>
    <xf numFmtId="0" fontId="43" fillId="6" borderId="182" xfId="0" applyFont="1" applyFill="1" applyBorder="1" applyProtection="1">
      <protection locked="0"/>
    </xf>
    <xf numFmtId="164" fontId="39" fillId="6" borderId="182" xfId="1" applyNumberFormat="1" applyFont="1" applyFill="1" applyBorder="1" applyAlignment="1" applyProtection="1">
      <alignment horizontal="right"/>
      <protection locked="0"/>
    </xf>
    <xf numFmtId="0" fontId="39" fillId="6" borderId="184" xfId="0" applyFont="1" applyFill="1" applyBorder="1" applyProtection="1">
      <protection locked="0"/>
    </xf>
    <xf numFmtId="164" fontId="39" fillId="6" borderId="185" xfId="1" applyNumberFormat="1" applyFont="1" applyFill="1" applyBorder="1" applyAlignment="1" applyProtection="1">
      <alignment horizontal="right"/>
      <protection locked="0"/>
    </xf>
    <xf numFmtId="0" fontId="37" fillId="6" borderId="181" xfId="0" applyFont="1" applyFill="1" applyBorder="1" applyProtection="1">
      <protection locked="0"/>
    </xf>
    <xf numFmtId="0" fontId="37" fillId="6" borderId="183" xfId="0" applyFont="1" applyFill="1" applyBorder="1" applyProtection="1">
      <protection locked="0"/>
    </xf>
    <xf numFmtId="0" fontId="238" fillId="6" borderId="0" xfId="0" applyFont="1" applyFill="1" applyBorder="1" applyAlignment="1" applyProtection="1">
      <alignment vertical="center"/>
      <protection locked="0"/>
    </xf>
    <xf numFmtId="0" fontId="142" fillId="6" borderId="0" xfId="0" applyFont="1" applyFill="1" applyBorder="1" applyAlignment="1" applyProtection="1">
      <alignment horizontal="left" vertical="center" wrapText="1" indent="1"/>
      <protection locked="0"/>
    </xf>
    <xf numFmtId="0" fontId="37" fillId="6" borderId="121" xfId="0" applyFont="1" applyFill="1" applyBorder="1" applyAlignment="1" applyProtection="1">
      <alignment horizontal="center"/>
      <protection locked="0"/>
    </xf>
    <xf numFmtId="0" fontId="43" fillId="6" borderId="0" xfId="0" applyFont="1" applyFill="1" applyBorder="1" applyAlignment="1" applyProtection="1">
      <alignment horizontal="left" vertical="center" indent="1"/>
      <protection locked="0"/>
    </xf>
    <xf numFmtId="0" fontId="201" fillId="32" borderId="0" xfId="0" applyFont="1" applyFill="1" applyBorder="1" applyProtection="1">
      <protection hidden="1"/>
    </xf>
    <xf numFmtId="0" fontId="205" fillId="6" borderId="0" xfId="0" applyFont="1" applyFill="1" applyBorder="1" applyAlignment="1" applyProtection="1">
      <alignment vertical="center"/>
      <protection hidden="1"/>
    </xf>
    <xf numFmtId="0" fontId="239" fillId="6" borderId="0" xfId="0" applyFont="1" applyFill="1" applyAlignment="1" applyProtection="1">
      <alignment vertical="center"/>
      <protection hidden="1"/>
    </xf>
    <xf numFmtId="0" fontId="37" fillId="6" borderId="0" xfId="0" applyFont="1" applyFill="1" applyBorder="1" applyAlignment="1" applyProtection="1">
      <alignment horizontal="center"/>
      <protection locked="0"/>
    </xf>
    <xf numFmtId="0" fontId="96" fillId="6" borderId="0" xfId="0" applyFont="1" applyFill="1" applyBorder="1" applyAlignment="1" applyProtection="1">
      <alignment horizontal="left" vertical="center" indent="1"/>
      <protection locked="0"/>
    </xf>
    <xf numFmtId="0" fontId="0" fillId="26" borderId="0" xfId="0" applyFill="1" applyBorder="1" applyAlignment="1"/>
    <xf numFmtId="0" fontId="194" fillId="6" borderId="0" xfId="0" applyFont="1" applyFill="1" applyBorder="1" applyAlignment="1" applyProtection="1">
      <alignment horizontal="center" vertical="center"/>
      <protection locked="0"/>
    </xf>
    <xf numFmtId="0" fontId="37" fillId="6" borderId="0" xfId="0" applyFont="1" applyFill="1" applyBorder="1" applyAlignment="1" applyProtection="1">
      <protection locked="0"/>
    </xf>
    <xf numFmtId="0" fontId="233" fillId="6" borderId="0" xfId="0" applyFont="1" applyFill="1" applyBorder="1" applyAlignment="1" applyProtection="1">
      <alignment vertical="center"/>
      <protection locked="0"/>
    </xf>
    <xf numFmtId="0" fontId="233" fillId="6" borderId="182" xfId="0" applyFont="1" applyFill="1" applyBorder="1" applyAlignment="1" applyProtection="1">
      <alignment vertical="center"/>
      <protection locked="0"/>
    </xf>
    <xf numFmtId="0" fontId="37" fillId="21" borderId="182" xfId="0" applyFont="1" applyFill="1" applyBorder="1" applyProtection="1">
      <protection locked="0"/>
    </xf>
    <xf numFmtId="0" fontId="37" fillId="6" borderId="182" xfId="0" applyFont="1" applyFill="1" applyBorder="1" applyAlignment="1" applyProtection="1">
      <protection locked="0"/>
    </xf>
    <xf numFmtId="0" fontId="43" fillId="21" borderId="184" xfId="0" applyFont="1" applyFill="1" applyBorder="1" applyProtection="1">
      <protection locked="0"/>
    </xf>
    <xf numFmtId="0" fontId="233" fillId="6" borderId="225" xfId="0" applyFont="1" applyFill="1" applyBorder="1" applyAlignment="1" applyProtection="1">
      <alignment vertical="center"/>
      <protection locked="0"/>
    </xf>
    <xf numFmtId="0" fontId="37" fillId="6" borderId="123" xfId="0" applyFont="1" applyFill="1" applyBorder="1" applyAlignment="1" applyProtection="1">
      <alignment horizontal="center"/>
      <protection locked="0"/>
    </xf>
    <xf numFmtId="0" fontId="194" fillId="6" borderId="182" xfId="0" applyFont="1" applyFill="1" applyBorder="1" applyAlignment="1" applyProtection="1">
      <alignment vertical="center"/>
      <protection locked="0"/>
    </xf>
    <xf numFmtId="168" fontId="55" fillId="0" borderId="0" xfId="0" applyNumberFormat="1" applyFont="1" applyFill="1" applyBorder="1" applyAlignment="1" applyProtection="1">
      <alignment horizontal="center"/>
      <protection hidden="1"/>
    </xf>
    <xf numFmtId="0" fontId="168" fillId="21" borderId="0" xfId="90" applyFont="1" applyFill="1" applyBorder="1" applyAlignment="1" applyProtection="1">
      <alignment vertical="center"/>
      <protection hidden="1"/>
    </xf>
    <xf numFmtId="0" fontId="153" fillId="21" borderId="0" xfId="0" applyFont="1" applyFill="1" applyAlignment="1" applyProtection="1">
      <alignment horizontal="center" vertical="center"/>
    </xf>
    <xf numFmtId="5" fontId="219" fillId="21" borderId="0" xfId="27" applyNumberFormat="1" applyFont="1" applyFill="1" applyBorder="1" applyAlignment="1" applyProtection="1">
      <alignment horizontal="center" vertical="center"/>
      <protection locked="0"/>
    </xf>
    <xf numFmtId="0" fontId="75" fillId="21" borderId="0" xfId="0" applyFont="1" applyFill="1" applyProtection="1">
      <protection locked="0"/>
    </xf>
    <xf numFmtId="0" fontId="52" fillId="21" borderId="0" xfId="0" applyFont="1" applyFill="1" applyBorder="1" applyAlignment="1" applyProtection="1">
      <protection locked="0"/>
    </xf>
    <xf numFmtId="166" fontId="79" fillId="25" borderId="125" xfId="94" applyNumberFormat="1" applyFont="1" applyFill="1" applyBorder="1" applyAlignment="1" applyProtection="1">
      <alignment horizontal="center"/>
      <protection locked="0"/>
    </xf>
    <xf numFmtId="166" fontId="79" fillId="25" borderId="125" xfId="93" applyNumberFormat="1" applyFont="1" applyFill="1" applyBorder="1" applyAlignment="1" applyProtection="1">
      <alignment horizontal="center"/>
      <protection locked="0"/>
    </xf>
    <xf numFmtId="166" fontId="70" fillId="25" borderId="125" xfId="95" applyNumberFormat="1" applyFont="1" applyFill="1" applyBorder="1" applyAlignment="1" applyProtection="1">
      <alignment horizontal="right" indent="1"/>
      <protection locked="0"/>
    </xf>
    <xf numFmtId="166" fontId="117" fillId="25" borderId="125" xfId="95" applyNumberFormat="1" applyFont="1" applyFill="1" applyBorder="1" applyAlignment="1" applyProtection="1">
      <alignment horizontal="right" indent="1"/>
      <protection locked="0"/>
    </xf>
    <xf numFmtId="2" fontId="61" fillId="0" borderId="0" xfId="0" applyNumberFormat="1" applyFont="1" applyFill="1" applyBorder="1" applyAlignment="1" applyProtection="1">
      <alignment horizontal="right" vertical="center"/>
      <protection locked="0" hidden="1"/>
    </xf>
    <xf numFmtId="0" fontId="72" fillId="21" borderId="123" xfId="0" applyFont="1" applyFill="1" applyBorder="1" applyProtection="1">
      <protection locked="0"/>
    </xf>
    <xf numFmtId="0" fontId="0" fillId="26" borderId="0" xfId="0" applyFill="1" applyBorder="1" applyAlignment="1" applyProtection="1">
      <protection locked="0"/>
    </xf>
    <xf numFmtId="0" fontId="101" fillId="21" borderId="0" xfId="0" applyFont="1" applyFill="1" applyAlignment="1" applyProtection="1">
      <alignment vertical="top"/>
      <protection locked="0"/>
    </xf>
    <xf numFmtId="0" fontId="37" fillId="21" borderId="184" xfId="0" applyFont="1" applyFill="1" applyBorder="1" applyProtection="1">
      <protection locked="0"/>
    </xf>
    <xf numFmtId="0" fontId="41" fillId="21" borderId="184" xfId="0" applyFont="1" applyFill="1" applyBorder="1" applyProtection="1">
      <protection locked="0"/>
    </xf>
    <xf numFmtId="0" fontId="39" fillId="21" borderId="184" xfId="0" applyFont="1" applyFill="1" applyBorder="1" applyProtection="1">
      <protection locked="0"/>
    </xf>
    <xf numFmtId="0" fontId="38" fillId="21" borderId="184" xfId="0" applyFont="1" applyFill="1" applyBorder="1" applyProtection="1">
      <protection locked="0"/>
    </xf>
    <xf numFmtId="0" fontId="101" fillId="21" borderId="184" xfId="0" applyFont="1" applyFill="1" applyBorder="1" applyAlignment="1" applyProtection="1">
      <alignment vertical="top"/>
      <protection locked="0"/>
    </xf>
    <xf numFmtId="0" fontId="71" fillId="7" borderId="122" xfId="0" applyFont="1" applyFill="1" applyBorder="1" applyAlignment="1" applyProtection="1">
      <alignment horizontal="center" vertical="center"/>
      <protection locked="0"/>
    </xf>
    <xf numFmtId="0" fontId="37" fillId="6" borderId="178" xfId="0" applyFont="1" applyFill="1" applyBorder="1" applyProtection="1">
      <protection locked="0"/>
    </xf>
    <xf numFmtId="0" fontId="37" fillId="6" borderId="179" xfId="0" applyFont="1" applyFill="1" applyBorder="1" applyProtection="1">
      <protection locked="0"/>
    </xf>
    <xf numFmtId="0" fontId="41" fillId="6" borderId="179" xfId="0" applyFont="1" applyFill="1" applyBorder="1" applyProtection="1">
      <protection locked="0"/>
    </xf>
    <xf numFmtId="0" fontId="39" fillId="6" borderId="179" xfId="0" applyFont="1" applyFill="1" applyBorder="1" applyProtection="1">
      <protection locked="0"/>
    </xf>
    <xf numFmtId="0" fontId="38" fillId="6" borderId="179" xfId="0" applyFont="1" applyFill="1" applyBorder="1" applyProtection="1">
      <protection locked="0"/>
    </xf>
    <xf numFmtId="0" fontId="101" fillId="6" borderId="179" xfId="0" applyFont="1" applyFill="1" applyBorder="1" applyAlignment="1" applyProtection="1">
      <alignment vertical="top"/>
      <protection locked="0"/>
    </xf>
    <xf numFmtId="0" fontId="101" fillId="6" borderId="180" xfId="0" applyFont="1" applyFill="1" applyBorder="1" applyAlignment="1" applyProtection="1">
      <alignment vertical="top"/>
      <protection locked="0"/>
    </xf>
    <xf numFmtId="0" fontId="73" fillId="6" borderId="121" xfId="0" applyFont="1" applyFill="1" applyBorder="1" applyProtection="1">
      <protection locked="0"/>
    </xf>
    <xf numFmtId="0" fontId="52" fillId="6" borderId="121" xfId="0" applyFont="1" applyFill="1" applyBorder="1" applyProtection="1">
      <protection locked="0"/>
    </xf>
    <xf numFmtId="0" fontId="41" fillId="6" borderId="184" xfId="0" applyFont="1" applyFill="1" applyBorder="1" applyProtection="1">
      <protection locked="0"/>
    </xf>
    <xf numFmtId="0" fontId="38" fillId="6" borderId="184" xfId="0" applyFont="1" applyFill="1" applyBorder="1" applyProtection="1">
      <protection locked="0"/>
    </xf>
    <xf numFmtId="0" fontId="101" fillId="6" borderId="184" xfId="0" applyFont="1" applyFill="1" applyBorder="1" applyAlignment="1" applyProtection="1">
      <alignment vertical="top"/>
      <protection locked="0"/>
    </xf>
    <xf numFmtId="0" fontId="101" fillId="6" borderId="185" xfId="0" applyFont="1" applyFill="1" applyBorder="1" applyAlignment="1" applyProtection="1">
      <alignment vertical="top"/>
      <protection locked="0"/>
    </xf>
    <xf numFmtId="0" fontId="73" fillId="7" borderId="0" xfId="0" applyFont="1" applyFill="1" applyAlignment="1">
      <alignment horizontal="center"/>
    </xf>
    <xf numFmtId="0" fontId="171" fillId="21" borderId="0" xfId="0" applyFont="1" applyFill="1" applyBorder="1" applyAlignment="1" applyProtection="1">
      <alignment horizontal="center" vertical="center"/>
      <protection locked="0"/>
    </xf>
    <xf numFmtId="0" fontId="0" fillId="7" borderId="0" xfId="0" applyFill="1" applyBorder="1" applyAlignment="1"/>
    <xf numFmtId="0" fontId="0" fillId="7" borderId="0" xfId="0" applyFill="1" applyBorder="1" applyAlignment="1" applyProtection="1">
      <protection locked="0"/>
    </xf>
    <xf numFmtId="0" fontId="153" fillId="7" borderId="0" xfId="0" applyFont="1" applyFill="1" applyAlignment="1" applyProtection="1">
      <alignment horizontal="center" vertical="center"/>
    </xf>
    <xf numFmtId="0" fontId="43" fillId="7" borderId="0" xfId="0" applyFont="1" applyFill="1" applyProtection="1">
      <protection locked="0"/>
    </xf>
    <xf numFmtId="0" fontId="52" fillId="7" borderId="0" xfId="0" applyFont="1" applyFill="1" applyProtection="1">
      <protection locked="0"/>
    </xf>
    <xf numFmtId="0" fontId="52" fillId="7" borderId="0" xfId="0" applyFont="1" applyFill="1" applyProtection="1"/>
    <xf numFmtId="0" fontId="72" fillId="7" borderId="0" xfId="0" applyFont="1" applyFill="1" applyProtection="1">
      <protection locked="0"/>
    </xf>
    <xf numFmtId="1" fontId="52" fillId="7" borderId="0" xfId="0" applyNumberFormat="1" applyFont="1" applyFill="1" applyProtection="1">
      <protection locked="0"/>
    </xf>
    <xf numFmtId="0" fontId="52" fillId="7" borderId="0" xfId="0" applyFont="1" applyFill="1" applyBorder="1" applyProtection="1"/>
    <xf numFmtId="2" fontId="52" fillId="7" borderId="0" xfId="0" applyNumberFormat="1" applyFont="1" applyFill="1" applyProtection="1">
      <protection locked="0"/>
    </xf>
    <xf numFmtId="0" fontId="37" fillId="7" borderId="0" xfId="0" applyFont="1" applyFill="1" applyProtection="1"/>
    <xf numFmtId="0" fontId="37" fillId="7" borderId="0" xfId="0" applyFont="1" applyFill="1" applyProtection="1">
      <protection locked="0"/>
    </xf>
    <xf numFmtId="0" fontId="171" fillId="7" borderId="0" xfId="0" applyFont="1" applyFill="1" applyBorder="1" applyAlignment="1" applyProtection="1">
      <alignment vertical="center"/>
      <protection locked="0"/>
    </xf>
    <xf numFmtId="0" fontId="0" fillId="7" borderId="0" xfId="0" applyFill="1" applyBorder="1" applyAlignment="1" applyProtection="1">
      <protection hidden="1"/>
    </xf>
    <xf numFmtId="0" fontId="196" fillId="7" borderId="0" xfId="0" applyFont="1" applyFill="1" applyBorder="1" applyAlignment="1" applyProtection="1">
      <protection hidden="1"/>
    </xf>
    <xf numFmtId="0" fontId="133" fillId="7" borderId="0" xfId="0" applyFont="1" applyFill="1" applyBorder="1" applyAlignment="1" applyProtection="1">
      <protection hidden="1"/>
    </xf>
    <xf numFmtId="0" fontId="0" fillId="7" borderId="109" xfId="0" applyFill="1" applyBorder="1" applyAlignment="1" applyProtection="1">
      <protection hidden="1"/>
    </xf>
    <xf numFmtId="0" fontId="196" fillId="7" borderId="109" xfId="0" applyFont="1" applyFill="1" applyBorder="1" applyAlignment="1" applyProtection="1">
      <protection hidden="1"/>
    </xf>
    <xf numFmtId="0" fontId="133" fillId="7" borderId="109" xfId="0" applyFont="1" applyFill="1" applyBorder="1" applyAlignment="1" applyProtection="1">
      <protection hidden="1"/>
    </xf>
    <xf numFmtId="166" fontId="56" fillId="11" borderId="148" xfId="90" applyNumberFormat="1" applyFont="1" applyFill="1" applyBorder="1" applyAlignment="1" applyProtection="1">
      <alignment vertical="center"/>
      <protection locked="0"/>
    </xf>
    <xf numFmtId="0" fontId="7" fillId="21" borderId="0" xfId="90" applyFont="1" applyFill="1" applyBorder="1" applyProtection="1">
      <protection locked="0"/>
    </xf>
    <xf numFmtId="0" fontId="15" fillId="21" borderId="0" xfId="90" applyFont="1" applyFill="1" applyBorder="1" applyProtection="1">
      <protection locked="0"/>
    </xf>
    <xf numFmtId="166" fontId="56" fillId="11" borderId="150" xfId="90" applyNumberFormat="1" applyFont="1" applyFill="1" applyBorder="1" applyAlignment="1" applyProtection="1">
      <alignment vertical="center"/>
      <protection locked="0"/>
    </xf>
    <xf numFmtId="166" fontId="56" fillId="11" borderId="0" xfId="90" applyNumberFormat="1" applyFont="1" applyFill="1" applyBorder="1" applyAlignment="1" applyProtection="1">
      <alignment vertical="center"/>
      <protection locked="0"/>
    </xf>
    <xf numFmtId="166" fontId="56" fillId="11" borderId="152" xfId="90" applyNumberFormat="1" applyFont="1" applyFill="1" applyBorder="1" applyAlignment="1" applyProtection="1">
      <alignment vertical="center"/>
      <protection locked="0"/>
    </xf>
    <xf numFmtId="166" fontId="56" fillId="11" borderId="153" xfId="90" applyNumberFormat="1" applyFont="1" applyFill="1" applyBorder="1" applyAlignment="1" applyProtection="1">
      <alignment vertical="center"/>
      <protection locked="0"/>
    </xf>
    <xf numFmtId="0" fontId="126" fillId="7" borderId="34" xfId="90" applyFont="1" applyFill="1" applyBorder="1" applyProtection="1">
      <protection locked="0"/>
    </xf>
    <xf numFmtId="0" fontId="126" fillId="7" borderId="35" xfId="90" applyFont="1" applyFill="1" applyBorder="1" applyProtection="1">
      <protection locked="0"/>
    </xf>
    <xf numFmtId="9" fontId="126" fillId="7" borderId="35" xfId="90" applyNumberFormat="1" applyFont="1" applyFill="1" applyBorder="1" applyProtection="1">
      <protection locked="0"/>
    </xf>
    <xf numFmtId="0" fontId="126" fillId="7" borderId="36" xfId="90" applyFont="1" applyFill="1" applyBorder="1" applyProtection="1">
      <protection locked="0"/>
    </xf>
    <xf numFmtId="0" fontId="15" fillId="21" borderId="37" xfId="90" applyFont="1" applyFill="1" applyBorder="1" applyProtection="1">
      <protection locked="0"/>
    </xf>
    <xf numFmtId="0" fontId="126" fillId="7" borderId="39" xfId="90" applyFont="1" applyFill="1" applyBorder="1" applyProtection="1">
      <protection locked="0"/>
    </xf>
    <xf numFmtId="0" fontId="126" fillId="7" borderId="40" xfId="90" applyFont="1" applyFill="1" applyBorder="1" applyProtection="1">
      <protection locked="0"/>
    </xf>
    <xf numFmtId="0" fontId="126" fillId="7" borderId="41" xfId="90" applyFont="1" applyFill="1" applyBorder="1" applyProtection="1">
      <protection locked="0"/>
    </xf>
    <xf numFmtId="0" fontId="45" fillId="6" borderId="0" xfId="90" applyFont="1" applyFill="1" applyBorder="1" applyAlignment="1" applyProtection="1">
      <protection locked="0"/>
    </xf>
    <xf numFmtId="0" fontId="45" fillId="6" borderId="109" xfId="90" applyFont="1" applyFill="1" applyBorder="1" applyAlignment="1" applyProtection="1">
      <protection locked="0"/>
    </xf>
    <xf numFmtId="0" fontId="0" fillId="7" borderId="0" xfId="0" applyFill="1" applyBorder="1"/>
    <xf numFmtId="0" fontId="0" fillId="7" borderId="109" xfId="0" applyFill="1" applyBorder="1"/>
    <xf numFmtId="0" fontId="96" fillId="7" borderId="0" xfId="0" applyFont="1" applyFill="1" applyBorder="1" applyAlignment="1">
      <alignment vertical="center"/>
    </xf>
    <xf numFmtId="0" fontId="171" fillId="7" borderId="0" xfId="0" applyFont="1" applyFill="1" applyBorder="1" applyAlignment="1">
      <alignment vertical="center"/>
    </xf>
    <xf numFmtId="0" fontId="96" fillId="7" borderId="109" xfId="0" applyFont="1" applyFill="1" applyBorder="1" applyAlignment="1">
      <alignment vertical="center"/>
    </xf>
    <xf numFmtId="0" fontId="171" fillId="7" borderId="109" xfId="0" applyFont="1" applyFill="1" applyBorder="1" applyAlignment="1">
      <alignment vertical="center"/>
    </xf>
    <xf numFmtId="9" fontId="52" fillId="6" borderId="121" xfId="22" applyFont="1" applyFill="1" applyBorder="1"/>
    <xf numFmtId="9" fontId="73" fillId="6" borderId="121" xfId="0" applyNumberFormat="1" applyFont="1" applyFill="1" applyBorder="1"/>
    <xf numFmtId="43" fontId="52" fillId="6" borderId="121" xfId="1" applyFont="1" applyFill="1" applyBorder="1"/>
    <xf numFmtId="0" fontId="112" fillId="6" borderId="0" xfId="0" applyFont="1" applyFill="1" applyBorder="1" applyAlignment="1" applyProtection="1">
      <alignment horizontal="left" indent="2"/>
      <protection hidden="1"/>
    </xf>
    <xf numFmtId="41" fontId="112" fillId="6" borderId="0" xfId="0" applyNumberFormat="1" applyFont="1" applyFill="1" applyBorder="1" applyAlignment="1" applyProtection="1">
      <alignment horizontal="left" indent="2"/>
      <protection hidden="1"/>
    </xf>
    <xf numFmtId="0" fontId="112" fillId="6" borderId="0" xfId="0" applyFont="1" applyFill="1" applyBorder="1" applyAlignment="1" applyProtection="1">
      <alignment horizontal="left"/>
      <protection hidden="1"/>
    </xf>
    <xf numFmtId="168" fontId="112" fillId="6" borderId="0" xfId="0" applyNumberFormat="1" applyFont="1" applyFill="1" applyBorder="1" applyAlignment="1" applyProtection="1">
      <alignment horizontal="center"/>
      <protection hidden="1"/>
    </xf>
    <xf numFmtId="168" fontId="94" fillId="6" borderId="0" xfId="0" applyNumberFormat="1" applyFont="1" applyFill="1" applyBorder="1" applyAlignment="1" applyProtection="1">
      <alignment horizontal="center"/>
      <protection hidden="1"/>
    </xf>
    <xf numFmtId="0" fontId="37" fillId="6" borderId="0" xfId="0" applyFont="1" applyFill="1" applyProtection="1">
      <protection hidden="1"/>
    </xf>
    <xf numFmtId="9" fontId="52" fillId="7" borderId="0" xfId="0" applyNumberFormat="1" applyFont="1" applyFill="1"/>
    <xf numFmtId="169" fontId="52" fillId="7" borderId="0" xfId="22" applyNumberFormat="1" applyFont="1" applyFill="1"/>
    <xf numFmtId="166" fontId="52" fillId="7" borderId="0" xfId="0" applyNumberFormat="1" applyFont="1" applyFill="1"/>
    <xf numFmtId="166" fontId="52" fillId="6" borderId="121" xfId="0" applyNumberFormat="1" applyFont="1" applyFill="1" applyBorder="1"/>
    <xf numFmtId="0" fontId="179" fillId="7" borderId="109" xfId="0" applyFont="1" applyFill="1" applyBorder="1"/>
    <xf numFmtId="0" fontId="0" fillId="7" borderId="109" xfId="0" applyFill="1" applyBorder="1" applyAlignment="1">
      <alignment horizontal="center"/>
    </xf>
    <xf numFmtId="0" fontId="133" fillId="6" borderId="109" xfId="0" applyFont="1" applyFill="1" applyBorder="1"/>
    <xf numFmtId="0" fontId="52" fillId="27" borderId="0" xfId="0" applyFont="1" applyFill="1" applyBorder="1" applyAlignment="1" applyProtection="1">
      <alignment horizontal="center" vertical="center"/>
      <protection hidden="1"/>
    </xf>
    <xf numFmtId="0" fontId="55" fillId="27" borderId="0" xfId="0" applyFont="1" applyFill="1" applyBorder="1" applyAlignment="1" applyProtection="1">
      <alignment horizontal="center" vertical="center"/>
      <protection hidden="1"/>
    </xf>
    <xf numFmtId="0" fontId="72" fillId="0" borderId="0" xfId="0" applyFont="1" applyBorder="1" applyAlignment="1" applyProtection="1">
      <alignment horizontal="right"/>
      <protection locked="0"/>
    </xf>
    <xf numFmtId="1" fontId="72" fillId="0" borderId="0" xfId="0" applyNumberFormat="1" applyFont="1" applyBorder="1" applyAlignment="1" applyProtection="1">
      <alignment horizontal="left"/>
      <protection locked="0"/>
    </xf>
    <xf numFmtId="0" fontId="191" fillId="21" borderId="0" xfId="0" applyFont="1" applyFill="1" applyBorder="1" applyAlignment="1" applyProtection="1">
      <alignment horizontal="left" vertical="center" indent="4"/>
      <protection hidden="1"/>
    </xf>
    <xf numFmtId="0" fontId="185" fillId="21" borderId="0" xfId="0" applyFont="1" applyFill="1" applyBorder="1" applyAlignment="1" applyProtection="1">
      <alignment horizontal="left" vertical="center" indent="3"/>
      <protection hidden="1"/>
    </xf>
    <xf numFmtId="41" fontId="176" fillId="21" borderId="0" xfId="0" applyNumberFormat="1" applyFont="1" applyFill="1" applyBorder="1" applyProtection="1">
      <protection hidden="1"/>
    </xf>
    <xf numFmtId="0" fontId="176" fillId="21" borderId="0" xfId="0" applyFont="1" applyFill="1" applyBorder="1" applyAlignment="1" applyProtection="1">
      <alignment horizontal="left"/>
      <protection hidden="1"/>
    </xf>
    <xf numFmtId="166" fontId="176" fillId="21" borderId="0" xfId="0" applyNumberFormat="1" applyFont="1" applyFill="1" applyBorder="1" applyAlignment="1" applyProtection="1">
      <alignment horizontal="center"/>
      <protection hidden="1"/>
    </xf>
    <xf numFmtId="0" fontId="55" fillId="21" borderId="0" xfId="0" applyFont="1" applyFill="1" applyBorder="1" applyAlignment="1" applyProtection="1">
      <alignment horizontal="center" vertical="center"/>
      <protection hidden="1"/>
    </xf>
    <xf numFmtId="0" fontId="222" fillId="21" borderId="0" xfId="0" applyFont="1" applyFill="1" applyBorder="1"/>
    <xf numFmtId="0" fontId="133" fillId="21" borderId="0" xfId="0" applyFont="1" applyFill="1" applyBorder="1"/>
    <xf numFmtId="0" fontId="0" fillId="21" borderId="0" xfId="0" applyFill="1" applyBorder="1"/>
    <xf numFmtId="0" fontId="132" fillId="22" borderId="0" xfId="0" applyFont="1" applyFill="1" applyBorder="1" applyAlignment="1" applyProtection="1">
      <alignment vertical="center" wrapText="1"/>
      <protection hidden="1"/>
    </xf>
    <xf numFmtId="0" fontId="120" fillId="22" borderId="0" xfId="0" applyFont="1" applyFill="1" applyBorder="1" applyAlignment="1">
      <alignment vertical="center" wrapText="1"/>
    </xf>
    <xf numFmtId="0" fontId="55" fillId="0" borderId="88" xfId="0" applyFont="1" applyBorder="1" applyAlignment="1" applyProtection="1">
      <alignment horizontal="center"/>
      <protection locked="0"/>
    </xf>
    <xf numFmtId="0" fontId="52" fillId="7" borderId="88" xfId="0" applyFont="1" applyFill="1" applyBorder="1" applyAlignment="1" applyProtection="1">
      <alignment horizontal="center"/>
      <protection locked="0"/>
    </xf>
    <xf numFmtId="173" fontId="52" fillId="7" borderId="88" xfId="0" applyNumberFormat="1" applyFont="1" applyFill="1" applyBorder="1" applyAlignment="1" applyProtection="1">
      <alignment horizontal="center"/>
      <protection locked="0"/>
    </xf>
    <xf numFmtId="0" fontId="52" fillId="6" borderId="88" xfId="0" applyFont="1" applyFill="1" applyBorder="1" applyAlignment="1" applyProtection="1">
      <alignment horizontal="center"/>
      <protection locked="0"/>
    </xf>
    <xf numFmtId="173" fontId="52" fillId="6" borderId="88" xfId="0" applyNumberFormat="1" applyFont="1" applyFill="1" applyBorder="1" applyAlignment="1" applyProtection="1">
      <alignment horizontal="center"/>
      <protection locked="0"/>
    </xf>
    <xf numFmtId="0" fontId="72" fillId="6" borderId="0" xfId="0" applyFont="1" applyFill="1" applyProtection="1">
      <protection locked="0"/>
    </xf>
    <xf numFmtId="166" fontId="247" fillId="0" borderId="0" xfId="3" applyNumberFormat="1" applyFont="1" applyBorder="1" applyAlignment="1" applyProtection="1">
      <alignment horizontal="center" vertical="center"/>
      <protection locked="0"/>
    </xf>
    <xf numFmtId="0" fontId="55" fillId="0" borderId="0" xfId="0" applyFont="1" applyBorder="1" applyAlignment="1" applyProtection="1">
      <alignment horizontal="left"/>
      <protection locked="0"/>
    </xf>
    <xf numFmtId="9" fontId="71" fillId="0" borderId="0" xfId="22" applyFont="1" applyBorder="1" applyAlignment="1" applyProtection="1">
      <alignment horizontal="center"/>
      <protection locked="0"/>
    </xf>
    <xf numFmtId="0" fontId="93" fillId="27" borderId="0" xfId="0" applyFont="1" applyFill="1" applyBorder="1" applyAlignment="1" applyProtection="1">
      <alignment vertical="center"/>
      <protection hidden="1"/>
    </xf>
    <xf numFmtId="41" fontId="172" fillId="12" borderId="0" xfId="0" applyNumberFormat="1" applyFont="1" applyFill="1" applyProtection="1">
      <protection hidden="1"/>
    </xf>
    <xf numFmtId="1" fontId="248" fillId="12" borderId="121" xfId="0" applyNumberFormat="1" applyFont="1" applyFill="1" applyBorder="1" applyAlignment="1" applyProtection="1">
      <alignment horizontal="center" vertical="center"/>
      <protection hidden="1"/>
    </xf>
    <xf numFmtId="1" fontId="248" fillId="12" borderId="0" xfId="0" applyNumberFormat="1" applyFont="1" applyFill="1" applyBorder="1" applyAlignment="1" applyProtection="1">
      <alignment horizontal="center" vertical="center"/>
      <protection hidden="1"/>
    </xf>
    <xf numFmtId="0" fontId="180" fillId="6" borderId="108" xfId="0" applyFont="1" applyFill="1" applyBorder="1" applyAlignment="1" applyProtection="1">
      <alignment horizontal="center" vertical="center"/>
      <protection hidden="1"/>
    </xf>
    <xf numFmtId="0" fontId="146" fillId="6" borderId="133" xfId="0" applyFont="1" applyFill="1" applyBorder="1" applyProtection="1">
      <protection hidden="1"/>
    </xf>
    <xf numFmtId="0" fontId="146" fillId="6" borderId="128" xfId="0" applyFont="1" applyFill="1" applyBorder="1" applyProtection="1">
      <protection hidden="1"/>
    </xf>
    <xf numFmtId="0" fontId="146" fillId="6" borderId="0" xfId="0" applyFont="1" applyFill="1" applyBorder="1" applyProtection="1">
      <protection hidden="1"/>
    </xf>
    <xf numFmtId="0" fontId="146" fillId="6" borderId="130" xfId="0" applyFont="1" applyFill="1" applyBorder="1" applyProtection="1">
      <protection hidden="1"/>
    </xf>
    <xf numFmtId="0" fontId="146" fillId="6" borderId="109" xfId="0" applyFont="1" applyFill="1" applyBorder="1" applyProtection="1">
      <protection hidden="1"/>
    </xf>
    <xf numFmtId="0" fontId="146" fillId="6" borderId="131" xfId="0" applyFont="1" applyFill="1" applyBorder="1" applyProtection="1">
      <protection hidden="1"/>
    </xf>
    <xf numFmtId="167" fontId="165" fillId="6" borderId="0" xfId="0" applyNumberFormat="1" applyFont="1" applyFill="1" applyAlignment="1" applyProtection="1">
      <protection locked="0" hidden="1"/>
    </xf>
    <xf numFmtId="1" fontId="248" fillId="12" borderId="124" xfId="0" applyNumberFormat="1" applyFont="1" applyFill="1" applyBorder="1" applyAlignment="1" applyProtection="1">
      <alignment horizontal="center" vertical="center"/>
      <protection hidden="1"/>
    </xf>
    <xf numFmtId="1" fontId="95" fillId="6" borderId="124" xfId="0" applyNumberFormat="1" applyFont="1" applyFill="1" applyBorder="1" applyAlignment="1" applyProtection="1">
      <alignment horizontal="center" vertical="center"/>
      <protection hidden="1"/>
    </xf>
    <xf numFmtId="41" fontId="95" fillId="25" borderId="121" xfId="0" applyNumberFormat="1" applyFont="1" applyFill="1" applyBorder="1" applyAlignment="1" applyProtection="1">
      <alignment horizontal="center" vertical="top" wrapText="1"/>
      <protection locked="0" hidden="1"/>
    </xf>
    <xf numFmtId="0" fontId="95" fillId="25" borderId="121" xfId="0" applyFont="1" applyFill="1" applyBorder="1" applyAlignment="1" applyProtection="1">
      <alignment horizontal="center" vertical="top" wrapText="1"/>
      <protection locked="0" hidden="1"/>
    </xf>
    <xf numFmtId="168" fontId="95" fillId="25" borderId="121" xfId="0" applyNumberFormat="1" applyFont="1" applyFill="1" applyBorder="1" applyAlignment="1" applyProtection="1">
      <alignment horizontal="center" vertical="center" wrapText="1"/>
      <protection locked="0" hidden="1"/>
    </xf>
    <xf numFmtId="0" fontId="7" fillId="6" borderId="133" xfId="90" applyFont="1" applyFill="1" applyBorder="1" applyAlignment="1" applyProtection="1">
      <alignment vertical="center"/>
      <protection locked="0"/>
    </xf>
    <xf numFmtId="0" fontId="39" fillId="21" borderId="0" xfId="0" applyFont="1" applyFill="1" applyBorder="1" applyAlignment="1" applyProtection="1">
      <alignment horizontal="center" vertical="center"/>
      <protection hidden="1"/>
    </xf>
    <xf numFmtId="0" fontId="96" fillId="21" borderId="0" xfId="0" applyFont="1" applyFill="1" applyBorder="1" applyAlignment="1" applyProtection="1">
      <alignment horizontal="left" vertical="center"/>
      <protection hidden="1"/>
    </xf>
    <xf numFmtId="0" fontId="41" fillId="6" borderId="164" xfId="0" applyFont="1" applyFill="1" applyBorder="1" applyProtection="1">
      <protection hidden="1"/>
    </xf>
    <xf numFmtId="166" fontId="122" fillId="6" borderId="0" xfId="0" applyNumberFormat="1" applyFont="1" applyFill="1" applyBorder="1" applyAlignment="1" applyProtection="1">
      <alignment horizontal="center" vertical="center"/>
      <protection hidden="1"/>
    </xf>
    <xf numFmtId="1" fontId="73" fillId="6" borderId="121" xfId="0" applyNumberFormat="1" applyFont="1" applyFill="1" applyBorder="1"/>
    <xf numFmtId="1" fontId="52" fillId="6" borderId="121" xfId="0" applyNumberFormat="1" applyFont="1" applyFill="1" applyBorder="1"/>
    <xf numFmtId="1" fontId="52" fillId="6" borderId="121" xfId="0" applyNumberFormat="1" applyFont="1" applyFill="1" applyBorder="1" applyAlignment="1">
      <alignment horizontal="right"/>
    </xf>
    <xf numFmtId="9" fontId="52" fillId="6" borderId="121" xfId="22" applyFont="1" applyFill="1" applyBorder="1" applyAlignment="1">
      <alignment horizontal="right"/>
    </xf>
    <xf numFmtId="166" fontId="234" fillId="21" borderId="0" xfId="90" applyNumberFormat="1" applyFont="1" applyFill="1" applyBorder="1" applyProtection="1">
      <protection hidden="1"/>
    </xf>
    <xf numFmtId="0" fontId="45" fillId="6" borderId="0" xfId="90" applyFont="1" applyFill="1" applyBorder="1" applyProtection="1">
      <protection locked="0" hidden="1"/>
    </xf>
    <xf numFmtId="0" fontId="160" fillId="6" borderId="0" xfId="90" applyFont="1" applyFill="1" applyBorder="1" applyAlignment="1" applyProtection="1">
      <protection locked="0" hidden="1"/>
    </xf>
    <xf numFmtId="0" fontId="107" fillId="6" borderId="0" xfId="90" applyFont="1" applyFill="1" applyBorder="1" applyAlignment="1" applyProtection="1">
      <protection locked="0" hidden="1"/>
    </xf>
    <xf numFmtId="0" fontId="244" fillId="6" borderId="0" xfId="90" applyFont="1" applyFill="1" applyBorder="1" applyAlignment="1" applyProtection="1">
      <alignment vertical="center"/>
      <protection locked="0" hidden="1"/>
    </xf>
    <xf numFmtId="0" fontId="244" fillId="6" borderId="133" xfId="90" applyFont="1" applyFill="1" applyBorder="1" applyAlignment="1" applyProtection="1">
      <alignment vertical="center"/>
      <protection locked="0" hidden="1"/>
    </xf>
    <xf numFmtId="9" fontId="52" fillId="7" borderId="0" xfId="22" applyFont="1" applyFill="1"/>
    <xf numFmtId="0" fontId="266" fillId="0" borderId="0" xfId="0" applyFont="1" applyBorder="1" applyAlignment="1" applyProtection="1">
      <alignment vertical="top" wrapText="1"/>
      <protection locked="0"/>
    </xf>
    <xf numFmtId="0" fontId="96" fillId="6" borderId="0" xfId="0" applyFont="1" applyFill="1" applyBorder="1" applyAlignment="1">
      <alignment horizontal="right" vertical="center" indent="1"/>
    </xf>
    <xf numFmtId="168" fontId="50" fillId="6" borderId="0" xfId="0" applyNumberFormat="1" applyFont="1" applyFill="1" applyBorder="1" applyAlignment="1" applyProtection="1">
      <alignment vertical="center"/>
      <protection hidden="1"/>
    </xf>
    <xf numFmtId="9" fontId="122" fillId="6" borderId="0" xfId="22" applyFont="1" applyFill="1" applyBorder="1" applyAlignment="1" applyProtection="1">
      <alignment horizontal="center" vertical="center"/>
      <protection hidden="1"/>
    </xf>
    <xf numFmtId="168" fontId="50" fillId="6" borderId="93" xfId="0" applyNumberFormat="1" applyFont="1" applyFill="1" applyBorder="1" applyAlignment="1" applyProtection="1">
      <alignment vertical="center"/>
      <protection hidden="1"/>
    </xf>
    <xf numFmtId="168" fontId="106" fillId="6" borderId="0" xfId="0" applyNumberFormat="1" applyFont="1" applyFill="1" applyBorder="1" applyAlignment="1" applyProtection="1">
      <alignment horizontal="right" vertical="center"/>
      <protection hidden="1"/>
    </xf>
    <xf numFmtId="168" fontId="122" fillId="6" borderId="0" xfId="0" applyNumberFormat="1" applyFont="1" applyFill="1" applyBorder="1" applyAlignment="1" applyProtection="1">
      <alignment horizontal="center" vertical="center"/>
      <protection hidden="1"/>
    </xf>
    <xf numFmtId="168" fontId="122" fillId="6" borderId="0" xfId="0" applyNumberFormat="1" applyFont="1" applyFill="1" applyBorder="1" applyAlignment="1" applyProtection="1">
      <alignment vertical="center"/>
      <protection hidden="1"/>
    </xf>
    <xf numFmtId="168" fontId="50" fillId="6" borderId="0" xfId="0" applyNumberFormat="1" applyFont="1" applyFill="1" applyBorder="1" applyAlignment="1" applyProtection="1">
      <alignment horizontal="center" vertical="center"/>
      <protection hidden="1"/>
    </xf>
    <xf numFmtId="168" fontId="106" fillId="6" borderId="109" xfId="0" applyNumberFormat="1" applyFont="1" applyFill="1" applyBorder="1" applyAlignment="1" applyProtection="1">
      <alignment horizontal="right" vertical="center"/>
      <protection hidden="1"/>
    </xf>
    <xf numFmtId="168" fontId="122" fillId="6" borderId="109" xfId="0" applyNumberFormat="1" applyFont="1" applyFill="1" applyBorder="1" applyAlignment="1" applyProtection="1">
      <alignment horizontal="center" vertical="center"/>
      <protection hidden="1"/>
    </xf>
    <xf numFmtId="168" fontId="122" fillId="6" borderId="109" xfId="0" applyNumberFormat="1" applyFont="1" applyFill="1" applyBorder="1" applyAlignment="1" applyProtection="1">
      <alignment vertical="center"/>
      <protection hidden="1"/>
    </xf>
    <xf numFmtId="168" fontId="50" fillId="6" borderId="109" xfId="0" applyNumberFormat="1" applyFont="1" applyFill="1" applyBorder="1" applyAlignment="1" applyProtection="1">
      <alignment vertical="center"/>
      <protection hidden="1"/>
    </xf>
    <xf numFmtId="0" fontId="153" fillId="7" borderId="109" xfId="0" applyFont="1" applyFill="1" applyBorder="1" applyAlignment="1" applyProtection="1">
      <alignment horizontal="center" vertical="center"/>
    </xf>
    <xf numFmtId="0" fontId="43" fillId="7" borderId="109" xfId="0" applyFont="1" applyFill="1" applyBorder="1" applyProtection="1">
      <protection locked="0"/>
    </xf>
    <xf numFmtId="0" fontId="171" fillId="7" borderId="109" xfId="0" applyFont="1" applyFill="1" applyBorder="1" applyAlignment="1" applyProtection="1">
      <alignment horizontal="center" vertical="center"/>
      <protection locked="0"/>
    </xf>
    <xf numFmtId="0" fontId="52" fillId="7" borderId="109" xfId="0" applyFont="1" applyFill="1" applyBorder="1" applyProtection="1">
      <protection locked="0"/>
    </xf>
    <xf numFmtId="0" fontId="52" fillId="7" borderId="109" xfId="0" applyFont="1" applyFill="1" applyBorder="1" applyProtection="1"/>
    <xf numFmtId="0" fontId="72" fillId="7" borderId="109" xfId="0" applyFont="1" applyFill="1" applyBorder="1" applyProtection="1">
      <protection locked="0"/>
    </xf>
    <xf numFmtId="1" fontId="52" fillId="7" borderId="109" xfId="0" applyNumberFormat="1" applyFont="1" applyFill="1" applyBorder="1" applyProtection="1">
      <protection locked="0"/>
    </xf>
    <xf numFmtId="2" fontId="52" fillId="7" borderId="109" xfId="0" applyNumberFormat="1" applyFont="1" applyFill="1" applyBorder="1" applyProtection="1">
      <protection locked="0"/>
    </xf>
    <xf numFmtId="0" fontId="37" fillId="7" borderId="109" xfId="0" applyFont="1" applyFill="1" applyBorder="1" applyProtection="1"/>
    <xf numFmtId="0" fontId="37" fillId="7" borderId="109" xfId="0" applyFont="1" applyFill="1" applyBorder="1" applyProtection="1">
      <protection locked="0"/>
    </xf>
    <xf numFmtId="0" fontId="96" fillId="21" borderId="0" xfId="0" applyFont="1" applyFill="1" applyAlignment="1">
      <alignment vertical="center"/>
    </xf>
    <xf numFmtId="0" fontId="171" fillId="21" borderId="0" xfId="0" applyFont="1" applyFill="1" applyAlignment="1">
      <alignment vertical="center"/>
    </xf>
    <xf numFmtId="0" fontId="96" fillId="21" borderId="0" xfId="0" applyFont="1" applyFill="1" applyAlignment="1">
      <alignment horizontal="center" vertical="center"/>
    </xf>
    <xf numFmtId="0" fontId="96" fillId="6" borderId="218" xfId="0" applyFont="1" applyFill="1" applyBorder="1" applyAlignment="1">
      <alignment vertical="center"/>
    </xf>
    <xf numFmtId="0" fontId="96" fillId="6" borderId="219" xfId="0" applyFont="1" applyFill="1" applyBorder="1" applyAlignment="1">
      <alignment vertical="center"/>
    </xf>
    <xf numFmtId="0" fontId="96" fillId="6" borderId="220" xfId="0" applyFont="1" applyFill="1" applyBorder="1" applyAlignment="1">
      <alignment vertical="center"/>
    </xf>
    <xf numFmtId="0" fontId="96" fillId="6" borderId="221" xfId="0" applyFont="1" applyFill="1" applyBorder="1" applyAlignment="1">
      <alignment vertical="center"/>
    </xf>
    <xf numFmtId="0" fontId="96" fillId="21" borderId="262" xfId="0" applyFont="1" applyFill="1" applyBorder="1" applyAlignment="1">
      <alignment vertical="center"/>
    </xf>
    <xf numFmtId="0" fontId="96" fillId="21" borderId="246" xfId="0" applyFont="1" applyFill="1" applyBorder="1" applyAlignment="1">
      <alignment vertical="center"/>
    </xf>
    <xf numFmtId="0" fontId="96" fillId="6" borderId="128" xfId="0" applyFont="1" applyFill="1" applyBorder="1" applyAlignment="1">
      <alignment horizontal="right" vertical="center" indent="1"/>
    </xf>
    <xf numFmtId="0" fontId="96" fillId="6" borderId="133" xfId="0" applyFont="1" applyFill="1" applyBorder="1" applyAlignment="1">
      <alignment vertical="center"/>
    </xf>
    <xf numFmtId="0" fontId="96" fillId="6" borderId="128" xfId="0" applyFont="1" applyFill="1" applyBorder="1" applyAlignment="1">
      <alignment vertical="center"/>
    </xf>
    <xf numFmtId="0" fontId="96" fillId="6" borderId="130" xfId="0" applyFont="1" applyFill="1" applyBorder="1" applyAlignment="1">
      <alignment vertical="center"/>
    </xf>
    <xf numFmtId="0" fontId="96" fillId="6" borderId="131" xfId="0" applyFont="1" applyFill="1" applyBorder="1" applyAlignment="1">
      <alignment vertical="center"/>
    </xf>
    <xf numFmtId="0" fontId="52" fillId="6" borderId="269" xfId="0" applyFont="1" applyFill="1" applyBorder="1" applyAlignment="1">
      <alignment vertical="center"/>
    </xf>
    <xf numFmtId="0" fontId="52" fillId="6" borderId="270" xfId="0" applyFont="1" applyFill="1" applyBorder="1" applyAlignment="1">
      <alignment vertical="center"/>
    </xf>
    <xf numFmtId="166" fontId="52" fillId="6" borderId="270" xfId="22" applyNumberFormat="1" applyFont="1" applyFill="1" applyBorder="1" applyAlignment="1">
      <alignment vertical="center"/>
    </xf>
    <xf numFmtId="9" fontId="52" fillId="6" borderId="215" xfId="22" applyFont="1" applyFill="1" applyBorder="1" applyAlignment="1">
      <alignment vertical="center"/>
    </xf>
    <xf numFmtId="0" fontId="98" fillId="21" borderId="0" xfId="0" applyFont="1" applyFill="1" applyAlignment="1">
      <alignment horizontal="center" vertical="center"/>
    </xf>
    <xf numFmtId="0" fontId="96" fillId="6" borderId="215" xfId="0" applyFont="1" applyFill="1" applyBorder="1" applyAlignment="1">
      <alignment vertical="center"/>
    </xf>
    <xf numFmtId="166" fontId="127" fillId="6" borderId="0" xfId="353" applyNumberFormat="1" applyFont="1" applyFill="1" applyBorder="1" applyAlignment="1" applyProtection="1">
      <alignment horizontal="center" vertical="center"/>
      <protection locked="0"/>
    </xf>
    <xf numFmtId="0" fontId="52" fillId="6" borderId="0" xfId="0" applyFont="1" applyFill="1" applyBorder="1" applyAlignment="1">
      <alignment vertical="center"/>
    </xf>
    <xf numFmtId="0" fontId="146" fillId="6" borderId="0" xfId="0" applyFont="1" applyFill="1" applyBorder="1" applyAlignment="1">
      <alignment vertical="center"/>
    </xf>
    <xf numFmtId="0" fontId="274" fillId="6" borderId="0" xfId="0" applyFont="1" applyFill="1" applyBorder="1" applyAlignment="1">
      <alignment vertical="center"/>
    </xf>
    <xf numFmtId="0" fontId="274" fillId="6" borderId="108" xfId="0" applyFont="1" applyFill="1" applyBorder="1" applyAlignment="1">
      <alignment vertical="center"/>
    </xf>
    <xf numFmtId="0" fontId="275" fillId="6" borderId="0" xfId="0" applyFont="1" applyFill="1" applyBorder="1" applyAlignment="1">
      <alignment vertical="center"/>
    </xf>
    <xf numFmtId="166" fontId="275" fillId="6" borderId="0" xfId="0" applyNumberFormat="1" applyFont="1" applyFill="1" applyBorder="1" applyAlignment="1">
      <alignment horizontal="center" vertical="center"/>
    </xf>
    <xf numFmtId="0" fontId="272" fillId="6" borderId="128" xfId="0" applyFont="1" applyFill="1" applyBorder="1" applyAlignment="1">
      <alignment horizontal="center" vertical="center"/>
    </xf>
    <xf numFmtId="0" fontId="272" fillId="6" borderId="0" xfId="0" applyFont="1" applyFill="1" applyBorder="1" applyAlignment="1">
      <alignment horizontal="center" vertical="center"/>
    </xf>
    <xf numFmtId="0" fontId="272" fillId="6" borderId="133" xfId="0" applyFont="1" applyFill="1" applyBorder="1" applyAlignment="1">
      <alignment horizontal="center" vertical="center"/>
    </xf>
    <xf numFmtId="0" fontId="79" fillId="21" borderId="0" xfId="90" applyFont="1" applyFill="1" applyBorder="1" applyAlignment="1" applyProtection="1">
      <alignment vertical="top"/>
      <protection hidden="1"/>
    </xf>
    <xf numFmtId="0" fontId="7" fillId="6" borderId="0" xfId="90" applyFont="1" applyFill="1" applyBorder="1" applyAlignment="1" applyProtection="1">
      <protection locked="0"/>
    </xf>
    <xf numFmtId="0" fontId="45" fillId="6" borderId="29" xfId="90" applyFont="1" applyFill="1" applyBorder="1" applyProtection="1">
      <protection locked="0" hidden="1"/>
    </xf>
    <xf numFmtId="0" fontId="45" fillId="6" borderId="30" xfId="90" applyFont="1" applyFill="1" applyBorder="1" applyProtection="1">
      <protection locked="0" hidden="1"/>
    </xf>
    <xf numFmtId="0" fontId="45" fillId="6" borderId="30" xfId="90" applyFont="1" applyFill="1" applyBorder="1" applyAlignment="1" applyProtection="1">
      <protection locked="0"/>
    </xf>
    <xf numFmtId="0" fontId="45" fillId="6" borderId="29" xfId="90" applyFont="1" applyFill="1" applyBorder="1" applyAlignment="1" applyProtection="1">
      <protection locked="0"/>
    </xf>
    <xf numFmtId="0" fontId="106" fillId="7" borderId="0" xfId="0" applyFont="1" applyFill="1" applyBorder="1" applyAlignment="1">
      <alignment vertical="center"/>
    </xf>
    <xf numFmtId="0" fontId="254" fillId="21" borderId="0" xfId="353" applyFont="1" applyFill="1" applyBorder="1"/>
    <xf numFmtId="0" fontId="11" fillId="6" borderId="279" xfId="353" applyFont="1" applyFill="1" applyBorder="1" applyProtection="1">
      <protection locked="0"/>
    </xf>
    <xf numFmtId="0" fontId="11" fillId="6" borderId="280" xfId="353" applyFont="1" applyFill="1" applyBorder="1" applyProtection="1">
      <protection locked="0"/>
    </xf>
    <xf numFmtId="166" fontId="64" fillId="6" borderId="167" xfId="353" applyNumberFormat="1" applyFont="1" applyFill="1" applyBorder="1" applyAlignment="1" applyProtection="1">
      <protection locked="0"/>
    </xf>
    <xf numFmtId="166" fontId="64" fillId="6" borderId="168" xfId="353" applyNumberFormat="1" applyFont="1" applyFill="1" applyBorder="1" applyAlignment="1" applyProtection="1">
      <protection locked="0"/>
    </xf>
    <xf numFmtId="0" fontId="11" fillId="6" borderId="168" xfId="353" applyFont="1" applyFill="1" applyBorder="1" applyProtection="1">
      <protection locked="0"/>
    </xf>
    <xf numFmtId="166" fontId="66" fillId="6" borderId="168" xfId="353" applyNumberFormat="1" applyFont="1" applyFill="1" applyBorder="1" applyAlignment="1" applyProtection="1">
      <protection locked="0"/>
    </xf>
    <xf numFmtId="166" fontId="64" fillId="6" borderId="170" xfId="353" applyNumberFormat="1" applyFont="1" applyFill="1" applyBorder="1" applyAlignment="1" applyProtection="1">
      <protection locked="0"/>
    </xf>
    <xf numFmtId="0" fontId="11" fillId="6" borderId="282" xfId="353" applyFont="1" applyFill="1" applyBorder="1" applyProtection="1">
      <protection locked="0"/>
    </xf>
    <xf numFmtId="0" fontId="109" fillId="21" borderId="0" xfId="90" applyFont="1" applyFill="1" applyBorder="1" applyProtection="1"/>
    <xf numFmtId="0" fontId="79" fillId="21" borderId="0" xfId="90" applyFont="1" applyFill="1" applyBorder="1" applyProtection="1">
      <protection hidden="1"/>
    </xf>
    <xf numFmtId="166" fontId="122" fillId="6" borderId="0" xfId="0" applyNumberFormat="1" applyFont="1" applyFill="1" applyBorder="1" applyAlignment="1" applyProtection="1">
      <alignment horizontal="center" vertical="center"/>
      <protection hidden="1"/>
    </xf>
    <xf numFmtId="168" fontId="106" fillId="6" borderId="0" xfId="0" applyNumberFormat="1" applyFont="1" applyFill="1" applyBorder="1" applyAlignment="1" applyProtection="1">
      <alignment horizontal="right" vertical="center"/>
      <protection hidden="1"/>
    </xf>
    <xf numFmtId="166" fontId="122" fillId="6" borderId="0" xfId="0" applyNumberFormat="1" applyFont="1" applyFill="1" applyBorder="1" applyAlignment="1" applyProtection="1">
      <alignment horizontal="center" vertical="center"/>
      <protection hidden="1"/>
    </xf>
    <xf numFmtId="168" fontId="106" fillId="6" borderId="0" xfId="0" applyNumberFormat="1" applyFont="1" applyFill="1" applyBorder="1" applyAlignment="1" applyProtection="1">
      <alignment horizontal="right" vertical="center"/>
      <protection hidden="1"/>
    </xf>
    <xf numFmtId="168" fontId="122" fillId="22" borderId="218" xfId="0" applyNumberFormat="1" applyFont="1" applyFill="1" applyBorder="1" applyAlignment="1" applyProtection="1">
      <alignment horizontal="center" vertical="center"/>
      <protection hidden="1"/>
    </xf>
    <xf numFmtId="168" fontId="122" fillId="22" borderId="0" xfId="0" applyNumberFormat="1" applyFont="1" applyFill="1" applyBorder="1" applyAlignment="1" applyProtection="1">
      <alignment horizontal="center" vertical="center"/>
      <protection hidden="1"/>
    </xf>
    <xf numFmtId="168" fontId="122" fillId="22" borderId="225" xfId="0" applyNumberFormat="1" applyFont="1" applyFill="1" applyBorder="1" applyAlignment="1" applyProtection="1">
      <alignment horizontal="center" vertical="center"/>
      <protection hidden="1"/>
    </xf>
    <xf numFmtId="9" fontId="122" fillId="22" borderId="219" xfId="22" applyFont="1" applyFill="1" applyBorder="1" applyAlignment="1" applyProtection="1">
      <alignment horizontal="center" vertical="center"/>
      <protection hidden="1"/>
    </xf>
    <xf numFmtId="9" fontId="122" fillId="22" borderId="221" xfId="22" applyFont="1" applyFill="1" applyBorder="1" applyAlignment="1" applyProtection="1">
      <alignment horizontal="center" vertical="center"/>
      <protection hidden="1"/>
    </xf>
    <xf numFmtId="9" fontId="122" fillId="22" borderId="216" xfId="22" applyFont="1" applyFill="1" applyBorder="1" applyAlignment="1" applyProtection="1">
      <alignment horizontal="center" vertical="center"/>
      <protection hidden="1"/>
    </xf>
    <xf numFmtId="9" fontId="122" fillId="6" borderId="227" xfId="22" applyFont="1" applyFill="1" applyBorder="1" applyAlignment="1" applyProtection="1">
      <alignment horizontal="center" vertical="center"/>
      <protection hidden="1"/>
    </xf>
    <xf numFmtId="168" fontId="50" fillId="6" borderId="227" xfId="0" applyNumberFormat="1" applyFont="1" applyFill="1" applyBorder="1" applyAlignment="1" applyProtection="1">
      <alignment vertical="center"/>
      <protection hidden="1"/>
    </xf>
    <xf numFmtId="168" fontId="50" fillId="6" borderId="228" xfId="0" applyNumberFormat="1" applyFont="1" applyFill="1" applyBorder="1" applyAlignment="1" applyProtection="1">
      <alignment vertical="center"/>
      <protection hidden="1"/>
    </xf>
    <xf numFmtId="168" fontId="122" fillId="6" borderId="227" xfId="0" applyNumberFormat="1" applyFont="1" applyFill="1" applyBorder="1" applyAlignment="1" applyProtection="1">
      <alignment horizontal="center" vertical="center"/>
      <protection hidden="1"/>
    </xf>
    <xf numFmtId="0" fontId="266" fillId="0" borderId="0" xfId="0" applyFont="1" applyBorder="1" applyAlignment="1" applyProtection="1">
      <alignment horizontal="center" vertical="top" wrapText="1"/>
      <protection locked="0"/>
    </xf>
    <xf numFmtId="0" fontId="279" fillId="22" borderId="121" xfId="0" applyFont="1" applyFill="1" applyBorder="1" applyAlignment="1" applyProtection="1">
      <alignment horizontal="center" vertical="center" wrapText="1"/>
      <protection locked="0"/>
    </xf>
    <xf numFmtId="0" fontId="52" fillId="7" borderId="88" xfId="0" applyFont="1" applyFill="1" applyBorder="1" applyAlignment="1" applyProtection="1">
      <alignment horizontal="center"/>
      <protection locked="0"/>
    </xf>
    <xf numFmtId="0" fontId="98" fillId="7" borderId="0" xfId="0" applyFont="1" applyFill="1" applyAlignment="1">
      <alignment horizontal="center" vertical="center"/>
    </xf>
    <xf numFmtId="0" fontId="0" fillId="7" borderId="115" xfId="0" applyFill="1" applyBorder="1"/>
    <xf numFmtId="0" fontId="287" fillId="6" borderId="0" xfId="0" applyFont="1" applyFill="1" applyBorder="1" applyAlignment="1" applyProtection="1">
      <alignment vertical="center"/>
      <protection locked="0"/>
    </xf>
    <xf numFmtId="166" fontId="194" fillId="6" borderId="0" xfId="0" applyNumberFormat="1" applyFont="1" applyFill="1" applyAlignment="1" applyProtection="1">
      <protection locked="0"/>
    </xf>
    <xf numFmtId="0" fontId="283" fillId="6" borderId="0" xfId="0" applyFont="1" applyFill="1" applyProtection="1">
      <protection hidden="1"/>
    </xf>
    <xf numFmtId="0" fontId="287" fillId="6" borderId="319" xfId="0" applyFont="1" applyFill="1" applyBorder="1" applyAlignment="1" applyProtection="1">
      <alignment horizontal="left" vertical="center" indent="1"/>
      <protection locked="0"/>
    </xf>
    <xf numFmtId="0" fontId="287" fillId="6" borderId="320" xfId="0" applyFont="1" applyFill="1" applyBorder="1" applyAlignment="1" applyProtection="1">
      <alignment vertical="center"/>
      <protection locked="0"/>
    </xf>
    <xf numFmtId="0" fontId="287" fillId="6" borderId="321" xfId="0" applyFont="1" applyFill="1" applyBorder="1" applyAlignment="1" applyProtection="1">
      <alignment vertical="center"/>
      <protection locked="0"/>
    </xf>
    <xf numFmtId="0" fontId="283" fillId="6" borderId="322" xfId="0" applyFont="1" applyFill="1" applyBorder="1" applyProtection="1">
      <protection hidden="1"/>
    </xf>
    <xf numFmtId="0" fontId="293" fillId="6" borderId="0" xfId="0" applyFont="1" applyFill="1" applyBorder="1" applyAlignment="1" applyProtection="1">
      <alignment vertical="center"/>
      <protection locked="0"/>
    </xf>
    <xf numFmtId="0" fontId="287" fillId="6" borderId="323" xfId="0" applyFont="1" applyFill="1" applyBorder="1" applyAlignment="1" applyProtection="1">
      <alignment vertical="center"/>
      <protection locked="0"/>
    </xf>
    <xf numFmtId="0" fontId="283" fillId="6" borderId="324" xfId="0" applyFont="1" applyFill="1" applyBorder="1" applyProtection="1">
      <protection hidden="1"/>
    </xf>
    <xf numFmtId="0" fontId="283" fillId="6" borderId="312" xfId="0" applyFont="1" applyFill="1" applyBorder="1" applyProtection="1">
      <protection hidden="1"/>
    </xf>
    <xf numFmtId="0" fontId="287" fillId="6" borderId="312" xfId="0" applyFont="1" applyFill="1" applyBorder="1" applyAlignment="1" applyProtection="1">
      <alignment vertical="center"/>
      <protection locked="0"/>
    </xf>
    <xf numFmtId="0" fontId="287" fillId="6" borderId="325" xfId="0" applyFont="1" applyFill="1" applyBorder="1" applyAlignment="1" applyProtection="1">
      <alignment vertical="center"/>
      <protection locked="0"/>
    </xf>
    <xf numFmtId="0" fontId="294" fillId="6" borderId="109" xfId="0" applyFont="1" applyFill="1" applyBorder="1" applyAlignment="1" applyProtection="1">
      <alignment horizontal="right"/>
      <protection locked="0"/>
    </xf>
    <xf numFmtId="0" fontId="290" fillId="6" borderId="0" xfId="0" applyFont="1" applyFill="1" applyBorder="1" applyAlignment="1" applyProtection="1">
      <alignment vertical="center"/>
      <protection locked="0"/>
    </xf>
    <xf numFmtId="0" fontId="37" fillId="6" borderId="199" xfId="0" applyFont="1" applyFill="1" applyBorder="1" applyProtection="1">
      <protection hidden="1"/>
    </xf>
    <xf numFmtId="0" fontId="37" fillId="6" borderId="200" xfId="0" applyFont="1" applyFill="1" applyBorder="1" applyProtection="1">
      <protection hidden="1"/>
    </xf>
    <xf numFmtId="0" fontId="37" fillId="6" borderId="313" xfId="0" applyFont="1" applyFill="1" applyBorder="1" applyProtection="1">
      <protection hidden="1"/>
    </xf>
    <xf numFmtId="0" fontId="37" fillId="6" borderId="314" xfId="0" applyFont="1" applyFill="1" applyBorder="1" applyProtection="1">
      <protection hidden="1"/>
    </xf>
    <xf numFmtId="0" fontId="37" fillId="6" borderId="315" xfId="0" applyFont="1" applyFill="1" applyBorder="1" applyProtection="1">
      <protection hidden="1"/>
    </xf>
    <xf numFmtId="0" fontId="297" fillId="6" borderId="0" xfId="0" applyFont="1" applyFill="1" applyBorder="1" applyAlignment="1" applyProtection="1">
      <protection locked="0"/>
    </xf>
    <xf numFmtId="0" fontId="284" fillId="6" borderId="0" xfId="0" applyFont="1" applyFill="1" applyBorder="1" applyAlignment="1" applyProtection="1">
      <alignment horizontal="center" vertical="center"/>
      <protection locked="0"/>
    </xf>
    <xf numFmtId="0" fontId="287" fillId="6" borderId="109" xfId="0" applyFont="1" applyFill="1" applyBorder="1" applyAlignment="1" applyProtection="1">
      <alignment vertical="center"/>
      <protection locked="0"/>
    </xf>
    <xf numFmtId="166" fontId="295" fillId="6" borderId="109" xfId="0" applyNumberFormat="1" applyFont="1" applyFill="1" applyBorder="1" applyAlignment="1" applyProtection="1">
      <alignment horizontal="center"/>
      <protection locked="0"/>
    </xf>
    <xf numFmtId="182" fontId="295" fillId="6" borderId="109" xfId="0" applyNumberFormat="1" applyFont="1" applyFill="1" applyBorder="1" applyAlignment="1" applyProtection="1">
      <alignment horizontal="center"/>
      <protection hidden="1"/>
    </xf>
    <xf numFmtId="0" fontId="300" fillId="6" borderId="319" xfId="0" applyFont="1" applyFill="1" applyBorder="1" applyAlignment="1" applyProtection="1">
      <alignment horizontal="left" vertical="center" indent="1"/>
      <protection locked="0"/>
    </xf>
    <xf numFmtId="0" fontId="301" fillId="6" borderId="109" xfId="0" applyFont="1" applyFill="1" applyBorder="1" applyAlignment="1" applyProtection="1">
      <alignment horizontal="right"/>
      <protection locked="0"/>
    </xf>
    <xf numFmtId="166" fontId="302" fillId="6" borderId="109" xfId="0" applyNumberFormat="1" applyFont="1" applyFill="1" applyBorder="1" applyAlignment="1" applyProtection="1">
      <alignment horizontal="center"/>
      <protection locked="0"/>
    </xf>
    <xf numFmtId="182" fontId="302" fillId="6" borderId="109" xfId="0" applyNumberFormat="1" applyFont="1" applyFill="1" applyBorder="1" applyAlignment="1" applyProtection="1">
      <alignment horizontal="center"/>
      <protection hidden="1"/>
    </xf>
    <xf numFmtId="169" fontId="295" fillId="6" borderId="109" xfId="0" applyNumberFormat="1" applyFont="1" applyFill="1" applyBorder="1" applyAlignment="1" applyProtection="1">
      <alignment horizontal="center"/>
      <protection hidden="1"/>
    </xf>
    <xf numFmtId="0" fontId="132" fillId="7" borderId="339" xfId="0" quotePrefix="1" applyFont="1" applyFill="1" applyBorder="1" applyAlignment="1" applyProtection="1">
      <alignment horizontal="center" vertical="center"/>
      <protection locked="0"/>
    </xf>
    <xf numFmtId="0" fontId="132" fillId="7" borderId="335" xfId="0" quotePrefix="1" applyFont="1" applyFill="1" applyBorder="1" applyAlignment="1" applyProtection="1">
      <alignment horizontal="center" vertical="center"/>
      <protection locked="0"/>
    </xf>
    <xf numFmtId="166" fontId="289" fillId="6" borderId="121" xfId="0" applyNumberFormat="1" applyFont="1" applyFill="1" applyBorder="1" applyAlignment="1" applyProtection="1">
      <alignment horizontal="center" vertical="center"/>
      <protection locked="0"/>
    </xf>
    <xf numFmtId="166" fontId="289" fillId="6" borderId="122" xfId="0" applyNumberFormat="1" applyFont="1" applyFill="1" applyBorder="1" applyAlignment="1" applyProtection="1">
      <alignment horizontal="center" vertical="center"/>
      <protection locked="0"/>
    </xf>
    <xf numFmtId="0" fontId="287" fillId="6" borderId="354" xfId="0" applyFont="1" applyFill="1" applyBorder="1" applyAlignment="1" applyProtection="1">
      <alignment vertical="center"/>
      <protection locked="0"/>
    </xf>
    <xf numFmtId="0" fontId="283" fillId="21" borderId="0" xfId="0" applyFont="1" applyFill="1" applyProtection="1">
      <protection hidden="1"/>
    </xf>
    <xf numFmtId="0" fontId="72" fillId="7" borderId="311" xfId="0" applyFont="1" applyFill="1" applyBorder="1" applyAlignment="1">
      <alignment horizontal="center" vertical="center"/>
    </xf>
    <xf numFmtId="169" fontId="302" fillId="6" borderId="109" xfId="0" applyNumberFormat="1" applyFont="1" applyFill="1" applyBorder="1" applyAlignment="1" applyProtection="1">
      <alignment horizontal="center"/>
      <protection hidden="1"/>
    </xf>
    <xf numFmtId="0" fontId="171" fillId="21" borderId="108" xfId="0" applyFont="1" applyFill="1" applyBorder="1" applyAlignment="1" applyProtection="1">
      <alignment horizontal="center" vertical="center"/>
      <protection locked="0"/>
    </xf>
    <xf numFmtId="0" fontId="96" fillId="21" borderId="239" xfId="0" applyFont="1" applyFill="1" applyBorder="1" applyAlignment="1">
      <alignment vertical="center"/>
    </xf>
    <xf numFmtId="0" fontId="245" fillId="21" borderId="0" xfId="0" applyFont="1" applyFill="1" applyAlignment="1">
      <alignment vertical="center"/>
    </xf>
    <xf numFmtId="0" fontId="96" fillId="6" borderId="217" xfId="0" applyFont="1" applyFill="1" applyBorder="1" applyAlignment="1">
      <alignment vertical="center"/>
    </xf>
    <xf numFmtId="0" fontId="96" fillId="6" borderId="220" xfId="0" applyFont="1" applyFill="1" applyBorder="1" applyAlignment="1">
      <alignment vertical="center" wrapText="1"/>
    </xf>
    <xf numFmtId="0" fontId="96" fillId="6" borderId="0" xfId="0" applyFont="1" applyFill="1" applyBorder="1" applyAlignment="1">
      <alignment vertical="center" wrapText="1"/>
    </xf>
    <xf numFmtId="0" fontId="96" fillId="6" borderId="221" xfId="0" applyFont="1" applyFill="1" applyBorder="1" applyAlignment="1">
      <alignment vertical="center" wrapText="1"/>
    </xf>
    <xf numFmtId="0" fontId="96" fillId="6" borderId="222" xfId="0" applyFont="1" applyFill="1" applyBorder="1" applyAlignment="1">
      <alignment vertical="center" wrapText="1"/>
    </xf>
    <xf numFmtId="0" fontId="96" fillId="6" borderId="225" xfId="0" applyFont="1" applyFill="1" applyBorder="1" applyAlignment="1">
      <alignment vertical="center" wrapText="1"/>
    </xf>
    <xf numFmtId="0" fontId="96" fillId="6" borderId="216" xfId="0" applyFont="1" applyFill="1" applyBorder="1" applyAlignment="1">
      <alignment vertical="center" wrapText="1"/>
    </xf>
    <xf numFmtId="0" fontId="170" fillId="21" borderId="0" xfId="0" applyFont="1" applyFill="1" applyAlignment="1">
      <alignment horizontal="left" vertical="center" indent="1"/>
    </xf>
    <xf numFmtId="0" fontId="272" fillId="6" borderId="220" xfId="0" applyFont="1" applyFill="1" applyBorder="1" applyAlignment="1">
      <alignment horizontal="center" vertical="center"/>
    </xf>
    <xf numFmtId="0" fontId="272" fillId="6" borderId="221" xfId="0" applyFont="1" applyFill="1" applyBorder="1" applyAlignment="1">
      <alignment horizontal="center" vertical="center"/>
    </xf>
    <xf numFmtId="0" fontId="272" fillId="6" borderId="222" xfId="0" applyFont="1" applyFill="1" applyBorder="1" applyAlignment="1">
      <alignment horizontal="center" vertical="center"/>
    </xf>
    <xf numFmtId="0" fontId="272" fillId="6" borderId="225" xfId="0" applyFont="1" applyFill="1" applyBorder="1" applyAlignment="1">
      <alignment horizontal="center" vertical="center"/>
    </xf>
    <xf numFmtId="0" fontId="272" fillId="6" borderId="223" xfId="0" applyFont="1" applyFill="1" applyBorder="1" applyAlignment="1">
      <alignment horizontal="center" vertical="center"/>
    </xf>
    <xf numFmtId="0" fontId="272" fillId="6" borderId="224" xfId="0" applyFont="1" applyFill="1" applyBorder="1" applyAlignment="1">
      <alignment horizontal="center" vertical="center"/>
    </xf>
    <xf numFmtId="0" fontId="272" fillId="6" borderId="216" xfId="0" applyFont="1" applyFill="1" applyBorder="1" applyAlignment="1">
      <alignment horizontal="center" vertical="center"/>
    </xf>
    <xf numFmtId="0" fontId="294" fillId="0" borderId="0" xfId="0" applyFont="1" applyBorder="1" applyAlignment="1" applyProtection="1">
      <protection locked="0"/>
    </xf>
    <xf numFmtId="0" fontId="0" fillId="6" borderId="225" xfId="0" applyFont="1" applyFill="1" applyBorder="1" applyProtection="1">
      <protection locked="0"/>
    </xf>
    <xf numFmtId="0" fontId="72" fillId="0" borderId="225" xfId="0" applyFont="1" applyBorder="1" applyProtection="1">
      <protection locked="0"/>
    </xf>
    <xf numFmtId="0" fontId="52" fillId="0" borderId="225" xfId="0" applyFont="1" applyBorder="1" applyProtection="1">
      <protection locked="0"/>
    </xf>
    <xf numFmtId="0" fontId="114" fillId="21" borderId="0" xfId="0" applyFont="1" applyFill="1" applyBorder="1" applyAlignment="1" applyProtection="1">
      <alignment horizontal="center" wrapText="1"/>
      <protection locked="0"/>
    </xf>
    <xf numFmtId="166" fontId="69" fillId="25" borderId="125" xfId="95" applyNumberFormat="1" applyFont="1" applyFill="1" applyBorder="1" applyAlignment="1" applyProtection="1">
      <alignment horizontal="right" indent="1"/>
    </xf>
    <xf numFmtId="166" fontId="99" fillId="21" borderId="123" xfId="94" applyNumberFormat="1" applyFont="1" applyFill="1" applyBorder="1" applyAlignment="1" applyProtection="1">
      <alignment horizontal="center" vertical="center"/>
    </xf>
    <xf numFmtId="166" fontId="63" fillId="21" borderId="123" xfId="94" applyNumberFormat="1" applyFont="1" applyFill="1" applyBorder="1" applyAlignment="1" applyProtection="1">
      <alignment horizontal="right" vertical="center" indent="1"/>
    </xf>
    <xf numFmtId="0" fontId="72" fillId="6" borderId="0" xfId="0" applyFont="1" applyFill="1" applyBorder="1" applyProtection="1">
      <protection hidden="1"/>
    </xf>
    <xf numFmtId="14" fontId="312" fillId="6" borderId="0" xfId="0" applyNumberFormat="1" applyFont="1" applyFill="1" applyBorder="1" applyAlignment="1" applyProtection="1">
      <alignment horizontal="center" vertical="center"/>
      <protection hidden="1"/>
    </xf>
    <xf numFmtId="14" fontId="313" fillId="6" borderId="0" xfId="0" applyNumberFormat="1" applyFont="1" applyFill="1" applyBorder="1" applyAlignment="1" applyProtection="1">
      <alignment horizontal="center" vertical="center"/>
      <protection hidden="1"/>
    </xf>
    <xf numFmtId="0" fontId="314" fillId="6" borderId="0" xfId="0" applyFont="1" applyFill="1" applyBorder="1" applyAlignment="1" applyProtection="1">
      <alignment horizontal="center"/>
      <protection hidden="1"/>
    </xf>
    <xf numFmtId="0" fontId="275" fillId="6" borderId="0" xfId="0" quotePrefix="1" applyFont="1" applyFill="1" applyBorder="1" applyAlignment="1" applyProtection="1">
      <alignment vertical="center"/>
      <protection hidden="1"/>
    </xf>
    <xf numFmtId="0" fontId="146" fillId="21" borderId="0" xfId="0" applyFont="1" applyFill="1" applyProtection="1">
      <protection hidden="1"/>
    </xf>
    <xf numFmtId="0" fontId="201" fillId="21" borderId="0" xfId="0" applyFont="1" applyFill="1" applyProtection="1">
      <protection hidden="1"/>
    </xf>
    <xf numFmtId="0" fontId="201" fillId="21" borderId="0" xfId="0" applyFont="1" applyFill="1" applyBorder="1" applyProtection="1">
      <protection hidden="1"/>
    </xf>
    <xf numFmtId="0" fontId="203" fillId="21" borderId="0" xfId="0" applyFont="1" applyFill="1" applyAlignment="1" applyProtection="1">
      <alignment vertical="center"/>
      <protection hidden="1"/>
    </xf>
    <xf numFmtId="0" fontId="203" fillId="21" borderId="0" xfId="0" applyFont="1" applyFill="1" applyBorder="1" applyAlignment="1" applyProtection="1">
      <alignment vertical="center"/>
      <protection hidden="1"/>
    </xf>
    <xf numFmtId="0" fontId="146" fillId="21" borderId="0" xfId="0" applyFont="1" applyFill="1" applyBorder="1" applyProtection="1">
      <protection hidden="1"/>
    </xf>
    <xf numFmtId="0" fontId="146" fillId="7" borderId="109" xfId="0" applyFont="1" applyFill="1" applyBorder="1" applyProtection="1">
      <protection hidden="1"/>
    </xf>
    <xf numFmtId="0" fontId="171" fillId="21" borderId="360" xfId="0" applyFont="1" applyFill="1" applyBorder="1" applyAlignment="1" applyProtection="1">
      <alignment horizontal="center" vertical="center"/>
      <protection locked="0"/>
    </xf>
    <xf numFmtId="0" fontId="176" fillId="22" borderId="0" xfId="0" applyFont="1" applyFill="1" applyBorder="1" applyProtection="1">
      <protection hidden="1"/>
    </xf>
    <xf numFmtId="0" fontId="227" fillId="7" borderId="294" xfId="0" applyFont="1" applyFill="1" applyBorder="1" applyAlignment="1" applyProtection="1">
      <alignment horizontal="center" vertical="center"/>
      <protection locked="0"/>
    </xf>
    <xf numFmtId="0" fontId="72" fillId="14" borderId="121" xfId="0" applyFont="1" applyFill="1" applyBorder="1" applyProtection="1">
      <protection locked="0"/>
    </xf>
    <xf numFmtId="0" fontId="52" fillId="7" borderId="0" xfId="0" applyFont="1" applyFill="1" applyAlignment="1" applyProtection="1">
      <alignment horizontal="center" vertical="center"/>
      <protection locked="0"/>
    </xf>
    <xf numFmtId="0" fontId="52" fillId="14" borderId="121" xfId="0" applyFont="1" applyFill="1" applyBorder="1" applyAlignment="1" applyProtection="1">
      <alignment horizontal="center" vertical="center"/>
      <protection locked="0"/>
    </xf>
    <xf numFmtId="0" fontId="52" fillId="6" borderId="121" xfId="0" applyFont="1" applyFill="1" applyBorder="1" applyAlignment="1" applyProtection="1">
      <alignment horizontal="center" vertical="center"/>
      <protection locked="0"/>
    </xf>
    <xf numFmtId="0" fontId="227" fillId="7" borderId="296" xfId="0" applyFont="1" applyFill="1" applyBorder="1" applyAlignment="1" applyProtection="1">
      <alignment horizontal="center" vertical="center"/>
      <protection locked="0"/>
    </xf>
    <xf numFmtId="0" fontId="52" fillId="14" borderId="208" xfId="0" applyFont="1" applyFill="1" applyBorder="1" applyAlignment="1" applyProtection="1">
      <alignment horizontal="center" vertical="center"/>
      <protection locked="0"/>
    </xf>
    <xf numFmtId="166" fontId="249" fillId="6" borderId="209" xfId="0" applyNumberFormat="1" applyFont="1" applyFill="1" applyBorder="1" applyAlignment="1" applyProtection="1">
      <alignment horizontal="center" vertical="center"/>
      <protection locked="0"/>
    </xf>
    <xf numFmtId="0" fontId="52" fillId="14" borderId="210" xfId="0" applyFont="1" applyFill="1" applyBorder="1" applyAlignment="1" applyProtection="1">
      <alignment horizontal="center" vertical="center"/>
      <protection locked="0"/>
    </xf>
    <xf numFmtId="166" fontId="249" fillId="6" borderId="212" xfId="0" applyNumberFormat="1" applyFont="1" applyFill="1" applyBorder="1" applyAlignment="1" applyProtection="1">
      <alignment horizontal="center" vertical="center"/>
      <protection locked="0"/>
    </xf>
    <xf numFmtId="0" fontId="153" fillId="21" borderId="0" xfId="0" applyFont="1" applyFill="1" applyAlignment="1" applyProtection="1">
      <alignment horizontal="center" vertical="center"/>
      <protection locked="0"/>
    </xf>
    <xf numFmtId="0" fontId="114" fillId="21" borderId="0" xfId="0" applyFont="1" applyFill="1" applyBorder="1" applyAlignment="1" applyProtection="1">
      <alignment horizontal="center" vertical="center" wrapText="1"/>
      <protection locked="0"/>
    </xf>
    <xf numFmtId="0" fontId="0" fillId="26" borderId="0" xfId="0" applyFill="1" applyBorder="1" applyAlignment="1" applyProtection="1">
      <alignment horizontal="center" vertical="center"/>
      <protection locked="0"/>
    </xf>
    <xf numFmtId="0" fontId="0" fillId="7" borderId="0" xfId="0" applyFill="1" applyBorder="1" applyAlignment="1" applyProtection="1">
      <alignment horizontal="center" vertical="center"/>
      <protection locked="0"/>
    </xf>
    <xf numFmtId="0" fontId="52" fillId="7" borderId="109" xfId="0" applyFont="1" applyFill="1" applyBorder="1" applyAlignment="1" applyProtection="1">
      <alignment horizontal="center" vertical="center"/>
      <protection locked="0"/>
    </xf>
    <xf numFmtId="0" fontId="52" fillId="21" borderId="0" xfId="0" applyFont="1" applyFill="1" applyAlignment="1" applyProtection="1">
      <alignment horizontal="center" vertical="center"/>
      <protection locked="0"/>
    </xf>
    <xf numFmtId="0" fontId="37" fillId="21" borderId="0" xfId="0" applyFont="1" applyFill="1" applyAlignment="1" applyProtection="1">
      <alignment horizontal="center" vertical="center"/>
      <protection locked="0"/>
    </xf>
    <xf numFmtId="0" fontId="72" fillId="6" borderId="121" xfId="0" applyFont="1" applyFill="1" applyBorder="1" applyAlignment="1" applyProtection="1">
      <alignment horizontal="center" vertical="center"/>
      <protection locked="0"/>
    </xf>
    <xf numFmtId="166" fontId="117" fillId="25" borderId="125" xfId="95" applyNumberFormat="1" applyFont="1" applyFill="1" applyBorder="1" applyAlignment="1" applyProtection="1">
      <alignment horizontal="center" vertical="center"/>
      <protection locked="0"/>
    </xf>
    <xf numFmtId="0" fontId="101" fillId="21" borderId="0" xfId="0" applyFont="1" applyFill="1" applyAlignment="1" applyProtection="1">
      <alignment horizontal="center" vertical="center"/>
      <protection locked="0"/>
    </xf>
    <xf numFmtId="0" fontId="39" fillId="21" borderId="0" xfId="0" applyFont="1" applyFill="1" applyAlignment="1" applyProtection="1">
      <alignment horizontal="center" vertical="center"/>
      <protection locked="0"/>
    </xf>
    <xf numFmtId="0" fontId="52" fillId="21" borderId="123" xfId="0" applyFont="1" applyFill="1" applyBorder="1" applyAlignment="1" applyProtection="1">
      <alignment horizontal="center" vertical="center"/>
      <protection locked="0"/>
    </xf>
    <xf numFmtId="0" fontId="72" fillId="7" borderId="121" xfId="0" applyFont="1" applyFill="1" applyBorder="1" applyAlignment="1" applyProtection="1">
      <alignment horizontal="center" vertical="center"/>
      <protection locked="0"/>
    </xf>
    <xf numFmtId="0" fontId="72" fillId="7" borderId="121" xfId="0" applyFont="1" applyFill="1" applyBorder="1" applyProtection="1">
      <protection locked="0"/>
    </xf>
    <xf numFmtId="0" fontId="210" fillId="6" borderId="0" xfId="0" applyFont="1" applyFill="1" applyProtection="1">
      <protection hidden="1"/>
    </xf>
    <xf numFmtId="0" fontId="218" fillId="6" borderId="122" xfId="0" applyFont="1" applyFill="1" applyBorder="1" applyAlignment="1" applyProtection="1">
      <alignment vertical="center"/>
      <protection locked="0"/>
    </xf>
    <xf numFmtId="0" fontId="218" fillId="6" borderId="123" xfId="0" applyFont="1" applyFill="1" applyBorder="1" applyAlignment="1" applyProtection="1">
      <alignment vertical="center"/>
      <protection locked="0"/>
    </xf>
    <xf numFmtId="41" fontId="59" fillId="6" borderId="123" xfId="0" applyNumberFormat="1" applyFont="1" applyFill="1" applyBorder="1" applyAlignment="1" applyProtection="1">
      <alignment vertical="center"/>
      <protection locked="0"/>
    </xf>
    <xf numFmtId="41" fontId="58" fillId="6" borderId="123" xfId="0" applyNumberFormat="1" applyFont="1" applyFill="1" applyBorder="1" applyAlignment="1" applyProtection="1">
      <alignment vertical="center"/>
      <protection locked="0"/>
    </xf>
    <xf numFmtId="41" fontId="59" fillId="6" borderId="124" xfId="0" applyNumberFormat="1" applyFont="1" applyFill="1" applyBorder="1" applyAlignment="1" applyProtection="1">
      <alignment vertical="center"/>
      <protection locked="0"/>
    </xf>
    <xf numFmtId="0" fontId="55" fillId="6" borderId="208" xfId="0" applyFont="1" applyFill="1" applyBorder="1" applyAlignment="1" applyProtection="1">
      <alignment vertical="center"/>
      <protection hidden="1"/>
    </xf>
    <xf numFmtId="0" fontId="55" fillId="6" borderId="210" xfId="0" applyFont="1" applyFill="1" applyBorder="1" applyAlignment="1" applyProtection="1">
      <alignment vertical="center"/>
      <protection hidden="1"/>
    </xf>
    <xf numFmtId="0" fontId="55" fillId="6" borderId="211" xfId="0" applyFont="1" applyFill="1" applyBorder="1" applyAlignment="1" applyProtection="1">
      <alignment vertical="center"/>
      <protection hidden="1"/>
    </xf>
    <xf numFmtId="0" fontId="108" fillId="7" borderId="109" xfId="0" applyFont="1" applyFill="1" applyBorder="1" applyAlignment="1">
      <alignment vertical="center"/>
    </xf>
    <xf numFmtId="0" fontId="210" fillId="14" borderId="0" xfId="0" applyFont="1" applyFill="1" applyBorder="1" applyProtection="1">
      <protection hidden="1"/>
    </xf>
    <xf numFmtId="0" fontId="144" fillId="6" borderId="181" xfId="0" applyFont="1" applyFill="1" applyBorder="1" applyAlignment="1" applyProtection="1">
      <alignment vertical="top"/>
      <protection hidden="1"/>
    </xf>
    <xf numFmtId="0" fontId="144" fillId="6" borderId="182" xfId="0" applyFont="1" applyFill="1" applyBorder="1" applyAlignment="1" applyProtection="1">
      <alignment vertical="top"/>
      <protection hidden="1"/>
    </xf>
    <xf numFmtId="0" fontId="144" fillId="6" borderId="183" xfId="0" applyFont="1" applyFill="1" applyBorder="1" applyAlignment="1" applyProtection="1">
      <alignment vertical="top"/>
      <protection hidden="1"/>
    </xf>
    <xf numFmtId="0" fontId="144" fillId="6" borderId="184" xfId="0" applyFont="1" applyFill="1" applyBorder="1" applyAlignment="1" applyProtection="1">
      <alignment vertical="top"/>
      <protection hidden="1"/>
    </xf>
    <xf numFmtId="0" fontId="144" fillId="6" borderId="185" xfId="0" applyFont="1" applyFill="1" applyBorder="1" applyAlignment="1" applyProtection="1">
      <alignment vertical="top"/>
      <protection hidden="1"/>
    </xf>
    <xf numFmtId="0" fontId="176" fillId="6" borderId="0" xfId="0" applyFont="1" applyFill="1" applyAlignment="1" applyProtection="1">
      <alignment horizontal="left"/>
      <protection hidden="1"/>
    </xf>
    <xf numFmtId="0" fontId="53" fillId="6" borderId="121" xfId="0" applyFont="1" applyFill="1" applyBorder="1" applyAlignment="1" applyProtection="1">
      <alignment vertical="center"/>
      <protection hidden="1"/>
    </xf>
    <xf numFmtId="0" fontId="176" fillId="6" borderId="121" xfId="0" applyFont="1" applyFill="1" applyBorder="1" applyProtection="1">
      <protection hidden="1"/>
    </xf>
    <xf numFmtId="0" fontId="327" fillId="6" borderId="181" xfId="0" applyFont="1" applyFill="1" applyBorder="1" applyAlignment="1" applyProtection="1">
      <alignment vertical="top"/>
      <protection hidden="1"/>
    </xf>
    <xf numFmtId="0" fontId="327" fillId="6" borderId="0" xfId="0" applyFont="1" applyFill="1" applyBorder="1" applyAlignment="1" applyProtection="1">
      <alignment vertical="top"/>
      <protection hidden="1"/>
    </xf>
    <xf numFmtId="0" fontId="58" fillId="0" borderId="0" xfId="0" applyFont="1" applyFill="1" applyBorder="1" applyAlignment="1" applyProtection="1">
      <alignment horizontal="left" indent="2"/>
      <protection locked="0"/>
    </xf>
    <xf numFmtId="41" fontId="58" fillId="0" borderId="0" xfId="0" applyNumberFormat="1" applyFont="1" applyFill="1" applyBorder="1" applyAlignment="1" applyProtection="1">
      <alignment horizontal="left" indent="2"/>
      <protection locked="0"/>
    </xf>
    <xf numFmtId="0" fontId="58" fillId="0" borderId="0" xfId="0" applyFont="1" applyFill="1" applyBorder="1" applyAlignment="1" applyProtection="1">
      <alignment horizontal="left"/>
      <protection locked="0"/>
    </xf>
    <xf numFmtId="0" fontId="58" fillId="6" borderId="0" xfId="0" applyFont="1" applyFill="1" applyBorder="1" applyAlignment="1" applyProtection="1">
      <alignment horizontal="left"/>
      <protection locked="0"/>
    </xf>
    <xf numFmtId="0" fontId="94" fillId="0" borderId="0" xfId="0" applyFont="1" applyBorder="1" applyAlignment="1" applyProtection="1">
      <alignment horizontal="left" vertical="center" wrapText="1"/>
      <protection locked="0"/>
    </xf>
    <xf numFmtId="0" fontId="323" fillId="0" borderId="0" xfId="0" applyFont="1" applyBorder="1" applyAlignment="1" applyProtection="1">
      <alignment horizontal="left" vertical="center"/>
      <protection locked="0"/>
    </xf>
    <xf numFmtId="0" fontId="0" fillId="7" borderId="109" xfId="0" applyFill="1" applyBorder="1" applyAlignment="1">
      <alignment horizontal="center" vertical="center"/>
    </xf>
    <xf numFmtId="0" fontId="72" fillId="6" borderId="0" xfId="0" applyNumberFormat="1" applyFont="1" applyFill="1" applyBorder="1" applyAlignment="1" applyProtection="1">
      <alignment horizontal="center"/>
      <protection locked="0"/>
    </xf>
    <xf numFmtId="0" fontId="72" fillId="6" borderId="0" xfId="0" applyNumberFormat="1" applyFont="1" applyFill="1" applyBorder="1" applyAlignment="1" applyProtection="1">
      <alignment horizontal="left" indent="2"/>
      <protection locked="0"/>
    </xf>
    <xf numFmtId="0" fontId="72" fillId="6" borderId="0" xfId="0" applyNumberFormat="1" applyFont="1" applyFill="1" applyBorder="1" applyAlignment="1" applyProtection="1">
      <alignment horizontal="left" indent="1"/>
      <protection locked="0"/>
    </xf>
    <xf numFmtId="0" fontId="72" fillId="6" borderId="0" xfId="0" applyNumberFormat="1" applyFont="1" applyFill="1" applyBorder="1" applyProtection="1">
      <protection locked="0"/>
    </xf>
    <xf numFmtId="0" fontId="52" fillId="6" borderId="99" xfId="0" applyNumberFormat="1" applyFont="1" applyFill="1" applyBorder="1" applyAlignment="1" applyProtection="1">
      <alignment horizontal="left" indent="3"/>
      <protection locked="0"/>
    </xf>
    <xf numFmtId="0" fontId="52" fillId="6" borderId="0" xfId="0" applyNumberFormat="1" applyFont="1" applyFill="1" applyBorder="1" applyAlignment="1" applyProtection="1">
      <alignment horizontal="left" indent="3"/>
      <protection locked="0"/>
    </xf>
    <xf numFmtId="0" fontId="72" fillId="6" borderId="0" xfId="0" applyNumberFormat="1" applyFont="1" applyFill="1" applyBorder="1" applyAlignment="1" applyProtection="1">
      <alignment horizontal="left" indent="3"/>
      <protection locked="0"/>
    </xf>
    <xf numFmtId="0" fontId="72" fillId="6" borderId="89" xfId="0" applyNumberFormat="1" applyFont="1" applyFill="1" applyBorder="1" applyAlignment="1" applyProtection="1">
      <alignment horizontal="left" indent="2"/>
      <protection locked="0"/>
    </xf>
    <xf numFmtId="0" fontId="52" fillId="6" borderId="89" xfId="0" applyNumberFormat="1" applyFont="1" applyFill="1" applyBorder="1" applyAlignment="1" applyProtection="1">
      <protection locked="0"/>
    </xf>
    <xf numFmtId="0" fontId="52" fillId="6" borderId="0" xfId="0" applyNumberFormat="1" applyFont="1" applyFill="1" applyBorder="1" applyAlignment="1" applyProtection="1">
      <protection locked="0"/>
    </xf>
    <xf numFmtId="0" fontId="72" fillId="6" borderId="0" xfId="0" applyNumberFormat="1" applyFont="1" applyFill="1" applyBorder="1" applyAlignment="1" applyProtection="1">
      <protection locked="0"/>
    </xf>
    <xf numFmtId="0" fontId="77" fillId="6" borderId="0" xfId="0" applyNumberFormat="1" applyFont="1" applyFill="1" applyBorder="1" applyAlignment="1" applyProtection="1">
      <alignment horizontal="left"/>
      <protection locked="0"/>
    </xf>
    <xf numFmtId="0" fontId="52" fillId="6" borderId="0" xfId="0" applyNumberFormat="1" applyFont="1" applyFill="1" applyBorder="1" applyProtection="1">
      <protection locked="0"/>
    </xf>
    <xf numFmtId="0" fontId="52" fillId="6" borderId="0" xfId="0" applyNumberFormat="1" applyFont="1" applyFill="1" applyBorder="1" applyAlignment="1" applyProtection="1">
      <alignment horizontal="right"/>
      <protection locked="0"/>
    </xf>
    <xf numFmtId="0" fontId="52" fillId="6" borderId="0" xfId="0" applyNumberFormat="1" applyFont="1" applyFill="1" applyBorder="1" applyAlignment="1" applyProtection="1">
      <alignment horizontal="center"/>
      <protection locked="0"/>
    </xf>
    <xf numFmtId="0" fontId="75" fillId="6" borderId="0" xfId="0" applyNumberFormat="1" applyFont="1" applyFill="1" applyBorder="1" applyProtection="1">
      <protection locked="0"/>
    </xf>
    <xf numFmtId="0" fontId="52" fillId="6" borderId="0" xfId="0" applyNumberFormat="1" applyFont="1" applyFill="1" applyBorder="1" applyAlignment="1" applyProtection="1">
      <alignment horizontal="left" vertical="center" indent="1"/>
      <protection locked="0"/>
    </xf>
    <xf numFmtId="0" fontId="75" fillId="6" borderId="121" xfId="0" applyNumberFormat="1" applyFont="1" applyFill="1" applyBorder="1" applyProtection="1">
      <protection locked="0"/>
    </xf>
    <xf numFmtId="0" fontId="212" fillId="6" borderId="121" xfId="0" applyNumberFormat="1" applyFont="1" applyFill="1" applyBorder="1" applyAlignment="1" applyProtection="1">
      <alignment horizontal="center"/>
      <protection locked="0"/>
    </xf>
    <xf numFmtId="0" fontId="55" fillId="6" borderId="124" xfId="0" applyNumberFormat="1" applyFont="1" applyFill="1" applyBorder="1" applyProtection="1">
      <protection locked="0"/>
    </xf>
    <xf numFmtId="0" fontId="55" fillId="6" borderId="123" xfId="0" applyNumberFormat="1" applyFont="1" applyFill="1" applyBorder="1" applyAlignment="1" applyProtection="1">
      <alignment horizontal="right"/>
      <protection locked="0"/>
    </xf>
    <xf numFmtId="0" fontId="55" fillId="6" borderId="123" xfId="0" applyNumberFormat="1" applyFont="1" applyFill="1" applyBorder="1" applyProtection="1">
      <protection locked="0"/>
    </xf>
    <xf numFmtId="0" fontId="51" fillId="6" borderId="0" xfId="0" applyNumberFormat="1" applyFont="1" applyFill="1" applyBorder="1" applyAlignment="1" applyProtection="1">
      <protection locked="0"/>
    </xf>
    <xf numFmtId="0" fontId="52" fillId="6" borderId="108" xfId="0" applyNumberFormat="1" applyFont="1" applyFill="1" applyBorder="1" applyAlignment="1" applyProtection="1">
      <alignment horizontal="left" vertical="center" indent="1"/>
      <protection locked="0"/>
    </xf>
    <xf numFmtId="0" fontId="75" fillId="6" borderId="108" xfId="0" applyNumberFormat="1" applyFont="1" applyFill="1" applyBorder="1" applyProtection="1">
      <protection locked="0"/>
    </xf>
    <xf numFmtId="0" fontId="75" fillId="6" borderId="132" xfId="0" applyNumberFormat="1" applyFont="1" applyFill="1" applyBorder="1" applyProtection="1">
      <protection locked="0"/>
    </xf>
    <xf numFmtId="0" fontId="75" fillId="6" borderId="133" xfId="0" applyNumberFormat="1" applyFont="1" applyFill="1" applyBorder="1" applyProtection="1">
      <protection locked="0"/>
    </xf>
    <xf numFmtId="0" fontId="52" fillId="6" borderId="128" xfId="0" applyNumberFormat="1" applyFont="1" applyFill="1" applyBorder="1" applyAlignment="1" applyProtection="1">
      <alignment horizontal="left" vertical="center" indent="1"/>
      <protection locked="0"/>
    </xf>
    <xf numFmtId="0" fontId="75" fillId="6" borderId="128" xfId="0" applyNumberFormat="1" applyFont="1" applyFill="1" applyBorder="1" applyProtection="1">
      <protection locked="0"/>
    </xf>
    <xf numFmtId="0" fontId="75" fillId="6" borderId="130" xfId="0" applyNumberFormat="1" applyFont="1" applyFill="1" applyBorder="1" applyProtection="1">
      <protection locked="0"/>
    </xf>
    <xf numFmtId="0" fontId="75" fillId="6" borderId="109" xfId="0" applyNumberFormat="1" applyFont="1" applyFill="1" applyBorder="1" applyProtection="1">
      <protection locked="0"/>
    </xf>
    <xf numFmtId="0" fontId="75" fillId="6" borderId="131" xfId="0" applyNumberFormat="1" applyFont="1" applyFill="1" applyBorder="1" applyProtection="1">
      <protection locked="0"/>
    </xf>
    <xf numFmtId="0" fontId="52" fillId="6" borderId="128" xfId="0" applyNumberFormat="1" applyFont="1" applyFill="1" applyBorder="1" applyAlignment="1" applyProtection="1">
      <alignment horizontal="left" indent="3"/>
      <protection locked="0"/>
    </xf>
    <xf numFmtId="0" fontId="52" fillId="6" borderId="367" xfId="0" applyNumberFormat="1" applyFont="1" applyFill="1" applyBorder="1" applyAlignment="1" applyProtection="1">
      <protection locked="0"/>
    </xf>
    <xf numFmtId="0" fontId="52" fillId="6" borderId="133" xfId="0" applyNumberFormat="1" applyFont="1" applyFill="1" applyBorder="1" applyAlignment="1" applyProtection="1">
      <protection locked="0"/>
    </xf>
    <xf numFmtId="0" fontId="72" fillId="6" borderId="128" xfId="0" applyNumberFormat="1" applyFont="1" applyFill="1" applyBorder="1" applyAlignment="1" applyProtection="1">
      <alignment horizontal="center"/>
      <protection locked="0"/>
    </xf>
    <xf numFmtId="0" fontId="72" fillId="6" borderId="133" xfId="0" applyNumberFormat="1" applyFont="1" applyFill="1" applyBorder="1" applyProtection="1">
      <protection locked="0"/>
    </xf>
    <xf numFmtId="0" fontId="72" fillId="6" borderId="128" xfId="0" applyNumberFormat="1" applyFont="1" applyFill="1" applyBorder="1" applyProtection="1">
      <protection locked="0"/>
    </xf>
    <xf numFmtId="0" fontId="41" fillId="21" borderId="0" xfId="0" applyFont="1" applyFill="1" applyAlignment="1" applyProtection="1">
      <alignment vertical="center"/>
      <protection locked="0"/>
    </xf>
    <xf numFmtId="0" fontId="39" fillId="21" borderId="0" xfId="0" applyFont="1" applyFill="1" applyAlignment="1" applyProtection="1">
      <alignment vertical="center"/>
      <protection locked="0"/>
    </xf>
    <xf numFmtId="0" fontId="72" fillId="6" borderId="126" xfId="0" applyNumberFormat="1" applyFont="1" applyFill="1" applyBorder="1" applyAlignment="1" applyProtection="1">
      <protection locked="0"/>
    </xf>
    <xf numFmtId="0" fontId="72" fillId="6" borderId="108" xfId="0" applyNumberFormat="1" applyFont="1" applyFill="1" applyBorder="1" applyAlignment="1" applyProtection="1">
      <protection locked="0"/>
    </xf>
    <xf numFmtId="0" fontId="72" fillId="6" borderId="132" xfId="0" applyNumberFormat="1" applyFont="1" applyFill="1" applyBorder="1" applyAlignment="1" applyProtection="1">
      <protection locked="0"/>
    </xf>
    <xf numFmtId="0" fontId="93" fillId="6" borderId="128" xfId="0" applyNumberFormat="1" applyFont="1" applyFill="1" applyBorder="1" applyProtection="1">
      <protection locked="0"/>
    </xf>
    <xf numFmtId="0" fontId="93" fillId="6" borderId="128" xfId="0" applyNumberFormat="1" applyFont="1" applyFill="1" applyBorder="1" applyAlignment="1" applyProtection="1">
      <alignment vertical="top"/>
      <protection locked="0"/>
    </xf>
    <xf numFmtId="0" fontId="97" fillId="6" borderId="128" xfId="0" applyNumberFormat="1" applyFont="1" applyFill="1" applyBorder="1" applyAlignment="1" applyProtection="1">
      <alignment horizontal="center" vertical="center"/>
      <protection locked="0"/>
    </xf>
    <xf numFmtId="0" fontId="55" fillId="6" borderId="128" xfId="0" applyNumberFormat="1" applyFont="1" applyFill="1" applyBorder="1" applyProtection="1">
      <protection locked="0"/>
    </xf>
    <xf numFmtId="0" fontId="52" fillId="6" borderId="130" xfId="0" applyNumberFormat="1" applyFont="1" applyFill="1" applyBorder="1" applyAlignment="1" applyProtection="1">
      <alignment vertical="center"/>
      <protection locked="0"/>
    </xf>
    <xf numFmtId="0" fontId="52" fillId="6" borderId="109" xfId="0" applyNumberFormat="1" applyFont="1" applyFill="1" applyBorder="1" applyProtection="1">
      <protection locked="0"/>
    </xf>
    <xf numFmtId="0" fontId="72" fillId="6" borderId="109" xfId="0" applyNumberFormat="1" applyFont="1" applyFill="1" applyBorder="1" applyAlignment="1" applyProtection="1">
      <alignment vertical="top"/>
      <protection locked="0"/>
    </xf>
    <xf numFmtId="0" fontId="52" fillId="6" borderId="109" xfId="0" applyNumberFormat="1" applyFont="1" applyFill="1" applyBorder="1" applyAlignment="1" applyProtection="1">
      <alignment vertical="top"/>
      <protection locked="0"/>
    </xf>
    <xf numFmtId="0" fontId="52" fillId="6" borderId="131" xfId="0" applyNumberFormat="1" applyFont="1" applyFill="1" applyBorder="1" applyProtection="1">
      <protection locked="0"/>
    </xf>
    <xf numFmtId="166" fontId="315" fillId="6" borderId="122" xfId="0" applyNumberFormat="1" applyFont="1" applyFill="1" applyBorder="1" applyAlignment="1" applyProtection="1">
      <alignment horizontal="center" vertical="center"/>
      <protection hidden="1"/>
    </xf>
    <xf numFmtId="0" fontId="128" fillId="26" borderId="370" xfId="0" applyFont="1" applyFill="1" applyBorder="1" applyProtection="1">
      <protection hidden="1"/>
    </xf>
    <xf numFmtId="14" fontId="305" fillId="26" borderId="371" xfId="0" applyNumberFormat="1" applyFont="1" applyFill="1" applyBorder="1" applyAlignment="1" applyProtection="1">
      <alignment vertical="center"/>
      <protection hidden="1"/>
    </xf>
    <xf numFmtId="14" fontId="305" fillId="26" borderId="372" xfId="0" applyNumberFormat="1" applyFont="1" applyFill="1" applyBorder="1" applyAlignment="1" applyProtection="1">
      <alignment vertical="center"/>
      <protection hidden="1"/>
    </xf>
    <xf numFmtId="14" fontId="305" fillId="26" borderId="373" xfId="0" applyNumberFormat="1" applyFont="1" applyFill="1" applyBorder="1" applyAlignment="1" applyProtection="1">
      <alignment vertical="center"/>
      <protection hidden="1"/>
    </xf>
    <xf numFmtId="0" fontId="198" fillId="26" borderId="374" xfId="0" applyFont="1" applyFill="1" applyBorder="1" applyProtection="1">
      <protection hidden="1"/>
    </xf>
    <xf numFmtId="14" fontId="104" fillId="26" borderId="375" xfId="0" applyNumberFormat="1" applyFont="1" applyFill="1" applyBorder="1" applyAlignment="1" applyProtection="1">
      <alignment vertical="center"/>
      <protection hidden="1"/>
    </xf>
    <xf numFmtId="14" fontId="312" fillId="6" borderId="90" xfId="0" applyNumberFormat="1" applyFont="1" applyFill="1" applyBorder="1" applyAlignment="1" applyProtection="1">
      <alignment horizontal="center" vertical="center"/>
      <protection hidden="1"/>
    </xf>
    <xf numFmtId="14" fontId="312" fillId="6" borderId="93" xfId="0" applyNumberFormat="1" applyFont="1" applyFill="1" applyBorder="1" applyAlignment="1" applyProtection="1">
      <alignment vertical="center"/>
      <protection hidden="1"/>
    </xf>
    <xf numFmtId="0" fontId="41" fillId="6" borderId="90" xfId="0" applyFont="1" applyFill="1" applyBorder="1" applyProtection="1">
      <protection hidden="1"/>
    </xf>
    <xf numFmtId="0" fontId="41" fillId="6" borderId="93" xfId="0" applyFont="1" applyFill="1" applyBorder="1" applyProtection="1">
      <protection hidden="1"/>
    </xf>
    <xf numFmtId="0" fontId="275" fillId="6" borderId="90" xfId="0" quotePrefix="1" applyFont="1" applyFill="1" applyBorder="1" applyAlignment="1" applyProtection="1">
      <alignment vertical="center"/>
      <protection hidden="1"/>
    </xf>
    <xf numFmtId="0" fontId="275" fillId="6" borderId="93" xfId="0" quotePrefix="1" applyFont="1" applyFill="1" applyBorder="1" applyAlignment="1" applyProtection="1">
      <alignment vertical="center"/>
      <protection hidden="1"/>
    </xf>
    <xf numFmtId="0" fontId="275" fillId="6" borderId="94" xfId="0" quotePrefix="1" applyFont="1" applyFill="1" applyBorder="1" applyAlignment="1" applyProtection="1">
      <alignment vertical="center"/>
      <protection hidden="1"/>
    </xf>
    <xf numFmtId="0" fontId="275" fillId="6" borderId="61" xfId="0" quotePrefix="1" applyFont="1" applyFill="1" applyBorder="1" applyAlignment="1" applyProtection="1">
      <alignment vertical="center"/>
      <protection hidden="1"/>
    </xf>
    <xf numFmtId="0" fontId="275" fillId="6" borderId="95" xfId="0" quotePrefix="1" applyFont="1" applyFill="1" applyBorder="1" applyAlignment="1" applyProtection="1">
      <alignment vertical="center"/>
      <protection hidden="1"/>
    </xf>
    <xf numFmtId="168" fontId="212" fillId="0" borderId="123" xfId="0" applyNumberFormat="1" applyFont="1" applyFill="1" applyBorder="1" applyAlignment="1" applyProtection="1">
      <alignment horizontal="center"/>
      <protection hidden="1"/>
    </xf>
    <xf numFmtId="41" fontId="336" fillId="7" borderId="123" xfId="0" applyNumberFormat="1" applyFont="1" applyFill="1" applyBorder="1" applyAlignment="1" applyProtection="1">
      <alignment horizontal="center"/>
      <protection hidden="1"/>
    </xf>
    <xf numFmtId="41" fontId="337" fillId="7" borderId="123" xfId="0" applyNumberFormat="1" applyFont="1" applyFill="1" applyBorder="1" applyAlignment="1" applyProtection="1">
      <alignment horizontal="center"/>
      <protection hidden="1"/>
    </xf>
    <xf numFmtId="0" fontId="72" fillId="21" borderId="123" xfId="0" applyFont="1" applyFill="1" applyBorder="1" applyAlignment="1" applyProtection="1">
      <alignment horizontal="center" vertical="center"/>
      <protection locked="0"/>
    </xf>
    <xf numFmtId="0" fontId="252" fillId="6" borderId="0" xfId="0" applyNumberFormat="1" applyFont="1" applyFill="1" applyAlignment="1" applyProtection="1">
      <alignment horizontal="left" vertical="center"/>
      <protection locked="0" hidden="1"/>
    </xf>
    <xf numFmtId="168" fontId="106" fillId="6" borderId="0" xfId="0" applyNumberFormat="1" applyFont="1" applyFill="1" applyBorder="1" applyAlignment="1" applyProtection="1">
      <alignment horizontal="right" vertical="center"/>
      <protection hidden="1"/>
    </xf>
    <xf numFmtId="167" fontId="165" fillId="6" borderId="0" xfId="0" applyNumberFormat="1" applyFont="1" applyFill="1" applyAlignment="1" applyProtection="1">
      <alignment horizontal="center"/>
      <protection locked="0" hidden="1"/>
    </xf>
    <xf numFmtId="0" fontId="176" fillId="21" borderId="0" xfId="0" applyFont="1" applyFill="1" applyAlignment="1" applyProtection="1">
      <alignment horizontal="center"/>
      <protection hidden="1"/>
    </xf>
    <xf numFmtId="166" fontId="50" fillId="22" borderId="121" xfId="0" applyNumberFormat="1" applyFont="1" applyFill="1" applyBorder="1" applyAlignment="1" applyProtection="1">
      <alignment horizontal="center" vertical="center" wrapText="1"/>
      <protection locked="0" hidden="1"/>
    </xf>
    <xf numFmtId="166" fontId="50" fillId="25" borderId="121" xfId="0" applyNumberFormat="1" applyFont="1" applyFill="1" applyBorder="1" applyAlignment="1" applyProtection="1">
      <alignment horizontal="center" vertical="center" wrapText="1"/>
      <protection locked="0" hidden="1"/>
    </xf>
    <xf numFmtId="166" fontId="249" fillId="0" borderId="121" xfId="0" applyNumberFormat="1" applyFont="1" applyFill="1" applyBorder="1" applyAlignment="1" applyProtection="1">
      <alignment horizontal="center" vertical="center"/>
      <protection hidden="1"/>
    </xf>
    <xf numFmtId="1" fontId="52" fillId="6" borderId="121" xfId="0" applyNumberFormat="1" applyFont="1" applyFill="1" applyBorder="1" applyAlignment="1">
      <alignment horizontal="center"/>
    </xf>
    <xf numFmtId="186" fontId="52" fillId="0" borderId="121" xfId="0" applyNumberFormat="1" applyFont="1" applyFill="1" applyBorder="1" applyAlignment="1" applyProtection="1">
      <alignment horizontal="center" vertical="center"/>
      <protection hidden="1"/>
    </xf>
    <xf numFmtId="169" fontId="52" fillId="0" borderId="121" xfId="22" applyNumberFormat="1" applyFont="1" applyFill="1" applyBorder="1" applyAlignment="1" applyProtection="1">
      <alignment horizontal="center" vertical="center"/>
      <protection hidden="1"/>
    </xf>
    <xf numFmtId="169" fontId="249" fillId="0" borderId="121" xfId="22" applyNumberFormat="1" applyFont="1" applyFill="1" applyBorder="1" applyAlignment="1" applyProtection="1">
      <alignment horizontal="center" vertical="center"/>
      <protection hidden="1"/>
    </xf>
    <xf numFmtId="186" fontId="52" fillId="0" borderId="233" xfId="0" applyNumberFormat="1" applyFont="1" applyFill="1" applyBorder="1" applyAlignment="1" applyProtection="1">
      <alignment horizontal="center" vertical="center"/>
      <protection hidden="1"/>
    </xf>
    <xf numFmtId="169" fontId="52" fillId="0" borderId="233" xfId="22" applyNumberFormat="1" applyFont="1" applyFill="1" applyBorder="1" applyAlignment="1" applyProtection="1">
      <alignment horizontal="center" vertical="center"/>
      <protection hidden="1"/>
    </xf>
    <xf numFmtId="0" fontId="323" fillId="6" borderId="0" xfId="0" applyFont="1" applyFill="1" applyAlignment="1" applyProtection="1">
      <protection locked="0" hidden="1"/>
    </xf>
    <xf numFmtId="0" fontId="57" fillId="6" borderId="0" xfId="0" applyFont="1" applyFill="1" applyBorder="1" applyAlignment="1" applyProtection="1">
      <alignment horizontal="left" indent="2"/>
      <protection hidden="1"/>
    </xf>
    <xf numFmtId="168" fontId="55" fillId="6" borderId="0" xfId="0" applyNumberFormat="1" applyFont="1" applyFill="1" applyBorder="1" applyAlignment="1" applyProtection="1">
      <alignment horizontal="center"/>
      <protection hidden="1"/>
    </xf>
    <xf numFmtId="166" fontId="249" fillId="0" borderId="385" xfId="0" applyNumberFormat="1" applyFont="1" applyFill="1" applyBorder="1" applyAlignment="1" applyProtection="1">
      <alignment horizontal="center" vertical="center"/>
      <protection hidden="1"/>
    </xf>
    <xf numFmtId="169" fontId="249" fillId="0" borderId="385" xfId="22" applyNumberFormat="1" applyFont="1" applyFill="1" applyBorder="1" applyAlignment="1" applyProtection="1">
      <alignment horizontal="center" vertical="center"/>
      <protection hidden="1"/>
    </xf>
    <xf numFmtId="1" fontId="311" fillId="12" borderId="121" xfId="0" applyNumberFormat="1" applyFont="1" applyFill="1" applyBorder="1" applyAlignment="1" applyProtection="1">
      <alignment horizontal="center" vertical="center"/>
      <protection hidden="1"/>
    </xf>
    <xf numFmtId="1" fontId="311" fillId="12" borderId="127" xfId="0" applyNumberFormat="1" applyFont="1" applyFill="1" applyBorder="1" applyAlignment="1" applyProtection="1">
      <alignment horizontal="center" vertical="center"/>
      <protection hidden="1"/>
    </xf>
    <xf numFmtId="1" fontId="311" fillId="12" borderId="124" xfId="0" applyNumberFormat="1" applyFont="1" applyFill="1" applyBorder="1" applyAlignment="1" applyProtection="1">
      <alignment horizontal="center" vertical="center"/>
      <protection hidden="1"/>
    </xf>
    <xf numFmtId="1" fontId="311" fillId="12" borderId="233" xfId="0" applyNumberFormat="1" applyFont="1" applyFill="1" applyBorder="1" applyAlignment="1" applyProtection="1">
      <alignment horizontal="center" vertical="center"/>
      <protection hidden="1"/>
    </xf>
    <xf numFmtId="169" fontId="52" fillId="22" borderId="125" xfId="22" applyNumberFormat="1" applyFont="1" applyFill="1" applyBorder="1" applyAlignment="1" applyProtection="1">
      <alignment horizontal="center" vertical="center" wrapText="1"/>
      <protection hidden="1"/>
    </xf>
    <xf numFmtId="169" fontId="52" fillId="22" borderId="164" xfId="22" applyNumberFormat="1" applyFont="1" applyFill="1" applyBorder="1" applyAlignment="1" applyProtection="1">
      <alignment horizontal="center" vertical="center" wrapText="1"/>
      <protection hidden="1"/>
    </xf>
    <xf numFmtId="169" fontId="52" fillId="22" borderId="127" xfId="22" applyNumberFormat="1" applyFont="1" applyFill="1" applyBorder="1" applyAlignment="1" applyProtection="1">
      <alignment horizontal="center" vertical="center" wrapText="1"/>
      <protection hidden="1"/>
    </xf>
    <xf numFmtId="168" fontId="52" fillId="22" borderId="125" xfId="0" applyNumberFormat="1" applyFont="1" applyFill="1" applyBorder="1" applyAlignment="1" applyProtection="1">
      <alignment horizontal="center" vertical="center" wrapText="1"/>
      <protection hidden="1"/>
    </xf>
    <xf numFmtId="168" fontId="52" fillId="22" borderId="164" xfId="0" applyNumberFormat="1" applyFont="1" applyFill="1" applyBorder="1" applyAlignment="1" applyProtection="1">
      <alignment horizontal="center" vertical="center" wrapText="1"/>
      <protection hidden="1"/>
    </xf>
    <xf numFmtId="168" fontId="52" fillId="22" borderId="127" xfId="0" applyNumberFormat="1" applyFont="1" applyFill="1" applyBorder="1" applyAlignment="1" applyProtection="1">
      <alignment horizontal="center" vertical="center" wrapText="1"/>
      <protection hidden="1"/>
    </xf>
    <xf numFmtId="166" fontId="249" fillId="7" borderId="123" xfId="0" applyNumberFormat="1" applyFont="1" applyFill="1" applyBorder="1" applyAlignment="1" applyProtection="1">
      <alignment horizontal="center" vertical="center"/>
      <protection hidden="1"/>
    </xf>
    <xf numFmtId="168" fontId="52" fillId="7" borderId="123" xfId="0" applyNumberFormat="1" applyFont="1" applyFill="1" applyBorder="1" applyAlignment="1" applyProtection="1">
      <alignment horizontal="center" vertical="center"/>
      <protection hidden="1"/>
    </xf>
    <xf numFmtId="9" fontId="249" fillId="7" borderId="123" xfId="22" applyFont="1" applyFill="1" applyBorder="1" applyAlignment="1" applyProtection="1">
      <alignment horizontal="center" vertical="center"/>
      <protection hidden="1"/>
    </xf>
    <xf numFmtId="0" fontId="57" fillId="6" borderId="0" xfId="0" applyFont="1" applyFill="1" applyBorder="1" applyAlignment="1" applyProtection="1">
      <alignment horizontal="left"/>
      <protection hidden="1"/>
    </xf>
    <xf numFmtId="0" fontId="338" fillId="22" borderId="124" xfId="0" applyFont="1" applyFill="1" applyBorder="1" applyAlignment="1" applyProtection="1">
      <alignment vertical="center"/>
      <protection locked="0" hidden="1"/>
    </xf>
    <xf numFmtId="0" fontId="50" fillId="25" borderId="121" xfId="0" applyFont="1" applyFill="1" applyBorder="1" applyAlignment="1" applyProtection="1">
      <alignment horizontal="center" vertical="center" wrapText="1"/>
      <protection locked="0" hidden="1"/>
    </xf>
    <xf numFmtId="2" fontId="78" fillId="0" borderId="0" xfId="0" applyNumberFormat="1" applyFont="1" applyFill="1" applyBorder="1" applyAlignment="1" applyProtection="1">
      <alignment horizontal="right" vertical="center"/>
      <protection hidden="1"/>
    </xf>
    <xf numFmtId="168" fontId="212" fillId="0" borderId="0" xfId="0" applyNumberFormat="1" applyFont="1" applyFill="1" applyBorder="1" applyAlignment="1" applyProtection="1">
      <alignment horizontal="center" vertical="center"/>
      <protection hidden="1"/>
    </xf>
    <xf numFmtId="0" fontId="37" fillId="6" borderId="0" xfId="0" applyFont="1" applyFill="1" applyBorder="1" applyAlignment="1" applyProtection="1">
      <alignment vertical="center"/>
      <protection hidden="1"/>
    </xf>
    <xf numFmtId="0" fontId="57" fillId="6" borderId="0" xfId="0" applyFont="1" applyFill="1" applyBorder="1" applyAlignment="1" applyProtection="1">
      <alignment horizontal="left" vertical="center"/>
      <protection hidden="1"/>
    </xf>
    <xf numFmtId="168" fontId="55" fillId="6" borderId="0" xfId="0" applyNumberFormat="1" applyFont="1" applyFill="1" applyBorder="1" applyAlignment="1" applyProtection="1">
      <alignment horizontal="center" vertical="center"/>
      <protection hidden="1"/>
    </xf>
    <xf numFmtId="2" fontId="78" fillId="0" borderId="109" xfId="0" applyNumberFormat="1" applyFont="1" applyFill="1" applyBorder="1" applyAlignment="1" applyProtection="1">
      <alignment horizontal="right"/>
      <protection hidden="1"/>
    </xf>
    <xf numFmtId="0" fontId="78" fillId="0" borderId="109" xfId="0" applyFont="1" applyFill="1" applyBorder="1" applyAlignment="1" applyProtection="1">
      <alignment horizontal="right"/>
      <protection hidden="1"/>
    </xf>
    <xf numFmtId="168" fontId="212" fillId="0" borderId="109" xfId="0" applyNumberFormat="1" applyFont="1" applyFill="1" applyBorder="1" applyAlignment="1" applyProtection="1">
      <alignment horizontal="center"/>
      <protection hidden="1"/>
    </xf>
    <xf numFmtId="41" fontId="57" fillId="6" borderId="0" xfId="0" applyNumberFormat="1" applyFont="1" applyFill="1" applyBorder="1" applyAlignment="1" applyProtection="1">
      <alignment horizontal="left" indent="2"/>
      <protection hidden="1"/>
    </xf>
    <xf numFmtId="168" fontId="57" fillId="6" borderId="0" xfId="0" applyNumberFormat="1" applyFont="1" applyFill="1" applyBorder="1" applyAlignment="1" applyProtection="1">
      <alignment horizontal="center"/>
      <protection hidden="1"/>
    </xf>
    <xf numFmtId="9" fontId="122" fillId="6" borderId="123" xfId="22" applyFont="1" applyFill="1" applyBorder="1" applyAlignment="1" applyProtection="1">
      <alignment horizontal="center" vertical="center"/>
      <protection hidden="1"/>
    </xf>
    <xf numFmtId="168" fontId="50" fillId="6" borderId="123" xfId="0" applyNumberFormat="1" applyFont="1" applyFill="1" applyBorder="1" applyAlignment="1" applyProtection="1">
      <alignment vertical="center"/>
      <protection hidden="1"/>
    </xf>
    <xf numFmtId="168" fontId="50" fillId="6" borderId="124" xfId="0" applyNumberFormat="1" applyFont="1" applyFill="1" applyBorder="1" applyAlignment="1" applyProtection="1">
      <alignment vertical="center"/>
      <protection hidden="1"/>
    </xf>
    <xf numFmtId="168" fontId="122" fillId="6" borderId="123" xfId="0" applyNumberFormat="1" applyFont="1" applyFill="1" applyBorder="1" applyAlignment="1" applyProtection="1">
      <alignment horizontal="center" vertical="center"/>
      <protection hidden="1"/>
    </xf>
    <xf numFmtId="168" fontId="337" fillId="7" borderId="123" xfId="0" applyNumberFormat="1" applyFont="1" applyFill="1" applyBorder="1" applyAlignment="1" applyProtection="1">
      <alignment horizontal="center"/>
      <protection hidden="1"/>
    </xf>
    <xf numFmtId="0" fontId="201" fillId="6" borderId="0" xfId="0" applyFont="1" applyFill="1" applyBorder="1" applyAlignment="1" applyProtection="1">
      <alignment horizontal="left" indent="1"/>
      <protection hidden="1"/>
    </xf>
    <xf numFmtId="186" fontId="40" fillId="6" borderId="0" xfId="0" applyNumberFormat="1" applyFont="1" applyFill="1" applyProtection="1">
      <protection hidden="1"/>
    </xf>
    <xf numFmtId="186" fontId="43" fillId="6" borderId="0" xfId="0" applyNumberFormat="1" applyFont="1" applyFill="1" applyProtection="1">
      <protection hidden="1"/>
    </xf>
    <xf numFmtId="171" fontId="226" fillId="6" borderId="0" xfId="0" applyNumberFormat="1" applyFont="1" applyFill="1" applyBorder="1" applyAlignment="1" applyProtection="1">
      <alignment horizontal="center" vertical="center"/>
      <protection locked="0"/>
    </xf>
    <xf numFmtId="0" fontId="226" fillId="6" borderId="0" xfId="0" applyFont="1" applyFill="1" applyBorder="1" applyAlignment="1" applyProtection="1">
      <alignment horizontal="center" vertical="center"/>
      <protection locked="0"/>
    </xf>
    <xf numFmtId="0" fontId="226" fillId="0" borderId="0" xfId="0" applyFont="1" applyBorder="1" applyAlignment="1" applyProtection="1">
      <alignment horizontal="center" vertical="center"/>
      <protection locked="0"/>
    </xf>
    <xf numFmtId="171" fontId="226" fillId="6" borderId="0" xfId="0" applyNumberFormat="1" applyFont="1" applyFill="1" applyBorder="1" applyAlignment="1" applyProtection="1">
      <alignment horizontal="center" vertical="center"/>
      <protection locked="0"/>
    </xf>
    <xf numFmtId="0" fontId="226" fillId="6" borderId="0" xfId="0" applyFont="1" applyFill="1" applyBorder="1" applyAlignment="1" applyProtection="1">
      <alignment horizontal="center" vertical="center"/>
      <protection locked="0"/>
    </xf>
    <xf numFmtId="0" fontId="226" fillId="0" borderId="0" xfId="0" applyFont="1" applyBorder="1" applyAlignment="1" applyProtection="1">
      <alignment horizontal="center" vertical="center"/>
      <protection locked="0"/>
    </xf>
    <xf numFmtId="0" fontId="288" fillId="6" borderId="0" xfId="0" applyFont="1" applyFill="1" applyBorder="1" applyAlignment="1" applyProtection="1">
      <alignment horizontal="center" vertical="center"/>
      <protection locked="0"/>
    </xf>
    <xf numFmtId="171" fontId="226" fillId="6" borderId="0" xfId="0" applyNumberFormat="1" applyFont="1" applyFill="1" applyBorder="1" applyAlignment="1" applyProtection="1">
      <alignment horizontal="center" vertical="center"/>
      <protection locked="0"/>
    </xf>
    <xf numFmtId="0" fontId="226" fillId="6" borderId="0" xfId="0" applyFont="1" applyFill="1" applyBorder="1" applyAlignment="1" applyProtection="1">
      <alignment horizontal="center" vertical="center"/>
      <protection locked="0"/>
    </xf>
    <xf numFmtId="0" fontId="226" fillId="0" borderId="0" xfId="0" applyFont="1" applyBorder="1" applyAlignment="1" applyProtection="1">
      <alignment horizontal="center" vertical="center"/>
      <protection locked="0"/>
    </xf>
    <xf numFmtId="0" fontId="52" fillId="22" borderId="0" xfId="0" applyFont="1" applyFill="1" applyProtection="1">
      <protection locked="0"/>
    </xf>
    <xf numFmtId="0" fontId="265" fillId="0" borderId="0" xfId="0" applyFont="1" applyAlignment="1" applyProtection="1">
      <alignment vertical="top"/>
      <protection locked="0"/>
    </xf>
    <xf numFmtId="0" fontId="347" fillId="0" borderId="0" xfId="0" applyFont="1" applyBorder="1" applyAlignment="1" applyProtection="1">
      <alignment horizontal="left" vertical="center"/>
      <protection locked="0"/>
    </xf>
    <xf numFmtId="0" fontId="332" fillId="0" borderId="0" xfId="0" applyFont="1" applyBorder="1" applyAlignment="1" applyProtection="1">
      <alignment horizontal="center" vertical="center"/>
      <protection locked="0"/>
    </xf>
    <xf numFmtId="171" fontId="332" fillId="6" borderId="0" xfId="0" applyNumberFormat="1" applyFont="1" applyFill="1" applyBorder="1" applyAlignment="1" applyProtection="1">
      <alignment horizontal="center" vertical="center"/>
      <protection locked="0"/>
    </xf>
    <xf numFmtId="0" fontId="332" fillId="6" borderId="0" xfId="0" applyFont="1" applyFill="1" applyBorder="1" applyAlignment="1" applyProtection="1">
      <alignment horizontal="center" vertical="center"/>
      <protection locked="0"/>
    </xf>
    <xf numFmtId="0" fontId="355" fillId="0" borderId="0" xfId="0" applyFont="1" applyBorder="1" applyAlignment="1" applyProtection="1">
      <alignment vertical="center"/>
      <protection locked="0"/>
    </xf>
    <xf numFmtId="0" fontId="239" fillId="0" borderId="0" xfId="0" applyFont="1" applyBorder="1" applyAlignment="1" applyProtection="1">
      <alignment horizontal="center" vertical="center"/>
      <protection locked="0"/>
    </xf>
    <xf numFmtId="171" fontId="239" fillId="6" borderId="0" xfId="0" applyNumberFormat="1" applyFont="1" applyFill="1" applyBorder="1" applyAlignment="1" applyProtection="1">
      <alignment horizontal="center" vertical="center"/>
      <protection locked="0"/>
    </xf>
    <xf numFmtId="0" fontId="239" fillId="6" borderId="0" xfId="0" applyFont="1" applyFill="1" applyBorder="1" applyAlignment="1" applyProtection="1">
      <alignment horizontal="center" vertical="center"/>
      <protection locked="0"/>
    </xf>
    <xf numFmtId="166" fontId="56" fillId="11" borderId="147" xfId="90" applyNumberFormat="1" applyFont="1" applyFill="1" applyBorder="1" applyAlignment="1" applyProtection="1">
      <alignment vertical="center"/>
      <protection locked="0"/>
    </xf>
    <xf numFmtId="0" fontId="7" fillId="21" borderId="38" xfId="90" applyFont="1" applyFill="1" applyBorder="1" applyProtection="1">
      <protection locked="0"/>
    </xf>
    <xf numFmtId="0" fontId="106" fillId="7" borderId="0" xfId="0" applyFont="1" applyFill="1" applyBorder="1" applyAlignment="1">
      <alignment horizontal="right" vertical="center" indent="2"/>
    </xf>
    <xf numFmtId="0" fontId="96" fillId="21" borderId="0" xfId="0" applyFont="1" applyFill="1" applyBorder="1" applyAlignment="1" applyProtection="1">
      <alignment horizontal="left" vertical="center"/>
      <protection hidden="1"/>
    </xf>
    <xf numFmtId="166" fontId="315" fillId="6" borderId="122" xfId="0" applyNumberFormat="1" applyFont="1" applyFill="1" applyBorder="1" applyAlignment="1" applyProtection="1">
      <alignment horizontal="center" vertical="center"/>
      <protection hidden="1"/>
    </xf>
    <xf numFmtId="0" fontId="96" fillId="21" borderId="0" xfId="0" applyFont="1" applyFill="1" applyBorder="1" applyAlignment="1" applyProtection="1">
      <alignment horizontal="left" vertical="center"/>
      <protection hidden="1"/>
    </xf>
    <xf numFmtId="0" fontId="106" fillId="7" borderId="0" xfId="0" applyFont="1" applyFill="1" applyBorder="1" applyAlignment="1">
      <alignment horizontal="right" vertical="center" indent="2"/>
    </xf>
    <xf numFmtId="0" fontId="277" fillId="6" borderId="109" xfId="0" quotePrefix="1" applyFont="1" applyFill="1" applyBorder="1" applyAlignment="1" applyProtection="1">
      <alignment horizontal="right" vertical="center" indent="1"/>
      <protection hidden="1"/>
    </xf>
    <xf numFmtId="0" fontId="228" fillId="6" borderId="0" xfId="0" applyFont="1" applyFill="1" applyBorder="1" applyAlignment="1" applyProtection="1">
      <alignment horizontal="center" vertical="center"/>
      <protection hidden="1"/>
    </xf>
    <xf numFmtId="0" fontId="224" fillId="6" borderId="0" xfId="0" applyFont="1" applyFill="1" applyBorder="1" applyAlignment="1" applyProtection="1">
      <alignment horizontal="center" vertical="center"/>
      <protection hidden="1"/>
    </xf>
    <xf numFmtId="0" fontId="52" fillId="6" borderId="0" xfId="0" applyFont="1" applyFill="1" applyBorder="1" applyAlignment="1">
      <alignment horizontal="right" vertical="center" indent="1"/>
    </xf>
    <xf numFmtId="0" fontId="57" fillId="25" borderId="0" xfId="0" applyFont="1" applyFill="1" applyBorder="1" applyAlignment="1" applyProtection="1">
      <alignment horizontal="left" indent="1"/>
      <protection locked="0"/>
    </xf>
    <xf numFmtId="0" fontId="78" fillId="0" borderId="0" xfId="0" applyFont="1" applyFill="1" applyBorder="1" applyAlignment="1" applyProtection="1">
      <alignment horizontal="left" indent="1"/>
      <protection locked="0"/>
    </xf>
    <xf numFmtId="0" fontId="78" fillId="21" borderId="123" xfId="0" applyFont="1" applyFill="1" applyBorder="1" applyAlignment="1" applyProtection="1">
      <alignment horizontal="left" indent="1"/>
      <protection locked="0"/>
    </xf>
    <xf numFmtId="0" fontId="37" fillId="9" borderId="0" xfId="0" applyFont="1" applyFill="1" applyBorder="1" applyProtection="1">
      <protection hidden="1"/>
    </xf>
    <xf numFmtId="1" fontId="275" fillId="6" borderId="0" xfId="0" quotePrefix="1" applyNumberFormat="1" applyFont="1" applyFill="1" applyBorder="1" applyAlignment="1" applyProtection="1">
      <alignment horizontal="right" vertical="center" indent="1"/>
      <protection hidden="1"/>
    </xf>
    <xf numFmtId="10" fontId="275" fillId="6" borderId="0" xfId="22" quotePrefix="1" applyNumberFormat="1" applyFont="1" applyFill="1" applyBorder="1" applyAlignment="1" applyProtection="1">
      <alignment horizontal="center" vertical="center"/>
      <protection hidden="1"/>
    </xf>
    <xf numFmtId="168" fontId="275" fillId="6" borderId="0" xfId="0" quotePrefix="1" applyNumberFormat="1" applyFont="1" applyFill="1" applyBorder="1" applyAlignment="1" applyProtection="1">
      <alignment horizontal="center" vertical="center"/>
      <protection hidden="1"/>
    </xf>
    <xf numFmtId="0" fontId="275" fillId="6" borderId="0" xfId="0" quotePrefix="1" applyFont="1" applyFill="1" applyBorder="1" applyAlignment="1" applyProtection="1">
      <alignment horizontal="center" vertical="center"/>
      <protection hidden="1"/>
    </xf>
    <xf numFmtId="0" fontId="275" fillId="6" borderId="128" xfId="0" quotePrefix="1" applyFont="1" applyFill="1" applyBorder="1" applyAlignment="1" applyProtection="1">
      <alignment vertical="center"/>
      <protection hidden="1"/>
    </xf>
    <xf numFmtId="0" fontId="275" fillId="6" borderId="133" xfId="0" quotePrefix="1" applyFont="1" applyFill="1" applyBorder="1" applyAlignment="1" applyProtection="1">
      <alignment vertical="center"/>
      <protection hidden="1"/>
    </xf>
    <xf numFmtId="0" fontId="275" fillId="6" borderId="130" xfId="0" quotePrefix="1" applyFont="1" applyFill="1" applyBorder="1" applyAlignment="1" applyProtection="1">
      <alignment vertical="center"/>
      <protection hidden="1"/>
    </xf>
    <xf numFmtId="0" fontId="275" fillId="6" borderId="109" xfId="0" quotePrefix="1" applyFont="1" applyFill="1" applyBorder="1" applyAlignment="1" applyProtection="1">
      <alignment vertical="center"/>
      <protection hidden="1"/>
    </xf>
    <xf numFmtId="0" fontId="275" fillId="6" borderId="131" xfId="0" quotePrefix="1" applyFont="1" applyFill="1" applyBorder="1" applyAlignment="1" applyProtection="1">
      <alignment vertical="center"/>
      <protection hidden="1"/>
    </xf>
    <xf numFmtId="0" fontId="257" fillId="6" borderId="0" xfId="0" applyFont="1" applyFill="1" applyBorder="1" applyAlignment="1" applyProtection="1">
      <alignment vertical="center"/>
      <protection hidden="1"/>
    </xf>
    <xf numFmtId="0" fontId="203" fillId="32" borderId="0" xfId="0" applyFont="1" applyFill="1" applyBorder="1" applyAlignment="1" applyProtection="1">
      <alignment vertical="center"/>
      <protection hidden="1"/>
    </xf>
    <xf numFmtId="0" fontId="181" fillId="6" borderId="0" xfId="0" applyFont="1" applyFill="1" applyBorder="1" applyAlignment="1" applyProtection="1">
      <alignment vertical="center"/>
      <protection hidden="1"/>
    </xf>
    <xf numFmtId="0" fontId="144" fillId="6" borderId="0" xfId="0" applyFont="1" applyFill="1" applyBorder="1" applyAlignment="1" applyProtection="1">
      <protection hidden="1"/>
    </xf>
    <xf numFmtId="0" fontId="335" fillId="6" borderId="0" xfId="0" applyFont="1" applyFill="1" applyBorder="1" applyAlignment="1" applyProtection="1">
      <alignment vertical="center"/>
      <protection hidden="1"/>
    </xf>
    <xf numFmtId="0" fontId="335" fillId="6" borderId="109" xfId="0" applyFont="1" applyFill="1" applyBorder="1" applyAlignment="1" applyProtection="1">
      <alignment vertical="center"/>
      <protection hidden="1"/>
    </xf>
    <xf numFmtId="0" fontId="334" fillId="6" borderId="0" xfId="0" applyFont="1" applyFill="1" applyBorder="1" applyAlignment="1" applyProtection="1">
      <alignment horizontal="left" vertical="center"/>
      <protection hidden="1"/>
    </xf>
    <xf numFmtId="0" fontId="334" fillId="6" borderId="0" xfId="0" applyFont="1" applyFill="1" applyBorder="1" applyAlignment="1" applyProtection="1">
      <alignment vertical="center"/>
      <protection hidden="1"/>
    </xf>
    <xf numFmtId="0" fontId="203" fillId="6" borderId="0" xfId="0" applyFont="1" applyFill="1" applyBorder="1" applyAlignment="1" applyProtection="1">
      <alignment vertical="center"/>
      <protection hidden="1"/>
    </xf>
    <xf numFmtId="0" fontId="232" fillId="6" borderId="0" xfId="0" applyFont="1" applyFill="1" applyBorder="1" applyAlignment="1">
      <alignment vertical="center"/>
    </xf>
    <xf numFmtId="0" fontId="45" fillId="21" borderId="18" xfId="90" applyFont="1" applyFill="1" applyBorder="1" applyProtection="1">
      <protection hidden="1"/>
    </xf>
    <xf numFmtId="0" fontId="201" fillId="0" borderId="0" xfId="0" applyFont="1" applyFill="1" applyProtection="1">
      <protection hidden="1"/>
    </xf>
    <xf numFmtId="0" fontId="201" fillId="35" borderId="0" xfId="0" applyFont="1" applyFill="1" applyProtection="1">
      <protection hidden="1"/>
    </xf>
    <xf numFmtId="168" fontId="50" fillId="6" borderId="123" xfId="0" applyNumberFormat="1" applyFont="1" applyFill="1" applyBorder="1" applyAlignment="1" applyProtection="1">
      <alignment horizontal="center" vertical="center"/>
      <protection hidden="1"/>
    </xf>
    <xf numFmtId="9" fontId="50" fillId="6" borderId="123" xfId="22" applyFont="1" applyFill="1" applyBorder="1" applyAlignment="1" applyProtection="1">
      <alignment horizontal="center" vertical="center"/>
      <protection hidden="1"/>
    </xf>
    <xf numFmtId="0" fontId="238" fillId="22" borderId="98" xfId="0" applyFont="1" applyFill="1" applyBorder="1" applyAlignment="1" applyProtection="1">
      <alignment vertical="top"/>
      <protection locked="0" hidden="1"/>
    </xf>
    <xf numFmtId="168" fontId="122" fillId="22" borderId="121" xfId="0" applyNumberFormat="1" applyFont="1" applyFill="1" applyBorder="1" applyAlignment="1" applyProtection="1">
      <alignment horizontal="center" vertical="center" wrapText="1"/>
      <protection locked="0" hidden="1"/>
    </xf>
    <xf numFmtId="0" fontId="162" fillId="22" borderId="100" xfId="0" applyFont="1" applyFill="1" applyBorder="1" applyAlignment="1" applyProtection="1">
      <alignment horizontal="center" vertical="top" wrapText="1"/>
      <protection locked="0" hidden="1"/>
    </xf>
    <xf numFmtId="41" fontId="57" fillId="0" borderId="123" xfId="0" applyNumberFormat="1" applyFont="1" applyFill="1" applyBorder="1" applyAlignment="1" applyProtection="1">
      <alignment horizontal="left" indent="2"/>
      <protection hidden="1"/>
    </xf>
    <xf numFmtId="0" fontId="57" fillId="0" borderId="123" xfId="0" applyFont="1" applyFill="1" applyBorder="1" applyAlignment="1" applyProtection="1">
      <alignment horizontal="left"/>
      <protection hidden="1"/>
    </xf>
    <xf numFmtId="166" fontId="57" fillId="0" borderId="123" xfId="0" applyNumberFormat="1" applyFont="1" applyFill="1" applyBorder="1" applyAlignment="1" applyProtection="1">
      <alignment horizontal="center"/>
      <protection hidden="1"/>
    </xf>
    <xf numFmtId="41" fontId="57" fillId="0" borderId="426" xfId="0" applyNumberFormat="1" applyFont="1" applyFill="1" applyBorder="1" applyAlignment="1" applyProtection="1">
      <alignment horizontal="left" indent="2"/>
      <protection hidden="1"/>
    </xf>
    <xf numFmtId="0" fontId="57" fillId="0" borderId="426" xfId="0" applyFont="1" applyFill="1" applyBorder="1" applyAlignment="1" applyProtection="1">
      <alignment horizontal="left"/>
      <protection hidden="1"/>
    </xf>
    <xf numFmtId="166" fontId="57" fillId="0" borderId="426" xfId="0" applyNumberFormat="1" applyFont="1" applyFill="1" applyBorder="1" applyAlignment="1" applyProtection="1">
      <alignment horizontal="center"/>
      <protection hidden="1"/>
    </xf>
    <xf numFmtId="166" fontId="333" fillId="0" borderId="109" xfId="0" applyNumberFormat="1" applyFont="1" applyFill="1" applyBorder="1" applyAlignment="1" applyProtection="1">
      <alignment horizontal="center" vertical="center"/>
      <protection hidden="1"/>
    </xf>
    <xf numFmtId="166" fontId="333" fillId="0" borderId="123" xfId="0" applyNumberFormat="1" applyFont="1" applyFill="1" applyBorder="1" applyAlignment="1" applyProtection="1">
      <alignment horizontal="center" vertical="center"/>
      <protection hidden="1"/>
    </xf>
    <xf numFmtId="168" fontId="50" fillId="6" borderId="391" xfId="0" applyNumberFormat="1" applyFont="1" applyFill="1" applyBorder="1" applyAlignment="1" applyProtection="1">
      <alignment horizontal="center" vertical="center"/>
      <protection hidden="1"/>
    </xf>
    <xf numFmtId="9" fontId="50" fillId="6" borderId="391" xfId="22" applyFont="1" applyFill="1" applyBorder="1" applyAlignment="1" applyProtection="1">
      <alignment horizontal="center" vertical="center"/>
      <protection hidden="1"/>
    </xf>
    <xf numFmtId="0" fontId="184" fillId="6" borderId="0" xfId="0" applyFont="1" applyFill="1" applyBorder="1" applyAlignment="1" applyProtection="1">
      <alignment horizontal="center" vertical="top"/>
      <protection hidden="1"/>
    </xf>
    <xf numFmtId="0" fontId="185" fillId="6" borderId="0" xfId="0" applyFont="1" applyFill="1" applyBorder="1" applyAlignment="1" applyProtection="1">
      <alignment vertical="top"/>
      <protection hidden="1"/>
    </xf>
    <xf numFmtId="171" fontId="226" fillId="6" borderId="0" xfId="0" applyNumberFormat="1" applyFont="1" applyFill="1" applyBorder="1" applyAlignment="1" applyProtection="1">
      <alignment horizontal="center" vertical="center"/>
      <protection locked="0"/>
    </xf>
    <xf numFmtId="0" fontId="226" fillId="6" borderId="0" xfId="0" applyFont="1" applyFill="1" applyBorder="1" applyAlignment="1" applyProtection="1">
      <alignment horizontal="center" vertical="center"/>
      <protection locked="0"/>
    </xf>
    <xf numFmtId="0" fontId="226" fillId="0" borderId="0" xfId="0" applyFont="1" applyBorder="1" applyAlignment="1" applyProtection="1">
      <alignment horizontal="center" vertical="center"/>
      <protection locked="0"/>
    </xf>
    <xf numFmtId="0" fontId="121" fillId="0" borderId="108" xfId="0" applyFont="1" applyBorder="1" applyAlignment="1" applyProtection="1">
      <alignment horizontal="left" vertical="center"/>
      <protection locked="0"/>
    </xf>
    <xf numFmtId="0" fontId="288" fillId="6" borderId="0" xfId="0" applyFont="1" applyFill="1" applyBorder="1" applyAlignment="1" applyProtection="1">
      <alignment horizontal="center" vertical="center"/>
      <protection locked="0"/>
    </xf>
    <xf numFmtId="0" fontId="172" fillId="27" borderId="0" xfId="0" applyFont="1" applyFill="1" applyBorder="1" applyProtection="1">
      <protection hidden="1"/>
    </xf>
    <xf numFmtId="0" fontId="377" fillId="0" borderId="0" xfId="0" applyFont="1" applyBorder="1" applyAlignment="1" applyProtection="1">
      <alignment vertical="center"/>
      <protection locked="0"/>
    </xf>
    <xf numFmtId="0" fontId="379" fillId="7" borderId="0" xfId="0" quotePrefix="1" applyFont="1" applyFill="1" applyBorder="1" applyAlignment="1" applyProtection="1">
      <alignment horizontal="center" vertical="center"/>
      <protection locked="0"/>
    </xf>
    <xf numFmtId="171" fontId="226" fillId="6" borderId="0" xfId="0" applyNumberFormat="1" applyFont="1" applyFill="1" applyBorder="1" applyAlignment="1" applyProtection="1">
      <alignment horizontal="center" vertical="center"/>
      <protection locked="0"/>
    </xf>
    <xf numFmtId="0" fontId="226" fillId="6" borderId="0" xfId="0" applyFont="1" applyFill="1" applyBorder="1" applyAlignment="1" applyProtection="1">
      <alignment horizontal="center" vertical="center"/>
      <protection locked="0"/>
    </xf>
    <xf numFmtId="0" fontId="226" fillId="0" borderId="0" xfId="0" applyFont="1" applyBorder="1" applyAlignment="1" applyProtection="1">
      <alignment horizontal="center" vertical="center"/>
      <protection locked="0"/>
    </xf>
    <xf numFmtId="0" fontId="288" fillId="6" borderId="0" xfId="0" applyFont="1" applyFill="1" applyBorder="1" applyAlignment="1" applyProtection="1">
      <alignment horizontal="center" vertical="center"/>
      <protection locked="0"/>
    </xf>
    <xf numFmtId="168" fontId="122" fillId="22" borderId="123" xfId="0" applyNumberFormat="1" applyFont="1" applyFill="1" applyBorder="1" applyAlignment="1" applyProtection="1">
      <alignment horizontal="center" vertical="center"/>
      <protection hidden="1"/>
    </xf>
    <xf numFmtId="0" fontId="225" fillId="0" borderId="0" xfId="0" applyFont="1" applyBorder="1" applyAlignment="1" applyProtection="1">
      <alignment vertical="center"/>
      <protection locked="0"/>
    </xf>
    <xf numFmtId="0" fontId="43" fillId="6" borderId="0" xfId="0" applyFont="1" applyFill="1" applyBorder="1" applyAlignment="1" applyProtection="1">
      <alignment horizontal="center"/>
      <protection locked="0"/>
    </xf>
    <xf numFmtId="0" fontId="23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indent="4"/>
      <protection locked="0"/>
    </xf>
    <xf numFmtId="0" fontId="52" fillId="6" borderId="218" xfId="0" applyFont="1" applyFill="1" applyBorder="1" applyProtection="1">
      <protection hidden="1"/>
    </xf>
    <xf numFmtId="0" fontId="52" fillId="0" borderId="6" xfId="0" applyFont="1" applyFill="1" applyBorder="1" applyAlignment="1" applyProtection="1">
      <alignment horizontal="left" vertical="center" indent="1"/>
      <protection locked="0" hidden="1"/>
    </xf>
    <xf numFmtId="0" fontId="7" fillId="21" borderId="0" xfId="90" applyFont="1" applyFill="1" applyBorder="1" applyProtection="1"/>
    <xf numFmtId="0" fontId="132" fillId="22" borderId="0" xfId="0" applyFont="1" applyFill="1" applyBorder="1" applyAlignment="1" applyProtection="1">
      <alignment horizontal="left" vertical="center" wrapText="1" indent="1"/>
      <protection hidden="1"/>
    </xf>
    <xf numFmtId="0" fontId="211" fillId="21" borderId="0" xfId="0" applyFont="1" applyFill="1" applyBorder="1" applyAlignment="1" applyProtection="1">
      <alignment vertical="center" wrapText="1"/>
      <protection hidden="1"/>
    </xf>
    <xf numFmtId="0" fontId="37" fillId="21" borderId="0" xfId="0" applyFont="1" applyFill="1" applyBorder="1" applyAlignment="1" applyProtection="1">
      <protection hidden="1"/>
    </xf>
    <xf numFmtId="0" fontId="45" fillId="6" borderId="0" xfId="90" applyFont="1" applyFill="1" applyBorder="1" applyProtection="1">
      <protection hidden="1"/>
    </xf>
    <xf numFmtId="0" fontId="45" fillId="6" borderId="18" xfId="90" applyFont="1" applyFill="1" applyBorder="1" applyProtection="1">
      <protection hidden="1"/>
    </xf>
    <xf numFmtId="0" fontId="15" fillId="21" borderId="0" xfId="90" applyFont="1" applyFill="1" applyBorder="1" applyProtection="1"/>
    <xf numFmtId="0" fontId="7" fillId="8" borderId="0" xfId="90" applyFont="1" applyFill="1" applyBorder="1" applyAlignment="1" applyProtection="1"/>
    <xf numFmtId="0" fontId="7" fillId="8" borderId="18" xfId="90" applyFont="1" applyFill="1" applyBorder="1" applyAlignment="1" applyProtection="1"/>
    <xf numFmtId="0" fontId="7" fillId="6" borderId="0" xfId="90" applyFont="1" applyFill="1" applyBorder="1" applyProtection="1"/>
    <xf numFmtId="166" fontId="64" fillId="6" borderId="167" xfId="90" applyNumberFormat="1" applyFont="1" applyFill="1" applyBorder="1" applyAlignment="1" applyProtection="1"/>
    <xf numFmtId="166" fontId="64" fillId="6" borderId="168" xfId="90" applyNumberFormat="1" applyFont="1" applyFill="1" applyBorder="1" applyAlignment="1" applyProtection="1"/>
    <xf numFmtId="166" fontId="64" fillId="6" borderId="170" xfId="90" applyNumberFormat="1" applyFont="1" applyFill="1" applyBorder="1" applyAlignment="1" applyProtection="1"/>
    <xf numFmtId="166" fontId="64" fillId="6" borderId="0" xfId="90" applyNumberFormat="1" applyFont="1" applyFill="1" applyBorder="1" applyAlignment="1" applyProtection="1"/>
    <xf numFmtId="0" fontId="15" fillId="21" borderId="38" xfId="90" applyFont="1" applyFill="1" applyBorder="1" applyProtection="1"/>
    <xf numFmtId="0" fontId="7" fillId="6" borderId="0" xfId="90" applyFont="1" applyFill="1" applyBorder="1" applyAlignment="1" applyProtection="1">
      <alignment vertical="center"/>
    </xf>
    <xf numFmtId="0" fontId="45" fillId="6" borderId="17" xfId="90" applyFont="1" applyFill="1" applyBorder="1" applyProtection="1">
      <protection hidden="1"/>
    </xf>
    <xf numFmtId="0" fontId="65" fillId="8" borderId="0" xfId="90" applyFont="1" applyFill="1" applyBorder="1" applyAlignment="1" applyProtection="1">
      <alignment vertical="center"/>
    </xf>
    <xf numFmtId="0" fontId="65" fillId="8" borderId="18" xfId="90" applyFont="1" applyFill="1" applyBorder="1" applyAlignment="1" applyProtection="1">
      <alignment vertical="center"/>
    </xf>
    <xf numFmtId="166" fontId="80" fillId="6" borderId="0" xfId="90" applyNumberFormat="1" applyFont="1" applyFill="1" applyBorder="1" applyAlignment="1" applyProtection="1">
      <alignment vertical="center"/>
    </xf>
    <xf numFmtId="166" fontId="80" fillId="6" borderId="153" xfId="90" applyNumberFormat="1" applyFont="1" applyFill="1" applyBorder="1" applyAlignment="1" applyProtection="1">
      <alignment vertical="center"/>
    </xf>
    <xf numFmtId="0" fontId="45" fillId="6" borderId="150" xfId="90" applyFont="1" applyFill="1" applyBorder="1" applyProtection="1">
      <protection hidden="1"/>
    </xf>
    <xf numFmtId="0" fontId="45" fillId="6" borderId="407" xfId="90" applyFont="1" applyFill="1" applyBorder="1" applyProtection="1">
      <protection hidden="1"/>
    </xf>
    <xf numFmtId="166" fontId="64" fillId="6" borderId="171" xfId="90" applyNumberFormat="1" applyFont="1" applyFill="1" applyBorder="1" applyAlignment="1" applyProtection="1"/>
    <xf numFmtId="166" fontId="64" fillId="6" borderId="172" xfId="90" applyNumberFormat="1" applyFont="1" applyFill="1" applyBorder="1" applyAlignment="1" applyProtection="1"/>
    <xf numFmtId="0" fontId="45" fillId="6" borderId="151" xfId="90" applyFont="1" applyFill="1" applyBorder="1" applyProtection="1">
      <protection hidden="1"/>
    </xf>
    <xf numFmtId="0" fontId="45" fillId="6" borderId="152" xfId="90" applyFont="1" applyFill="1" applyBorder="1" applyProtection="1">
      <protection hidden="1"/>
    </xf>
    <xf numFmtId="0" fontId="45" fillId="6" borderId="153" xfId="90" applyFont="1" applyFill="1" applyBorder="1" applyProtection="1">
      <protection hidden="1"/>
    </xf>
    <xf numFmtId="0" fontId="45" fillId="6" borderId="154" xfId="90" applyFont="1" applyFill="1" applyBorder="1" applyProtection="1">
      <protection hidden="1"/>
    </xf>
    <xf numFmtId="0" fontId="7" fillId="21" borderId="151" xfId="90" applyFont="1" applyFill="1" applyBorder="1" applyProtection="1"/>
    <xf numFmtId="0" fontId="208" fillId="37" borderId="0" xfId="1299" applyFont="1" applyFill="1" applyProtection="1"/>
    <xf numFmtId="0" fontId="208" fillId="37" borderId="0" xfId="1299" applyFont="1" applyFill="1" applyBorder="1" applyProtection="1"/>
    <xf numFmtId="0" fontId="208" fillId="38" borderId="0" xfId="1299" applyFont="1" applyFill="1" applyAlignment="1" applyProtection="1">
      <alignment horizontal="center" vertical="center"/>
    </xf>
    <xf numFmtId="0" fontId="208" fillId="38" borderId="0" xfId="1299" applyFont="1" applyFill="1" applyProtection="1"/>
    <xf numFmtId="0" fontId="208" fillId="40" borderId="0" xfId="1299" applyFont="1" applyFill="1" applyProtection="1"/>
    <xf numFmtId="0" fontId="373" fillId="40" borderId="0" xfId="1299" applyFont="1" applyFill="1" applyProtection="1"/>
    <xf numFmtId="0" fontId="373" fillId="40" borderId="0" xfId="1299" applyFont="1" applyFill="1" applyBorder="1" applyProtection="1"/>
    <xf numFmtId="0" fontId="208" fillId="40" borderId="0" xfId="1299" applyFont="1" applyFill="1" applyAlignment="1" applyProtection="1"/>
    <xf numFmtId="0" fontId="208" fillId="40" borderId="0" xfId="1299" applyFont="1" applyFill="1" applyAlignment="1" applyProtection="1">
      <alignment horizontal="center"/>
    </xf>
    <xf numFmtId="166" fontId="387" fillId="41" borderId="443" xfId="1299" applyNumberFormat="1" applyFont="1" applyFill="1" applyBorder="1" applyAlignment="1" applyProtection="1">
      <alignment horizontal="left" vertical="center"/>
    </xf>
    <xf numFmtId="0" fontId="373" fillId="45" borderId="126" xfId="1299" applyFont="1" applyFill="1" applyBorder="1" applyProtection="1"/>
    <xf numFmtId="0" fontId="373" fillId="45" borderId="108" xfId="1299" applyFont="1" applyFill="1" applyBorder="1" applyProtection="1"/>
    <xf numFmtId="0" fontId="373" fillId="45" borderId="132" xfId="1299" applyFont="1" applyFill="1" applyBorder="1" applyProtection="1"/>
    <xf numFmtId="0" fontId="373" fillId="45" borderId="128" xfId="1299" applyFont="1" applyFill="1" applyBorder="1" applyProtection="1"/>
    <xf numFmtId="0" fontId="373" fillId="45" borderId="0" xfId="1299" applyFont="1" applyFill="1" applyBorder="1" applyProtection="1"/>
    <xf numFmtId="0" fontId="373" fillId="45" borderId="121" xfId="1299" applyFont="1" applyFill="1" applyBorder="1" applyProtection="1"/>
    <xf numFmtId="0" fontId="373" fillId="45" borderId="133" xfId="1299" applyFont="1" applyFill="1" applyBorder="1" applyProtection="1"/>
    <xf numFmtId="0" fontId="373" fillId="40" borderId="0" xfId="1299" applyFont="1" applyFill="1" applyAlignment="1" applyProtection="1"/>
    <xf numFmtId="0" fontId="373" fillId="45" borderId="130" xfId="1299" applyFont="1" applyFill="1" applyBorder="1" applyProtection="1"/>
    <xf numFmtId="0" fontId="373" fillId="45" borderId="109" xfId="1299" applyFont="1" applyFill="1" applyBorder="1" applyProtection="1"/>
    <xf numFmtId="0" fontId="373" fillId="45" borderId="131" xfId="1299" applyFont="1" applyFill="1" applyBorder="1" applyProtection="1"/>
    <xf numFmtId="0" fontId="208" fillId="40" borderId="466" xfId="1299" applyFont="1" applyFill="1" applyBorder="1" applyAlignment="1" applyProtection="1"/>
    <xf numFmtId="0" fontId="208" fillId="40" borderId="467" xfId="1299" applyFont="1" applyFill="1" applyBorder="1" applyProtection="1"/>
    <xf numFmtId="0" fontId="373" fillId="40" borderId="467" xfId="1299" applyFont="1" applyFill="1" applyBorder="1" applyProtection="1"/>
    <xf numFmtId="0" fontId="208" fillId="40" borderId="0" xfId="1299" applyFont="1" applyFill="1" applyBorder="1" applyProtection="1"/>
    <xf numFmtId="0" fontId="373" fillId="40" borderId="0" xfId="1299" applyFont="1" applyFill="1" applyAlignment="1" applyProtection="1">
      <alignment vertical="center"/>
    </xf>
    <xf numFmtId="0" fontId="211" fillId="40" borderId="0" xfId="1299" applyFont="1" applyFill="1" applyProtection="1"/>
    <xf numFmtId="169" fontId="208" fillId="40" borderId="0" xfId="1299" applyNumberFormat="1" applyFont="1" applyFill="1" applyProtection="1"/>
    <xf numFmtId="0" fontId="211" fillId="40" borderId="0" xfId="1299" applyFont="1" applyFill="1" applyBorder="1" applyProtection="1"/>
    <xf numFmtId="169" fontId="208" fillId="40" borderId="0" xfId="1299" applyNumberFormat="1" applyFont="1" applyFill="1" applyBorder="1" applyProtection="1"/>
    <xf numFmtId="0" fontId="208" fillId="49" borderId="0" xfId="1299" applyFont="1" applyFill="1" applyProtection="1"/>
    <xf numFmtId="0" fontId="211" fillId="49" borderId="0" xfId="1299" applyFont="1" applyFill="1" applyBorder="1" applyProtection="1"/>
    <xf numFmtId="0" fontId="208" fillId="49" borderId="0" xfId="1299" applyFont="1" applyFill="1" applyBorder="1" applyProtection="1"/>
    <xf numFmtId="0" fontId="209" fillId="49" borderId="0" xfId="1299" applyFont="1" applyFill="1" applyBorder="1" applyProtection="1"/>
    <xf numFmtId="0" fontId="208" fillId="49" borderId="0" xfId="1299" applyFont="1" applyFill="1" applyBorder="1" applyAlignment="1" applyProtection="1"/>
    <xf numFmtId="0" fontId="391" fillId="37" borderId="0" xfId="1299" applyFont="1" applyFill="1"/>
    <xf numFmtId="0" fontId="391" fillId="37" borderId="0" xfId="1299" applyFont="1" applyFill="1" applyBorder="1"/>
    <xf numFmtId="0" fontId="391" fillId="38" borderId="0" xfId="1299" applyFont="1" applyFill="1" applyBorder="1"/>
    <xf numFmtId="0" fontId="394" fillId="38" borderId="0" xfId="1299" applyFont="1" applyFill="1" applyBorder="1" applyAlignment="1">
      <alignment horizontal="center" vertical="center"/>
    </xf>
    <xf numFmtId="0" fontId="393" fillId="38" borderId="0" xfId="1299" applyFont="1" applyFill="1" applyBorder="1" applyAlignment="1">
      <alignment horizontal="right" vertical="center"/>
    </xf>
    <xf numFmtId="0" fontId="395" fillId="39" borderId="471" xfId="1299" applyFont="1" applyFill="1" applyBorder="1" applyAlignment="1" applyProtection="1">
      <alignment horizontal="center" vertical="center"/>
      <protection locked="0"/>
    </xf>
    <xf numFmtId="0" fontId="394" fillId="41" borderId="472" xfId="1299" applyFont="1" applyFill="1" applyBorder="1" applyAlignment="1">
      <alignment horizontal="center" vertical="center"/>
    </xf>
    <xf numFmtId="0" fontId="394" fillId="38" borderId="0" xfId="1299" applyFont="1" applyFill="1" applyAlignment="1">
      <alignment horizontal="center" vertical="center"/>
    </xf>
    <xf numFmtId="0" fontId="391" fillId="40" borderId="0" xfId="1299" applyFont="1" applyFill="1"/>
    <xf numFmtId="49" fontId="397" fillId="40" borderId="0" xfId="1299" applyNumberFormat="1" applyFont="1" applyFill="1" applyBorder="1" applyAlignment="1">
      <alignment vertical="center" wrapText="1"/>
    </xf>
    <xf numFmtId="0" fontId="392" fillId="40" borderId="0" xfId="1299" applyFont="1" applyFill="1" applyBorder="1"/>
    <xf numFmtId="0" fontId="398" fillId="40" borderId="0" xfId="1299" applyFont="1" applyFill="1" applyBorder="1"/>
    <xf numFmtId="49" fontId="396" fillId="50" borderId="473" xfId="1299" applyNumberFormat="1" applyFont="1" applyFill="1" applyBorder="1" applyAlignment="1">
      <alignment horizontal="center" vertical="center"/>
    </xf>
    <xf numFmtId="37" fontId="403" fillId="40" borderId="0" xfId="1299" applyNumberFormat="1" applyFont="1" applyFill="1" applyBorder="1" applyAlignment="1">
      <alignment horizontal="center"/>
    </xf>
    <xf numFmtId="166" fontId="404" fillId="51" borderId="477" xfId="1299" applyNumberFormat="1" applyFont="1" applyFill="1" applyBorder="1" applyAlignment="1">
      <alignment horizontal="center" vertical="center"/>
    </xf>
    <xf numFmtId="166" fontId="404" fillId="51" borderId="478" xfId="1299" applyNumberFormat="1" applyFont="1" applyFill="1" applyBorder="1" applyAlignment="1">
      <alignment horizontal="center" vertical="center"/>
    </xf>
    <xf numFmtId="0" fontId="402" fillId="51" borderId="479" xfId="1299" applyFont="1" applyFill="1" applyBorder="1" applyAlignment="1">
      <alignment horizontal="center" vertical="center"/>
    </xf>
    <xf numFmtId="10" fontId="405" fillId="37" borderId="480" xfId="1299" applyNumberFormat="1" applyFont="1" applyFill="1" applyBorder="1" applyAlignment="1">
      <alignment horizontal="center" vertical="center"/>
    </xf>
    <xf numFmtId="10" fontId="405" fillId="37" borderId="481" xfId="1299" applyNumberFormat="1" applyFont="1" applyFill="1" applyBorder="1" applyAlignment="1">
      <alignment horizontal="center" vertical="center"/>
    </xf>
    <xf numFmtId="10" fontId="405" fillId="37" borderId="482" xfId="1299" applyNumberFormat="1" applyFont="1" applyFill="1" applyBorder="1" applyAlignment="1">
      <alignment horizontal="center" vertical="center"/>
    </xf>
    <xf numFmtId="0" fontId="392" fillId="40" borderId="0" xfId="1299" applyFont="1" applyFill="1"/>
    <xf numFmtId="166" fontId="404" fillId="41" borderId="485" xfId="1299" applyNumberFormat="1" applyFont="1" applyFill="1" applyBorder="1" applyAlignment="1">
      <alignment horizontal="center" vertical="center"/>
    </xf>
    <xf numFmtId="166" fontId="404" fillId="41" borderId="486" xfId="1299" applyNumberFormat="1" applyFont="1" applyFill="1" applyBorder="1" applyAlignment="1">
      <alignment horizontal="center" vertical="center"/>
    </xf>
    <xf numFmtId="169" fontId="402" fillId="41" borderId="487" xfId="1299" applyNumberFormat="1" applyFont="1" applyFill="1" applyBorder="1" applyAlignment="1">
      <alignment horizontal="center" vertical="center"/>
    </xf>
    <xf numFmtId="166" fontId="404" fillId="41" borderId="472" xfId="1299" applyNumberFormat="1" applyFont="1" applyFill="1" applyBorder="1" applyAlignment="1">
      <alignment horizontal="center" vertical="center"/>
    </xf>
    <xf numFmtId="166" fontId="404" fillId="41" borderId="488" xfId="1299" applyNumberFormat="1" applyFont="1" applyFill="1" applyBorder="1" applyAlignment="1">
      <alignment horizontal="center" vertical="center"/>
    </xf>
    <xf numFmtId="166" fontId="404" fillId="41" borderId="491" xfId="1299" applyNumberFormat="1" applyFont="1" applyFill="1" applyBorder="1" applyAlignment="1">
      <alignment horizontal="center" vertical="center"/>
    </xf>
    <xf numFmtId="169" fontId="402" fillId="41" borderId="488" xfId="1299" applyNumberFormat="1" applyFont="1" applyFill="1" applyBorder="1" applyAlignment="1">
      <alignment horizontal="center" vertical="center"/>
    </xf>
    <xf numFmtId="166" fontId="404" fillId="41" borderId="497" xfId="1299" applyNumberFormat="1" applyFont="1" applyFill="1" applyBorder="1" applyAlignment="1">
      <alignment horizontal="center" vertical="center"/>
    </xf>
    <xf numFmtId="166" fontId="404" fillId="41" borderId="473" xfId="1299" applyNumberFormat="1" applyFont="1" applyFill="1" applyBorder="1" applyAlignment="1">
      <alignment horizontal="center" vertical="center"/>
    </xf>
    <xf numFmtId="169" fontId="402" fillId="41" borderId="498" xfId="1299" applyNumberFormat="1" applyFont="1" applyFill="1" applyBorder="1" applyAlignment="1">
      <alignment horizontal="center" vertical="center"/>
    </xf>
    <xf numFmtId="166" fontId="404" fillId="41" borderId="498" xfId="1299" applyNumberFormat="1" applyFont="1" applyFill="1" applyBorder="1" applyAlignment="1">
      <alignment horizontal="center" vertical="center"/>
    </xf>
    <xf numFmtId="0" fontId="408" fillId="40" borderId="0" xfId="1299" applyFont="1" applyFill="1" applyBorder="1"/>
    <xf numFmtId="166" fontId="407" fillId="41" borderId="502" xfId="1299" applyNumberFormat="1" applyFont="1" applyFill="1" applyBorder="1" applyAlignment="1">
      <alignment horizontal="center" vertical="center"/>
    </xf>
    <xf numFmtId="166" fontId="407" fillId="41" borderId="503" xfId="1299" applyNumberFormat="1" applyFont="1" applyFill="1" applyBorder="1" applyAlignment="1">
      <alignment horizontal="center" vertical="center"/>
    </xf>
    <xf numFmtId="9" fontId="407" fillId="41" borderId="504" xfId="1299" applyNumberFormat="1" applyFont="1" applyFill="1" applyBorder="1" applyAlignment="1">
      <alignment horizontal="center" vertical="center"/>
    </xf>
    <xf numFmtId="166" fontId="407" fillId="41" borderId="504" xfId="1299" applyNumberFormat="1" applyFont="1" applyFill="1" applyBorder="1" applyAlignment="1">
      <alignment horizontal="center" vertical="center"/>
    </xf>
    <xf numFmtId="166" fontId="409" fillId="37" borderId="505" xfId="1299" applyNumberFormat="1" applyFont="1" applyFill="1" applyBorder="1" applyAlignment="1">
      <alignment horizontal="center" vertical="center"/>
    </xf>
    <xf numFmtId="166" fontId="409" fillId="37" borderId="506" xfId="1299" applyNumberFormat="1" applyFont="1" applyFill="1" applyBorder="1" applyAlignment="1">
      <alignment horizontal="center" vertical="center"/>
    </xf>
    <xf numFmtId="9" fontId="409" fillId="37" borderId="507" xfId="1299" applyNumberFormat="1" applyFont="1" applyFill="1" applyBorder="1" applyAlignment="1">
      <alignment horizontal="center" vertical="center"/>
    </xf>
    <xf numFmtId="166" fontId="410" fillId="37" borderId="505" xfId="1299" applyNumberFormat="1" applyFont="1" applyFill="1" applyBorder="1" applyAlignment="1">
      <alignment horizontal="center" vertical="center"/>
    </xf>
    <xf numFmtId="166" fontId="410" fillId="37" borderId="506" xfId="1299" applyNumberFormat="1" applyFont="1" applyFill="1" applyBorder="1" applyAlignment="1">
      <alignment horizontal="center" vertical="center"/>
    </xf>
    <xf numFmtId="166" fontId="410" fillId="37" borderId="507" xfId="1299" applyNumberFormat="1" applyFont="1" applyFill="1" applyBorder="1" applyAlignment="1">
      <alignment horizontal="center" vertical="center"/>
    </xf>
    <xf numFmtId="0" fontId="405" fillId="40" borderId="0" xfId="1299" applyFont="1" applyFill="1" applyBorder="1"/>
    <xf numFmtId="10" fontId="405" fillId="52" borderId="513" xfId="1299" applyNumberFormat="1" applyFont="1" applyFill="1" applyBorder="1" applyAlignment="1">
      <alignment vertical="center"/>
    </xf>
    <xf numFmtId="10" fontId="405" fillId="52" borderId="514" xfId="1299" applyNumberFormat="1" applyFont="1" applyFill="1" applyBorder="1" applyAlignment="1">
      <alignment vertical="center"/>
    </xf>
    <xf numFmtId="10" fontId="405" fillId="52" borderId="515" xfId="1299" applyNumberFormat="1" applyFont="1" applyFill="1" applyBorder="1" applyAlignment="1">
      <alignment vertical="center"/>
    </xf>
    <xf numFmtId="10" fontId="411" fillId="52" borderId="516" xfId="1299" applyNumberFormat="1" applyFont="1" applyFill="1" applyBorder="1" applyAlignment="1">
      <alignment vertical="center"/>
    </xf>
    <xf numFmtId="10" fontId="411" fillId="52" borderId="514" xfId="1299" applyNumberFormat="1" applyFont="1" applyFill="1" applyBorder="1" applyAlignment="1">
      <alignment vertical="center"/>
    </xf>
    <xf numFmtId="10" fontId="411" fillId="52" borderId="515" xfId="1299" applyNumberFormat="1" applyFont="1" applyFill="1" applyBorder="1" applyAlignment="1">
      <alignment vertical="center"/>
    </xf>
    <xf numFmtId="166" fontId="404" fillId="41" borderId="508" xfId="1299" applyNumberFormat="1" applyFont="1" applyFill="1" applyBorder="1" applyAlignment="1">
      <alignment vertical="center"/>
    </xf>
    <xf numFmtId="166" fontId="404" fillId="41" borderId="509" xfId="1299" applyNumberFormat="1" applyFont="1" applyFill="1" applyBorder="1" applyAlignment="1">
      <alignment vertical="center"/>
    </xf>
    <xf numFmtId="166" fontId="404" fillId="41" borderId="512" xfId="1299" applyNumberFormat="1" applyFont="1" applyFill="1" applyBorder="1" applyAlignment="1">
      <alignment vertical="center"/>
    </xf>
    <xf numFmtId="166" fontId="405" fillId="41" borderId="517" xfId="1299" applyNumberFormat="1" applyFont="1" applyFill="1" applyBorder="1" applyAlignment="1">
      <alignment vertical="center"/>
    </xf>
    <xf numFmtId="166" fontId="405" fillId="41" borderId="0" xfId="1299" applyNumberFormat="1" applyFont="1" applyFill="1" applyAlignment="1">
      <alignment vertical="center"/>
    </xf>
    <xf numFmtId="166" fontId="405" fillId="41" borderId="518" xfId="1299" applyNumberFormat="1" applyFont="1" applyFill="1" applyBorder="1" applyAlignment="1">
      <alignment vertical="center"/>
    </xf>
    <xf numFmtId="166" fontId="404" fillId="41" borderId="524" xfId="1299" applyNumberFormat="1" applyFont="1" applyFill="1" applyBorder="1" applyAlignment="1">
      <alignment horizontal="center" vertical="center"/>
    </xf>
    <xf numFmtId="9" fontId="402" fillId="41" borderId="525" xfId="1299" applyNumberFormat="1" applyFont="1" applyFill="1" applyBorder="1" applyAlignment="1">
      <alignment horizontal="center" vertical="center"/>
    </xf>
    <xf numFmtId="166" fontId="405" fillId="41" borderId="526" xfId="1299" applyNumberFormat="1" applyFont="1" applyFill="1" applyBorder="1" applyAlignment="1">
      <alignment horizontal="center" vertical="center"/>
    </xf>
    <xf numFmtId="166" fontId="405" fillId="41" borderId="527" xfId="1299" applyNumberFormat="1" applyFont="1" applyFill="1" applyBorder="1" applyAlignment="1">
      <alignment horizontal="center" vertical="center"/>
    </xf>
    <xf numFmtId="166" fontId="405" fillId="41" borderId="528" xfId="1299" applyNumberFormat="1" applyFont="1" applyFill="1" applyBorder="1" applyAlignment="1">
      <alignment horizontal="center" vertical="center"/>
    </xf>
    <xf numFmtId="166" fontId="404" fillId="41" borderId="531" xfId="1299" applyNumberFormat="1" applyFont="1" applyFill="1" applyBorder="1" applyAlignment="1">
      <alignment horizontal="center" vertical="center"/>
    </xf>
    <xf numFmtId="9" fontId="402" fillId="41" borderId="532" xfId="1299" applyNumberFormat="1" applyFont="1" applyFill="1" applyBorder="1" applyAlignment="1">
      <alignment horizontal="center" vertical="center"/>
    </xf>
    <xf numFmtId="166" fontId="405" fillId="41" borderId="531" xfId="1299" applyNumberFormat="1" applyFont="1" applyFill="1" applyBorder="1" applyAlignment="1">
      <alignment horizontal="center" vertical="center"/>
    </xf>
    <xf numFmtId="166" fontId="405" fillId="41" borderId="472" xfId="1299" applyNumberFormat="1" applyFont="1" applyFill="1" applyBorder="1" applyAlignment="1">
      <alignment horizontal="center" vertical="center"/>
    </xf>
    <xf numFmtId="166" fontId="405" fillId="41" borderId="532" xfId="1299" applyNumberFormat="1" applyFont="1" applyFill="1" applyBorder="1" applyAlignment="1">
      <alignment horizontal="center" vertical="center"/>
    </xf>
    <xf numFmtId="37" fontId="413" fillId="40" borderId="0" xfId="1299" applyNumberFormat="1" applyFont="1" applyFill="1" applyBorder="1" applyAlignment="1">
      <alignment horizontal="center"/>
    </xf>
    <xf numFmtId="166" fontId="393" fillId="41" borderId="531" xfId="1299" applyNumberFormat="1" applyFont="1" applyFill="1" applyBorder="1" applyAlignment="1">
      <alignment horizontal="center" vertical="center"/>
    </xf>
    <xf numFmtId="166" fontId="393" fillId="41" borderId="472" xfId="1299" applyNumberFormat="1" applyFont="1" applyFill="1" applyBorder="1" applyAlignment="1">
      <alignment horizontal="center" vertical="center"/>
    </xf>
    <xf numFmtId="9" fontId="414" fillId="41" borderId="532" xfId="1299" applyNumberFormat="1" applyFont="1" applyFill="1" applyBorder="1" applyAlignment="1">
      <alignment horizontal="center" vertical="center"/>
    </xf>
    <xf numFmtId="166" fontId="399" fillId="41" borderId="531" xfId="1299" applyNumberFormat="1" applyFont="1" applyFill="1" applyBorder="1" applyAlignment="1">
      <alignment horizontal="center" vertical="center"/>
    </xf>
    <xf numFmtId="166" fontId="399" fillId="41" borderId="472" xfId="1299" applyNumberFormat="1" applyFont="1" applyFill="1" applyBorder="1" applyAlignment="1">
      <alignment horizontal="center" vertical="center"/>
    </xf>
    <xf numFmtId="166" fontId="399" fillId="41" borderId="532" xfId="1299" applyNumberFormat="1" applyFont="1" applyFill="1" applyBorder="1" applyAlignment="1">
      <alignment horizontal="center" vertical="center"/>
    </xf>
    <xf numFmtId="0" fontId="391" fillId="40" borderId="0" xfId="1299" applyFont="1" applyFill="1" applyBorder="1"/>
    <xf numFmtId="166" fontId="393" fillId="41" borderId="538" xfId="1299" applyNumberFormat="1" applyFont="1" applyFill="1" applyBorder="1" applyAlignment="1">
      <alignment horizontal="center" vertical="center"/>
    </xf>
    <xf numFmtId="166" fontId="393" fillId="41" borderId="539" xfId="1299" applyNumberFormat="1" applyFont="1" applyFill="1" applyBorder="1" applyAlignment="1">
      <alignment horizontal="center" vertical="center"/>
    </xf>
    <xf numFmtId="9" fontId="414" fillId="41" borderId="540" xfId="1299" applyNumberFormat="1" applyFont="1" applyFill="1" applyBorder="1" applyAlignment="1">
      <alignment horizontal="center" vertical="center"/>
    </xf>
    <xf numFmtId="166" fontId="399" fillId="41" borderId="538" xfId="1299" applyNumberFormat="1" applyFont="1" applyFill="1" applyBorder="1" applyAlignment="1">
      <alignment horizontal="center" vertical="center"/>
    </xf>
    <xf numFmtId="166" fontId="399" fillId="41" borderId="539" xfId="1299" applyNumberFormat="1" applyFont="1" applyFill="1" applyBorder="1" applyAlignment="1">
      <alignment horizontal="center" vertical="center"/>
    </xf>
    <xf numFmtId="166" fontId="399" fillId="41" borderId="540" xfId="1299" applyNumberFormat="1" applyFont="1" applyFill="1" applyBorder="1" applyAlignment="1">
      <alignment horizontal="center" vertical="center"/>
    </xf>
    <xf numFmtId="166" fontId="393" fillId="41" borderId="524" xfId="1299" applyNumberFormat="1" applyFont="1" applyFill="1" applyBorder="1" applyAlignment="1">
      <alignment horizontal="center" vertical="center"/>
    </xf>
    <xf numFmtId="166" fontId="393" fillId="41" borderId="486" xfId="1299" applyNumberFormat="1" applyFont="1" applyFill="1" applyBorder="1" applyAlignment="1">
      <alignment horizontal="center" vertical="center"/>
    </xf>
    <xf numFmtId="9" fontId="414" fillId="41" borderId="525" xfId="1299" applyNumberFormat="1" applyFont="1" applyFill="1" applyBorder="1" applyAlignment="1">
      <alignment horizontal="center" vertical="center"/>
    </xf>
    <xf numFmtId="166" fontId="399" fillId="41" borderId="524" xfId="1299" applyNumberFormat="1" applyFont="1" applyFill="1" applyBorder="1" applyAlignment="1">
      <alignment horizontal="center" vertical="center"/>
    </xf>
    <xf numFmtId="166" fontId="399" fillId="41" borderId="486" xfId="1299" applyNumberFormat="1" applyFont="1" applyFill="1" applyBorder="1" applyAlignment="1">
      <alignment horizontal="center" vertical="center"/>
    </xf>
    <xf numFmtId="166" fontId="399" fillId="41" borderId="525" xfId="1299" applyNumberFormat="1" applyFont="1" applyFill="1" applyBorder="1" applyAlignment="1">
      <alignment horizontal="center" vertical="center"/>
    </xf>
    <xf numFmtId="166" fontId="399" fillId="41" borderId="541" xfId="1299" applyNumberFormat="1" applyFont="1" applyFill="1" applyBorder="1" applyAlignment="1">
      <alignment horizontal="center" vertical="center"/>
    </xf>
    <xf numFmtId="166" fontId="399" fillId="41" borderId="542" xfId="1299" applyNumberFormat="1" applyFont="1" applyFill="1" applyBorder="1" applyAlignment="1">
      <alignment horizontal="center" vertical="center"/>
    </xf>
    <xf numFmtId="166" fontId="399" fillId="41" borderId="543" xfId="1299" applyNumberFormat="1" applyFont="1" applyFill="1" applyBorder="1" applyAlignment="1">
      <alignment horizontal="center" vertical="center"/>
    </xf>
    <xf numFmtId="166" fontId="399" fillId="41" borderId="544" xfId="1299" applyNumberFormat="1" applyFont="1" applyFill="1" applyBorder="1" applyAlignment="1">
      <alignment horizontal="center" vertical="center"/>
    </xf>
    <xf numFmtId="166" fontId="399" fillId="41" borderId="545" xfId="1299" applyNumberFormat="1" applyFont="1" applyFill="1" applyBorder="1" applyAlignment="1">
      <alignment horizontal="center" vertical="center"/>
    </xf>
    <xf numFmtId="166" fontId="409" fillId="52" borderId="549" xfId="1299" applyNumberFormat="1" applyFont="1" applyFill="1" applyBorder="1" applyAlignment="1">
      <alignment horizontal="center" vertical="center"/>
    </xf>
    <xf numFmtId="166" fontId="409" fillId="52" borderId="550" xfId="1299" applyNumberFormat="1" applyFont="1" applyFill="1" applyBorder="1" applyAlignment="1">
      <alignment horizontal="center" vertical="center"/>
    </xf>
    <xf numFmtId="9" fontId="409" fillId="52" borderId="548" xfId="1299" applyNumberFormat="1" applyFont="1" applyFill="1" applyBorder="1" applyAlignment="1">
      <alignment horizontal="center" vertical="center"/>
    </xf>
    <xf numFmtId="166" fontId="409" fillId="52" borderId="551" xfId="1299" applyNumberFormat="1" applyFont="1" applyFill="1" applyBorder="1" applyAlignment="1">
      <alignment horizontal="center" vertical="center"/>
    </xf>
    <xf numFmtId="166" fontId="409" fillId="52" borderId="552" xfId="1299" applyNumberFormat="1" applyFont="1" applyFill="1" applyBorder="1" applyAlignment="1">
      <alignment horizontal="center" vertical="center"/>
    </xf>
    <xf numFmtId="166" fontId="409" fillId="52" borderId="553" xfId="1299" applyNumberFormat="1" applyFont="1" applyFill="1" applyBorder="1" applyAlignment="1">
      <alignment horizontal="center" vertical="center"/>
    </xf>
    <xf numFmtId="0" fontId="399" fillId="40" borderId="0" xfId="1299" applyFont="1" applyFill="1" applyBorder="1"/>
    <xf numFmtId="166" fontId="409" fillId="53" borderId="557" xfId="1299" applyNumberFormat="1" applyFont="1" applyFill="1" applyBorder="1" applyAlignment="1">
      <alignment horizontal="center" vertical="center"/>
    </xf>
    <xf numFmtId="9" fontId="409" fillId="53" borderId="557" xfId="1299" applyNumberFormat="1" applyFont="1" applyFill="1" applyBorder="1" applyAlignment="1">
      <alignment horizontal="center" vertical="center"/>
    </xf>
    <xf numFmtId="0" fontId="417" fillId="40" borderId="0" xfId="1299" applyFont="1" applyFill="1" applyBorder="1" applyAlignment="1">
      <alignment vertical="center"/>
    </xf>
    <xf numFmtId="0" fontId="417" fillId="40" borderId="0" xfId="1299" applyFont="1" applyFill="1" applyAlignment="1">
      <alignment horizontal="center" vertical="center"/>
    </xf>
    <xf numFmtId="0" fontId="417" fillId="40" borderId="0" xfId="1299" applyFont="1" applyFill="1" applyBorder="1" applyAlignment="1">
      <alignment horizontal="center" vertical="center"/>
    </xf>
    <xf numFmtId="0" fontId="420" fillId="54" borderId="558" xfId="1299" applyFont="1" applyFill="1" applyBorder="1" applyAlignment="1">
      <alignment horizontal="left"/>
    </xf>
    <xf numFmtId="0" fontId="420" fillId="54" borderId="563" xfId="1299" applyFont="1" applyFill="1" applyBorder="1" applyAlignment="1">
      <alignment horizontal="left"/>
    </xf>
    <xf numFmtId="0" fontId="420" fillId="54" borderId="559" xfId="1299" applyFont="1" applyFill="1" applyBorder="1" applyAlignment="1">
      <alignment horizontal="left"/>
    </xf>
    <xf numFmtId="166" fontId="421" fillId="41" borderId="568" xfId="1299" applyNumberFormat="1" applyFont="1" applyFill="1" applyBorder="1" applyAlignment="1">
      <alignment horizontal="center" vertical="center"/>
    </xf>
    <xf numFmtId="166" fontId="421" fillId="41" borderId="569" xfId="1299" applyNumberFormat="1" applyFont="1" applyFill="1" applyBorder="1" applyAlignment="1">
      <alignment horizontal="center" vertical="center"/>
    </xf>
    <xf numFmtId="9" fontId="414" fillId="41" borderId="570" xfId="1299" applyNumberFormat="1" applyFont="1" applyFill="1" applyBorder="1" applyAlignment="1">
      <alignment horizontal="center" vertical="center"/>
    </xf>
    <xf numFmtId="166" fontId="393" fillId="41" borderId="571" xfId="1299" applyNumberFormat="1" applyFont="1" applyFill="1" applyBorder="1" applyAlignment="1">
      <alignment horizontal="center" vertical="center"/>
    </xf>
    <xf numFmtId="166" fontId="393" fillId="41" borderId="572" xfId="1299" applyNumberFormat="1" applyFont="1" applyFill="1" applyBorder="1" applyAlignment="1">
      <alignment horizontal="center" vertical="center"/>
    </xf>
    <xf numFmtId="166" fontId="393" fillId="41" borderId="573" xfId="1299" applyNumberFormat="1" applyFont="1" applyFill="1" applyBorder="1" applyAlignment="1">
      <alignment horizontal="center" vertical="center"/>
    </xf>
    <xf numFmtId="166" fontId="393" fillId="41" borderId="574" xfId="1299" applyNumberFormat="1" applyFont="1" applyFill="1" applyBorder="1" applyAlignment="1">
      <alignment horizontal="center" vertical="center"/>
    </xf>
    <xf numFmtId="0" fontId="393" fillId="40" borderId="0" xfId="1299" applyFont="1" applyFill="1" applyBorder="1"/>
    <xf numFmtId="166" fontId="421" fillId="41" borderId="575" xfId="1299" applyNumberFormat="1" applyFont="1" applyFill="1" applyBorder="1" applyAlignment="1">
      <alignment horizontal="center" vertical="center"/>
    </xf>
    <xf numFmtId="166" fontId="421" fillId="41" borderId="576" xfId="1299" applyNumberFormat="1" applyFont="1" applyFill="1" applyBorder="1" applyAlignment="1">
      <alignment horizontal="center" vertical="center"/>
    </xf>
    <xf numFmtId="9" fontId="414" fillId="41" borderId="577" xfId="1299" applyNumberFormat="1" applyFont="1" applyFill="1" applyBorder="1" applyAlignment="1">
      <alignment horizontal="center" vertical="center"/>
    </xf>
    <xf numFmtId="166" fontId="393" fillId="41" borderId="579" xfId="1299" applyNumberFormat="1" applyFont="1" applyFill="1" applyBorder="1" applyAlignment="1">
      <alignment horizontal="center" vertical="center"/>
    </xf>
    <xf numFmtId="166" fontId="393" fillId="41" borderId="580" xfId="1299" applyNumberFormat="1" applyFont="1" applyFill="1" applyBorder="1" applyAlignment="1">
      <alignment horizontal="center" vertical="center"/>
    </xf>
    <xf numFmtId="166" fontId="409" fillId="54" borderId="583" xfId="1299" applyNumberFormat="1" applyFont="1" applyFill="1" applyBorder="1" applyAlignment="1">
      <alignment horizontal="center" vertical="center"/>
    </xf>
    <xf numFmtId="166" fontId="409" fillId="54" borderId="584" xfId="1299" applyNumberFormat="1" applyFont="1" applyFill="1" applyBorder="1" applyAlignment="1">
      <alignment horizontal="center" vertical="center"/>
    </xf>
    <xf numFmtId="9" fontId="409" fillId="54" borderId="585" xfId="1299" applyNumberFormat="1" applyFont="1" applyFill="1" applyBorder="1" applyAlignment="1">
      <alignment horizontal="center" vertical="center"/>
    </xf>
    <xf numFmtId="166" fontId="409" fillId="54" borderId="586" xfId="1299" applyNumberFormat="1" applyFont="1" applyFill="1" applyBorder="1" applyAlignment="1">
      <alignment horizontal="center" vertical="center"/>
    </xf>
    <xf numFmtId="166" fontId="409" fillId="54" borderId="587" xfId="1299" applyNumberFormat="1" applyFont="1" applyFill="1" applyBorder="1" applyAlignment="1">
      <alignment horizontal="center" vertical="center"/>
    </xf>
    <xf numFmtId="166" fontId="409" fillId="54" borderId="588" xfId="1299" applyNumberFormat="1" applyFont="1" applyFill="1" applyBorder="1" applyAlignment="1">
      <alignment horizontal="center" vertical="center"/>
    </xf>
    <xf numFmtId="166" fontId="409" fillId="54" borderId="589" xfId="1299" applyNumberFormat="1" applyFont="1" applyFill="1" applyBorder="1" applyAlignment="1">
      <alignment horizontal="center" vertical="center"/>
    </xf>
    <xf numFmtId="169" fontId="391" fillId="40" borderId="0" xfId="1299" applyNumberFormat="1" applyFont="1" applyFill="1" applyBorder="1"/>
    <xf numFmtId="2" fontId="423" fillId="55" borderId="591" xfId="1299" applyNumberFormat="1" applyFont="1" applyFill="1" applyBorder="1" applyAlignment="1">
      <alignment horizontal="center" vertical="center"/>
    </xf>
    <xf numFmtId="10" fontId="424" fillId="55" borderId="543" xfId="1299" applyNumberFormat="1" applyFont="1" applyFill="1" applyBorder="1" applyAlignment="1">
      <alignment horizontal="center" vertical="center"/>
    </xf>
    <xf numFmtId="9" fontId="425" fillId="55" borderId="592" xfId="1299" applyNumberFormat="1" applyFont="1" applyFill="1" applyBorder="1" applyAlignment="1">
      <alignment horizontal="center" vertical="center"/>
    </xf>
    <xf numFmtId="166" fontId="393" fillId="41" borderId="593" xfId="1299" applyNumberFormat="1" applyFont="1" applyFill="1" applyBorder="1" applyAlignment="1">
      <alignment horizontal="center" vertical="center"/>
    </xf>
    <xf numFmtId="166" fontId="393" fillId="41" borderId="594" xfId="1299" applyNumberFormat="1" applyFont="1" applyFill="1" applyBorder="1" applyAlignment="1">
      <alignment horizontal="center" vertical="center"/>
    </xf>
    <xf numFmtId="166" fontId="393" fillId="41" borderId="595" xfId="1299" applyNumberFormat="1" applyFont="1" applyFill="1" applyBorder="1" applyAlignment="1">
      <alignment horizontal="center" vertical="center"/>
    </xf>
    <xf numFmtId="2" fontId="423" fillId="55" borderId="596" xfId="1299" applyNumberFormat="1" applyFont="1" applyFill="1" applyBorder="1" applyAlignment="1">
      <alignment horizontal="center" vertical="center"/>
    </xf>
    <xf numFmtId="2" fontId="423" fillId="55" borderId="599" xfId="1299" applyNumberFormat="1" applyFont="1" applyFill="1" applyBorder="1" applyAlignment="1">
      <alignment horizontal="center" vertical="center"/>
    </xf>
    <xf numFmtId="9" fontId="425" fillId="55" borderId="597" xfId="1299" applyNumberFormat="1" applyFont="1" applyFill="1" applyBorder="1" applyAlignment="1">
      <alignment horizontal="center" vertical="center"/>
    </xf>
    <xf numFmtId="2" fontId="423" fillId="41" borderId="600" xfId="1299" applyNumberFormat="1" applyFont="1" applyFill="1" applyBorder="1" applyAlignment="1">
      <alignment horizontal="center" vertical="center"/>
    </xf>
    <xf numFmtId="2" fontId="423" fillId="41" borderId="601" xfId="1299" applyNumberFormat="1" applyFont="1" applyFill="1" applyBorder="1" applyAlignment="1">
      <alignment horizontal="center" vertical="center"/>
    </xf>
    <xf numFmtId="2" fontId="423" fillId="41" borderId="602" xfId="1299" applyNumberFormat="1" applyFont="1" applyFill="1" applyBorder="1" applyAlignment="1">
      <alignment horizontal="center" vertical="center"/>
    </xf>
    <xf numFmtId="0" fontId="399" fillId="40" borderId="0" xfId="1299" applyFont="1" applyFill="1"/>
    <xf numFmtId="166" fontId="409" fillId="48" borderId="606" xfId="1299" applyNumberFormat="1" applyFont="1" applyFill="1" applyBorder="1" applyAlignment="1">
      <alignment horizontal="center" vertical="center"/>
    </xf>
    <xf numFmtId="166" fontId="409" fillId="48" borderId="607" xfId="1299" applyNumberFormat="1" applyFont="1" applyFill="1" applyBorder="1" applyAlignment="1">
      <alignment horizontal="center" vertical="center"/>
    </xf>
    <xf numFmtId="0" fontId="426" fillId="48" borderId="608" xfId="1299" applyFont="1" applyFill="1" applyBorder="1"/>
    <xf numFmtId="166" fontId="409" fillId="48" borderId="609" xfId="1299" applyNumberFormat="1" applyFont="1" applyFill="1" applyBorder="1" applyAlignment="1">
      <alignment horizontal="center" vertical="center"/>
    </xf>
    <xf numFmtId="0" fontId="426" fillId="48" borderId="609" xfId="1299" applyFont="1" applyFill="1" applyBorder="1"/>
    <xf numFmtId="0" fontId="412" fillId="40" borderId="0" xfId="1299" applyFont="1" applyFill="1" applyBorder="1"/>
    <xf numFmtId="10" fontId="424" fillId="55" borderId="618" xfId="1299" applyNumberFormat="1" applyFont="1" applyFill="1" applyBorder="1" applyAlignment="1">
      <alignment horizontal="center" vertical="center"/>
    </xf>
    <xf numFmtId="9" fontId="425" fillId="55" borderId="619" xfId="1299" applyNumberFormat="1" applyFont="1" applyFill="1" applyBorder="1" applyAlignment="1">
      <alignment horizontal="center" vertical="center"/>
    </xf>
    <xf numFmtId="10" fontId="424" fillId="41" borderId="615" xfId="1299" applyNumberFormat="1" applyFont="1" applyFill="1" applyBorder="1" applyAlignment="1">
      <alignment horizontal="center" vertical="center"/>
    </xf>
    <xf numFmtId="10" fontId="424" fillId="41" borderId="620" xfId="1299" applyNumberFormat="1" applyFont="1" applyFill="1" applyBorder="1" applyAlignment="1">
      <alignment horizontal="center" vertical="center"/>
    </xf>
    <xf numFmtId="10" fontId="424" fillId="41" borderId="621" xfId="1299" applyNumberFormat="1" applyFont="1" applyFill="1" applyBorder="1" applyAlignment="1">
      <alignment horizontal="center" vertical="center"/>
    </xf>
    <xf numFmtId="10" fontId="424" fillId="41" borderId="622" xfId="1299" applyNumberFormat="1" applyFont="1" applyFill="1" applyBorder="1" applyAlignment="1">
      <alignment horizontal="center" vertical="center"/>
    </xf>
    <xf numFmtId="10" fontId="424" fillId="41" borderId="623" xfId="1299" applyNumberFormat="1" applyFont="1" applyFill="1" applyBorder="1" applyAlignment="1">
      <alignment horizontal="center" vertical="center"/>
    </xf>
    <xf numFmtId="10" fontId="424" fillId="41" borderId="624" xfId="1299" applyNumberFormat="1" applyFont="1" applyFill="1" applyBorder="1" applyAlignment="1">
      <alignment horizontal="center" vertical="center"/>
    </xf>
    <xf numFmtId="10" fontId="424" fillId="41" borderId="625" xfId="1299" applyNumberFormat="1" applyFont="1" applyFill="1" applyBorder="1" applyAlignment="1">
      <alignment horizontal="center" vertical="center"/>
    </xf>
    <xf numFmtId="10" fontId="424" fillId="41" borderId="626" xfId="1299" applyNumberFormat="1" applyFont="1" applyFill="1" applyBorder="1" applyAlignment="1">
      <alignment horizontal="center" vertical="center"/>
    </xf>
    <xf numFmtId="10" fontId="424" fillId="41" borderId="627" xfId="1299" applyNumberFormat="1" applyFont="1" applyFill="1" applyBorder="1" applyAlignment="1">
      <alignment horizontal="center" vertical="center"/>
    </xf>
    <xf numFmtId="10" fontId="424" fillId="55" borderId="631" xfId="1299" applyNumberFormat="1" applyFont="1" applyFill="1" applyBorder="1" applyAlignment="1">
      <alignment horizontal="center" vertical="center"/>
    </xf>
    <xf numFmtId="10" fontId="424" fillId="55" borderId="632" xfId="1299" applyNumberFormat="1" applyFont="1" applyFill="1" applyBorder="1" applyAlignment="1">
      <alignment horizontal="center" vertical="center"/>
    </xf>
    <xf numFmtId="9" fontId="425" fillId="55" borderId="633" xfId="1299" applyNumberFormat="1" applyFont="1" applyFill="1" applyBorder="1" applyAlignment="1">
      <alignment horizontal="center" vertical="center"/>
    </xf>
    <xf numFmtId="2" fontId="424" fillId="41" borderId="628" xfId="1299" applyNumberFormat="1" applyFont="1" applyFill="1" applyBorder="1" applyAlignment="1">
      <alignment horizontal="center" vertical="center"/>
    </xf>
    <xf numFmtId="2" fontId="424" fillId="41" borderId="634" xfId="1299" applyNumberFormat="1" applyFont="1" applyFill="1" applyBorder="1" applyAlignment="1">
      <alignment horizontal="center" vertical="center"/>
    </xf>
    <xf numFmtId="2" fontId="424" fillId="41" borderId="635" xfId="1299" applyNumberFormat="1" applyFont="1" applyFill="1" applyBorder="1" applyAlignment="1">
      <alignment horizontal="center" vertical="center"/>
    </xf>
    <xf numFmtId="2" fontId="424" fillId="41" borderId="636" xfId="1299" applyNumberFormat="1" applyFont="1" applyFill="1" applyBorder="1" applyAlignment="1">
      <alignment horizontal="center" vertical="center"/>
    </xf>
    <xf numFmtId="2" fontId="424" fillId="41" borderId="637" xfId="1299" applyNumberFormat="1" applyFont="1" applyFill="1" applyBorder="1" applyAlignment="1">
      <alignment horizontal="center" vertical="center"/>
    </xf>
    <xf numFmtId="2" fontId="424" fillId="41" borderId="638" xfId="1299" applyNumberFormat="1" applyFont="1" applyFill="1" applyBorder="1" applyAlignment="1">
      <alignment horizontal="center" vertical="center"/>
    </xf>
    <xf numFmtId="2" fontId="424" fillId="41" borderId="639" xfId="1299" applyNumberFormat="1" applyFont="1" applyFill="1" applyBorder="1" applyAlignment="1">
      <alignment horizontal="center" vertical="center"/>
    </xf>
    <xf numFmtId="2" fontId="424" fillId="41" borderId="640" xfId="1299" applyNumberFormat="1" applyFont="1" applyFill="1" applyBorder="1" applyAlignment="1">
      <alignment horizontal="center" vertical="center"/>
    </xf>
    <xf numFmtId="2" fontId="424" fillId="41" borderId="641" xfId="1299" applyNumberFormat="1" applyFont="1" applyFill="1" applyBorder="1" applyAlignment="1">
      <alignment horizontal="center" vertical="center"/>
    </xf>
    <xf numFmtId="0" fontId="417" fillId="40" borderId="0" xfId="1299" applyFont="1" applyFill="1" applyBorder="1"/>
    <xf numFmtId="0" fontId="391" fillId="40" borderId="0" xfId="1299" applyFont="1" applyFill="1" applyBorder="1" applyAlignment="1"/>
    <xf numFmtId="166" fontId="409" fillId="48" borderId="645" xfId="1299" applyNumberFormat="1" applyFont="1" applyFill="1" applyBorder="1" applyAlignment="1">
      <alignment horizontal="center" vertical="center"/>
    </xf>
    <xf numFmtId="166" fontId="409" fillId="48" borderId="646" xfId="1299" applyNumberFormat="1" applyFont="1" applyFill="1" applyBorder="1" applyAlignment="1">
      <alignment horizontal="center" vertical="center"/>
    </xf>
    <xf numFmtId="0" fontId="426" fillId="48" borderId="647" xfId="1299" applyFont="1" applyFill="1" applyBorder="1"/>
    <xf numFmtId="166" fontId="428" fillId="48" borderId="648" xfId="1299" applyNumberFormat="1" applyFont="1" applyFill="1" applyBorder="1" applyAlignment="1">
      <alignment horizontal="center" vertical="center"/>
    </xf>
    <xf numFmtId="166" fontId="428" fillId="48" borderId="649" xfId="1299" applyNumberFormat="1" applyFont="1" applyFill="1" applyBorder="1" applyAlignment="1">
      <alignment horizontal="center" vertical="center"/>
    </xf>
    <xf numFmtId="166" fontId="428" fillId="48" borderId="650" xfId="1299" applyNumberFormat="1" applyFont="1" applyFill="1" applyBorder="1" applyAlignment="1">
      <alignment horizontal="center" vertical="center"/>
    </xf>
    <xf numFmtId="37" fontId="391" fillId="40" borderId="0" xfId="1299" applyNumberFormat="1" applyFont="1" applyFill="1" applyBorder="1" applyAlignment="1">
      <alignment horizontal="center"/>
    </xf>
    <xf numFmtId="166" fontId="412" fillId="41" borderId="654" xfId="1299" applyNumberFormat="1" applyFont="1" applyFill="1" applyBorder="1" applyAlignment="1">
      <alignment horizontal="center" vertical="center"/>
    </xf>
    <xf numFmtId="166" fontId="412" fillId="41" borderId="655" xfId="1299" applyNumberFormat="1" applyFont="1" applyFill="1" applyBorder="1" applyAlignment="1">
      <alignment horizontal="center" vertical="center"/>
    </xf>
    <xf numFmtId="9" fontId="425" fillId="55" borderId="656" xfId="1299" applyNumberFormat="1" applyFont="1" applyFill="1" applyBorder="1" applyAlignment="1">
      <alignment horizontal="center" vertical="center"/>
    </xf>
    <xf numFmtId="166" fontId="391" fillId="41" borderId="651" xfId="1299" applyNumberFormat="1" applyFont="1" applyFill="1" applyBorder="1" applyAlignment="1">
      <alignment horizontal="center" vertical="center"/>
    </xf>
    <xf numFmtId="166" fontId="391" fillId="41" borderId="657" xfId="1299" applyNumberFormat="1" applyFont="1" applyFill="1" applyBorder="1" applyAlignment="1">
      <alignment horizontal="center" vertical="center"/>
    </xf>
    <xf numFmtId="166" fontId="391" fillId="41" borderId="658" xfId="1299" applyNumberFormat="1" applyFont="1" applyFill="1" applyBorder="1" applyAlignment="1">
      <alignment horizontal="center" vertical="center"/>
    </xf>
    <xf numFmtId="166" fontId="391" fillId="41" borderId="659" xfId="1299" applyNumberFormat="1" applyFont="1" applyFill="1" applyBorder="1" applyAlignment="1">
      <alignment horizontal="center" vertical="center"/>
    </xf>
    <xf numFmtId="166" fontId="391" fillId="41" borderId="660" xfId="1299" applyNumberFormat="1" applyFont="1" applyFill="1" applyBorder="1" applyAlignment="1">
      <alignment horizontal="center" vertical="center"/>
    </xf>
    <xf numFmtId="166" fontId="391" fillId="41" borderId="661" xfId="1299" applyNumberFormat="1" applyFont="1" applyFill="1" applyBorder="1" applyAlignment="1">
      <alignment horizontal="center" vertical="center"/>
    </xf>
    <xf numFmtId="166" fontId="412" fillId="41" borderId="663" xfId="1299" applyNumberFormat="1" applyFont="1" applyFill="1" applyBorder="1" applyAlignment="1">
      <alignment horizontal="center" vertical="center"/>
    </xf>
    <xf numFmtId="166" fontId="412" fillId="41" borderId="664" xfId="1299" applyNumberFormat="1" applyFont="1" applyFill="1" applyBorder="1" applyAlignment="1">
      <alignment horizontal="center" vertical="center"/>
    </xf>
    <xf numFmtId="166" fontId="391" fillId="41" borderId="631" xfId="1299" applyNumberFormat="1" applyFont="1" applyFill="1" applyBorder="1" applyAlignment="1">
      <alignment horizontal="center" vertical="center"/>
    </xf>
    <xf numFmtId="166" fontId="391" fillId="41" borderId="665" xfId="1299" applyNumberFormat="1" applyFont="1" applyFill="1" applyBorder="1" applyAlignment="1">
      <alignment horizontal="center" vertical="center"/>
    </xf>
    <xf numFmtId="166" fontId="391" fillId="41" borderId="632" xfId="1299" applyNumberFormat="1" applyFont="1" applyFill="1" applyBorder="1" applyAlignment="1">
      <alignment horizontal="center" vertical="center"/>
    </xf>
    <xf numFmtId="166" fontId="391" fillId="41" borderId="666" xfId="1299" applyNumberFormat="1" applyFont="1" applyFill="1" applyBorder="1" applyAlignment="1">
      <alignment horizontal="center" vertical="center"/>
    </xf>
    <xf numFmtId="166" fontId="391" fillId="41" borderId="667" xfId="1299" applyNumberFormat="1" applyFont="1" applyFill="1" applyBorder="1" applyAlignment="1">
      <alignment horizontal="center" vertical="center"/>
    </xf>
    <xf numFmtId="166" fontId="391" fillId="41" borderId="668" xfId="1299" applyNumberFormat="1" applyFont="1" applyFill="1" applyBorder="1" applyAlignment="1">
      <alignment horizontal="center" vertical="center"/>
    </xf>
    <xf numFmtId="9" fontId="425" fillId="55" borderId="618" xfId="1299" applyNumberFormat="1" applyFont="1" applyFill="1" applyBorder="1" applyAlignment="1">
      <alignment horizontal="center" vertical="center"/>
    </xf>
    <xf numFmtId="9" fontId="425" fillId="55" borderId="542" xfId="1299" applyNumberFormat="1" applyFont="1" applyFill="1" applyBorder="1" applyAlignment="1">
      <alignment horizontal="center" vertical="center"/>
    </xf>
    <xf numFmtId="9" fontId="425" fillId="55" borderId="669" xfId="1299" applyNumberFormat="1" applyFont="1" applyFill="1" applyBorder="1" applyAlignment="1">
      <alignment horizontal="center" vertical="center"/>
    </xf>
    <xf numFmtId="10" fontId="424" fillId="41" borderId="618" xfId="1299" applyNumberFormat="1" applyFont="1" applyFill="1" applyBorder="1" applyAlignment="1">
      <alignment horizontal="center" vertical="center"/>
    </xf>
    <xf numFmtId="10" fontId="424" fillId="41" borderId="670" xfId="1299" applyNumberFormat="1" applyFont="1" applyFill="1" applyBorder="1" applyAlignment="1">
      <alignment horizontal="center" vertical="center"/>
    </xf>
    <xf numFmtId="10" fontId="424" fillId="41" borderId="543" xfId="1299" applyNumberFormat="1" applyFont="1" applyFill="1" applyBorder="1" applyAlignment="1">
      <alignment horizontal="center" vertical="center"/>
    </xf>
    <xf numFmtId="10" fontId="424" fillId="41" borderId="671" xfId="1299" applyNumberFormat="1" applyFont="1" applyFill="1" applyBorder="1" applyAlignment="1">
      <alignment horizontal="center" vertical="center"/>
    </xf>
    <xf numFmtId="10" fontId="424" fillId="41" borderId="542" xfId="1299" applyNumberFormat="1" applyFont="1" applyFill="1" applyBorder="1" applyAlignment="1">
      <alignment horizontal="center" vertical="center"/>
    </xf>
    <xf numFmtId="10" fontId="424" fillId="41" borderId="672" xfId="1299" applyNumberFormat="1" applyFont="1" applyFill="1" applyBorder="1" applyAlignment="1">
      <alignment horizontal="center" vertical="center"/>
    </xf>
    <xf numFmtId="10" fontId="424" fillId="41" borderId="669" xfId="1299" applyNumberFormat="1" applyFont="1" applyFill="1" applyBorder="1" applyAlignment="1">
      <alignment horizontal="center" vertical="center"/>
    </xf>
    <xf numFmtId="9" fontId="425" fillId="55" borderId="631" xfId="1299" applyNumberFormat="1" applyFont="1" applyFill="1" applyBorder="1" applyAlignment="1">
      <alignment horizontal="center" vertical="center"/>
    </xf>
    <xf numFmtId="9" fontId="425" fillId="55" borderId="673" xfId="1299" applyNumberFormat="1" applyFont="1" applyFill="1" applyBorder="1" applyAlignment="1">
      <alignment horizontal="center" vertical="center"/>
    </xf>
    <xf numFmtId="9" fontId="425" fillId="55" borderId="668" xfId="1299" applyNumberFormat="1" applyFont="1" applyFill="1" applyBorder="1" applyAlignment="1">
      <alignment horizontal="center" vertical="center"/>
    </xf>
    <xf numFmtId="10" fontId="424" fillId="41" borderId="628" xfId="1299" applyNumberFormat="1" applyFont="1" applyFill="1" applyBorder="1" applyAlignment="1">
      <alignment horizontal="center" vertical="center"/>
    </xf>
    <xf numFmtId="10" fontId="424" fillId="41" borderId="634" xfId="1299" applyNumberFormat="1" applyFont="1" applyFill="1" applyBorder="1" applyAlignment="1">
      <alignment horizontal="center" vertical="center"/>
    </xf>
    <xf numFmtId="10" fontId="424" fillId="41" borderId="635" xfId="1299" applyNumberFormat="1" applyFont="1" applyFill="1" applyBorder="1" applyAlignment="1">
      <alignment horizontal="center" vertical="center"/>
    </xf>
    <xf numFmtId="10" fontId="424" fillId="41" borderId="636" xfId="1299" applyNumberFormat="1" applyFont="1" applyFill="1" applyBorder="1" applyAlignment="1">
      <alignment horizontal="center" vertical="center"/>
    </xf>
    <xf numFmtId="10" fontId="424" fillId="41" borderId="637" xfId="1299" applyNumberFormat="1" applyFont="1" applyFill="1" applyBorder="1" applyAlignment="1">
      <alignment horizontal="center" vertical="center"/>
    </xf>
    <xf numFmtId="10" fontId="424" fillId="41" borderId="638" xfId="1299" applyNumberFormat="1" applyFont="1" applyFill="1" applyBorder="1" applyAlignment="1">
      <alignment horizontal="center" vertical="center"/>
    </xf>
    <xf numFmtId="10" fontId="424" fillId="41" borderId="639" xfId="1299" applyNumberFormat="1" applyFont="1" applyFill="1" applyBorder="1" applyAlignment="1">
      <alignment horizontal="center" vertical="center"/>
    </xf>
    <xf numFmtId="10" fontId="424" fillId="41" borderId="640" xfId="1299" applyNumberFormat="1" applyFont="1" applyFill="1" applyBorder="1" applyAlignment="1">
      <alignment horizontal="center" vertical="center"/>
    </xf>
    <xf numFmtId="10" fontId="424" fillId="41" borderId="641" xfId="1299" applyNumberFormat="1" applyFont="1" applyFill="1" applyBorder="1" applyAlignment="1">
      <alignment horizontal="center" vertical="center"/>
    </xf>
    <xf numFmtId="37" fontId="426" fillId="40" borderId="0" xfId="1299" applyNumberFormat="1" applyFont="1" applyFill="1" applyBorder="1" applyAlignment="1">
      <alignment horizontal="center"/>
    </xf>
    <xf numFmtId="166" fontId="412" fillId="41" borderId="677" xfId="1299" applyNumberFormat="1" applyFont="1" applyFill="1" applyBorder="1" applyAlignment="1">
      <alignment horizontal="center" vertical="center"/>
    </xf>
    <xf numFmtId="166" fontId="412" fillId="41" borderId="678" xfId="1299" applyNumberFormat="1" applyFont="1" applyFill="1" applyBorder="1" applyAlignment="1">
      <alignment horizontal="center" vertical="center"/>
    </xf>
    <xf numFmtId="166" fontId="391" fillId="41" borderId="674" xfId="1299" applyNumberFormat="1" applyFont="1" applyFill="1" applyBorder="1" applyAlignment="1">
      <alignment horizontal="center" vertical="center"/>
    </xf>
    <xf numFmtId="166" fontId="391" fillId="41" borderId="679" xfId="1299" applyNumberFormat="1" applyFont="1" applyFill="1" applyBorder="1" applyAlignment="1">
      <alignment horizontal="center" vertical="center"/>
    </xf>
    <xf numFmtId="166" fontId="391" fillId="41" borderId="680" xfId="1299" applyNumberFormat="1" applyFont="1" applyFill="1" applyBorder="1" applyAlignment="1">
      <alignment horizontal="center" vertical="center"/>
    </xf>
    <xf numFmtId="166" fontId="391" fillId="41" borderId="681" xfId="1299" applyNumberFormat="1" applyFont="1" applyFill="1" applyBorder="1" applyAlignment="1">
      <alignment horizontal="center" vertical="center"/>
    </xf>
    <xf numFmtId="166" fontId="391" fillId="41" borderId="682" xfId="1299" applyNumberFormat="1" applyFont="1" applyFill="1" applyBorder="1" applyAlignment="1">
      <alignment horizontal="center" vertical="center"/>
    </xf>
    <xf numFmtId="166" fontId="391" fillId="41" borderId="683" xfId="1299" applyNumberFormat="1" applyFont="1" applyFill="1" applyBorder="1" applyAlignment="1">
      <alignment horizontal="center" vertical="center"/>
    </xf>
    <xf numFmtId="166" fontId="412" fillId="41" borderId="686" xfId="1299" applyNumberFormat="1" applyFont="1" applyFill="1" applyBorder="1" applyAlignment="1">
      <alignment horizontal="center" vertical="center"/>
    </xf>
    <xf numFmtId="166" fontId="412" fillId="41" borderId="444" xfId="1299" applyNumberFormat="1" applyFont="1" applyFill="1" applyBorder="1" applyAlignment="1">
      <alignment horizontal="center" vertical="center"/>
    </xf>
    <xf numFmtId="166" fontId="391" fillId="41" borderId="684" xfId="1299" applyNumberFormat="1" applyFont="1" applyFill="1" applyBorder="1" applyAlignment="1">
      <alignment horizontal="center" vertical="center"/>
    </xf>
    <xf numFmtId="166" fontId="391" fillId="41" borderId="687" xfId="1299" applyNumberFormat="1" applyFont="1" applyFill="1" applyBorder="1" applyAlignment="1">
      <alignment horizontal="center" vertical="center"/>
    </xf>
    <xf numFmtId="166" fontId="391" fillId="41" borderId="688" xfId="1299" applyNumberFormat="1" applyFont="1" applyFill="1" applyBorder="1" applyAlignment="1">
      <alignment horizontal="center" vertical="center"/>
    </xf>
    <xf numFmtId="166" fontId="391" fillId="41" borderId="689" xfId="1299" applyNumberFormat="1" applyFont="1" applyFill="1" applyBorder="1" applyAlignment="1">
      <alignment horizontal="center" vertical="center"/>
    </xf>
    <xf numFmtId="166" fontId="391" fillId="41" borderId="690" xfId="1299" applyNumberFormat="1" applyFont="1" applyFill="1" applyBorder="1" applyAlignment="1">
      <alignment horizontal="center" vertical="center"/>
    </xf>
    <xf numFmtId="166" fontId="391" fillId="41" borderId="691" xfId="1299" applyNumberFormat="1" applyFont="1" applyFill="1" applyBorder="1" applyAlignment="1">
      <alignment horizontal="center" vertical="center"/>
    </xf>
    <xf numFmtId="166" fontId="412" fillId="41" borderId="694" xfId="1299" applyNumberFormat="1" applyFont="1" applyFill="1" applyBorder="1" applyAlignment="1">
      <alignment horizontal="center" vertical="center"/>
    </xf>
    <xf numFmtId="166" fontId="412" fillId="41" borderId="695" xfId="1299" applyNumberFormat="1" applyFont="1" applyFill="1" applyBorder="1" applyAlignment="1">
      <alignment horizontal="center" vertical="center"/>
    </xf>
    <xf numFmtId="166" fontId="391" fillId="41" borderId="692" xfId="1299" applyNumberFormat="1" applyFont="1" applyFill="1" applyBorder="1" applyAlignment="1">
      <alignment horizontal="center" vertical="center"/>
    </xf>
    <xf numFmtId="166" fontId="391" fillId="41" borderId="696" xfId="1299" applyNumberFormat="1" applyFont="1" applyFill="1" applyBorder="1" applyAlignment="1">
      <alignment horizontal="center" vertical="center"/>
    </xf>
    <xf numFmtId="166" fontId="391" fillId="41" borderId="697" xfId="1299" applyNumberFormat="1" applyFont="1" applyFill="1" applyBorder="1" applyAlignment="1">
      <alignment horizontal="center" vertical="center"/>
    </xf>
    <xf numFmtId="166" fontId="391" fillId="41" borderId="698" xfId="1299" applyNumberFormat="1" applyFont="1" applyFill="1" applyBorder="1" applyAlignment="1">
      <alignment horizontal="center" vertical="center"/>
    </xf>
    <xf numFmtId="166" fontId="391" fillId="41" borderId="699" xfId="1299" applyNumberFormat="1" applyFont="1" applyFill="1" applyBorder="1" applyAlignment="1">
      <alignment horizontal="center" vertical="center"/>
    </xf>
    <xf numFmtId="166" fontId="391" fillId="41" borderId="700" xfId="1299" applyNumberFormat="1" applyFont="1" applyFill="1" applyBorder="1" applyAlignment="1">
      <alignment horizontal="center" vertical="center"/>
    </xf>
    <xf numFmtId="9" fontId="425" fillId="55" borderId="701" xfId="1299" applyNumberFormat="1" applyFont="1" applyFill="1" applyBorder="1" applyAlignment="1">
      <alignment horizontal="center" vertical="center"/>
    </xf>
    <xf numFmtId="166" fontId="391" fillId="41" borderId="702" xfId="1299" applyNumberFormat="1" applyFont="1" applyFill="1" applyBorder="1" applyAlignment="1">
      <alignment horizontal="center" vertical="center"/>
    </xf>
    <xf numFmtId="166" fontId="391" fillId="41" borderId="703" xfId="1299" applyNumberFormat="1" applyFont="1" applyFill="1" applyBorder="1" applyAlignment="1">
      <alignment horizontal="center" vertical="center"/>
    </xf>
    <xf numFmtId="166" fontId="391" fillId="41" borderId="704" xfId="1299" applyNumberFormat="1" applyFont="1" applyFill="1" applyBorder="1" applyAlignment="1">
      <alignment horizontal="center" vertical="center"/>
    </xf>
    <xf numFmtId="166" fontId="391" fillId="41" borderId="705" xfId="1299" applyNumberFormat="1" applyFont="1" applyFill="1" applyBorder="1" applyAlignment="1">
      <alignment horizontal="center" vertical="center"/>
    </xf>
    <xf numFmtId="166" fontId="391" fillId="41" borderId="706" xfId="1299" applyNumberFormat="1" applyFont="1" applyFill="1" applyBorder="1" applyAlignment="1">
      <alignment horizontal="center" vertical="center"/>
    </xf>
    <xf numFmtId="166" fontId="391" fillId="41" borderId="707" xfId="1299" applyNumberFormat="1" applyFont="1" applyFill="1" applyBorder="1" applyAlignment="1">
      <alignment horizontal="center" vertical="center"/>
    </xf>
    <xf numFmtId="9" fontId="425" fillId="55" borderId="708" xfId="1299" applyNumberFormat="1" applyFont="1" applyFill="1" applyBorder="1" applyAlignment="1">
      <alignment horizontal="center" vertical="center"/>
    </xf>
    <xf numFmtId="10" fontId="424" fillId="41" borderId="709" xfId="1299" applyNumberFormat="1" applyFont="1" applyFill="1" applyBorder="1" applyAlignment="1">
      <alignment horizontal="center" vertical="center"/>
    </xf>
    <xf numFmtId="10" fontId="424" fillId="41" borderId="629" xfId="1299" applyNumberFormat="1" applyFont="1" applyFill="1" applyBorder="1" applyAlignment="1">
      <alignment horizontal="center" vertical="center"/>
    </xf>
    <xf numFmtId="166" fontId="412" fillId="41" borderId="712" xfId="1299" applyNumberFormat="1" applyFont="1" applyFill="1" applyBorder="1" applyAlignment="1">
      <alignment horizontal="center" vertical="center"/>
    </xf>
    <xf numFmtId="166" fontId="412" fillId="41" borderId="713" xfId="1299" applyNumberFormat="1" applyFont="1" applyFill="1" applyBorder="1" applyAlignment="1">
      <alignment horizontal="center" vertical="center"/>
    </xf>
    <xf numFmtId="9" fontId="425" fillId="55" borderId="702" xfId="1299" applyNumberFormat="1" applyFont="1" applyFill="1" applyBorder="1" applyAlignment="1">
      <alignment horizontal="center" vertical="center"/>
    </xf>
    <xf numFmtId="9" fontId="425" fillId="55" borderId="0" xfId="1299" applyNumberFormat="1" applyFont="1" applyFill="1" applyAlignment="1">
      <alignment horizontal="center" vertical="center"/>
    </xf>
    <xf numFmtId="10" fontId="424" fillId="41" borderId="716" xfId="1299" applyNumberFormat="1" applyFont="1" applyFill="1" applyBorder="1" applyAlignment="1">
      <alignment horizontal="center" vertical="center"/>
    </xf>
    <xf numFmtId="10" fontId="424" fillId="41" borderId="719" xfId="1299" applyNumberFormat="1" applyFont="1" applyFill="1" applyBorder="1" applyAlignment="1">
      <alignment horizontal="center" vertical="center"/>
    </xf>
    <xf numFmtId="10" fontId="424" fillId="41" borderId="720" xfId="1299" applyNumberFormat="1" applyFont="1" applyFill="1" applyBorder="1" applyAlignment="1">
      <alignment horizontal="center" vertical="center"/>
    </xf>
    <xf numFmtId="10" fontId="424" fillId="41" borderId="721" xfId="1299" applyNumberFormat="1" applyFont="1" applyFill="1" applyBorder="1" applyAlignment="1">
      <alignment horizontal="center" vertical="center"/>
    </xf>
    <xf numFmtId="10" fontId="424" fillId="41" borderId="722" xfId="1299" applyNumberFormat="1" applyFont="1" applyFill="1" applyBorder="1" applyAlignment="1">
      <alignment horizontal="center" vertical="center"/>
    </xf>
    <xf numFmtId="10" fontId="424" fillId="41" borderId="723" xfId="1299" applyNumberFormat="1" applyFont="1" applyFill="1" applyBorder="1" applyAlignment="1">
      <alignment horizontal="center" vertical="center"/>
    </xf>
    <xf numFmtId="10" fontId="424" fillId="41" borderId="708" xfId="1299" applyNumberFormat="1" applyFont="1" applyFill="1" applyBorder="1" applyAlignment="1">
      <alignment horizontal="center" vertical="center"/>
    </xf>
    <xf numFmtId="169" fontId="391" fillId="40" borderId="0" xfId="1299" applyNumberFormat="1" applyFont="1" applyFill="1"/>
    <xf numFmtId="0" fontId="391" fillId="48" borderId="0" xfId="1299" applyFont="1" applyFill="1" applyBorder="1" applyAlignment="1"/>
    <xf numFmtId="0" fontId="391" fillId="48" borderId="0" xfId="1299" applyFont="1" applyFill="1" applyBorder="1"/>
    <xf numFmtId="0" fontId="391" fillId="40" borderId="0" xfId="1299" applyFont="1" applyFill="1" applyAlignment="1"/>
    <xf numFmtId="166" fontId="391" fillId="40" borderId="0" xfId="1299" applyNumberFormat="1" applyFont="1" applyFill="1" applyAlignment="1"/>
    <xf numFmtId="10" fontId="391" fillId="40" borderId="0" xfId="1299" applyNumberFormat="1" applyFont="1" applyFill="1" applyAlignment="1"/>
    <xf numFmtId="1" fontId="391" fillId="40" borderId="0" xfId="1299" applyNumberFormat="1" applyFont="1" applyFill="1" applyAlignment="1"/>
    <xf numFmtId="166" fontId="391" fillId="40" borderId="0" xfId="1299" applyNumberFormat="1" applyFont="1" applyFill="1" applyBorder="1"/>
    <xf numFmtId="0" fontId="391" fillId="38" borderId="0" xfId="1299" applyFont="1" applyFill="1" applyAlignment="1">
      <alignment horizontal="center" vertical="center"/>
    </xf>
    <xf numFmtId="0" fontId="391" fillId="38" borderId="0" xfId="1299" applyFont="1" applyFill="1"/>
    <xf numFmtId="0" fontId="391" fillId="38" borderId="443" xfId="1299" applyFont="1" applyFill="1" applyBorder="1" applyAlignment="1">
      <alignment horizontal="center" vertical="center"/>
    </xf>
    <xf numFmtId="0" fontId="391" fillId="38" borderId="443" xfId="1299" applyFont="1" applyFill="1" applyBorder="1"/>
    <xf numFmtId="0" fontId="392" fillId="40" borderId="0" xfId="1299" applyFont="1" applyFill="1" applyAlignment="1"/>
    <xf numFmtId="0" fontId="391" fillId="57" borderId="0" xfId="1299" applyFont="1" applyFill="1" applyBorder="1"/>
    <xf numFmtId="0" fontId="432" fillId="57" borderId="0" xfId="1299" applyFont="1" applyFill="1" applyBorder="1" applyAlignment="1">
      <alignment horizontal="left" vertical="center"/>
    </xf>
    <xf numFmtId="166" fontId="433" fillId="57" borderId="0" xfId="1299" applyNumberFormat="1" applyFont="1" applyFill="1" applyBorder="1" applyAlignment="1">
      <alignment horizontal="center"/>
    </xf>
    <xf numFmtId="41" fontId="391" fillId="57" borderId="0" xfId="1299" applyNumberFormat="1" applyFont="1" applyFill="1" applyBorder="1"/>
    <xf numFmtId="0" fontId="433" fillId="57" borderId="0" xfId="1299" applyFont="1" applyFill="1" applyBorder="1"/>
    <xf numFmtId="0" fontId="391" fillId="57" borderId="443" xfId="1299" applyFont="1" applyFill="1" applyBorder="1"/>
    <xf numFmtId="0" fontId="433" fillId="57" borderId="443" xfId="1299" applyFont="1" applyFill="1" applyBorder="1" applyAlignment="1">
      <alignment horizontal="left"/>
    </xf>
    <xf numFmtId="168" fontId="433" fillId="57" borderId="443" xfId="1299" applyNumberFormat="1" applyFont="1" applyFill="1" applyBorder="1" applyAlignment="1">
      <alignment horizontal="center"/>
    </xf>
    <xf numFmtId="166" fontId="433" fillId="57" borderId="443" xfId="1299" applyNumberFormat="1" applyFont="1" applyFill="1" applyBorder="1" applyAlignment="1">
      <alignment horizontal="center"/>
    </xf>
    <xf numFmtId="41" fontId="391" fillId="57" borderId="443" xfId="1299" applyNumberFormat="1" applyFont="1" applyFill="1" applyBorder="1"/>
    <xf numFmtId="0" fontId="435" fillId="41" borderId="0" xfId="1299" applyFont="1" applyFill="1" applyBorder="1"/>
    <xf numFmtId="0" fontId="391" fillId="41" borderId="0" xfId="1299" applyFont="1" applyFill="1" applyBorder="1"/>
    <xf numFmtId="0" fontId="391" fillId="0" borderId="0" xfId="1299" applyFont="1"/>
    <xf numFmtId="0" fontId="437" fillId="41" borderId="443" xfId="1299" applyFont="1" applyFill="1" applyBorder="1" applyAlignment="1">
      <alignment horizontal="center" vertical="center"/>
    </xf>
    <xf numFmtId="0" fontId="391" fillId="41" borderId="0" xfId="1299" applyFont="1" applyFill="1"/>
    <xf numFmtId="0" fontId="433" fillId="0" borderId="0" xfId="1299" applyFont="1" applyAlignment="1">
      <alignment horizontal="left" vertical="center"/>
    </xf>
    <xf numFmtId="0" fontId="445" fillId="0" borderId="0" xfId="1299" applyFont="1" applyAlignment="1">
      <alignment horizontal="left" vertical="center"/>
    </xf>
    <xf numFmtId="0" fontId="446" fillId="0" borderId="0" xfId="1299" applyFont="1"/>
    <xf numFmtId="0" fontId="448" fillId="0" borderId="0" xfId="1299" applyFont="1" applyAlignment="1">
      <alignment horizontal="left" vertical="center"/>
    </xf>
    <xf numFmtId="0" fontId="448" fillId="0" borderId="0" xfId="1299" applyFont="1" applyAlignment="1">
      <alignment horizontal="center" vertical="center"/>
    </xf>
    <xf numFmtId="165" fontId="449" fillId="0" borderId="0" xfId="1299" applyNumberFormat="1" applyFont="1"/>
    <xf numFmtId="0" fontId="445" fillId="0" borderId="0" xfId="1299" applyFont="1" applyAlignment="1">
      <alignment horizontal="center" vertical="center"/>
    </xf>
    <xf numFmtId="0" fontId="399" fillId="0" borderId="0" xfId="1299" applyFont="1"/>
    <xf numFmtId="0" fontId="452" fillId="0" borderId="0" xfId="1299" applyFont="1" applyAlignment="1">
      <alignment horizontal="center" vertical="center"/>
    </xf>
    <xf numFmtId="171" fontId="452" fillId="41" borderId="0" xfId="1299" applyNumberFormat="1" applyFont="1" applyFill="1" applyAlignment="1">
      <alignment horizontal="center" vertical="center"/>
    </xf>
    <xf numFmtId="0" fontId="452" fillId="41" borderId="0" xfId="1299" applyFont="1" applyFill="1" applyAlignment="1">
      <alignment horizontal="center" vertical="center"/>
    </xf>
    <xf numFmtId="0" fontId="453" fillId="41" borderId="0" xfId="1299" applyFont="1" applyFill="1" applyBorder="1" applyAlignment="1">
      <alignment horizontal="left" vertical="top"/>
    </xf>
    <xf numFmtId="0" fontId="393" fillId="57" borderId="0" xfId="1299" applyFont="1" applyFill="1" applyBorder="1"/>
    <xf numFmtId="0" fontId="454" fillId="38" borderId="472" xfId="1299" applyFont="1" applyFill="1" applyBorder="1" applyAlignment="1">
      <alignment horizontal="center" vertical="center"/>
    </xf>
    <xf numFmtId="3" fontId="399" fillId="0" borderId="472" xfId="1299" applyNumberFormat="1" applyFont="1" applyBorder="1" applyAlignment="1">
      <alignment vertical="center"/>
    </xf>
    <xf numFmtId="3" fontId="455" fillId="0" borderId="472" xfId="1299" applyNumberFormat="1" applyFont="1" applyBorder="1" applyAlignment="1">
      <alignment vertical="center"/>
    </xf>
    <xf numFmtId="3" fontId="399" fillId="0" borderId="473" xfId="1299" applyNumberFormat="1" applyFont="1" applyBorder="1" applyAlignment="1">
      <alignment vertical="center"/>
    </xf>
    <xf numFmtId="3" fontId="456" fillId="57" borderId="738" xfId="1299" applyNumberFormat="1" applyFont="1" applyFill="1" applyBorder="1" applyAlignment="1">
      <alignment vertical="center"/>
    </xf>
    <xf numFmtId="3" fontId="456" fillId="57" borderId="739" xfId="1299" applyNumberFormat="1" applyFont="1" applyFill="1" applyBorder="1" applyAlignment="1">
      <alignment vertical="center"/>
    </xf>
    <xf numFmtId="3" fontId="456" fillId="57" borderId="740" xfId="1299" applyNumberFormat="1" applyFont="1" applyFill="1" applyBorder="1" applyAlignment="1">
      <alignment vertical="center"/>
    </xf>
    <xf numFmtId="0" fontId="454" fillId="0" borderId="0" xfId="1299" applyFont="1" applyAlignment="1">
      <alignment vertical="center"/>
    </xf>
    <xf numFmtId="3" fontId="454" fillId="0" borderId="0" xfId="1299" applyNumberFormat="1" applyFont="1" applyAlignment="1">
      <alignment vertical="center"/>
    </xf>
    <xf numFmtId="3" fontId="399" fillId="0" borderId="441" xfId="1299" applyNumberFormat="1" applyFont="1" applyBorder="1" applyAlignment="1">
      <alignment vertical="center"/>
    </xf>
    <xf numFmtId="3" fontId="399" fillId="0" borderId="741" xfId="1299" applyNumberFormat="1" applyFont="1" applyBorder="1" applyAlignment="1">
      <alignment vertical="center"/>
    </xf>
    <xf numFmtId="3" fontId="456" fillId="0" borderId="486" xfId="1299" applyNumberFormat="1" applyFont="1" applyBorder="1" applyAlignment="1">
      <alignment vertical="center"/>
    </xf>
    <xf numFmtId="3" fontId="456" fillId="0" borderId="472" xfId="1299" applyNumberFormat="1" applyFont="1" applyBorder="1" applyAlignment="1">
      <alignment vertical="center"/>
    </xf>
    <xf numFmtId="3" fontId="456" fillId="57" borderId="745" xfId="1299" applyNumberFormat="1" applyFont="1" applyFill="1" applyBorder="1" applyAlignment="1">
      <alignment horizontal="right" vertical="center"/>
    </xf>
    <xf numFmtId="3" fontId="456" fillId="57" borderId="746" xfId="1299" applyNumberFormat="1" applyFont="1" applyFill="1" applyBorder="1" applyAlignment="1">
      <alignment horizontal="right" vertical="center"/>
    </xf>
    <xf numFmtId="10" fontId="456" fillId="57" borderId="750" xfId="1299" applyNumberFormat="1" applyFont="1" applyFill="1" applyBorder="1" applyAlignment="1">
      <alignment horizontal="right" vertical="center"/>
    </xf>
    <xf numFmtId="10" fontId="456" fillId="57" borderId="751" xfId="1299" applyNumberFormat="1" applyFont="1" applyFill="1" applyBorder="1" applyAlignment="1">
      <alignment horizontal="right" vertical="center"/>
    </xf>
    <xf numFmtId="3" fontId="456" fillId="57" borderId="745" xfId="1299" applyNumberFormat="1" applyFont="1" applyFill="1" applyBorder="1" applyAlignment="1">
      <alignment vertical="center"/>
    </xf>
    <xf numFmtId="3" fontId="456" fillId="57" borderId="746" xfId="1299" applyNumberFormat="1" applyFont="1" applyFill="1" applyBorder="1" applyAlignment="1">
      <alignment vertical="center"/>
    </xf>
    <xf numFmtId="3" fontId="456" fillId="57" borderId="472" xfId="1299" applyNumberFormat="1" applyFont="1" applyFill="1" applyBorder="1" applyAlignment="1">
      <alignment vertical="center"/>
    </xf>
    <xf numFmtId="3" fontId="456" fillId="57" borderId="753" xfId="1299" applyNumberFormat="1" applyFont="1" applyFill="1" applyBorder="1" applyAlignment="1">
      <alignment vertical="center"/>
    </xf>
    <xf numFmtId="3" fontId="456" fillId="57" borderId="755" xfId="1299" applyNumberFormat="1" applyFont="1" applyFill="1" applyBorder="1" applyAlignment="1">
      <alignment vertical="center"/>
    </xf>
    <xf numFmtId="3" fontId="456" fillId="57" borderId="756" xfId="1299" applyNumberFormat="1" applyFont="1" applyFill="1" applyBorder="1" applyAlignment="1">
      <alignment vertical="center"/>
    </xf>
    <xf numFmtId="3" fontId="456" fillId="57" borderId="758" xfId="1299" applyNumberFormat="1" applyFont="1" applyFill="1" applyBorder="1" applyAlignment="1">
      <alignment vertical="center"/>
    </xf>
    <xf numFmtId="3" fontId="456" fillId="57" borderId="759" xfId="1299" applyNumberFormat="1" applyFont="1" applyFill="1" applyBorder="1" applyAlignment="1">
      <alignment vertical="center"/>
    </xf>
    <xf numFmtId="3" fontId="456" fillId="57" borderId="760" xfId="1299" applyNumberFormat="1" applyFont="1" applyFill="1" applyBorder="1" applyAlignment="1">
      <alignment vertical="center"/>
    </xf>
    <xf numFmtId="0" fontId="435" fillId="41" borderId="0" xfId="1299" applyFont="1" applyFill="1" applyBorder="1" applyAlignment="1"/>
    <xf numFmtId="3" fontId="391" fillId="0" borderId="0" xfId="1299" applyNumberFormat="1" applyFont="1"/>
    <xf numFmtId="0" fontId="459" fillId="57" borderId="0" xfId="1299" applyFont="1" applyFill="1" applyAlignment="1">
      <alignment horizontal="center" vertical="center"/>
    </xf>
    <xf numFmtId="0" fontId="459" fillId="57" borderId="0" xfId="1299" applyFont="1" applyFill="1" applyBorder="1" applyAlignment="1">
      <alignment horizontal="center" vertical="center"/>
    </xf>
    <xf numFmtId="0" fontId="392" fillId="0" borderId="0" xfId="1299" applyFont="1" applyAlignment="1"/>
    <xf numFmtId="0" fontId="433" fillId="0" borderId="0" xfId="1299" applyFont="1" applyAlignment="1">
      <alignment horizontal="right"/>
    </xf>
    <xf numFmtId="0" fontId="436" fillId="0" borderId="0" xfId="1299" applyFont="1" applyAlignment="1">
      <alignment horizontal="left"/>
    </xf>
    <xf numFmtId="0" fontId="438" fillId="0" borderId="0" xfId="1299" applyFont="1" applyAlignment="1">
      <alignment horizontal="left" vertical="center"/>
    </xf>
    <xf numFmtId="0" fontId="391" fillId="0" borderId="0" xfId="1299" applyFont="1" applyAlignment="1">
      <alignment horizontal="left" vertical="center"/>
    </xf>
    <xf numFmtId="0" fontId="391" fillId="41" borderId="0" xfId="1299" applyFont="1" applyFill="1" applyAlignment="1">
      <alignment horizontal="left" vertical="center"/>
    </xf>
    <xf numFmtId="0" fontId="437" fillId="41" borderId="0" xfId="1299" applyFont="1" applyFill="1" applyAlignment="1">
      <alignment horizontal="center" vertical="center"/>
    </xf>
    <xf numFmtId="0" fontId="371" fillId="46" borderId="0" xfId="1299" applyFont="1" applyFill="1" applyBorder="1" applyAlignment="1" applyProtection="1">
      <alignment vertical="center"/>
    </xf>
    <xf numFmtId="0" fontId="462" fillId="45" borderId="220" xfId="1299" applyFont="1" applyFill="1" applyBorder="1" applyAlignment="1">
      <alignment horizontal="center" vertical="center"/>
    </xf>
    <xf numFmtId="0" fontId="462" fillId="45" borderId="0" xfId="1299" applyFont="1" applyFill="1" applyBorder="1" applyAlignment="1">
      <alignment horizontal="center" vertical="center"/>
    </xf>
    <xf numFmtId="0" fontId="462" fillId="45" borderId="221" xfId="1299" applyFont="1" applyFill="1" applyBorder="1" applyAlignment="1">
      <alignment horizontal="center" vertical="center"/>
    </xf>
    <xf numFmtId="0" fontId="406" fillId="45" borderId="222" xfId="1299" applyFont="1" applyFill="1" applyBorder="1" applyAlignment="1">
      <alignment horizontal="left" vertical="center" indent="1"/>
    </xf>
    <xf numFmtId="0" fontId="406" fillId="45" borderId="225" xfId="1299" applyFont="1" applyFill="1" applyBorder="1" applyAlignment="1">
      <alignment horizontal="left" vertical="center" indent="1"/>
    </xf>
    <xf numFmtId="166" fontId="396" fillId="6" borderId="225" xfId="1299" applyNumberFormat="1" applyFont="1" applyFill="1" applyBorder="1" applyAlignment="1">
      <alignment horizontal="center" vertical="center"/>
    </xf>
    <xf numFmtId="166" fontId="396" fillId="6" borderId="216" xfId="1299" applyNumberFormat="1" applyFont="1" applyFill="1" applyBorder="1" applyAlignment="1">
      <alignment horizontal="center" vertical="center"/>
    </xf>
    <xf numFmtId="0" fontId="391" fillId="0" borderId="0" xfId="0" applyFont="1"/>
    <xf numFmtId="0" fontId="437" fillId="41" borderId="0" xfId="1299" applyFont="1" applyFill="1" applyBorder="1" applyAlignment="1">
      <alignment horizontal="center" vertical="center"/>
    </xf>
    <xf numFmtId="0" fontId="391" fillId="41" borderId="0" xfId="1299" applyFont="1" applyFill="1" applyBorder="1" applyAlignment="1">
      <alignment horizontal="left" vertical="center"/>
    </xf>
    <xf numFmtId="0" fontId="391" fillId="50" borderId="0" xfId="1299" applyFont="1" applyFill="1" applyBorder="1" applyAlignment="1">
      <alignment horizontal="left" vertical="center"/>
    </xf>
    <xf numFmtId="0" fontId="443" fillId="0" borderId="0" xfId="1299" applyFont="1" applyAlignment="1">
      <alignment vertical="center"/>
    </xf>
    <xf numFmtId="0" fontId="391" fillId="41" borderId="0" xfId="1299" applyFont="1" applyFill="1" applyAlignment="1">
      <alignment vertical="center"/>
    </xf>
    <xf numFmtId="0" fontId="391" fillId="41" borderId="443" xfId="1299" applyFont="1" applyFill="1" applyBorder="1" applyAlignment="1">
      <alignment vertical="center"/>
    </xf>
    <xf numFmtId="0" fontId="418" fillId="0" borderId="443" xfId="1299" applyFont="1" applyBorder="1" applyAlignment="1">
      <alignment horizontal="left" vertical="center"/>
    </xf>
    <xf numFmtId="0" fontId="446" fillId="0" borderId="443" xfId="1299" applyFont="1" applyBorder="1" applyAlignment="1">
      <alignment horizontal="left" vertical="center"/>
    </xf>
    <xf numFmtId="0" fontId="391" fillId="41" borderId="443" xfId="1299" applyFont="1" applyFill="1" applyBorder="1" applyAlignment="1">
      <alignment horizontal="left" vertical="center"/>
    </xf>
    <xf numFmtId="169" fontId="391" fillId="41" borderId="0" xfId="1299" applyNumberFormat="1" applyFont="1" applyFill="1" applyAlignment="1">
      <alignment horizontal="left" vertical="center"/>
    </xf>
    <xf numFmtId="169" fontId="391" fillId="41" borderId="8" xfId="1299" applyNumberFormat="1" applyFont="1" applyFill="1" applyBorder="1" applyAlignment="1">
      <alignment horizontal="left" vertical="center"/>
    </xf>
    <xf numFmtId="0" fontId="391" fillId="41" borderId="8" xfId="1299" applyFont="1" applyFill="1" applyBorder="1" applyAlignment="1">
      <alignment horizontal="left" vertical="center"/>
    </xf>
    <xf numFmtId="165" fontId="449" fillId="0" borderId="443" xfId="1299" applyNumberFormat="1" applyFont="1" applyBorder="1" applyAlignment="1">
      <alignment horizontal="center" vertical="center"/>
    </xf>
    <xf numFmtId="0" fontId="391" fillId="0" borderId="0" xfId="1299" applyFont="1" applyAlignment="1">
      <alignment horizontal="center" vertical="center"/>
    </xf>
    <xf numFmtId="165" fontId="449" fillId="0" borderId="0" xfId="1299" applyNumberFormat="1" applyFont="1" applyAlignment="1">
      <alignment horizontal="center" vertical="center"/>
    </xf>
    <xf numFmtId="0" fontId="446" fillId="0" borderId="443" xfId="1299" applyFont="1" applyBorder="1" applyAlignment="1">
      <alignment horizontal="center" vertical="center"/>
    </xf>
    <xf numFmtId="0" fontId="450" fillId="0" borderId="0" xfId="1299" applyFont="1" applyAlignment="1">
      <alignment horizontal="left" vertical="center"/>
    </xf>
    <xf numFmtId="0" fontId="450" fillId="41" borderId="0" xfId="1299" applyFont="1" applyFill="1" applyAlignment="1">
      <alignment horizontal="left" vertical="center"/>
    </xf>
    <xf numFmtId="166" fontId="442" fillId="41" borderId="0" xfId="1299" applyNumberFormat="1" applyFont="1" applyFill="1" applyAlignment="1">
      <alignment horizontal="center" vertical="center"/>
    </xf>
    <xf numFmtId="0" fontId="451" fillId="0" borderId="0" xfId="1299" applyFont="1" applyAlignment="1">
      <alignment horizontal="center" vertical="center"/>
    </xf>
    <xf numFmtId="0" fontId="435" fillId="41" borderId="0" xfId="1299" applyNumberFormat="1" applyFont="1" applyFill="1" applyBorder="1"/>
    <xf numFmtId="0" fontId="392" fillId="0" borderId="0" xfId="1299" applyFont="1" applyAlignment="1"/>
    <xf numFmtId="171" fontId="226" fillId="6" borderId="0" xfId="0" applyNumberFormat="1" applyFont="1" applyFill="1" applyBorder="1" applyAlignment="1" applyProtection="1">
      <alignment horizontal="center" vertical="center"/>
      <protection locked="0"/>
    </xf>
    <xf numFmtId="0" fontId="226" fillId="6" borderId="0" xfId="0" applyFont="1" applyFill="1" applyBorder="1" applyAlignment="1" applyProtection="1">
      <alignment horizontal="center" vertical="center"/>
      <protection locked="0"/>
    </xf>
    <xf numFmtId="0" fontId="226" fillId="0" borderId="0" xfId="0" applyFont="1" applyBorder="1" applyAlignment="1" applyProtection="1">
      <alignment horizontal="center" vertical="center"/>
      <protection locked="0"/>
    </xf>
    <xf numFmtId="0" fontId="288" fillId="6" borderId="0" xfId="0" applyFont="1" applyFill="1" applyBorder="1" applyAlignment="1" applyProtection="1">
      <alignment horizontal="center" vertical="center"/>
      <protection locked="0"/>
    </xf>
    <xf numFmtId="171" fontId="226" fillId="6" borderId="0" xfId="0" applyNumberFormat="1" applyFont="1" applyFill="1" applyBorder="1" applyAlignment="1" applyProtection="1">
      <alignment horizontal="center" vertical="center"/>
      <protection locked="0"/>
    </xf>
    <xf numFmtId="0" fontId="226" fillId="6" borderId="0" xfId="0" applyFont="1" applyFill="1" applyBorder="1" applyAlignment="1" applyProtection="1">
      <alignment horizontal="center" vertical="center"/>
      <protection locked="0"/>
    </xf>
    <xf numFmtId="0" fontId="226" fillId="0" borderId="0" xfId="0" applyFont="1" applyBorder="1" applyAlignment="1" applyProtection="1">
      <alignment horizontal="center" vertical="center"/>
      <protection locked="0"/>
    </xf>
    <xf numFmtId="0" fontId="349" fillId="0" borderId="0" xfId="0" applyFont="1" applyBorder="1" applyAlignment="1" applyProtection="1">
      <alignment horizontal="left" vertical="center"/>
      <protection locked="0"/>
    </xf>
    <xf numFmtId="0" fontId="288" fillId="6" borderId="0" xfId="0" applyFont="1" applyFill="1" applyBorder="1" applyAlignment="1" applyProtection="1">
      <alignment horizontal="center" vertical="center"/>
      <protection locked="0"/>
    </xf>
    <xf numFmtId="0" fontId="125" fillId="0" borderId="0" xfId="0" applyFont="1" applyBorder="1" applyAlignment="1" applyProtection="1">
      <protection locked="0"/>
    </xf>
    <xf numFmtId="0" fontId="251" fillId="6" borderId="0" xfId="0" applyFont="1" applyFill="1" applyBorder="1" applyAlignment="1" applyProtection="1">
      <alignment horizontal="left"/>
      <protection locked="0"/>
    </xf>
    <xf numFmtId="0" fontId="0" fillId="6" borderId="0" xfId="0" applyFont="1" applyFill="1" applyBorder="1" applyProtection="1">
      <protection locked="0"/>
    </xf>
    <xf numFmtId="0" fontId="72" fillId="0" borderId="109" xfId="0" applyFont="1" applyBorder="1" applyProtection="1">
      <protection locked="0"/>
    </xf>
    <xf numFmtId="0" fontId="52" fillId="0" borderId="109" xfId="0" applyFont="1" applyBorder="1" applyProtection="1">
      <protection locked="0"/>
    </xf>
    <xf numFmtId="0" fontId="321" fillId="6" borderId="0" xfId="0" applyFont="1" applyFill="1" applyBorder="1" applyAlignment="1" applyProtection="1">
      <alignment horizontal="right"/>
      <protection locked="0"/>
    </xf>
    <xf numFmtId="166" fontId="105" fillId="6" borderId="0" xfId="3" quotePrefix="1" applyNumberFormat="1" applyFont="1" applyFill="1" applyBorder="1" applyAlignment="1" applyProtection="1">
      <alignment horizontal="right"/>
      <protection locked="0"/>
    </xf>
    <xf numFmtId="3" fontId="399" fillId="0" borderId="768" xfId="1299" applyNumberFormat="1" applyFont="1" applyBorder="1" applyAlignment="1">
      <alignment vertical="center"/>
    </xf>
    <xf numFmtId="0" fontId="152" fillId="41" borderId="0" xfId="1299" applyFont="1" applyFill="1" applyBorder="1"/>
    <xf numFmtId="0" fontId="438" fillId="61" borderId="0" xfId="1299" applyFont="1" applyFill="1" applyBorder="1" applyAlignment="1">
      <alignment horizontal="right" vertical="center"/>
    </xf>
    <xf numFmtId="0" fontId="391" fillId="6" borderId="0" xfId="1299" applyFont="1" applyFill="1" applyBorder="1"/>
    <xf numFmtId="3" fontId="456" fillId="61" borderId="0" xfId="1299" applyNumberFormat="1" applyFont="1" applyFill="1" applyBorder="1" applyAlignment="1">
      <alignment vertical="center"/>
    </xf>
    <xf numFmtId="0" fontId="471" fillId="41" borderId="0" xfId="1299" applyFont="1" applyFill="1" applyBorder="1"/>
    <xf numFmtId="0" fontId="391" fillId="7" borderId="393" xfId="1299" applyFont="1" applyFill="1" applyBorder="1" applyAlignment="1"/>
    <xf numFmtId="0" fontId="392" fillId="7" borderId="769" xfId="1299" applyFont="1" applyFill="1" applyBorder="1" applyAlignment="1"/>
    <xf numFmtId="0" fontId="391" fillId="40" borderId="133" xfId="1299" applyFont="1" applyFill="1" applyBorder="1"/>
    <xf numFmtId="166" fontId="393" fillId="41" borderId="578" xfId="1299" quotePrefix="1" applyNumberFormat="1" applyFont="1" applyFill="1" applyBorder="1" applyAlignment="1">
      <alignment horizontal="center" vertical="center"/>
    </xf>
    <xf numFmtId="171" fontId="226" fillId="6" borderId="0" xfId="0" applyNumberFormat="1" applyFont="1" applyFill="1" applyBorder="1" applyAlignment="1" applyProtection="1">
      <alignment horizontal="center" vertical="center"/>
      <protection locked="0"/>
    </xf>
    <xf numFmtId="0" fontId="226" fillId="6" borderId="0" xfId="0" applyFont="1" applyFill="1" applyBorder="1" applyAlignment="1" applyProtection="1">
      <alignment horizontal="center" vertical="center"/>
      <protection locked="0"/>
    </xf>
    <xf numFmtId="0" fontId="226" fillId="0" borderId="0" xfId="0" applyFont="1" applyBorder="1" applyAlignment="1" applyProtection="1">
      <alignment horizontal="center" vertical="center"/>
      <protection locked="0"/>
    </xf>
    <xf numFmtId="0" fontId="347" fillId="0" borderId="0" xfId="0" applyFont="1" applyBorder="1" applyAlignment="1" applyProtection="1">
      <alignment horizontal="left" vertical="center"/>
      <protection locked="0"/>
    </xf>
    <xf numFmtId="0" fontId="321" fillId="6" borderId="0" xfId="0" applyFont="1" applyFill="1" applyBorder="1" applyAlignment="1" applyProtection="1">
      <alignment horizontal="right"/>
      <protection locked="0"/>
    </xf>
    <xf numFmtId="166" fontId="105" fillId="6" borderId="0" xfId="3" quotePrefix="1" applyNumberFormat="1" applyFont="1" applyFill="1" applyBorder="1" applyAlignment="1" applyProtection="1">
      <alignment horizontal="right"/>
      <protection locked="0"/>
    </xf>
    <xf numFmtId="10" fontId="349" fillId="6" borderId="0" xfId="22" applyNumberFormat="1" applyFont="1" applyFill="1" applyBorder="1" applyAlignment="1" applyProtection="1">
      <alignment horizontal="center" vertical="center"/>
      <protection locked="0"/>
    </xf>
    <xf numFmtId="0" fontId="79" fillId="6" borderId="0" xfId="90" applyFont="1" applyFill="1" applyBorder="1" applyAlignment="1" applyProtection="1">
      <alignment vertical="center"/>
    </xf>
    <xf numFmtId="0" fontId="79" fillId="6" borderId="0" xfId="90" applyFont="1" applyFill="1" applyBorder="1" applyAlignment="1" applyProtection="1">
      <alignment horizontal="left" vertical="center" indent="1"/>
    </xf>
    <xf numFmtId="171" fontId="226" fillId="6" borderId="0" xfId="0" applyNumberFormat="1" applyFont="1" applyFill="1" applyBorder="1" applyAlignment="1" applyProtection="1">
      <alignment horizontal="center" vertical="center"/>
      <protection locked="0"/>
    </xf>
    <xf numFmtId="0" fontId="226" fillId="6" borderId="0" xfId="0" applyFont="1" applyFill="1" applyBorder="1" applyAlignment="1" applyProtection="1">
      <alignment horizontal="center" vertical="center"/>
      <protection locked="0"/>
    </xf>
    <xf numFmtId="0" fontId="226" fillId="0" borderId="0" xfId="0" applyFont="1" applyBorder="1" applyAlignment="1" applyProtection="1">
      <alignment horizontal="center" vertical="center"/>
      <protection locked="0"/>
    </xf>
    <xf numFmtId="0" fontId="121" fillId="0" borderId="108" xfId="0" applyFont="1" applyBorder="1" applyAlignment="1" applyProtection="1">
      <alignment horizontal="left" vertical="center"/>
      <protection locked="0"/>
    </xf>
    <xf numFmtId="0" fontId="347" fillId="0" borderId="0" xfId="0" applyFont="1" applyBorder="1" applyAlignment="1" applyProtection="1">
      <alignment horizontal="left" vertical="center"/>
      <protection locked="0"/>
    </xf>
    <xf numFmtId="0" fontId="288" fillId="6" borderId="0" xfId="0" applyFont="1" applyFill="1" applyBorder="1" applyAlignment="1" applyProtection="1">
      <alignment horizontal="center" vertical="center"/>
      <protection locked="0"/>
    </xf>
    <xf numFmtId="171" fontId="226" fillId="6" borderId="0" xfId="0" applyNumberFormat="1" applyFont="1" applyFill="1" applyBorder="1" applyAlignment="1" applyProtection="1">
      <alignment horizontal="center" vertical="center"/>
      <protection locked="0"/>
    </xf>
    <xf numFmtId="0" fontId="226" fillId="6" borderId="0" xfId="0" applyFont="1" applyFill="1" applyBorder="1" applyAlignment="1" applyProtection="1">
      <alignment horizontal="center" vertical="center"/>
      <protection locked="0"/>
    </xf>
    <xf numFmtId="0" fontId="226" fillId="0" borderId="0" xfId="0" applyFont="1" applyBorder="1" applyAlignment="1" applyProtection="1">
      <alignment horizontal="center" vertical="center"/>
      <protection locked="0"/>
    </xf>
    <xf numFmtId="0" fontId="347" fillId="0" borderId="0" xfId="0" applyFont="1" applyBorder="1" applyAlignment="1" applyProtection="1">
      <alignment horizontal="left" vertical="center"/>
      <protection locked="0"/>
    </xf>
    <xf numFmtId="9" fontId="52" fillId="6" borderId="121" xfId="22" applyNumberFormat="1" applyFont="1" applyFill="1" applyBorder="1" applyAlignment="1">
      <alignment horizontal="right"/>
    </xf>
    <xf numFmtId="166" fontId="473" fillId="0" borderId="114" xfId="0" applyNumberFormat="1" applyFont="1" applyBorder="1" applyAlignment="1" applyProtection="1">
      <alignment horizontal="center" vertical="center"/>
      <protection locked="0"/>
    </xf>
    <xf numFmtId="0" fontId="275" fillId="6" borderId="0" xfId="0" quotePrefix="1" applyFont="1" applyFill="1" applyBorder="1" applyAlignment="1" applyProtection="1">
      <alignment horizontal="right" vertical="center" indent="1"/>
      <protection hidden="1"/>
    </xf>
    <xf numFmtId="171" fontId="226" fillId="6" borderId="0" xfId="0" applyNumberFormat="1" applyFont="1" applyFill="1" applyBorder="1" applyAlignment="1" applyProtection="1">
      <alignment horizontal="center" vertical="center"/>
      <protection locked="0"/>
    </xf>
    <xf numFmtId="0" fontId="226" fillId="6" borderId="0" xfId="0" applyFont="1" applyFill="1" applyBorder="1" applyAlignment="1" applyProtection="1">
      <alignment horizontal="center" vertical="center"/>
      <protection locked="0"/>
    </xf>
    <xf numFmtId="0" fontId="226" fillId="0" borderId="0" xfId="0" applyFont="1" applyBorder="1" applyAlignment="1" applyProtection="1">
      <alignment horizontal="center" vertical="center"/>
      <protection locked="0"/>
    </xf>
    <xf numFmtId="0" fontId="121" fillId="0" borderId="108" xfId="0" applyFont="1" applyBorder="1" applyAlignment="1" applyProtection="1">
      <alignment horizontal="left" vertical="center"/>
      <protection locked="0"/>
    </xf>
    <xf numFmtId="0" fontId="347" fillId="0" borderId="0" xfId="0" applyFont="1" applyBorder="1" applyAlignment="1" applyProtection="1">
      <alignment horizontal="left" vertical="center"/>
      <protection locked="0"/>
    </xf>
    <xf numFmtId="166" fontId="225" fillId="0" borderId="0" xfId="0" applyNumberFormat="1" applyFont="1" applyBorder="1" applyAlignment="1" applyProtection="1">
      <alignment horizontal="center" vertical="center"/>
      <protection locked="0"/>
    </xf>
    <xf numFmtId="0" fontId="225" fillId="0" borderId="0" xfId="0" applyFont="1" applyBorder="1" applyAlignment="1" applyProtection="1">
      <alignment horizontal="right" vertical="center"/>
      <protection locked="0"/>
    </xf>
    <xf numFmtId="0" fontId="392" fillId="0" borderId="0" xfId="1299" applyFont="1" applyAlignment="1"/>
    <xf numFmtId="0" fontId="422" fillId="41" borderId="590" xfId="1299" applyFont="1" applyFill="1" applyBorder="1" applyAlignment="1">
      <alignment horizontal="left" vertical="center"/>
    </xf>
    <xf numFmtId="0" fontId="418" fillId="40" borderId="0" xfId="1299" applyFont="1" applyFill="1" applyBorder="1" applyAlignment="1">
      <alignment vertical="center"/>
    </xf>
    <xf numFmtId="0" fontId="408" fillId="48" borderId="0" xfId="1299" applyFont="1" applyFill="1" applyAlignment="1">
      <alignment horizontal="center" vertical="center"/>
    </xf>
    <xf numFmtId="0" fontId="373" fillId="0" borderId="0" xfId="1299" applyFont="1" applyAlignment="1" applyProtection="1"/>
    <xf numFmtId="169" fontId="208" fillId="40" borderId="0" xfId="1299" applyNumberFormat="1" applyFont="1" applyFill="1" applyAlignment="1" applyProtection="1">
      <alignment horizontal="center" vertical="center"/>
    </xf>
    <xf numFmtId="0" fontId="208" fillId="0" borderId="401" xfId="1299" applyFont="1" applyBorder="1" applyProtection="1"/>
    <xf numFmtId="0" fontId="390" fillId="48" borderId="0" xfId="1299" applyFont="1" applyFill="1" applyAlignment="1" applyProtection="1">
      <alignment horizontal="center" vertical="center"/>
    </xf>
    <xf numFmtId="0" fontId="373" fillId="28" borderId="0" xfId="1299" applyFont="1" applyFill="1" applyAlignment="1" applyProtection="1"/>
    <xf numFmtId="0" fontId="277" fillId="6" borderId="0" xfId="0" quotePrefix="1" applyFont="1" applyFill="1" applyBorder="1" applyAlignment="1" applyProtection="1">
      <alignment horizontal="left" vertical="center" indent="1"/>
      <protection hidden="1"/>
    </xf>
    <xf numFmtId="166" fontId="277" fillId="6" borderId="0" xfId="0" quotePrefix="1" applyNumberFormat="1" applyFont="1" applyFill="1" applyBorder="1" applyAlignment="1" applyProtection="1">
      <alignment horizontal="center" vertical="center"/>
      <protection hidden="1"/>
    </xf>
    <xf numFmtId="0" fontId="277" fillId="6" borderId="0" xfId="0" quotePrefix="1" applyFont="1" applyFill="1" applyBorder="1" applyAlignment="1" applyProtection="1">
      <alignment horizontal="center" vertical="center"/>
      <protection hidden="1"/>
    </xf>
    <xf numFmtId="166" fontId="275" fillId="6" borderId="0" xfId="0" quotePrefix="1" applyNumberFormat="1" applyFont="1" applyFill="1" applyBorder="1" applyAlignment="1" applyProtection="1">
      <alignment horizontal="center" vertical="center"/>
      <protection hidden="1"/>
    </xf>
    <xf numFmtId="0" fontId="277" fillId="6" borderId="0" xfId="0" quotePrefix="1" applyFont="1" applyFill="1" applyBorder="1" applyAlignment="1" applyProtection="1">
      <alignment vertical="center"/>
      <protection hidden="1"/>
    </xf>
    <xf numFmtId="0" fontId="226" fillId="0" borderId="0" xfId="0" applyFont="1" applyBorder="1" applyAlignment="1" applyProtection="1">
      <alignment vertical="center"/>
      <protection locked="0"/>
    </xf>
    <xf numFmtId="0" fontId="182" fillId="21" borderId="90" xfId="0" applyFont="1" applyFill="1" applyBorder="1" applyAlignment="1" applyProtection="1">
      <alignment vertical="center" wrapText="1"/>
      <protection hidden="1"/>
    </xf>
    <xf numFmtId="0" fontId="182" fillId="21" borderId="0" xfId="0" applyFont="1" applyFill="1" applyBorder="1" applyAlignment="1" applyProtection="1">
      <alignment vertical="center" wrapText="1"/>
      <protection hidden="1"/>
    </xf>
    <xf numFmtId="171" fontId="226" fillId="6" borderId="0" xfId="0" applyNumberFormat="1" applyFont="1" applyFill="1" applyBorder="1" applyAlignment="1" applyProtection="1">
      <alignment horizontal="center" vertical="center"/>
      <protection locked="0"/>
    </xf>
    <xf numFmtId="0" fontId="226" fillId="6" borderId="0" xfId="0" applyFont="1" applyFill="1" applyBorder="1" applyAlignment="1" applyProtection="1">
      <alignment horizontal="center" vertical="center"/>
      <protection locked="0"/>
    </xf>
    <xf numFmtId="0" fontId="226" fillId="0" borderId="0" xfId="0" applyFont="1" applyBorder="1" applyAlignment="1" applyProtection="1">
      <alignment horizontal="center" vertical="center"/>
      <protection locked="0"/>
    </xf>
    <xf numFmtId="0" fontId="347" fillId="0" borderId="0" xfId="0" applyFont="1" applyBorder="1" applyAlignment="1" applyProtection="1">
      <alignment horizontal="left" vertical="center"/>
      <protection locked="0"/>
    </xf>
    <xf numFmtId="0" fontId="121" fillId="0" borderId="108" xfId="0" applyFont="1" applyBorder="1" applyAlignment="1" applyProtection="1">
      <alignment vertical="center"/>
      <protection locked="0"/>
    </xf>
    <xf numFmtId="0" fontId="379" fillId="7" borderId="133" xfId="0" quotePrefix="1" applyFont="1" applyFill="1" applyBorder="1" applyAlignment="1" applyProtection="1">
      <alignment horizontal="center" vertical="center"/>
      <protection locked="0"/>
    </xf>
    <xf numFmtId="166" fontId="473" fillId="0" borderId="787" xfId="0" applyNumberFormat="1" applyFont="1" applyBorder="1" applyAlignment="1" applyProtection="1">
      <alignment horizontal="center" vertical="center"/>
      <protection locked="0"/>
    </xf>
    <xf numFmtId="0" fontId="73" fillId="7" borderId="0" xfId="0" applyFont="1" applyFill="1" applyAlignment="1">
      <alignment horizontal="center"/>
    </xf>
    <xf numFmtId="49" fontId="52" fillId="0" borderId="0" xfId="0" applyNumberFormat="1" applyFont="1" applyFill="1" applyBorder="1" applyAlignment="1" applyProtection="1">
      <alignment horizontal="center" vertical="center"/>
      <protection hidden="1"/>
    </xf>
    <xf numFmtId="0" fontId="116" fillId="0" borderId="0" xfId="0" applyFont="1" applyFill="1" applyBorder="1" applyAlignment="1" applyProtection="1">
      <alignment horizontal="left" vertical="center" indent="5"/>
      <protection hidden="1"/>
    </xf>
    <xf numFmtId="0" fontId="110" fillId="0" borderId="117" xfId="0" applyFont="1" applyFill="1" applyBorder="1" applyAlignment="1" applyProtection="1">
      <alignment horizontal="right" vertical="center" indent="1"/>
      <protection hidden="1"/>
    </xf>
    <xf numFmtId="0" fontId="110" fillId="0" borderId="0" xfId="0" applyFont="1" applyFill="1" applyBorder="1" applyAlignment="1" applyProtection="1">
      <alignment horizontal="right" vertical="center" indent="1"/>
      <protection hidden="1"/>
    </xf>
    <xf numFmtId="0" fontId="268" fillId="6" borderId="128" xfId="0" applyFont="1" applyFill="1" applyBorder="1" applyAlignment="1" applyProtection="1">
      <alignment horizontal="center" vertical="top"/>
      <protection hidden="1"/>
    </xf>
    <xf numFmtId="0" fontId="268" fillId="6" borderId="0" xfId="0" applyFont="1" applyFill="1" applyBorder="1" applyAlignment="1" applyProtection="1">
      <alignment horizontal="center" vertical="top"/>
      <protection hidden="1"/>
    </xf>
    <xf numFmtId="0" fontId="268" fillId="6" borderId="133" xfId="0" applyFont="1" applyFill="1" applyBorder="1" applyAlignment="1" applyProtection="1">
      <alignment horizontal="center" vertical="top"/>
      <protection hidden="1"/>
    </xf>
    <xf numFmtId="0" fontId="268" fillId="6" borderId="130" xfId="0" applyFont="1" applyFill="1" applyBorder="1" applyAlignment="1" applyProtection="1">
      <alignment horizontal="center" vertical="top"/>
      <protection hidden="1"/>
    </xf>
    <xf numFmtId="0" fontId="268" fillId="6" borderId="109" xfId="0" applyFont="1" applyFill="1" applyBorder="1" applyAlignment="1" applyProtection="1">
      <alignment horizontal="center" vertical="top"/>
      <protection hidden="1"/>
    </xf>
    <xf numFmtId="0" fontId="268" fillId="6" borderId="131" xfId="0" applyFont="1" applyFill="1" applyBorder="1" applyAlignment="1" applyProtection="1">
      <alignment horizontal="center" vertical="top"/>
      <protection hidden="1"/>
    </xf>
    <xf numFmtId="0" fontId="174" fillId="6" borderId="126" xfId="0" applyFont="1" applyFill="1" applyBorder="1" applyAlignment="1" applyProtection="1">
      <alignment horizontal="left" vertical="center" indent="1"/>
      <protection hidden="1"/>
    </xf>
    <xf numFmtId="0" fontId="174" fillId="6" borderId="108" xfId="0" applyFont="1" applyFill="1" applyBorder="1" applyAlignment="1" applyProtection="1">
      <alignment horizontal="left" vertical="center" indent="1"/>
      <protection hidden="1"/>
    </xf>
    <xf numFmtId="0" fontId="174" fillId="6" borderId="132" xfId="0" applyFont="1" applyFill="1" applyBorder="1" applyAlignment="1" applyProtection="1">
      <alignment horizontal="left" vertical="center" indent="1"/>
      <protection hidden="1"/>
    </xf>
    <xf numFmtId="0" fontId="253" fillId="6" borderId="128" xfId="0" applyFont="1" applyFill="1" applyBorder="1" applyAlignment="1" applyProtection="1">
      <alignment horizontal="center" vertical="top"/>
      <protection hidden="1"/>
    </xf>
    <xf numFmtId="0" fontId="253" fillId="6" borderId="0" xfId="0" applyFont="1" applyFill="1" applyBorder="1" applyAlignment="1" applyProtection="1">
      <alignment horizontal="center" vertical="top"/>
      <protection hidden="1"/>
    </xf>
    <xf numFmtId="0" fontId="253" fillId="6" borderId="133" xfId="0" applyFont="1" applyFill="1" applyBorder="1" applyAlignment="1" applyProtection="1">
      <alignment horizontal="center" vertical="top"/>
      <protection hidden="1"/>
    </xf>
    <xf numFmtId="0" fontId="253" fillId="6" borderId="130" xfId="0" applyFont="1" applyFill="1" applyBorder="1" applyAlignment="1" applyProtection="1">
      <alignment horizontal="center" vertical="top"/>
      <protection hidden="1"/>
    </xf>
    <xf numFmtId="0" fontId="253" fillId="6" borderId="109" xfId="0" applyFont="1" applyFill="1" applyBorder="1" applyAlignment="1" applyProtection="1">
      <alignment horizontal="center" vertical="top"/>
      <protection hidden="1"/>
    </xf>
    <xf numFmtId="0" fontId="253" fillId="6" borderId="131" xfId="0" applyFont="1" applyFill="1" applyBorder="1" applyAlignment="1" applyProtection="1">
      <alignment horizontal="center" vertical="top"/>
      <protection hidden="1"/>
    </xf>
    <xf numFmtId="0" fontId="95" fillId="6" borderId="0" xfId="0" applyFont="1" applyFill="1" applyBorder="1" applyAlignment="1" applyProtection="1">
      <alignment horizontal="left" vertical="top" wrapText="1"/>
      <protection hidden="1"/>
    </xf>
    <xf numFmtId="0" fontId="216" fillId="26" borderId="122" xfId="0" applyFont="1" applyFill="1" applyBorder="1" applyAlignment="1" applyProtection="1">
      <alignment horizontal="center" vertical="center"/>
      <protection hidden="1"/>
    </xf>
    <xf numFmtId="0" fontId="216" fillId="26" borderId="123" xfId="0" applyFont="1" applyFill="1" applyBorder="1" applyAlignment="1" applyProtection="1">
      <alignment horizontal="center" vertical="center"/>
      <protection hidden="1"/>
    </xf>
    <xf numFmtId="0" fontId="216" fillId="26" borderId="124" xfId="0" applyFont="1" applyFill="1" applyBorder="1" applyAlignment="1" applyProtection="1">
      <alignment horizontal="center" vertical="center"/>
      <protection hidden="1"/>
    </xf>
    <xf numFmtId="0" fontId="115" fillId="6" borderId="128" xfId="0" applyFont="1" applyFill="1" applyBorder="1" applyAlignment="1" applyProtection="1">
      <alignment horizontal="center" vertical="center"/>
      <protection hidden="1"/>
    </xf>
    <xf numFmtId="0" fontId="115" fillId="6" borderId="0" xfId="0" applyFont="1" applyFill="1" applyBorder="1" applyAlignment="1" applyProtection="1">
      <alignment horizontal="center" vertical="center"/>
      <protection hidden="1"/>
    </xf>
    <xf numFmtId="0" fontId="115" fillId="6" borderId="133" xfId="0" applyFont="1" applyFill="1" applyBorder="1" applyAlignment="1" applyProtection="1">
      <alignment horizontal="center" vertical="center"/>
      <protection hidden="1"/>
    </xf>
    <xf numFmtId="0" fontId="174" fillId="6" borderId="126" xfId="0" applyFont="1" applyFill="1" applyBorder="1" applyAlignment="1" applyProtection="1">
      <alignment horizontal="center" vertical="center"/>
      <protection hidden="1"/>
    </xf>
    <xf numFmtId="0" fontId="174" fillId="6" borderId="108" xfId="0" applyFont="1" applyFill="1" applyBorder="1" applyAlignment="1" applyProtection="1">
      <alignment horizontal="center" vertical="center"/>
      <protection hidden="1"/>
    </xf>
    <xf numFmtId="0" fontId="174" fillId="6" borderId="132" xfId="0" applyFont="1" applyFill="1" applyBorder="1" applyAlignment="1" applyProtection="1">
      <alignment horizontal="center" vertical="center"/>
      <protection hidden="1"/>
    </xf>
    <xf numFmtId="0" fontId="95" fillId="6" borderId="0" xfId="0" applyFont="1" applyFill="1" applyBorder="1" applyAlignment="1" applyProtection="1">
      <alignment horizontal="left" wrapText="1"/>
      <protection hidden="1"/>
    </xf>
    <xf numFmtId="0" fontId="134" fillId="6" borderId="0" xfId="0" applyFont="1" applyFill="1" applyBorder="1" applyAlignment="1" applyProtection="1">
      <alignment horizontal="left"/>
      <protection hidden="1"/>
    </xf>
    <xf numFmtId="173" fontId="342" fillId="6" borderId="128" xfId="0" applyNumberFormat="1" applyFont="1" applyFill="1" applyBorder="1" applyAlignment="1" applyProtection="1">
      <alignment horizontal="center" vertical="top"/>
      <protection hidden="1"/>
    </xf>
    <xf numFmtId="173" fontId="342" fillId="6" borderId="0" xfId="0" applyNumberFormat="1" applyFont="1" applyFill="1" applyBorder="1" applyAlignment="1" applyProtection="1">
      <alignment horizontal="center" vertical="top"/>
      <protection hidden="1"/>
    </xf>
    <xf numFmtId="173" fontId="342" fillId="6" borderId="133" xfId="0" applyNumberFormat="1" applyFont="1" applyFill="1" applyBorder="1" applyAlignment="1" applyProtection="1">
      <alignment horizontal="center" vertical="top"/>
      <protection hidden="1"/>
    </xf>
    <xf numFmtId="173" fontId="342" fillId="6" borderId="130" xfId="0" applyNumberFormat="1" applyFont="1" applyFill="1" applyBorder="1" applyAlignment="1" applyProtection="1">
      <alignment horizontal="center" vertical="top"/>
      <protection hidden="1"/>
    </xf>
    <xf numFmtId="173" fontId="342" fillId="6" borderId="109" xfId="0" applyNumberFormat="1" applyFont="1" applyFill="1" applyBorder="1" applyAlignment="1" applyProtection="1">
      <alignment horizontal="center" vertical="top"/>
      <protection hidden="1"/>
    </xf>
    <xf numFmtId="173" fontId="342" fillId="6" borderId="131" xfId="0" applyNumberFormat="1" applyFont="1" applyFill="1" applyBorder="1" applyAlignment="1" applyProtection="1">
      <alignment horizontal="center" vertical="top"/>
      <protection hidden="1"/>
    </xf>
    <xf numFmtId="0" fontId="342" fillId="6" borderId="128" xfId="0" applyFont="1" applyFill="1" applyBorder="1" applyAlignment="1" applyProtection="1">
      <alignment horizontal="center" vertical="top"/>
      <protection hidden="1"/>
    </xf>
    <xf numFmtId="0" fontId="342" fillId="6" borderId="0" xfId="0" applyFont="1" applyFill="1" applyBorder="1" applyAlignment="1" applyProtection="1">
      <alignment horizontal="center" vertical="top"/>
      <protection hidden="1"/>
    </xf>
    <xf numFmtId="0" fontId="342" fillId="6" borderId="133" xfId="0" applyFont="1" applyFill="1" applyBorder="1" applyAlignment="1" applyProtection="1">
      <alignment horizontal="center" vertical="top"/>
      <protection hidden="1"/>
    </xf>
    <xf numFmtId="0" fontId="342" fillId="6" borderId="130" xfId="0" applyFont="1" applyFill="1" applyBorder="1" applyAlignment="1" applyProtection="1">
      <alignment horizontal="center" vertical="top"/>
      <protection hidden="1"/>
    </xf>
    <xf numFmtId="0" fontId="342" fillId="6" borderId="109" xfId="0" applyFont="1" applyFill="1" applyBorder="1" applyAlignment="1" applyProtection="1">
      <alignment horizontal="center" vertical="top"/>
      <protection hidden="1"/>
    </xf>
    <xf numFmtId="0" fontId="342" fillId="6" borderId="131" xfId="0" applyFont="1" applyFill="1" applyBorder="1" applyAlignment="1" applyProtection="1">
      <alignment horizontal="center" vertical="top"/>
      <protection hidden="1"/>
    </xf>
    <xf numFmtId="0" fontId="306" fillId="6" borderId="130" xfId="0" applyFont="1" applyFill="1" applyBorder="1" applyAlignment="1" applyProtection="1">
      <alignment horizontal="center" vertical="top"/>
      <protection hidden="1"/>
    </xf>
    <xf numFmtId="0" fontId="306" fillId="6" borderId="109" xfId="0" applyFont="1" applyFill="1" applyBorder="1" applyAlignment="1" applyProtection="1">
      <alignment horizontal="center" vertical="top"/>
      <protection hidden="1"/>
    </xf>
    <xf numFmtId="0" fontId="306" fillId="6" borderId="131" xfId="0" applyFont="1" applyFill="1" applyBorder="1" applyAlignment="1" applyProtection="1">
      <alignment horizontal="center" vertical="top"/>
      <protection hidden="1"/>
    </xf>
    <xf numFmtId="0" fontId="115" fillId="6" borderId="130" xfId="0" applyFont="1" applyFill="1" applyBorder="1" applyAlignment="1" applyProtection="1">
      <alignment horizontal="center" vertical="center"/>
      <protection hidden="1"/>
    </xf>
    <xf numFmtId="0" fontId="115" fillId="6" borderId="109" xfId="0" applyFont="1" applyFill="1" applyBorder="1" applyAlignment="1" applyProtection="1">
      <alignment horizontal="center" vertical="center"/>
      <protection hidden="1"/>
    </xf>
    <xf numFmtId="0" fontId="115" fillId="6" borderId="131" xfId="0" applyFont="1" applyFill="1" applyBorder="1" applyAlignment="1" applyProtection="1">
      <alignment horizontal="center" vertical="center"/>
      <protection hidden="1"/>
    </xf>
    <xf numFmtId="0" fontId="369" fillId="26" borderId="0" xfId="107" applyFont="1" applyFill="1" applyBorder="1" applyAlignment="1" applyProtection="1">
      <alignment horizontal="center" vertical="center"/>
      <protection hidden="1"/>
    </xf>
    <xf numFmtId="0" fontId="156" fillId="7" borderId="124" xfId="107" applyFont="1" applyFill="1" applyBorder="1" applyAlignment="1" applyProtection="1">
      <alignment horizontal="center" vertical="center"/>
      <protection locked="0" hidden="1"/>
    </xf>
    <xf numFmtId="0" fontId="156" fillId="7" borderId="121" xfId="107" applyFont="1" applyFill="1" applyBorder="1" applyAlignment="1" applyProtection="1">
      <alignment horizontal="center" vertical="center"/>
      <protection locked="0" hidden="1"/>
    </xf>
    <xf numFmtId="0" fontId="156" fillId="7" borderId="122" xfId="107" applyFont="1" applyFill="1" applyBorder="1" applyAlignment="1" applyProtection="1">
      <alignment horizontal="center" vertical="center"/>
      <protection locked="0" hidden="1"/>
    </xf>
    <xf numFmtId="0" fontId="155" fillId="7" borderId="124" xfId="107" applyFont="1" applyFill="1" applyBorder="1" applyAlignment="1" applyProtection="1">
      <alignment horizontal="center" vertical="center"/>
      <protection locked="0" hidden="1"/>
    </xf>
    <xf numFmtId="0" fontId="155" fillId="7" borderId="121" xfId="107" applyFont="1" applyFill="1" applyBorder="1" applyAlignment="1" applyProtection="1">
      <alignment horizontal="center" vertical="center"/>
      <protection locked="0" hidden="1"/>
    </xf>
    <xf numFmtId="0" fontId="155" fillId="7" borderId="122" xfId="107" applyFont="1" applyFill="1" applyBorder="1" applyAlignment="1" applyProtection="1">
      <alignment horizontal="center" vertical="center"/>
      <protection locked="0" hidden="1"/>
    </xf>
    <xf numFmtId="0" fontId="157" fillId="14" borderId="124" xfId="107" applyFont="1" applyFill="1" applyBorder="1" applyAlignment="1" applyProtection="1">
      <alignment horizontal="left" vertical="center" indent="2"/>
      <protection locked="0" hidden="1"/>
    </xf>
    <xf numFmtId="0" fontId="157" fillId="14" borderId="121" xfId="107" applyFont="1" applyFill="1" applyBorder="1" applyAlignment="1" applyProtection="1">
      <alignment horizontal="left" vertical="center" indent="2"/>
      <protection locked="0" hidden="1"/>
    </xf>
    <xf numFmtId="0" fontId="157" fillId="14" borderId="122" xfId="107" applyFont="1" applyFill="1" applyBorder="1" applyAlignment="1" applyProtection="1">
      <alignment horizontal="left" vertical="center" indent="2"/>
      <protection locked="0" hidden="1"/>
    </xf>
    <xf numFmtId="0" fontId="157" fillId="14" borderId="131" xfId="107" applyFont="1" applyFill="1" applyBorder="1" applyAlignment="1" applyProtection="1">
      <alignment horizontal="left" vertical="center" indent="2"/>
      <protection locked="0" hidden="1"/>
    </xf>
    <xf numFmtId="0" fontId="157" fillId="14" borderId="127" xfId="107" applyFont="1" applyFill="1" applyBorder="1" applyAlignment="1" applyProtection="1">
      <alignment horizontal="left" vertical="center" indent="2"/>
      <protection locked="0" hidden="1"/>
    </xf>
    <xf numFmtId="0" fontId="157" fillId="14" borderId="130" xfId="107" applyFont="1" applyFill="1" applyBorder="1" applyAlignment="1" applyProtection="1">
      <alignment horizontal="left" vertical="center" indent="2"/>
      <protection locked="0" hidden="1"/>
    </xf>
    <xf numFmtId="0" fontId="52" fillId="0" borderId="124" xfId="0" quotePrefix="1" applyFont="1" applyBorder="1" applyAlignment="1">
      <alignment horizontal="left" vertical="center" indent="3"/>
    </xf>
    <xf numFmtId="0" fontId="52" fillId="0" borderId="121" xfId="0" quotePrefix="1" applyFont="1" applyBorder="1" applyAlignment="1">
      <alignment horizontal="left" vertical="center" indent="3"/>
    </xf>
    <xf numFmtId="0" fontId="52" fillId="0" borderId="122" xfId="0" quotePrefix="1" applyFont="1" applyBorder="1" applyAlignment="1">
      <alignment horizontal="left" vertical="center" indent="3"/>
    </xf>
    <xf numFmtId="0" fontId="105" fillId="14" borderId="124" xfId="107" applyFont="1" applyFill="1" applyBorder="1" applyAlignment="1" applyProtection="1">
      <alignment horizontal="center" vertical="center"/>
      <protection locked="0" hidden="1"/>
    </xf>
    <xf numFmtId="0" fontId="105" fillId="14" borderId="121" xfId="107" applyFont="1" applyFill="1" applyBorder="1" applyAlignment="1" applyProtection="1">
      <alignment horizontal="center" vertical="center"/>
      <protection locked="0" hidden="1"/>
    </xf>
    <xf numFmtId="0" fontId="105" fillId="14" borderId="122" xfId="107" applyFont="1" applyFill="1" applyBorder="1" applyAlignment="1" applyProtection="1">
      <alignment horizontal="center" vertical="center"/>
      <protection locked="0" hidden="1"/>
    </xf>
    <xf numFmtId="0" fontId="52" fillId="0" borderId="131" xfId="0" quotePrefix="1" applyFont="1" applyBorder="1" applyAlignment="1">
      <alignment horizontal="left" vertical="center" indent="3"/>
    </xf>
    <xf numFmtId="0" fontId="52" fillId="0" borderId="127" xfId="0" quotePrefix="1" applyFont="1" applyBorder="1" applyAlignment="1">
      <alignment horizontal="left" vertical="center" indent="3"/>
    </xf>
    <xf numFmtId="0" fontId="52" fillId="0" borderId="130" xfId="0" quotePrefix="1" applyFont="1" applyBorder="1" applyAlignment="1">
      <alignment horizontal="left" vertical="center" indent="3"/>
    </xf>
    <xf numFmtId="0" fontId="105" fillId="14" borderId="131" xfId="107" applyFont="1" applyFill="1" applyBorder="1" applyAlignment="1" applyProtection="1">
      <alignment horizontal="center" vertical="center"/>
      <protection locked="0" hidden="1"/>
    </xf>
    <xf numFmtId="0" fontId="105" fillId="14" borderId="127" xfId="107" applyFont="1" applyFill="1" applyBorder="1" applyAlignment="1" applyProtection="1">
      <alignment horizontal="center" vertical="center"/>
      <protection locked="0" hidden="1"/>
    </xf>
    <xf numFmtId="0" fontId="105" fillId="14" borderId="130" xfId="107" applyFont="1" applyFill="1" applyBorder="1" applyAlignment="1" applyProtection="1">
      <alignment horizontal="center" vertical="center"/>
      <protection locked="0" hidden="1"/>
    </xf>
    <xf numFmtId="0" fontId="115" fillId="27" borderId="0" xfId="0" applyFont="1" applyFill="1" applyBorder="1" applyAlignment="1" applyProtection="1">
      <alignment horizontal="center" vertical="center"/>
      <protection hidden="1"/>
    </xf>
    <xf numFmtId="0" fontId="146" fillId="36" borderId="0" xfId="0" applyFont="1" applyFill="1" applyAlignment="1" applyProtection="1">
      <alignment horizontal="center" vertical="center" wrapText="1"/>
      <protection hidden="1"/>
    </xf>
    <xf numFmtId="0" fontId="217" fillId="26" borderId="0" xfId="107" applyFont="1" applyFill="1" applyBorder="1" applyAlignment="1" applyProtection="1">
      <alignment horizontal="center" vertical="center" wrapText="1"/>
      <protection hidden="1"/>
    </xf>
    <xf numFmtId="0" fontId="73" fillId="7" borderId="124" xfId="0" quotePrefix="1" applyFont="1" applyFill="1" applyBorder="1" applyAlignment="1">
      <alignment horizontal="left" vertical="center" indent="1"/>
    </xf>
    <xf numFmtId="0" fontId="73" fillId="7" borderId="121" xfId="0" quotePrefix="1" applyFont="1" applyFill="1" applyBorder="1" applyAlignment="1">
      <alignment horizontal="left" vertical="center" indent="1"/>
    </xf>
    <xf numFmtId="0" fontId="73" fillId="7" borderId="122" xfId="0" quotePrefix="1" applyFont="1" applyFill="1" applyBorder="1" applyAlignment="1">
      <alignment horizontal="left" vertical="center" indent="1"/>
    </xf>
    <xf numFmtId="0" fontId="52" fillId="27" borderId="0" xfId="0" applyFont="1" applyFill="1" applyAlignment="1" applyProtection="1">
      <alignment horizontal="center" vertical="center"/>
      <protection hidden="1"/>
    </xf>
    <xf numFmtId="0" fontId="156" fillId="7" borderId="123" xfId="107" applyFont="1" applyFill="1" applyBorder="1" applyAlignment="1" applyProtection="1">
      <alignment horizontal="center" vertical="center"/>
      <protection locked="0" hidden="1"/>
    </xf>
    <xf numFmtId="0" fontId="73" fillId="7" borderId="123" xfId="0" quotePrefix="1" applyFont="1" applyFill="1" applyBorder="1" applyAlignment="1">
      <alignment horizontal="left" vertical="center" indent="1"/>
    </xf>
    <xf numFmtId="0" fontId="119" fillId="26" borderId="0" xfId="0" applyFont="1" applyFill="1" applyBorder="1" applyAlignment="1" applyProtection="1">
      <alignment horizontal="center" vertical="center"/>
      <protection hidden="1"/>
    </xf>
    <xf numFmtId="0" fontId="339" fillId="14" borderId="0" xfId="0" applyFont="1" applyFill="1" applyBorder="1" applyAlignment="1" applyProtection="1">
      <alignment horizontal="center" vertical="center"/>
      <protection locked="0" hidden="1"/>
    </xf>
    <xf numFmtId="0" fontId="320" fillId="6" borderId="0" xfId="0" applyFont="1" applyFill="1" applyBorder="1" applyAlignment="1" applyProtection="1">
      <alignment horizontal="left" vertical="center" indent="1"/>
      <protection hidden="1"/>
    </xf>
    <xf numFmtId="0" fontId="105" fillId="7" borderId="109" xfId="0" applyFont="1" applyFill="1" applyBorder="1" applyAlignment="1" applyProtection="1">
      <alignment horizontal="center" vertical="center"/>
      <protection hidden="1"/>
    </xf>
    <xf numFmtId="0" fontId="190" fillId="6" borderId="0" xfId="0" applyFont="1" applyFill="1" applyBorder="1" applyAlignment="1" applyProtection="1">
      <alignment horizontal="left" vertical="center"/>
      <protection hidden="1"/>
    </xf>
    <xf numFmtId="0" fontId="190" fillId="6" borderId="109" xfId="0" applyFont="1" applyFill="1" applyBorder="1" applyAlignment="1" applyProtection="1">
      <alignment horizontal="left" vertical="center"/>
      <protection hidden="1"/>
    </xf>
    <xf numFmtId="0" fontId="202" fillId="6" borderId="0" xfId="0" applyFont="1" applyFill="1" applyBorder="1" applyAlignment="1" applyProtection="1">
      <alignment horizontal="left" vertical="center"/>
      <protection hidden="1"/>
    </xf>
    <xf numFmtId="0" fontId="242" fillId="6" borderId="0" xfId="0" applyFont="1" applyFill="1" applyBorder="1" applyAlignment="1" applyProtection="1">
      <alignment horizontal="left" vertical="center" indent="3"/>
      <protection hidden="1"/>
    </xf>
    <xf numFmtId="0" fontId="106" fillId="7" borderId="0" xfId="0" applyFont="1" applyFill="1" applyBorder="1" applyAlignment="1">
      <alignment horizontal="right" vertical="center" indent="2"/>
    </xf>
    <xf numFmtId="0" fontId="53" fillId="22" borderId="0" xfId="0" applyFont="1" applyFill="1" applyBorder="1" applyAlignment="1" applyProtection="1">
      <alignment horizontal="center" vertical="center"/>
      <protection hidden="1"/>
    </xf>
    <xf numFmtId="0" fontId="137" fillId="6" borderId="0" xfId="0" applyNumberFormat="1" applyFont="1" applyFill="1" applyBorder="1" applyAlignment="1" applyProtection="1">
      <alignment horizontal="left" vertical="center"/>
      <protection hidden="1"/>
    </xf>
    <xf numFmtId="0" fontId="319" fillId="14" borderId="124" xfId="0" applyFont="1" applyFill="1" applyBorder="1" applyAlignment="1" applyProtection="1">
      <alignment horizontal="left" vertical="center" indent="1"/>
      <protection locked="0"/>
    </xf>
    <xf numFmtId="0" fontId="319" fillId="14" borderId="121" xfId="0" applyFont="1" applyFill="1" applyBorder="1" applyAlignment="1" applyProtection="1">
      <alignment horizontal="left" vertical="center" indent="1"/>
      <protection locked="0"/>
    </xf>
    <xf numFmtId="0" fontId="319" fillId="14" borderId="122" xfId="0" applyFont="1" applyFill="1" applyBorder="1" applyAlignment="1" applyProtection="1">
      <alignment horizontal="left" vertical="center" indent="1"/>
      <protection locked="0"/>
    </xf>
    <xf numFmtId="0" fontId="228" fillId="6" borderId="0" xfId="0" applyFont="1" applyFill="1" applyBorder="1" applyAlignment="1" applyProtection="1">
      <alignment horizontal="center" vertical="center"/>
      <protection hidden="1"/>
    </xf>
    <xf numFmtId="14" fontId="305" fillId="26" borderId="220" xfId="0" applyNumberFormat="1" applyFont="1" applyFill="1" applyBorder="1" applyAlignment="1" applyProtection="1">
      <alignment horizontal="center" vertical="center"/>
      <protection hidden="1"/>
    </xf>
    <xf numFmtId="14" fontId="305" fillId="26" borderId="0" xfId="0" applyNumberFormat="1" applyFont="1" applyFill="1" applyBorder="1" applyAlignment="1" applyProtection="1">
      <alignment horizontal="center" vertical="center"/>
      <protection hidden="1"/>
    </xf>
    <xf numFmtId="0" fontId="319" fillId="14" borderId="123" xfId="0" applyFont="1" applyFill="1" applyBorder="1" applyAlignment="1" applyProtection="1">
      <alignment horizontal="left" vertical="center" indent="1"/>
      <protection locked="0"/>
    </xf>
    <xf numFmtId="0" fontId="228" fillId="6" borderId="108" xfId="0" applyFont="1" applyFill="1" applyBorder="1" applyAlignment="1" applyProtection="1">
      <alignment horizontal="center" vertical="center"/>
      <protection hidden="1"/>
    </xf>
    <xf numFmtId="0" fontId="137" fillId="6" borderId="218" xfId="0" applyNumberFormat="1" applyFont="1" applyFill="1" applyBorder="1" applyAlignment="1" applyProtection="1">
      <alignment horizontal="left" vertical="center"/>
      <protection hidden="1"/>
    </xf>
    <xf numFmtId="0" fontId="137" fillId="6" borderId="108" xfId="0" applyNumberFormat="1" applyFont="1" applyFill="1" applyBorder="1" applyAlignment="1" applyProtection="1">
      <alignment horizontal="left" vertical="center"/>
      <protection hidden="1"/>
    </xf>
    <xf numFmtId="1" fontId="319" fillId="14" borderId="124" xfId="0" applyNumberFormat="1" applyFont="1" applyFill="1" applyBorder="1" applyAlignment="1" applyProtection="1">
      <alignment horizontal="center" vertical="center"/>
      <protection locked="0"/>
    </xf>
    <xf numFmtId="1" fontId="319" fillId="14" borderId="121" xfId="0" applyNumberFormat="1" applyFont="1" applyFill="1" applyBorder="1" applyAlignment="1" applyProtection="1">
      <alignment horizontal="center" vertical="center"/>
      <protection locked="0"/>
    </xf>
    <xf numFmtId="1" fontId="137" fillId="6" borderId="122" xfId="0" applyNumberFormat="1" applyFont="1" applyFill="1" applyBorder="1" applyAlignment="1" applyProtection="1">
      <alignment horizontal="center" vertical="center"/>
      <protection locked="0"/>
    </xf>
    <xf numFmtId="1" fontId="137" fillId="6" borderId="123" xfId="0" applyNumberFormat="1" applyFont="1" applyFill="1" applyBorder="1" applyAlignment="1" applyProtection="1">
      <alignment horizontal="center" vertical="center"/>
      <protection locked="0"/>
    </xf>
    <xf numFmtId="1" fontId="137" fillId="6" borderId="124" xfId="0" applyNumberFormat="1" applyFont="1" applyFill="1" applyBorder="1" applyAlignment="1" applyProtection="1">
      <alignment horizontal="center" vertical="center"/>
      <protection locked="0"/>
    </xf>
    <xf numFmtId="1" fontId="319" fillId="14" borderId="122" xfId="0" applyNumberFormat="1" applyFont="1" applyFill="1" applyBorder="1" applyAlignment="1" applyProtection="1">
      <alignment horizontal="center" vertical="center"/>
      <protection locked="0"/>
    </xf>
    <xf numFmtId="0" fontId="272" fillId="21" borderId="0" xfId="0" applyFont="1" applyFill="1" applyBorder="1" applyAlignment="1" applyProtection="1">
      <alignment horizontal="center" vertical="center"/>
      <protection hidden="1"/>
    </xf>
    <xf numFmtId="0" fontId="36" fillId="14" borderId="124" xfId="107" applyFill="1" applyBorder="1" applyAlignment="1" applyProtection="1">
      <alignment horizontal="center" vertical="center"/>
      <protection locked="0"/>
    </xf>
    <xf numFmtId="0" fontId="36" fillId="14" borderId="121" xfId="107" applyFont="1" applyFill="1" applyBorder="1" applyAlignment="1" applyProtection="1">
      <alignment horizontal="center" vertical="center"/>
      <protection locked="0"/>
    </xf>
    <xf numFmtId="0" fontId="36" fillId="14" borderId="122" xfId="107" applyFont="1" applyFill="1" applyBorder="1" applyAlignment="1" applyProtection="1">
      <alignment horizontal="center" vertical="center"/>
      <protection locked="0"/>
    </xf>
    <xf numFmtId="174" fontId="319" fillId="14" borderId="126" xfId="1" applyNumberFormat="1" applyFont="1" applyFill="1" applyBorder="1" applyAlignment="1" applyProtection="1">
      <alignment horizontal="center" vertical="center"/>
      <protection locked="0"/>
    </xf>
    <xf numFmtId="174" fontId="319" fillId="14" borderId="108" xfId="1" applyNumberFormat="1" applyFont="1" applyFill="1" applyBorder="1" applyAlignment="1" applyProtection="1">
      <alignment horizontal="center" vertical="center"/>
      <protection locked="0"/>
    </xf>
    <xf numFmtId="171" fontId="319" fillId="14" borderId="123" xfId="0" applyNumberFormat="1" applyFont="1" applyFill="1" applyBorder="1" applyAlignment="1" applyProtection="1">
      <alignment horizontal="left" vertical="center" indent="1"/>
      <protection locked="0"/>
    </xf>
    <xf numFmtId="9" fontId="319" fillId="14" borderId="108" xfId="22" applyFont="1" applyFill="1" applyBorder="1" applyAlignment="1" applyProtection="1">
      <alignment horizontal="left" vertical="center" indent="1"/>
      <protection locked="0"/>
    </xf>
    <xf numFmtId="174" fontId="319" fillId="14" borderId="132" xfId="1" applyNumberFormat="1" applyFont="1" applyFill="1" applyBorder="1" applyAlignment="1" applyProtection="1">
      <alignment horizontal="center" vertical="center"/>
      <protection locked="0"/>
    </xf>
    <xf numFmtId="1" fontId="137" fillId="6" borderId="126" xfId="0" applyNumberFormat="1" applyFont="1" applyFill="1" applyBorder="1" applyAlignment="1" applyProtection="1">
      <alignment horizontal="center" vertical="center"/>
      <protection locked="0"/>
    </xf>
    <xf numFmtId="1" fontId="137" fillId="6" borderId="108" xfId="0" applyNumberFormat="1" applyFont="1" applyFill="1" applyBorder="1" applyAlignment="1" applyProtection="1">
      <alignment horizontal="center" vertical="center"/>
      <protection locked="0"/>
    </xf>
    <xf numFmtId="1" fontId="137" fillId="6" borderId="132" xfId="0" applyNumberFormat="1" applyFont="1" applyFill="1" applyBorder="1" applyAlignment="1" applyProtection="1">
      <alignment horizontal="center" vertical="center"/>
      <protection locked="0"/>
    </xf>
    <xf numFmtId="0" fontId="36" fillId="14" borderId="124" xfId="107" applyFill="1" applyBorder="1" applyAlignment="1" applyProtection="1">
      <alignment horizontal="left" vertical="center" indent="1"/>
      <protection locked="0"/>
    </xf>
    <xf numFmtId="14" fontId="305" fillId="26" borderId="225" xfId="0" applyNumberFormat="1" applyFont="1" applyFill="1" applyBorder="1" applyAlignment="1" applyProtection="1">
      <alignment horizontal="center" vertical="center"/>
      <protection hidden="1"/>
    </xf>
    <xf numFmtId="0" fontId="228" fillId="6" borderId="218" xfId="0" applyFont="1" applyFill="1" applyBorder="1" applyAlignment="1" applyProtection="1">
      <alignment horizontal="center" vertical="center"/>
      <protection hidden="1"/>
    </xf>
    <xf numFmtId="0" fontId="169" fillId="21" borderId="0" xfId="0" applyFont="1" applyFill="1" applyBorder="1" applyAlignment="1" applyProtection="1">
      <alignment horizontal="left" vertical="center"/>
      <protection hidden="1"/>
    </xf>
    <xf numFmtId="0" fontId="228" fillId="6" borderId="124" xfId="0" applyFont="1" applyFill="1" applyBorder="1" applyAlignment="1" applyProtection="1">
      <alignment horizontal="center" vertical="center"/>
      <protection hidden="1"/>
    </xf>
    <xf numFmtId="0" fontId="228" fillId="6" borderId="122" xfId="0" applyFont="1" applyFill="1" applyBorder="1" applyAlignment="1" applyProtection="1">
      <alignment horizontal="center" vertical="center"/>
      <protection hidden="1"/>
    </xf>
    <xf numFmtId="0" fontId="137" fillId="6" borderId="124" xfId="0" applyNumberFormat="1" applyFont="1" applyFill="1" applyBorder="1" applyAlignment="1" applyProtection="1">
      <alignment horizontal="center" vertical="center"/>
      <protection hidden="1"/>
    </xf>
    <xf numFmtId="0" fontId="137" fillId="6" borderId="121" xfId="0" applyNumberFormat="1" applyFont="1" applyFill="1" applyBorder="1" applyAlignment="1" applyProtection="1">
      <alignment horizontal="center" vertical="center"/>
      <protection hidden="1"/>
    </xf>
    <xf numFmtId="0" fontId="106" fillId="7" borderId="0" xfId="0" applyFont="1" applyFill="1" applyBorder="1" applyAlignment="1">
      <alignment horizontal="right" vertical="center"/>
    </xf>
    <xf numFmtId="0" fontId="319" fillId="14" borderId="122" xfId="0" applyFont="1" applyFill="1" applyBorder="1" applyAlignment="1" applyProtection="1">
      <alignment horizontal="center" vertical="center"/>
      <protection locked="0"/>
    </xf>
    <xf numFmtId="0" fontId="319" fillId="14" borderId="123" xfId="0" applyFont="1" applyFill="1" applyBorder="1" applyAlignment="1" applyProtection="1">
      <alignment horizontal="center" vertical="center"/>
      <protection locked="0"/>
    </xf>
    <xf numFmtId="14" fontId="361" fillId="7" borderId="109" xfId="0" applyNumberFormat="1" applyFont="1" applyFill="1" applyBorder="1" applyAlignment="1" applyProtection="1">
      <alignment horizontal="center" vertical="center"/>
      <protection hidden="1"/>
    </xf>
    <xf numFmtId="14" fontId="305" fillId="7" borderId="0" xfId="0" applyNumberFormat="1" applyFont="1" applyFill="1" applyBorder="1" applyAlignment="1" applyProtection="1">
      <alignment horizontal="center" vertical="center"/>
      <protection hidden="1"/>
    </xf>
    <xf numFmtId="14" fontId="361" fillId="7" borderId="0" xfId="0" applyNumberFormat="1" applyFont="1" applyFill="1" applyBorder="1" applyAlignment="1" applyProtection="1">
      <alignment horizontal="center" vertical="center"/>
      <protection hidden="1"/>
    </xf>
    <xf numFmtId="0" fontId="208" fillId="22" borderId="0" xfId="0" applyFont="1" applyFill="1" applyBorder="1" applyAlignment="1" applyProtection="1">
      <alignment horizontal="center" vertical="center"/>
      <protection hidden="1"/>
    </xf>
    <xf numFmtId="0" fontId="477" fillId="21" borderId="90" xfId="0" applyFont="1" applyFill="1" applyBorder="1" applyAlignment="1" applyProtection="1">
      <alignment horizontal="left" vertical="top" wrapText="1"/>
      <protection hidden="1"/>
    </xf>
    <xf numFmtId="0" fontId="477" fillId="21" borderId="0" xfId="0" applyFont="1" applyFill="1" applyBorder="1" applyAlignment="1" applyProtection="1">
      <alignment horizontal="left" vertical="top" wrapText="1"/>
      <protection hidden="1"/>
    </xf>
    <xf numFmtId="0" fontId="182" fillId="21" borderId="90" xfId="0" applyFont="1" applyFill="1" applyBorder="1" applyAlignment="1" applyProtection="1">
      <alignment horizontal="left" vertical="top" wrapText="1"/>
      <protection hidden="1"/>
    </xf>
    <xf numFmtId="0" fontId="182" fillId="21" borderId="0" xfId="0" applyFont="1" applyFill="1" applyBorder="1" applyAlignment="1" applyProtection="1">
      <alignment horizontal="left" vertical="top" wrapText="1"/>
      <protection hidden="1"/>
    </xf>
    <xf numFmtId="0" fontId="182" fillId="21" borderId="90" xfId="0" applyFont="1" applyFill="1" applyBorder="1" applyAlignment="1" applyProtection="1">
      <alignment horizontal="left" vertical="center" wrapText="1"/>
      <protection hidden="1"/>
    </xf>
    <xf numFmtId="0" fontId="182" fillId="21" borderId="0" xfId="0" applyFont="1" applyFill="1" applyBorder="1" applyAlignment="1" applyProtection="1">
      <alignment horizontal="left" vertical="center" wrapText="1"/>
      <protection hidden="1"/>
    </xf>
    <xf numFmtId="0" fontId="275" fillId="6" borderId="0" xfId="0" quotePrefix="1" applyFont="1" applyFill="1" applyBorder="1" applyAlignment="1" applyProtection="1">
      <alignment horizontal="right" vertical="center" indent="1"/>
      <protection hidden="1"/>
    </xf>
    <xf numFmtId="166" fontId="275" fillId="6" borderId="0" xfId="0" quotePrefix="1" applyNumberFormat="1" applyFont="1" applyFill="1" applyBorder="1" applyAlignment="1" applyProtection="1">
      <alignment horizontal="center" vertical="center"/>
      <protection hidden="1"/>
    </xf>
    <xf numFmtId="0" fontId="367" fillId="6" borderId="92" xfId="0" quotePrefix="1" applyFont="1" applyFill="1" applyBorder="1" applyAlignment="1" applyProtection="1">
      <alignment vertical="center"/>
      <protection hidden="1"/>
    </xf>
    <xf numFmtId="0" fontId="277" fillId="6" borderId="92" xfId="0" quotePrefix="1" applyFont="1" applyFill="1" applyBorder="1" applyAlignment="1" applyProtection="1">
      <alignment horizontal="center" vertical="center"/>
      <protection hidden="1"/>
    </xf>
    <xf numFmtId="0" fontId="277" fillId="6" borderId="0" xfId="0" quotePrefix="1" applyFont="1" applyFill="1" applyBorder="1" applyAlignment="1" applyProtection="1">
      <alignment vertical="center"/>
      <protection hidden="1"/>
    </xf>
    <xf numFmtId="166" fontId="277" fillId="6" borderId="0" xfId="0" quotePrefix="1" applyNumberFormat="1" applyFont="1" applyFill="1" applyBorder="1" applyAlignment="1" applyProtection="1">
      <alignment horizontal="center" vertical="center"/>
      <protection hidden="1"/>
    </xf>
    <xf numFmtId="0" fontId="476" fillId="6" borderId="0" xfId="0" quotePrefix="1" applyFont="1" applyFill="1" applyBorder="1" applyAlignment="1" applyProtection="1">
      <alignment vertical="center"/>
      <protection hidden="1"/>
    </xf>
    <xf numFmtId="0" fontId="277" fillId="6" borderId="0" xfId="0" quotePrefix="1" applyFont="1" applyFill="1" applyBorder="1" applyAlignment="1" applyProtection="1">
      <alignment horizontal="left" vertical="center" indent="1"/>
      <protection hidden="1"/>
    </xf>
    <xf numFmtId="0" fontId="277" fillId="6" borderId="8" xfId="0" quotePrefix="1" applyFont="1" applyFill="1" applyBorder="1" applyAlignment="1" applyProtection="1">
      <alignment horizontal="left" vertical="center" indent="1"/>
      <protection hidden="1"/>
    </xf>
    <xf numFmtId="166" fontId="277" fillId="6" borderId="8" xfId="0" quotePrefix="1" applyNumberFormat="1" applyFont="1" applyFill="1" applyBorder="1" applyAlignment="1" applyProtection="1">
      <alignment horizontal="center" vertical="center"/>
      <protection hidden="1"/>
    </xf>
    <xf numFmtId="14" fontId="305" fillId="26" borderId="362" xfId="0" applyNumberFormat="1" applyFont="1" applyFill="1" applyBorder="1" applyAlignment="1" applyProtection="1">
      <alignment horizontal="center" vertical="center"/>
      <protection hidden="1"/>
    </xf>
    <xf numFmtId="14" fontId="305" fillId="26" borderId="380" xfId="0" applyNumberFormat="1" applyFont="1" applyFill="1" applyBorder="1" applyAlignment="1" applyProtection="1">
      <alignment horizontal="center" vertical="center"/>
      <protection hidden="1"/>
    </xf>
    <xf numFmtId="14" fontId="305" fillId="26" borderId="361" xfId="0" applyNumberFormat="1" applyFont="1" applyFill="1" applyBorder="1" applyAlignment="1" applyProtection="1">
      <alignment horizontal="center" vertical="center"/>
      <protection hidden="1"/>
    </xf>
    <xf numFmtId="0" fontId="277" fillId="6" borderId="8" xfId="0" quotePrefix="1" applyFont="1" applyFill="1" applyBorder="1" applyAlignment="1" applyProtection="1">
      <alignment vertical="center"/>
      <protection hidden="1"/>
    </xf>
    <xf numFmtId="166" fontId="277" fillId="14" borderId="122" xfId="0" quotePrefix="1" applyNumberFormat="1" applyFont="1" applyFill="1" applyBorder="1" applyAlignment="1" applyProtection="1">
      <alignment horizontal="left" vertical="center" indent="1"/>
      <protection locked="0" hidden="1"/>
    </xf>
    <xf numFmtId="166" fontId="277" fillId="14" borderId="123" xfId="0" quotePrefix="1" applyNumberFormat="1" applyFont="1" applyFill="1" applyBorder="1" applyAlignment="1" applyProtection="1">
      <alignment horizontal="left" vertical="center" indent="1"/>
      <protection locked="0" hidden="1"/>
    </xf>
    <xf numFmtId="166" fontId="277" fillId="14" borderId="124" xfId="0" quotePrefix="1" applyNumberFormat="1" applyFont="1" applyFill="1" applyBorder="1" applyAlignment="1" applyProtection="1">
      <alignment horizontal="left" vertical="center" indent="1"/>
      <protection locked="0" hidden="1"/>
    </xf>
    <xf numFmtId="166" fontId="277" fillId="14" borderId="122" xfId="0" quotePrefix="1" applyNumberFormat="1" applyFont="1" applyFill="1" applyBorder="1" applyAlignment="1" applyProtection="1">
      <alignment horizontal="center" vertical="center"/>
      <protection locked="0" hidden="1"/>
    </xf>
    <xf numFmtId="166" fontId="277" fillId="14" borderId="123" xfId="0" quotePrefix="1" applyNumberFormat="1" applyFont="1" applyFill="1" applyBorder="1" applyAlignment="1" applyProtection="1">
      <alignment horizontal="center" vertical="center"/>
      <protection locked="0" hidden="1"/>
    </xf>
    <xf numFmtId="166" fontId="277" fillId="14" borderId="124" xfId="0" quotePrefix="1" applyNumberFormat="1" applyFont="1" applyFill="1" applyBorder="1" applyAlignment="1" applyProtection="1">
      <alignment horizontal="center" vertical="center"/>
      <protection locked="0" hidden="1"/>
    </xf>
    <xf numFmtId="9" fontId="275" fillId="6" borderId="127" xfId="22" quotePrefix="1" applyFont="1" applyFill="1" applyBorder="1" applyAlignment="1" applyProtection="1">
      <alignment horizontal="center" vertical="center"/>
      <protection hidden="1"/>
    </xf>
    <xf numFmtId="168" fontId="275" fillId="6" borderId="127" xfId="0" quotePrefix="1" applyNumberFormat="1" applyFont="1" applyFill="1" applyBorder="1" applyAlignment="1" applyProtection="1">
      <alignment horizontal="center" vertical="center"/>
      <protection hidden="1"/>
    </xf>
    <xf numFmtId="0" fontId="275" fillId="6" borderId="127" xfId="0" quotePrefix="1" applyFont="1" applyFill="1" applyBorder="1" applyAlignment="1" applyProtection="1">
      <alignment horizontal="center" vertical="center"/>
      <protection hidden="1"/>
    </xf>
    <xf numFmtId="166" fontId="277" fillId="6" borderId="108" xfId="0" quotePrefix="1" applyNumberFormat="1" applyFont="1" applyFill="1" applyBorder="1" applyAlignment="1" applyProtection="1">
      <alignment horizontal="center" vertical="center"/>
      <protection hidden="1"/>
    </xf>
    <xf numFmtId="10" fontId="275" fillId="6" borderId="127" xfId="22" quotePrefix="1" applyNumberFormat="1" applyFont="1" applyFill="1" applyBorder="1" applyAlignment="1" applyProtection="1">
      <alignment horizontal="center" vertical="center"/>
      <protection hidden="1"/>
    </xf>
    <xf numFmtId="166" fontId="277" fillId="14" borderId="390" xfId="0" quotePrefix="1" applyNumberFormat="1" applyFont="1" applyFill="1" applyBorder="1" applyAlignment="1" applyProtection="1">
      <alignment horizontal="left" vertical="center" indent="1"/>
      <protection locked="0" hidden="1"/>
    </xf>
    <xf numFmtId="166" fontId="277" fillId="14" borderId="391" xfId="0" quotePrefix="1" applyNumberFormat="1" applyFont="1" applyFill="1" applyBorder="1" applyAlignment="1" applyProtection="1">
      <alignment horizontal="left" vertical="center" indent="1"/>
      <protection locked="0" hidden="1"/>
    </xf>
    <xf numFmtId="166" fontId="277" fillId="14" borderId="392" xfId="0" quotePrefix="1" applyNumberFormat="1" applyFont="1" applyFill="1" applyBorder="1" applyAlignment="1" applyProtection="1">
      <alignment horizontal="left" vertical="center" indent="1"/>
      <protection locked="0" hidden="1"/>
    </xf>
    <xf numFmtId="1" fontId="275" fillId="6" borderId="434" xfId="0" quotePrefix="1" applyNumberFormat="1" applyFont="1" applyFill="1" applyBorder="1" applyAlignment="1" applyProtection="1">
      <alignment horizontal="right" vertical="center"/>
      <protection hidden="1"/>
    </xf>
    <xf numFmtId="1" fontId="275" fillId="6" borderId="433" xfId="0" quotePrefix="1" applyNumberFormat="1" applyFont="1" applyFill="1" applyBorder="1" applyAlignment="1" applyProtection="1">
      <alignment horizontal="right" vertical="center"/>
      <protection hidden="1"/>
    </xf>
    <xf numFmtId="1" fontId="275" fillId="6" borderId="435" xfId="0" quotePrefix="1" applyNumberFormat="1" applyFont="1" applyFill="1" applyBorder="1" applyAlignment="1" applyProtection="1">
      <alignment horizontal="right" vertical="center"/>
      <protection hidden="1"/>
    </xf>
    <xf numFmtId="1" fontId="277" fillId="6" borderId="390" xfId="0" quotePrefix="1" applyNumberFormat="1" applyFont="1" applyFill="1" applyBorder="1" applyAlignment="1" applyProtection="1">
      <alignment horizontal="center" vertical="center"/>
      <protection hidden="1"/>
    </xf>
    <xf numFmtId="1" fontId="277" fillId="6" borderId="391" xfId="0" quotePrefix="1" applyNumberFormat="1" applyFont="1" applyFill="1" applyBorder="1" applyAlignment="1" applyProtection="1">
      <alignment horizontal="center" vertical="center"/>
      <protection hidden="1"/>
    </xf>
    <xf numFmtId="1" fontId="277" fillId="6" borderId="392" xfId="0" quotePrefix="1" applyNumberFormat="1" applyFont="1" applyFill="1" applyBorder="1" applyAlignment="1" applyProtection="1">
      <alignment horizontal="center" vertical="center"/>
      <protection hidden="1"/>
    </xf>
    <xf numFmtId="10" fontId="275" fillId="14" borderId="395" xfId="22" quotePrefix="1" applyNumberFormat="1" applyFont="1" applyFill="1" applyBorder="1" applyAlignment="1" applyProtection="1">
      <alignment horizontal="center" vertical="center"/>
      <protection locked="0" hidden="1"/>
    </xf>
    <xf numFmtId="168" fontId="275" fillId="6" borderId="395" xfId="0" quotePrefix="1" applyNumberFormat="1" applyFont="1" applyFill="1" applyBorder="1" applyAlignment="1" applyProtection="1">
      <alignment horizontal="center" vertical="center"/>
      <protection hidden="1"/>
    </xf>
    <xf numFmtId="0" fontId="275" fillId="6" borderId="395" xfId="0" quotePrefix="1" applyFont="1" applyFill="1" applyBorder="1" applyAlignment="1" applyProtection="1">
      <alignment horizontal="center" vertical="center"/>
      <protection hidden="1"/>
    </xf>
    <xf numFmtId="10" fontId="275" fillId="14" borderId="121" xfId="22" quotePrefix="1" applyNumberFormat="1" applyFont="1" applyFill="1" applyBorder="1" applyAlignment="1" applyProtection="1">
      <alignment horizontal="center" vertical="center"/>
      <protection locked="0" hidden="1"/>
    </xf>
    <xf numFmtId="168" fontId="275" fillId="6" borderId="121" xfId="0" quotePrefix="1" applyNumberFormat="1" applyFont="1" applyFill="1" applyBorder="1" applyAlignment="1" applyProtection="1">
      <alignment horizontal="center" vertical="center"/>
      <protection hidden="1"/>
    </xf>
    <xf numFmtId="0" fontId="275" fillId="6" borderId="121" xfId="0" quotePrefix="1" applyFont="1" applyFill="1" applyBorder="1" applyAlignment="1" applyProtection="1">
      <alignment horizontal="center" vertical="center"/>
      <protection hidden="1"/>
    </xf>
    <xf numFmtId="1" fontId="277" fillId="6" borderId="121" xfId="0" quotePrefix="1" applyNumberFormat="1" applyFont="1" applyFill="1" applyBorder="1" applyAlignment="1" applyProtection="1">
      <alignment horizontal="center" vertical="center"/>
      <protection hidden="1"/>
    </xf>
    <xf numFmtId="166" fontId="341" fillId="6" borderId="126" xfId="0" quotePrefix="1" applyNumberFormat="1" applyFont="1" applyFill="1" applyBorder="1" applyAlignment="1" applyProtection="1">
      <alignment horizontal="center" vertical="center"/>
      <protection hidden="1"/>
    </xf>
    <xf numFmtId="166" fontId="341" fillId="6" borderId="108" xfId="0" quotePrefix="1" applyNumberFormat="1" applyFont="1" applyFill="1" applyBorder="1" applyAlignment="1" applyProtection="1">
      <alignment horizontal="center" vertical="center"/>
      <protection hidden="1"/>
    </xf>
    <xf numFmtId="166" fontId="341" fillId="6" borderId="132" xfId="0" quotePrefix="1" applyNumberFormat="1" applyFont="1" applyFill="1" applyBorder="1" applyAlignment="1" applyProtection="1">
      <alignment horizontal="center" vertical="center"/>
      <protection hidden="1"/>
    </xf>
    <xf numFmtId="166" fontId="341" fillId="6" borderId="130" xfId="0" quotePrefix="1" applyNumberFormat="1" applyFont="1" applyFill="1" applyBorder="1" applyAlignment="1" applyProtection="1">
      <alignment horizontal="center" vertical="center"/>
      <protection hidden="1"/>
    </xf>
    <xf numFmtId="166" fontId="341" fillId="6" borderId="109" xfId="0" quotePrefix="1" applyNumberFormat="1" applyFont="1" applyFill="1" applyBorder="1" applyAlignment="1" applyProtection="1">
      <alignment horizontal="center" vertical="center"/>
      <protection hidden="1"/>
    </xf>
    <xf numFmtId="166" fontId="341" fillId="6" borderId="131" xfId="0" quotePrefix="1" applyNumberFormat="1" applyFont="1" applyFill="1" applyBorder="1" applyAlignment="1" applyProtection="1">
      <alignment horizontal="center" vertical="center"/>
      <protection hidden="1"/>
    </xf>
    <xf numFmtId="169" fontId="341" fillId="6" borderId="126" xfId="22" quotePrefix="1" applyNumberFormat="1" applyFont="1" applyFill="1" applyBorder="1" applyAlignment="1" applyProtection="1">
      <alignment horizontal="center" vertical="center"/>
      <protection hidden="1"/>
    </xf>
    <xf numFmtId="169" fontId="341" fillId="6" borderId="108" xfId="22" quotePrefix="1" applyNumberFormat="1" applyFont="1" applyFill="1" applyBorder="1" applyAlignment="1" applyProtection="1">
      <alignment horizontal="center" vertical="center"/>
      <protection hidden="1"/>
    </xf>
    <xf numFmtId="169" fontId="341" fillId="6" borderId="132" xfId="22" quotePrefix="1" applyNumberFormat="1" applyFont="1" applyFill="1" applyBorder="1" applyAlignment="1" applyProtection="1">
      <alignment horizontal="center" vertical="center"/>
      <protection hidden="1"/>
    </xf>
    <xf numFmtId="169" fontId="341" fillId="6" borderId="130" xfId="22" quotePrefix="1" applyNumberFormat="1" applyFont="1" applyFill="1" applyBorder="1" applyAlignment="1" applyProtection="1">
      <alignment horizontal="center" vertical="center"/>
      <protection hidden="1"/>
    </xf>
    <xf numFmtId="169" fontId="341" fillId="6" borderId="109" xfId="22" quotePrefix="1" applyNumberFormat="1" applyFont="1" applyFill="1" applyBorder="1" applyAlignment="1" applyProtection="1">
      <alignment horizontal="center" vertical="center"/>
      <protection hidden="1"/>
    </xf>
    <xf numFmtId="169" fontId="341" fillId="6" borderId="131" xfId="22" quotePrefix="1" applyNumberFormat="1" applyFont="1" applyFill="1" applyBorder="1" applyAlignment="1" applyProtection="1">
      <alignment horizontal="center" vertical="center"/>
      <protection hidden="1"/>
    </xf>
    <xf numFmtId="0" fontId="340" fillId="7" borderId="122" xfId="0" quotePrefix="1" applyFont="1" applyFill="1" applyBorder="1" applyAlignment="1" applyProtection="1">
      <alignment horizontal="center" vertical="center"/>
      <protection hidden="1"/>
    </xf>
    <xf numFmtId="0" fontId="340" fillId="7" borderId="123" xfId="0" quotePrefix="1" applyFont="1" applyFill="1" applyBorder="1" applyAlignment="1" applyProtection="1">
      <alignment horizontal="center" vertical="center"/>
      <protection hidden="1"/>
    </xf>
    <xf numFmtId="0" fontId="340" fillId="7" borderId="124" xfId="0" quotePrefix="1" applyFont="1" applyFill="1" applyBorder="1" applyAlignment="1" applyProtection="1">
      <alignment horizontal="center" vertical="center"/>
      <protection hidden="1"/>
    </xf>
    <xf numFmtId="166" fontId="277" fillId="14" borderId="390" xfId="0" quotePrefix="1" applyNumberFormat="1" applyFont="1" applyFill="1" applyBorder="1" applyAlignment="1" applyProtection="1">
      <alignment horizontal="center" vertical="center"/>
      <protection locked="0" hidden="1"/>
    </xf>
    <xf numFmtId="166" fontId="277" fillId="14" borderId="391" xfId="0" quotePrefix="1" applyNumberFormat="1" applyFont="1" applyFill="1" applyBorder="1" applyAlignment="1" applyProtection="1">
      <alignment horizontal="center" vertical="center"/>
      <protection locked="0" hidden="1"/>
    </xf>
    <xf numFmtId="166" fontId="277" fillId="14" borderId="392" xfId="0" quotePrefix="1" applyNumberFormat="1" applyFont="1" applyFill="1" applyBorder="1" applyAlignment="1" applyProtection="1">
      <alignment horizontal="center" vertical="center"/>
      <protection locked="0" hidden="1"/>
    </xf>
    <xf numFmtId="9" fontId="275" fillId="6" borderId="121" xfId="22" quotePrefix="1" applyFont="1" applyFill="1" applyBorder="1" applyAlignment="1" applyProtection="1">
      <alignment horizontal="center" vertical="center"/>
      <protection hidden="1"/>
    </xf>
    <xf numFmtId="0" fontId="275" fillId="7" borderId="121" xfId="0" quotePrefix="1" applyFont="1" applyFill="1" applyBorder="1" applyAlignment="1" applyProtection="1">
      <alignment horizontal="center" vertical="center"/>
      <protection hidden="1"/>
    </xf>
    <xf numFmtId="0" fontId="199" fillId="21" borderId="0" xfId="0" applyFont="1" applyFill="1" applyBorder="1" applyAlignment="1" applyProtection="1">
      <alignment horizontal="center" vertical="center"/>
      <protection hidden="1"/>
    </xf>
    <xf numFmtId="0" fontId="275" fillId="6" borderId="109" xfId="0" quotePrefix="1" applyFont="1" applyFill="1" applyBorder="1" applyAlignment="1" applyProtection="1">
      <alignment horizontal="center" vertical="center"/>
      <protection hidden="1"/>
    </xf>
    <xf numFmtId="0" fontId="275" fillId="6" borderId="109" xfId="0" quotePrefix="1" applyFont="1" applyFill="1" applyBorder="1" applyAlignment="1" applyProtection="1">
      <alignment vertical="center"/>
      <protection hidden="1"/>
    </xf>
    <xf numFmtId="0" fontId="277" fillId="6" borderId="108" xfId="0" quotePrefix="1" applyFont="1" applyFill="1" applyBorder="1" applyAlignment="1" applyProtection="1">
      <alignment horizontal="left" vertical="center" indent="1"/>
      <protection hidden="1"/>
    </xf>
    <xf numFmtId="0" fontId="259" fillId="22" borderId="243" xfId="0" applyFont="1" applyFill="1" applyBorder="1" applyAlignment="1" applyProtection="1">
      <alignment horizontal="center" vertical="center" wrapText="1"/>
      <protection hidden="1"/>
    </xf>
    <xf numFmtId="0" fontId="259" fillId="22" borderId="244" xfId="0" applyFont="1" applyFill="1" applyBorder="1" applyAlignment="1" applyProtection="1">
      <alignment horizontal="center" vertical="center" wrapText="1"/>
      <protection hidden="1"/>
    </xf>
    <xf numFmtId="0" fontId="259" fillId="22" borderId="245" xfId="0" applyFont="1" applyFill="1" applyBorder="1" applyAlignment="1" applyProtection="1">
      <alignment horizontal="center" vertical="center" wrapText="1"/>
      <protection hidden="1"/>
    </xf>
    <xf numFmtId="0" fontId="259" fillId="22" borderId="247" xfId="0" applyFont="1" applyFill="1" applyBorder="1" applyAlignment="1" applyProtection="1">
      <alignment horizontal="center" vertical="center" wrapText="1"/>
      <protection hidden="1"/>
    </xf>
    <xf numFmtId="0" fontId="259" fillId="22" borderId="248" xfId="0" applyFont="1" applyFill="1" applyBorder="1" applyAlignment="1" applyProtection="1">
      <alignment horizontal="center" vertical="center" wrapText="1"/>
      <protection hidden="1"/>
    </xf>
    <xf numFmtId="0" fontId="259" fillId="22" borderId="249" xfId="0" applyFont="1" applyFill="1" applyBorder="1" applyAlignment="1" applyProtection="1">
      <alignment horizontal="center" vertical="center" wrapText="1"/>
      <protection hidden="1"/>
    </xf>
    <xf numFmtId="0" fontId="40" fillId="6" borderId="121" xfId="0" applyFont="1" applyFill="1" applyBorder="1" applyAlignment="1" applyProtection="1">
      <alignment horizontal="center" vertical="center"/>
      <protection hidden="1"/>
    </xf>
    <xf numFmtId="0" fontId="40" fillId="6" borderId="122" xfId="0" applyFont="1" applyFill="1" applyBorder="1" applyAlignment="1" applyProtection="1">
      <alignment horizontal="center" vertical="center"/>
      <protection hidden="1"/>
    </xf>
    <xf numFmtId="0" fontId="280" fillId="6" borderId="108" xfId="0" applyNumberFormat="1" applyFont="1" applyFill="1" applyBorder="1" applyAlignment="1" applyProtection="1">
      <alignment horizontal="left" vertical="center" wrapText="1"/>
      <protection hidden="1"/>
    </xf>
    <xf numFmtId="0" fontId="280" fillId="6" borderId="132" xfId="0" applyNumberFormat="1" applyFont="1" applyFill="1" applyBorder="1" applyAlignment="1" applyProtection="1">
      <alignment horizontal="left" vertical="center" wrapText="1"/>
      <protection hidden="1"/>
    </xf>
    <xf numFmtId="0" fontId="280" fillId="6" borderId="109" xfId="0" applyNumberFormat="1" applyFont="1" applyFill="1" applyBorder="1" applyAlignment="1" applyProtection="1">
      <alignment horizontal="left" vertical="center" wrapText="1"/>
      <protection hidden="1"/>
    </xf>
    <xf numFmtId="0" fontId="280" fillId="6" borderId="131" xfId="0" applyNumberFormat="1" applyFont="1" applyFill="1" applyBorder="1" applyAlignment="1" applyProtection="1">
      <alignment horizontal="left" vertical="center" wrapText="1"/>
      <protection hidden="1"/>
    </xf>
    <xf numFmtId="166" fontId="72" fillId="7" borderId="121" xfId="0" applyNumberFormat="1" applyFont="1" applyFill="1" applyBorder="1" applyAlignment="1" applyProtection="1">
      <alignment horizontal="center" vertical="center"/>
      <protection hidden="1"/>
    </xf>
    <xf numFmtId="0" fontId="308" fillId="6" borderId="122" xfId="0" applyFont="1" applyFill="1" applyBorder="1" applyAlignment="1" applyProtection="1">
      <alignment horizontal="center" vertical="center"/>
      <protection hidden="1"/>
    </xf>
    <xf numFmtId="0" fontId="308" fillId="6" borderId="123" xfId="0" applyFont="1" applyFill="1" applyBorder="1" applyAlignment="1" applyProtection="1">
      <alignment horizontal="center" vertical="center"/>
      <protection hidden="1"/>
    </xf>
    <xf numFmtId="0" fontId="308" fillId="6" borderId="124" xfId="0" applyFont="1" applyFill="1" applyBorder="1" applyAlignment="1" applyProtection="1">
      <alignment horizontal="center" vertical="center"/>
      <protection hidden="1"/>
    </xf>
    <xf numFmtId="14" fontId="305" fillId="26" borderId="372" xfId="0" applyNumberFormat="1" applyFont="1" applyFill="1" applyBorder="1" applyAlignment="1" applyProtection="1">
      <alignment horizontal="center" vertical="center"/>
      <protection hidden="1"/>
    </xf>
    <xf numFmtId="14" fontId="305" fillId="26" borderId="371" xfId="0" applyNumberFormat="1" applyFont="1" applyFill="1" applyBorder="1" applyAlignment="1" applyProtection="1">
      <alignment horizontal="center" vertical="center"/>
      <protection hidden="1"/>
    </xf>
    <xf numFmtId="166" fontId="72" fillId="7" borderId="122" xfId="0" applyNumberFormat="1" applyFont="1" applyFill="1" applyBorder="1" applyAlignment="1" applyProtection="1">
      <alignment horizontal="center" vertical="center"/>
      <protection hidden="1"/>
    </xf>
    <xf numFmtId="166" fontId="72" fillId="7" borderId="123" xfId="0" applyNumberFormat="1" applyFont="1" applyFill="1" applyBorder="1" applyAlignment="1" applyProtection="1">
      <alignment horizontal="center" vertical="center"/>
      <protection hidden="1"/>
    </xf>
    <xf numFmtId="166" fontId="72" fillId="7" borderId="124" xfId="0" applyNumberFormat="1" applyFont="1" applyFill="1" applyBorder="1" applyAlignment="1" applyProtection="1">
      <alignment horizontal="center" vertical="center"/>
      <protection hidden="1"/>
    </xf>
    <xf numFmtId="0" fontId="108" fillId="7" borderId="122" xfId="0" applyFont="1" applyFill="1" applyBorder="1" applyAlignment="1" applyProtection="1">
      <alignment horizontal="center" vertical="center"/>
      <protection hidden="1"/>
    </xf>
    <xf numFmtId="0" fontId="108" fillId="7" borderId="123" xfId="0" applyFont="1" applyFill="1" applyBorder="1" applyAlignment="1" applyProtection="1">
      <alignment horizontal="center" vertical="center"/>
      <protection hidden="1"/>
    </xf>
    <xf numFmtId="0" fontId="108" fillId="7" borderId="124" xfId="0" applyFont="1" applyFill="1" applyBorder="1" applyAlignment="1" applyProtection="1">
      <alignment horizontal="center" vertical="center"/>
      <protection hidden="1"/>
    </xf>
    <xf numFmtId="166" fontId="316" fillId="6" borderId="123" xfId="0" applyNumberFormat="1" applyFont="1" applyFill="1" applyBorder="1" applyAlignment="1" applyProtection="1">
      <alignment horizontal="center" vertical="center"/>
      <protection hidden="1"/>
    </xf>
    <xf numFmtId="166" fontId="316" fillId="6" borderId="124" xfId="0" applyNumberFormat="1" applyFont="1" applyFill="1" applyBorder="1" applyAlignment="1" applyProtection="1">
      <alignment horizontal="center" vertical="center"/>
      <protection hidden="1"/>
    </xf>
    <xf numFmtId="166" fontId="315" fillId="6" borderId="122" xfId="0" applyNumberFormat="1" applyFont="1" applyFill="1" applyBorder="1" applyAlignment="1" applyProtection="1">
      <alignment horizontal="center" vertical="center"/>
      <protection hidden="1"/>
    </xf>
    <xf numFmtId="166" fontId="315" fillId="6" borderId="124" xfId="0" applyNumberFormat="1" applyFont="1" applyFill="1" applyBorder="1" applyAlignment="1" applyProtection="1">
      <alignment horizontal="center" vertical="center"/>
      <protection hidden="1"/>
    </xf>
    <xf numFmtId="10" fontId="310" fillId="14" borderId="121" xfId="22" applyNumberFormat="1" applyFont="1" applyFill="1" applyBorder="1" applyAlignment="1" applyProtection="1">
      <alignment horizontal="center" vertical="center"/>
      <protection locked="0" hidden="1"/>
    </xf>
    <xf numFmtId="166" fontId="316" fillId="6" borderId="121" xfId="0" applyNumberFormat="1" applyFont="1" applyFill="1" applyBorder="1" applyAlignment="1" applyProtection="1">
      <alignment horizontal="center" vertical="center"/>
      <protection hidden="1"/>
    </xf>
    <xf numFmtId="10" fontId="318" fillId="14" borderId="121" xfId="22" applyNumberFormat="1" applyFont="1" applyFill="1" applyBorder="1" applyAlignment="1" applyProtection="1">
      <alignment horizontal="center" vertical="center"/>
      <protection locked="0" hidden="1"/>
    </xf>
    <xf numFmtId="0" fontId="108" fillId="7" borderId="376" xfId="0" applyFont="1" applyFill="1" applyBorder="1" applyAlignment="1" applyProtection="1">
      <alignment horizontal="center" vertical="center"/>
      <protection hidden="1"/>
    </xf>
    <xf numFmtId="0" fontId="108" fillId="7" borderId="377" xfId="0" applyFont="1" applyFill="1" applyBorder="1" applyAlignment="1" applyProtection="1">
      <alignment horizontal="center" vertical="center"/>
      <protection hidden="1"/>
    </xf>
    <xf numFmtId="0" fontId="105" fillId="14" borderId="372" xfId="0" applyFont="1" applyFill="1" applyBorder="1" applyAlignment="1" applyProtection="1">
      <alignment horizontal="center" vertical="center"/>
      <protection locked="0" hidden="1"/>
    </xf>
    <xf numFmtId="0" fontId="105" fillId="14" borderId="371" xfId="0" applyFont="1" applyFill="1" applyBorder="1" applyAlignment="1" applyProtection="1">
      <alignment horizontal="center" vertical="center"/>
      <protection locked="0" hidden="1"/>
    </xf>
    <xf numFmtId="0" fontId="105" fillId="14" borderId="373" xfId="0" applyFont="1" applyFill="1" applyBorder="1" applyAlignment="1" applyProtection="1">
      <alignment horizontal="center" vertical="center"/>
      <protection locked="0" hidden="1"/>
    </xf>
    <xf numFmtId="0" fontId="96" fillId="21" borderId="0" xfId="0" applyFont="1" applyFill="1" applyBorder="1" applyAlignment="1" applyProtection="1">
      <alignment horizontal="left" vertical="center"/>
      <protection hidden="1"/>
    </xf>
    <xf numFmtId="0" fontId="41" fillId="6" borderId="122" xfId="0" applyFont="1" applyFill="1" applyBorder="1" applyAlignment="1" applyProtection="1">
      <alignment horizontal="center"/>
      <protection hidden="1"/>
    </xf>
    <xf numFmtId="0" fontId="41" fillId="6" borderId="124" xfId="0" applyFont="1" applyFill="1" applyBorder="1" applyAlignment="1" applyProtection="1">
      <alignment horizontal="center"/>
      <protection hidden="1"/>
    </xf>
    <xf numFmtId="0" fontId="40" fillId="6" borderId="162" xfId="0" applyFont="1" applyFill="1" applyBorder="1" applyAlignment="1" applyProtection="1">
      <alignment horizontal="center" vertical="center"/>
      <protection hidden="1"/>
    </xf>
    <xf numFmtId="0" fontId="40" fillId="6" borderId="108" xfId="0" applyFont="1" applyFill="1" applyBorder="1" applyAlignment="1" applyProtection="1">
      <alignment horizontal="center" vertical="center"/>
      <protection hidden="1"/>
    </xf>
    <xf numFmtId="0" fontId="40" fillId="6" borderId="379" xfId="0" applyFont="1" applyFill="1" applyBorder="1" applyAlignment="1" applyProtection="1">
      <alignment horizontal="center" vertical="center"/>
      <protection hidden="1"/>
    </xf>
    <xf numFmtId="0" fontId="40" fillId="6" borderId="109" xfId="0" applyFont="1" applyFill="1" applyBorder="1" applyAlignment="1" applyProtection="1">
      <alignment horizontal="center" vertical="center"/>
      <protection hidden="1"/>
    </xf>
    <xf numFmtId="9" fontId="317" fillId="14" borderId="121" xfId="22" applyFont="1" applyFill="1" applyBorder="1" applyAlignment="1" applyProtection="1">
      <alignment horizontal="center" vertical="center" wrapText="1"/>
      <protection locked="0" hidden="1"/>
    </xf>
    <xf numFmtId="166" fontId="316" fillId="6" borderId="363" xfId="0" applyNumberFormat="1" applyFont="1" applyFill="1" applyBorder="1" applyAlignment="1" applyProtection="1">
      <alignment horizontal="center" vertical="center"/>
      <protection hidden="1"/>
    </xf>
    <xf numFmtId="0" fontId="267" fillId="26" borderId="372" xfId="0" applyFont="1" applyFill="1" applyBorder="1" applyAlignment="1" applyProtection="1">
      <alignment horizontal="center" vertical="center"/>
      <protection locked="0" hidden="1"/>
    </xf>
    <xf numFmtId="0" fontId="267" fillId="26" borderId="371" xfId="0" applyFont="1" applyFill="1" applyBorder="1" applyAlignment="1" applyProtection="1">
      <alignment horizontal="center" vertical="center"/>
      <protection locked="0" hidden="1"/>
    </xf>
    <xf numFmtId="0" fontId="267" fillId="26" borderId="373" xfId="0" applyFont="1" applyFill="1" applyBorder="1" applyAlignment="1" applyProtection="1">
      <alignment horizontal="center" vertical="center"/>
      <protection locked="0" hidden="1"/>
    </xf>
    <xf numFmtId="0" fontId="280" fillId="6" borderId="108" xfId="0" applyNumberFormat="1" applyFont="1" applyFill="1" applyBorder="1" applyAlignment="1" applyProtection="1">
      <alignment horizontal="center" vertical="center" wrapText="1"/>
      <protection hidden="1"/>
    </xf>
    <xf numFmtId="0" fontId="280" fillId="6" borderId="132" xfId="0" applyNumberFormat="1" applyFont="1" applyFill="1" applyBorder="1" applyAlignment="1" applyProtection="1">
      <alignment horizontal="center" vertical="center" wrapText="1"/>
      <protection hidden="1"/>
    </xf>
    <xf numFmtId="0" fontId="280" fillId="6" borderId="109" xfId="0" applyNumberFormat="1" applyFont="1" applyFill="1" applyBorder="1" applyAlignment="1" applyProtection="1">
      <alignment horizontal="center" vertical="center" wrapText="1"/>
      <protection hidden="1"/>
    </xf>
    <xf numFmtId="0" fontId="280" fillId="6" borderId="131" xfId="0" applyNumberFormat="1" applyFont="1" applyFill="1" applyBorder="1" applyAlignment="1" applyProtection="1">
      <alignment horizontal="center" vertical="center" wrapText="1"/>
      <protection hidden="1"/>
    </xf>
    <xf numFmtId="166" fontId="72" fillId="7" borderId="126" xfId="0" applyNumberFormat="1" applyFont="1" applyFill="1" applyBorder="1" applyAlignment="1" applyProtection="1">
      <alignment horizontal="center" vertical="center"/>
      <protection hidden="1"/>
    </xf>
    <xf numFmtId="166" fontId="72" fillId="7" borderId="108" xfId="0" applyNumberFormat="1" applyFont="1" applyFill="1" applyBorder="1" applyAlignment="1" applyProtection="1">
      <alignment horizontal="center" vertical="center"/>
      <protection hidden="1"/>
    </xf>
    <xf numFmtId="166" fontId="72" fillId="7" borderId="132" xfId="0" applyNumberFormat="1" applyFont="1" applyFill="1" applyBorder="1" applyAlignment="1" applyProtection="1">
      <alignment horizontal="center" vertical="center"/>
      <protection hidden="1"/>
    </xf>
    <xf numFmtId="166" fontId="72" fillId="7" borderId="130" xfId="0" applyNumberFormat="1" applyFont="1" applyFill="1" applyBorder="1" applyAlignment="1" applyProtection="1">
      <alignment horizontal="center" vertical="center"/>
      <protection hidden="1"/>
    </xf>
    <xf numFmtId="166" fontId="72" fillId="7" borderId="109" xfId="0" applyNumberFormat="1" applyFont="1" applyFill="1" applyBorder="1" applyAlignment="1" applyProtection="1">
      <alignment horizontal="center" vertical="center"/>
      <protection hidden="1"/>
    </xf>
    <xf numFmtId="166" fontId="72" fillId="7" borderId="131" xfId="0" applyNumberFormat="1" applyFont="1" applyFill="1" applyBorder="1" applyAlignment="1" applyProtection="1">
      <alignment horizontal="center" vertical="center"/>
      <protection hidden="1"/>
    </xf>
    <xf numFmtId="14" fontId="137" fillId="6" borderId="0" xfId="0" applyNumberFormat="1" applyFont="1" applyFill="1" applyBorder="1" applyAlignment="1" applyProtection="1">
      <alignment horizontal="left" vertical="center" indent="1"/>
      <protection hidden="1"/>
    </xf>
    <xf numFmtId="10" fontId="277" fillId="14" borderId="121" xfId="22" quotePrefix="1" applyNumberFormat="1" applyFont="1" applyFill="1" applyBorder="1" applyAlignment="1" applyProtection="1">
      <alignment horizontal="center" vertical="center"/>
      <protection locked="0" hidden="1"/>
    </xf>
    <xf numFmtId="14" fontId="305" fillId="26" borderId="396" xfId="0" applyNumberFormat="1" applyFont="1" applyFill="1" applyBorder="1" applyAlignment="1" applyProtection="1">
      <alignment horizontal="center" vertical="center"/>
      <protection hidden="1"/>
    </xf>
    <xf numFmtId="14" fontId="305" fillId="26" borderId="397" xfId="0" applyNumberFormat="1" applyFont="1" applyFill="1" applyBorder="1" applyAlignment="1" applyProtection="1">
      <alignment horizontal="center" vertical="center"/>
      <protection hidden="1"/>
    </xf>
    <xf numFmtId="14" fontId="305" fillId="26" borderId="398" xfId="0" applyNumberFormat="1" applyFont="1" applyFill="1" applyBorder="1" applyAlignment="1" applyProtection="1">
      <alignment horizontal="center" vertical="center"/>
      <protection hidden="1"/>
    </xf>
    <xf numFmtId="168" fontId="275" fillId="6" borderId="4" xfId="0" quotePrefix="1" applyNumberFormat="1" applyFont="1" applyFill="1" applyBorder="1" applyAlignment="1" applyProtection="1">
      <alignment horizontal="center" vertical="center"/>
      <protection hidden="1"/>
    </xf>
    <xf numFmtId="0" fontId="362" fillId="22" borderId="226" xfId="0" quotePrefix="1" applyFont="1" applyFill="1" applyBorder="1" applyAlignment="1" applyProtection="1">
      <alignment horizontal="center" vertical="center"/>
      <protection hidden="1"/>
    </xf>
    <xf numFmtId="0" fontId="362" fillId="22" borderId="227" xfId="0" quotePrefix="1" applyFont="1" applyFill="1" applyBorder="1" applyAlignment="1" applyProtection="1">
      <alignment horizontal="center" vertical="center"/>
      <protection hidden="1"/>
    </xf>
    <xf numFmtId="0" fontId="362" fillId="22" borderId="228" xfId="0" quotePrefix="1" applyFont="1" applyFill="1" applyBorder="1" applyAlignment="1" applyProtection="1">
      <alignment horizontal="center" vertical="center"/>
      <protection hidden="1"/>
    </xf>
    <xf numFmtId="9" fontId="275" fillId="6" borderId="395" xfId="22" quotePrefix="1" applyFont="1" applyFill="1" applyBorder="1" applyAlignment="1" applyProtection="1">
      <alignment horizontal="center" vertical="center"/>
      <protection hidden="1"/>
    </xf>
    <xf numFmtId="166" fontId="150" fillId="14" borderId="123" xfId="0" applyNumberFormat="1" applyFont="1" applyFill="1" applyBorder="1" applyAlignment="1" applyProtection="1">
      <alignment horizontal="center" vertical="center"/>
      <protection locked="0"/>
    </xf>
    <xf numFmtId="166" fontId="150" fillId="14" borderId="124" xfId="0" applyNumberFormat="1" applyFont="1" applyFill="1" applyBorder="1" applyAlignment="1" applyProtection="1">
      <alignment horizontal="center" vertical="center"/>
      <protection locked="0"/>
    </xf>
    <xf numFmtId="0" fontId="96" fillId="21" borderId="0" xfId="0" applyFont="1" applyFill="1" applyBorder="1" applyAlignment="1" applyProtection="1">
      <alignment horizontal="center" vertical="center"/>
      <protection hidden="1"/>
    </xf>
    <xf numFmtId="0" fontId="41" fillId="21" borderId="0" xfId="0" applyFont="1" applyFill="1" applyBorder="1" applyAlignment="1" applyProtection="1">
      <alignment horizontal="center"/>
      <protection hidden="1"/>
    </xf>
    <xf numFmtId="166" fontId="316" fillId="6" borderId="126" xfId="0" applyNumberFormat="1" applyFont="1" applyFill="1" applyBorder="1" applyAlignment="1" applyProtection="1">
      <alignment horizontal="center" vertical="center"/>
      <protection hidden="1"/>
    </xf>
    <xf numFmtId="166" fontId="316" fillId="6" borderId="108" xfId="0" applyNumberFormat="1" applyFont="1" applyFill="1" applyBorder="1" applyAlignment="1" applyProtection="1">
      <alignment horizontal="center" vertical="center"/>
      <protection hidden="1"/>
    </xf>
    <xf numFmtId="166" fontId="316" fillId="6" borderId="132" xfId="0" applyNumberFormat="1" applyFont="1" applyFill="1" applyBorder="1" applyAlignment="1" applyProtection="1">
      <alignment horizontal="center" vertical="center"/>
      <protection hidden="1"/>
    </xf>
    <xf numFmtId="166" fontId="316" fillId="6" borderId="163" xfId="0" applyNumberFormat="1" applyFont="1" applyFill="1" applyBorder="1" applyAlignment="1" applyProtection="1">
      <alignment horizontal="center" vertical="center"/>
      <protection hidden="1"/>
    </xf>
    <xf numFmtId="0" fontId="39" fillId="21" borderId="0" xfId="0" applyFont="1" applyFill="1" applyBorder="1" applyAlignment="1" applyProtection="1">
      <alignment horizontal="center" vertical="center"/>
      <protection hidden="1"/>
    </xf>
    <xf numFmtId="0" fontId="96" fillId="12" borderId="259" xfId="0" applyFont="1" applyFill="1" applyBorder="1" applyAlignment="1" applyProtection="1">
      <alignment horizontal="center" vertical="center"/>
      <protection hidden="1"/>
    </xf>
    <xf numFmtId="0" fontId="96" fillId="12" borderId="260" xfId="0" applyFont="1" applyFill="1" applyBorder="1" applyAlignment="1" applyProtection="1">
      <alignment horizontal="center" vertical="center"/>
      <protection hidden="1"/>
    </xf>
    <xf numFmtId="0" fontId="96" fillId="12" borderId="261" xfId="0" applyFont="1" applyFill="1" applyBorder="1" applyAlignment="1" applyProtection="1">
      <alignment horizontal="center" vertical="center"/>
      <protection hidden="1"/>
    </xf>
    <xf numFmtId="14" fontId="305" fillId="26" borderId="226" xfId="0" applyNumberFormat="1" applyFont="1" applyFill="1" applyBorder="1" applyAlignment="1" applyProtection="1">
      <alignment horizontal="center" vertical="center"/>
      <protection hidden="1"/>
    </xf>
    <xf numFmtId="14" fontId="305" fillId="26" borderId="227" xfId="0" applyNumberFormat="1" applyFont="1" applyFill="1" applyBorder="1" applyAlignment="1" applyProtection="1">
      <alignment horizontal="center" vertical="center"/>
      <protection hidden="1"/>
    </xf>
    <xf numFmtId="14" fontId="305" fillId="26" borderId="228" xfId="0" applyNumberFormat="1" applyFont="1" applyFill="1" applyBorder="1" applyAlignment="1" applyProtection="1">
      <alignment horizontal="center" vertical="center"/>
      <protection hidden="1"/>
    </xf>
    <xf numFmtId="0" fontId="122" fillId="6" borderId="122" xfId="0" applyFont="1" applyFill="1" applyBorder="1" applyAlignment="1" applyProtection="1">
      <alignment horizontal="center" vertical="center"/>
      <protection hidden="1"/>
    </xf>
    <xf numFmtId="0" fontId="122" fillId="6" borderId="123" xfId="0" applyFont="1" applyFill="1" applyBorder="1" applyAlignment="1" applyProtection="1">
      <alignment horizontal="center" vertical="center"/>
      <protection hidden="1"/>
    </xf>
    <xf numFmtId="0" fontId="122" fillId="6" borderId="124" xfId="0" applyFont="1" applyFill="1" applyBorder="1" applyAlignment="1" applyProtection="1">
      <alignment horizontal="center" vertical="center"/>
      <protection hidden="1"/>
    </xf>
    <xf numFmtId="0" fontId="41" fillId="6" borderId="0" xfId="0" applyFont="1" applyFill="1" applyBorder="1" applyAlignment="1" applyProtection="1">
      <alignment horizontal="center"/>
      <protection hidden="1"/>
    </xf>
    <xf numFmtId="14" fontId="137" fillId="6" borderId="0" xfId="0" applyNumberFormat="1" applyFont="1" applyFill="1" applyBorder="1" applyAlignment="1" applyProtection="1">
      <alignment horizontal="right" vertical="center" indent="1"/>
      <protection hidden="1"/>
    </xf>
    <xf numFmtId="166" fontId="72" fillId="7" borderId="377" xfId="0" applyNumberFormat="1" applyFont="1" applyFill="1" applyBorder="1" applyAlignment="1" applyProtection="1">
      <alignment horizontal="center" vertical="center"/>
      <protection hidden="1"/>
    </xf>
    <xf numFmtId="0" fontId="40" fillId="6" borderId="364" xfId="0" applyFont="1" applyFill="1" applyBorder="1" applyAlignment="1" applyProtection="1">
      <alignment horizontal="center" vertical="center"/>
      <protection hidden="1"/>
    </xf>
    <xf numFmtId="172" fontId="310" fillId="12" borderId="259" xfId="0" applyNumberFormat="1" applyFont="1" applyFill="1" applyBorder="1" applyAlignment="1" applyProtection="1">
      <alignment horizontal="center" vertical="center"/>
      <protection locked="0"/>
    </xf>
    <xf numFmtId="172" fontId="310" fillId="12" borderId="260" xfId="0" applyNumberFormat="1" applyFont="1" applyFill="1" applyBorder="1" applyAlignment="1" applyProtection="1">
      <alignment horizontal="center" vertical="center"/>
      <protection locked="0"/>
    </xf>
    <xf numFmtId="172" fontId="310" fillId="12" borderId="261" xfId="0" applyNumberFormat="1" applyFont="1" applyFill="1" applyBorder="1" applyAlignment="1" applyProtection="1">
      <alignment horizontal="center" vertical="center"/>
      <protection locked="0"/>
    </xf>
    <xf numFmtId="0" fontId="280" fillId="6" borderId="124" xfId="0" applyNumberFormat="1" applyFont="1" applyFill="1" applyBorder="1" applyAlignment="1" applyProtection="1">
      <alignment horizontal="left" vertical="center" wrapText="1"/>
      <protection hidden="1"/>
    </xf>
    <xf numFmtId="0" fontId="280" fillId="6" borderId="121" xfId="0" applyNumberFormat="1" applyFont="1" applyFill="1" applyBorder="1" applyAlignment="1" applyProtection="1">
      <alignment horizontal="left" vertical="center" wrapText="1"/>
      <protection hidden="1"/>
    </xf>
    <xf numFmtId="0" fontId="40" fillId="6" borderId="378" xfId="0" applyFont="1" applyFill="1" applyBorder="1" applyAlignment="1" applyProtection="1">
      <alignment horizontal="center" vertical="center"/>
      <protection hidden="1"/>
    </xf>
    <xf numFmtId="0" fontId="40" fillId="6" borderId="130" xfId="0" applyFont="1" applyFill="1" applyBorder="1" applyAlignment="1" applyProtection="1">
      <alignment horizontal="center" vertical="center"/>
      <protection hidden="1"/>
    </xf>
    <xf numFmtId="0" fontId="280" fillId="6" borderId="127" xfId="0" applyNumberFormat="1" applyFont="1" applyFill="1" applyBorder="1" applyAlignment="1" applyProtection="1">
      <alignment horizontal="left" vertical="center" wrapText="1"/>
      <protection hidden="1"/>
    </xf>
    <xf numFmtId="166" fontId="72" fillId="7" borderId="363" xfId="0" applyNumberFormat="1" applyFont="1" applyFill="1" applyBorder="1" applyAlignment="1" applyProtection="1">
      <alignment horizontal="center" vertical="center"/>
      <protection hidden="1"/>
    </xf>
    <xf numFmtId="14" fontId="137" fillId="6" borderId="133" xfId="0" applyNumberFormat="1" applyFont="1" applyFill="1" applyBorder="1" applyAlignment="1" applyProtection="1">
      <alignment horizontal="right" vertical="center" indent="1"/>
      <protection hidden="1"/>
    </xf>
    <xf numFmtId="0" fontId="275" fillId="7" borderId="122" xfId="0" quotePrefix="1" applyFont="1" applyFill="1" applyBorder="1" applyAlignment="1" applyProtection="1">
      <alignment horizontal="center" vertical="center"/>
      <protection hidden="1"/>
    </xf>
    <xf numFmtId="0" fontId="275" fillId="7" borderId="123" xfId="0" quotePrefix="1" applyFont="1" applyFill="1" applyBorder="1" applyAlignment="1" applyProtection="1">
      <alignment horizontal="center" vertical="center"/>
      <protection hidden="1"/>
    </xf>
    <xf numFmtId="0" fontId="275" fillId="7" borderId="124" xfId="0" quotePrefix="1" applyFont="1" applyFill="1" applyBorder="1" applyAlignment="1" applyProtection="1">
      <alignment horizontal="center" vertical="center"/>
      <protection hidden="1"/>
    </xf>
    <xf numFmtId="0" fontId="195" fillId="33" borderId="0" xfId="0" applyFont="1" applyFill="1" applyAlignment="1" applyProtection="1">
      <alignment horizontal="center"/>
      <protection hidden="1"/>
    </xf>
    <xf numFmtId="0" fontId="60" fillId="35" borderId="0" xfId="0" applyFont="1" applyFill="1" applyAlignment="1" applyProtection="1">
      <alignment horizontal="center" vertical="center"/>
      <protection hidden="1"/>
    </xf>
    <xf numFmtId="0" fontId="156" fillId="6" borderId="108" xfId="0" applyFont="1" applyFill="1" applyBorder="1" applyAlignment="1" applyProtection="1">
      <alignment vertical="center"/>
      <protection hidden="1"/>
    </xf>
    <xf numFmtId="0" fontId="156" fillId="6" borderId="0" xfId="0" applyFont="1" applyFill="1" applyBorder="1" applyAlignment="1" applyProtection="1">
      <alignment vertical="center"/>
      <protection hidden="1"/>
    </xf>
    <xf numFmtId="0" fontId="363" fillId="6" borderId="0" xfId="0" quotePrefix="1" applyFont="1" applyFill="1" applyBorder="1" applyAlignment="1" applyProtection="1">
      <alignment vertical="center"/>
      <protection hidden="1"/>
    </xf>
    <xf numFmtId="0" fontId="363" fillId="6" borderId="0" xfId="0" applyFont="1" applyFill="1" applyBorder="1" applyAlignment="1" applyProtection="1">
      <alignment vertical="center"/>
      <protection hidden="1"/>
    </xf>
    <xf numFmtId="0" fontId="334" fillId="6" borderId="0" xfId="0" applyFont="1" applyFill="1" applyBorder="1" applyAlignment="1" applyProtection="1">
      <alignment horizontal="left" vertical="center"/>
      <protection hidden="1"/>
    </xf>
    <xf numFmtId="0" fontId="334" fillId="6" borderId="109" xfId="0" applyFont="1" applyFill="1" applyBorder="1" applyAlignment="1" applyProtection="1">
      <alignment horizontal="left" vertical="center"/>
      <protection hidden="1"/>
    </xf>
    <xf numFmtId="0" fontId="201" fillId="6" borderId="159" xfId="0" applyFont="1" applyFill="1" applyBorder="1" applyAlignment="1" applyProtection="1">
      <alignment horizontal="center"/>
      <protection hidden="1"/>
    </xf>
    <xf numFmtId="0" fontId="201" fillId="6" borderId="161" xfId="0" applyFont="1" applyFill="1" applyBorder="1" applyAlignment="1" applyProtection="1">
      <alignment horizontal="center"/>
      <protection hidden="1"/>
    </xf>
    <xf numFmtId="0" fontId="365" fillId="6" borderId="87" xfId="0" applyFont="1" applyFill="1" applyBorder="1" applyAlignment="1" applyProtection="1">
      <alignment horizontal="left" vertical="center" indent="1"/>
      <protection hidden="1"/>
    </xf>
    <xf numFmtId="0" fontId="365" fillId="6" borderId="0" xfId="0" applyFont="1" applyFill="1" applyBorder="1" applyAlignment="1" applyProtection="1">
      <alignment horizontal="left" vertical="center" indent="1"/>
      <protection hidden="1"/>
    </xf>
    <xf numFmtId="0" fontId="335" fillId="6" borderId="0" xfId="0" applyFont="1" applyFill="1" applyBorder="1" applyAlignment="1" applyProtection="1">
      <alignment horizontal="left" vertical="center"/>
      <protection hidden="1"/>
    </xf>
    <xf numFmtId="0" fontId="335" fillId="6" borderId="109" xfId="0" applyFont="1" applyFill="1" applyBorder="1" applyAlignment="1" applyProtection="1">
      <alignment horizontal="left" vertical="center"/>
      <protection hidden="1"/>
    </xf>
    <xf numFmtId="0" fontId="257" fillId="6" borderId="0" xfId="0" applyFont="1" applyFill="1" applyBorder="1" applyAlignment="1" applyProtection="1">
      <alignment horizontal="center" vertical="center"/>
      <protection hidden="1"/>
    </xf>
    <xf numFmtId="0" fontId="367" fillId="6" borderId="0" xfId="0" quotePrefix="1" applyFont="1" applyFill="1" applyBorder="1" applyAlignment="1" applyProtection="1">
      <alignment vertical="center"/>
      <protection hidden="1"/>
    </xf>
    <xf numFmtId="0" fontId="367" fillId="6" borderId="0" xfId="0" applyFont="1" applyFill="1" applyBorder="1" applyAlignment="1" applyProtection="1">
      <alignment vertical="center"/>
      <protection hidden="1"/>
    </xf>
    <xf numFmtId="0" fontId="364" fillId="6" borderId="0" xfId="0" applyFont="1" applyFill="1" applyBorder="1" applyAlignment="1" applyProtection="1">
      <alignment horizontal="left" vertical="center"/>
      <protection hidden="1"/>
    </xf>
    <xf numFmtId="0" fontId="329" fillId="6" borderId="0" xfId="0" applyFont="1" applyFill="1" applyBorder="1" applyAlignment="1" applyProtection="1">
      <alignment horizontal="center" vertical="center"/>
      <protection hidden="1"/>
    </xf>
    <xf numFmtId="9" fontId="103" fillId="14" borderId="252" xfId="22" applyFont="1" applyFill="1" applyBorder="1" applyAlignment="1" applyProtection="1">
      <alignment horizontal="center" vertical="center"/>
      <protection locked="0"/>
    </xf>
    <xf numFmtId="9" fontId="103" fillId="14" borderId="253" xfId="22" applyFont="1" applyFill="1" applyBorder="1" applyAlignment="1" applyProtection="1">
      <alignment horizontal="center" vertical="center"/>
      <protection locked="0"/>
    </xf>
    <xf numFmtId="9" fontId="103" fillId="14" borderId="254" xfId="22" applyFont="1" applyFill="1" applyBorder="1" applyAlignment="1" applyProtection="1">
      <alignment horizontal="center" vertical="center"/>
      <protection locked="0"/>
    </xf>
    <xf numFmtId="9" fontId="103" fillId="14" borderId="255" xfId="22" applyFont="1" applyFill="1" applyBorder="1" applyAlignment="1" applyProtection="1">
      <alignment horizontal="center" vertical="center"/>
      <protection locked="0"/>
    </xf>
    <xf numFmtId="9" fontId="103" fillId="14" borderId="256" xfId="22" applyFont="1" applyFill="1" applyBorder="1" applyAlignment="1" applyProtection="1">
      <alignment horizontal="center" vertical="center"/>
      <protection locked="0"/>
    </xf>
    <xf numFmtId="9" fontId="103" fillId="14" borderId="257" xfId="22" applyFont="1" applyFill="1" applyBorder="1" applyAlignment="1" applyProtection="1">
      <alignment horizontal="center" vertical="center"/>
      <protection locked="0"/>
    </xf>
    <xf numFmtId="0" fontId="369" fillId="26" borderId="0" xfId="0" applyFont="1" applyFill="1" applyBorder="1" applyAlignment="1" applyProtection="1">
      <alignment horizontal="center" vertical="center"/>
      <protection hidden="1"/>
    </xf>
    <xf numFmtId="0" fontId="369" fillId="26" borderId="225" xfId="0" applyFont="1" applyFill="1" applyBorder="1" applyAlignment="1" applyProtection="1">
      <alignment horizontal="center" vertical="center"/>
      <protection hidden="1"/>
    </xf>
    <xf numFmtId="166" fontId="63" fillId="12" borderId="408" xfId="90" applyNumberFormat="1" applyFont="1" applyFill="1" applyBorder="1" applyAlignment="1" applyProtection="1">
      <alignment horizontal="center" vertical="center"/>
      <protection hidden="1"/>
    </xf>
    <xf numFmtId="166" fontId="63" fillId="12" borderId="148" xfId="90" applyNumberFormat="1" applyFont="1" applyFill="1" applyBorder="1" applyAlignment="1" applyProtection="1">
      <alignment horizontal="center" vertical="center"/>
      <protection hidden="1"/>
    </xf>
    <xf numFmtId="166" fontId="63" fillId="12" borderId="409" xfId="90" applyNumberFormat="1" applyFont="1" applyFill="1" applyBorder="1" applyAlignment="1" applyProtection="1">
      <alignment horizontal="center" vertical="center"/>
      <protection hidden="1"/>
    </xf>
    <xf numFmtId="166" fontId="63" fillId="12" borderId="406" xfId="90" applyNumberFormat="1" applyFont="1" applyFill="1" applyBorder="1" applyAlignment="1" applyProtection="1">
      <alignment horizontal="center" vertical="center"/>
      <protection hidden="1"/>
    </xf>
    <xf numFmtId="166" fontId="63" fillId="12" borderId="0" xfId="90" applyNumberFormat="1" applyFont="1" applyFill="1" applyBorder="1" applyAlignment="1" applyProtection="1">
      <alignment horizontal="center" vertical="center"/>
      <protection hidden="1"/>
    </xf>
    <xf numFmtId="166" fontId="63" fillId="12" borderId="407" xfId="90" applyNumberFormat="1" applyFont="1" applyFill="1" applyBorder="1" applyAlignment="1" applyProtection="1">
      <alignment horizontal="center" vertical="center"/>
      <protection hidden="1"/>
    </xf>
    <xf numFmtId="166" fontId="63" fillId="12" borderId="406" xfId="90" applyNumberFormat="1" applyFont="1" applyFill="1" applyBorder="1" applyAlignment="1" applyProtection="1">
      <alignment horizontal="center" vertical="center"/>
      <protection locked="0" hidden="1"/>
    </xf>
    <xf numFmtId="166" fontId="63" fillId="12" borderId="0" xfId="90" applyNumberFormat="1" applyFont="1" applyFill="1" applyBorder="1" applyAlignment="1" applyProtection="1">
      <alignment horizontal="center" vertical="center"/>
      <protection locked="0" hidden="1"/>
    </xf>
    <xf numFmtId="166" fontId="63" fillId="12" borderId="407" xfId="90" applyNumberFormat="1" applyFont="1" applyFill="1" applyBorder="1" applyAlignment="1" applyProtection="1">
      <alignment horizontal="center" vertical="center"/>
      <protection locked="0" hidden="1"/>
    </xf>
    <xf numFmtId="166" fontId="63" fillId="6" borderId="406" xfId="90" applyNumberFormat="1" applyFont="1" applyFill="1" applyBorder="1" applyAlignment="1" applyProtection="1">
      <alignment horizontal="center" vertical="center"/>
      <protection hidden="1"/>
    </xf>
    <xf numFmtId="166" fontId="63" fillId="6" borderId="0" xfId="90" applyNumberFormat="1" applyFont="1" applyFill="1" applyBorder="1" applyAlignment="1" applyProtection="1">
      <alignment horizontal="center" vertical="center"/>
      <protection hidden="1"/>
    </xf>
    <xf numFmtId="166" fontId="63" fillId="6" borderId="407" xfId="90" applyNumberFormat="1" applyFont="1" applyFill="1" applyBorder="1" applyAlignment="1" applyProtection="1">
      <alignment horizontal="center" vertical="center"/>
      <protection hidden="1"/>
    </xf>
    <xf numFmtId="166" fontId="63" fillId="6" borderId="406" xfId="90" applyNumberFormat="1" applyFont="1" applyFill="1" applyBorder="1" applyAlignment="1" applyProtection="1">
      <alignment horizontal="center" vertical="center"/>
      <protection locked="0" hidden="1"/>
    </xf>
    <xf numFmtId="166" fontId="63" fillId="6" borderId="0" xfId="90" applyNumberFormat="1" applyFont="1" applyFill="1" applyBorder="1" applyAlignment="1" applyProtection="1">
      <alignment horizontal="center" vertical="center"/>
      <protection locked="0" hidden="1"/>
    </xf>
    <xf numFmtId="166" fontId="63" fillId="6" borderId="407" xfId="90" applyNumberFormat="1" applyFont="1" applyFill="1" applyBorder="1" applyAlignment="1" applyProtection="1">
      <alignment horizontal="center" vertical="center"/>
      <protection locked="0" hidden="1"/>
    </xf>
    <xf numFmtId="168" fontId="82" fillId="0" borderId="116" xfId="0" applyNumberFormat="1" applyFont="1" applyFill="1" applyBorder="1" applyAlignment="1" applyProtection="1">
      <alignment horizontal="center"/>
      <protection hidden="1"/>
    </xf>
    <xf numFmtId="0" fontId="106" fillId="7" borderId="0" xfId="0" applyFont="1" applyFill="1" applyBorder="1" applyAlignment="1">
      <alignment horizontal="center" vertical="center"/>
    </xf>
    <xf numFmtId="0" fontId="74" fillId="0" borderId="116" xfId="0" applyNumberFormat="1" applyFont="1" applyFill="1" applyBorder="1" applyAlignment="1" applyProtection="1">
      <alignment horizontal="right"/>
      <protection hidden="1"/>
    </xf>
    <xf numFmtId="166" fontId="279" fillId="6" borderId="121" xfId="90" applyNumberFormat="1" applyFont="1" applyFill="1" applyBorder="1" applyAlignment="1" applyProtection="1">
      <alignment horizontal="right" vertical="center"/>
      <protection hidden="1"/>
    </xf>
    <xf numFmtId="0" fontId="79" fillId="6" borderId="121" xfId="90" applyFont="1" applyFill="1" applyBorder="1" applyAlignment="1" applyProtection="1">
      <alignment horizontal="center"/>
      <protection hidden="1"/>
    </xf>
    <xf numFmtId="0" fontId="2" fillId="6" borderId="121" xfId="90" applyFont="1" applyFill="1" applyBorder="1" applyAlignment="1" applyProtection="1">
      <alignment horizontal="center"/>
      <protection hidden="1"/>
    </xf>
    <xf numFmtId="9" fontId="279" fillId="6" borderId="121" xfId="22" applyFont="1" applyFill="1" applyBorder="1" applyAlignment="1" applyProtection="1">
      <alignment horizontal="center" vertical="center"/>
      <protection hidden="1"/>
    </xf>
    <xf numFmtId="166" fontId="63" fillId="6" borderId="11" xfId="90" applyNumberFormat="1" applyFont="1" applyFill="1" applyBorder="1" applyAlignment="1" applyProtection="1">
      <alignment horizontal="center" vertical="center"/>
    </xf>
    <xf numFmtId="166" fontId="63" fillId="6" borderId="12" xfId="90" applyNumberFormat="1" applyFont="1" applyFill="1" applyBorder="1" applyAlignment="1" applyProtection="1">
      <alignment horizontal="center" vertical="center"/>
    </xf>
    <xf numFmtId="166" fontId="63" fillId="6" borderId="24" xfId="90" applyNumberFormat="1" applyFont="1" applyFill="1" applyBorder="1" applyAlignment="1" applyProtection="1">
      <alignment horizontal="center" vertical="center"/>
    </xf>
    <xf numFmtId="166" fontId="63" fillId="6" borderId="14" xfId="90" applyNumberFormat="1" applyFont="1" applyFill="1" applyBorder="1" applyAlignment="1" applyProtection="1">
      <alignment horizontal="center" vertical="center"/>
    </xf>
    <xf numFmtId="166" fontId="63" fillId="6" borderId="15" xfId="90" applyNumberFormat="1" applyFont="1" applyFill="1" applyBorder="1" applyAlignment="1" applyProtection="1">
      <alignment horizontal="center" vertical="center"/>
    </xf>
    <xf numFmtId="166" fontId="63" fillId="6" borderId="25" xfId="90" applyNumberFormat="1" applyFont="1" applyFill="1" applyBorder="1" applyAlignment="1" applyProtection="1">
      <alignment horizontal="center" vertical="center"/>
    </xf>
    <xf numFmtId="166" fontId="63" fillId="14" borderId="11" xfId="3" applyNumberFormat="1" applyFont="1" applyFill="1" applyBorder="1" applyAlignment="1" applyProtection="1">
      <alignment horizontal="center" vertical="center"/>
      <protection locked="0"/>
    </xf>
    <xf numFmtId="166" fontId="63" fillId="14" borderId="12" xfId="3" applyNumberFormat="1" applyFont="1" applyFill="1" applyBorder="1" applyAlignment="1" applyProtection="1">
      <alignment horizontal="center" vertical="center"/>
      <protection locked="0"/>
    </xf>
    <xf numFmtId="166" fontId="63" fillId="14" borderId="24" xfId="3" applyNumberFormat="1" applyFont="1" applyFill="1" applyBorder="1" applyAlignment="1" applyProtection="1">
      <alignment horizontal="center" vertical="center"/>
      <protection locked="0"/>
    </xf>
    <xf numFmtId="166" fontId="63" fillId="14" borderId="14" xfId="3" applyNumberFormat="1" applyFont="1" applyFill="1" applyBorder="1" applyAlignment="1" applyProtection="1">
      <alignment horizontal="center" vertical="center"/>
      <protection locked="0"/>
    </xf>
    <xf numFmtId="166" fontId="63" fillId="14" borderId="15" xfId="3" applyNumberFormat="1" applyFont="1" applyFill="1" applyBorder="1" applyAlignment="1" applyProtection="1">
      <alignment horizontal="center" vertical="center"/>
      <protection locked="0"/>
    </xf>
    <xf numFmtId="166" fontId="63" fillId="14" borderId="25" xfId="3" applyNumberFormat="1" applyFont="1" applyFill="1" applyBorder="1" applyAlignment="1" applyProtection="1">
      <alignment horizontal="center" vertical="center"/>
      <protection locked="0"/>
    </xf>
    <xf numFmtId="166" fontId="63" fillId="6" borderId="22" xfId="3" applyNumberFormat="1" applyFont="1" applyFill="1" applyBorder="1" applyAlignment="1" applyProtection="1">
      <alignment horizontal="center" vertical="center"/>
    </xf>
    <xf numFmtId="166" fontId="63" fillId="6" borderId="0" xfId="3" applyNumberFormat="1" applyFont="1" applyFill="1" applyBorder="1" applyAlignment="1" applyProtection="1">
      <alignment horizontal="center" vertical="center"/>
    </xf>
    <xf numFmtId="166" fontId="63" fillId="6" borderId="18" xfId="3" applyNumberFormat="1" applyFont="1" applyFill="1" applyBorder="1" applyAlignment="1" applyProtection="1">
      <alignment horizontal="center" vertical="center"/>
    </xf>
    <xf numFmtId="166" fontId="63" fillId="6" borderId="14" xfId="3" applyNumberFormat="1" applyFont="1" applyFill="1" applyBorder="1" applyAlignment="1" applyProtection="1">
      <alignment horizontal="center" vertical="center"/>
    </xf>
    <xf numFmtId="166" fontId="63" fillId="6" borderId="15" xfId="3" applyNumberFormat="1" applyFont="1" applyFill="1" applyBorder="1" applyAlignment="1" applyProtection="1">
      <alignment horizontal="center" vertical="center"/>
    </xf>
    <xf numFmtId="166" fontId="63" fillId="6" borderId="25" xfId="3" applyNumberFormat="1" applyFont="1" applyFill="1" applyBorder="1" applyAlignment="1" applyProtection="1">
      <alignment horizontal="center" vertical="center"/>
    </xf>
    <xf numFmtId="173" fontId="63" fillId="14" borderId="146" xfId="90" applyNumberFormat="1" applyFont="1" applyFill="1" applyBorder="1" applyAlignment="1" applyProtection="1">
      <alignment horizontal="center" vertical="center"/>
      <protection locked="0"/>
    </xf>
    <xf numFmtId="0" fontId="138" fillId="6" borderId="0" xfId="90" applyFont="1" applyFill="1" applyBorder="1" applyAlignment="1" applyProtection="1">
      <alignment horizontal="center" vertical="center"/>
    </xf>
    <xf numFmtId="0" fontId="79" fillId="6" borderId="17" xfId="90" applyFont="1" applyFill="1" applyBorder="1" applyAlignment="1" applyProtection="1">
      <alignment horizontal="left" vertical="center" indent="1"/>
    </xf>
    <xf numFmtId="0" fontId="79" fillId="6" borderId="0" xfId="90" applyFont="1" applyFill="1" applyBorder="1" applyAlignment="1" applyProtection="1">
      <alignment horizontal="left" vertical="center" indent="1"/>
    </xf>
    <xf numFmtId="0" fontId="56" fillId="20" borderId="53" xfId="90" applyFont="1" applyFill="1" applyBorder="1" applyAlignment="1" applyProtection="1">
      <alignment horizontal="center" vertical="center"/>
    </xf>
    <xf numFmtId="0" fontId="56" fillId="20" borderId="0" xfId="90" applyFont="1" applyFill="1" applyBorder="1" applyAlignment="1" applyProtection="1">
      <alignment horizontal="center" vertical="center"/>
    </xf>
    <xf numFmtId="0" fontId="56" fillId="20" borderId="54" xfId="90" applyFont="1" applyFill="1" applyBorder="1" applyAlignment="1" applyProtection="1">
      <alignment horizontal="center" vertical="center"/>
    </xf>
    <xf numFmtId="0" fontId="56" fillId="20" borderId="176" xfId="90" applyFont="1" applyFill="1" applyBorder="1" applyAlignment="1" applyProtection="1">
      <alignment horizontal="center" vertical="center"/>
    </xf>
    <xf numFmtId="0" fontId="56" fillId="20" borderId="174" xfId="90" applyFont="1" applyFill="1" applyBorder="1" applyAlignment="1" applyProtection="1">
      <alignment horizontal="center" vertical="center"/>
    </xf>
    <xf numFmtId="0" fontId="56" fillId="20" borderId="175" xfId="90" applyFont="1" applyFill="1" applyBorder="1" applyAlignment="1" applyProtection="1">
      <alignment horizontal="center" vertical="center"/>
    </xf>
    <xf numFmtId="166" fontId="124" fillId="6" borderId="50" xfId="90" applyNumberFormat="1" applyFont="1" applyFill="1" applyBorder="1" applyAlignment="1" applyProtection="1">
      <alignment horizontal="center" vertical="center"/>
    </xf>
    <xf numFmtId="166" fontId="124" fillId="6" borderId="51" xfId="90" applyNumberFormat="1" applyFont="1" applyFill="1" applyBorder="1" applyAlignment="1" applyProtection="1">
      <alignment horizontal="center" vertical="center"/>
    </xf>
    <xf numFmtId="166" fontId="124" fillId="6" borderId="52" xfId="90" applyNumberFormat="1" applyFont="1" applyFill="1" applyBorder="1" applyAlignment="1" applyProtection="1">
      <alignment horizontal="center" vertical="center"/>
    </xf>
    <xf numFmtId="166" fontId="124" fillId="6" borderId="53" xfId="90" applyNumberFormat="1" applyFont="1" applyFill="1" applyBorder="1" applyAlignment="1" applyProtection="1">
      <alignment horizontal="center" vertical="center"/>
    </xf>
    <xf numFmtId="166" fontId="124" fillId="6" borderId="0" xfId="90" applyNumberFormat="1" applyFont="1" applyFill="1" applyBorder="1" applyAlignment="1" applyProtection="1">
      <alignment horizontal="center" vertical="center"/>
    </xf>
    <xf numFmtId="166" fontId="124" fillId="6" borderId="54" xfId="90" applyNumberFormat="1" applyFont="1" applyFill="1" applyBorder="1" applyAlignment="1" applyProtection="1">
      <alignment horizontal="center" vertical="center"/>
    </xf>
    <xf numFmtId="166" fontId="124" fillId="6" borderId="55" xfId="90" applyNumberFormat="1" applyFont="1" applyFill="1" applyBorder="1" applyAlignment="1" applyProtection="1">
      <alignment horizontal="center" vertical="center"/>
    </xf>
    <xf numFmtId="166" fontId="124" fillId="6" borderId="56" xfId="90" applyNumberFormat="1" applyFont="1" applyFill="1" applyBorder="1" applyAlignment="1" applyProtection="1">
      <alignment horizontal="center" vertical="center"/>
    </xf>
    <xf numFmtId="166" fontId="124" fillId="6" borderId="57" xfId="90" applyNumberFormat="1" applyFont="1" applyFill="1" applyBorder="1" applyAlignment="1" applyProtection="1">
      <alignment horizontal="center" vertical="center"/>
    </xf>
    <xf numFmtId="0" fontId="70" fillId="21" borderId="0" xfId="90" applyFont="1" applyFill="1" applyBorder="1" applyAlignment="1" applyProtection="1">
      <alignment horizontal="center" vertical="center"/>
      <protection hidden="1"/>
    </xf>
    <xf numFmtId="169" fontId="63" fillId="14" borderId="11" xfId="22" applyNumberFormat="1" applyFont="1" applyFill="1" applyBorder="1" applyAlignment="1" applyProtection="1">
      <alignment horizontal="center" vertical="center"/>
      <protection locked="0"/>
    </xf>
    <xf numFmtId="169" fontId="63" fillId="14" borderId="12" xfId="22" applyNumberFormat="1" applyFont="1" applyFill="1" applyBorder="1" applyAlignment="1" applyProtection="1">
      <alignment horizontal="center" vertical="center"/>
      <protection locked="0"/>
    </xf>
    <xf numFmtId="169" fontId="63" fillId="14" borderId="13" xfId="22" applyNumberFormat="1" applyFont="1" applyFill="1" applyBorder="1" applyAlignment="1" applyProtection="1">
      <alignment horizontal="center" vertical="center"/>
      <protection locked="0"/>
    </xf>
    <xf numFmtId="169" fontId="63" fillId="14" borderId="14" xfId="22" applyNumberFormat="1" applyFont="1" applyFill="1" applyBorder="1" applyAlignment="1" applyProtection="1">
      <alignment horizontal="center" vertical="center"/>
      <protection locked="0"/>
    </xf>
    <xf numFmtId="169" fontId="63" fillId="14" borderId="15" xfId="22" applyNumberFormat="1" applyFont="1" applyFill="1" applyBorder="1" applyAlignment="1" applyProtection="1">
      <alignment horizontal="center" vertical="center"/>
      <protection locked="0"/>
    </xf>
    <xf numFmtId="169" fontId="63" fillId="14" borderId="16" xfId="22" applyNumberFormat="1" applyFont="1" applyFill="1" applyBorder="1" applyAlignment="1" applyProtection="1">
      <alignment horizontal="center" vertical="center"/>
      <protection locked="0"/>
    </xf>
    <xf numFmtId="0" fontId="138" fillId="6" borderId="0" xfId="353" applyFont="1" applyFill="1" applyBorder="1" applyAlignment="1" applyProtection="1">
      <alignment horizontal="center"/>
    </xf>
    <xf numFmtId="0" fontId="138" fillId="6" borderId="23" xfId="353" applyFont="1" applyFill="1" applyBorder="1" applyAlignment="1" applyProtection="1">
      <alignment horizontal="center"/>
    </xf>
    <xf numFmtId="0" fontId="63" fillId="14" borderId="11" xfId="90" applyFont="1" applyFill="1" applyBorder="1" applyAlignment="1" applyProtection="1">
      <alignment horizontal="center" vertical="center"/>
      <protection locked="0"/>
    </xf>
    <xf numFmtId="0" fontId="63" fillId="14" borderId="12" xfId="90" applyFont="1" applyFill="1" applyBorder="1" applyAlignment="1" applyProtection="1">
      <alignment horizontal="center" vertical="center"/>
      <protection locked="0"/>
    </xf>
    <xf numFmtId="0" fontId="63" fillId="14" borderId="24" xfId="90" applyFont="1" applyFill="1" applyBorder="1" applyAlignment="1" applyProtection="1">
      <alignment horizontal="center" vertical="center"/>
      <protection locked="0"/>
    </xf>
    <xf numFmtId="0" fontId="63" fillId="14" borderId="14" xfId="90" applyFont="1" applyFill="1" applyBorder="1" applyAlignment="1" applyProtection="1">
      <alignment horizontal="center" vertical="center"/>
      <protection locked="0"/>
    </xf>
    <xf numFmtId="0" fontId="63" fillId="14" borderId="15" xfId="90" applyFont="1" applyFill="1" applyBorder="1" applyAlignment="1" applyProtection="1">
      <alignment horizontal="center" vertical="center"/>
      <protection locked="0"/>
    </xf>
    <xf numFmtId="0" fontId="63" fillId="14" borderId="25" xfId="90" applyFont="1" applyFill="1" applyBorder="1" applyAlignment="1" applyProtection="1">
      <alignment horizontal="center" vertical="center"/>
      <protection locked="0"/>
    </xf>
    <xf numFmtId="166" fontId="63" fillId="6" borderId="58" xfId="90" applyNumberFormat="1" applyFont="1" applyFill="1" applyBorder="1" applyAlignment="1" applyProtection="1">
      <alignment horizontal="center" vertical="center"/>
    </xf>
    <xf numFmtId="0" fontId="63" fillId="6" borderId="7" xfId="90" applyFont="1" applyFill="1" applyBorder="1" applyAlignment="1" applyProtection="1">
      <alignment horizontal="center" vertical="center"/>
    </xf>
    <xf numFmtId="0" fontId="63" fillId="6" borderId="59" xfId="90" applyFont="1" applyFill="1" applyBorder="1" applyAlignment="1" applyProtection="1">
      <alignment horizontal="center" vertical="center"/>
    </xf>
    <xf numFmtId="0" fontId="63" fillId="6" borderId="22" xfId="90" applyFont="1" applyFill="1" applyBorder="1" applyAlignment="1" applyProtection="1">
      <alignment horizontal="center" vertical="center"/>
    </xf>
    <xf numFmtId="0" fontId="63" fillId="6" borderId="0" xfId="90" applyFont="1" applyFill="1" applyBorder="1" applyAlignment="1" applyProtection="1">
      <alignment horizontal="center" vertical="center"/>
    </xf>
    <xf numFmtId="0" fontId="63" fillId="6" borderId="18" xfId="90" applyFont="1" applyFill="1" applyBorder="1" applyAlignment="1" applyProtection="1">
      <alignment horizontal="center" vertical="center"/>
    </xf>
    <xf numFmtId="0" fontId="79" fillId="21" borderId="86" xfId="90" applyFont="1" applyFill="1" applyBorder="1" applyAlignment="1" applyProtection="1">
      <alignment horizontal="center"/>
      <protection hidden="1"/>
    </xf>
    <xf numFmtId="166" fontId="261" fillId="6" borderId="53" xfId="90" applyNumberFormat="1" applyFont="1" applyFill="1" applyBorder="1" applyAlignment="1" applyProtection="1">
      <alignment horizontal="center" vertical="center" wrapText="1"/>
    </xf>
    <xf numFmtId="166" fontId="261" fillId="6" borderId="0" xfId="90" applyNumberFormat="1" applyFont="1" applyFill="1" applyBorder="1" applyAlignment="1" applyProtection="1">
      <alignment horizontal="center" vertical="center" wrapText="1"/>
    </xf>
    <xf numFmtId="0" fontId="63" fillId="14" borderId="22" xfId="90" applyFont="1" applyFill="1" applyBorder="1" applyAlignment="1" applyProtection="1">
      <alignment horizontal="center" vertical="center"/>
      <protection locked="0"/>
    </xf>
    <xf numFmtId="0" fontId="63" fillId="14" borderId="0" xfId="90" applyFont="1" applyFill="1" applyBorder="1" applyAlignment="1" applyProtection="1">
      <alignment horizontal="center" vertical="center"/>
      <protection locked="0"/>
    </xf>
    <xf numFmtId="0" fontId="63" fillId="14" borderId="18" xfId="90" applyFont="1" applyFill="1" applyBorder="1" applyAlignment="1" applyProtection="1">
      <alignment horizontal="center" vertical="center"/>
      <protection locked="0"/>
    </xf>
    <xf numFmtId="169" fontId="121" fillId="6" borderId="128" xfId="22" applyNumberFormat="1" applyFont="1" applyFill="1" applyBorder="1" applyAlignment="1" applyProtection="1">
      <alignment horizontal="center" vertical="center"/>
      <protection locked="0"/>
    </xf>
    <xf numFmtId="169" fontId="121" fillId="6" borderId="0" xfId="22" applyNumberFormat="1" applyFont="1" applyFill="1" applyBorder="1" applyAlignment="1" applyProtection="1">
      <alignment horizontal="center" vertical="center"/>
      <protection locked="0"/>
    </xf>
    <xf numFmtId="169" fontId="121" fillId="6" borderId="133" xfId="22" applyNumberFormat="1" applyFont="1" applyFill="1" applyBorder="1" applyAlignment="1" applyProtection="1">
      <alignment horizontal="center" vertical="center"/>
      <protection locked="0"/>
    </xf>
    <xf numFmtId="169" fontId="121" fillId="6" borderId="130" xfId="22" applyNumberFormat="1" applyFont="1" applyFill="1" applyBorder="1" applyAlignment="1" applyProtection="1">
      <alignment horizontal="center" vertical="center"/>
      <protection locked="0"/>
    </xf>
    <xf numFmtId="169" fontId="121" fillId="6" borderId="109" xfId="22" applyNumberFormat="1" applyFont="1" applyFill="1" applyBorder="1" applyAlignment="1" applyProtection="1">
      <alignment horizontal="center" vertical="center"/>
      <protection locked="0"/>
    </xf>
    <xf numFmtId="169" fontId="121" fillId="6" borderId="131" xfId="22" applyNumberFormat="1" applyFont="1" applyFill="1" applyBorder="1" applyAlignment="1" applyProtection="1">
      <alignment horizontal="center" vertical="center"/>
      <protection locked="0"/>
    </xf>
    <xf numFmtId="166" fontId="60" fillId="20" borderId="187" xfId="90" applyNumberFormat="1" applyFont="1" applyFill="1" applyBorder="1" applyAlignment="1" applyProtection="1">
      <alignment horizontal="center" vertical="center"/>
    </xf>
    <xf numFmtId="166" fontId="60" fillId="20" borderId="188" xfId="90" applyNumberFormat="1" applyFont="1" applyFill="1" applyBorder="1" applyAlignment="1" applyProtection="1">
      <alignment horizontal="center" vertical="center"/>
    </xf>
    <xf numFmtId="166" fontId="60" fillId="20" borderId="53" xfId="90" applyNumberFormat="1" applyFont="1" applyFill="1" applyBorder="1" applyAlignment="1" applyProtection="1">
      <alignment horizontal="center" vertical="center"/>
    </xf>
    <xf numFmtId="166" fontId="60" fillId="20" borderId="0" xfId="90" applyNumberFormat="1" applyFont="1" applyFill="1" applyBorder="1" applyAlignment="1" applyProtection="1">
      <alignment horizontal="center" vertical="center"/>
    </xf>
    <xf numFmtId="9" fontId="262" fillId="6" borderId="170" xfId="22" applyFont="1" applyFill="1" applyBorder="1" applyAlignment="1" applyProtection="1">
      <alignment horizontal="center" vertical="center"/>
    </xf>
    <xf numFmtId="9" fontId="262" fillId="6" borderId="0" xfId="22" applyFont="1" applyFill="1" applyBorder="1" applyAlignment="1" applyProtection="1">
      <alignment horizontal="center" vertical="center"/>
    </xf>
    <xf numFmtId="9" fontId="262" fillId="6" borderId="166" xfId="22" applyFont="1" applyFill="1" applyBorder="1" applyAlignment="1" applyProtection="1">
      <alignment horizontal="center" vertical="center"/>
    </xf>
    <xf numFmtId="9" fontId="262" fillId="6" borderId="171" xfId="22" applyFont="1" applyFill="1" applyBorder="1" applyAlignment="1" applyProtection="1">
      <alignment horizontal="center" vertical="center"/>
    </xf>
    <xf numFmtId="9" fontId="262" fillId="6" borderId="172" xfId="22" applyFont="1" applyFill="1" applyBorder="1" applyAlignment="1" applyProtection="1">
      <alignment horizontal="center" vertical="center"/>
    </xf>
    <xf numFmtId="9" fontId="262" fillId="6" borderId="173" xfId="22" applyFont="1" applyFill="1" applyBorder="1" applyAlignment="1" applyProtection="1">
      <alignment horizontal="center" vertical="center"/>
    </xf>
    <xf numFmtId="166" fontId="60" fillId="20" borderId="189" xfId="90" applyNumberFormat="1" applyFont="1" applyFill="1" applyBorder="1" applyAlignment="1" applyProtection="1">
      <alignment horizontal="center" vertical="center"/>
    </xf>
    <xf numFmtId="166" fontId="60" fillId="20" borderId="54" xfId="90" applyNumberFormat="1" applyFont="1" applyFill="1" applyBorder="1" applyAlignment="1" applyProtection="1">
      <alignment horizontal="center" vertical="center"/>
    </xf>
    <xf numFmtId="166" fontId="261" fillId="6" borderId="54" xfId="90" applyNumberFormat="1" applyFont="1" applyFill="1" applyBorder="1" applyAlignment="1" applyProtection="1">
      <alignment horizontal="center" vertical="center" wrapText="1"/>
    </xf>
    <xf numFmtId="166" fontId="56" fillId="16" borderId="293" xfId="90" applyNumberFormat="1" applyFont="1" applyFill="1" applyBorder="1" applyAlignment="1" applyProtection="1">
      <alignment horizontal="center" vertical="center"/>
    </xf>
    <xf numFmtId="166" fontId="56" fillId="16" borderId="144" xfId="90" applyNumberFormat="1" applyFont="1" applyFill="1" applyBorder="1" applyAlignment="1" applyProtection="1">
      <alignment horizontal="center" vertical="center"/>
    </xf>
    <xf numFmtId="0" fontId="69" fillId="6" borderId="17" xfId="90" applyFont="1" applyFill="1" applyBorder="1" applyAlignment="1" applyProtection="1">
      <alignment horizontal="right" vertical="center"/>
    </xf>
    <xf numFmtId="0" fontId="69" fillId="6" borderId="0" xfId="90" applyFont="1" applyFill="1" applyBorder="1" applyAlignment="1" applyProtection="1">
      <alignment horizontal="right" vertical="center"/>
    </xf>
    <xf numFmtId="0" fontId="69" fillId="6" borderId="23" xfId="90" applyFont="1" applyFill="1" applyBorder="1" applyAlignment="1" applyProtection="1">
      <alignment horizontal="right" vertical="center"/>
    </xf>
    <xf numFmtId="0" fontId="45" fillId="21" borderId="0" xfId="90" applyFont="1" applyFill="1" applyBorder="1" applyAlignment="1" applyProtection="1">
      <alignment horizontal="center"/>
      <protection hidden="1"/>
    </xf>
    <xf numFmtId="0" fontId="60" fillId="19" borderId="167" xfId="90" applyFont="1" applyFill="1" applyBorder="1" applyAlignment="1" applyProtection="1">
      <alignment horizontal="center" vertical="center" wrapText="1"/>
    </xf>
    <xf numFmtId="0" fontId="60" fillId="19" borderId="168" xfId="90" applyFont="1" applyFill="1" applyBorder="1" applyAlignment="1" applyProtection="1">
      <alignment horizontal="center" vertical="center" wrapText="1"/>
    </xf>
    <xf numFmtId="0" fontId="60" fillId="19" borderId="169" xfId="90" applyFont="1" applyFill="1" applyBorder="1" applyAlignment="1" applyProtection="1">
      <alignment horizontal="center" vertical="center" wrapText="1"/>
    </xf>
    <xf numFmtId="0" fontId="60" fillId="19" borderId="170" xfId="90" applyFont="1" applyFill="1" applyBorder="1" applyAlignment="1" applyProtection="1">
      <alignment horizontal="center" vertical="center" wrapText="1"/>
    </xf>
    <xf numFmtId="0" fontId="60" fillId="19" borderId="0" xfId="90" applyFont="1" applyFill="1" applyBorder="1" applyAlignment="1" applyProtection="1">
      <alignment horizontal="center" vertical="center" wrapText="1"/>
    </xf>
    <xf numFmtId="0" fontId="60" fillId="19" borderId="166" xfId="90" applyFont="1" applyFill="1" applyBorder="1" applyAlignment="1" applyProtection="1">
      <alignment horizontal="center" vertical="center" wrapText="1"/>
    </xf>
    <xf numFmtId="0" fontId="60" fillId="19" borderId="171" xfId="90" applyFont="1" applyFill="1" applyBorder="1" applyAlignment="1" applyProtection="1">
      <alignment horizontal="center" vertical="center" wrapText="1"/>
    </xf>
    <xf numFmtId="0" fontId="60" fillId="19" borderId="172" xfId="90" applyFont="1" applyFill="1" applyBorder="1" applyAlignment="1" applyProtection="1">
      <alignment horizontal="center" vertical="center" wrapText="1"/>
    </xf>
    <xf numFmtId="0" fontId="60" fillId="19" borderId="173" xfId="90" applyFont="1" applyFill="1" applyBorder="1" applyAlignment="1" applyProtection="1">
      <alignment horizontal="center" vertical="center" wrapText="1"/>
    </xf>
    <xf numFmtId="166" fontId="161" fillId="6" borderId="45" xfId="90" applyNumberFormat="1" applyFont="1" applyFill="1" applyBorder="1" applyAlignment="1" applyProtection="1">
      <alignment horizontal="center" vertical="center"/>
    </xf>
    <xf numFmtId="166" fontId="161" fillId="6" borderId="0" xfId="90" applyNumberFormat="1" applyFont="1" applyFill="1" applyBorder="1" applyAlignment="1" applyProtection="1">
      <alignment horizontal="center" vertical="center"/>
    </xf>
    <xf numFmtId="166" fontId="161" fillId="6" borderId="46" xfId="90" applyNumberFormat="1" applyFont="1" applyFill="1" applyBorder="1" applyAlignment="1" applyProtection="1">
      <alignment horizontal="center" vertical="center"/>
    </xf>
    <xf numFmtId="166" fontId="200" fillId="6" borderId="34" xfId="90" applyNumberFormat="1" applyFont="1" applyFill="1" applyBorder="1" applyAlignment="1" applyProtection="1">
      <alignment horizontal="center" vertical="center" wrapText="1"/>
    </xf>
    <xf numFmtId="166" fontId="200" fillId="6" borderId="35" xfId="90" applyNumberFormat="1" applyFont="1" applyFill="1" applyBorder="1" applyAlignment="1" applyProtection="1">
      <alignment horizontal="center" vertical="center" wrapText="1"/>
    </xf>
    <xf numFmtId="166" fontId="200" fillId="6" borderId="36" xfId="90" applyNumberFormat="1" applyFont="1" applyFill="1" applyBorder="1" applyAlignment="1" applyProtection="1">
      <alignment horizontal="center" vertical="center" wrapText="1"/>
    </xf>
    <xf numFmtId="166" fontId="200" fillId="6" borderId="37" xfId="90" applyNumberFormat="1" applyFont="1" applyFill="1" applyBorder="1" applyAlignment="1" applyProtection="1">
      <alignment horizontal="center" vertical="center" wrapText="1"/>
    </xf>
    <xf numFmtId="166" fontId="200" fillId="6" borderId="0" xfId="90" applyNumberFormat="1" applyFont="1" applyFill="1" applyBorder="1" applyAlignment="1" applyProtection="1">
      <alignment horizontal="center" vertical="center" wrapText="1"/>
    </xf>
    <xf numFmtId="166" fontId="200" fillId="6" borderId="38" xfId="90" applyNumberFormat="1" applyFont="1" applyFill="1" applyBorder="1" applyAlignment="1" applyProtection="1">
      <alignment horizontal="center" vertical="center" wrapText="1"/>
    </xf>
    <xf numFmtId="166" fontId="200" fillId="6" borderId="39" xfId="90" applyNumberFormat="1" applyFont="1" applyFill="1" applyBorder="1" applyAlignment="1" applyProtection="1">
      <alignment horizontal="center" vertical="center" wrapText="1"/>
    </xf>
    <xf numFmtId="166" fontId="200" fillId="6" borderId="40" xfId="90" applyNumberFormat="1" applyFont="1" applyFill="1" applyBorder="1" applyAlignment="1" applyProtection="1">
      <alignment horizontal="center" vertical="center" wrapText="1"/>
    </xf>
    <xf numFmtId="166" fontId="200" fillId="6" borderId="41" xfId="90" applyNumberFormat="1" applyFont="1" applyFill="1" applyBorder="1" applyAlignment="1" applyProtection="1">
      <alignment horizontal="center" vertical="center" wrapText="1"/>
    </xf>
    <xf numFmtId="169" fontId="200" fillId="6" borderId="34" xfId="22" applyNumberFormat="1" applyFont="1" applyFill="1" applyBorder="1" applyAlignment="1" applyProtection="1">
      <alignment horizontal="center" vertical="center"/>
    </xf>
    <xf numFmtId="169" fontId="200" fillId="6" borderId="35" xfId="22" applyNumberFormat="1" applyFont="1" applyFill="1" applyBorder="1" applyAlignment="1" applyProtection="1">
      <alignment horizontal="center" vertical="center"/>
    </xf>
    <xf numFmtId="169" fontId="200" fillId="6" borderId="37" xfId="22" applyNumberFormat="1" applyFont="1" applyFill="1" applyBorder="1" applyAlignment="1" applyProtection="1">
      <alignment horizontal="center" vertical="center"/>
    </xf>
    <xf numFmtId="169" fontId="200" fillId="6" borderId="0" xfId="22" applyNumberFormat="1" applyFont="1" applyFill="1" applyBorder="1" applyAlignment="1" applyProtection="1">
      <alignment horizontal="center" vertical="center"/>
    </xf>
    <xf numFmtId="169" fontId="200" fillId="6" borderId="39" xfId="22" applyNumberFormat="1" applyFont="1" applyFill="1" applyBorder="1" applyAlignment="1" applyProtection="1">
      <alignment horizontal="center" vertical="center"/>
    </xf>
    <xf numFmtId="169" fontId="200" fillId="6" borderId="40" xfId="22" applyNumberFormat="1" applyFont="1" applyFill="1" applyBorder="1" applyAlignment="1" applyProtection="1">
      <alignment horizontal="center" vertical="center"/>
    </xf>
    <xf numFmtId="169" fontId="200" fillId="6" borderId="36" xfId="22" applyNumberFormat="1" applyFont="1" applyFill="1" applyBorder="1" applyAlignment="1" applyProtection="1">
      <alignment horizontal="center" vertical="center"/>
    </xf>
    <xf numFmtId="169" fontId="200" fillId="6" borderId="38" xfId="22" applyNumberFormat="1" applyFont="1" applyFill="1" applyBorder="1" applyAlignment="1" applyProtection="1">
      <alignment horizontal="center" vertical="center"/>
    </xf>
    <xf numFmtId="169" fontId="200" fillId="6" borderId="41" xfId="22" applyNumberFormat="1" applyFont="1" applyFill="1" applyBorder="1" applyAlignment="1" applyProtection="1">
      <alignment horizontal="center" vertical="center"/>
    </xf>
    <xf numFmtId="166" fontId="60" fillId="15" borderId="34" xfId="90" applyNumberFormat="1" applyFont="1" applyFill="1" applyBorder="1" applyAlignment="1" applyProtection="1">
      <alignment horizontal="center" vertical="center"/>
    </xf>
    <xf numFmtId="166" fontId="60" fillId="15" borderId="35" xfId="90" applyNumberFormat="1" applyFont="1" applyFill="1" applyBorder="1" applyAlignment="1" applyProtection="1">
      <alignment horizontal="center" vertical="center"/>
    </xf>
    <xf numFmtId="166" fontId="60" fillId="15" borderId="36" xfId="90" applyNumberFormat="1" applyFont="1" applyFill="1" applyBorder="1" applyAlignment="1" applyProtection="1">
      <alignment horizontal="center" vertical="center"/>
    </xf>
    <xf numFmtId="166" fontId="60" fillId="15" borderId="37" xfId="90" applyNumberFormat="1" applyFont="1" applyFill="1" applyBorder="1" applyAlignment="1" applyProtection="1">
      <alignment horizontal="center" vertical="center"/>
    </xf>
    <xf numFmtId="166" fontId="60" fillId="15" borderId="0" xfId="90" applyNumberFormat="1" applyFont="1" applyFill="1" applyBorder="1" applyAlignment="1" applyProtection="1">
      <alignment horizontal="center" vertical="center"/>
    </xf>
    <xf numFmtId="166" fontId="60" fillId="15" borderId="38" xfId="90" applyNumberFormat="1" applyFont="1" applyFill="1" applyBorder="1" applyAlignment="1" applyProtection="1">
      <alignment horizontal="center" vertical="center"/>
    </xf>
    <xf numFmtId="166" fontId="60" fillId="15" borderId="39" xfId="90" applyNumberFormat="1" applyFont="1" applyFill="1" applyBorder="1" applyAlignment="1" applyProtection="1">
      <alignment horizontal="center" vertical="center"/>
    </xf>
    <xf numFmtId="166" fontId="60" fillId="15" borderId="40" xfId="90" applyNumberFormat="1" applyFont="1" applyFill="1" applyBorder="1" applyAlignment="1" applyProtection="1">
      <alignment horizontal="center" vertical="center"/>
    </xf>
    <xf numFmtId="166" fontId="60" fillId="15" borderId="41" xfId="90" applyNumberFormat="1" applyFont="1" applyFill="1" applyBorder="1" applyAlignment="1" applyProtection="1">
      <alignment horizontal="center" vertical="center"/>
    </xf>
    <xf numFmtId="166" fontId="64" fillId="6" borderId="170" xfId="90" applyNumberFormat="1" applyFont="1" applyFill="1" applyBorder="1" applyAlignment="1" applyProtection="1">
      <alignment horizontal="center"/>
    </xf>
    <xf numFmtId="166" fontId="64" fillId="6" borderId="0" xfId="90" applyNumberFormat="1" applyFont="1" applyFill="1" applyBorder="1" applyAlignment="1" applyProtection="1">
      <alignment horizontal="center"/>
    </xf>
    <xf numFmtId="166" fontId="64" fillId="6" borderId="171" xfId="90" applyNumberFormat="1" applyFont="1" applyFill="1" applyBorder="1" applyAlignment="1" applyProtection="1">
      <alignment horizontal="center"/>
    </xf>
    <xf numFmtId="166" fontId="64" fillId="6" borderId="172" xfId="90" applyNumberFormat="1" applyFont="1" applyFill="1" applyBorder="1" applyAlignment="1" applyProtection="1">
      <alignment horizontal="center"/>
    </xf>
    <xf numFmtId="9" fontId="278" fillId="6" borderId="167" xfId="22" applyFont="1" applyFill="1" applyBorder="1" applyAlignment="1" applyProtection="1">
      <alignment horizontal="center" vertical="center"/>
    </xf>
    <xf numFmtId="9" fontId="278" fillId="6" borderId="168" xfId="22" applyFont="1" applyFill="1" applyBorder="1" applyAlignment="1" applyProtection="1">
      <alignment horizontal="center" vertical="center"/>
    </xf>
    <xf numFmtId="9" fontId="278" fillId="6" borderId="169" xfId="22" applyFont="1" applyFill="1" applyBorder="1" applyAlignment="1" applyProtection="1">
      <alignment horizontal="center" vertical="center"/>
    </xf>
    <xf numFmtId="9" fontId="278" fillId="6" borderId="170" xfId="22" applyFont="1" applyFill="1" applyBorder="1" applyAlignment="1" applyProtection="1">
      <alignment horizontal="center" vertical="center"/>
    </xf>
    <xf numFmtId="9" fontId="278" fillId="6" borderId="0" xfId="22" applyFont="1" applyFill="1" applyBorder="1" applyAlignment="1" applyProtection="1">
      <alignment horizontal="center" vertical="center"/>
    </xf>
    <xf numFmtId="9" fontId="278" fillId="6" borderId="166" xfId="22" applyFont="1" applyFill="1" applyBorder="1" applyAlignment="1" applyProtection="1">
      <alignment horizontal="center" vertical="center"/>
    </xf>
    <xf numFmtId="9" fontId="278" fillId="6" borderId="171" xfId="22" applyFont="1" applyFill="1" applyBorder="1" applyAlignment="1" applyProtection="1">
      <alignment horizontal="center" vertical="center"/>
    </xf>
    <xf numFmtId="9" fontId="278" fillId="6" borderId="172" xfId="22" applyFont="1" applyFill="1" applyBorder="1" applyAlignment="1" applyProtection="1">
      <alignment horizontal="center" vertical="center"/>
    </xf>
    <xf numFmtId="9" fontId="278" fillId="6" borderId="173" xfId="22" applyFont="1" applyFill="1" applyBorder="1" applyAlignment="1" applyProtection="1">
      <alignment horizontal="center" vertical="center"/>
    </xf>
    <xf numFmtId="166" fontId="56" fillId="17" borderId="42" xfId="90" applyNumberFormat="1" applyFont="1" applyFill="1" applyBorder="1" applyAlignment="1" applyProtection="1">
      <alignment horizontal="center" vertical="center"/>
      <protection locked="0"/>
    </xf>
    <xf numFmtId="166" fontId="56" fillId="17" borderId="43" xfId="90" applyNumberFormat="1" applyFont="1" applyFill="1" applyBorder="1" applyAlignment="1" applyProtection="1">
      <alignment horizontal="center" vertical="center"/>
      <protection locked="0"/>
    </xf>
    <xf numFmtId="166" fontId="56" fillId="17" borderId="44" xfId="90" applyNumberFormat="1" applyFont="1" applyFill="1" applyBorder="1" applyAlignment="1" applyProtection="1">
      <alignment horizontal="center" vertical="center"/>
      <protection locked="0"/>
    </xf>
    <xf numFmtId="166" fontId="56" fillId="17" borderId="45" xfId="90" applyNumberFormat="1" applyFont="1" applyFill="1" applyBorder="1" applyAlignment="1" applyProtection="1">
      <alignment horizontal="center" vertical="center"/>
      <protection locked="0"/>
    </xf>
    <xf numFmtId="166" fontId="56" fillId="17" borderId="0" xfId="90" applyNumberFormat="1" applyFont="1" applyFill="1" applyBorder="1" applyAlignment="1" applyProtection="1">
      <alignment horizontal="center" vertical="center"/>
      <protection locked="0"/>
    </xf>
    <xf numFmtId="166" fontId="56" fillId="17" borderId="46" xfId="90" applyNumberFormat="1" applyFont="1" applyFill="1" applyBorder="1" applyAlignment="1" applyProtection="1">
      <alignment horizontal="center" vertical="center"/>
      <protection locked="0"/>
    </xf>
    <xf numFmtId="166" fontId="161" fillId="14" borderId="42" xfId="90" applyNumberFormat="1" applyFont="1" applyFill="1" applyBorder="1" applyAlignment="1" applyProtection="1">
      <alignment horizontal="center" vertical="center"/>
      <protection locked="0"/>
    </xf>
    <xf numFmtId="166" fontId="161" fillId="14" borderId="43" xfId="90" applyNumberFormat="1" applyFont="1" applyFill="1" applyBorder="1" applyAlignment="1" applyProtection="1">
      <alignment horizontal="center" vertical="center"/>
      <protection locked="0"/>
    </xf>
    <xf numFmtId="166" fontId="161" fillId="14" borderId="44" xfId="90" applyNumberFormat="1" applyFont="1" applyFill="1" applyBorder="1" applyAlignment="1" applyProtection="1">
      <alignment horizontal="center" vertical="center"/>
      <protection locked="0"/>
    </xf>
    <xf numFmtId="166" fontId="161" fillId="14" borderId="45" xfId="90" applyNumberFormat="1" applyFont="1" applyFill="1" applyBorder="1" applyAlignment="1" applyProtection="1">
      <alignment horizontal="center" vertical="center"/>
      <protection locked="0"/>
    </xf>
    <xf numFmtId="166" fontId="161" fillId="14" borderId="0" xfId="90" applyNumberFormat="1" applyFont="1" applyFill="1" applyBorder="1" applyAlignment="1" applyProtection="1">
      <alignment horizontal="center" vertical="center"/>
      <protection locked="0"/>
    </xf>
    <xf numFmtId="166" fontId="161" fillId="14" borderId="46" xfId="90" applyNumberFormat="1" applyFont="1" applyFill="1" applyBorder="1" applyAlignment="1" applyProtection="1">
      <alignment horizontal="center" vertical="center"/>
      <protection locked="0"/>
    </xf>
    <xf numFmtId="166" fontId="161" fillId="14" borderId="47" xfId="90" applyNumberFormat="1" applyFont="1" applyFill="1" applyBorder="1" applyAlignment="1" applyProtection="1">
      <alignment horizontal="center" vertical="center"/>
      <protection locked="0"/>
    </xf>
    <xf numFmtId="166" fontId="161" fillId="14" borderId="48" xfId="90" applyNumberFormat="1" applyFont="1" applyFill="1" applyBorder="1" applyAlignment="1" applyProtection="1">
      <alignment horizontal="center" vertical="center"/>
      <protection locked="0"/>
    </xf>
    <xf numFmtId="166" fontId="161" fillId="14" borderId="49" xfId="90" applyNumberFormat="1" applyFont="1" applyFill="1" applyBorder="1" applyAlignment="1" applyProtection="1">
      <alignment horizontal="center" vertical="center"/>
      <protection locked="0"/>
    </xf>
    <xf numFmtId="0" fontId="142" fillId="7" borderId="42" xfId="90" applyFont="1" applyFill="1" applyBorder="1" applyAlignment="1" applyProtection="1">
      <alignment horizontal="center" vertical="center"/>
      <protection locked="0" hidden="1"/>
    </xf>
    <xf numFmtId="0" fontId="142" fillId="7" borderId="43" xfId="90" applyFont="1" applyFill="1" applyBorder="1" applyAlignment="1" applyProtection="1">
      <alignment horizontal="center" vertical="center"/>
      <protection locked="0" hidden="1"/>
    </xf>
    <xf numFmtId="0" fontId="142" fillId="7" borderId="44" xfId="90" applyFont="1" applyFill="1" applyBorder="1" applyAlignment="1" applyProtection="1">
      <alignment horizontal="center" vertical="center"/>
      <protection locked="0" hidden="1"/>
    </xf>
    <xf numFmtId="0" fontId="142" fillId="7" borderId="45" xfId="90" applyFont="1" applyFill="1" applyBorder="1" applyAlignment="1" applyProtection="1">
      <alignment horizontal="center" vertical="center"/>
      <protection locked="0" hidden="1"/>
    </xf>
    <xf numFmtId="0" fontId="142" fillId="7" borderId="0" xfId="90" applyFont="1" applyFill="1" applyBorder="1" applyAlignment="1" applyProtection="1">
      <alignment horizontal="center" vertical="center"/>
      <protection locked="0" hidden="1"/>
    </xf>
    <xf numFmtId="0" fontId="142" fillId="7" borderId="46" xfId="90" applyFont="1" applyFill="1" applyBorder="1" applyAlignment="1" applyProtection="1">
      <alignment horizontal="center" vertical="center"/>
      <protection locked="0" hidden="1"/>
    </xf>
    <xf numFmtId="0" fontId="142" fillId="7" borderId="47" xfId="90" applyFont="1" applyFill="1" applyBorder="1" applyAlignment="1" applyProtection="1">
      <alignment horizontal="center" vertical="center"/>
      <protection locked="0" hidden="1"/>
    </xf>
    <xf numFmtId="0" fontId="142" fillId="7" borderId="48" xfId="90" applyFont="1" applyFill="1" applyBorder="1" applyAlignment="1" applyProtection="1">
      <alignment horizontal="center" vertical="center"/>
      <protection locked="0" hidden="1"/>
    </xf>
    <xf numFmtId="0" fontId="142" fillId="7" borderId="49" xfId="90" applyFont="1" applyFill="1" applyBorder="1" applyAlignment="1" applyProtection="1">
      <alignment horizontal="center" vertical="center"/>
      <protection locked="0" hidden="1"/>
    </xf>
    <xf numFmtId="0" fontId="68" fillId="19" borderId="167" xfId="90" applyFont="1" applyFill="1" applyBorder="1" applyAlignment="1" applyProtection="1">
      <alignment horizontal="center" vertical="center" wrapText="1"/>
    </xf>
    <xf numFmtId="0" fontId="68" fillId="19" borderId="168" xfId="90" applyFont="1" applyFill="1" applyBorder="1" applyAlignment="1" applyProtection="1">
      <alignment horizontal="center" vertical="center" wrapText="1"/>
    </xf>
    <xf numFmtId="0" fontId="68" fillId="19" borderId="169" xfId="90" applyFont="1" applyFill="1" applyBorder="1" applyAlignment="1" applyProtection="1">
      <alignment horizontal="center" vertical="center" wrapText="1"/>
    </xf>
    <xf numFmtId="0" fontId="68" fillId="19" borderId="170" xfId="90" applyFont="1" applyFill="1" applyBorder="1" applyAlignment="1" applyProtection="1">
      <alignment horizontal="center" vertical="center" wrapText="1"/>
    </xf>
    <xf numFmtId="0" fontId="68" fillId="19" borderId="0" xfId="90" applyFont="1" applyFill="1" applyBorder="1" applyAlignment="1" applyProtection="1">
      <alignment horizontal="center" vertical="center" wrapText="1"/>
    </xf>
    <xf numFmtId="0" fontId="68" fillId="19" borderId="166" xfId="90" applyFont="1" applyFill="1" applyBorder="1" applyAlignment="1" applyProtection="1">
      <alignment horizontal="center" vertical="center" wrapText="1"/>
    </xf>
    <xf numFmtId="166" fontId="56" fillId="17" borderId="42" xfId="90" applyNumberFormat="1" applyFont="1" applyFill="1" applyBorder="1" applyAlignment="1" applyProtection="1">
      <alignment horizontal="center" vertical="center"/>
    </xf>
    <xf numFmtId="166" fontId="56" fillId="17" borderId="43" xfId="90" applyNumberFormat="1" applyFont="1" applyFill="1" applyBorder="1" applyAlignment="1" applyProtection="1">
      <alignment horizontal="center" vertical="center"/>
    </xf>
    <xf numFmtId="166" fontId="56" fillId="17" borderId="44" xfId="90" applyNumberFormat="1" applyFont="1" applyFill="1" applyBorder="1" applyAlignment="1" applyProtection="1">
      <alignment horizontal="center" vertical="center"/>
    </xf>
    <xf numFmtId="166" fontId="56" fillId="17" borderId="45" xfId="90" applyNumberFormat="1" applyFont="1" applyFill="1" applyBorder="1" applyAlignment="1" applyProtection="1">
      <alignment horizontal="center" vertical="center"/>
    </xf>
    <xf numFmtId="166" fontId="56" fillId="17" borderId="0" xfId="90" applyNumberFormat="1" applyFont="1" applyFill="1" applyBorder="1" applyAlignment="1" applyProtection="1">
      <alignment horizontal="center" vertical="center"/>
    </xf>
    <xf numFmtId="166" fontId="56" fillId="17" borderId="46" xfId="90" applyNumberFormat="1" applyFont="1" applyFill="1" applyBorder="1" applyAlignment="1" applyProtection="1">
      <alignment horizontal="center" vertical="center"/>
    </xf>
    <xf numFmtId="166" fontId="305" fillId="15" borderId="34" xfId="90" applyNumberFormat="1" applyFont="1" applyFill="1" applyBorder="1" applyAlignment="1" applyProtection="1">
      <alignment horizontal="center" vertical="center"/>
      <protection locked="0"/>
    </xf>
    <xf numFmtId="166" fontId="305" fillId="15" borderId="35" xfId="90" applyNumberFormat="1" applyFont="1" applyFill="1" applyBorder="1" applyAlignment="1" applyProtection="1">
      <alignment horizontal="center" vertical="center"/>
      <protection locked="0"/>
    </xf>
    <xf numFmtId="166" fontId="305" fillId="15" borderId="36" xfId="90" applyNumberFormat="1" applyFont="1" applyFill="1" applyBorder="1" applyAlignment="1" applyProtection="1">
      <alignment horizontal="center" vertical="center"/>
      <protection locked="0"/>
    </xf>
    <xf numFmtId="166" fontId="305" fillId="15" borderId="37" xfId="90" applyNumberFormat="1" applyFont="1" applyFill="1" applyBorder="1" applyAlignment="1" applyProtection="1">
      <alignment horizontal="center" vertical="center"/>
      <protection locked="0"/>
    </xf>
    <xf numFmtId="166" fontId="305" fillId="15" borderId="0" xfId="90" applyNumberFormat="1" applyFont="1" applyFill="1" applyBorder="1" applyAlignment="1" applyProtection="1">
      <alignment horizontal="center" vertical="center"/>
      <protection locked="0"/>
    </xf>
    <xf numFmtId="166" fontId="305" fillId="15" borderId="38" xfId="90" applyNumberFormat="1" applyFont="1" applyFill="1" applyBorder="1" applyAlignment="1" applyProtection="1">
      <alignment horizontal="center" vertical="center"/>
      <protection locked="0"/>
    </xf>
    <xf numFmtId="9" fontId="130" fillId="14" borderId="34" xfId="22" applyFont="1" applyFill="1" applyBorder="1" applyAlignment="1" applyProtection="1">
      <alignment horizontal="center" vertical="center"/>
      <protection locked="0"/>
    </xf>
    <xf numFmtId="9" fontId="130" fillId="14" borderId="35" xfId="22" applyFont="1" applyFill="1" applyBorder="1" applyAlignment="1" applyProtection="1">
      <alignment horizontal="center" vertical="center"/>
      <protection locked="0"/>
    </xf>
    <xf numFmtId="9" fontId="130" fillId="14" borderId="36" xfId="22" applyFont="1" applyFill="1" applyBorder="1" applyAlignment="1" applyProtection="1">
      <alignment horizontal="center" vertical="center"/>
      <protection locked="0"/>
    </xf>
    <xf numFmtId="9" fontId="130" fillId="14" borderId="37" xfId="22" applyFont="1" applyFill="1" applyBorder="1" applyAlignment="1" applyProtection="1">
      <alignment horizontal="center" vertical="center"/>
      <protection locked="0"/>
    </xf>
    <xf numFmtId="9" fontId="130" fillId="14" borderId="0" xfId="22" applyFont="1" applyFill="1" applyBorder="1" applyAlignment="1" applyProtection="1">
      <alignment horizontal="center" vertical="center"/>
      <protection locked="0"/>
    </xf>
    <xf numFmtId="9" fontId="130" fillId="14" borderId="38" xfId="22" applyFont="1" applyFill="1" applyBorder="1" applyAlignment="1" applyProtection="1">
      <alignment horizontal="center" vertical="center"/>
      <protection locked="0"/>
    </xf>
    <xf numFmtId="9" fontId="130" fillId="14" borderId="39" xfId="22" applyFont="1" applyFill="1" applyBorder="1" applyAlignment="1" applyProtection="1">
      <alignment horizontal="center" vertical="center"/>
      <protection locked="0"/>
    </xf>
    <xf numFmtId="9" fontId="130" fillId="14" borderId="40" xfId="22" applyFont="1" applyFill="1" applyBorder="1" applyAlignment="1" applyProtection="1">
      <alignment horizontal="center" vertical="center"/>
      <protection locked="0"/>
    </xf>
    <xf numFmtId="9" fontId="130" fillId="14" borderId="41" xfId="22" applyFont="1" applyFill="1" applyBorder="1" applyAlignment="1" applyProtection="1">
      <alignment horizontal="center" vertical="center"/>
      <protection locked="0"/>
    </xf>
    <xf numFmtId="166" fontId="49" fillId="14" borderId="34" xfId="90" applyNumberFormat="1" applyFont="1" applyFill="1" applyBorder="1" applyAlignment="1" applyProtection="1">
      <alignment horizontal="center" vertical="center"/>
      <protection locked="0"/>
    </xf>
    <xf numFmtId="166" fontId="49" fillId="14" borderId="35" xfId="90" applyNumberFormat="1" applyFont="1" applyFill="1" applyBorder="1" applyAlignment="1" applyProtection="1">
      <alignment horizontal="center" vertical="center"/>
      <protection locked="0"/>
    </xf>
    <xf numFmtId="166" fontId="49" fillId="14" borderId="36" xfId="90" applyNumberFormat="1" applyFont="1" applyFill="1" applyBorder="1" applyAlignment="1" applyProtection="1">
      <alignment horizontal="center" vertical="center"/>
      <protection locked="0"/>
    </xf>
    <xf numFmtId="166" fontId="49" fillId="14" borderId="37" xfId="90" applyNumberFormat="1" applyFont="1" applyFill="1" applyBorder="1" applyAlignment="1" applyProtection="1">
      <alignment horizontal="center" vertical="center"/>
      <protection locked="0"/>
    </xf>
    <xf numFmtId="166" fontId="49" fillId="14" borderId="0" xfId="90" applyNumberFormat="1" applyFont="1" applyFill="1" applyBorder="1" applyAlignment="1" applyProtection="1">
      <alignment horizontal="center" vertical="center"/>
      <protection locked="0"/>
    </xf>
    <xf numFmtId="166" fontId="49" fillId="14" borderId="38" xfId="90" applyNumberFormat="1" applyFont="1" applyFill="1" applyBorder="1" applyAlignment="1" applyProtection="1">
      <alignment horizontal="center" vertical="center"/>
      <protection locked="0"/>
    </xf>
    <xf numFmtId="166" fontId="49" fillId="14" borderId="39" xfId="90" applyNumberFormat="1" applyFont="1" applyFill="1" applyBorder="1" applyAlignment="1" applyProtection="1">
      <alignment horizontal="center" vertical="center"/>
      <protection locked="0"/>
    </xf>
    <xf numFmtId="166" fontId="49" fillId="14" borderId="40" xfId="90" applyNumberFormat="1" applyFont="1" applyFill="1" applyBorder="1" applyAlignment="1" applyProtection="1">
      <alignment horizontal="center" vertical="center"/>
      <protection locked="0"/>
    </xf>
    <xf numFmtId="166" fontId="49" fillId="14" borderId="41" xfId="90" applyNumberFormat="1" applyFont="1" applyFill="1" applyBorder="1" applyAlignment="1" applyProtection="1">
      <alignment horizontal="center" vertical="center"/>
      <protection locked="0"/>
    </xf>
    <xf numFmtId="166" fontId="279" fillId="6" borderId="121" xfId="90" applyNumberFormat="1" applyFont="1" applyFill="1" applyBorder="1" applyAlignment="1" applyProtection="1">
      <alignment horizontal="center" vertical="center"/>
      <protection hidden="1"/>
    </xf>
    <xf numFmtId="166" fontId="309" fillId="6" borderId="0" xfId="90" applyNumberFormat="1" applyFont="1" applyFill="1" applyBorder="1" applyAlignment="1" applyProtection="1">
      <alignment horizontal="center" vertical="center"/>
    </xf>
    <xf numFmtId="166" fontId="309" fillId="6" borderId="20" xfId="90" applyNumberFormat="1" applyFont="1" applyFill="1" applyBorder="1" applyAlignment="1" applyProtection="1">
      <alignment horizontal="center" vertical="center"/>
    </xf>
    <xf numFmtId="0" fontId="82" fillId="0" borderId="116" xfId="0" applyNumberFormat="1" applyFont="1" applyFill="1" applyBorder="1" applyAlignment="1" applyProtection="1">
      <alignment horizontal="left"/>
      <protection hidden="1"/>
    </xf>
    <xf numFmtId="166" fontId="305" fillId="11" borderId="148" xfId="90" applyNumberFormat="1" applyFont="1" applyFill="1" applyBorder="1" applyAlignment="1" applyProtection="1">
      <alignment horizontal="center" vertical="center"/>
      <protection locked="0"/>
    </xf>
    <xf numFmtId="166" fontId="305" fillId="11" borderId="0" xfId="90" applyNumberFormat="1" applyFont="1" applyFill="1" applyBorder="1" applyAlignment="1" applyProtection="1">
      <alignment horizontal="center" vertical="center"/>
      <protection locked="0"/>
    </xf>
    <xf numFmtId="166" fontId="305" fillId="11" borderId="153" xfId="90" applyNumberFormat="1" applyFont="1" applyFill="1" applyBorder="1" applyAlignment="1" applyProtection="1">
      <alignment horizontal="center" vertical="center"/>
      <protection locked="0"/>
    </xf>
    <xf numFmtId="9" fontId="159" fillId="16" borderId="0" xfId="22" applyFont="1" applyFill="1" applyBorder="1" applyAlignment="1" applyProtection="1">
      <alignment horizontal="center" vertical="center"/>
      <protection locked="0"/>
    </xf>
    <xf numFmtId="166" fontId="305" fillId="16" borderId="17" xfId="90" applyNumberFormat="1" applyFont="1" applyFill="1" applyBorder="1" applyAlignment="1" applyProtection="1">
      <alignment horizontal="right" vertical="center" indent="1"/>
      <protection locked="0"/>
    </xf>
    <xf numFmtId="166" fontId="305" fillId="16" borderId="0" xfId="90" applyNumberFormat="1" applyFont="1" applyFill="1" applyBorder="1" applyAlignment="1" applyProtection="1">
      <alignment horizontal="right" vertical="center" indent="1"/>
      <protection locked="0"/>
    </xf>
    <xf numFmtId="0" fontId="69" fillId="8" borderId="17" xfId="90" applyFont="1" applyFill="1" applyBorder="1" applyAlignment="1" applyProtection="1">
      <alignment horizontal="left" vertical="center"/>
    </xf>
    <xf numFmtId="0" fontId="69" fillId="8" borderId="0" xfId="90" applyFont="1" applyFill="1" applyBorder="1" applyAlignment="1" applyProtection="1">
      <alignment horizontal="left" vertical="center"/>
    </xf>
    <xf numFmtId="0" fontId="139" fillId="8" borderId="0" xfId="90" applyFont="1" applyFill="1" applyBorder="1" applyAlignment="1" applyProtection="1">
      <alignment horizontal="center" vertical="center"/>
    </xf>
    <xf numFmtId="166" fontId="63" fillId="6" borderId="22" xfId="90" applyNumberFormat="1" applyFont="1" applyFill="1" applyBorder="1" applyAlignment="1" applyProtection="1">
      <alignment horizontal="center" vertical="center"/>
    </xf>
    <xf numFmtId="166" fontId="63" fillId="6" borderId="0" xfId="90" applyNumberFormat="1" applyFont="1" applyFill="1" applyBorder="1" applyAlignment="1" applyProtection="1">
      <alignment horizontal="center" vertical="center"/>
    </xf>
    <xf numFmtId="166" fontId="63" fillId="6" borderId="18" xfId="90" applyNumberFormat="1" applyFont="1" applyFill="1" applyBorder="1" applyAlignment="1" applyProtection="1">
      <alignment horizontal="center" vertical="center"/>
    </xf>
    <xf numFmtId="166" fontId="63" fillId="8" borderId="11" xfId="90" applyNumberFormat="1" applyFont="1" applyFill="1" applyBorder="1" applyAlignment="1" applyProtection="1">
      <alignment horizontal="center" vertical="center"/>
    </xf>
    <xf numFmtId="0" fontId="63" fillId="8" borderId="12" xfId="90" applyFont="1" applyFill="1" applyBorder="1" applyAlignment="1" applyProtection="1">
      <alignment horizontal="center" vertical="center"/>
    </xf>
    <xf numFmtId="0" fontId="63" fillId="8" borderId="24" xfId="90" applyFont="1" applyFill="1" applyBorder="1" applyAlignment="1" applyProtection="1">
      <alignment horizontal="center" vertical="center"/>
    </xf>
    <xf numFmtId="0" fontId="63" fillId="8" borderId="22" xfId="90" applyFont="1" applyFill="1" applyBorder="1" applyAlignment="1" applyProtection="1">
      <alignment horizontal="center" vertical="center"/>
    </xf>
    <xf numFmtId="0" fontId="63" fillId="8" borderId="0" xfId="90" applyFont="1" applyFill="1" applyBorder="1" applyAlignment="1" applyProtection="1">
      <alignment horizontal="center" vertical="center"/>
    </xf>
    <xf numFmtId="0" fontId="63" fillId="8" borderId="18" xfId="90" applyFont="1" applyFill="1" applyBorder="1" applyAlignment="1" applyProtection="1">
      <alignment horizontal="center" vertical="center"/>
    </xf>
    <xf numFmtId="166" fontId="5" fillId="6" borderId="22" xfId="90" applyNumberFormat="1" applyFont="1" applyFill="1" applyBorder="1" applyAlignment="1" applyProtection="1">
      <alignment horizontal="center" vertical="center"/>
    </xf>
    <xf numFmtId="166" fontId="7" fillId="6" borderId="0" xfId="90" applyNumberFormat="1" applyFont="1" applyFill="1" applyBorder="1" applyAlignment="1" applyProtection="1">
      <alignment horizontal="center" vertical="center"/>
    </xf>
    <xf numFmtId="166" fontId="7" fillId="6" borderId="23" xfId="90" applyNumberFormat="1" applyFont="1" applyFill="1" applyBorder="1" applyAlignment="1" applyProtection="1">
      <alignment horizontal="center" vertical="center"/>
    </xf>
    <xf numFmtId="166" fontId="7" fillId="6" borderId="22" xfId="90" applyNumberFormat="1" applyFont="1" applyFill="1" applyBorder="1" applyAlignment="1" applyProtection="1">
      <alignment horizontal="center" vertical="center"/>
    </xf>
    <xf numFmtId="0" fontId="79" fillId="6" borderId="23" xfId="90" applyFont="1" applyFill="1" applyBorder="1" applyAlignment="1" applyProtection="1">
      <alignment horizontal="left" vertical="center" indent="1"/>
    </xf>
    <xf numFmtId="166" fontId="370" fillId="26" borderId="178" xfId="90" applyNumberFormat="1" applyFont="1" applyFill="1" applyBorder="1" applyAlignment="1" applyProtection="1">
      <alignment horizontal="center" vertical="center"/>
      <protection locked="0"/>
    </xf>
    <xf numFmtId="166" fontId="370" fillId="26" borderId="179" xfId="90" applyNumberFormat="1" applyFont="1" applyFill="1" applyBorder="1" applyAlignment="1" applyProtection="1">
      <alignment horizontal="center" vertical="center"/>
      <protection locked="0"/>
    </xf>
    <xf numFmtId="166" fontId="370" fillId="26" borderId="180" xfId="90" applyNumberFormat="1" applyFont="1" applyFill="1" applyBorder="1" applyAlignment="1" applyProtection="1">
      <alignment horizontal="center" vertical="center"/>
      <protection locked="0"/>
    </xf>
    <xf numFmtId="166" fontId="370" fillId="26" borderId="181" xfId="90" applyNumberFormat="1" applyFont="1" applyFill="1" applyBorder="1" applyAlignment="1" applyProtection="1">
      <alignment horizontal="center" vertical="center"/>
      <protection locked="0"/>
    </xf>
    <xf numFmtId="166" fontId="370" fillId="26" borderId="0" xfId="90" applyNumberFormat="1" applyFont="1" applyFill="1" applyBorder="1" applyAlignment="1" applyProtection="1">
      <alignment horizontal="center" vertical="center"/>
      <protection locked="0"/>
    </xf>
    <xf numFmtId="166" fontId="370" fillId="26" borderId="182" xfId="90" applyNumberFormat="1" applyFont="1" applyFill="1" applyBorder="1" applyAlignment="1" applyProtection="1">
      <alignment horizontal="center" vertical="center"/>
      <protection locked="0"/>
    </xf>
    <xf numFmtId="0" fontId="45" fillId="16" borderId="18" xfId="90" applyFont="1" applyFill="1" applyBorder="1" applyAlignment="1" applyProtection="1">
      <alignment horizontal="center"/>
      <protection locked="0"/>
    </xf>
    <xf numFmtId="0" fontId="121" fillId="14" borderId="0" xfId="90" applyFont="1" applyFill="1" applyBorder="1" applyAlignment="1" applyProtection="1">
      <alignment horizontal="center" vertical="center"/>
      <protection locked="0"/>
    </xf>
    <xf numFmtId="166" fontId="56" fillId="11" borderId="147" xfId="90" applyNumberFormat="1" applyFont="1" applyFill="1" applyBorder="1" applyAlignment="1" applyProtection="1">
      <alignment horizontal="center" vertical="center"/>
    </xf>
    <xf numFmtId="166" fontId="56" fillId="11" borderId="148" xfId="90" applyNumberFormat="1" applyFont="1" applyFill="1" applyBorder="1" applyAlignment="1" applyProtection="1">
      <alignment horizontal="center" vertical="center"/>
    </xf>
    <xf numFmtId="166" fontId="56" fillId="11" borderId="149" xfId="90" applyNumberFormat="1" applyFont="1" applyFill="1" applyBorder="1" applyAlignment="1" applyProtection="1">
      <alignment horizontal="center" vertical="center"/>
    </xf>
    <xf numFmtId="166" fontId="56" fillId="11" borderId="150" xfId="90" applyNumberFormat="1" applyFont="1" applyFill="1" applyBorder="1" applyAlignment="1" applyProtection="1">
      <alignment horizontal="center" vertical="center"/>
    </xf>
    <xf numFmtId="166" fontId="56" fillId="11" borderId="0" xfId="90" applyNumberFormat="1" applyFont="1" applyFill="1" applyBorder="1" applyAlignment="1" applyProtection="1">
      <alignment horizontal="center" vertical="center"/>
    </xf>
    <xf numFmtId="166" fontId="56" fillId="11" borderId="151" xfId="90" applyNumberFormat="1" applyFont="1" applyFill="1" applyBorder="1" applyAlignment="1" applyProtection="1">
      <alignment horizontal="center" vertical="center"/>
    </xf>
    <xf numFmtId="166" fontId="56" fillId="11" borderId="152" xfId="90" applyNumberFormat="1" applyFont="1" applyFill="1" applyBorder="1" applyAlignment="1" applyProtection="1">
      <alignment horizontal="center" vertical="center"/>
    </xf>
    <xf numFmtId="166" fontId="56" fillId="11" borderId="153" xfId="90" applyNumberFormat="1" applyFont="1" applyFill="1" applyBorder="1" applyAlignment="1" applyProtection="1">
      <alignment horizontal="center" vertical="center"/>
    </xf>
    <xf numFmtId="166" fontId="56" fillId="11" borderId="154" xfId="90" applyNumberFormat="1" applyFont="1" applyFill="1" applyBorder="1" applyAlignment="1" applyProtection="1">
      <alignment horizontal="center" vertical="center"/>
    </xf>
    <xf numFmtId="166" fontId="63" fillId="6" borderId="410" xfId="90" applyNumberFormat="1" applyFont="1" applyFill="1" applyBorder="1" applyAlignment="1" applyProtection="1">
      <alignment horizontal="center" vertical="center"/>
      <protection locked="0" hidden="1"/>
    </xf>
    <xf numFmtId="166" fontId="63" fillId="6" borderId="8" xfId="90" applyNumberFormat="1" applyFont="1" applyFill="1" applyBorder="1" applyAlignment="1" applyProtection="1">
      <alignment horizontal="center" vertical="center"/>
      <protection locked="0" hidden="1"/>
    </xf>
    <xf numFmtId="166" fontId="63" fillId="6" borderId="411" xfId="90" applyNumberFormat="1" applyFont="1" applyFill="1" applyBorder="1" applyAlignment="1" applyProtection="1">
      <alignment horizontal="center" vertical="center"/>
      <protection locked="0" hidden="1"/>
    </xf>
    <xf numFmtId="169" fontId="79" fillId="6" borderId="0" xfId="22" applyNumberFormat="1" applyFont="1" applyFill="1" applyBorder="1" applyAlignment="1" applyProtection="1">
      <alignment horizontal="right" vertical="center"/>
    </xf>
    <xf numFmtId="169" fontId="79" fillId="6" borderId="23" xfId="22" applyNumberFormat="1" applyFont="1" applyFill="1" applyBorder="1" applyAlignment="1" applyProtection="1">
      <alignment horizontal="right" vertical="center"/>
    </xf>
    <xf numFmtId="0" fontId="79" fillId="6" borderId="150" xfId="90" applyFont="1" applyFill="1" applyBorder="1" applyAlignment="1" applyProtection="1">
      <alignment vertical="center"/>
    </xf>
    <xf numFmtId="0" fontId="79" fillId="6" borderId="0" xfId="90" applyFont="1" applyFill="1" applyBorder="1" applyAlignment="1" applyProtection="1">
      <alignment vertical="center"/>
    </xf>
    <xf numFmtId="166" fontId="69" fillId="6" borderId="22" xfId="90" applyNumberFormat="1" applyFont="1" applyFill="1" applyBorder="1" applyAlignment="1" applyProtection="1">
      <alignment horizontal="center" vertical="center"/>
    </xf>
    <xf numFmtId="0" fontId="69" fillId="6" borderId="0" xfId="90" applyFont="1" applyFill="1" applyBorder="1" applyAlignment="1" applyProtection="1">
      <alignment horizontal="center" vertical="center"/>
    </xf>
    <xf numFmtId="0" fontId="69" fillId="6" borderId="23" xfId="90" applyFont="1" applyFill="1" applyBorder="1" applyAlignment="1" applyProtection="1">
      <alignment horizontal="center" vertical="center"/>
    </xf>
    <xf numFmtId="0" fontId="69" fillId="6" borderId="14" xfId="90" applyFont="1" applyFill="1" applyBorder="1" applyAlignment="1" applyProtection="1">
      <alignment horizontal="center" vertical="center"/>
    </xf>
    <xf numFmtId="0" fontId="69" fillId="6" borderId="15" xfId="90" applyFont="1" applyFill="1" applyBorder="1" applyAlignment="1" applyProtection="1">
      <alignment horizontal="center" vertical="center"/>
    </xf>
    <xf numFmtId="0" fontId="69" fillId="6" borderId="16" xfId="90" applyFont="1" applyFill="1" applyBorder="1" applyAlignment="1" applyProtection="1">
      <alignment horizontal="center" vertical="center"/>
    </xf>
    <xf numFmtId="166" fontId="69" fillId="6" borderId="150" xfId="90" applyNumberFormat="1" applyFont="1" applyFill="1" applyBorder="1" applyAlignment="1" applyProtection="1">
      <alignment horizontal="right" vertical="center"/>
    </xf>
    <xf numFmtId="166" fontId="69" fillId="6" borderId="0" xfId="90" applyNumberFormat="1" applyFont="1" applyFill="1" applyBorder="1" applyAlignment="1" applyProtection="1">
      <alignment horizontal="right" vertical="center"/>
    </xf>
    <xf numFmtId="0" fontId="79" fillId="6" borderId="387" xfId="90" applyFont="1" applyFill="1" applyBorder="1" applyAlignment="1" applyProtection="1">
      <alignment vertical="center"/>
    </xf>
    <xf numFmtId="0" fontId="79" fillId="6" borderId="8" xfId="90" applyFont="1" applyFill="1" applyBorder="1" applyAlignment="1" applyProtection="1">
      <alignment vertical="center"/>
    </xf>
    <xf numFmtId="166" fontId="69" fillId="6" borderId="389" xfId="90" applyNumberFormat="1" applyFont="1" applyFill="1" applyBorder="1" applyAlignment="1" applyProtection="1">
      <alignment horizontal="left" vertical="center" indent="1"/>
    </xf>
    <xf numFmtId="166" fontId="69" fillId="6" borderId="7" xfId="90" applyNumberFormat="1" applyFont="1" applyFill="1" applyBorder="1" applyAlignment="1" applyProtection="1">
      <alignment horizontal="left" vertical="center" indent="1"/>
    </xf>
    <xf numFmtId="166" fontId="69" fillId="6" borderId="150" xfId="90" applyNumberFormat="1" applyFont="1" applyFill="1" applyBorder="1" applyAlignment="1" applyProtection="1">
      <alignment horizontal="left" vertical="center" indent="1"/>
    </xf>
    <xf numFmtId="166" fontId="69" fillId="6" borderId="0" xfId="90" applyNumberFormat="1" applyFont="1" applyFill="1" applyBorder="1" applyAlignment="1" applyProtection="1">
      <alignment horizontal="left" vertical="center" indent="1"/>
    </xf>
    <xf numFmtId="166" fontId="69" fillId="6" borderId="152" xfId="90" applyNumberFormat="1" applyFont="1" applyFill="1" applyBorder="1" applyAlignment="1" applyProtection="1">
      <alignment horizontal="left" vertical="center" indent="1"/>
    </xf>
    <xf numFmtId="166" fontId="69" fillId="6" borderId="153" xfId="90" applyNumberFormat="1" applyFont="1" applyFill="1" applyBorder="1" applyAlignment="1" applyProtection="1">
      <alignment horizontal="left" vertical="center" indent="1"/>
    </xf>
    <xf numFmtId="0" fontId="220" fillId="6" borderId="150" xfId="90" applyFont="1" applyFill="1" applyBorder="1" applyAlignment="1" applyProtection="1">
      <alignment horizontal="left" indent="1"/>
      <protection hidden="1"/>
    </xf>
    <xf numFmtId="0" fontId="220" fillId="6" borderId="0" xfId="90" applyFont="1" applyFill="1" applyBorder="1" applyAlignment="1" applyProtection="1">
      <alignment horizontal="left" indent="1"/>
      <protection hidden="1"/>
    </xf>
    <xf numFmtId="0" fontId="132" fillId="6" borderId="150" xfId="90" applyFont="1" applyFill="1" applyBorder="1" applyAlignment="1" applyProtection="1">
      <alignment horizontal="left" vertical="center" indent="1"/>
    </xf>
    <xf numFmtId="0" fontId="132" fillId="6" borderId="0" xfId="90" applyFont="1" applyFill="1" applyBorder="1" applyAlignment="1" applyProtection="1">
      <alignment horizontal="left" vertical="center" indent="1"/>
    </xf>
    <xf numFmtId="0" fontId="79" fillId="12" borderId="150" xfId="90" applyFont="1" applyFill="1" applyBorder="1" applyAlignment="1" applyProtection="1">
      <alignment vertical="center"/>
    </xf>
    <xf numFmtId="0" fontId="79" fillId="12" borderId="0" xfId="90" applyFont="1" applyFill="1" applyBorder="1" applyAlignment="1" applyProtection="1">
      <alignment vertical="center"/>
    </xf>
    <xf numFmtId="166" fontId="121" fillId="6" borderId="420" xfId="90" applyNumberFormat="1" applyFont="1" applyFill="1" applyBorder="1" applyAlignment="1" applyProtection="1">
      <alignment horizontal="center" vertical="center"/>
    </xf>
    <xf numFmtId="166" fontId="121" fillId="6" borderId="7" xfId="90" applyNumberFormat="1" applyFont="1" applyFill="1" applyBorder="1" applyAlignment="1" applyProtection="1">
      <alignment horizontal="center" vertical="center"/>
    </xf>
    <xf numFmtId="166" fontId="121" fillId="6" borderId="413" xfId="90" applyNumberFormat="1" applyFont="1" applyFill="1" applyBorder="1" applyAlignment="1" applyProtection="1">
      <alignment horizontal="center" vertical="center"/>
    </xf>
    <xf numFmtId="166" fontId="121" fillId="6" borderId="421" xfId="90" applyNumberFormat="1" applyFont="1" applyFill="1" applyBorder="1" applyAlignment="1" applyProtection="1">
      <alignment horizontal="center" vertical="center"/>
    </xf>
    <xf numFmtId="166" fontId="121" fillId="6" borderId="0" xfId="90" applyNumberFormat="1" applyFont="1" applyFill="1" applyBorder="1" applyAlignment="1" applyProtection="1">
      <alignment horizontal="center" vertical="center"/>
    </xf>
    <xf numFmtId="166" fontId="121" fillId="6" borderId="407" xfId="90" applyNumberFormat="1" applyFont="1" applyFill="1" applyBorder="1" applyAlignment="1" applyProtection="1">
      <alignment horizontal="center" vertical="center"/>
    </xf>
    <xf numFmtId="166" fontId="121" fillId="6" borderId="422" xfId="90" applyNumberFormat="1" applyFont="1" applyFill="1" applyBorder="1" applyAlignment="1" applyProtection="1">
      <alignment horizontal="center" vertical="center"/>
    </xf>
    <xf numFmtId="166" fontId="121" fillId="6" borderId="423" xfId="90" applyNumberFormat="1" applyFont="1" applyFill="1" applyBorder="1" applyAlignment="1" applyProtection="1">
      <alignment horizontal="center" vertical="center"/>
    </xf>
    <xf numFmtId="166" fontId="121" fillId="6" borderId="424" xfId="90" applyNumberFormat="1" applyFont="1" applyFill="1" applyBorder="1" applyAlignment="1" applyProtection="1">
      <alignment horizontal="center" vertical="center"/>
    </xf>
    <xf numFmtId="0" fontId="45" fillId="6" borderId="0" xfId="90" applyFont="1" applyFill="1" applyBorder="1" applyAlignment="1" applyProtection="1">
      <alignment horizontal="center"/>
      <protection hidden="1"/>
    </xf>
    <xf numFmtId="0" fontId="45" fillId="6" borderId="407" xfId="90" applyFont="1" applyFill="1" applyBorder="1" applyAlignment="1" applyProtection="1">
      <alignment horizontal="center"/>
      <protection hidden="1"/>
    </xf>
    <xf numFmtId="166" fontId="121" fillId="6" borderId="418" xfId="90" applyNumberFormat="1" applyFont="1" applyFill="1" applyBorder="1" applyAlignment="1" applyProtection="1">
      <alignment horizontal="center" vertical="center"/>
    </xf>
    <xf numFmtId="166" fontId="121" fillId="6" borderId="393" xfId="90" applyNumberFormat="1" applyFont="1" applyFill="1" applyBorder="1" applyAlignment="1" applyProtection="1">
      <alignment horizontal="center" vertical="center"/>
    </xf>
    <xf numFmtId="166" fontId="121" fillId="6" borderId="416" xfId="90" applyNumberFormat="1" applyFont="1" applyFill="1" applyBorder="1" applyAlignment="1" applyProtection="1">
      <alignment horizontal="center" vertical="center"/>
    </xf>
    <xf numFmtId="166" fontId="121" fillId="6" borderId="419" xfId="90" applyNumberFormat="1" applyFont="1" applyFill="1" applyBorder="1" applyAlignment="1" applyProtection="1">
      <alignment horizontal="center" vertical="center"/>
    </xf>
    <xf numFmtId="166" fontId="121" fillId="6" borderId="394" xfId="90" applyNumberFormat="1" applyFont="1" applyFill="1" applyBorder="1" applyAlignment="1" applyProtection="1">
      <alignment horizontal="center" vertical="center"/>
    </xf>
    <xf numFmtId="166" fontId="121" fillId="6" borderId="417" xfId="90" applyNumberFormat="1" applyFont="1" applyFill="1" applyBorder="1" applyAlignment="1" applyProtection="1">
      <alignment horizontal="center" vertical="center"/>
    </xf>
    <xf numFmtId="0" fontId="79" fillId="6" borderId="0" xfId="90" applyFont="1" applyFill="1" applyBorder="1" applyAlignment="1" applyProtection="1">
      <alignment horizontal="center"/>
      <protection hidden="1"/>
    </xf>
    <xf numFmtId="0" fontId="79" fillId="6" borderId="151" xfId="90" applyFont="1" applyFill="1" applyBorder="1" applyAlignment="1" applyProtection="1">
      <alignment horizontal="center"/>
      <protection hidden="1"/>
    </xf>
    <xf numFmtId="168" fontId="258" fillId="6" borderId="0" xfId="90" applyNumberFormat="1" applyFont="1" applyFill="1" applyBorder="1" applyAlignment="1" applyProtection="1">
      <alignment horizontal="center" vertical="center"/>
    </xf>
    <xf numFmtId="168" fontId="258" fillId="6" borderId="151" xfId="90" applyNumberFormat="1" applyFont="1" applyFill="1" applyBorder="1" applyAlignment="1" applyProtection="1">
      <alignment horizontal="center" vertical="center"/>
    </xf>
    <xf numFmtId="168" fontId="258" fillId="6" borderId="153" xfId="90" applyNumberFormat="1" applyFont="1" applyFill="1" applyBorder="1" applyAlignment="1" applyProtection="1">
      <alignment horizontal="center" vertical="center"/>
    </xf>
    <xf numFmtId="168" fontId="258" fillId="6" borderId="154" xfId="90" applyNumberFormat="1" applyFont="1" applyFill="1" applyBorder="1" applyAlignment="1" applyProtection="1">
      <alignment horizontal="center" vertical="center"/>
    </xf>
    <xf numFmtId="166" fontId="256" fillId="6" borderId="0" xfId="90" applyNumberFormat="1" applyFont="1" applyFill="1" applyBorder="1" applyAlignment="1" applyProtection="1">
      <alignment horizontal="center" vertical="center"/>
    </xf>
    <xf numFmtId="166" fontId="256" fillId="6" borderId="153" xfId="90" applyNumberFormat="1" applyFont="1" applyFill="1" applyBorder="1" applyAlignment="1" applyProtection="1">
      <alignment horizontal="center" vertical="center"/>
    </xf>
    <xf numFmtId="0" fontId="1" fillId="6" borderId="121" xfId="90" applyFont="1" applyFill="1" applyBorder="1" applyAlignment="1" applyProtection="1">
      <alignment horizontal="center"/>
      <protection hidden="1"/>
    </xf>
    <xf numFmtId="0" fontId="69" fillId="6" borderId="0" xfId="90" applyFont="1" applyFill="1" applyBorder="1" applyAlignment="1" applyProtection="1">
      <alignment horizontal="right" vertical="center" indent="1"/>
      <protection locked="0" hidden="1"/>
    </xf>
    <xf numFmtId="0" fontId="69" fillId="6" borderId="133" xfId="90" applyFont="1" applyFill="1" applyBorder="1" applyAlignment="1" applyProtection="1">
      <alignment horizontal="right" vertical="center" indent="1"/>
      <protection locked="0" hidden="1"/>
    </xf>
    <xf numFmtId="166" fontId="121" fillId="6" borderId="128" xfId="90" applyNumberFormat="1" applyFont="1" applyFill="1" applyBorder="1" applyAlignment="1" applyProtection="1">
      <alignment horizontal="center" vertical="center"/>
      <protection locked="0"/>
    </xf>
    <xf numFmtId="166" fontId="121" fillId="6" borderId="0" xfId="90" applyNumberFormat="1" applyFont="1" applyFill="1" applyBorder="1" applyAlignment="1" applyProtection="1">
      <alignment horizontal="center" vertical="center"/>
      <protection locked="0"/>
    </xf>
    <xf numFmtId="166" fontId="121" fillId="6" borderId="133" xfId="90" applyNumberFormat="1" applyFont="1" applyFill="1" applyBorder="1" applyAlignment="1" applyProtection="1">
      <alignment horizontal="center" vertical="center"/>
      <protection locked="0"/>
    </xf>
    <xf numFmtId="166" fontId="121" fillId="6" borderId="234" xfId="90" applyNumberFormat="1" applyFont="1" applyFill="1" applyBorder="1" applyAlignment="1" applyProtection="1">
      <alignment horizontal="center" vertical="center"/>
      <protection locked="0"/>
    </xf>
    <xf numFmtId="166" fontId="121" fillId="6" borderId="235" xfId="90" applyNumberFormat="1" applyFont="1" applyFill="1" applyBorder="1" applyAlignment="1" applyProtection="1">
      <alignment horizontal="center" vertical="center"/>
      <protection locked="0"/>
    </xf>
    <xf numFmtId="166" fontId="121" fillId="6" borderId="236" xfId="90" applyNumberFormat="1" applyFont="1" applyFill="1" applyBorder="1" applyAlignment="1" applyProtection="1">
      <alignment horizontal="center" vertical="center"/>
      <protection locked="0"/>
    </xf>
    <xf numFmtId="0" fontId="79" fillId="6" borderId="150" xfId="90" applyFont="1" applyFill="1" applyBorder="1" applyAlignment="1" applyProtection="1">
      <alignment horizontal="center"/>
      <protection hidden="1"/>
    </xf>
    <xf numFmtId="169" fontId="258" fillId="6" borderId="150" xfId="22" applyNumberFormat="1" applyFont="1" applyFill="1" applyBorder="1" applyAlignment="1" applyProtection="1">
      <alignment horizontal="center" vertical="center"/>
    </xf>
    <xf numFmtId="169" fontId="258" fillId="6" borderId="0" xfId="22" applyNumberFormat="1" applyFont="1" applyFill="1" applyBorder="1" applyAlignment="1" applyProtection="1">
      <alignment horizontal="center" vertical="center"/>
    </xf>
    <xf numFmtId="169" fontId="258" fillId="6" borderId="152" xfId="22" applyNumberFormat="1" applyFont="1" applyFill="1" applyBorder="1" applyAlignment="1" applyProtection="1">
      <alignment horizontal="center" vertical="center"/>
    </xf>
    <xf numFmtId="169" fontId="258" fillId="6" borderId="153" xfId="22" applyNumberFormat="1" applyFont="1" applyFill="1" applyBorder="1" applyAlignment="1" applyProtection="1">
      <alignment horizontal="center" vertical="center"/>
    </xf>
    <xf numFmtId="168" fontId="82" fillId="0" borderId="159" xfId="0" applyNumberFormat="1" applyFont="1" applyFill="1" applyBorder="1" applyAlignment="1" applyProtection="1">
      <alignment horizontal="center"/>
      <protection hidden="1"/>
    </xf>
    <xf numFmtId="168" fontId="82" fillId="0" borderId="160" xfId="0" applyNumberFormat="1" applyFont="1" applyFill="1" applyBorder="1" applyAlignment="1" applyProtection="1">
      <alignment horizontal="center"/>
      <protection hidden="1"/>
    </xf>
    <xf numFmtId="168" fontId="82" fillId="0" borderId="161" xfId="0" applyNumberFormat="1" applyFont="1" applyFill="1" applyBorder="1" applyAlignment="1" applyProtection="1">
      <alignment horizontal="center"/>
      <protection hidden="1"/>
    </xf>
    <xf numFmtId="0" fontId="79" fillId="6" borderId="17" xfId="90" applyFont="1" applyFill="1" applyBorder="1" applyAlignment="1" applyProtection="1">
      <alignment horizontal="center"/>
      <protection hidden="1"/>
    </xf>
    <xf numFmtId="169" fontId="255" fillId="6" borderId="17" xfId="22" applyNumberFormat="1" applyFont="1" applyFill="1" applyBorder="1" applyAlignment="1" applyProtection="1">
      <alignment horizontal="center" vertical="center"/>
    </xf>
    <xf numFmtId="169" fontId="255" fillId="6" borderId="0" xfId="22" applyNumberFormat="1" applyFont="1" applyFill="1" applyBorder="1" applyAlignment="1" applyProtection="1">
      <alignment horizontal="center" vertical="center"/>
    </xf>
    <xf numFmtId="169" fontId="255" fillId="6" borderId="19" xfId="22" applyNumberFormat="1" applyFont="1" applyFill="1" applyBorder="1" applyAlignment="1" applyProtection="1">
      <alignment horizontal="center" vertical="center"/>
    </xf>
    <xf numFmtId="169" fontId="255" fillId="6" borderId="20" xfId="22" applyNumberFormat="1" applyFont="1" applyFill="1" applyBorder="1" applyAlignment="1" applyProtection="1">
      <alignment horizontal="center" vertical="center"/>
    </xf>
    <xf numFmtId="0" fontId="79" fillId="6" borderId="18" xfId="90" applyFont="1" applyFill="1" applyBorder="1" applyAlignment="1" applyProtection="1">
      <alignment horizontal="center"/>
      <protection hidden="1"/>
    </xf>
    <xf numFmtId="168" fontId="255" fillId="6" borderId="0" xfId="22" applyNumberFormat="1" applyFont="1" applyFill="1" applyBorder="1" applyAlignment="1" applyProtection="1">
      <alignment horizontal="center" vertical="center"/>
    </xf>
    <xf numFmtId="168" fontId="255" fillId="6" borderId="18" xfId="22" applyNumberFormat="1" applyFont="1" applyFill="1" applyBorder="1" applyAlignment="1" applyProtection="1">
      <alignment horizontal="center" vertical="center"/>
    </xf>
    <xf numFmtId="168" fontId="255" fillId="6" borderId="20" xfId="22" applyNumberFormat="1" applyFont="1" applyFill="1" applyBorder="1" applyAlignment="1" applyProtection="1">
      <alignment horizontal="center" vertical="center"/>
    </xf>
    <xf numFmtId="168" fontId="255" fillId="6" borderId="21" xfId="22" applyNumberFormat="1" applyFont="1" applyFill="1" applyBorder="1" applyAlignment="1" applyProtection="1">
      <alignment horizontal="center" vertical="center"/>
    </xf>
    <xf numFmtId="166" fontId="69" fillId="14" borderId="11" xfId="90" applyNumberFormat="1" applyFont="1" applyFill="1" applyBorder="1" applyAlignment="1" applyProtection="1">
      <alignment horizontal="center" vertical="center"/>
      <protection locked="0"/>
    </xf>
    <xf numFmtId="166" fontId="69" fillId="14" borderId="12" xfId="90" applyNumberFormat="1" applyFont="1" applyFill="1" applyBorder="1" applyAlignment="1" applyProtection="1">
      <alignment horizontal="center" vertical="center"/>
      <protection locked="0"/>
    </xf>
    <xf numFmtId="166" fontId="69" fillId="14" borderId="13" xfId="90" applyNumberFormat="1" applyFont="1" applyFill="1" applyBorder="1" applyAlignment="1" applyProtection="1">
      <alignment horizontal="center" vertical="center"/>
      <protection locked="0"/>
    </xf>
    <xf numFmtId="166" fontId="69" fillId="14" borderId="22" xfId="90" applyNumberFormat="1" applyFont="1" applyFill="1" applyBorder="1" applyAlignment="1" applyProtection="1">
      <alignment horizontal="center" vertical="center"/>
      <protection locked="0"/>
    </xf>
    <xf numFmtId="166" fontId="69" fillId="14" borderId="0" xfId="90" applyNumberFormat="1" applyFont="1" applyFill="1" applyBorder="1" applyAlignment="1" applyProtection="1">
      <alignment horizontal="center" vertical="center"/>
      <protection locked="0"/>
    </xf>
    <xf numFmtId="166" fontId="69" fillId="14" borderId="23" xfId="90" applyNumberFormat="1" applyFont="1" applyFill="1" applyBorder="1" applyAlignment="1" applyProtection="1">
      <alignment horizontal="center" vertical="center"/>
      <protection locked="0"/>
    </xf>
    <xf numFmtId="173" fontId="140" fillId="6" borderId="146" xfId="90" applyNumberFormat="1" applyFont="1" applyFill="1" applyBorder="1" applyAlignment="1" applyProtection="1">
      <alignment horizontal="center" vertical="center"/>
    </xf>
    <xf numFmtId="0" fontId="140" fillId="6" borderId="146" xfId="90" applyFont="1" applyFill="1" applyBorder="1" applyAlignment="1" applyProtection="1">
      <alignment horizontal="center" vertical="center"/>
    </xf>
    <xf numFmtId="0" fontId="7" fillId="6" borderId="12" xfId="90" applyFont="1" applyFill="1" applyBorder="1" applyAlignment="1" applyProtection="1">
      <alignment horizontal="center" vertical="center"/>
    </xf>
    <xf numFmtId="166" fontId="63" fillId="8" borderId="12" xfId="90" applyNumberFormat="1" applyFont="1" applyFill="1" applyBorder="1" applyAlignment="1" applyProtection="1">
      <alignment horizontal="center" vertical="center"/>
    </xf>
    <xf numFmtId="166" fontId="63" fillId="8" borderId="24" xfId="90" applyNumberFormat="1" applyFont="1" applyFill="1" applyBorder="1" applyAlignment="1" applyProtection="1">
      <alignment horizontal="center" vertical="center"/>
    </xf>
    <xf numFmtId="166" fontId="63" fillId="8" borderId="14" xfId="90" applyNumberFormat="1" applyFont="1" applyFill="1" applyBorder="1" applyAlignment="1" applyProtection="1">
      <alignment horizontal="center" vertical="center"/>
    </xf>
    <xf numFmtId="166" fontId="63" fillId="8" borderId="15" xfId="90" applyNumberFormat="1" applyFont="1" applyFill="1" applyBorder="1" applyAlignment="1" applyProtection="1">
      <alignment horizontal="center" vertical="center"/>
    </xf>
    <xf numFmtId="166" fontId="63" fillId="8" borderId="25" xfId="90" applyNumberFormat="1" applyFont="1" applyFill="1" applyBorder="1" applyAlignment="1" applyProtection="1">
      <alignment horizontal="center" vertical="center"/>
    </xf>
    <xf numFmtId="166" fontId="69" fillId="14" borderId="14" xfId="90" applyNumberFormat="1" applyFont="1" applyFill="1" applyBorder="1" applyAlignment="1" applyProtection="1">
      <alignment horizontal="center" vertical="center"/>
      <protection locked="0"/>
    </xf>
    <xf numFmtId="166" fontId="69" fillId="14" borderId="15" xfId="90" applyNumberFormat="1" applyFont="1" applyFill="1" applyBorder="1" applyAlignment="1" applyProtection="1">
      <alignment horizontal="center" vertical="center"/>
      <protection locked="0"/>
    </xf>
    <xf numFmtId="166" fontId="69" fillId="14" borderId="16" xfId="90" applyNumberFormat="1" applyFont="1" applyFill="1" applyBorder="1" applyAlignment="1" applyProtection="1">
      <alignment horizontal="center" vertical="center"/>
      <protection locked="0"/>
    </xf>
    <xf numFmtId="0" fontId="63" fillId="6" borderId="12" xfId="90" applyFont="1" applyFill="1" applyBorder="1" applyAlignment="1" applyProtection="1">
      <alignment horizontal="center" vertical="center"/>
    </xf>
    <xf numFmtId="0" fontId="63" fillId="6" borderId="24" xfId="90" applyFont="1" applyFill="1" applyBorder="1" applyAlignment="1" applyProtection="1">
      <alignment horizontal="center" vertical="center"/>
    </xf>
    <xf numFmtId="0" fontId="243" fillId="7" borderId="0" xfId="90" applyFont="1" applyFill="1" applyBorder="1" applyAlignment="1" applyProtection="1">
      <alignment horizontal="center" vertical="center"/>
      <protection locked="0" hidden="1"/>
    </xf>
    <xf numFmtId="2" fontId="121" fillId="14" borderId="122" xfId="90" applyNumberFormat="1" applyFont="1" applyFill="1" applyBorder="1" applyAlignment="1" applyProtection="1">
      <alignment horizontal="center" vertical="center"/>
      <protection locked="0"/>
    </xf>
    <xf numFmtId="2" fontId="121" fillId="14" borderId="123" xfId="90" applyNumberFormat="1" applyFont="1" applyFill="1" applyBorder="1" applyAlignment="1" applyProtection="1">
      <alignment horizontal="center" vertical="center"/>
      <protection locked="0"/>
    </xf>
    <xf numFmtId="2" fontId="121" fillId="14" borderId="124" xfId="90" applyNumberFormat="1" applyFont="1" applyFill="1" applyBorder="1" applyAlignment="1" applyProtection="1">
      <alignment horizontal="center" vertical="center"/>
      <protection locked="0"/>
    </xf>
    <xf numFmtId="169" fontId="121" fillId="14" borderId="122" xfId="22" applyNumberFormat="1" applyFont="1" applyFill="1" applyBorder="1" applyAlignment="1" applyProtection="1">
      <alignment horizontal="center" vertical="center"/>
      <protection locked="0"/>
    </xf>
    <xf numFmtId="169" fontId="121" fillId="14" borderId="123" xfId="22" applyNumberFormat="1" applyFont="1" applyFill="1" applyBorder="1" applyAlignment="1" applyProtection="1">
      <alignment horizontal="center" vertical="center"/>
      <protection locked="0"/>
    </xf>
    <xf numFmtId="169" fontId="121" fillId="14" borderId="124" xfId="22" applyNumberFormat="1" applyFont="1" applyFill="1" applyBorder="1" applyAlignment="1" applyProtection="1">
      <alignment horizontal="center" vertical="center"/>
      <protection locked="0"/>
    </xf>
    <xf numFmtId="0" fontId="132" fillId="6" borderId="133" xfId="90" applyFont="1" applyFill="1" applyBorder="1" applyAlignment="1" applyProtection="1">
      <alignment horizontal="left" vertical="center" indent="1"/>
    </xf>
    <xf numFmtId="166" fontId="135" fillId="14" borderId="181" xfId="22" applyNumberFormat="1" applyFont="1" applyFill="1" applyBorder="1" applyAlignment="1" applyProtection="1">
      <alignment horizontal="center" vertical="center"/>
      <protection locked="0"/>
    </xf>
    <xf numFmtId="166" fontId="135" fillId="14" borderId="0" xfId="22" applyNumberFormat="1" applyFont="1" applyFill="1" applyBorder="1" applyAlignment="1" applyProtection="1">
      <alignment horizontal="center" vertical="center"/>
      <protection locked="0"/>
    </xf>
    <xf numFmtId="166" fontId="135" fillId="14" borderId="182" xfId="22" applyNumberFormat="1" applyFont="1" applyFill="1" applyBorder="1" applyAlignment="1" applyProtection="1">
      <alignment horizontal="center" vertical="center"/>
      <protection locked="0"/>
    </xf>
    <xf numFmtId="166" fontId="135" fillId="14" borderId="183" xfId="22" applyNumberFormat="1" applyFont="1" applyFill="1" applyBorder="1" applyAlignment="1" applyProtection="1">
      <alignment horizontal="center" vertical="center"/>
      <protection locked="0"/>
    </xf>
    <xf numFmtId="166" fontId="135" fillId="14" borderId="184" xfId="22" applyNumberFormat="1" applyFont="1" applyFill="1" applyBorder="1" applyAlignment="1" applyProtection="1">
      <alignment horizontal="center" vertical="center"/>
      <protection locked="0"/>
    </xf>
    <xf numFmtId="166" fontId="135" fillId="14" borderId="185" xfId="22" applyNumberFormat="1" applyFont="1" applyFill="1" applyBorder="1" applyAlignment="1" applyProtection="1">
      <alignment horizontal="center" vertical="center"/>
      <protection locked="0"/>
    </xf>
    <xf numFmtId="0" fontId="69" fillId="8" borderId="271" xfId="90" applyFont="1" applyFill="1" applyBorder="1" applyAlignment="1" applyProtection="1">
      <alignment horizontal="left" vertical="center"/>
    </xf>
    <xf numFmtId="0" fontId="69" fillId="8" borderId="258" xfId="90" applyFont="1" applyFill="1" applyBorder="1" applyAlignment="1" applyProtection="1">
      <alignment horizontal="left" vertical="center"/>
    </xf>
    <xf numFmtId="0" fontId="69" fillId="8" borderId="272" xfId="90" applyFont="1" applyFill="1" applyBorder="1" applyAlignment="1" applyProtection="1">
      <alignment horizontal="left" vertical="center"/>
    </xf>
    <xf numFmtId="0" fontId="69" fillId="8" borderId="18" xfId="90" applyFont="1" applyFill="1" applyBorder="1" applyAlignment="1" applyProtection="1">
      <alignment horizontal="left" vertical="center"/>
    </xf>
    <xf numFmtId="0" fontId="360" fillId="6" borderId="388" xfId="90" applyFont="1" applyFill="1" applyBorder="1" applyAlignment="1" applyProtection="1">
      <alignment horizontal="center" vertical="center" textRotation="90"/>
      <protection hidden="1"/>
    </xf>
    <xf numFmtId="0" fontId="360" fillId="6" borderId="145" xfId="90" applyFont="1" applyFill="1" applyBorder="1" applyAlignment="1" applyProtection="1">
      <alignment horizontal="center" vertical="center" textRotation="90"/>
      <protection hidden="1"/>
    </xf>
    <xf numFmtId="0" fontId="360" fillId="6" borderId="293" xfId="90" applyFont="1" applyFill="1" applyBorder="1" applyAlignment="1" applyProtection="1">
      <alignment horizontal="center" vertical="center" textRotation="90"/>
      <protection hidden="1"/>
    </xf>
    <xf numFmtId="0" fontId="63" fillId="8" borderId="14" xfId="90" applyFont="1" applyFill="1" applyBorder="1" applyAlignment="1" applyProtection="1">
      <alignment horizontal="center" vertical="center"/>
    </xf>
    <xf numFmtId="0" fontId="63" fillId="8" borderId="15" xfId="90" applyFont="1" applyFill="1" applyBorder="1" applyAlignment="1" applyProtection="1">
      <alignment horizontal="center" vertical="center"/>
    </xf>
    <xf numFmtId="0" fontId="63" fillId="8" borderId="25" xfId="90" applyFont="1" applyFill="1" applyBorder="1" applyAlignment="1" applyProtection="1">
      <alignment horizontal="center" vertical="center"/>
    </xf>
    <xf numFmtId="0" fontId="63" fillId="6" borderId="60" xfId="90" applyFont="1" applyFill="1" applyBorder="1" applyAlignment="1" applyProtection="1">
      <alignment horizontal="center" vertical="center"/>
    </xf>
    <xf numFmtId="0" fontId="63" fillId="6" borderId="61" xfId="90" applyFont="1" applyFill="1" applyBorder="1" applyAlignment="1" applyProtection="1">
      <alignment horizontal="center" vertical="center"/>
    </xf>
    <xf numFmtId="0" fontId="63" fillId="6" borderId="62" xfId="90" applyFont="1" applyFill="1" applyBorder="1" applyAlignment="1" applyProtection="1">
      <alignment horizontal="center" vertical="center"/>
    </xf>
    <xf numFmtId="166" fontId="56" fillId="15" borderId="201" xfId="90" applyNumberFormat="1" applyFont="1" applyFill="1" applyBorder="1" applyAlignment="1" applyProtection="1">
      <alignment horizontal="center" vertical="center"/>
    </xf>
    <xf numFmtId="166" fontId="56" fillId="15" borderId="168" xfId="90" applyNumberFormat="1" applyFont="1" applyFill="1" applyBorder="1" applyAlignment="1" applyProtection="1">
      <alignment horizontal="center" vertical="center"/>
    </xf>
    <xf numFmtId="166" fontId="56" fillId="15" borderId="202" xfId="90" applyNumberFormat="1" applyFont="1" applyFill="1" applyBorder="1" applyAlignment="1" applyProtection="1">
      <alignment horizontal="center" vertical="center"/>
    </xf>
    <xf numFmtId="166" fontId="56" fillId="15" borderId="37" xfId="90" applyNumberFormat="1" applyFont="1" applyFill="1" applyBorder="1" applyAlignment="1" applyProtection="1">
      <alignment horizontal="center" vertical="center"/>
    </xf>
    <xf numFmtId="166" fontId="56" fillId="15" borderId="0" xfId="90" applyNumberFormat="1" applyFont="1" applyFill="1" applyBorder="1" applyAlignment="1" applyProtection="1">
      <alignment horizontal="center" vertical="center"/>
    </xf>
    <xf numFmtId="166" fontId="56" fillId="15" borderId="38" xfId="90" applyNumberFormat="1" applyFont="1" applyFill="1" applyBorder="1" applyAlignment="1" applyProtection="1">
      <alignment horizontal="center" vertical="center"/>
    </xf>
    <xf numFmtId="166" fontId="56" fillId="15" borderId="39" xfId="90" applyNumberFormat="1" applyFont="1" applyFill="1" applyBorder="1" applyAlignment="1" applyProtection="1">
      <alignment horizontal="center" vertical="center"/>
    </xf>
    <xf numFmtId="166" fontId="56" fillId="15" borderId="40" xfId="90" applyNumberFormat="1" applyFont="1" applyFill="1" applyBorder="1" applyAlignment="1" applyProtection="1">
      <alignment horizontal="center" vertical="center"/>
    </xf>
    <xf numFmtId="166" fontId="56" fillId="15" borderId="41" xfId="90" applyNumberFormat="1" applyFont="1" applyFill="1" applyBorder="1" applyAlignment="1" applyProtection="1">
      <alignment horizontal="center" vertical="center"/>
    </xf>
    <xf numFmtId="0" fontId="79" fillId="6" borderId="34" xfId="90" applyFont="1" applyFill="1" applyBorder="1" applyAlignment="1" applyProtection="1">
      <alignment horizontal="center" vertical="center"/>
    </xf>
    <xf numFmtId="0" fontId="79" fillId="6" borderId="35" xfId="90" applyFont="1" applyFill="1" applyBorder="1" applyAlignment="1" applyProtection="1">
      <alignment horizontal="center" vertical="center"/>
    </xf>
    <xf numFmtId="0" fontId="79" fillId="6" borderId="37" xfId="90" applyFont="1" applyFill="1" applyBorder="1" applyAlignment="1" applyProtection="1">
      <alignment horizontal="center" vertical="center"/>
    </xf>
    <xf numFmtId="0" fontId="79" fillId="6" borderId="0" xfId="90" applyFont="1" applyFill="1" applyBorder="1" applyAlignment="1" applyProtection="1">
      <alignment horizontal="center" vertical="center"/>
    </xf>
    <xf numFmtId="166" fontId="49" fillId="6" borderId="35" xfId="90" applyNumberFormat="1" applyFont="1" applyFill="1" applyBorder="1" applyAlignment="1" applyProtection="1">
      <alignment horizontal="center" vertical="center"/>
    </xf>
    <xf numFmtId="166" fontId="49" fillId="6" borderId="0" xfId="90" applyNumberFormat="1" applyFont="1" applyFill="1" applyBorder="1" applyAlignment="1" applyProtection="1">
      <alignment horizontal="center" vertical="center"/>
    </xf>
    <xf numFmtId="166" fontId="49" fillId="6" borderId="40" xfId="90" applyNumberFormat="1" applyFont="1" applyFill="1" applyBorder="1" applyAlignment="1" applyProtection="1">
      <alignment horizontal="center" vertical="center"/>
    </xf>
    <xf numFmtId="169" fontId="264" fillId="6" borderId="37" xfId="22" applyNumberFormat="1" applyFont="1" applyFill="1" applyBorder="1" applyAlignment="1" applyProtection="1">
      <alignment horizontal="center" vertical="center"/>
    </xf>
    <xf numFmtId="169" fontId="264" fillId="6" borderId="0" xfId="22" applyNumberFormat="1" applyFont="1" applyFill="1" applyBorder="1" applyAlignment="1" applyProtection="1">
      <alignment horizontal="center" vertical="center"/>
    </xf>
    <xf numFmtId="169" fontId="264" fillId="6" borderId="39" xfId="22" applyNumberFormat="1" applyFont="1" applyFill="1" applyBorder="1" applyAlignment="1" applyProtection="1">
      <alignment horizontal="center" vertical="center"/>
    </xf>
    <xf numFmtId="169" fontId="264" fillId="6" borderId="40" xfId="22" applyNumberFormat="1" applyFont="1" applyFill="1" applyBorder="1" applyAlignment="1" applyProtection="1">
      <alignment horizontal="center" vertical="center"/>
    </xf>
    <xf numFmtId="168" fontId="264" fillId="6" borderId="0" xfId="22" applyNumberFormat="1" applyFont="1" applyFill="1" applyBorder="1" applyAlignment="1" applyProtection="1">
      <alignment horizontal="center" vertical="center"/>
    </xf>
    <xf numFmtId="168" fontId="264" fillId="6" borderId="40" xfId="22" applyNumberFormat="1" applyFont="1" applyFill="1" applyBorder="1" applyAlignment="1" applyProtection="1">
      <alignment horizontal="center" vertical="center"/>
    </xf>
    <xf numFmtId="166" fontId="121" fillId="6" borderId="130" xfId="90" applyNumberFormat="1" applyFont="1" applyFill="1" applyBorder="1" applyAlignment="1" applyProtection="1">
      <alignment horizontal="center" vertical="center"/>
      <protection locked="0"/>
    </xf>
    <xf numFmtId="166" fontId="121" fillId="6" borderId="109" xfId="90" applyNumberFormat="1" applyFont="1" applyFill="1" applyBorder="1" applyAlignment="1" applyProtection="1">
      <alignment horizontal="center" vertical="center"/>
      <protection locked="0"/>
    </xf>
    <xf numFmtId="166" fontId="121" fillId="6" borderId="131" xfId="90" applyNumberFormat="1" applyFont="1" applyFill="1" applyBorder="1" applyAlignment="1" applyProtection="1">
      <alignment horizontal="center" vertical="center"/>
      <protection locked="0"/>
    </xf>
    <xf numFmtId="166" fontId="69" fillId="14" borderId="63" xfId="90" applyNumberFormat="1" applyFont="1" applyFill="1" applyBorder="1" applyAlignment="1" applyProtection="1">
      <alignment horizontal="center" vertical="center"/>
      <protection locked="0"/>
    </xf>
    <xf numFmtId="166" fontId="69" fillId="14" borderId="8" xfId="90" applyNumberFormat="1" applyFont="1" applyFill="1" applyBorder="1" applyAlignment="1" applyProtection="1">
      <alignment horizontal="center" vertical="center"/>
      <protection locked="0"/>
    </xf>
    <xf numFmtId="166" fontId="69" fillId="14" borderId="64" xfId="90" applyNumberFormat="1" applyFont="1" applyFill="1" applyBorder="1" applyAlignment="1" applyProtection="1">
      <alignment horizontal="center" vertical="center"/>
      <protection locked="0"/>
    </xf>
    <xf numFmtId="168" fontId="69" fillId="14" borderId="403" xfId="90" applyNumberFormat="1" applyFont="1" applyFill="1" applyBorder="1" applyAlignment="1" applyProtection="1">
      <alignment horizontal="center" vertical="center"/>
      <protection locked="0"/>
    </xf>
    <xf numFmtId="0" fontId="69" fillId="14" borderId="404" xfId="90" applyFont="1" applyFill="1" applyBorder="1" applyAlignment="1" applyProtection="1">
      <alignment horizontal="center" vertical="center"/>
      <protection locked="0"/>
    </xf>
    <xf numFmtId="0" fontId="69" fillId="14" borderId="405" xfId="90" applyFont="1" applyFill="1" applyBorder="1" applyAlignment="1" applyProtection="1">
      <alignment horizontal="center" vertical="center"/>
      <protection locked="0"/>
    </xf>
    <xf numFmtId="0" fontId="69" fillId="14" borderId="406" xfId="90" applyFont="1" applyFill="1" applyBorder="1" applyAlignment="1" applyProtection="1">
      <alignment horizontal="center" vertical="center"/>
      <protection locked="0"/>
    </xf>
    <xf numFmtId="0" fontId="69" fillId="14" borderId="0" xfId="90" applyFont="1" applyFill="1" applyBorder="1" applyAlignment="1" applyProtection="1">
      <alignment horizontal="center" vertical="center"/>
      <protection locked="0"/>
    </xf>
    <xf numFmtId="0" fontId="69" fillId="14" borderId="407" xfId="90" applyFont="1" applyFill="1" applyBorder="1" applyAlignment="1" applyProtection="1">
      <alignment horizontal="center" vertical="center"/>
      <protection locked="0"/>
    </xf>
    <xf numFmtId="166" fontId="359" fillId="6" borderId="412" xfId="90" applyNumberFormat="1" applyFont="1" applyFill="1" applyBorder="1" applyAlignment="1" applyProtection="1">
      <alignment horizontal="center" vertical="center"/>
      <protection hidden="1"/>
    </xf>
    <xf numFmtId="166" fontId="359" fillId="6" borderId="7" xfId="90" applyNumberFormat="1" applyFont="1" applyFill="1" applyBorder="1" applyAlignment="1" applyProtection="1">
      <alignment horizontal="center" vertical="center"/>
      <protection hidden="1"/>
    </xf>
    <xf numFmtId="166" fontId="359" fillId="6" borderId="413" xfId="90" applyNumberFormat="1" applyFont="1" applyFill="1" applyBorder="1" applyAlignment="1" applyProtection="1">
      <alignment horizontal="center" vertical="center"/>
      <protection hidden="1"/>
    </xf>
    <xf numFmtId="166" fontId="359" fillId="6" borderId="406" xfId="90" applyNumberFormat="1" applyFont="1" applyFill="1" applyBorder="1" applyAlignment="1" applyProtection="1">
      <alignment horizontal="center" vertical="center"/>
      <protection hidden="1"/>
    </xf>
    <xf numFmtId="166" fontId="359" fillId="6" borderId="0" xfId="90" applyNumberFormat="1" applyFont="1" applyFill="1" applyBorder="1" applyAlignment="1" applyProtection="1">
      <alignment horizontal="center" vertical="center"/>
      <protection hidden="1"/>
    </xf>
    <xf numFmtId="166" fontId="359" fillId="6" borderId="407" xfId="90" applyNumberFormat="1" applyFont="1" applyFill="1" applyBorder="1" applyAlignment="1" applyProtection="1">
      <alignment horizontal="center" vertical="center"/>
      <protection hidden="1"/>
    </xf>
    <xf numFmtId="166" fontId="359" fillId="6" borderId="414" xfId="90" applyNumberFormat="1" applyFont="1" applyFill="1" applyBorder="1" applyAlignment="1" applyProtection="1">
      <alignment horizontal="center" vertical="center"/>
      <protection hidden="1"/>
    </xf>
    <xf numFmtId="166" fontId="359" fillId="6" borderId="153" xfId="90" applyNumberFormat="1" applyFont="1" applyFill="1" applyBorder="1" applyAlignment="1" applyProtection="1">
      <alignment horizontal="center" vertical="center"/>
      <protection hidden="1"/>
    </xf>
    <xf numFmtId="166" fontId="359" fillId="6" borderId="415" xfId="90" applyNumberFormat="1" applyFont="1" applyFill="1" applyBorder="1" applyAlignment="1" applyProtection="1">
      <alignment horizontal="center" vertical="center"/>
      <protection hidden="1"/>
    </xf>
    <xf numFmtId="0" fontId="69" fillId="14" borderId="153" xfId="90" applyFont="1" applyFill="1" applyBorder="1" applyAlignment="1" applyProtection="1">
      <alignment horizontal="center" vertical="center"/>
      <protection locked="0"/>
    </xf>
    <xf numFmtId="0" fontId="79" fillId="12" borderId="147" xfId="90" applyFont="1" applyFill="1" applyBorder="1" applyAlignment="1" applyProtection="1">
      <alignment vertical="center"/>
    </xf>
    <xf numFmtId="0" fontId="79" fillId="12" borderId="148" xfId="90" applyFont="1" applyFill="1" applyBorder="1" applyAlignment="1" applyProtection="1">
      <alignment vertical="center"/>
    </xf>
    <xf numFmtId="0" fontId="7" fillId="8" borderId="0" xfId="90" applyFont="1" applyFill="1" applyBorder="1" applyAlignment="1" applyProtection="1">
      <alignment horizontal="center" vertical="center"/>
    </xf>
    <xf numFmtId="166" fontId="63" fillId="14" borderId="22" xfId="3" applyNumberFormat="1" applyFont="1" applyFill="1" applyBorder="1" applyAlignment="1" applyProtection="1">
      <alignment horizontal="center" vertical="center"/>
      <protection locked="0"/>
    </xf>
    <xf numFmtId="166" fontId="63" fillId="14" borderId="0" xfId="3" applyNumberFormat="1" applyFont="1" applyFill="1" applyBorder="1" applyAlignment="1" applyProtection="1">
      <alignment horizontal="center" vertical="center"/>
      <protection locked="0"/>
    </xf>
    <xf numFmtId="166" fontId="63" fillId="14" borderId="18" xfId="3" applyNumberFormat="1" applyFont="1" applyFill="1" applyBorder="1" applyAlignment="1" applyProtection="1">
      <alignment horizontal="center" vertical="center"/>
      <protection locked="0"/>
    </xf>
    <xf numFmtId="0" fontId="63" fillId="6" borderId="14" xfId="90" applyFont="1" applyFill="1" applyBorder="1" applyAlignment="1" applyProtection="1">
      <alignment horizontal="center" vertical="center"/>
    </xf>
    <xf numFmtId="0" fontId="63" fillId="6" borderId="15" xfId="90" applyFont="1" applyFill="1" applyBorder="1" applyAlignment="1" applyProtection="1">
      <alignment horizontal="center" vertical="center"/>
    </xf>
    <xf numFmtId="0" fontId="63" fillId="6" borderId="25" xfId="90" applyFont="1" applyFill="1" applyBorder="1" applyAlignment="1" applyProtection="1">
      <alignment horizontal="center" vertical="center"/>
    </xf>
    <xf numFmtId="0" fontId="215" fillId="21" borderId="0" xfId="0" applyFont="1" applyFill="1" applyAlignment="1" applyProtection="1">
      <alignment horizontal="center" vertical="center"/>
      <protection locked="0"/>
    </xf>
    <xf numFmtId="0" fontId="95" fillId="6" borderId="128" xfId="0" applyFont="1" applyFill="1" applyBorder="1" applyAlignment="1" applyProtection="1">
      <alignment horizontal="left" vertical="center" indent="1"/>
      <protection locked="0"/>
    </xf>
    <xf numFmtId="0" fontId="95" fillId="6" borderId="0" xfId="0" applyFont="1" applyFill="1" applyBorder="1" applyAlignment="1" applyProtection="1">
      <alignment horizontal="left" vertical="center" indent="1"/>
      <protection locked="0"/>
    </xf>
    <xf numFmtId="0" fontId="142" fillId="22" borderId="178" xfId="0" applyFont="1" applyFill="1" applyBorder="1" applyAlignment="1" applyProtection="1">
      <alignment horizontal="left" vertical="center" wrapText="1" indent="1"/>
      <protection locked="0"/>
    </xf>
    <xf numFmtId="0" fontId="142" fillId="22" borderId="179" xfId="0" applyFont="1" applyFill="1" applyBorder="1" applyAlignment="1" applyProtection="1">
      <alignment horizontal="left" vertical="center" wrapText="1" indent="1"/>
      <protection locked="0"/>
    </xf>
    <xf numFmtId="0" fontId="142" fillId="22" borderId="180" xfId="0" applyFont="1" applyFill="1" applyBorder="1" applyAlignment="1" applyProtection="1">
      <alignment horizontal="left" vertical="center" wrapText="1" indent="1"/>
      <protection locked="0"/>
    </xf>
    <xf numFmtId="0" fontId="142" fillId="22" borderId="181" xfId="0" applyFont="1" applyFill="1" applyBorder="1" applyAlignment="1" applyProtection="1">
      <alignment horizontal="left" vertical="center" wrapText="1" indent="1"/>
      <protection locked="0"/>
    </xf>
    <xf numFmtId="0" fontId="142" fillId="22" borderId="0" xfId="0" applyFont="1" applyFill="1" applyBorder="1" applyAlignment="1" applyProtection="1">
      <alignment horizontal="left" vertical="center" wrapText="1" indent="1"/>
      <protection locked="0"/>
    </xf>
    <xf numFmtId="0" fontId="142" fillId="22" borderId="182" xfId="0" applyFont="1" applyFill="1" applyBorder="1" applyAlignment="1" applyProtection="1">
      <alignment horizontal="left" vertical="center" wrapText="1" indent="1"/>
      <protection locked="0"/>
    </xf>
    <xf numFmtId="0" fontId="142" fillId="22" borderId="183" xfId="0" applyFont="1" applyFill="1" applyBorder="1" applyAlignment="1" applyProtection="1">
      <alignment horizontal="left" vertical="center" wrapText="1" indent="1"/>
      <protection locked="0"/>
    </xf>
    <xf numFmtId="0" fontId="142" fillId="22" borderId="184" xfId="0" applyFont="1" applyFill="1" applyBorder="1" applyAlignment="1" applyProtection="1">
      <alignment horizontal="left" vertical="center" wrapText="1" indent="1"/>
      <protection locked="0"/>
    </xf>
    <xf numFmtId="0" fontId="142" fillId="22" borderId="185" xfId="0" applyFont="1" applyFill="1" applyBorder="1" applyAlignment="1" applyProtection="1">
      <alignment horizontal="left" vertical="center" wrapText="1" indent="1"/>
      <protection locked="0"/>
    </xf>
    <xf numFmtId="0" fontId="96" fillId="22" borderId="217" xfId="0" applyFont="1" applyFill="1" applyBorder="1" applyAlignment="1" applyProtection="1">
      <alignment horizontal="left" vertical="center" wrapText="1" indent="2"/>
      <protection locked="0"/>
    </xf>
    <xf numFmtId="0" fontId="96" fillId="22" borderId="218" xfId="0" applyFont="1" applyFill="1" applyBorder="1" applyAlignment="1" applyProtection="1">
      <alignment horizontal="left" vertical="center" wrapText="1" indent="2"/>
      <protection locked="0"/>
    </xf>
    <xf numFmtId="0" fontId="96" fillId="22" borderId="219" xfId="0" applyFont="1" applyFill="1" applyBorder="1" applyAlignment="1" applyProtection="1">
      <alignment horizontal="left" vertical="center" wrapText="1" indent="2"/>
      <protection locked="0"/>
    </xf>
    <xf numFmtId="0" fontId="96" fillId="22" borderId="220" xfId="0" applyFont="1" applyFill="1" applyBorder="1" applyAlignment="1" applyProtection="1">
      <alignment horizontal="left" vertical="center" wrapText="1" indent="2"/>
      <protection locked="0"/>
    </xf>
    <xf numFmtId="0" fontId="96" fillId="22" borderId="0" xfId="0" applyFont="1" applyFill="1" applyBorder="1" applyAlignment="1" applyProtection="1">
      <alignment horizontal="left" vertical="center" wrapText="1" indent="2"/>
      <protection locked="0"/>
    </xf>
    <xf numFmtId="0" fontId="96" fillId="22" borderId="221" xfId="0" applyFont="1" applyFill="1" applyBorder="1" applyAlignment="1" applyProtection="1">
      <alignment horizontal="left" vertical="center" wrapText="1" indent="2"/>
      <protection locked="0"/>
    </xf>
    <xf numFmtId="0" fontId="96" fillId="22" borderId="222" xfId="0" applyFont="1" applyFill="1" applyBorder="1" applyAlignment="1" applyProtection="1">
      <alignment horizontal="left" vertical="center" wrapText="1" indent="2"/>
      <protection locked="0"/>
    </xf>
    <xf numFmtId="0" fontId="96" fillId="22" borderId="225" xfId="0" applyFont="1" applyFill="1" applyBorder="1" applyAlignment="1" applyProtection="1">
      <alignment horizontal="left" vertical="center" wrapText="1" indent="2"/>
      <protection locked="0"/>
    </xf>
    <xf numFmtId="0" fontId="96" fillId="22" borderId="216" xfId="0" applyFont="1" applyFill="1" applyBorder="1" applyAlignment="1" applyProtection="1">
      <alignment horizontal="left" vertical="center" wrapText="1" indent="2"/>
      <protection locked="0"/>
    </xf>
    <xf numFmtId="0" fontId="96" fillId="6" borderId="0" xfId="0" applyFont="1" applyFill="1" applyBorder="1" applyAlignment="1" applyProtection="1">
      <alignment horizontal="left" vertical="center" indent="4"/>
      <protection locked="0"/>
    </xf>
    <xf numFmtId="0" fontId="122" fillId="22" borderId="217" xfId="0" applyFont="1" applyFill="1" applyBorder="1" applyAlignment="1" applyProtection="1">
      <alignment horizontal="center" vertical="center"/>
      <protection locked="0"/>
    </xf>
    <xf numFmtId="0" fontId="122" fillId="22" borderId="218" xfId="0" applyFont="1" applyFill="1" applyBorder="1" applyAlignment="1" applyProtection="1">
      <alignment horizontal="center" vertical="center"/>
      <protection locked="0"/>
    </xf>
    <xf numFmtId="0" fontId="122" fillId="22" borderId="219" xfId="0" applyFont="1" applyFill="1" applyBorder="1" applyAlignment="1" applyProtection="1">
      <alignment horizontal="center" vertical="center"/>
      <protection locked="0"/>
    </xf>
    <xf numFmtId="2" fontId="122" fillId="22" borderId="220" xfId="0" applyNumberFormat="1" applyFont="1" applyFill="1" applyBorder="1" applyAlignment="1" applyProtection="1">
      <alignment horizontal="center" vertical="center"/>
      <protection locked="0"/>
    </xf>
    <xf numFmtId="2" fontId="122" fillId="22" borderId="0" xfId="0" applyNumberFormat="1" applyFont="1" applyFill="1" applyBorder="1" applyAlignment="1" applyProtection="1">
      <alignment horizontal="center" vertical="center"/>
      <protection locked="0"/>
    </xf>
    <xf numFmtId="2" fontId="122" fillId="22" borderId="221" xfId="0" applyNumberFormat="1" applyFont="1" applyFill="1" applyBorder="1" applyAlignment="1" applyProtection="1">
      <alignment horizontal="center" vertical="center"/>
      <protection locked="0"/>
    </xf>
    <xf numFmtId="0" fontId="122" fillId="22" borderId="226" xfId="0" applyFont="1" applyFill="1" applyBorder="1" applyAlignment="1" applyProtection="1">
      <alignment horizontal="center" vertical="center"/>
      <protection locked="0"/>
    </xf>
    <xf numFmtId="0" fontId="122" fillId="22" borderId="227" xfId="0" applyFont="1" applyFill="1" applyBorder="1" applyAlignment="1" applyProtection="1">
      <alignment horizontal="center" vertical="center"/>
      <protection locked="0"/>
    </xf>
    <xf numFmtId="0" fontId="122" fillId="22" borderId="228" xfId="0" applyFont="1" applyFill="1" applyBorder="1" applyAlignment="1" applyProtection="1">
      <alignment horizontal="center" vertical="center"/>
      <protection locked="0"/>
    </xf>
    <xf numFmtId="0" fontId="122" fillId="6" borderId="0" xfId="0" applyFont="1" applyFill="1" applyBorder="1" applyAlignment="1" applyProtection="1">
      <alignment horizontal="left" vertical="center" indent="2"/>
      <protection locked="0"/>
    </xf>
    <xf numFmtId="0" fontId="92" fillId="6" borderId="0" xfId="0" applyFont="1" applyFill="1" applyBorder="1" applyAlignment="1" applyProtection="1">
      <alignment horizontal="left" vertical="center" indent="3"/>
      <protection locked="0"/>
    </xf>
    <xf numFmtId="0" fontId="92" fillId="6" borderId="0" xfId="0" applyFont="1" applyFill="1" applyBorder="1" applyAlignment="1" applyProtection="1">
      <alignment horizontal="center" vertical="center"/>
      <protection locked="0"/>
    </xf>
    <xf numFmtId="2" fontId="122" fillId="22" borderId="217" xfId="0" applyNumberFormat="1" applyFont="1" applyFill="1" applyBorder="1" applyAlignment="1" applyProtection="1">
      <alignment horizontal="center" vertical="center"/>
      <protection locked="0"/>
    </xf>
    <xf numFmtId="2" fontId="122" fillId="22" borderId="218" xfId="0" applyNumberFormat="1" applyFont="1" applyFill="1" applyBorder="1" applyAlignment="1" applyProtection="1">
      <alignment horizontal="center" vertical="center"/>
      <protection locked="0"/>
    </xf>
    <xf numFmtId="2" fontId="122" fillId="22" borderId="219" xfId="0" applyNumberFormat="1" applyFont="1" applyFill="1" applyBorder="1" applyAlignment="1" applyProtection="1">
      <alignment horizontal="center" vertical="center"/>
      <protection locked="0"/>
    </xf>
    <xf numFmtId="2" fontId="122" fillId="22" borderId="222" xfId="0" applyNumberFormat="1" applyFont="1" applyFill="1" applyBorder="1" applyAlignment="1" applyProtection="1">
      <alignment horizontal="center" vertical="center"/>
      <protection locked="0"/>
    </xf>
    <xf numFmtId="2" fontId="122" fillId="22" borderId="225" xfId="0" applyNumberFormat="1" applyFont="1" applyFill="1" applyBorder="1" applyAlignment="1" applyProtection="1">
      <alignment horizontal="center" vertical="center"/>
      <protection locked="0"/>
    </xf>
    <xf numFmtId="2" fontId="122" fillId="22" borderId="216" xfId="0" applyNumberFormat="1" applyFont="1" applyFill="1" applyBorder="1" applyAlignment="1" applyProtection="1">
      <alignment horizontal="center" vertical="center"/>
      <protection locked="0"/>
    </xf>
    <xf numFmtId="2" fontId="122" fillId="22" borderId="226" xfId="0" applyNumberFormat="1" applyFont="1" applyFill="1" applyBorder="1" applyAlignment="1" applyProtection="1">
      <alignment horizontal="center" vertical="center"/>
      <protection locked="0"/>
    </xf>
    <xf numFmtId="2" fontId="122" fillId="22" borderId="227" xfId="0" applyNumberFormat="1" applyFont="1" applyFill="1" applyBorder="1" applyAlignment="1" applyProtection="1">
      <alignment horizontal="center" vertical="center"/>
      <protection locked="0"/>
    </xf>
    <xf numFmtId="2" fontId="122" fillId="22" borderId="228" xfId="0" applyNumberFormat="1" applyFont="1" applyFill="1" applyBorder="1" applyAlignment="1" applyProtection="1">
      <alignment horizontal="center" vertical="center"/>
      <protection locked="0"/>
    </xf>
    <xf numFmtId="0" fontId="122" fillId="22" borderId="220" xfId="0" applyFont="1" applyFill="1" applyBorder="1" applyAlignment="1" applyProtection="1">
      <alignment horizontal="center" vertical="center"/>
      <protection locked="0"/>
    </xf>
    <xf numFmtId="0" fontId="122" fillId="22" borderId="0" xfId="0" applyFont="1" applyFill="1" applyBorder="1" applyAlignment="1" applyProtection="1">
      <alignment horizontal="center" vertical="center"/>
      <protection locked="0"/>
    </xf>
    <xf numFmtId="0" fontId="122" fillId="22" borderId="221" xfId="0" applyFont="1" applyFill="1" applyBorder="1" applyAlignment="1" applyProtection="1">
      <alignment horizontal="center" vertical="center"/>
      <protection locked="0"/>
    </xf>
    <xf numFmtId="0" fontId="52" fillId="6" borderId="184" xfId="0" applyFont="1" applyFill="1" applyBorder="1" applyAlignment="1" applyProtection="1">
      <alignment horizontal="left" vertical="center" indent="4"/>
      <protection locked="0"/>
    </xf>
    <xf numFmtId="0" fontId="122" fillId="22" borderId="222" xfId="0" applyFont="1" applyFill="1" applyBorder="1" applyAlignment="1" applyProtection="1">
      <alignment horizontal="center" vertical="center"/>
      <protection locked="0"/>
    </xf>
    <xf numFmtId="0" fontId="122" fillId="22" borderId="225" xfId="0" applyFont="1" applyFill="1" applyBorder="1" applyAlignment="1" applyProtection="1">
      <alignment horizontal="center" vertical="center"/>
      <protection locked="0"/>
    </xf>
    <xf numFmtId="0" fontId="122" fillId="22" borderId="216" xfId="0" applyFont="1" applyFill="1" applyBorder="1" applyAlignment="1" applyProtection="1">
      <alignment horizontal="center" vertical="center"/>
      <protection locked="0"/>
    </xf>
    <xf numFmtId="0" fontId="162" fillId="6" borderId="0" xfId="0" applyFont="1" applyFill="1" applyBorder="1" applyAlignment="1" applyProtection="1">
      <alignment horizontal="right" vertical="center" indent="1"/>
      <protection locked="0"/>
    </xf>
    <xf numFmtId="2" fontId="122" fillId="6" borderId="226" xfId="0" applyNumberFormat="1" applyFont="1" applyFill="1" applyBorder="1" applyAlignment="1" applyProtection="1">
      <alignment horizontal="center" vertical="center"/>
      <protection locked="0"/>
    </xf>
    <xf numFmtId="2" fontId="122" fillId="6" borderId="227" xfId="0" applyNumberFormat="1" applyFont="1" applyFill="1" applyBorder="1" applyAlignment="1" applyProtection="1">
      <alignment horizontal="center" vertical="center"/>
      <protection locked="0"/>
    </xf>
    <xf numFmtId="2" fontId="122" fillId="6" borderId="228" xfId="0" applyNumberFormat="1" applyFont="1" applyFill="1" applyBorder="1" applyAlignment="1" applyProtection="1">
      <alignment horizontal="center" vertical="center"/>
      <protection locked="0"/>
    </xf>
    <xf numFmtId="0" fontId="236" fillId="6" borderId="0" xfId="0" applyFont="1" applyFill="1" applyBorder="1" applyAlignment="1" applyProtection="1">
      <alignment horizontal="center" vertical="center" wrapText="1"/>
      <protection locked="0"/>
    </xf>
    <xf numFmtId="0" fontId="96" fillId="7" borderId="217" xfId="0" applyFont="1" applyFill="1" applyBorder="1" applyAlignment="1" applyProtection="1">
      <alignment horizontal="center" vertical="center" wrapText="1"/>
      <protection locked="0"/>
    </xf>
    <xf numFmtId="0" fontId="96" fillId="7" borderId="218" xfId="0" applyFont="1" applyFill="1" applyBorder="1" applyAlignment="1" applyProtection="1">
      <alignment horizontal="center" vertical="center" wrapText="1"/>
      <protection locked="0"/>
    </xf>
    <xf numFmtId="0" fontId="96" fillId="7" borderId="219" xfId="0" applyFont="1" applyFill="1" applyBorder="1" applyAlignment="1" applyProtection="1">
      <alignment horizontal="center" vertical="center" wrapText="1"/>
      <protection locked="0"/>
    </xf>
    <xf numFmtId="0" fontId="96" fillId="7" borderId="220" xfId="0"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wrapText="1"/>
      <protection locked="0"/>
    </xf>
    <xf numFmtId="0" fontId="96" fillId="7" borderId="221" xfId="0" applyFont="1" applyFill="1" applyBorder="1" applyAlignment="1" applyProtection="1">
      <alignment horizontal="center" vertical="center" wrapText="1"/>
      <protection locked="0"/>
    </xf>
    <xf numFmtId="0" fontId="96" fillId="7" borderId="222" xfId="0" applyFont="1" applyFill="1" applyBorder="1" applyAlignment="1" applyProtection="1">
      <alignment horizontal="center" vertical="center" wrapText="1"/>
      <protection locked="0"/>
    </xf>
    <xf numFmtId="0" fontId="96" fillId="7" borderId="225" xfId="0" applyFont="1" applyFill="1" applyBorder="1" applyAlignment="1" applyProtection="1">
      <alignment horizontal="center" vertical="center" wrapText="1"/>
      <protection locked="0"/>
    </xf>
    <xf numFmtId="0" fontId="96" fillId="7" borderId="216" xfId="0" applyFont="1" applyFill="1" applyBorder="1" applyAlignment="1" applyProtection="1">
      <alignment horizontal="center" vertical="center" wrapText="1"/>
      <protection locked="0"/>
    </xf>
    <xf numFmtId="0" fontId="194" fillId="6" borderId="0" xfId="0" applyFont="1" applyFill="1" applyBorder="1" applyAlignment="1" applyProtection="1">
      <alignment horizontal="left" vertical="center" indent="1"/>
      <protection locked="0"/>
    </xf>
    <xf numFmtId="0" fontId="100" fillId="6" borderId="218" xfId="0" applyFont="1" applyFill="1" applyBorder="1" applyAlignment="1" applyProtection="1">
      <alignment horizontal="left" vertical="center" wrapText="1" indent="1"/>
      <protection locked="0"/>
    </xf>
    <xf numFmtId="0" fontId="100" fillId="6" borderId="0" xfId="0" applyFont="1" applyFill="1" applyBorder="1" applyAlignment="1" applyProtection="1">
      <alignment horizontal="left" vertical="center" wrapText="1" indent="1"/>
      <protection locked="0"/>
    </xf>
    <xf numFmtId="0" fontId="237" fillId="6" borderId="0" xfId="0" applyFont="1" applyFill="1" applyBorder="1" applyAlignment="1" applyProtection="1">
      <alignment horizontal="center" vertical="center"/>
      <protection locked="0"/>
    </xf>
    <xf numFmtId="0" fontId="237" fillId="6" borderId="0" xfId="0" applyFont="1" applyFill="1" applyBorder="1" applyAlignment="1" applyProtection="1">
      <alignment horizontal="center" vertical="top"/>
      <protection locked="0"/>
    </xf>
    <xf numFmtId="0" fontId="57" fillId="31" borderId="122" xfId="0" applyFont="1" applyFill="1" applyBorder="1" applyAlignment="1" applyProtection="1">
      <alignment horizontal="left" indent="1"/>
      <protection locked="0"/>
    </xf>
    <xf numFmtId="0" fontId="57" fillId="31" borderId="123" xfId="0" applyFont="1" applyFill="1" applyBorder="1" applyAlignment="1" applyProtection="1">
      <alignment horizontal="left" indent="1"/>
      <protection locked="0"/>
    </xf>
    <xf numFmtId="0" fontId="57" fillId="31" borderId="124" xfId="0" applyFont="1" applyFill="1" applyBorder="1" applyAlignment="1" applyProtection="1">
      <alignment horizontal="left" indent="1"/>
      <protection locked="0"/>
    </xf>
    <xf numFmtId="0" fontId="55" fillId="31" borderId="122" xfId="0" applyFont="1" applyFill="1" applyBorder="1" applyAlignment="1" applyProtection="1">
      <alignment horizontal="center"/>
      <protection locked="0"/>
    </xf>
    <xf numFmtId="0" fontId="55" fillId="31" borderId="124" xfId="0" applyFont="1" applyFill="1" applyBorder="1" applyAlignment="1" applyProtection="1">
      <alignment horizontal="center"/>
      <protection locked="0"/>
    </xf>
    <xf numFmtId="0" fontId="57" fillId="31" borderId="121" xfId="0" applyFont="1" applyFill="1" applyBorder="1" applyAlignment="1" applyProtection="1">
      <alignment horizontal="left" indent="2"/>
      <protection locked="0"/>
    </xf>
    <xf numFmtId="0" fontId="57" fillId="31" borderId="121" xfId="0" applyFont="1" applyFill="1" applyBorder="1" applyAlignment="1" applyProtection="1">
      <alignment horizontal="center"/>
      <protection locked="0"/>
    </xf>
    <xf numFmtId="0" fontId="57" fillId="31" borderId="122" xfId="0" applyFont="1" applyFill="1" applyBorder="1" applyAlignment="1" applyProtection="1">
      <alignment horizontal="center"/>
      <protection locked="0"/>
    </xf>
    <xf numFmtId="2" fontId="57" fillId="14" borderId="124" xfId="0" applyNumberFormat="1" applyFont="1" applyFill="1" applyBorder="1" applyAlignment="1" applyProtection="1">
      <alignment horizontal="center"/>
      <protection locked="0"/>
    </xf>
    <xf numFmtId="2" fontId="57" fillId="14" borderId="121" xfId="0" applyNumberFormat="1" applyFont="1" applyFill="1" applyBorder="1" applyAlignment="1" applyProtection="1">
      <alignment horizontal="center"/>
      <protection locked="0"/>
    </xf>
    <xf numFmtId="2" fontId="57" fillId="14" borderId="122" xfId="0" applyNumberFormat="1" applyFont="1" applyFill="1" applyBorder="1" applyAlignment="1" applyProtection="1">
      <alignment horizontal="center"/>
      <protection locked="0"/>
    </xf>
    <xf numFmtId="2" fontId="57" fillId="14" borderId="123" xfId="0" applyNumberFormat="1" applyFont="1" applyFill="1" applyBorder="1" applyAlignment="1" applyProtection="1">
      <alignment horizontal="center"/>
      <protection locked="0"/>
    </xf>
    <xf numFmtId="166" fontId="79" fillId="8" borderId="121" xfId="94" applyNumberFormat="1" applyFont="1" applyFill="1" applyBorder="1" applyAlignment="1" applyProtection="1">
      <alignment horizontal="center"/>
    </xf>
    <xf numFmtId="166" fontId="79" fillId="29" borderId="121" xfId="93" applyNumberFormat="1" applyFont="1" applyFill="1" applyBorder="1" applyAlignment="1" applyProtection="1">
      <alignment horizontal="center"/>
    </xf>
    <xf numFmtId="166" fontId="69" fillId="5" borderId="121" xfId="95" applyNumberFormat="1" applyFont="1" applyBorder="1" applyAlignment="1" applyProtection="1">
      <alignment horizontal="right" indent="1"/>
    </xf>
    <xf numFmtId="0" fontId="55" fillId="31" borderId="121" xfId="0" applyFont="1" applyFill="1" applyBorder="1" applyAlignment="1" applyProtection="1">
      <alignment horizontal="center"/>
      <protection locked="0"/>
    </xf>
    <xf numFmtId="0" fontId="57" fillId="31" borderId="121" xfId="0" applyFont="1" applyFill="1" applyBorder="1" applyAlignment="1" applyProtection="1">
      <alignment horizontal="left" indent="1"/>
      <protection locked="0"/>
    </xf>
    <xf numFmtId="0" fontId="57" fillId="31" borderId="121" xfId="0" applyFont="1" applyFill="1" applyBorder="1" applyAlignment="1" applyProtection="1">
      <alignment horizontal="left" indent="3"/>
      <protection locked="0"/>
    </xf>
    <xf numFmtId="166" fontId="63" fillId="0" borderId="125" xfId="94" applyNumberFormat="1" applyFont="1" applyFill="1" applyBorder="1" applyAlignment="1" applyProtection="1">
      <alignment horizontal="right" vertical="center" indent="1"/>
    </xf>
    <xf numFmtId="0" fontId="111" fillId="31" borderId="121" xfId="0" applyFont="1" applyFill="1" applyBorder="1" applyAlignment="1" applyProtection="1">
      <alignment horizontal="left" indent="1"/>
      <protection locked="0"/>
    </xf>
    <xf numFmtId="0" fontId="112" fillId="31" borderId="121" xfId="0" applyFont="1" applyFill="1" applyBorder="1" applyAlignment="1" applyProtection="1">
      <alignment horizontal="left" indent="1"/>
      <protection locked="0"/>
    </xf>
    <xf numFmtId="0" fontId="57" fillId="31" borderId="123" xfId="0" applyFont="1" applyFill="1" applyBorder="1" applyAlignment="1" applyProtection="1">
      <alignment horizontal="center"/>
      <protection locked="0"/>
    </xf>
    <xf numFmtId="0" fontId="57" fillId="31" borderId="124" xfId="0" applyFont="1" applyFill="1" applyBorder="1" applyAlignment="1" applyProtection="1">
      <alignment horizontal="center"/>
      <protection locked="0"/>
    </xf>
    <xf numFmtId="0" fontId="76" fillId="0" borderId="108" xfId="0" applyFont="1" applyBorder="1" applyAlignment="1" applyProtection="1">
      <alignment horizontal="center"/>
      <protection locked="0"/>
    </xf>
    <xf numFmtId="166" fontId="69" fillId="0" borderId="125" xfId="94" applyNumberFormat="1" applyFont="1" applyFill="1" applyBorder="1" applyAlignment="1" applyProtection="1">
      <alignment horizontal="center" vertical="center"/>
    </xf>
    <xf numFmtId="0" fontId="175" fillId="7" borderId="121" xfId="0" applyFont="1" applyFill="1" applyBorder="1" applyAlignment="1" applyProtection="1">
      <alignment horizontal="center"/>
      <protection locked="0"/>
    </xf>
    <xf numFmtId="0" fontId="175" fillId="7" borderId="122" xfId="0" applyFont="1" applyFill="1" applyBorder="1" applyAlignment="1" applyProtection="1">
      <alignment horizontal="center"/>
      <protection locked="0"/>
    </xf>
    <xf numFmtId="0" fontId="175" fillId="30" borderId="123" xfId="0" applyFont="1" applyFill="1" applyBorder="1" applyAlignment="1" applyProtection="1">
      <alignment horizontal="center"/>
      <protection locked="0"/>
    </xf>
    <xf numFmtId="0" fontId="175" fillId="30" borderId="124" xfId="0" applyFont="1" applyFill="1" applyBorder="1" applyAlignment="1" applyProtection="1">
      <alignment horizontal="center"/>
      <protection locked="0"/>
    </xf>
    <xf numFmtId="0" fontId="175" fillId="30" borderId="122" xfId="0" applyFont="1" applyFill="1" applyBorder="1" applyAlignment="1" applyProtection="1">
      <alignment horizontal="center"/>
      <protection locked="0"/>
    </xf>
    <xf numFmtId="2" fontId="175" fillId="7" borderId="123" xfId="0" applyNumberFormat="1" applyFont="1" applyFill="1" applyBorder="1" applyAlignment="1" applyProtection="1">
      <alignment horizontal="center"/>
      <protection locked="0"/>
    </xf>
    <xf numFmtId="0" fontId="78" fillId="31" borderId="121" xfId="0" applyFont="1" applyFill="1" applyBorder="1" applyAlignment="1" applyProtection="1">
      <alignment horizontal="left" indent="1"/>
      <protection locked="0"/>
    </xf>
    <xf numFmtId="0" fontId="55" fillId="7" borderId="121" xfId="0" applyFont="1" applyFill="1" applyBorder="1" applyAlignment="1" applyProtection="1">
      <alignment horizontal="center"/>
      <protection locked="0"/>
    </xf>
    <xf numFmtId="0" fontId="55" fillId="7" borderId="122" xfId="0" applyFont="1" applyFill="1" applyBorder="1" applyAlignment="1" applyProtection="1">
      <alignment horizontal="center"/>
      <protection locked="0"/>
    </xf>
    <xf numFmtId="0" fontId="57" fillId="30" borderId="123" xfId="0" applyFont="1" applyFill="1" applyBorder="1" applyAlignment="1" applyProtection="1">
      <alignment horizontal="center"/>
      <protection locked="0"/>
    </xf>
    <xf numFmtId="0" fontId="57" fillId="30" borderId="124" xfId="0" applyFont="1" applyFill="1" applyBorder="1" applyAlignment="1" applyProtection="1">
      <alignment horizontal="center"/>
      <protection locked="0"/>
    </xf>
    <xf numFmtId="0" fontId="57" fillId="30" borderId="122" xfId="0" applyFont="1" applyFill="1" applyBorder="1" applyAlignment="1" applyProtection="1">
      <alignment horizontal="center"/>
      <protection locked="0"/>
    </xf>
    <xf numFmtId="2" fontId="57" fillId="7" borderId="123" xfId="0" applyNumberFormat="1" applyFont="1" applyFill="1" applyBorder="1" applyAlignment="1" applyProtection="1">
      <alignment horizontal="center"/>
      <protection locked="0"/>
    </xf>
    <xf numFmtId="5" fontId="132" fillId="22" borderId="121" xfId="0" applyNumberFormat="1" applyFont="1" applyFill="1" applyBorder="1" applyAlignment="1" applyProtection="1">
      <alignment horizontal="center" vertical="center" wrapText="1"/>
      <protection locked="0"/>
    </xf>
    <xf numFmtId="5" fontId="58" fillId="22" borderId="125" xfId="0" applyNumberFormat="1" applyFont="1" applyFill="1" applyBorder="1" applyAlignment="1" applyProtection="1">
      <alignment horizontal="center" vertical="center" wrapText="1"/>
    </xf>
    <xf numFmtId="5" fontId="58" fillId="22" borderId="127" xfId="0" applyNumberFormat="1" applyFont="1" applyFill="1" applyBorder="1" applyAlignment="1" applyProtection="1">
      <alignment horizontal="center" vertical="center" wrapText="1"/>
    </xf>
    <xf numFmtId="0" fontId="52" fillId="25" borderId="130" xfId="0" applyFont="1" applyFill="1" applyBorder="1" applyAlignment="1" applyProtection="1">
      <alignment horizontal="center" vertical="top" wrapText="1"/>
      <protection locked="0"/>
    </xf>
    <xf numFmtId="0" fontId="52" fillId="25" borderId="229" xfId="0" applyFont="1" applyFill="1" applyBorder="1" applyAlignment="1" applyProtection="1">
      <alignment horizontal="center" vertical="top" wrapText="1"/>
      <protection locked="0"/>
    </xf>
    <xf numFmtId="0" fontId="52" fillId="25" borderId="109" xfId="0" applyFont="1" applyFill="1" applyBorder="1" applyAlignment="1" applyProtection="1">
      <alignment horizontal="center" vertical="center" wrapText="1"/>
      <protection locked="0"/>
    </xf>
    <xf numFmtId="0" fontId="52" fillId="25" borderId="131" xfId="0" applyFont="1" applyFill="1" applyBorder="1" applyAlignment="1" applyProtection="1">
      <alignment horizontal="center" vertical="center" wrapText="1"/>
      <protection locked="0"/>
    </xf>
    <xf numFmtId="0" fontId="52" fillId="25" borderId="109" xfId="0" applyFont="1" applyFill="1" applyBorder="1" applyAlignment="1" applyProtection="1">
      <alignment horizontal="center" vertical="top" wrapText="1"/>
      <protection locked="0"/>
    </xf>
    <xf numFmtId="0" fontId="52" fillId="25" borderId="131" xfId="0" applyFont="1" applyFill="1" applyBorder="1" applyAlignment="1" applyProtection="1">
      <alignment horizontal="center" vertical="top" wrapText="1"/>
      <protection locked="0"/>
    </xf>
    <xf numFmtId="0" fontId="72" fillId="25" borderId="130" xfId="0" applyFont="1" applyFill="1" applyBorder="1" applyAlignment="1" applyProtection="1">
      <alignment horizontal="center" vertical="center" wrapText="1"/>
      <protection locked="0"/>
    </xf>
    <xf numFmtId="0" fontId="72" fillId="25" borderId="109" xfId="0" applyFont="1" applyFill="1" applyBorder="1" applyAlignment="1" applyProtection="1">
      <alignment horizontal="center" vertical="center" wrapText="1"/>
      <protection locked="0"/>
    </xf>
    <xf numFmtId="0" fontId="72" fillId="25" borderId="131" xfId="0" applyFont="1" applyFill="1" applyBorder="1" applyAlignment="1" applyProtection="1">
      <alignment horizontal="center" vertical="center" wrapText="1"/>
      <protection locked="0"/>
    </xf>
    <xf numFmtId="0" fontId="72" fillId="25" borderId="130" xfId="0" applyFont="1" applyFill="1" applyBorder="1" applyAlignment="1" applyProtection="1">
      <alignment horizontal="center" vertical="center" wrapText="1"/>
    </xf>
    <xf numFmtId="0" fontId="72" fillId="25" borderId="109" xfId="0" applyFont="1" applyFill="1" applyBorder="1" applyAlignment="1" applyProtection="1">
      <alignment horizontal="center" vertical="center" wrapText="1"/>
    </xf>
    <xf numFmtId="0" fontId="72" fillId="25" borderId="131" xfId="0" applyFont="1" applyFill="1" applyBorder="1" applyAlignment="1" applyProtection="1">
      <alignment horizontal="center" vertical="center" wrapText="1"/>
    </xf>
    <xf numFmtId="164" fontId="72" fillId="25" borderId="130" xfId="1" applyNumberFormat="1" applyFont="1" applyFill="1" applyBorder="1" applyAlignment="1" applyProtection="1">
      <alignment horizontal="center" vertical="center" wrapText="1"/>
    </xf>
    <xf numFmtId="164" fontId="72" fillId="25" borderId="109" xfId="1" applyNumberFormat="1" applyFont="1" applyFill="1" applyBorder="1" applyAlignment="1" applyProtection="1">
      <alignment horizontal="center" vertical="center" wrapText="1"/>
    </xf>
    <xf numFmtId="164" fontId="72" fillId="25" borderId="131" xfId="1" applyNumberFormat="1" applyFont="1" applyFill="1" applyBorder="1" applyAlignment="1" applyProtection="1">
      <alignment horizontal="center" vertical="center" wrapText="1"/>
    </xf>
    <xf numFmtId="44" fontId="52" fillId="25" borderId="130" xfId="3" applyFont="1" applyFill="1" applyBorder="1" applyAlignment="1" applyProtection="1">
      <alignment horizontal="center" vertical="center" wrapText="1"/>
    </xf>
    <xf numFmtId="44" fontId="52" fillId="25" borderId="109" xfId="3" applyFont="1" applyFill="1" applyBorder="1" applyAlignment="1" applyProtection="1">
      <alignment horizontal="center" vertical="center" wrapText="1"/>
    </xf>
    <xf numFmtId="44" fontId="52" fillId="25" borderId="131" xfId="3" applyFont="1" applyFill="1" applyBorder="1" applyAlignment="1" applyProtection="1">
      <alignment horizontal="center" vertical="center" wrapText="1"/>
    </xf>
    <xf numFmtId="5" fontId="225" fillId="6" borderId="121" xfId="0" applyNumberFormat="1" applyFont="1" applyFill="1" applyBorder="1" applyAlignment="1" applyProtection="1">
      <alignment horizontal="center" vertical="center" wrapText="1"/>
    </xf>
    <xf numFmtId="0" fontId="113" fillId="21" borderId="0" xfId="27" applyFont="1" applyFill="1" applyBorder="1" applyAlignment="1" applyProtection="1">
      <alignment horizontal="left" vertical="center" indent="2"/>
    </xf>
    <xf numFmtId="0" fontId="113" fillId="21" borderId="0" xfId="27" applyFont="1" applyFill="1" applyBorder="1" applyAlignment="1" applyProtection="1">
      <alignment horizontal="center" vertical="center"/>
    </xf>
    <xf numFmtId="0" fontId="79" fillId="6" borderId="121" xfId="27" applyFont="1" applyFill="1" applyBorder="1" applyAlignment="1" applyProtection="1">
      <alignment horizontal="left" vertical="center" indent="2"/>
    </xf>
    <xf numFmtId="0" fontId="79" fillId="6" borderId="211" xfId="27" applyFont="1" applyFill="1" applyBorder="1" applyAlignment="1" applyProtection="1">
      <alignment horizontal="left" vertical="center" indent="2"/>
    </xf>
    <xf numFmtId="5" fontId="219" fillId="6" borderId="121" xfId="27" applyNumberFormat="1" applyFont="1" applyFill="1" applyBorder="1" applyAlignment="1" applyProtection="1">
      <alignment horizontal="center" vertical="center"/>
    </xf>
    <xf numFmtId="5" fontId="219" fillId="6" borderId="209" xfId="27" applyNumberFormat="1" applyFont="1" applyFill="1" applyBorder="1" applyAlignment="1" applyProtection="1">
      <alignment horizontal="center" vertical="center"/>
    </xf>
    <xf numFmtId="164" fontId="226" fillId="22" borderId="121" xfId="1" applyNumberFormat="1" applyFont="1" applyFill="1" applyBorder="1" applyAlignment="1" applyProtection="1">
      <alignment horizontal="center" vertical="center" wrapText="1"/>
    </xf>
    <xf numFmtId="5" fontId="58" fillId="22" borderId="126" xfId="0" applyNumberFormat="1" applyFont="1" applyFill="1" applyBorder="1" applyAlignment="1" applyProtection="1">
      <alignment horizontal="center" vertical="center" wrapText="1"/>
      <protection locked="0"/>
    </xf>
    <xf numFmtId="5" fontId="58" fillId="22" borderId="130" xfId="0" applyNumberFormat="1" applyFont="1" applyFill="1" applyBorder="1" applyAlignment="1" applyProtection="1">
      <alignment horizontal="center" vertical="center" wrapText="1"/>
      <protection locked="0"/>
    </xf>
    <xf numFmtId="0" fontId="122" fillId="7" borderId="124" xfId="0" applyFont="1" applyFill="1" applyBorder="1" applyAlignment="1" applyProtection="1">
      <alignment horizontal="left" indent="1"/>
      <protection locked="0"/>
    </xf>
    <xf numFmtId="0" fontId="122" fillId="7" borderId="121" xfId="0" applyFont="1" applyFill="1" applyBorder="1" applyAlignment="1" applyProtection="1">
      <alignment horizontal="left" indent="1"/>
      <protection locked="0"/>
    </xf>
    <xf numFmtId="0" fontId="122" fillId="7" borderId="122" xfId="0" applyFont="1" applyFill="1" applyBorder="1" applyAlignment="1" applyProtection="1">
      <alignment horizontal="left" indent="1"/>
      <protection locked="0"/>
    </xf>
    <xf numFmtId="0" fontId="111" fillId="31" borderId="123" xfId="0" applyFont="1" applyFill="1" applyBorder="1" applyAlignment="1" applyProtection="1">
      <alignment horizontal="left" indent="1"/>
      <protection locked="0"/>
    </xf>
    <xf numFmtId="0" fontId="111" fillId="31" borderId="124" xfId="0" applyFont="1" applyFill="1" applyBorder="1" applyAlignment="1" applyProtection="1">
      <alignment horizontal="left" indent="1"/>
      <protection locked="0"/>
    </xf>
    <xf numFmtId="0" fontId="218" fillId="7" borderId="124" xfId="0" applyFont="1" applyFill="1" applyBorder="1" applyAlignment="1" applyProtection="1">
      <alignment horizontal="left" indent="1"/>
      <protection locked="0"/>
    </xf>
    <xf numFmtId="0" fontId="218" fillId="7" borderId="121" xfId="0" applyFont="1" applyFill="1" applyBorder="1" applyAlignment="1" applyProtection="1">
      <alignment horizontal="left" indent="1"/>
      <protection locked="0"/>
    </xf>
    <xf numFmtId="0" fontId="218" fillId="7" borderId="122" xfId="0" applyFont="1" applyFill="1" applyBorder="1" applyAlignment="1" applyProtection="1">
      <alignment horizontal="left" indent="1"/>
      <protection locked="0"/>
    </xf>
    <xf numFmtId="166" fontId="325" fillId="6" borderId="208" xfId="0" applyNumberFormat="1" applyFont="1" applyFill="1" applyBorder="1" applyAlignment="1" applyProtection="1">
      <alignment horizontal="right" vertical="center"/>
      <protection hidden="1"/>
    </xf>
    <xf numFmtId="166" fontId="325" fillId="6" borderId="121" xfId="0" applyNumberFormat="1" applyFont="1" applyFill="1" applyBorder="1" applyAlignment="1" applyProtection="1">
      <alignment horizontal="right" vertical="center"/>
      <protection hidden="1"/>
    </xf>
    <xf numFmtId="0" fontId="227" fillId="7" borderId="295" xfId="0" applyFont="1" applyFill="1" applyBorder="1" applyAlignment="1" applyProtection="1">
      <alignment horizontal="center" vertical="center" wrapText="1"/>
      <protection locked="0"/>
    </xf>
    <xf numFmtId="0" fontId="227" fillId="7" borderId="296" xfId="0" applyFont="1" applyFill="1" applyBorder="1" applyAlignment="1" applyProtection="1">
      <alignment horizontal="center" vertical="center" wrapText="1"/>
      <protection locked="0"/>
    </xf>
    <xf numFmtId="0" fontId="226" fillId="22" borderId="121" xfId="0" applyFont="1" applyFill="1" applyBorder="1" applyAlignment="1" applyProtection="1">
      <alignment horizontal="center" vertical="center" wrapText="1"/>
    </xf>
    <xf numFmtId="44" fontId="132" fillId="22" borderId="121" xfId="3" applyFont="1" applyFill="1" applyBorder="1" applyAlignment="1" applyProtection="1">
      <alignment horizontal="center" vertical="center" wrapText="1"/>
    </xf>
    <xf numFmtId="5" fontId="219" fillId="6" borderId="211" xfId="27" applyNumberFormat="1" applyFont="1" applyFill="1" applyBorder="1" applyAlignment="1" applyProtection="1">
      <alignment horizontal="center" vertical="center"/>
    </xf>
    <xf numFmtId="5" fontId="219" fillId="6" borderId="212" xfId="27" applyNumberFormat="1" applyFont="1" applyFill="1" applyBorder="1" applyAlignment="1" applyProtection="1">
      <alignment horizontal="center" vertical="center"/>
    </xf>
    <xf numFmtId="0" fontId="227" fillId="7" borderId="294" xfId="0" applyFont="1" applyFill="1" applyBorder="1" applyAlignment="1" applyProtection="1">
      <alignment horizontal="center" vertical="center"/>
    </xf>
    <xf numFmtId="0" fontId="227" fillId="7" borderId="295" xfId="0" applyFont="1" applyFill="1" applyBorder="1" applyAlignment="1" applyProtection="1">
      <alignment horizontal="center" vertical="center"/>
    </xf>
    <xf numFmtId="169" fontId="121" fillId="14" borderId="230" xfId="22" applyNumberFormat="1" applyFont="1" applyFill="1" applyBorder="1" applyAlignment="1" applyProtection="1">
      <alignment horizontal="center" vertical="center"/>
      <protection locked="0"/>
    </xf>
    <xf numFmtId="166" fontId="122" fillId="6" borderId="231" xfId="3" applyNumberFormat="1" applyFont="1" applyFill="1" applyBorder="1" applyAlignment="1" applyProtection="1">
      <alignment horizontal="center" vertical="center"/>
    </xf>
    <xf numFmtId="9" fontId="221" fillId="6" borderId="231" xfId="22" applyNumberFormat="1" applyFont="1" applyFill="1" applyBorder="1" applyAlignment="1" applyProtection="1">
      <alignment horizontal="center" vertical="center"/>
      <protection hidden="1"/>
    </xf>
    <xf numFmtId="166" fontId="52" fillId="6" borderId="230" xfId="3" applyNumberFormat="1" applyFont="1" applyFill="1" applyBorder="1" applyAlignment="1" applyProtection="1">
      <alignment horizontal="center" vertical="center"/>
    </xf>
    <xf numFmtId="0" fontId="214" fillId="22" borderId="121" xfId="0" applyFont="1" applyFill="1" applyBorder="1" applyAlignment="1" applyProtection="1">
      <alignment horizontal="center" vertical="center" wrapText="1"/>
      <protection locked="0"/>
    </xf>
    <xf numFmtId="0" fontId="226" fillId="22" borderId="121" xfId="0" applyFont="1" applyFill="1" applyBorder="1" applyAlignment="1" applyProtection="1">
      <alignment horizontal="center" vertical="center" wrapText="1"/>
      <protection locked="0"/>
    </xf>
    <xf numFmtId="166" fontId="122" fillId="6" borderId="127" xfId="3" applyNumberFormat="1" applyFont="1" applyFill="1" applyBorder="1" applyAlignment="1" applyProtection="1">
      <alignment horizontal="center" vertical="center"/>
    </xf>
    <xf numFmtId="169" fontId="121" fillId="14" borderId="121" xfId="22" applyNumberFormat="1" applyFont="1" applyFill="1" applyBorder="1" applyAlignment="1" applyProtection="1">
      <alignment horizontal="center" vertical="center"/>
      <protection locked="0"/>
    </xf>
    <xf numFmtId="166" fontId="52" fillId="6" borderId="121" xfId="3" applyNumberFormat="1" applyFont="1" applyFill="1" applyBorder="1" applyAlignment="1" applyProtection="1">
      <alignment horizontal="center" vertical="center"/>
    </xf>
    <xf numFmtId="166" fontId="221" fillId="6" borderId="206" xfId="0" applyNumberFormat="1" applyFont="1" applyFill="1" applyBorder="1" applyAlignment="1" applyProtection="1">
      <alignment horizontal="right" vertical="center" indent="1"/>
      <protection hidden="1"/>
    </xf>
    <xf numFmtId="166" fontId="221" fillId="6" borderId="127" xfId="0" applyNumberFormat="1" applyFont="1" applyFill="1" applyBorder="1" applyAlignment="1" applyProtection="1">
      <alignment horizontal="right" vertical="center" indent="1"/>
      <protection hidden="1"/>
    </xf>
    <xf numFmtId="166" fontId="221" fillId="6" borderId="130" xfId="0" applyNumberFormat="1" applyFont="1" applyFill="1" applyBorder="1" applyAlignment="1" applyProtection="1">
      <alignment horizontal="right" vertical="center" indent="1"/>
      <protection hidden="1"/>
    </xf>
    <xf numFmtId="169" fontId="226" fillId="14" borderId="121" xfId="22" applyNumberFormat="1" applyFont="1" applyFill="1" applyBorder="1" applyAlignment="1" applyProtection="1">
      <alignment horizontal="center" vertical="center" wrapText="1"/>
      <protection locked="0"/>
    </xf>
    <xf numFmtId="166" fontId="326" fillId="6" borderId="206" xfId="0" applyNumberFormat="1" applyFont="1" applyFill="1" applyBorder="1" applyAlignment="1" applyProtection="1">
      <alignment horizontal="right" vertical="center"/>
      <protection hidden="1"/>
    </xf>
    <xf numFmtId="166" fontId="326" fillId="6" borderId="127" xfId="0" applyNumberFormat="1" applyFont="1" applyFill="1" applyBorder="1" applyAlignment="1" applyProtection="1">
      <alignment horizontal="right" vertical="center"/>
      <protection hidden="1"/>
    </xf>
    <xf numFmtId="166" fontId="326" fillId="6" borderId="130" xfId="0" applyNumberFormat="1" applyFont="1" applyFill="1" applyBorder="1" applyAlignment="1" applyProtection="1">
      <alignment horizontal="right" vertical="center"/>
      <protection hidden="1"/>
    </xf>
    <xf numFmtId="166" fontId="325" fillId="6" borderId="297" xfId="0" applyNumberFormat="1" applyFont="1" applyFill="1" applyBorder="1" applyAlignment="1" applyProtection="1">
      <alignment horizontal="right" vertical="center"/>
      <protection hidden="1"/>
    </xf>
    <xf numFmtId="166" fontId="325" fillId="6" borderId="230" xfId="0" applyNumberFormat="1" applyFont="1" applyFill="1" applyBorder="1" applyAlignment="1" applyProtection="1">
      <alignment horizontal="right" vertical="center"/>
      <protection hidden="1"/>
    </xf>
    <xf numFmtId="0" fontId="132" fillId="22" borderId="121" xfId="0" applyFont="1" applyFill="1" applyBorder="1" applyAlignment="1" applyProtection="1">
      <alignment horizontal="center" vertical="center" wrapText="1"/>
      <protection locked="0"/>
    </xf>
    <xf numFmtId="0" fontId="76" fillId="0" borderId="0" xfId="0" applyFont="1" applyBorder="1" applyAlignment="1" applyProtection="1">
      <alignment horizontal="center"/>
      <protection locked="0"/>
    </xf>
    <xf numFmtId="166" fontId="220" fillId="0" borderId="125" xfId="94" applyNumberFormat="1" applyFont="1" applyFill="1" applyBorder="1" applyAlignment="1" applyProtection="1">
      <alignment horizontal="center" vertical="center"/>
    </xf>
    <xf numFmtId="0" fontId="106" fillId="7" borderId="0" xfId="0" applyFont="1" applyFill="1" applyAlignment="1" applyProtection="1">
      <alignment horizontal="center" vertical="center"/>
      <protection locked="0"/>
    </xf>
    <xf numFmtId="0" fontId="167" fillId="7" borderId="0" xfId="0" applyFont="1" applyFill="1" applyBorder="1" applyAlignment="1" applyProtection="1">
      <alignment horizontal="center"/>
      <protection locked="0"/>
    </xf>
    <xf numFmtId="166" fontId="253" fillId="6" borderId="108" xfId="0" applyNumberFormat="1" applyFont="1" applyFill="1" applyBorder="1" applyAlignment="1" applyProtection="1">
      <alignment horizontal="center" vertical="center"/>
    </xf>
    <xf numFmtId="166" fontId="253" fillId="6" borderId="132" xfId="0" applyNumberFormat="1" applyFont="1" applyFill="1" applyBorder="1" applyAlignment="1" applyProtection="1">
      <alignment horizontal="center" vertical="center"/>
    </xf>
    <xf numFmtId="166" fontId="253" fillId="6" borderId="184" xfId="0" applyNumberFormat="1" applyFont="1" applyFill="1" applyBorder="1" applyAlignment="1" applyProtection="1">
      <alignment horizontal="center" vertical="center"/>
    </xf>
    <xf numFmtId="166" fontId="253" fillId="6" borderId="299" xfId="0" applyNumberFormat="1" applyFont="1" applyFill="1" applyBorder="1" applyAlignment="1" applyProtection="1">
      <alignment horizontal="center" vertical="center"/>
    </xf>
    <xf numFmtId="166" fontId="141" fillId="6" borderId="298" xfId="0" applyNumberFormat="1" applyFont="1" applyFill="1" applyBorder="1" applyAlignment="1" applyProtection="1">
      <alignment horizontal="right" vertical="center"/>
      <protection hidden="1"/>
    </xf>
    <xf numFmtId="166" fontId="141" fillId="6" borderId="108" xfId="0" applyNumberFormat="1" applyFont="1" applyFill="1" applyBorder="1" applyAlignment="1" applyProtection="1">
      <alignment horizontal="right" vertical="center"/>
      <protection hidden="1"/>
    </xf>
    <xf numFmtId="166" fontId="141" fillId="6" borderId="132" xfId="0" applyNumberFormat="1" applyFont="1" applyFill="1" applyBorder="1" applyAlignment="1" applyProtection="1">
      <alignment horizontal="right" vertical="center"/>
      <protection hidden="1"/>
    </xf>
    <xf numFmtId="166" fontId="141" fillId="6" borderId="183" xfId="0" applyNumberFormat="1" applyFont="1" applyFill="1" applyBorder="1" applyAlignment="1" applyProtection="1">
      <alignment horizontal="right" vertical="center"/>
      <protection hidden="1"/>
    </xf>
    <xf numFmtId="166" fontId="141" fillId="6" borderId="184" xfId="0" applyNumberFormat="1" applyFont="1" applyFill="1" applyBorder="1" applyAlignment="1" applyProtection="1">
      <alignment horizontal="right" vertical="center"/>
      <protection hidden="1"/>
    </xf>
    <xf numFmtId="166" fontId="141" fillId="6" borderId="299" xfId="0" applyNumberFormat="1" applyFont="1" applyFill="1" applyBorder="1" applyAlignment="1" applyProtection="1">
      <alignment horizontal="right" vertical="center"/>
      <protection hidden="1"/>
    </xf>
    <xf numFmtId="0" fontId="95" fillId="6" borderId="0" xfId="0" applyFont="1" applyFill="1" applyBorder="1" applyAlignment="1" applyProtection="1">
      <alignment horizontal="left" vertical="center" wrapText="1" indent="1"/>
      <protection locked="0"/>
    </xf>
    <xf numFmtId="166" fontId="322" fillId="6" borderId="208" xfId="0" applyNumberFormat="1" applyFont="1" applyFill="1" applyBorder="1" applyAlignment="1" applyProtection="1">
      <alignment horizontal="right" vertical="center"/>
      <protection hidden="1"/>
    </xf>
    <xf numFmtId="166" fontId="322" fillId="6" borderId="121" xfId="0" applyNumberFormat="1" applyFont="1" applyFill="1" applyBorder="1" applyAlignment="1" applyProtection="1">
      <alignment horizontal="right" vertical="center"/>
      <protection hidden="1"/>
    </xf>
    <xf numFmtId="2" fontId="121" fillId="14" borderId="121" xfId="22" applyNumberFormat="1" applyFont="1" applyFill="1" applyBorder="1" applyAlignment="1" applyProtection="1">
      <alignment horizontal="center" vertical="center"/>
      <protection locked="0"/>
    </xf>
    <xf numFmtId="0" fontId="132" fillId="22" borderId="126" xfId="0" applyFont="1" applyFill="1" applyBorder="1" applyAlignment="1" applyProtection="1">
      <alignment horizontal="center" vertical="center" wrapText="1"/>
      <protection locked="0"/>
    </xf>
    <xf numFmtId="0" fontId="132" fillId="22" borderId="132" xfId="0" applyFont="1" applyFill="1" applyBorder="1" applyAlignment="1" applyProtection="1">
      <alignment horizontal="center" vertical="center" wrapText="1"/>
      <protection locked="0"/>
    </xf>
    <xf numFmtId="0" fontId="132" fillId="22" borderId="130" xfId="0" applyFont="1" applyFill="1" applyBorder="1" applyAlignment="1" applyProtection="1">
      <alignment horizontal="center" vertical="center" wrapText="1"/>
      <protection locked="0"/>
    </xf>
    <xf numFmtId="0" fontId="132" fillId="22" borderId="131" xfId="0" applyFont="1" applyFill="1" applyBorder="1" applyAlignment="1" applyProtection="1">
      <alignment horizontal="center" vertical="center" wrapText="1"/>
      <protection locked="0"/>
    </xf>
    <xf numFmtId="0" fontId="178" fillId="6" borderId="217" xfId="0" applyFont="1" applyFill="1" applyBorder="1" applyAlignment="1" applyProtection="1">
      <alignment horizontal="center" vertical="center"/>
      <protection locked="0"/>
    </xf>
    <xf numFmtId="0" fontId="178" fillId="6" borderId="218" xfId="0" applyFont="1" applyFill="1" applyBorder="1" applyAlignment="1" applyProtection="1">
      <alignment horizontal="center" vertical="center"/>
      <protection locked="0"/>
    </xf>
    <xf numFmtId="0" fontId="178" fillId="6" borderId="219" xfId="0" applyFont="1" applyFill="1" applyBorder="1" applyAlignment="1" applyProtection="1">
      <alignment horizontal="center" vertical="center"/>
      <protection locked="0"/>
    </xf>
    <xf numFmtId="0" fontId="178" fillId="6" borderId="220" xfId="0" applyFont="1" applyFill="1" applyBorder="1" applyAlignment="1" applyProtection="1">
      <alignment horizontal="center" vertical="center"/>
      <protection locked="0"/>
    </xf>
    <xf numFmtId="0" fontId="178" fillId="6" borderId="0" xfId="0" applyFont="1" applyFill="1" applyBorder="1" applyAlignment="1" applyProtection="1">
      <alignment horizontal="center" vertical="center"/>
      <protection locked="0"/>
    </xf>
    <xf numFmtId="0" fontId="178" fillId="6" borderId="221" xfId="0" applyFont="1" applyFill="1" applyBorder="1" applyAlignment="1" applyProtection="1">
      <alignment horizontal="center" vertical="center"/>
      <protection locked="0"/>
    </xf>
    <xf numFmtId="0" fontId="206" fillId="22" borderId="217" xfId="0" applyFont="1" applyFill="1" applyBorder="1" applyAlignment="1" applyProtection="1">
      <alignment horizontal="left" vertical="center" indent="2"/>
      <protection locked="0"/>
    </xf>
    <xf numFmtId="0" fontId="206" fillId="22" borderId="218" xfId="0" applyFont="1" applyFill="1" applyBorder="1" applyAlignment="1" applyProtection="1">
      <alignment horizontal="left" vertical="center" indent="2"/>
      <protection locked="0"/>
    </xf>
    <xf numFmtId="0" fontId="206" fillId="22" borderId="219" xfId="0" applyFont="1" applyFill="1" applyBorder="1" applyAlignment="1" applyProtection="1">
      <alignment horizontal="left" vertical="center" indent="2"/>
      <protection locked="0"/>
    </xf>
    <xf numFmtId="0" fontId="206" fillId="22" borderId="220" xfId="0" applyFont="1" applyFill="1" applyBorder="1" applyAlignment="1" applyProtection="1">
      <alignment horizontal="left" vertical="top" wrapText="1" indent="2"/>
      <protection locked="0"/>
    </xf>
    <xf numFmtId="0" fontId="206" fillId="22" borderId="0" xfId="0" applyFont="1" applyFill="1" applyBorder="1" applyAlignment="1" applyProtection="1">
      <alignment horizontal="left" vertical="top" wrapText="1" indent="2"/>
      <protection locked="0"/>
    </xf>
    <xf numFmtId="0" fontId="206" fillId="22" borderId="221" xfId="0" applyFont="1" applyFill="1" applyBorder="1" applyAlignment="1" applyProtection="1">
      <alignment horizontal="left" vertical="top" wrapText="1" indent="2"/>
      <protection locked="0"/>
    </xf>
    <xf numFmtId="0" fontId="206" fillId="22" borderId="222" xfId="0" applyFont="1" applyFill="1" applyBorder="1" applyAlignment="1" applyProtection="1">
      <alignment horizontal="left" vertical="top" wrapText="1" indent="2"/>
      <protection locked="0"/>
    </xf>
    <xf numFmtId="0" fontId="206" fillId="22" borderId="225" xfId="0" applyFont="1" applyFill="1" applyBorder="1" applyAlignment="1" applyProtection="1">
      <alignment horizontal="left" vertical="top" wrapText="1" indent="2"/>
      <protection locked="0"/>
    </xf>
    <xf numFmtId="0" fontId="206" fillId="22" borderId="216" xfId="0" applyFont="1" applyFill="1" applyBorder="1" applyAlignment="1" applyProtection="1">
      <alignment horizontal="left" vertical="top" wrapText="1" indent="2"/>
      <protection locked="0"/>
    </xf>
    <xf numFmtId="0" fontId="237" fillId="6" borderId="218" xfId="0" applyFont="1" applyFill="1" applyBorder="1" applyAlignment="1" applyProtection="1">
      <alignment horizontal="center" vertical="center"/>
      <protection locked="0"/>
    </xf>
    <xf numFmtId="0" fontId="194" fillId="6" borderId="225" xfId="0" applyFont="1" applyFill="1" applyBorder="1" applyAlignment="1" applyProtection="1">
      <alignment horizontal="center" vertical="center"/>
      <protection locked="0"/>
    </xf>
    <xf numFmtId="0" fontId="96" fillId="7" borderId="217" xfId="0" quotePrefix="1" applyFont="1" applyFill="1" applyBorder="1" applyAlignment="1" applyProtection="1">
      <alignment horizontal="left" vertical="center" wrapText="1" indent="1"/>
      <protection locked="0"/>
    </xf>
    <xf numFmtId="0" fontId="96" fillId="7" borderId="218" xfId="0" applyFont="1" applyFill="1" applyBorder="1" applyAlignment="1" applyProtection="1">
      <alignment horizontal="left" vertical="center" wrapText="1" indent="1"/>
      <protection locked="0"/>
    </xf>
    <xf numFmtId="0" fontId="96" fillId="7" borderId="219" xfId="0" applyFont="1" applyFill="1" applyBorder="1" applyAlignment="1" applyProtection="1">
      <alignment horizontal="left" vertical="center" wrapText="1" indent="1"/>
      <protection locked="0"/>
    </xf>
    <xf numFmtId="0" fontId="96" fillId="7" borderId="220" xfId="0" quotePrefix="1" applyFont="1" applyFill="1" applyBorder="1" applyAlignment="1" applyProtection="1">
      <alignment horizontal="left" vertical="center" wrapText="1" indent="1"/>
      <protection locked="0"/>
    </xf>
    <xf numFmtId="0" fontId="96" fillId="7" borderId="0" xfId="0" applyFont="1" applyFill="1" applyBorder="1" applyAlignment="1" applyProtection="1">
      <alignment horizontal="left" vertical="center" wrapText="1" indent="1"/>
      <protection locked="0"/>
    </xf>
    <xf numFmtId="0" fontId="96" fillId="7" borderId="221" xfId="0" applyFont="1" applyFill="1" applyBorder="1" applyAlignment="1" applyProtection="1">
      <alignment horizontal="left" vertical="center" wrapText="1" indent="1"/>
      <protection locked="0"/>
    </xf>
    <xf numFmtId="0" fontId="164" fillId="7" borderId="220" xfId="0" applyFont="1" applyFill="1" applyBorder="1" applyAlignment="1" applyProtection="1">
      <alignment horizontal="left" vertical="center" wrapText="1" indent="1"/>
      <protection locked="0"/>
    </xf>
    <xf numFmtId="0" fontId="164" fillId="7" borderId="0" xfId="0" applyFont="1" applyFill="1" applyBorder="1" applyAlignment="1" applyProtection="1">
      <alignment horizontal="left" vertical="center" wrapText="1" indent="1"/>
      <protection locked="0"/>
    </xf>
    <xf numFmtId="0" fontId="164" fillId="7" borderId="221" xfId="0" applyFont="1" applyFill="1" applyBorder="1" applyAlignment="1" applyProtection="1">
      <alignment horizontal="left" vertical="center" wrapText="1" indent="1"/>
      <protection locked="0"/>
    </xf>
    <xf numFmtId="0" fontId="96" fillId="7" borderId="220" xfId="0" quotePrefix="1" applyFont="1" applyFill="1" applyBorder="1" applyAlignment="1" applyProtection="1">
      <alignment horizontal="left" vertical="center" wrapText="1" indent="2"/>
      <protection locked="0"/>
    </xf>
    <xf numFmtId="0" fontId="96" fillId="7" borderId="0" xfId="0" applyFont="1" applyFill="1" applyBorder="1" applyAlignment="1" applyProtection="1">
      <alignment horizontal="left" vertical="center" wrapText="1" indent="2"/>
      <protection locked="0"/>
    </xf>
    <xf numFmtId="0" fontId="96" fillId="7" borderId="221" xfId="0" applyFont="1" applyFill="1" applyBorder="1" applyAlignment="1" applyProtection="1">
      <alignment horizontal="left" vertical="center" wrapText="1" indent="2"/>
      <protection locked="0"/>
    </xf>
    <xf numFmtId="0" fontId="96" fillId="7" borderId="222" xfId="0" quotePrefix="1" applyFont="1" applyFill="1" applyBorder="1" applyAlignment="1" applyProtection="1">
      <alignment horizontal="left" vertical="center" wrapText="1" indent="1"/>
      <protection locked="0"/>
    </xf>
    <xf numFmtId="0" fontId="96" fillId="7" borderId="225" xfId="0" applyFont="1" applyFill="1" applyBorder="1" applyAlignment="1" applyProtection="1">
      <alignment horizontal="left" vertical="center" wrapText="1" indent="1"/>
      <protection locked="0"/>
    </xf>
    <xf numFmtId="0" fontId="96" fillId="7" borderId="216" xfId="0" applyFont="1" applyFill="1" applyBorder="1" applyAlignment="1" applyProtection="1">
      <alignment horizontal="left" vertical="center" wrapText="1" indent="1"/>
      <protection locked="0"/>
    </xf>
    <xf numFmtId="0" fontId="95" fillId="6" borderId="0" xfId="0" applyFont="1" applyFill="1" applyBorder="1" applyAlignment="1" applyProtection="1">
      <alignment horizontal="left" vertical="center" indent="2"/>
      <protection locked="0"/>
    </xf>
    <xf numFmtId="0" fontId="194" fillId="6" borderId="225" xfId="0" applyFont="1" applyFill="1" applyBorder="1" applyAlignment="1" applyProtection="1">
      <alignment horizontal="left" vertical="center" indent="1"/>
      <protection locked="0"/>
    </xf>
    <xf numFmtId="0" fontId="241" fillId="6" borderId="109" xfId="0" applyFont="1" applyFill="1" applyBorder="1" applyAlignment="1" applyProtection="1">
      <alignment horizontal="left" vertical="center"/>
      <protection locked="0"/>
    </xf>
    <xf numFmtId="0" fontId="43" fillId="6" borderId="178" xfId="0" applyFont="1" applyFill="1" applyBorder="1" applyAlignment="1" applyProtection="1">
      <alignment horizontal="center"/>
      <protection locked="0"/>
    </xf>
    <xf numFmtId="0" fontId="43" fillId="6" borderId="179" xfId="0" applyFont="1" applyFill="1" applyBorder="1" applyAlignment="1" applyProtection="1">
      <alignment horizontal="center"/>
      <protection locked="0"/>
    </xf>
    <xf numFmtId="0" fontId="43" fillId="6" borderId="0" xfId="0" applyFont="1" applyFill="1" applyBorder="1" applyAlignment="1" applyProtection="1">
      <alignment horizontal="center"/>
      <protection locked="0"/>
    </xf>
    <xf numFmtId="0" fontId="43" fillId="6" borderId="180" xfId="0" applyFont="1" applyFill="1" applyBorder="1" applyAlignment="1" applyProtection="1">
      <alignment horizontal="center"/>
      <protection locked="0"/>
    </xf>
    <xf numFmtId="0" fontId="114" fillId="21" borderId="0" xfId="0" applyFont="1" applyFill="1" applyAlignment="1" applyProtection="1">
      <alignment horizontal="center" wrapText="1"/>
      <protection locked="0"/>
    </xf>
    <xf numFmtId="0" fontId="114" fillId="21" borderId="109" xfId="0" applyFont="1" applyFill="1" applyBorder="1" applyAlignment="1" applyProtection="1">
      <alignment horizontal="center" wrapText="1"/>
      <protection locked="0"/>
    </xf>
    <xf numFmtId="166" fontId="52" fillId="6" borderId="121" xfId="0" applyNumberFormat="1" applyFont="1" applyFill="1" applyBorder="1" applyAlignment="1">
      <alignment horizontal="center" vertical="center"/>
    </xf>
    <xf numFmtId="0" fontId="52" fillId="6" borderId="121" xfId="0" applyFont="1" applyFill="1" applyBorder="1" applyAlignment="1">
      <alignment horizontal="center" vertical="center"/>
    </xf>
    <xf numFmtId="9" fontId="52" fillId="6" borderId="121" xfId="22" applyFont="1" applyFill="1" applyBorder="1" applyAlignment="1">
      <alignment horizontal="center" vertical="center"/>
    </xf>
    <xf numFmtId="166" fontId="249" fillId="22" borderId="241" xfId="0" applyNumberFormat="1" applyFont="1" applyFill="1" applyBorder="1" applyAlignment="1">
      <alignment horizontal="center" vertical="center"/>
    </xf>
    <xf numFmtId="166" fontId="249" fillId="22" borderId="242" xfId="0" applyNumberFormat="1" applyFont="1" applyFill="1" applyBorder="1" applyAlignment="1">
      <alignment horizontal="center" vertical="center"/>
    </xf>
    <xf numFmtId="166" fontId="249" fillId="22" borderId="238" xfId="0" applyNumberFormat="1" applyFont="1" applyFill="1" applyBorder="1" applyAlignment="1">
      <alignment horizontal="center" vertical="center"/>
    </xf>
    <xf numFmtId="0" fontId="249" fillId="22" borderId="238" xfId="0" applyFont="1" applyFill="1" applyBorder="1" applyAlignment="1">
      <alignment horizontal="center" vertical="center"/>
    </xf>
    <xf numFmtId="9" fontId="249" fillId="22" borderId="238" xfId="22" applyFont="1" applyFill="1" applyBorder="1" applyAlignment="1">
      <alignment horizontal="center" vertical="center"/>
    </xf>
    <xf numFmtId="9" fontId="249" fillId="22" borderId="240" xfId="22" applyFont="1" applyFill="1" applyBorder="1" applyAlignment="1">
      <alignment horizontal="center" vertical="center"/>
    </xf>
    <xf numFmtId="166" fontId="52" fillId="6" borderId="127" xfId="0" applyNumberFormat="1" applyFont="1" applyFill="1" applyBorder="1" applyAlignment="1">
      <alignment horizontal="center" vertical="center"/>
    </xf>
    <xf numFmtId="0" fontId="52" fillId="6" borderId="127" xfId="0" applyFont="1" applyFill="1" applyBorder="1" applyAlignment="1">
      <alignment horizontal="center" vertical="center"/>
    </xf>
    <xf numFmtId="0" fontId="118" fillId="26" borderId="205" xfId="0" applyFont="1" applyFill="1" applyBorder="1" applyAlignment="1">
      <alignment horizontal="center" vertical="center" wrapText="1"/>
    </xf>
    <xf numFmtId="166" fontId="52" fillId="6" borderId="125" xfId="0" applyNumberFormat="1" applyFont="1" applyFill="1" applyBorder="1" applyAlignment="1">
      <alignment horizontal="center" vertical="center"/>
    </xf>
    <xf numFmtId="9" fontId="52" fillId="6" borderId="125" xfId="22" applyFont="1" applyFill="1" applyBorder="1" applyAlignment="1">
      <alignment horizontal="center" vertical="center"/>
    </xf>
    <xf numFmtId="166" fontId="210" fillId="6" borderId="0" xfId="0" applyNumberFormat="1" applyFont="1" applyFill="1" applyBorder="1" applyAlignment="1">
      <alignment horizontal="center" vertical="center"/>
    </xf>
    <xf numFmtId="0" fontId="210" fillId="6" borderId="0" xfId="0" applyFont="1" applyFill="1" applyBorder="1" applyAlignment="1">
      <alignment horizontal="center" vertical="center"/>
    </xf>
    <xf numFmtId="0" fontId="210" fillId="6" borderId="133" xfId="0" applyFont="1" applyFill="1" applyBorder="1" applyAlignment="1">
      <alignment horizontal="center" vertical="center"/>
    </xf>
    <xf numFmtId="166" fontId="210" fillId="22" borderId="241" xfId="0" applyNumberFormat="1" applyFont="1" applyFill="1" applyBorder="1" applyAlignment="1">
      <alignment horizontal="center" vertical="center"/>
    </xf>
    <xf numFmtId="0" fontId="210" fillId="22" borderId="241" xfId="0" applyFont="1" applyFill="1" applyBorder="1" applyAlignment="1">
      <alignment horizontal="center" vertical="center"/>
    </xf>
    <xf numFmtId="0" fontId="210" fillId="22" borderId="356" xfId="0" applyFont="1" applyFill="1" applyBorder="1" applyAlignment="1">
      <alignment horizontal="center" vertical="center"/>
    </xf>
    <xf numFmtId="0" fontId="52" fillId="6" borderId="128" xfId="0" applyFont="1" applyFill="1" applyBorder="1" applyAlignment="1">
      <alignment horizontal="right" vertical="center"/>
    </xf>
    <xf numFmtId="0" fontId="52" fillId="6" borderId="0" xfId="0" applyFont="1" applyFill="1" applyBorder="1" applyAlignment="1">
      <alignment horizontal="right" vertical="center"/>
    </xf>
    <xf numFmtId="0" fontId="52" fillId="6" borderId="234" xfId="0" applyFont="1" applyFill="1" applyBorder="1" applyAlignment="1">
      <alignment horizontal="right" vertical="center"/>
    </xf>
    <xf numFmtId="0" fontId="52" fillId="6" borderId="235" xfId="0" applyFont="1" applyFill="1" applyBorder="1" applyAlignment="1">
      <alignment horizontal="right" vertical="center"/>
    </xf>
    <xf numFmtId="166" fontId="52" fillId="6" borderId="0" xfId="0" applyNumberFormat="1" applyFont="1" applyFill="1" applyBorder="1" applyAlignment="1">
      <alignment horizontal="center" vertical="center"/>
    </xf>
    <xf numFmtId="0" fontId="52" fillId="6" borderId="0" xfId="0" applyFont="1" applyFill="1" applyBorder="1" applyAlignment="1">
      <alignment horizontal="center" vertical="center"/>
    </xf>
    <xf numFmtId="0" fontId="52" fillId="6" borderId="133" xfId="0" applyFont="1" applyFill="1" applyBorder="1" applyAlignment="1">
      <alignment horizontal="center" vertical="center"/>
    </xf>
    <xf numFmtId="166" fontId="52" fillId="6" borderId="235" xfId="0" applyNumberFormat="1" applyFont="1" applyFill="1" applyBorder="1" applyAlignment="1">
      <alignment horizontal="center" vertical="center"/>
    </xf>
    <xf numFmtId="0" fontId="52" fillId="6" borderId="235" xfId="0" applyFont="1" applyFill="1" applyBorder="1" applyAlignment="1">
      <alignment horizontal="center" vertical="center"/>
    </xf>
    <xf numFmtId="0" fontId="52" fillId="6" borderId="236" xfId="0" applyFont="1" applyFill="1" applyBorder="1" applyAlignment="1">
      <alignment horizontal="center" vertical="center"/>
    </xf>
    <xf numFmtId="9" fontId="52" fillId="6" borderId="127" xfId="22" applyFont="1" applyFill="1" applyBorder="1" applyAlignment="1">
      <alignment horizontal="center" vertical="center"/>
    </xf>
    <xf numFmtId="9" fontId="249" fillId="22" borderId="310" xfId="22" applyFont="1" applyFill="1" applyBorder="1" applyAlignment="1">
      <alignment horizontal="center" vertical="center"/>
    </xf>
    <xf numFmtId="0" fontId="52" fillId="6" borderId="125" xfId="0" applyFont="1" applyFill="1" applyBorder="1" applyAlignment="1">
      <alignment horizontal="center" vertical="center"/>
    </xf>
    <xf numFmtId="0" fontId="170" fillId="21" borderId="0" xfId="0" applyFont="1" applyFill="1" applyBorder="1" applyAlignment="1">
      <alignment horizontal="center" vertical="center"/>
    </xf>
    <xf numFmtId="166" fontId="210" fillId="14" borderId="205" xfId="3" applyNumberFormat="1" applyFont="1" applyFill="1" applyBorder="1" applyAlignment="1" applyProtection="1">
      <alignment horizontal="center" vertical="center"/>
      <protection locked="0"/>
    </xf>
    <xf numFmtId="0" fontId="118" fillId="26" borderId="205" xfId="0" applyFont="1" applyFill="1" applyBorder="1" applyAlignment="1">
      <alignment horizontal="center" vertical="center"/>
    </xf>
    <xf numFmtId="0" fontId="96" fillId="21" borderId="0" xfId="0" applyFont="1" applyFill="1" applyBorder="1" applyAlignment="1">
      <alignment horizontal="center" vertical="center"/>
    </xf>
    <xf numFmtId="176" fontId="249" fillId="22" borderId="237" xfId="0" applyNumberFormat="1" applyFont="1" applyFill="1" applyBorder="1" applyAlignment="1">
      <alignment horizontal="center" vertical="center"/>
    </xf>
    <xf numFmtId="176" fontId="249" fillId="22" borderId="238" xfId="0" applyNumberFormat="1" applyFont="1" applyFill="1" applyBorder="1" applyAlignment="1">
      <alignment horizontal="center" vertical="center"/>
    </xf>
    <xf numFmtId="176" fontId="52" fillId="6" borderId="127" xfId="0" applyNumberFormat="1" applyFont="1" applyFill="1" applyBorder="1" applyAlignment="1">
      <alignment horizontal="center" vertical="center"/>
    </xf>
    <xf numFmtId="176" fontId="52" fillId="6" borderId="121" xfId="0" applyNumberFormat="1" applyFont="1" applyFill="1" applyBorder="1" applyAlignment="1">
      <alignment horizontal="center" vertical="center"/>
    </xf>
    <xf numFmtId="0" fontId="269" fillId="21" borderId="0" xfId="0" applyFont="1" applyFill="1" applyAlignment="1">
      <alignment horizontal="center" vertical="center"/>
    </xf>
    <xf numFmtId="0" fontId="269" fillId="21" borderId="225" xfId="0" applyFont="1" applyFill="1" applyBorder="1" applyAlignment="1">
      <alignment horizontal="center" vertical="center"/>
    </xf>
    <xf numFmtId="166" fontId="249" fillId="22" borderId="240" xfId="0" applyNumberFormat="1" applyFont="1" applyFill="1" applyBorder="1" applyAlignment="1">
      <alignment horizontal="center" vertical="center"/>
    </xf>
    <xf numFmtId="166" fontId="52" fillId="6" borderId="122" xfId="0" applyNumberFormat="1" applyFont="1" applyFill="1" applyBorder="1" applyAlignment="1">
      <alignment horizontal="center" vertical="center"/>
    </xf>
    <xf numFmtId="166" fontId="52" fillId="6" borderId="123" xfId="0" applyNumberFormat="1" applyFont="1" applyFill="1" applyBorder="1" applyAlignment="1">
      <alignment horizontal="center" vertical="center"/>
    </xf>
    <xf numFmtId="166" fontId="52" fillId="6" borderId="124" xfId="0" applyNumberFormat="1" applyFont="1" applyFill="1" applyBorder="1" applyAlignment="1">
      <alignment horizontal="center" vertical="center"/>
    </xf>
    <xf numFmtId="166" fontId="52" fillId="6" borderId="263" xfId="0" applyNumberFormat="1" applyFont="1" applyFill="1" applyBorder="1" applyAlignment="1">
      <alignment horizontal="center" vertical="center"/>
    </xf>
    <xf numFmtId="166" fontId="52" fillId="6" borderId="264" xfId="0" applyNumberFormat="1" applyFont="1" applyFill="1" applyBorder="1" applyAlignment="1">
      <alignment horizontal="center" vertical="center"/>
    </xf>
    <xf numFmtId="166" fontId="52" fillId="6" borderId="265" xfId="0" applyNumberFormat="1" applyFont="1" applyFill="1" applyBorder="1" applyAlignment="1">
      <alignment horizontal="center" vertical="center"/>
    </xf>
    <xf numFmtId="0" fontId="210" fillId="22" borderId="355" xfId="0" applyFont="1" applyFill="1" applyBorder="1" applyAlignment="1">
      <alignment horizontal="right" vertical="center"/>
    </xf>
    <xf numFmtId="0" fontId="210" fillId="22" borderId="241" xfId="0" applyFont="1" applyFill="1" applyBorder="1" applyAlignment="1">
      <alignment horizontal="right" vertical="center"/>
    </xf>
    <xf numFmtId="0" fontId="210" fillId="6" borderId="128" xfId="0" applyFont="1" applyFill="1" applyBorder="1" applyAlignment="1">
      <alignment horizontal="right" vertical="center"/>
    </xf>
    <xf numFmtId="0" fontId="210" fillId="6" borderId="0" xfId="0" applyFont="1" applyFill="1" applyBorder="1" applyAlignment="1">
      <alignment horizontal="right" vertical="center"/>
    </xf>
    <xf numFmtId="0" fontId="151" fillId="21" borderId="0" xfId="0" applyFont="1" applyFill="1" applyAlignment="1">
      <alignment horizontal="center" vertical="center"/>
    </xf>
    <xf numFmtId="0" fontId="60" fillId="26" borderId="226" xfId="0" applyFont="1" applyFill="1" applyBorder="1" applyAlignment="1">
      <alignment horizontal="center" vertical="center"/>
    </xf>
    <xf numFmtId="0" fontId="60" fillId="26" borderId="227" xfId="0" applyFont="1" applyFill="1" applyBorder="1" applyAlignment="1">
      <alignment horizontal="center" vertical="center"/>
    </xf>
    <xf numFmtId="0" fontId="60" fillId="26" borderId="228" xfId="0" applyFont="1" applyFill="1" applyBorder="1" applyAlignment="1">
      <alignment horizontal="center" vertical="center"/>
    </xf>
    <xf numFmtId="0" fontId="260" fillId="6" borderId="128" xfId="0" applyFont="1" applyFill="1" applyBorder="1" applyAlignment="1">
      <alignment horizontal="right" vertical="center"/>
    </xf>
    <xf numFmtId="0" fontId="260" fillId="6" borderId="0" xfId="0" applyFont="1" applyFill="1" applyBorder="1" applyAlignment="1">
      <alignment horizontal="right" vertical="center"/>
    </xf>
    <xf numFmtId="9" fontId="210" fillId="6" borderId="0" xfId="22" applyFont="1" applyFill="1" applyBorder="1" applyAlignment="1">
      <alignment horizontal="center" vertical="center"/>
    </xf>
    <xf numFmtId="9" fontId="210" fillId="6" borderId="133" xfId="22" applyFont="1" applyFill="1" applyBorder="1" applyAlignment="1">
      <alignment horizontal="center" vertical="center"/>
    </xf>
    <xf numFmtId="166" fontId="52" fillId="6" borderId="266" xfId="0" applyNumberFormat="1" applyFont="1" applyFill="1" applyBorder="1" applyAlignment="1">
      <alignment horizontal="center" vertical="center"/>
    </xf>
    <xf numFmtId="166" fontId="52" fillId="6" borderId="267" xfId="0" applyNumberFormat="1" applyFont="1" applyFill="1" applyBorder="1" applyAlignment="1">
      <alignment horizontal="center" vertical="center"/>
    </xf>
    <xf numFmtId="166" fontId="52" fillId="6" borderId="268" xfId="0" applyNumberFormat="1" applyFont="1" applyFill="1" applyBorder="1" applyAlignment="1">
      <alignment horizontal="center" vertical="center"/>
    </xf>
    <xf numFmtId="0" fontId="52" fillId="6" borderId="220" xfId="0" applyFont="1" applyFill="1" applyBorder="1" applyAlignment="1">
      <alignment horizontal="right" vertical="center"/>
    </xf>
    <xf numFmtId="176" fontId="210" fillId="14" borderId="205" xfId="0" applyNumberFormat="1" applyFont="1" applyFill="1" applyBorder="1" applyAlignment="1" applyProtection="1">
      <alignment horizontal="center" vertical="center"/>
      <protection locked="0"/>
    </xf>
    <xf numFmtId="176" fontId="52" fillId="6" borderId="125" xfId="0" applyNumberFormat="1" applyFont="1" applyFill="1" applyBorder="1" applyAlignment="1">
      <alignment horizontal="center" vertical="center"/>
    </xf>
    <xf numFmtId="0" fontId="96" fillId="6" borderId="217" xfId="0" applyFont="1" applyFill="1" applyBorder="1" applyAlignment="1">
      <alignment horizontal="center" vertical="center" wrapText="1"/>
    </xf>
    <xf numFmtId="0" fontId="96" fillId="6" borderId="218" xfId="0" applyFont="1" applyFill="1" applyBorder="1" applyAlignment="1">
      <alignment horizontal="center" vertical="center" wrapText="1"/>
    </xf>
    <xf numFmtId="0" fontId="96" fillId="6" borderId="219" xfId="0" applyFont="1" applyFill="1" applyBorder="1" applyAlignment="1">
      <alignment horizontal="center" vertical="center" wrapText="1"/>
    </xf>
    <xf numFmtId="0" fontId="96" fillId="6" borderId="220" xfId="0" applyFont="1" applyFill="1" applyBorder="1" applyAlignment="1">
      <alignment horizontal="center" vertical="center" wrapText="1"/>
    </xf>
    <xf numFmtId="0" fontId="96" fillId="6" borderId="0" xfId="0" applyFont="1" applyFill="1" applyBorder="1" applyAlignment="1">
      <alignment horizontal="center" vertical="center" wrapText="1"/>
    </xf>
    <xf numFmtId="0" fontId="96" fillId="6" borderId="221" xfId="0" applyFont="1" applyFill="1" applyBorder="1" applyAlignment="1">
      <alignment horizontal="center" vertical="center" wrapText="1"/>
    </xf>
    <xf numFmtId="0" fontId="96" fillId="6" borderId="222" xfId="0" applyFont="1" applyFill="1" applyBorder="1" applyAlignment="1">
      <alignment horizontal="center" vertical="center" wrapText="1"/>
    </xf>
    <xf numFmtId="0" fontId="96" fillId="6" borderId="225" xfId="0" applyFont="1" applyFill="1" applyBorder="1" applyAlignment="1">
      <alignment horizontal="center" vertical="center" wrapText="1"/>
    </xf>
    <xf numFmtId="0" fontId="96" fillId="6" borderId="216" xfId="0" applyFont="1" applyFill="1" applyBorder="1" applyAlignment="1">
      <alignment horizontal="center" vertical="center" wrapText="1"/>
    </xf>
    <xf numFmtId="0" fontId="55" fillId="22" borderId="178" xfId="0" applyFont="1" applyFill="1" applyBorder="1" applyAlignment="1">
      <alignment horizontal="left" vertical="center" wrapText="1" indent="1"/>
    </xf>
    <xf numFmtId="0" fontId="55" fillId="22" borderId="179" xfId="0" applyFont="1" applyFill="1" applyBorder="1" applyAlignment="1">
      <alignment horizontal="left" vertical="center" wrapText="1" indent="1"/>
    </xf>
    <xf numFmtId="0" fontId="55" fillId="22" borderId="180" xfId="0" applyFont="1" applyFill="1" applyBorder="1" applyAlignment="1">
      <alignment horizontal="left" vertical="center" wrapText="1" indent="1"/>
    </xf>
    <xf numFmtId="0" fontId="55" fillId="22" borderId="181" xfId="0" applyFont="1" applyFill="1" applyBorder="1" applyAlignment="1">
      <alignment horizontal="left" vertical="center" wrapText="1" indent="1"/>
    </xf>
    <xf numFmtId="0" fontId="55" fillId="22" borderId="0" xfId="0" applyFont="1" applyFill="1" applyBorder="1" applyAlignment="1">
      <alignment horizontal="left" vertical="center" wrapText="1" indent="1"/>
    </xf>
    <xf numFmtId="0" fontId="55" fillId="22" borderId="182" xfId="0" applyFont="1" applyFill="1" applyBorder="1" applyAlignment="1">
      <alignment horizontal="left" vertical="center" wrapText="1" indent="1"/>
    </xf>
    <xf numFmtId="0" fontId="55" fillId="22" borderId="183" xfId="0" applyFont="1" applyFill="1" applyBorder="1" applyAlignment="1">
      <alignment horizontal="left" vertical="center" wrapText="1" indent="1"/>
    </xf>
    <xf numFmtId="0" fontId="55" fillId="22" borderId="184" xfId="0" applyFont="1" applyFill="1" applyBorder="1" applyAlignment="1">
      <alignment horizontal="left" vertical="center" wrapText="1" indent="1"/>
    </xf>
    <xf numFmtId="0" fontId="55" fillId="22" borderId="185" xfId="0" applyFont="1" applyFill="1" applyBorder="1" applyAlignment="1">
      <alignment horizontal="left" vertical="center" wrapText="1" indent="1"/>
    </xf>
    <xf numFmtId="166" fontId="271" fillId="14" borderId="226" xfId="0" applyNumberFormat="1" applyFont="1" applyFill="1" applyBorder="1" applyAlignment="1" applyProtection="1">
      <alignment horizontal="center" vertical="center"/>
      <protection locked="0"/>
    </xf>
    <xf numFmtId="166" fontId="271" fillId="14" borderId="227" xfId="0" applyNumberFormat="1" applyFont="1" applyFill="1" applyBorder="1" applyAlignment="1" applyProtection="1">
      <alignment horizontal="center" vertical="center"/>
      <protection locked="0"/>
    </xf>
    <xf numFmtId="166" fontId="271" fillId="14" borderId="228" xfId="0" applyNumberFormat="1" applyFont="1" applyFill="1" applyBorder="1" applyAlignment="1" applyProtection="1">
      <alignment horizontal="center" vertical="center"/>
      <protection locked="0"/>
    </xf>
    <xf numFmtId="177" fontId="271" fillId="14" borderId="226" xfId="0" applyNumberFormat="1" applyFont="1" applyFill="1" applyBorder="1" applyAlignment="1" applyProtection="1">
      <alignment horizontal="center" vertical="center"/>
      <protection locked="0"/>
    </xf>
    <xf numFmtId="177" fontId="271" fillId="14" borderId="227" xfId="0" applyNumberFormat="1" applyFont="1" applyFill="1" applyBorder="1" applyAlignment="1" applyProtection="1">
      <alignment horizontal="center" vertical="center"/>
      <protection locked="0"/>
    </xf>
    <xf numFmtId="177" fontId="271" fillId="14" borderId="228" xfId="0" applyNumberFormat="1" applyFont="1" applyFill="1" applyBorder="1" applyAlignment="1" applyProtection="1">
      <alignment horizontal="center" vertical="center"/>
      <protection locked="0"/>
    </xf>
    <xf numFmtId="0" fontId="52" fillId="6" borderId="0" xfId="0" applyFont="1" applyFill="1" applyBorder="1" applyAlignment="1">
      <alignment horizontal="right" vertical="center" indent="2"/>
    </xf>
    <xf numFmtId="0" fontId="122" fillId="6" borderId="0" xfId="0" applyFont="1" applyFill="1" applyBorder="1" applyAlignment="1">
      <alignment horizontal="right" vertical="center"/>
    </xf>
    <xf numFmtId="0" fontId="276" fillId="26" borderId="225" xfId="0" applyFont="1" applyFill="1" applyBorder="1" applyAlignment="1">
      <alignment horizontal="center" vertical="center"/>
    </xf>
    <xf numFmtId="0" fontId="273" fillId="6" borderId="0" xfId="0" applyFont="1" applyFill="1" applyBorder="1" applyAlignment="1">
      <alignment horizontal="center" vertical="center"/>
    </xf>
    <xf numFmtId="0" fontId="122" fillId="6" borderId="0" xfId="0" applyFont="1" applyFill="1" applyBorder="1" applyAlignment="1">
      <alignment horizontal="right" vertical="center" indent="1"/>
    </xf>
    <xf numFmtId="166" fontId="275" fillId="6" borderId="121" xfId="0" applyNumberFormat="1" applyFont="1" applyFill="1" applyBorder="1" applyAlignment="1">
      <alignment horizontal="center" vertical="center"/>
    </xf>
    <xf numFmtId="166" fontId="274" fillId="6" borderId="232" xfId="0" applyNumberFormat="1" applyFont="1" applyFill="1" applyBorder="1" applyAlignment="1">
      <alignment horizontal="center" vertical="center"/>
    </xf>
    <xf numFmtId="166" fontId="275" fillId="6" borderId="127" xfId="0" applyNumberFormat="1" applyFont="1" applyFill="1" applyBorder="1" applyAlignment="1">
      <alignment horizontal="center" vertical="center"/>
    </xf>
    <xf numFmtId="166" fontId="274" fillId="6" borderId="121" xfId="0" applyNumberFormat="1" applyFont="1" applyFill="1" applyBorder="1" applyAlignment="1">
      <alignment horizontal="center" vertical="center"/>
    </xf>
    <xf numFmtId="0" fontId="274" fillId="6" borderId="109" xfId="0" applyFont="1" applyFill="1" applyBorder="1" applyAlignment="1">
      <alignment horizontal="center" vertical="center"/>
    </xf>
    <xf numFmtId="0" fontId="52" fillId="6" borderId="0" xfId="0" applyFont="1" applyFill="1" applyBorder="1" applyAlignment="1">
      <alignment horizontal="right" vertical="center" indent="1"/>
    </xf>
    <xf numFmtId="9" fontId="274" fillId="6" borderId="121" xfId="22" applyFont="1" applyFill="1" applyBorder="1" applyAlignment="1">
      <alignment horizontal="center" vertical="center"/>
    </xf>
    <xf numFmtId="166" fontId="274" fillId="6" borderId="127" xfId="0" applyNumberFormat="1" applyFont="1" applyFill="1" applyBorder="1" applyAlignment="1">
      <alignment horizontal="center" vertical="center"/>
    </xf>
    <xf numFmtId="166" fontId="275" fillId="22" borderId="237" xfId="0" applyNumberFormat="1" applyFont="1" applyFill="1" applyBorder="1" applyAlignment="1">
      <alignment horizontal="center" vertical="center"/>
    </xf>
    <xf numFmtId="166" fontId="275" fillId="22" borderId="238" xfId="0" applyNumberFormat="1" applyFont="1" applyFill="1" applyBorder="1" applyAlignment="1">
      <alignment horizontal="center" vertical="center"/>
    </xf>
    <xf numFmtId="166" fontId="277" fillId="22" borderId="238" xfId="0" applyNumberFormat="1" applyFont="1" applyFill="1" applyBorder="1" applyAlignment="1">
      <alignment horizontal="center" vertical="center"/>
    </xf>
    <xf numFmtId="166" fontId="277" fillId="22" borderId="310" xfId="0" applyNumberFormat="1" applyFont="1" applyFill="1" applyBorder="1" applyAlignment="1">
      <alignment horizontal="center" vertical="center"/>
    </xf>
    <xf numFmtId="0" fontId="216" fillId="26" borderId="205" xfId="0" applyFont="1" applyFill="1" applyBorder="1" applyAlignment="1">
      <alignment horizontal="center" vertical="center"/>
    </xf>
    <xf numFmtId="166" fontId="275" fillId="6" borderId="122" xfId="0" applyNumberFormat="1" applyFont="1" applyFill="1" applyBorder="1" applyAlignment="1">
      <alignment horizontal="center" vertical="center"/>
    </xf>
    <xf numFmtId="166" fontId="274" fillId="14" borderId="357" xfId="0" applyNumberFormat="1" applyFont="1" applyFill="1" applyBorder="1" applyAlignment="1" applyProtection="1">
      <alignment horizontal="center" vertical="center"/>
      <protection locked="0"/>
    </xf>
    <xf numFmtId="166" fontId="274" fillId="14" borderId="358" xfId="0" applyNumberFormat="1" applyFont="1" applyFill="1" applyBorder="1" applyAlignment="1" applyProtection="1">
      <alignment horizontal="center" vertical="center"/>
      <protection locked="0"/>
    </xf>
    <xf numFmtId="166" fontId="274" fillId="14" borderId="359" xfId="0" applyNumberFormat="1" applyFont="1" applyFill="1" applyBorder="1" applyAlignment="1" applyProtection="1">
      <alignment horizontal="center" vertical="center"/>
      <protection locked="0"/>
    </xf>
    <xf numFmtId="0" fontId="273" fillId="6" borderId="109" xfId="0" applyFont="1" applyFill="1" applyBorder="1" applyAlignment="1">
      <alignment horizontal="center" vertical="center"/>
    </xf>
    <xf numFmtId="0" fontId="216" fillId="26" borderId="217" xfId="0" applyFont="1" applyFill="1" applyBorder="1" applyAlignment="1">
      <alignment horizontal="center" vertical="center"/>
    </xf>
    <xf numFmtId="0" fontId="216" fillId="26" borderId="218" xfId="0" applyFont="1" applyFill="1" applyBorder="1" applyAlignment="1">
      <alignment horizontal="center" vertical="center"/>
    </xf>
    <xf numFmtId="0" fontId="216" fillId="26" borderId="219" xfId="0" applyFont="1" applyFill="1" applyBorder="1" applyAlignment="1">
      <alignment horizontal="center" vertical="center"/>
    </xf>
    <xf numFmtId="0" fontId="216" fillId="26" borderId="222" xfId="0" applyFont="1" applyFill="1" applyBorder="1" applyAlignment="1">
      <alignment horizontal="center" vertical="center"/>
    </xf>
    <xf numFmtId="0" fontId="216" fillId="26" borderId="225" xfId="0" applyFont="1" applyFill="1" applyBorder="1" applyAlignment="1">
      <alignment horizontal="center" vertical="center"/>
    </xf>
    <xf numFmtId="0" fontId="216" fillId="26" borderId="216" xfId="0" applyFont="1" applyFill="1" applyBorder="1" applyAlignment="1">
      <alignment horizontal="center" vertical="center"/>
    </xf>
    <xf numFmtId="166" fontId="249" fillId="6" borderId="206" xfId="3" applyNumberFormat="1" applyFont="1" applyFill="1" applyBorder="1" applyAlignment="1">
      <alignment horizontal="center" vertical="center"/>
    </xf>
    <xf numFmtId="166" fontId="249" fillId="6" borderId="127" xfId="3" applyNumberFormat="1" applyFont="1" applyFill="1" applyBorder="1" applyAlignment="1">
      <alignment horizontal="center" vertical="center"/>
    </xf>
    <xf numFmtId="166" fontId="249" fillId="6" borderId="130" xfId="3" applyNumberFormat="1" applyFont="1" applyFill="1" applyBorder="1" applyAlignment="1">
      <alignment horizontal="center" vertical="center"/>
    </xf>
    <xf numFmtId="0" fontId="52" fillId="6" borderId="132" xfId="0" applyFont="1" applyFill="1" applyBorder="1" applyAlignment="1">
      <alignment horizontal="center" vertical="center"/>
    </xf>
    <xf numFmtId="0" fontId="52" fillId="6" borderId="126" xfId="0" applyFont="1" applyFill="1" applyBorder="1" applyAlignment="1">
      <alignment horizontal="center" vertical="center"/>
    </xf>
    <xf numFmtId="168" fontId="249" fillId="6" borderId="400" xfId="3" applyNumberFormat="1" applyFont="1" applyFill="1" applyBorder="1" applyAlignment="1">
      <alignment horizontal="center" vertical="center"/>
    </xf>
    <xf numFmtId="166" fontId="249" fillId="6" borderId="125" xfId="3" applyNumberFormat="1" applyFont="1" applyFill="1" applyBorder="1" applyAlignment="1">
      <alignment horizontal="center" vertical="center"/>
    </xf>
    <xf numFmtId="166" fontId="249" fillId="6" borderId="399" xfId="3" applyNumberFormat="1" applyFont="1" applyFill="1" applyBorder="1" applyAlignment="1">
      <alignment horizontal="center" vertical="center"/>
    </xf>
    <xf numFmtId="166" fontId="249" fillId="6" borderId="126" xfId="3" applyNumberFormat="1" applyFont="1" applyFill="1" applyBorder="1" applyAlignment="1">
      <alignment horizontal="center" vertical="center"/>
    </xf>
    <xf numFmtId="0" fontId="270" fillId="14" borderId="303" xfId="0" applyNumberFormat="1" applyFont="1" applyFill="1" applyBorder="1" applyAlignment="1" applyProtection="1">
      <alignment horizontal="center" vertical="center"/>
      <protection locked="0"/>
    </xf>
    <xf numFmtId="0" fontId="270" fillId="14" borderId="123" xfId="0" applyNumberFormat="1" applyFont="1" applyFill="1" applyBorder="1" applyAlignment="1" applyProtection="1">
      <alignment horizontal="center" vertical="center"/>
      <protection locked="0"/>
    </xf>
    <xf numFmtId="0" fontId="270" fillId="14" borderId="124" xfId="0" applyNumberFormat="1" applyFont="1" applyFill="1" applyBorder="1" applyAlignment="1" applyProtection="1">
      <alignment horizontal="center" vertical="center"/>
      <protection locked="0"/>
    </xf>
    <xf numFmtId="166" fontId="249" fillId="14" borderId="122" xfId="0" applyNumberFormat="1" applyFont="1" applyFill="1" applyBorder="1" applyAlignment="1" applyProtection="1">
      <alignment horizontal="center" vertical="center"/>
      <protection locked="0"/>
    </xf>
    <xf numFmtId="166" fontId="249" fillId="14" borderId="123" xfId="0" applyNumberFormat="1" applyFont="1" applyFill="1" applyBorder="1" applyAlignment="1" applyProtection="1">
      <alignment horizontal="center" vertical="center"/>
      <protection locked="0"/>
    </xf>
    <xf numFmtId="166" fontId="249" fillId="14" borderId="302" xfId="0" applyNumberFormat="1" applyFont="1" applyFill="1" applyBorder="1" applyAlignment="1" applyProtection="1">
      <alignment horizontal="center" vertical="center"/>
      <protection locked="0"/>
    </xf>
    <xf numFmtId="0" fontId="249" fillId="14" borderId="303" xfId="0" applyNumberFormat="1" applyFont="1" applyFill="1" applyBorder="1" applyAlignment="1" applyProtection="1">
      <alignment horizontal="center" vertical="center"/>
      <protection locked="0"/>
    </xf>
    <xf numFmtId="0" fontId="249" fillId="14" borderId="123" xfId="0" applyNumberFormat="1" applyFont="1" applyFill="1" applyBorder="1" applyAlignment="1" applyProtection="1">
      <alignment horizontal="center" vertical="center"/>
      <protection locked="0"/>
    </xf>
    <xf numFmtId="0" fontId="249" fillId="14" borderId="124" xfId="0" applyNumberFormat="1" applyFont="1" applyFill="1" applyBorder="1" applyAlignment="1" applyProtection="1">
      <alignment horizontal="center" vertical="center"/>
      <protection locked="0"/>
    </xf>
    <xf numFmtId="180" fontId="270" fillId="14" borderId="208" xfId="0" applyNumberFormat="1" applyFont="1" applyFill="1" applyBorder="1" applyAlignment="1" applyProtection="1">
      <alignment horizontal="center" vertical="center"/>
      <protection locked="0"/>
    </xf>
    <xf numFmtId="180" fontId="270" fillId="14" borderId="121" xfId="0" applyNumberFormat="1" applyFont="1" applyFill="1" applyBorder="1" applyAlignment="1" applyProtection="1">
      <alignment horizontal="center" vertical="center"/>
      <protection locked="0"/>
    </xf>
    <xf numFmtId="1" fontId="270" fillId="14" borderId="208" xfId="0" applyNumberFormat="1" applyFont="1" applyFill="1" applyBorder="1" applyAlignment="1" applyProtection="1">
      <alignment horizontal="center" vertical="center"/>
      <protection locked="0"/>
    </xf>
    <xf numFmtId="1" fontId="270" fillId="14" borderId="121" xfId="0" applyNumberFormat="1" applyFont="1" applyFill="1" applyBorder="1" applyAlignment="1" applyProtection="1">
      <alignment horizontal="center" vertical="center"/>
      <protection locked="0"/>
    </xf>
    <xf numFmtId="183" fontId="270" fillId="14" borderId="208" xfId="0" applyNumberFormat="1" applyFont="1" applyFill="1" applyBorder="1" applyAlignment="1" applyProtection="1">
      <alignment horizontal="center" vertical="center"/>
      <protection locked="0"/>
    </xf>
    <xf numFmtId="183" fontId="270" fillId="14" borderId="121" xfId="0" applyNumberFormat="1" applyFont="1" applyFill="1" applyBorder="1" applyAlignment="1" applyProtection="1">
      <alignment horizontal="center" vertical="center"/>
      <protection locked="0"/>
    </xf>
    <xf numFmtId="179" fontId="270" fillId="14" borderId="208" xfId="0" applyNumberFormat="1" applyFont="1" applyFill="1" applyBorder="1" applyAlignment="1" applyProtection="1">
      <alignment horizontal="center" vertical="center"/>
      <protection locked="0"/>
    </xf>
    <xf numFmtId="179" fontId="270" fillId="14" borderId="121" xfId="0" applyNumberFormat="1" applyFont="1" applyFill="1" applyBorder="1" applyAlignment="1" applyProtection="1">
      <alignment horizontal="center" vertical="center"/>
      <protection locked="0"/>
    </xf>
    <xf numFmtId="178" fontId="270" fillId="14" borderId="208" xfId="0" applyNumberFormat="1" applyFont="1" applyFill="1" applyBorder="1" applyAlignment="1" applyProtection="1">
      <alignment horizontal="center" vertical="center"/>
      <protection locked="0"/>
    </xf>
    <xf numFmtId="178" fontId="270" fillId="14" borderId="121" xfId="0" applyNumberFormat="1" applyFont="1" applyFill="1" applyBorder="1" applyAlignment="1" applyProtection="1">
      <alignment horizontal="center" vertical="center"/>
      <protection locked="0"/>
    </xf>
    <xf numFmtId="183" fontId="270" fillId="14" borderId="303" xfId="0" applyNumberFormat="1" applyFont="1" applyFill="1" applyBorder="1" applyAlignment="1" applyProtection="1">
      <alignment horizontal="center" vertical="center"/>
      <protection locked="0"/>
    </xf>
    <xf numFmtId="183" fontId="270" fillId="14" borderId="123" xfId="0" applyNumberFormat="1" applyFont="1" applyFill="1" applyBorder="1" applyAlignment="1" applyProtection="1">
      <alignment horizontal="center" vertical="center"/>
      <protection locked="0"/>
    </xf>
    <xf numFmtId="183" fontId="270" fillId="14" borderId="124" xfId="0" applyNumberFormat="1" applyFont="1" applyFill="1" applyBorder="1" applyAlignment="1" applyProtection="1">
      <alignment horizontal="center" vertical="center"/>
      <protection locked="0"/>
    </xf>
    <xf numFmtId="179" fontId="270" fillId="14" borderId="303" xfId="0" applyNumberFormat="1" applyFont="1" applyFill="1" applyBorder="1" applyAlignment="1" applyProtection="1">
      <alignment horizontal="center" vertical="center"/>
      <protection locked="0"/>
    </xf>
    <xf numFmtId="179" fontId="270" fillId="14" borderId="123" xfId="0" applyNumberFormat="1" applyFont="1" applyFill="1" applyBorder="1" applyAlignment="1" applyProtection="1">
      <alignment horizontal="center" vertical="center"/>
      <protection locked="0"/>
    </xf>
    <xf numFmtId="179" fontId="270" fillId="14" borderId="124" xfId="0" applyNumberFormat="1" applyFont="1" applyFill="1" applyBorder="1" applyAlignment="1" applyProtection="1">
      <alignment horizontal="center" vertical="center"/>
      <protection locked="0"/>
    </xf>
    <xf numFmtId="180" fontId="270" fillId="14" borderId="303" xfId="0" applyNumberFormat="1" applyFont="1" applyFill="1" applyBorder="1" applyAlignment="1" applyProtection="1">
      <alignment horizontal="center" vertical="center"/>
      <protection locked="0"/>
    </xf>
    <xf numFmtId="180" fontId="270" fillId="14" borderId="123" xfId="0" applyNumberFormat="1" applyFont="1" applyFill="1" applyBorder="1" applyAlignment="1" applyProtection="1">
      <alignment horizontal="center" vertical="center"/>
      <protection locked="0"/>
    </xf>
    <xf numFmtId="180" fontId="270" fillId="14" borderId="124" xfId="0" applyNumberFormat="1" applyFont="1" applyFill="1" applyBorder="1" applyAlignment="1" applyProtection="1">
      <alignment horizontal="center" vertical="center"/>
      <protection locked="0"/>
    </xf>
    <xf numFmtId="1" fontId="270" fillId="14" borderId="303" xfId="0" applyNumberFormat="1" applyFont="1" applyFill="1" applyBorder="1" applyAlignment="1" applyProtection="1">
      <alignment horizontal="center" vertical="center"/>
      <protection locked="0"/>
    </xf>
    <xf numFmtId="1" fontId="270" fillId="14" borderId="123" xfId="0" applyNumberFormat="1" applyFont="1" applyFill="1" applyBorder="1" applyAlignment="1" applyProtection="1">
      <alignment horizontal="center" vertical="center"/>
      <protection locked="0"/>
    </xf>
    <xf numFmtId="1" fontId="270" fillId="14" borderId="124" xfId="0" applyNumberFormat="1" applyFont="1" applyFill="1" applyBorder="1" applyAlignment="1" applyProtection="1">
      <alignment horizontal="center" vertical="center"/>
      <protection locked="0"/>
    </xf>
    <xf numFmtId="166" fontId="249" fillId="14" borderId="121" xfId="0" applyNumberFormat="1" applyFont="1" applyFill="1" applyBorder="1" applyAlignment="1" applyProtection="1">
      <alignment horizontal="center" vertical="center"/>
      <protection locked="0"/>
    </xf>
    <xf numFmtId="0" fontId="52" fillId="6" borderId="124" xfId="0" applyFont="1" applyFill="1" applyBorder="1" applyAlignment="1">
      <alignment horizontal="center" vertical="center"/>
    </xf>
    <xf numFmtId="0" fontId="52" fillId="6" borderId="122" xfId="0" applyFont="1" applyFill="1" applyBorder="1" applyAlignment="1">
      <alignment horizontal="center" vertical="center"/>
    </xf>
    <xf numFmtId="178" fontId="249" fillId="6" borderId="303" xfId="0" applyNumberFormat="1" applyFont="1" applyFill="1" applyBorder="1" applyAlignment="1" applyProtection="1">
      <alignment horizontal="center" vertical="center"/>
      <protection locked="0"/>
    </xf>
    <xf numFmtId="178" fontId="249" fillId="6" borderId="123" xfId="0" applyNumberFormat="1" applyFont="1" applyFill="1" applyBorder="1" applyAlignment="1" applyProtection="1">
      <alignment horizontal="center" vertical="center"/>
      <protection locked="0"/>
    </xf>
    <xf numFmtId="178" fontId="249" fillId="6" borderId="124" xfId="0" applyNumberFormat="1" applyFont="1" applyFill="1" applyBorder="1" applyAlignment="1" applyProtection="1">
      <alignment horizontal="center" vertical="center"/>
      <protection locked="0"/>
    </xf>
    <xf numFmtId="183" fontId="249" fillId="6" borderId="303" xfId="0" applyNumberFormat="1" applyFont="1" applyFill="1" applyBorder="1" applyAlignment="1" applyProtection="1">
      <alignment horizontal="center" vertical="center"/>
      <protection locked="0"/>
    </xf>
    <xf numFmtId="183" fontId="249" fillId="6" borderId="123" xfId="0" applyNumberFormat="1" applyFont="1" applyFill="1" applyBorder="1" applyAlignment="1" applyProtection="1">
      <alignment horizontal="center" vertical="center"/>
      <protection locked="0"/>
    </xf>
    <xf numFmtId="183" fontId="249" fillId="6" borderId="124" xfId="0" applyNumberFormat="1" applyFont="1" applyFill="1" applyBorder="1" applyAlignment="1" applyProtection="1">
      <alignment horizontal="center" vertical="center"/>
      <protection locked="0"/>
    </xf>
    <xf numFmtId="178" fontId="270" fillId="14" borderId="303" xfId="0" applyNumberFormat="1" applyFont="1" applyFill="1" applyBorder="1" applyAlignment="1" applyProtection="1">
      <alignment horizontal="center" vertical="center"/>
      <protection locked="0"/>
    </xf>
    <xf numFmtId="178" fontId="270" fillId="14" borderId="123" xfId="0" applyNumberFormat="1" applyFont="1" applyFill="1" applyBorder="1" applyAlignment="1" applyProtection="1">
      <alignment horizontal="center" vertical="center"/>
      <protection locked="0"/>
    </xf>
    <xf numFmtId="178" fontId="270" fillId="14" borderId="124" xfId="0" applyNumberFormat="1" applyFont="1" applyFill="1" applyBorder="1" applyAlignment="1" applyProtection="1">
      <alignment horizontal="center" vertical="center"/>
      <protection locked="0"/>
    </xf>
    <xf numFmtId="180" fontId="249" fillId="6" borderId="303" xfId="0" applyNumberFormat="1" applyFont="1" applyFill="1" applyBorder="1" applyAlignment="1" applyProtection="1">
      <alignment horizontal="center" vertical="center"/>
      <protection locked="0"/>
    </xf>
    <xf numFmtId="180" fontId="249" fillId="6" borderId="123" xfId="0" applyNumberFormat="1" applyFont="1" applyFill="1" applyBorder="1" applyAlignment="1" applyProtection="1">
      <alignment horizontal="center" vertical="center"/>
      <protection locked="0"/>
    </xf>
    <xf numFmtId="180" fontId="249" fillId="6" borderId="124" xfId="0" applyNumberFormat="1" applyFont="1" applyFill="1" applyBorder="1" applyAlignment="1" applyProtection="1">
      <alignment horizontal="center" vertical="center"/>
      <protection locked="0"/>
    </xf>
    <xf numFmtId="1" fontId="249" fillId="14" borderId="303" xfId="0" applyNumberFormat="1" applyFont="1" applyFill="1" applyBorder="1" applyAlignment="1" applyProtection="1">
      <alignment horizontal="center" vertical="center"/>
      <protection locked="0"/>
    </xf>
    <xf numFmtId="1" fontId="249" fillId="14" borderId="123" xfId="0" applyNumberFormat="1" applyFont="1" applyFill="1" applyBorder="1" applyAlignment="1" applyProtection="1">
      <alignment horizontal="center" vertical="center"/>
      <protection locked="0"/>
    </xf>
    <xf numFmtId="1" fontId="249" fillId="14" borderId="124" xfId="0" applyNumberFormat="1" applyFont="1" applyFill="1" applyBorder="1" applyAlignment="1" applyProtection="1">
      <alignment horizontal="center" vertical="center"/>
      <protection locked="0"/>
    </xf>
    <xf numFmtId="0" fontId="52" fillId="7" borderId="304" xfId="0" quotePrefix="1" applyFont="1" applyFill="1" applyBorder="1" applyAlignment="1">
      <alignment horizontal="center" vertical="center"/>
    </xf>
    <xf numFmtId="0" fontId="52" fillId="7" borderId="306" xfId="0" applyFont="1" applyFill="1" applyBorder="1" applyAlignment="1">
      <alignment horizontal="center" vertical="center"/>
    </xf>
    <xf numFmtId="0" fontId="52" fillId="7" borderId="307" xfId="0" applyFont="1" applyFill="1" applyBorder="1" applyAlignment="1">
      <alignment horizontal="center" vertical="center"/>
    </xf>
    <xf numFmtId="0" fontId="52" fillId="7" borderId="305" xfId="0" applyFont="1" applyFill="1" applyBorder="1" applyAlignment="1">
      <alignment horizontal="center" vertical="center"/>
    </xf>
    <xf numFmtId="0" fontId="52" fillId="7" borderId="300" xfId="0" applyFont="1" applyFill="1" applyBorder="1" applyAlignment="1">
      <alignment horizontal="center" vertical="center"/>
    </xf>
    <xf numFmtId="3" fontId="249" fillId="14" borderId="208" xfId="0" applyNumberFormat="1" applyFont="1" applyFill="1" applyBorder="1" applyAlignment="1" applyProtection="1">
      <alignment horizontal="left" vertical="top" indent="1"/>
      <protection locked="0"/>
    </xf>
    <xf numFmtId="3" fontId="249" fillId="14" borderId="121" xfId="0" applyNumberFormat="1" applyFont="1" applyFill="1" applyBorder="1" applyAlignment="1" applyProtection="1">
      <alignment horizontal="left" vertical="top" indent="1"/>
      <protection locked="0"/>
    </xf>
    <xf numFmtId="3" fontId="249" fillId="14" borderId="209" xfId="0" applyNumberFormat="1" applyFont="1" applyFill="1" applyBorder="1" applyAlignment="1" applyProtection="1">
      <alignment horizontal="left" vertical="top" indent="1"/>
      <protection locked="0"/>
    </xf>
    <xf numFmtId="3" fontId="249" fillId="14" borderId="308" xfId="0" applyNumberFormat="1" applyFont="1" applyFill="1" applyBorder="1" applyAlignment="1" applyProtection="1">
      <alignment horizontal="left" vertical="top" indent="1"/>
      <protection locked="0"/>
    </xf>
    <xf numFmtId="3" fontId="249" fillId="14" borderId="233" xfId="0" applyNumberFormat="1" applyFont="1" applyFill="1" applyBorder="1" applyAlignment="1" applyProtection="1">
      <alignment horizontal="left" vertical="top" indent="1"/>
      <protection locked="0"/>
    </xf>
    <xf numFmtId="3" fontId="249" fillId="14" borderId="309" xfId="0" applyNumberFormat="1" applyFont="1" applyFill="1" applyBorder="1" applyAlignment="1" applyProtection="1">
      <alignment horizontal="left" vertical="top" indent="1"/>
      <protection locked="0"/>
    </xf>
    <xf numFmtId="0" fontId="52" fillId="6" borderId="251" xfId="0" applyFont="1" applyFill="1" applyBorder="1" applyAlignment="1">
      <alignment horizontal="center" vertical="center"/>
    </xf>
    <xf numFmtId="0" fontId="52" fillId="6" borderId="233" xfId="0" applyFont="1" applyFill="1" applyBorder="1" applyAlignment="1">
      <alignment horizontal="center" vertical="center"/>
    </xf>
    <xf numFmtId="0" fontId="52" fillId="6" borderId="250" xfId="0" applyFont="1" applyFill="1" applyBorder="1" applyAlignment="1">
      <alignment horizontal="center" vertical="center"/>
    </xf>
    <xf numFmtId="3" fontId="270" fillId="14" borderId="208" xfId="0" applyNumberFormat="1" applyFont="1" applyFill="1" applyBorder="1" applyAlignment="1" applyProtection="1">
      <alignment horizontal="left" vertical="top" indent="1"/>
      <protection locked="0"/>
    </xf>
    <xf numFmtId="3" fontId="270" fillId="14" borderId="121" xfId="0" applyNumberFormat="1" applyFont="1" applyFill="1" applyBorder="1" applyAlignment="1" applyProtection="1">
      <alignment horizontal="left" vertical="top" indent="1"/>
      <protection locked="0"/>
    </xf>
    <xf numFmtId="3" fontId="270" fillId="14" borderId="209" xfId="0" applyNumberFormat="1" applyFont="1" applyFill="1" applyBorder="1" applyAlignment="1" applyProtection="1">
      <alignment horizontal="left" vertical="top" indent="1"/>
      <protection locked="0"/>
    </xf>
    <xf numFmtId="3" fontId="270" fillId="14" borderId="308" xfId="0" applyNumberFormat="1" applyFont="1" applyFill="1" applyBorder="1" applyAlignment="1" applyProtection="1">
      <alignment horizontal="left" vertical="top" indent="1"/>
      <protection locked="0"/>
    </xf>
    <xf numFmtId="3" fontId="270" fillId="14" borderId="233" xfId="0" applyNumberFormat="1" applyFont="1" applyFill="1" applyBorder="1" applyAlignment="1" applyProtection="1">
      <alignment horizontal="left" vertical="top" indent="1"/>
      <protection locked="0"/>
    </xf>
    <xf numFmtId="3" fontId="270" fillId="14" borderId="309" xfId="0" applyNumberFormat="1" applyFont="1" applyFill="1" applyBorder="1" applyAlignment="1" applyProtection="1">
      <alignment horizontal="left" vertical="top" indent="1"/>
      <protection locked="0"/>
    </xf>
    <xf numFmtId="3" fontId="270" fillId="14" borderId="124" xfId="0" applyNumberFormat="1" applyFont="1" applyFill="1" applyBorder="1" applyAlignment="1" applyProtection="1">
      <alignment horizontal="left" vertical="top" indent="1"/>
      <protection locked="0"/>
    </xf>
    <xf numFmtId="3" fontId="270" fillId="14" borderId="122" xfId="0" applyNumberFormat="1" applyFont="1" applyFill="1" applyBorder="1" applyAlignment="1" applyProtection="1">
      <alignment horizontal="left" vertical="top" indent="1"/>
      <protection locked="0"/>
    </xf>
    <xf numFmtId="3" fontId="270" fillId="14" borderId="251" xfId="0" applyNumberFormat="1" applyFont="1" applyFill="1" applyBorder="1" applyAlignment="1" applyProtection="1">
      <alignment horizontal="left" vertical="top" indent="1"/>
      <protection locked="0"/>
    </xf>
    <xf numFmtId="3" fontId="270" fillId="14" borderId="250" xfId="0" applyNumberFormat="1" applyFont="1" applyFill="1" applyBorder="1" applyAlignment="1" applyProtection="1">
      <alignment horizontal="left" vertical="top" indent="1"/>
      <protection locked="0"/>
    </xf>
    <xf numFmtId="166" fontId="249" fillId="34" borderId="210" xfId="3" applyNumberFormat="1" applyFont="1" applyFill="1" applyBorder="1" applyAlignment="1">
      <alignment horizontal="center" vertical="center"/>
    </xf>
    <xf numFmtId="166" fontId="249" fillId="34" borderId="211" xfId="3" applyNumberFormat="1" applyFont="1" applyFill="1" applyBorder="1" applyAlignment="1">
      <alignment horizontal="center" vertical="center"/>
    </xf>
    <xf numFmtId="166" fontId="249" fillId="34" borderId="212" xfId="3" applyNumberFormat="1" applyFont="1" applyFill="1" applyBorder="1" applyAlignment="1">
      <alignment horizontal="center" vertical="center"/>
    </xf>
    <xf numFmtId="2" fontId="52" fillId="14" borderId="210" xfId="0" applyNumberFormat="1" applyFont="1" applyFill="1" applyBorder="1" applyAlignment="1" applyProtection="1">
      <alignment horizontal="center" vertical="center"/>
      <protection locked="0"/>
    </xf>
    <xf numFmtId="2" fontId="52" fillId="14" borderId="211" xfId="0" applyNumberFormat="1" applyFont="1" applyFill="1" applyBorder="1" applyAlignment="1" applyProtection="1">
      <alignment horizontal="center" vertical="center"/>
      <protection locked="0"/>
    </xf>
    <xf numFmtId="2" fontId="52" fillId="14" borderId="213" xfId="0" applyNumberFormat="1" applyFont="1" applyFill="1" applyBorder="1" applyAlignment="1" applyProtection="1">
      <alignment horizontal="center" vertical="center"/>
      <protection locked="0"/>
    </xf>
    <xf numFmtId="2" fontId="52" fillId="14" borderId="212" xfId="0" applyNumberFormat="1" applyFont="1" applyFill="1" applyBorder="1" applyAlignment="1" applyProtection="1">
      <alignment horizontal="center" vertical="center"/>
      <protection locked="0"/>
    </xf>
    <xf numFmtId="166" fontId="249" fillId="6" borderId="208" xfId="3" applyNumberFormat="1" applyFont="1" applyFill="1" applyBorder="1" applyAlignment="1">
      <alignment horizontal="center" vertical="center"/>
    </xf>
    <xf numFmtId="166" fontId="249" fillId="6" borderId="121" xfId="3" applyNumberFormat="1" applyFont="1" applyFill="1" applyBorder="1" applyAlignment="1">
      <alignment horizontal="center" vertical="center"/>
    </xf>
    <xf numFmtId="166" fontId="249" fillId="6" borderId="209" xfId="3" applyNumberFormat="1" applyFont="1" applyFill="1" applyBorder="1" applyAlignment="1">
      <alignment horizontal="center" vertical="center"/>
    </xf>
    <xf numFmtId="179" fontId="249" fillId="14" borderId="303" xfId="0" applyNumberFormat="1" applyFont="1" applyFill="1" applyBorder="1" applyAlignment="1" applyProtection="1">
      <alignment horizontal="center" vertical="center"/>
      <protection locked="0"/>
    </xf>
    <xf numFmtId="179" fontId="249" fillId="14" borderId="123" xfId="0" applyNumberFormat="1" applyFont="1" applyFill="1" applyBorder="1" applyAlignment="1" applyProtection="1">
      <alignment horizontal="center" vertical="center"/>
      <protection locked="0"/>
    </xf>
    <xf numFmtId="179" fontId="249" fillId="14" borderId="124" xfId="0" applyNumberFormat="1" applyFont="1" applyFill="1" applyBorder="1" applyAlignment="1" applyProtection="1">
      <alignment horizontal="center" vertical="center"/>
      <protection locked="0"/>
    </xf>
    <xf numFmtId="0" fontId="52" fillId="7" borderId="131" xfId="0" applyFont="1" applyFill="1" applyBorder="1" applyAlignment="1">
      <alignment horizontal="center" vertical="center"/>
    </xf>
    <xf numFmtId="0" fontId="52" fillId="7" borderId="127" xfId="0" applyFont="1" applyFill="1" applyBorder="1" applyAlignment="1">
      <alignment horizontal="center" vertical="center"/>
    </xf>
    <xf numFmtId="0" fontId="52" fillId="7" borderId="130" xfId="0" applyFont="1" applyFill="1" applyBorder="1" applyAlignment="1">
      <alignment horizontal="center" vertical="center"/>
    </xf>
    <xf numFmtId="2" fontId="52" fillId="14" borderId="208" xfId="0" applyNumberFormat="1" applyFont="1" applyFill="1" applyBorder="1" applyAlignment="1" applyProtection="1">
      <alignment horizontal="center" vertical="center"/>
      <protection locked="0"/>
    </xf>
    <xf numFmtId="2" fontId="52" fillId="14" borderId="121" xfId="0" applyNumberFormat="1" applyFont="1" applyFill="1" applyBorder="1" applyAlignment="1" applyProtection="1">
      <alignment horizontal="center" vertical="center"/>
      <protection locked="0"/>
    </xf>
    <xf numFmtId="2" fontId="52" fillId="14" borderId="122" xfId="0" applyNumberFormat="1" applyFont="1" applyFill="1" applyBorder="1" applyAlignment="1" applyProtection="1">
      <alignment horizontal="center" vertical="center"/>
      <protection locked="0"/>
    </xf>
    <xf numFmtId="14" fontId="52" fillId="14" borderId="208" xfId="0" applyNumberFormat="1" applyFont="1" applyFill="1" applyBorder="1" applyAlignment="1" applyProtection="1">
      <alignment horizontal="center" vertical="center"/>
      <protection locked="0"/>
    </xf>
    <xf numFmtId="14" fontId="52" fillId="14" borderId="121" xfId="0" applyNumberFormat="1" applyFont="1" applyFill="1" applyBorder="1" applyAlignment="1" applyProtection="1">
      <alignment horizontal="center" vertical="center"/>
      <protection locked="0"/>
    </xf>
    <xf numFmtId="14" fontId="52" fillId="14" borderId="122" xfId="0" applyNumberFormat="1" applyFont="1" applyFill="1" applyBorder="1" applyAlignment="1" applyProtection="1">
      <alignment horizontal="center" vertical="center"/>
      <protection locked="0"/>
    </xf>
    <xf numFmtId="166" fontId="52" fillId="14" borderId="208" xfId="0" applyNumberFormat="1" applyFont="1" applyFill="1" applyBorder="1" applyAlignment="1" applyProtection="1">
      <alignment horizontal="center" vertical="center"/>
      <protection locked="0"/>
    </xf>
    <xf numFmtId="166" fontId="52" fillId="14" borderId="121" xfId="0" applyNumberFormat="1" applyFont="1" applyFill="1" applyBorder="1" applyAlignment="1" applyProtection="1">
      <alignment horizontal="center" vertical="center"/>
      <protection locked="0"/>
    </xf>
    <xf numFmtId="166" fontId="52" fillId="14" borderId="209" xfId="0" applyNumberFormat="1" applyFont="1" applyFill="1" applyBorder="1" applyAlignment="1" applyProtection="1">
      <alignment horizontal="center" vertical="center"/>
      <protection locked="0"/>
    </xf>
    <xf numFmtId="166" fontId="52" fillId="14" borderId="122" xfId="0" applyNumberFormat="1" applyFont="1" applyFill="1" applyBorder="1" applyAlignment="1" applyProtection="1">
      <alignment horizontal="center" vertical="center"/>
      <protection locked="0"/>
    </xf>
    <xf numFmtId="2" fontId="52" fillId="14" borderId="209" xfId="0" applyNumberFormat="1" applyFont="1" applyFill="1" applyBorder="1" applyAlignment="1" applyProtection="1">
      <alignment horizontal="center" vertical="center"/>
      <protection locked="0"/>
    </xf>
    <xf numFmtId="0" fontId="52" fillId="7" borderId="294" xfId="0" applyFont="1" applyFill="1" applyBorder="1" applyAlignment="1">
      <alignment horizontal="center" vertical="center"/>
    </xf>
    <xf numFmtId="0" fontId="52" fillId="7" borderId="295" xfId="0" applyFont="1" applyFill="1" applyBorder="1" applyAlignment="1">
      <alignment horizontal="center" vertical="center"/>
    </xf>
    <xf numFmtId="0" fontId="52" fillId="7" borderId="296" xfId="0" applyFont="1" applyFill="1" applyBorder="1" applyAlignment="1">
      <alignment horizontal="center" vertical="center"/>
    </xf>
    <xf numFmtId="2" fontId="52" fillId="7" borderId="294" xfId="0" applyNumberFormat="1" applyFont="1" applyFill="1" applyBorder="1" applyAlignment="1" applyProtection="1">
      <alignment horizontal="center" vertical="center"/>
      <protection locked="0"/>
    </xf>
    <xf numFmtId="2" fontId="52" fillId="7" borderId="295" xfId="0" applyNumberFormat="1" applyFont="1" applyFill="1" applyBorder="1" applyAlignment="1" applyProtection="1">
      <alignment horizontal="center" vertical="center"/>
      <protection locked="0"/>
    </xf>
    <xf numFmtId="2" fontId="52" fillId="7" borderId="304" xfId="0" applyNumberFormat="1" applyFont="1" applyFill="1" applyBorder="1" applyAlignment="1" applyProtection="1">
      <alignment horizontal="center" vertical="center"/>
      <protection locked="0"/>
    </xf>
    <xf numFmtId="0" fontId="249" fillId="6" borderId="208" xfId="0" applyFont="1" applyFill="1" applyBorder="1" applyAlignment="1">
      <alignment horizontal="center" vertical="center"/>
    </xf>
    <xf numFmtId="0" fontId="249" fillId="6" borderId="121" xfId="0" applyFont="1" applyFill="1" applyBorder="1" applyAlignment="1">
      <alignment horizontal="center" vertical="center"/>
    </xf>
    <xf numFmtId="0" fontId="249" fillId="6" borderId="209" xfId="0" applyFont="1" applyFill="1" applyBorder="1" applyAlignment="1">
      <alignment horizontal="center" vertical="center"/>
    </xf>
    <xf numFmtId="14" fontId="249" fillId="34" borderId="208" xfId="0" applyNumberFormat="1" applyFont="1" applyFill="1" applyBorder="1" applyAlignment="1">
      <alignment horizontal="center" vertical="center"/>
    </xf>
    <xf numFmtId="0" fontId="249" fillId="34" borderId="121" xfId="0" applyFont="1" applyFill="1" applyBorder="1" applyAlignment="1">
      <alignment horizontal="center" vertical="center"/>
    </xf>
    <xf numFmtId="0" fontId="249" fillId="34" borderId="209" xfId="0" applyFont="1" applyFill="1" applyBorder="1" applyAlignment="1">
      <alignment horizontal="center" vertical="center"/>
    </xf>
    <xf numFmtId="0" fontId="276" fillId="26" borderId="301" xfId="0" applyFont="1" applyFill="1" applyBorder="1" applyAlignment="1">
      <alignment horizontal="center" vertical="center"/>
    </xf>
    <xf numFmtId="0" fontId="52" fillId="6" borderId="214" xfId="0" applyFont="1" applyFill="1" applyBorder="1" applyAlignment="1">
      <alignment horizontal="center" vertical="center"/>
    </xf>
    <xf numFmtId="0" fontId="52" fillId="6" borderId="211" xfId="0" applyFont="1" applyFill="1" applyBorder="1" applyAlignment="1">
      <alignment horizontal="center" vertical="center"/>
    </xf>
    <xf numFmtId="0" fontId="52" fillId="6" borderId="213" xfId="0" applyFont="1" applyFill="1" applyBorder="1" applyAlignment="1">
      <alignment horizontal="center" vertical="center"/>
    </xf>
    <xf numFmtId="0" fontId="106" fillId="7" borderId="109" xfId="0" applyFont="1" applyFill="1" applyBorder="1" applyAlignment="1">
      <alignment horizontal="center" vertical="center"/>
    </xf>
    <xf numFmtId="0" fontId="52" fillId="6" borderId="131" xfId="0" applyFont="1" applyFill="1" applyBorder="1" applyAlignment="1">
      <alignment horizontal="center" vertical="center"/>
    </xf>
    <xf numFmtId="0" fontId="52" fillId="6" borderId="130" xfId="0" applyFont="1" applyFill="1" applyBorder="1" applyAlignment="1">
      <alignment horizontal="center" vertical="center"/>
    </xf>
    <xf numFmtId="166" fontId="249" fillId="6" borderId="207" xfId="3" applyNumberFormat="1" applyFont="1" applyFill="1" applyBorder="1" applyAlignment="1">
      <alignment horizontal="center" vertical="center"/>
    </xf>
    <xf numFmtId="0" fontId="276" fillId="26" borderId="184" xfId="0" applyFont="1" applyFill="1" applyBorder="1" applyAlignment="1">
      <alignment horizontal="center" vertical="center"/>
    </xf>
    <xf numFmtId="0" fontId="52" fillId="7" borderId="304" xfId="0" applyFont="1" applyFill="1" applyBorder="1" applyAlignment="1">
      <alignment horizontal="center" vertical="center"/>
    </xf>
    <xf numFmtId="2" fontId="52" fillId="7" borderId="296" xfId="0" applyNumberFormat="1" applyFont="1" applyFill="1" applyBorder="1" applyAlignment="1" applyProtection="1">
      <alignment horizontal="center" vertical="center"/>
      <protection locked="0"/>
    </xf>
    <xf numFmtId="14" fontId="52" fillId="14" borderId="209" xfId="0" applyNumberFormat="1" applyFont="1" applyFill="1" applyBorder="1" applyAlignment="1" applyProtection="1">
      <alignment horizontal="center" vertical="center"/>
      <protection locked="0"/>
    </xf>
    <xf numFmtId="0" fontId="220" fillId="6" borderId="121" xfId="90" applyFont="1" applyFill="1" applyBorder="1" applyAlignment="1" applyProtection="1">
      <alignment horizontal="center"/>
      <protection hidden="1"/>
    </xf>
    <xf numFmtId="0" fontId="93" fillId="0" borderId="159" xfId="0" applyNumberFormat="1" applyFont="1" applyFill="1" applyBorder="1" applyAlignment="1" applyProtection="1">
      <alignment horizontal="left"/>
      <protection hidden="1"/>
    </xf>
    <xf numFmtId="0" fontId="93" fillId="0" borderId="160" xfId="0" applyNumberFormat="1" applyFont="1" applyFill="1" applyBorder="1" applyAlignment="1" applyProtection="1">
      <alignment horizontal="left"/>
      <protection hidden="1"/>
    </xf>
    <xf numFmtId="0" fontId="93" fillId="0" borderId="161" xfId="0" applyNumberFormat="1" applyFont="1" applyFill="1" applyBorder="1" applyAlignment="1" applyProtection="1">
      <alignment horizontal="left"/>
      <protection hidden="1"/>
    </xf>
    <xf numFmtId="168" fontId="93" fillId="0" borderId="159" xfId="0" applyNumberFormat="1" applyFont="1" applyFill="1" applyBorder="1" applyAlignment="1" applyProtection="1">
      <alignment horizontal="center"/>
      <protection hidden="1"/>
    </xf>
    <xf numFmtId="168" fontId="93" fillId="0" borderId="160" xfId="0" applyNumberFormat="1" applyFont="1" applyFill="1" applyBorder="1" applyAlignment="1" applyProtection="1">
      <alignment horizontal="center"/>
      <protection hidden="1"/>
    </xf>
    <xf numFmtId="168" fontId="93" fillId="0" borderId="161" xfId="0" applyNumberFormat="1" applyFont="1" applyFill="1" applyBorder="1" applyAlignment="1" applyProtection="1">
      <alignment horizontal="center"/>
      <protection hidden="1"/>
    </xf>
    <xf numFmtId="166" fontId="200" fillId="6" borderId="291" xfId="90" applyNumberFormat="1" applyFont="1" applyFill="1" applyBorder="1" applyAlignment="1" applyProtection="1">
      <alignment horizontal="center" vertical="center" wrapText="1"/>
    </xf>
    <xf numFmtId="166" fontId="200" fillId="6" borderId="172" xfId="90" applyNumberFormat="1" applyFont="1" applyFill="1" applyBorder="1" applyAlignment="1" applyProtection="1">
      <alignment horizontal="center" vertical="center" wrapText="1"/>
    </xf>
    <xf numFmtId="166" fontId="200" fillId="6" borderId="292" xfId="90" applyNumberFormat="1" applyFont="1" applyFill="1" applyBorder="1" applyAlignment="1" applyProtection="1">
      <alignment horizontal="center" vertical="center" wrapText="1"/>
    </xf>
    <xf numFmtId="169" fontId="200" fillId="6" borderId="291" xfId="22" applyNumberFormat="1" applyFont="1" applyFill="1" applyBorder="1" applyAlignment="1" applyProtection="1">
      <alignment horizontal="center" vertical="center"/>
    </xf>
    <xf numFmtId="169" fontId="200" fillId="6" borderId="172" xfId="22" applyNumberFormat="1" applyFont="1" applyFill="1" applyBorder="1" applyAlignment="1" applyProtection="1">
      <alignment horizontal="center" vertical="center"/>
    </xf>
    <xf numFmtId="0" fontId="121" fillId="14" borderId="18" xfId="90" applyFont="1" applyFill="1" applyBorder="1" applyAlignment="1" applyProtection="1">
      <alignment horizontal="center" vertical="center"/>
      <protection locked="0"/>
    </xf>
    <xf numFmtId="0" fontId="121" fillId="14" borderId="20" xfId="90" applyFont="1" applyFill="1" applyBorder="1" applyAlignment="1" applyProtection="1">
      <alignment horizontal="center" vertical="center"/>
      <protection locked="0"/>
    </xf>
    <xf numFmtId="0" fontId="121" fillId="14" borderId="21" xfId="90" applyFont="1" applyFill="1" applyBorder="1" applyAlignment="1" applyProtection="1">
      <alignment horizontal="center" vertical="center"/>
      <protection locked="0"/>
    </xf>
    <xf numFmtId="166" fontId="56" fillId="16" borderId="17" xfId="90" applyNumberFormat="1" applyFont="1" applyFill="1" applyBorder="1" applyAlignment="1" applyProtection="1">
      <alignment horizontal="center" vertical="center"/>
    </xf>
    <xf numFmtId="166" fontId="56" fillId="16" borderId="19" xfId="90" applyNumberFormat="1" applyFont="1" applyFill="1" applyBorder="1" applyAlignment="1" applyProtection="1">
      <alignment horizontal="center" vertical="center"/>
    </xf>
    <xf numFmtId="0" fontId="79" fillId="12" borderId="70" xfId="353" applyFont="1" applyFill="1" applyBorder="1" applyAlignment="1" applyProtection="1">
      <alignment horizontal="left" vertical="center"/>
    </xf>
    <xf numFmtId="0" fontId="79" fillId="12" borderId="71" xfId="353" applyFont="1" applyFill="1" applyBorder="1" applyAlignment="1" applyProtection="1">
      <alignment horizontal="left" vertical="center"/>
    </xf>
    <xf numFmtId="166" fontId="63" fillId="12" borderId="74" xfId="353" applyNumberFormat="1" applyFont="1" applyFill="1" applyBorder="1" applyAlignment="1" applyProtection="1">
      <alignment horizontal="right" vertical="center"/>
    </xf>
    <xf numFmtId="166" fontId="63" fillId="12" borderId="0" xfId="353" applyNumberFormat="1" applyFont="1" applyFill="1" applyBorder="1" applyAlignment="1" applyProtection="1">
      <alignment horizontal="right" vertical="center"/>
    </xf>
    <xf numFmtId="166" fontId="63" fillId="12" borderId="76" xfId="353" applyNumberFormat="1" applyFont="1" applyFill="1" applyBorder="1" applyAlignment="1" applyProtection="1">
      <alignment horizontal="right" vertical="center"/>
    </xf>
    <xf numFmtId="166" fontId="63" fillId="12" borderId="73" xfId="353" applyNumberFormat="1" applyFont="1" applyFill="1" applyBorder="1" applyAlignment="1" applyProtection="1">
      <alignment horizontal="right" vertical="center"/>
    </xf>
    <xf numFmtId="166" fontId="63" fillId="12" borderId="75" xfId="353" applyNumberFormat="1" applyFont="1" applyFill="1" applyBorder="1" applyAlignment="1" applyProtection="1">
      <alignment horizontal="right" vertical="center"/>
    </xf>
    <xf numFmtId="166" fontId="63" fillId="12" borderId="77" xfId="353" applyNumberFormat="1" applyFont="1" applyFill="1" applyBorder="1" applyAlignment="1" applyProtection="1">
      <alignment horizontal="right" vertical="center"/>
    </xf>
    <xf numFmtId="0" fontId="79" fillId="12" borderId="80" xfId="353" applyFont="1" applyFill="1" applyBorder="1" applyAlignment="1" applyProtection="1">
      <alignment horizontal="left" vertical="center"/>
    </xf>
    <xf numFmtId="0" fontId="79" fillId="12" borderId="68" xfId="353" applyFont="1" applyFill="1" applyBorder="1" applyAlignment="1" applyProtection="1">
      <alignment horizontal="left" vertical="center"/>
    </xf>
    <xf numFmtId="0" fontId="79" fillId="12" borderId="81" xfId="353" applyFont="1" applyFill="1" applyBorder="1" applyAlignment="1" applyProtection="1">
      <alignment horizontal="left" vertical="center"/>
    </xf>
    <xf numFmtId="0" fontId="79" fillId="12" borderId="73" xfId="353" applyFont="1" applyFill="1" applyBorder="1" applyAlignment="1" applyProtection="1">
      <alignment horizontal="left" vertical="center"/>
    </xf>
    <xf numFmtId="0" fontId="79" fillId="12" borderId="75" xfId="353" applyFont="1" applyFill="1" applyBorder="1" applyAlignment="1" applyProtection="1">
      <alignment horizontal="left" vertical="center"/>
    </xf>
    <xf numFmtId="0" fontId="79" fillId="12" borderId="77" xfId="353" applyFont="1" applyFill="1" applyBorder="1" applyAlignment="1" applyProtection="1">
      <alignment horizontal="left" vertical="center"/>
    </xf>
    <xf numFmtId="166" fontId="63" fillId="12" borderId="30" xfId="353" applyNumberFormat="1" applyFont="1" applyFill="1" applyBorder="1" applyAlignment="1" applyProtection="1">
      <alignment horizontal="right" vertical="center"/>
    </xf>
    <xf numFmtId="166" fontId="63" fillId="12" borderId="82" xfId="353" applyNumberFormat="1" applyFont="1" applyFill="1" applyBorder="1" applyAlignment="1" applyProtection="1">
      <alignment horizontal="right" vertical="center"/>
    </xf>
    <xf numFmtId="0" fontId="79" fillId="6" borderId="17" xfId="90" applyFont="1" applyFill="1" applyBorder="1" applyAlignment="1" applyProtection="1">
      <alignment horizontal="left" vertical="center" indent="1"/>
      <protection locked="0"/>
    </xf>
    <xf numFmtId="0" fontId="79" fillId="6" borderId="0" xfId="90" applyFont="1" applyFill="1" applyBorder="1" applyAlignment="1" applyProtection="1">
      <alignment horizontal="left" vertical="center" indent="1"/>
      <protection locked="0"/>
    </xf>
    <xf numFmtId="0" fontId="79" fillId="6" borderId="70" xfId="353" applyFont="1" applyFill="1" applyBorder="1" applyAlignment="1" applyProtection="1">
      <alignment horizontal="left" vertical="center"/>
    </xf>
    <xf numFmtId="0" fontId="79" fillId="6" borderId="71" xfId="353" applyFont="1" applyFill="1" applyBorder="1" applyAlignment="1" applyProtection="1">
      <alignment horizontal="left" vertical="center"/>
    </xf>
    <xf numFmtId="0" fontId="79" fillId="6" borderId="74" xfId="353" applyFont="1" applyFill="1" applyBorder="1" applyAlignment="1" applyProtection="1">
      <alignment horizontal="left" vertical="center"/>
    </xf>
    <xf numFmtId="0" fontId="79" fillId="6" borderId="0" xfId="353" applyFont="1" applyFill="1" applyBorder="1" applyAlignment="1" applyProtection="1">
      <alignment horizontal="left" vertical="center"/>
    </xf>
    <xf numFmtId="0" fontId="79" fillId="6" borderId="76" xfId="353" applyFont="1" applyFill="1" applyBorder="1" applyAlignment="1" applyProtection="1">
      <alignment horizontal="left" vertical="center"/>
    </xf>
    <xf numFmtId="166" fontId="49" fillId="6" borderId="34" xfId="353" applyNumberFormat="1" applyFont="1" applyFill="1" applyBorder="1" applyAlignment="1" applyProtection="1">
      <alignment horizontal="center" vertical="center"/>
      <protection locked="0"/>
    </xf>
    <xf numFmtId="166" fontId="49" fillId="6" borderId="35" xfId="353" applyNumberFormat="1" applyFont="1" applyFill="1" applyBorder="1" applyAlignment="1" applyProtection="1">
      <alignment horizontal="center" vertical="center"/>
      <protection locked="0"/>
    </xf>
    <xf numFmtId="166" fontId="49" fillId="6" borderId="36" xfId="353" applyNumberFormat="1" applyFont="1" applyFill="1" applyBorder="1" applyAlignment="1" applyProtection="1">
      <alignment horizontal="center" vertical="center"/>
      <protection locked="0"/>
    </xf>
    <xf numFmtId="166" fontId="49" fillId="6" borderId="37" xfId="353" applyNumberFormat="1" applyFont="1" applyFill="1" applyBorder="1" applyAlignment="1" applyProtection="1">
      <alignment horizontal="center" vertical="center"/>
      <protection locked="0"/>
    </xf>
    <xf numFmtId="166" fontId="49" fillId="6" borderId="0" xfId="353" applyNumberFormat="1" applyFont="1" applyFill="1" applyBorder="1" applyAlignment="1" applyProtection="1">
      <alignment horizontal="center" vertical="center"/>
      <protection locked="0"/>
    </xf>
    <xf numFmtId="166" fontId="49" fillId="6" borderId="38" xfId="353" applyNumberFormat="1" applyFont="1" applyFill="1" applyBorder="1" applyAlignment="1" applyProtection="1">
      <alignment horizontal="center" vertical="center"/>
      <protection locked="0"/>
    </xf>
    <xf numFmtId="0" fontId="45" fillId="16" borderId="18" xfId="90" applyFont="1" applyFill="1" applyBorder="1" applyAlignment="1" applyProtection="1">
      <alignment horizontal="center"/>
    </xf>
    <xf numFmtId="0" fontId="45" fillId="16" borderId="21" xfId="90" applyFont="1" applyFill="1" applyBorder="1" applyAlignment="1" applyProtection="1">
      <alignment horizontal="center"/>
    </xf>
    <xf numFmtId="166" fontId="56" fillId="16" borderId="17" xfId="353" applyNumberFormat="1" applyFont="1" applyFill="1" applyBorder="1" applyAlignment="1" applyProtection="1">
      <alignment horizontal="right" vertical="center" indent="1"/>
    </xf>
    <xf numFmtId="166" fontId="56" fillId="16" borderId="0" xfId="353" applyNumberFormat="1" applyFont="1" applyFill="1" applyBorder="1" applyAlignment="1" applyProtection="1">
      <alignment horizontal="right" vertical="center" indent="1"/>
    </xf>
    <xf numFmtId="166" fontId="56" fillId="16" borderId="19" xfId="353" applyNumberFormat="1" applyFont="1" applyFill="1" applyBorder="1" applyAlignment="1" applyProtection="1">
      <alignment horizontal="right" vertical="center" indent="1"/>
    </xf>
    <xf numFmtId="166" fontId="56" fillId="16" borderId="20" xfId="353" applyNumberFormat="1" applyFont="1" applyFill="1" applyBorder="1" applyAlignment="1" applyProtection="1">
      <alignment horizontal="right" vertical="center" indent="1"/>
    </xf>
    <xf numFmtId="0" fontId="0" fillId="26" borderId="0" xfId="0" applyFill="1" applyAlignment="1">
      <alignment horizontal="center"/>
    </xf>
    <xf numFmtId="166" fontId="56" fillId="15" borderId="34" xfId="353" applyNumberFormat="1" applyFont="1" applyFill="1" applyBorder="1" applyAlignment="1" applyProtection="1">
      <alignment horizontal="center" vertical="center"/>
    </xf>
    <xf numFmtId="166" fontId="56" fillId="15" borderId="35" xfId="353" applyNumberFormat="1" applyFont="1" applyFill="1" applyBorder="1" applyAlignment="1" applyProtection="1">
      <alignment horizontal="center" vertical="center"/>
    </xf>
    <xf numFmtId="166" fontId="56" fillId="15" borderId="36" xfId="353" applyNumberFormat="1" applyFont="1" applyFill="1" applyBorder="1" applyAlignment="1" applyProtection="1">
      <alignment horizontal="center" vertical="center"/>
    </xf>
    <xf numFmtId="166" fontId="56" fillId="15" borderId="37" xfId="353" applyNumberFormat="1" applyFont="1" applyFill="1" applyBorder="1" applyAlignment="1" applyProtection="1">
      <alignment horizontal="center" vertical="center"/>
    </xf>
    <xf numFmtId="166" fontId="56" fillId="15" borderId="0" xfId="353" applyNumberFormat="1" applyFont="1" applyFill="1" applyBorder="1" applyAlignment="1" applyProtection="1">
      <alignment horizontal="center" vertical="center"/>
    </xf>
    <xf numFmtId="166" fontId="56" fillId="15" borderId="38" xfId="353" applyNumberFormat="1" applyFont="1" applyFill="1" applyBorder="1" applyAlignment="1" applyProtection="1">
      <alignment horizontal="center" vertical="center"/>
    </xf>
    <xf numFmtId="166" fontId="56" fillId="15" borderId="39" xfId="353" applyNumberFormat="1" applyFont="1" applyFill="1" applyBorder="1" applyAlignment="1" applyProtection="1">
      <alignment horizontal="center" vertical="center"/>
    </xf>
    <xf numFmtId="166" fontId="56" fillId="15" borderId="40" xfId="353" applyNumberFormat="1" applyFont="1" applyFill="1" applyBorder="1" applyAlignment="1" applyProtection="1">
      <alignment horizontal="center" vertical="center"/>
    </xf>
    <xf numFmtId="166" fontId="56" fillId="15" borderId="41" xfId="353" applyNumberFormat="1" applyFont="1" applyFill="1" applyBorder="1" applyAlignment="1" applyProtection="1">
      <alignment horizontal="center" vertical="center"/>
    </xf>
    <xf numFmtId="0" fontId="79" fillId="6" borderId="80" xfId="353" applyFont="1" applyFill="1" applyBorder="1" applyAlignment="1" applyProtection="1">
      <alignment horizontal="left" vertical="center"/>
    </xf>
    <xf numFmtId="0" fontId="79" fillId="6" borderId="68" xfId="353" applyFont="1" applyFill="1" applyBorder="1" applyAlignment="1" applyProtection="1">
      <alignment horizontal="left" vertical="center"/>
    </xf>
    <xf numFmtId="0" fontId="79" fillId="6" borderId="81" xfId="353" applyFont="1" applyFill="1" applyBorder="1" applyAlignment="1" applyProtection="1">
      <alignment horizontal="left" vertical="center"/>
    </xf>
    <xf numFmtId="0" fontId="79" fillId="12" borderId="74" xfId="353" applyFont="1" applyFill="1" applyBorder="1" applyAlignment="1" applyProtection="1">
      <alignment horizontal="left" vertical="center"/>
    </xf>
    <xf numFmtId="0" fontId="79" fillId="12" borderId="0" xfId="353" applyFont="1" applyFill="1" applyBorder="1" applyAlignment="1" applyProtection="1">
      <alignment horizontal="left" vertical="center"/>
    </xf>
    <xf numFmtId="0" fontId="79" fillId="12" borderId="76" xfId="353" applyFont="1" applyFill="1" applyBorder="1" applyAlignment="1" applyProtection="1">
      <alignment horizontal="left" vertical="center"/>
    </xf>
    <xf numFmtId="166" fontId="62" fillId="26" borderId="178" xfId="353" applyNumberFormat="1" applyFont="1" applyFill="1" applyBorder="1" applyAlignment="1" applyProtection="1">
      <alignment horizontal="center" vertical="center"/>
      <protection locked="0"/>
    </xf>
    <xf numFmtId="166" fontId="62" fillId="26" borderId="179" xfId="353" applyNumberFormat="1" applyFont="1" applyFill="1" applyBorder="1" applyAlignment="1" applyProtection="1">
      <alignment horizontal="center" vertical="center"/>
      <protection locked="0"/>
    </xf>
    <xf numFmtId="166" fontId="62" fillId="26" borderId="180" xfId="353" applyNumberFormat="1" applyFont="1" applyFill="1" applyBorder="1" applyAlignment="1" applyProtection="1">
      <alignment horizontal="center" vertical="center"/>
      <protection locked="0"/>
    </xf>
    <xf numFmtId="166" fontId="62" fillId="26" borderId="181" xfId="353" applyNumberFormat="1" applyFont="1" applyFill="1" applyBorder="1" applyAlignment="1" applyProtection="1">
      <alignment horizontal="center" vertical="center"/>
      <protection locked="0"/>
    </xf>
    <xf numFmtId="166" fontId="62" fillId="26" borderId="0" xfId="353" applyNumberFormat="1" applyFont="1" applyFill="1" applyBorder="1" applyAlignment="1" applyProtection="1">
      <alignment horizontal="center" vertical="center"/>
      <protection locked="0"/>
    </xf>
    <xf numFmtId="166" fontId="62" fillId="26" borderId="182" xfId="353" applyNumberFormat="1" applyFont="1" applyFill="1" applyBorder="1" applyAlignment="1" applyProtection="1">
      <alignment horizontal="center" vertical="center"/>
      <protection locked="0"/>
    </xf>
    <xf numFmtId="0" fontId="79" fillId="12" borderId="29" xfId="353" applyFont="1" applyFill="1" applyBorder="1" applyAlignment="1" applyProtection="1">
      <alignment horizontal="left" vertical="center"/>
    </xf>
    <xf numFmtId="0" fontId="79" fillId="6" borderId="73" xfId="353" applyFont="1" applyFill="1" applyBorder="1" applyAlignment="1" applyProtection="1">
      <alignment horizontal="left" vertical="center"/>
    </xf>
    <xf numFmtId="0" fontId="79" fillId="6" borderId="75" xfId="353" applyFont="1" applyFill="1" applyBorder="1" applyAlignment="1" applyProtection="1">
      <alignment horizontal="left" vertical="center"/>
    </xf>
    <xf numFmtId="0" fontId="79" fillId="6" borderId="77" xfId="353" applyFont="1" applyFill="1" applyBorder="1" applyAlignment="1" applyProtection="1">
      <alignment horizontal="left" vertical="center"/>
    </xf>
    <xf numFmtId="0" fontId="69" fillId="8" borderId="17" xfId="353" applyFont="1" applyFill="1" applyBorder="1" applyAlignment="1" applyProtection="1">
      <alignment horizontal="left" vertical="center"/>
    </xf>
    <xf numFmtId="0" fontId="69" fillId="8" borderId="0" xfId="353" applyFont="1" applyFill="1" applyBorder="1" applyAlignment="1" applyProtection="1">
      <alignment horizontal="left" vertical="center"/>
    </xf>
    <xf numFmtId="0" fontId="69" fillId="8" borderId="18" xfId="353" applyFont="1" applyFill="1" applyBorder="1" applyAlignment="1" applyProtection="1">
      <alignment horizontal="left" vertical="center"/>
    </xf>
    <xf numFmtId="9" fontId="159" fillId="16" borderId="20" xfId="22" applyFont="1" applyFill="1" applyBorder="1" applyAlignment="1" applyProtection="1">
      <alignment horizontal="center" vertical="center"/>
      <protection locked="0"/>
    </xf>
    <xf numFmtId="166" fontId="63" fillId="8" borderId="11" xfId="353" applyNumberFormat="1" applyFont="1" applyFill="1" applyBorder="1" applyAlignment="1" applyProtection="1">
      <alignment horizontal="center" vertical="center"/>
    </xf>
    <xf numFmtId="166" fontId="63" fillId="8" borderId="12" xfId="353" applyNumberFormat="1" applyFont="1" applyFill="1" applyBorder="1" applyAlignment="1" applyProtection="1">
      <alignment horizontal="center" vertical="center"/>
    </xf>
    <xf numFmtId="166" fontId="63" fillId="8" borderId="24" xfId="353" applyNumberFormat="1" applyFont="1" applyFill="1" applyBorder="1" applyAlignment="1" applyProtection="1">
      <alignment horizontal="center" vertical="center"/>
    </xf>
    <xf numFmtId="166" fontId="63" fillId="8" borderId="14" xfId="353" applyNumberFormat="1" applyFont="1" applyFill="1" applyBorder="1" applyAlignment="1" applyProtection="1">
      <alignment horizontal="center" vertical="center"/>
    </xf>
    <xf numFmtId="166" fontId="63" fillId="8" borderId="15" xfId="353" applyNumberFormat="1" applyFont="1" applyFill="1" applyBorder="1" applyAlignment="1" applyProtection="1">
      <alignment horizontal="center" vertical="center"/>
    </xf>
    <xf numFmtId="166" fontId="63" fillId="8" borderId="25" xfId="353" applyNumberFormat="1" applyFont="1" applyFill="1" applyBorder="1" applyAlignment="1" applyProtection="1">
      <alignment horizontal="center" vertical="center"/>
    </xf>
    <xf numFmtId="166" fontId="69" fillId="14" borderId="11" xfId="353" applyNumberFormat="1" applyFont="1" applyFill="1" applyBorder="1" applyAlignment="1" applyProtection="1">
      <alignment horizontal="center" vertical="center"/>
      <protection locked="0"/>
    </xf>
    <xf numFmtId="166" fontId="69" fillId="14" borderId="12" xfId="353" applyNumberFormat="1" applyFont="1" applyFill="1" applyBorder="1" applyAlignment="1" applyProtection="1">
      <alignment horizontal="center" vertical="center"/>
      <protection locked="0"/>
    </xf>
    <xf numFmtId="166" fontId="69" fillId="14" borderId="13" xfId="353" applyNumberFormat="1" applyFont="1" applyFill="1" applyBorder="1" applyAlignment="1" applyProtection="1">
      <alignment horizontal="center" vertical="center"/>
      <protection locked="0"/>
    </xf>
    <xf numFmtId="166" fontId="69" fillId="14" borderId="14" xfId="353" applyNumberFormat="1" applyFont="1" applyFill="1" applyBorder="1" applyAlignment="1" applyProtection="1">
      <alignment horizontal="center" vertical="center"/>
      <protection locked="0"/>
    </xf>
    <xf numFmtId="166" fontId="69" fillId="14" borderId="15" xfId="353" applyNumberFormat="1" applyFont="1" applyFill="1" applyBorder="1" applyAlignment="1" applyProtection="1">
      <alignment horizontal="center" vertical="center"/>
      <protection locked="0"/>
    </xf>
    <xf numFmtId="166" fontId="69" fillId="14" borderId="16" xfId="353" applyNumberFormat="1" applyFont="1" applyFill="1" applyBorder="1" applyAlignment="1" applyProtection="1">
      <alignment horizontal="center" vertical="center"/>
      <protection locked="0"/>
    </xf>
    <xf numFmtId="166" fontId="63" fillId="6" borderId="11" xfId="353" applyNumberFormat="1" applyFont="1" applyFill="1" applyBorder="1" applyAlignment="1" applyProtection="1">
      <alignment horizontal="center" vertical="center"/>
    </xf>
    <xf numFmtId="166" fontId="63" fillId="6" borderId="12" xfId="353" applyNumberFormat="1" applyFont="1" applyFill="1" applyBorder="1" applyAlignment="1" applyProtection="1">
      <alignment horizontal="center" vertical="center"/>
    </xf>
    <xf numFmtId="166" fontId="63" fillId="6" borderId="24" xfId="353" applyNumberFormat="1" applyFont="1" applyFill="1" applyBorder="1" applyAlignment="1" applyProtection="1">
      <alignment horizontal="center" vertical="center"/>
    </xf>
    <xf numFmtId="166" fontId="63" fillId="6" borderId="14" xfId="353" applyNumberFormat="1" applyFont="1" applyFill="1" applyBorder="1" applyAlignment="1" applyProtection="1">
      <alignment horizontal="center" vertical="center"/>
    </xf>
    <xf numFmtId="166" fontId="63" fillId="6" borderId="15" xfId="353" applyNumberFormat="1" applyFont="1" applyFill="1" applyBorder="1" applyAlignment="1" applyProtection="1">
      <alignment horizontal="center" vertical="center"/>
    </xf>
    <xf numFmtId="166" fontId="63" fillId="6" borderId="25" xfId="353" applyNumberFormat="1" applyFont="1" applyFill="1" applyBorder="1" applyAlignment="1" applyProtection="1">
      <alignment horizontal="center" vertical="center"/>
    </xf>
    <xf numFmtId="0" fontId="79" fillId="6" borderId="69" xfId="353" applyFont="1" applyFill="1" applyBorder="1" applyAlignment="1" applyProtection="1">
      <alignment horizontal="left" vertical="center"/>
    </xf>
    <xf numFmtId="0" fontId="79" fillId="6" borderId="72" xfId="353" applyFont="1" applyFill="1" applyBorder="1" applyAlignment="1" applyProtection="1">
      <alignment horizontal="left" vertical="center"/>
    </xf>
    <xf numFmtId="0" fontId="79" fillId="6" borderId="78" xfId="353" applyFont="1" applyFill="1" applyBorder="1" applyAlignment="1" applyProtection="1">
      <alignment horizontal="left" vertical="center"/>
    </xf>
    <xf numFmtId="0" fontId="79" fillId="6" borderId="32" xfId="353" applyFont="1" applyFill="1" applyBorder="1" applyAlignment="1" applyProtection="1">
      <alignment horizontal="left" vertical="center"/>
    </xf>
    <xf numFmtId="0" fontId="79" fillId="6" borderId="79" xfId="353" applyFont="1" applyFill="1" applyBorder="1" applyAlignment="1" applyProtection="1">
      <alignment horizontal="left" vertical="center"/>
    </xf>
    <xf numFmtId="166" fontId="63" fillId="8" borderId="22" xfId="353" applyNumberFormat="1" applyFont="1" applyFill="1" applyBorder="1" applyAlignment="1" applyProtection="1">
      <alignment horizontal="center" vertical="center"/>
    </xf>
    <xf numFmtId="166" fontId="63" fillId="8" borderId="0" xfId="353" applyNumberFormat="1" applyFont="1" applyFill="1" applyBorder="1" applyAlignment="1" applyProtection="1">
      <alignment horizontal="center" vertical="center"/>
    </xf>
    <xf numFmtId="166" fontId="63" fillId="8" borderId="18" xfId="353" applyNumberFormat="1" applyFont="1" applyFill="1" applyBorder="1" applyAlignment="1" applyProtection="1">
      <alignment horizontal="center" vertical="center"/>
    </xf>
    <xf numFmtId="0" fontId="11" fillId="8" borderId="0" xfId="353" applyFont="1" applyFill="1" applyBorder="1" applyAlignment="1" applyProtection="1">
      <alignment horizontal="center" vertical="center"/>
    </xf>
    <xf numFmtId="0" fontId="11" fillId="8" borderId="15" xfId="353" applyFont="1" applyFill="1" applyBorder="1" applyAlignment="1" applyProtection="1">
      <alignment horizontal="center" vertical="center"/>
    </xf>
    <xf numFmtId="0" fontId="79" fillId="6" borderId="29" xfId="90" applyFont="1" applyFill="1" applyBorder="1" applyAlignment="1" applyProtection="1">
      <alignment horizontal="center" vertical="center"/>
      <protection locked="0" hidden="1"/>
    </xf>
    <xf numFmtId="0" fontId="79" fillId="6" borderId="0" xfId="90" applyFont="1" applyFill="1" applyBorder="1" applyAlignment="1" applyProtection="1">
      <alignment horizontal="center" vertical="center"/>
      <protection locked="0" hidden="1"/>
    </xf>
    <xf numFmtId="169" fontId="258" fillId="6" borderId="29" xfId="22" applyNumberFormat="1" applyFont="1" applyFill="1" applyBorder="1" applyAlignment="1" applyProtection="1">
      <alignment horizontal="center" vertical="center"/>
      <protection locked="0"/>
    </xf>
    <xf numFmtId="169" fontId="258" fillId="6" borderId="0" xfId="22" applyNumberFormat="1" applyFont="1" applyFill="1" applyBorder="1" applyAlignment="1" applyProtection="1">
      <alignment horizontal="center" vertical="center"/>
      <protection locked="0"/>
    </xf>
    <xf numFmtId="169" fontId="258" fillId="6" borderId="31" xfId="22" applyNumberFormat="1" applyFont="1" applyFill="1" applyBorder="1" applyAlignment="1" applyProtection="1">
      <alignment horizontal="center" vertical="center"/>
      <protection locked="0"/>
    </xf>
    <xf numFmtId="169" fontId="258" fillId="6" borderId="32" xfId="22" applyNumberFormat="1" applyFont="1" applyFill="1" applyBorder="1" applyAlignment="1" applyProtection="1">
      <alignment horizontal="center" vertical="center"/>
      <protection locked="0"/>
    </xf>
    <xf numFmtId="166" fontId="67" fillId="6" borderId="168" xfId="353" applyNumberFormat="1" applyFont="1" applyFill="1" applyBorder="1" applyAlignment="1" applyProtection="1">
      <alignment horizontal="center" vertical="center"/>
      <protection locked="0"/>
    </xf>
    <xf numFmtId="166" fontId="67" fillId="6" borderId="0" xfId="353" applyNumberFormat="1" applyFont="1" applyFill="1" applyBorder="1" applyAlignment="1" applyProtection="1">
      <alignment horizontal="center" vertical="center"/>
      <protection locked="0"/>
    </xf>
    <xf numFmtId="166" fontId="69" fillId="14" borderId="63" xfId="353" applyNumberFormat="1" applyFont="1" applyFill="1" applyBorder="1" applyAlignment="1" applyProtection="1">
      <alignment horizontal="center" vertical="center"/>
      <protection locked="0"/>
    </xf>
    <xf numFmtId="166" fontId="69" fillId="14" borderId="8" xfId="353" applyNumberFormat="1" applyFont="1" applyFill="1" applyBorder="1" applyAlignment="1" applyProtection="1">
      <alignment horizontal="center" vertical="center"/>
      <protection locked="0"/>
    </xf>
    <xf numFmtId="166" fontId="69" fillId="14" borderId="64" xfId="353" applyNumberFormat="1" applyFont="1" applyFill="1" applyBorder="1" applyAlignment="1" applyProtection="1">
      <alignment horizontal="center" vertical="center"/>
      <protection locked="0"/>
    </xf>
    <xf numFmtId="166" fontId="69" fillId="6" borderId="11" xfId="353" applyNumberFormat="1" applyFont="1" applyFill="1" applyBorder="1" applyAlignment="1" applyProtection="1">
      <alignment horizontal="center" vertical="center"/>
    </xf>
    <xf numFmtId="166" fontId="69" fillId="6" borderId="12" xfId="353" applyNumberFormat="1" applyFont="1" applyFill="1" applyBorder="1" applyAlignment="1" applyProtection="1">
      <alignment horizontal="center" vertical="center"/>
    </xf>
    <xf numFmtId="166" fontId="69" fillId="6" borderId="13" xfId="353" applyNumberFormat="1" applyFont="1" applyFill="1" applyBorder="1" applyAlignment="1" applyProtection="1">
      <alignment horizontal="center" vertical="center"/>
    </xf>
    <xf numFmtId="166" fontId="69" fillId="6" borderId="14" xfId="353" applyNumberFormat="1" applyFont="1" applyFill="1" applyBorder="1" applyAlignment="1" applyProtection="1">
      <alignment horizontal="center" vertical="center"/>
    </xf>
    <xf numFmtId="166" fontId="69" fillId="6" borderId="15" xfId="353" applyNumberFormat="1" applyFont="1" applyFill="1" applyBorder="1" applyAlignment="1" applyProtection="1">
      <alignment horizontal="center" vertical="center"/>
    </xf>
    <xf numFmtId="166" fontId="69" fillId="6" borderId="16" xfId="353" applyNumberFormat="1" applyFont="1" applyFill="1" applyBorder="1" applyAlignment="1" applyProtection="1">
      <alignment horizontal="center" vertical="center"/>
    </xf>
    <xf numFmtId="166" fontId="63" fillId="6" borderId="22" xfId="353" applyNumberFormat="1" applyFont="1" applyFill="1" applyBorder="1" applyAlignment="1" applyProtection="1">
      <alignment horizontal="center" vertical="center"/>
    </xf>
    <xf numFmtId="166" fontId="63" fillId="6" borderId="0" xfId="353" applyNumberFormat="1" applyFont="1" applyFill="1" applyBorder="1" applyAlignment="1" applyProtection="1">
      <alignment horizontal="center" vertical="center"/>
    </xf>
    <xf numFmtId="166" fontId="63" fillId="6" borderId="18" xfId="353" applyNumberFormat="1" applyFont="1" applyFill="1" applyBorder="1" applyAlignment="1" applyProtection="1">
      <alignment horizontal="center" vertical="center"/>
    </xf>
    <xf numFmtId="166" fontId="56" fillId="11" borderId="26" xfId="353" applyNumberFormat="1" applyFont="1" applyFill="1" applyBorder="1" applyAlignment="1" applyProtection="1">
      <alignment horizontal="center" vertical="center"/>
    </xf>
    <xf numFmtId="166" fontId="56" fillId="11" borderId="27" xfId="353" applyNumberFormat="1" applyFont="1" applyFill="1" applyBorder="1" applyAlignment="1" applyProtection="1">
      <alignment horizontal="center" vertical="center"/>
    </xf>
    <xf numFmtId="166" fontId="56" fillId="11" borderId="28" xfId="353" applyNumberFormat="1" applyFont="1" applyFill="1" applyBorder="1" applyAlignment="1" applyProtection="1">
      <alignment horizontal="center" vertical="center"/>
    </xf>
    <xf numFmtId="166" fontId="56" fillId="11" borderId="29" xfId="353" applyNumberFormat="1" applyFont="1" applyFill="1" applyBorder="1" applyAlignment="1" applyProtection="1">
      <alignment horizontal="center" vertical="center"/>
    </xf>
    <xf numFmtId="166" fontId="56" fillId="11" borderId="0" xfId="353" applyNumberFormat="1" applyFont="1" applyFill="1" applyBorder="1" applyAlignment="1" applyProtection="1">
      <alignment horizontal="center" vertical="center"/>
    </xf>
    <xf numFmtId="166" fontId="56" fillId="11" borderId="30" xfId="353" applyNumberFormat="1" applyFont="1" applyFill="1" applyBorder="1" applyAlignment="1" applyProtection="1">
      <alignment horizontal="center" vertical="center"/>
    </xf>
    <xf numFmtId="166" fontId="56" fillId="11" borderId="31" xfId="353" applyNumberFormat="1" applyFont="1" applyFill="1" applyBorder="1" applyAlignment="1" applyProtection="1">
      <alignment horizontal="center" vertical="center"/>
    </xf>
    <xf numFmtId="166" fontId="56" fillId="11" borderId="32" xfId="353" applyNumberFormat="1" applyFont="1" applyFill="1" applyBorder="1" applyAlignment="1" applyProtection="1">
      <alignment horizontal="center" vertical="center"/>
    </xf>
    <xf numFmtId="166" fontId="56" fillId="11" borderId="33" xfId="353" applyNumberFormat="1" applyFont="1" applyFill="1" applyBorder="1" applyAlignment="1" applyProtection="1">
      <alignment horizontal="center" vertical="center"/>
    </xf>
    <xf numFmtId="9" fontId="262" fillId="6" borderId="0" xfId="22" applyNumberFormat="1" applyFont="1" applyFill="1" applyBorder="1" applyAlignment="1" applyProtection="1">
      <alignment horizontal="center" vertical="center"/>
    </xf>
    <xf numFmtId="9" fontId="262" fillId="6" borderId="166" xfId="22" applyNumberFormat="1" applyFont="1" applyFill="1" applyBorder="1" applyAlignment="1" applyProtection="1">
      <alignment horizontal="center" vertical="center"/>
    </xf>
    <xf numFmtId="9" fontId="262" fillId="6" borderId="279" xfId="22" applyNumberFormat="1" applyFont="1" applyFill="1" applyBorder="1" applyAlignment="1" applyProtection="1">
      <alignment horizontal="center" vertical="center"/>
    </xf>
    <xf numFmtId="9" fontId="262" fillId="6" borderId="283" xfId="22" applyNumberFormat="1" applyFont="1" applyFill="1" applyBorder="1" applyAlignment="1" applyProtection="1">
      <alignment horizontal="center" vertical="center"/>
    </xf>
    <xf numFmtId="0" fontId="60" fillId="19" borderId="276" xfId="353" applyFont="1" applyFill="1" applyBorder="1" applyAlignment="1" applyProtection="1">
      <alignment horizontal="center" vertical="center" wrapText="1"/>
    </xf>
    <xf numFmtId="0" fontId="60" fillId="19" borderId="0" xfId="353" applyFont="1" applyFill="1" applyBorder="1" applyAlignment="1" applyProtection="1">
      <alignment horizontal="center" vertical="center" wrapText="1"/>
    </xf>
    <xf numFmtId="0" fontId="60" fillId="19" borderId="277" xfId="353" applyFont="1" applyFill="1" applyBorder="1" applyAlignment="1" applyProtection="1">
      <alignment horizontal="center" vertical="center" wrapText="1"/>
    </xf>
    <xf numFmtId="0" fontId="60" fillId="19" borderId="278" xfId="353" applyFont="1" applyFill="1" applyBorder="1" applyAlignment="1" applyProtection="1">
      <alignment horizontal="center" vertical="center" wrapText="1"/>
    </xf>
    <xf numFmtId="0" fontId="60" fillId="19" borderId="279" xfId="353" applyFont="1" applyFill="1" applyBorder="1" applyAlignment="1" applyProtection="1">
      <alignment horizontal="center" vertical="center" wrapText="1"/>
    </xf>
    <xf numFmtId="0" fontId="60" fillId="19" borderId="281" xfId="353" applyFont="1" applyFill="1" applyBorder="1" applyAlignment="1" applyProtection="1">
      <alignment horizontal="center" vertical="center" wrapText="1"/>
    </xf>
    <xf numFmtId="0" fontId="68" fillId="19" borderId="273" xfId="353" applyFont="1" applyFill="1" applyBorder="1" applyAlignment="1" applyProtection="1">
      <alignment horizontal="center" vertical="center" wrapText="1"/>
    </xf>
    <xf numFmtId="0" fontId="68" fillId="19" borderId="274" xfId="353" applyFont="1" applyFill="1" applyBorder="1" applyAlignment="1" applyProtection="1">
      <alignment horizontal="center" vertical="center" wrapText="1"/>
    </xf>
    <xf numFmtId="0" fontId="68" fillId="19" borderId="275" xfId="353" applyFont="1" applyFill="1" applyBorder="1" applyAlignment="1" applyProtection="1">
      <alignment horizontal="center" vertical="center" wrapText="1"/>
    </xf>
    <xf numFmtId="0" fontId="68" fillId="19" borderId="276" xfId="353" applyFont="1" applyFill="1" applyBorder="1" applyAlignment="1" applyProtection="1">
      <alignment horizontal="center" vertical="center" wrapText="1"/>
    </xf>
    <xf numFmtId="0" fontId="68" fillId="19" borderId="0" xfId="353" applyFont="1" applyFill="1" applyBorder="1" applyAlignment="1" applyProtection="1">
      <alignment horizontal="center" vertical="center" wrapText="1"/>
    </xf>
    <xf numFmtId="0" fontId="68" fillId="19" borderId="277" xfId="353" applyFont="1" applyFill="1" applyBorder="1" applyAlignment="1" applyProtection="1">
      <alignment horizontal="center" vertical="center" wrapText="1"/>
    </xf>
    <xf numFmtId="166" fontId="127" fillId="6" borderId="0" xfId="353" applyNumberFormat="1" applyFont="1" applyFill="1" applyBorder="1" applyAlignment="1" applyProtection="1">
      <alignment horizontal="center" vertical="center"/>
      <protection locked="0"/>
    </xf>
    <xf numFmtId="166" fontId="56" fillId="11" borderId="26" xfId="353" applyNumberFormat="1" applyFont="1" applyFill="1" applyBorder="1" applyAlignment="1" applyProtection="1">
      <alignment horizontal="center" vertical="center"/>
      <protection locked="0"/>
    </xf>
    <xf numFmtId="166" fontId="56" fillId="11" borderId="27" xfId="353" applyNumberFormat="1" applyFont="1" applyFill="1" applyBorder="1" applyAlignment="1" applyProtection="1">
      <alignment horizontal="center" vertical="center"/>
      <protection locked="0"/>
    </xf>
    <xf numFmtId="166" fontId="56" fillId="11" borderId="28" xfId="353" applyNumberFormat="1" applyFont="1" applyFill="1" applyBorder="1" applyAlignment="1" applyProtection="1">
      <alignment horizontal="center" vertical="center"/>
      <protection locked="0"/>
    </xf>
    <xf numFmtId="166" fontId="56" fillId="11" borderId="29" xfId="353" applyNumberFormat="1" applyFont="1" applyFill="1" applyBorder="1" applyAlignment="1" applyProtection="1">
      <alignment horizontal="center" vertical="center"/>
      <protection locked="0"/>
    </xf>
    <xf numFmtId="166" fontId="56" fillId="11" borderId="0" xfId="353" applyNumberFormat="1" applyFont="1" applyFill="1" applyBorder="1" applyAlignment="1" applyProtection="1">
      <alignment horizontal="center" vertical="center"/>
      <protection locked="0"/>
    </xf>
    <xf numFmtId="166" fontId="56" fillId="11" borderId="30" xfId="353" applyNumberFormat="1" applyFont="1" applyFill="1" applyBorder="1" applyAlignment="1" applyProtection="1">
      <alignment horizontal="center" vertical="center"/>
      <protection locked="0"/>
    </xf>
    <xf numFmtId="166" fontId="56" fillId="11" borderId="31" xfId="353" applyNumberFormat="1" applyFont="1" applyFill="1" applyBorder="1" applyAlignment="1" applyProtection="1">
      <alignment horizontal="center" vertical="center"/>
      <protection locked="0"/>
    </xf>
    <xf numFmtId="166" fontId="56" fillId="11" borderId="32" xfId="353" applyNumberFormat="1" applyFont="1" applyFill="1" applyBorder="1" applyAlignment="1" applyProtection="1">
      <alignment horizontal="center" vertical="center"/>
      <protection locked="0"/>
    </xf>
    <xf numFmtId="166" fontId="56" fillId="11" borderId="33" xfId="353" applyNumberFormat="1" applyFont="1" applyFill="1" applyBorder="1" applyAlignment="1" applyProtection="1">
      <alignment horizontal="center" vertical="center"/>
      <protection locked="0"/>
    </xf>
    <xf numFmtId="0" fontId="79" fillId="6" borderId="17" xfId="353" applyFont="1" applyFill="1" applyBorder="1" applyAlignment="1" applyProtection="1">
      <alignment horizontal="left" vertical="center" indent="1"/>
      <protection locked="0"/>
    </xf>
    <xf numFmtId="0" fontId="79" fillId="6" borderId="0" xfId="353" applyFont="1" applyFill="1" applyBorder="1" applyAlignment="1" applyProtection="1">
      <alignment horizontal="left" vertical="center" indent="1"/>
      <protection locked="0"/>
    </xf>
    <xf numFmtId="0" fontId="69" fillId="6" borderId="17" xfId="353" applyFont="1" applyFill="1" applyBorder="1" applyAlignment="1" applyProtection="1">
      <alignment horizontal="right" vertical="center"/>
      <protection locked="0"/>
    </xf>
    <xf numFmtId="0" fontId="69" fillId="6" borderId="0" xfId="353" applyFont="1" applyFill="1" applyBorder="1" applyAlignment="1" applyProtection="1">
      <alignment horizontal="right" vertical="center"/>
      <protection locked="0"/>
    </xf>
    <xf numFmtId="0" fontId="69" fillId="6" borderId="23" xfId="353" applyFont="1" applyFill="1" applyBorder="1" applyAlignment="1" applyProtection="1">
      <alignment horizontal="right" vertical="center"/>
      <protection locked="0"/>
    </xf>
    <xf numFmtId="166" fontId="63" fillId="6" borderId="58" xfId="353" applyNumberFormat="1" applyFont="1" applyFill="1" applyBorder="1" applyAlignment="1" applyProtection="1">
      <alignment horizontal="center" vertical="center"/>
    </xf>
    <xf numFmtId="0" fontId="63" fillId="6" borderId="7" xfId="353" applyFont="1" applyFill="1" applyBorder="1" applyAlignment="1" applyProtection="1">
      <alignment horizontal="center" vertical="center"/>
    </xf>
    <xf numFmtId="0" fontId="63" fillId="6" borderId="59" xfId="353" applyFont="1" applyFill="1" applyBorder="1" applyAlignment="1" applyProtection="1">
      <alignment horizontal="center" vertical="center"/>
    </xf>
    <xf numFmtId="0" fontId="63" fillId="6" borderId="14" xfId="353" applyFont="1" applyFill="1" applyBorder="1" applyAlignment="1" applyProtection="1">
      <alignment horizontal="center" vertical="center"/>
    </xf>
    <xf numFmtId="0" fontId="63" fillId="6" borderId="15" xfId="353" applyFont="1" applyFill="1" applyBorder="1" applyAlignment="1" applyProtection="1">
      <alignment horizontal="center" vertical="center"/>
    </xf>
    <xf numFmtId="0" fontId="63" fillId="6" borderId="25" xfId="353" applyFont="1" applyFill="1" applyBorder="1" applyAlignment="1" applyProtection="1">
      <alignment horizontal="center" vertical="center"/>
    </xf>
    <xf numFmtId="166" fontId="69" fillId="14" borderId="22" xfId="353" applyNumberFormat="1" applyFont="1" applyFill="1" applyBorder="1" applyAlignment="1" applyProtection="1">
      <alignment horizontal="center" vertical="center"/>
      <protection locked="0"/>
    </xf>
    <xf numFmtId="166" fontId="69" fillId="14" borderId="0" xfId="353" applyNumberFormat="1" applyFont="1" applyFill="1" applyBorder="1" applyAlignment="1" applyProtection="1">
      <alignment horizontal="center" vertical="center"/>
      <protection locked="0"/>
    </xf>
    <xf numFmtId="166" fontId="69" fillId="14" borderId="23" xfId="353" applyNumberFormat="1" applyFont="1" applyFill="1" applyBorder="1" applyAlignment="1" applyProtection="1">
      <alignment horizontal="center" vertical="center"/>
      <protection locked="0"/>
    </xf>
    <xf numFmtId="0" fontId="69" fillId="8" borderId="17" xfId="353" applyFont="1" applyFill="1" applyBorder="1" applyAlignment="1" applyProtection="1">
      <alignment vertical="center"/>
    </xf>
    <xf numFmtId="0" fontId="69" fillId="8" borderId="0" xfId="353" applyFont="1" applyFill="1" applyBorder="1" applyAlignment="1" applyProtection="1">
      <alignment vertical="center"/>
    </xf>
    <xf numFmtId="0" fontId="138" fillId="6" borderId="0" xfId="90" applyFont="1" applyFill="1" applyBorder="1" applyAlignment="1" applyProtection="1">
      <alignment horizontal="center" vertical="center"/>
      <protection locked="0"/>
    </xf>
    <xf numFmtId="166" fontId="56" fillId="11" borderId="147" xfId="90" applyNumberFormat="1" applyFont="1" applyFill="1" applyBorder="1" applyAlignment="1" applyProtection="1">
      <alignment horizontal="center" vertical="center"/>
      <protection locked="0"/>
    </xf>
    <xf numFmtId="166" fontId="56" fillId="11" borderId="148" xfId="90" applyNumberFormat="1" applyFont="1" applyFill="1" applyBorder="1" applyAlignment="1" applyProtection="1">
      <alignment horizontal="center" vertical="center"/>
      <protection locked="0"/>
    </xf>
    <xf numFmtId="166" fontId="56" fillId="11" borderId="149" xfId="90" applyNumberFormat="1" applyFont="1" applyFill="1" applyBorder="1" applyAlignment="1" applyProtection="1">
      <alignment horizontal="center" vertical="center"/>
      <protection locked="0"/>
    </xf>
    <xf numFmtId="166" fontId="56" fillId="11" borderId="150" xfId="90" applyNumberFormat="1" applyFont="1" applyFill="1" applyBorder="1" applyAlignment="1" applyProtection="1">
      <alignment horizontal="center" vertical="center"/>
      <protection locked="0"/>
    </xf>
    <xf numFmtId="166" fontId="56" fillId="11" borderId="0" xfId="90" applyNumberFormat="1" applyFont="1" applyFill="1" applyBorder="1" applyAlignment="1" applyProtection="1">
      <alignment horizontal="center" vertical="center"/>
      <protection locked="0"/>
    </xf>
    <xf numFmtId="166" fontId="56" fillId="11" borderId="151" xfId="90" applyNumberFormat="1" applyFont="1" applyFill="1" applyBorder="1" applyAlignment="1" applyProtection="1">
      <alignment horizontal="center" vertical="center"/>
      <protection locked="0"/>
    </xf>
    <xf numFmtId="166" fontId="56" fillId="11" borderId="152" xfId="90" applyNumberFormat="1" applyFont="1" applyFill="1" applyBorder="1" applyAlignment="1" applyProtection="1">
      <alignment horizontal="center" vertical="center"/>
      <protection locked="0"/>
    </xf>
    <xf numFmtId="166" fontId="56" fillId="11" borderId="153" xfId="90" applyNumberFormat="1" applyFont="1" applyFill="1" applyBorder="1" applyAlignment="1" applyProtection="1">
      <alignment horizontal="center" vertical="center"/>
      <protection locked="0"/>
    </xf>
    <xf numFmtId="166" fontId="56" fillId="11" borderId="154" xfId="90" applyNumberFormat="1" applyFont="1" applyFill="1" applyBorder="1" applyAlignment="1" applyProtection="1">
      <alignment horizontal="center" vertical="center"/>
      <protection locked="0"/>
    </xf>
    <xf numFmtId="166" fontId="161" fillId="6" borderId="45" xfId="353" applyNumberFormat="1" applyFont="1" applyFill="1" applyBorder="1" applyAlignment="1" applyProtection="1">
      <alignment horizontal="center" vertical="center"/>
    </xf>
    <xf numFmtId="166" fontId="161" fillId="6" borderId="0" xfId="353" applyNumberFormat="1" applyFont="1" applyFill="1" applyBorder="1" applyAlignment="1" applyProtection="1">
      <alignment horizontal="center" vertical="center"/>
    </xf>
    <xf numFmtId="166" fontId="161" fillId="6" borderId="46" xfId="353" applyNumberFormat="1" applyFont="1" applyFill="1" applyBorder="1" applyAlignment="1" applyProtection="1">
      <alignment horizontal="center" vertical="center"/>
    </xf>
    <xf numFmtId="166" fontId="161" fillId="6" borderId="47" xfId="353" applyNumberFormat="1" applyFont="1" applyFill="1" applyBorder="1" applyAlignment="1" applyProtection="1">
      <alignment horizontal="center" vertical="center"/>
    </xf>
    <xf numFmtId="166" fontId="161" fillId="6" borderId="48" xfId="353" applyNumberFormat="1" applyFont="1" applyFill="1" applyBorder="1" applyAlignment="1" applyProtection="1">
      <alignment horizontal="center" vertical="center"/>
    </xf>
    <xf numFmtId="166" fontId="161" fillId="6" borderId="49" xfId="353" applyNumberFormat="1" applyFont="1" applyFill="1" applyBorder="1" applyAlignment="1" applyProtection="1">
      <alignment horizontal="center" vertical="center"/>
    </xf>
    <xf numFmtId="166" fontId="309" fillId="6" borderId="17" xfId="353" applyNumberFormat="1" applyFont="1" applyFill="1" applyBorder="1" applyAlignment="1" applyProtection="1">
      <alignment horizontal="center" vertical="center"/>
    </xf>
    <xf numFmtId="166" fontId="309" fillId="6" borderId="0" xfId="353" applyNumberFormat="1" applyFont="1" applyFill="1" applyBorder="1" applyAlignment="1" applyProtection="1">
      <alignment horizontal="center" vertical="center"/>
    </xf>
    <xf numFmtId="166" fontId="309" fillId="6" borderId="18" xfId="353" applyNumberFormat="1" applyFont="1" applyFill="1" applyBorder="1" applyAlignment="1" applyProtection="1">
      <alignment horizontal="center" vertical="center"/>
    </xf>
    <xf numFmtId="166" fontId="309" fillId="6" borderId="19" xfId="353" applyNumberFormat="1" applyFont="1" applyFill="1" applyBorder="1" applyAlignment="1" applyProtection="1">
      <alignment horizontal="center" vertical="center"/>
    </xf>
    <xf numFmtId="166" fontId="309" fillId="6" borderId="20" xfId="353" applyNumberFormat="1" applyFont="1" applyFill="1" applyBorder="1" applyAlignment="1" applyProtection="1">
      <alignment horizontal="center" vertical="center"/>
    </xf>
    <xf numFmtId="166" fontId="309" fillId="6" borderId="21" xfId="353" applyNumberFormat="1" applyFont="1" applyFill="1" applyBorder="1" applyAlignment="1" applyProtection="1">
      <alignment horizontal="center" vertical="center"/>
    </xf>
    <xf numFmtId="0" fontId="63" fillId="8" borderId="12" xfId="353" applyFont="1" applyFill="1" applyBorder="1" applyAlignment="1" applyProtection="1">
      <alignment horizontal="center" vertical="center"/>
    </xf>
    <xf numFmtId="0" fontId="63" fillId="8" borderId="24" xfId="353" applyFont="1" applyFill="1" applyBorder="1" applyAlignment="1" applyProtection="1">
      <alignment horizontal="center" vertical="center"/>
    </xf>
    <xf numFmtId="0" fontId="63" fillId="8" borderId="14" xfId="353" applyFont="1" applyFill="1" applyBorder="1" applyAlignment="1" applyProtection="1">
      <alignment horizontal="center" vertical="center"/>
    </xf>
    <xf numFmtId="0" fontId="63" fillId="8" borderId="15" xfId="353" applyFont="1" applyFill="1" applyBorder="1" applyAlignment="1" applyProtection="1">
      <alignment horizontal="center" vertical="center"/>
    </xf>
    <xf numFmtId="0" fontId="63" fillId="8" borderId="25" xfId="353" applyFont="1" applyFill="1" applyBorder="1" applyAlignment="1" applyProtection="1">
      <alignment horizontal="center" vertical="center"/>
    </xf>
    <xf numFmtId="0" fontId="138" fillId="6" borderId="0" xfId="353" applyFont="1" applyFill="1" applyBorder="1" applyAlignment="1" applyProtection="1">
      <alignment horizontal="center" vertical="center"/>
      <protection locked="0"/>
    </xf>
    <xf numFmtId="0" fontId="138" fillId="6" borderId="23" xfId="353" applyFont="1" applyFill="1" applyBorder="1" applyAlignment="1" applyProtection="1">
      <alignment horizontal="center" vertical="center"/>
      <protection locked="0"/>
    </xf>
    <xf numFmtId="0" fontId="69" fillId="6" borderId="0" xfId="353" applyFont="1" applyFill="1" applyBorder="1" applyAlignment="1" applyProtection="1">
      <alignment horizontal="center" vertical="center"/>
      <protection locked="0"/>
    </xf>
    <xf numFmtId="0" fontId="69" fillId="6" borderId="23" xfId="353" applyFont="1" applyFill="1" applyBorder="1" applyAlignment="1" applyProtection="1">
      <alignment horizontal="center" vertical="center"/>
      <protection locked="0"/>
    </xf>
    <xf numFmtId="173" fontId="140" fillId="6" borderId="146" xfId="90" applyNumberFormat="1" applyFont="1" applyFill="1" applyBorder="1" applyAlignment="1" applyProtection="1">
      <alignment horizontal="center" vertical="center"/>
      <protection locked="0"/>
    </xf>
    <xf numFmtId="0" fontId="140" fillId="6" borderId="146" xfId="90" applyFont="1" applyFill="1" applyBorder="1" applyAlignment="1" applyProtection="1">
      <alignment horizontal="center" vertical="center"/>
      <protection locked="0"/>
    </xf>
    <xf numFmtId="166" fontId="56" fillId="19" borderId="284" xfId="353" applyNumberFormat="1" applyFont="1" applyFill="1" applyBorder="1" applyAlignment="1" applyProtection="1">
      <alignment horizontal="center" vertical="center"/>
    </xf>
    <xf numFmtId="166" fontId="56" fillId="19" borderId="155" xfId="353" applyNumberFormat="1" applyFont="1" applyFill="1" applyBorder="1" applyAlignment="1" applyProtection="1">
      <alignment horizontal="center" vertical="center"/>
    </xf>
    <xf numFmtId="166" fontId="56" fillId="19" borderId="285" xfId="353" applyNumberFormat="1" applyFont="1" applyFill="1" applyBorder="1" applyAlignment="1" applyProtection="1">
      <alignment horizontal="center" vertical="center"/>
    </xf>
    <xf numFmtId="166" fontId="56" fillId="19" borderId="286" xfId="353" applyNumberFormat="1" applyFont="1" applyFill="1" applyBorder="1" applyAlignment="1" applyProtection="1">
      <alignment horizontal="center" vertical="center"/>
    </xf>
    <xf numFmtId="166" fontId="56" fillId="19" borderId="135" xfId="353" applyNumberFormat="1" applyFont="1" applyFill="1" applyBorder="1" applyAlignment="1" applyProtection="1">
      <alignment horizontal="center" vertical="center"/>
    </xf>
    <xf numFmtId="166" fontId="56" fillId="19" borderId="287" xfId="353" applyNumberFormat="1" applyFont="1" applyFill="1" applyBorder="1" applyAlignment="1" applyProtection="1">
      <alignment horizontal="center" vertical="center"/>
    </xf>
    <xf numFmtId="166" fontId="56" fillId="19" borderId="288" xfId="353" applyNumberFormat="1" applyFont="1" applyFill="1" applyBorder="1" applyAlignment="1" applyProtection="1">
      <alignment horizontal="center" vertical="center"/>
    </xf>
    <xf numFmtId="166" fontId="56" fillId="19" borderId="289" xfId="353" applyNumberFormat="1" applyFont="1" applyFill="1" applyBorder="1" applyAlignment="1" applyProtection="1">
      <alignment horizontal="center" vertical="center"/>
    </xf>
    <xf numFmtId="166" fontId="56" fillId="19" borderId="290" xfId="353" applyNumberFormat="1" applyFont="1" applyFill="1" applyBorder="1" applyAlignment="1" applyProtection="1">
      <alignment horizontal="center" vertical="center"/>
    </xf>
    <xf numFmtId="166" fontId="69" fillId="6" borderId="22" xfId="353" applyNumberFormat="1" applyFont="1" applyFill="1" applyBorder="1" applyAlignment="1" applyProtection="1">
      <alignment horizontal="center" vertical="center"/>
    </xf>
    <xf numFmtId="0" fontId="69" fillId="6" borderId="0" xfId="353" applyFont="1" applyFill="1" applyBorder="1" applyAlignment="1" applyProtection="1">
      <alignment horizontal="center" vertical="center"/>
    </xf>
    <xf numFmtId="0" fontId="69" fillId="6" borderId="23" xfId="353" applyFont="1" applyFill="1" applyBorder="1" applyAlignment="1" applyProtection="1">
      <alignment horizontal="center" vertical="center"/>
    </xf>
    <xf numFmtId="0" fontId="69" fillId="6" borderId="14" xfId="353" applyFont="1" applyFill="1" applyBorder="1" applyAlignment="1" applyProtection="1">
      <alignment horizontal="center" vertical="center"/>
    </xf>
    <xf numFmtId="0" fontId="69" fillId="6" borderId="15" xfId="353" applyFont="1" applyFill="1" applyBorder="1" applyAlignment="1" applyProtection="1">
      <alignment horizontal="center" vertical="center"/>
    </xf>
    <xf numFmtId="0" fontId="69" fillId="6" borderId="16" xfId="353" applyFont="1" applyFill="1" applyBorder="1" applyAlignment="1" applyProtection="1">
      <alignment horizontal="center" vertical="center"/>
    </xf>
    <xf numFmtId="0" fontId="63" fillId="6" borderId="60" xfId="353" applyFont="1" applyFill="1" applyBorder="1" applyAlignment="1" applyProtection="1">
      <alignment horizontal="center" vertical="center"/>
    </xf>
    <xf numFmtId="0" fontId="63" fillId="6" borderId="61" xfId="353" applyFont="1" applyFill="1" applyBorder="1" applyAlignment="1" applyProtection="1">
      <alignment horizontal="center" vertical="center"/>
    </xf>
    <xf numFmtId="0" fontId="63" fillId="6" borderId="62" xfId="353" applyFont="1" applyFill="1" applyBorder="1" applyAlignment="1" applyProtection="1">
      <alignment horizontal="center" vertical="center"/>
    </xf>
    <xf numFmtId="166" fontId="124" fillId="14" borderId="53" xfId="353" applyNumberFormat="1" applyFont="1" applyFill="1" applyBorder="1" applyAlignment="1" applyProtection="1">
      <alignment horizontal="center" vertical="center"/>
      <protection locked="0"/>
    </xf>
    <xf numFmtId="166" fontId="124" fillId="14" borderId="0" xfId="353" applyNumberFormat="1" applyFont="1" applyFill="1" applyBorder="1" applyAlignment="1" applyProtection="1">
      <alignment horizontal="center" vertical="center"/>
      <protection locked="0"/>
    </xf>
    <xf numFmtId="166" fontId="124" fillId="14" borderId="54" xfId="353" applyNumberFormat="1" applyFont="1" applyFill="1" applyBorder="1" applyAlignment="1" applyProtection="1">
      <alignment horizontal="center" vertical="center"/>
      <protection locked="0"/>
    </xf>
    <xf numFmtId="166" fontId="124" fillId="14" borderId="55" xfId="353" applyNumberFormat="1" applyFont="1" applyFill="1" applyBorder="1" applyAlignment="1" applyProtection="1">
      <alignment horizontal="center" vertical="center"/>
      <protection locked="0"/>
    </xf>
    <xf numFmtId="166" fontId="124" fillId="14" borderId="56" xfId="353" applyNumberFormat="1" applyFont="1" applyFill="1" applyBorder="1" applyAlignment="1" applyProtection="1">
      <alignment horizontal="center" vertical="center"/>
      <protection locked="0"/>
    </xf>
    <xf numFmtId="166" fontId="124" fillId="14" borderId="57" xfId="353" applyNumberFormat="1" applyFont="1" applyFill="1" applyBorder="1" applyAlignment="1" applyProtection="1">
      <alignment horizontal="center" vertical="center"/>
      <protection locked="0"/>
    </xf>
    <xf numFmtId="166" fontId="163" fillId="6" borderId="167" xfId="353" applyNumberFormat="1" applyFont="1" applyFill="1" applyBorder="1" applyAlignment="1" applyProtection="1">
      <alignment horizontal="center" vertical="center"/>
    </xf>
    <xf numFmtId="166" fontId="163" fillId="6" borderId="168" xfId="353" applyNumberFormat="1" applyFont="1" applyFill="1" applyBorder="1" applyAlignment="1" applyProtection="1">
      <alignment horizontal="center" vertical="center"/>
    </xf>
    <xf numFmtId="166" fontId="163" fillId="6" borderId="169" xfId="353" applyNumberFormat="1" applyFont="1" applyFill="1" applyBorder="1" applyAlignment="1" applyProtection="1">
      <alignment horizontal="center" vertical="center"/>
    </xf>
    <xf numFmtId="166" fontId="163" fillId="6" borderId="170" xfId="353" applyNumberFormat="1" applyFont="1" applyFill="1" applyBorder="1" applyAlignment="1" applyProtection="1">
      <alignment horizontal="center" vertical="center"/>
    </xf>
    <xf numFmtId="166" fontId="163" fillId="6" borderId="0" xfId="353" applyNumberFormat="1" applyFont="1" applyFill="1" applyBorder="1" applyAlignment="1" applyProtection="1">
      <alignment horizontal="center" vertical="center"/>
    </xf>
    <xf numFmtId="166" fontId="163" fillId="6" borderId="166" xfId="353" applyNumberFormat="1" applyFont="1" applyFill="1" applyBorder="1" applyAlignment="1" applyProtection="1">
      <alignment horizontal="center" vertical="center"/>
    </xf>
    <xf numFmtId="166" fontId="163" fillId="6" borderId="171" xfId="353" applyNumberFormat="1" applyFont="1" applyFill="1" applyBorder="1" applyAlignment="1" applyProtection="1">
      <alignment horizontal="center" vertical="center"/>
    </xf>
    <xf numFmtId="166" fontId="163" fillId="6" borderId="172" xfId="353" applyNumberFormat="1" applyFont="1" applyFill="1" applyBorder="1" applyAlignment="1" applyProtection="1">
      <alignment horizontal="center" vertical="center"/>
    </xf>
    <xf numFmtId="166" fontId="163" fillId="6" borderId="173" xfId="353" applyNumberFormat="1" applyFont="1" applyFill="1" applyBorder="1" applyAlignment="1" applyProtection="1">
      <alignment horizontal="center" vertical="center"/>
    </xf>
    <xf numFmtId="0" fontId="63" fillId="6" borderId="12" xfId="353" applyFont="1" applyFill="1" applyBorder="1" applyAlignment="1" applyProtection="1">
      <alignment horizontal="center" vertical="center"/>
    </xf>
    <xf numFmtId="0" fontId="63" fillId="6" borderId="24" xfId="353" applyFont="1" applyFill="1" applyBorder="1" applyAlignment="1" applyProtection="1">
      <alignment horizontal="center" vertical="center"/>
    </xf>
    <xf numFmtId="0" fontId="63" fillId="6" borderId="22" xfId="353" applyFont="1" applyFill="1" applyBorder="1" applyAlignment="1" applyProtection="1">
      <alignment horizontal="center" vertical="center"/>
    </xf>
    <xf numFmtId="0" fontId="63" fillId="6" borderId="0" xfId="353" applyFont="1" applyFill="1" applyBorder="1" applyAlignment="1" applyProtection="1">
      <alignment horizontal="center" vertical="center"/>
    </xf>
    <xf numFmtId="0" fontId="63" fillId="6" borderId="18" xfId="353" applyFont="1" applyFill="1" applyBorder="1" applyAlignment="1" applyProtection="1">
      <alignment horizontal="center" vertical="center"/>
    </xf>
    <xf numFmtId="0" fontId="109" fillId="21" borderId="86" xfId="90" applyFont="1" applyFill="1" applyBorder="1" applyAlignment="1" applyProtection="1">
      <alignment horizontal="center"/>
    </xf>
    <xf numFmtId="0" fontId="79" fillId="6" borderId="30" xfId="90" applyFont="1" applyFill="1" applyBorder="1" applyAlignment="1" applyProtection="1">
      <alignment horizontal="center" vertical="center"/>
      <protection locked="0" hidden="1"/>
    </xf>
    <xf numFmtId="168" fontId="258" fillId="6" borderId="0" xfId="90" applyNumberFormat="1" applyFont="1" applyFill="1" applyBorder="1" applyAlignment="1" applyProtection="1">
      <alignment horizontal="center" vertical="center"/>
      <protection locked="0"/>
    </xf>
    <xf numFmtId="168" fontId="258" fillId="6" borderId="30" xfId="90" applyNumberFormat="1" applyFont="1" applyFill="1" applyBorder="1" applyAlignment="1" applyProtection="1">
      <alignment horizontal="center" vertical="center"/>
      <protection locked="0"/>
    </xf>
    <xf numFmtId="168" fontId="258" fillId="6" borderId="32" xfId="90" applyNumberFormat="1" applyFont="1" applyFill="1" applyBorder="1" applyAlignment="1" applyProtection="1">
      <alignment horizontal="center" vertical="center"/>
      <protection locked="0"/>
    </xf>
    <xf numFmtId="168" fontId="258" fillId="6" borderId="33" xfId="90" applyNumberFormat="1" applyFont="1" applyFill="1" applyBorder="1" applyAlignment="1" applyProtection="1">
      <alignment horizontal="center" vertical="center"/>
      <protection locked="0"/>
    </xf>
    <xf numFmtId="166" fontId="256" fillId="6" borderId="0" xfId="353" applyNumberFormat="1" applyFont="1" applyFill="1" applyBorder="1" applyAlignment="1" applyProtection="1">
      <alignment horizontal="center" vertical="center"/>
      <protection locked="0"/>
    </xf>
    <xf numFmtId="166" fontId="256" fillId="6" borderId="32" xfId="353" applyNumberFormat="1" applyFont="1" applyFill="1" applyBorder="1" applyAlignment="1" applyProtection="1">
      <alignment horizontal="center" vertical="center"/>
      <protection locked="0"/>
    </xf>
    <xf numFmtId="0" fontId="107" fillId="6" borderId="0" xfId="90" applyFont="1" applyFill="1" applyBorder="1" applyAlignment="1" applyProtection="1">
      <alignment horizontal="center"/>
      <protection locked="0" hidden="1"/>
    </xf>
    <xf numFmtId="0" fontId="107" fillId="6" borderId="109" xfId="90" applyFont="1" applyFill="1" applyBorder="1" applyAlignment="1" applyProtection="1">
      <alignment horizontal="center"/>
      <protection locked="0" hidden="1"/>
    </xf>
    <xf numFmtId="0" fontId="107" fillId="6" borderId="30" xfId="90" applyFont="1" applyFill="1" applyBorder="1" applyAlignment="1" applyProtection="1">
      <alignment horizontal="center"/>
      <protection locked="0" hidden="1"/>
    </xf>
    <xf numFmtId="166" fontId="271" fillId="14" borderId="27" xfId="353" applyNumberFormat="1" applyFont="1" applyFill="1" applyBorder="1" applyAlignment="1" applyProtection="1">
      <alignment horizontal="center" vertical="center"/>
      <protection locked="0"/>
    </xf>
    <xf numFmtId="166" fontId="271" fillId="14" borderId="28" xfId="353" applyNumberFormat="1" applyFont="1" applyFill="1" applyBorder="1" applyAlignment="1" applyProtection="1">
      <alignment horizontal="center" vertical="center"/>
      <protection locked="0"/>
    </xf>
    <xf numFmtId="166" fontId="271" fillId="14" borderId="0" xfId="353" applyNumberFormat="1" applyFont="1" applyFill="1" applyBorder="1" applyAlignment="1" applyProtection="1">
      <alignment horizontal="center" vertical="center"/>
      <protection locked="0"/>
    </xf>
    <xf numFmtId="166" fontId="271" fillId="14" borderId="30" xfId="353" applyNumberFormat="1" applyFont="1" applyFill="1" applyBorder="1" applyAlignment="1" applyProtection="1">
      <alignment horizontal="center" vertical="center"/>
      <protection locked="0"/>
    </xf>
    <xf numFmtId="166" fontId="271" fillId="14" borderId="32" xfId="353" applyNumberFormat="1" applyFont="1" applyFill="1" applyBorder="1" applyAlignment="1" applyProtection="1">
      <alignment horizontal="center" vertical="center"/>
      <protection locked="0"/>
    </xf>
    <xf numFmtId="166" fontId="271" fillId="14" borderId="33" xfId="353" applyNumberFormat="1" applyFont="1" applyFill="1" applyBorder="1" applyAlignment="1" applyProtection="1">
      <alignment horizontal="center" vertical="center"/>
      <protection locked="0"/>
    </xf>
    <xf numFmtId="166" fontId="56" fillId="11" borderId="26" xfId="353" applyNumberFormat="1" applyFont="1" applyFill="1" applyBorder="1" applyAlignment="1" applyProtection="1">
      <alignment horizontal="right" vertical="center" indent="4"/>
    </xf>
    <xf numFmtId="166" fontId="56" fillId="11" borderId="27" xfId="353" applyNumberFormat="1" applyFont="1" applyFill="1" applyBorder="1" applyAlignment="1" applyProtection="1">
      <alignment horizontal="right" vertical="center" indent="4"/>
    </xf>
    <xf numFmtId="166" fontId="56" fillId="11" borderId="29" xfId="353" applyNumberFormat="1" applyFont="1" applyFill="1" applyBorder="1" applyAlignment="1" applyProtection="1">
      <alignment horizontal="right" vertical="center" indent="4"/>
    </xf>
    <xf numFmtId="166" fontId="56" fillId="11" borderId="0" xfId="353" applyNumberFormat="1" applyFont="1" applyFill="1" applyBorder="1" applyAlignment="1" applyProtection="1">
      <alignment horizontal="right" vertical="center" indent="4"/>
    </xf>
    <xf numFmtId="166" fontId="56" fillId="11" borderId="31" xfId="353" applyNumberFormat="1" applyFont="1" applyFill="1" applyBorder="1" applyAlignment="1" applyProtection="1">
      <alignment horizontal="right" vertical="center" indent="4"/>
    </xf>
    <xf numFmtId="166" fontId="56" fillId="11" borderId="32" xfId="353" applyNumberFormat="1" applyFont="1" applyFill="1" applyBorder="1" applyAlignment="1" applyProtection="1">
      <alignment horizontal="right" vertical="center" indent="4"/>
    </xf>
    <xf numFmtId="0" fontId="257" fillId="6" borderId="29" xfId="90" applyFont="1" applyFill="1" applyBorder="1" applyAlignment="1" applyProtection="1">
      <alignment horizontal="right" vertical="center"/>
      <protection locked="0"/>
    </xf>
    <xf numFmtId="0" fontId="257" fillId="6" borderId="0" xfId="90" applyFont="1" applyFill="1" applyBorder="1" applyAlignment="1" applyProtection="1">
      <alignment horizontal="right" vertical="center"/>
      <protection locked="0"/>
    </xf>
    <xf numFmtId="0" fontId="3" fillId="6" borderId="0" xfId="90" applyFont="1" applyFill="1" applyBorder="1" applyAlignment="1" applyProtection="1">
      <alignment horizontal="center" vertical="center"/>
      <protection locked="0"/>
    </xf>
    <xf numFmtId="0" fontId="7" fillId="6" borderId="133" xfId="90" applyFont="1" applyFill="1" applyBorder="1" applyAlignment="1" applyProtection="1">
      <alignment horizontal="center" vertical="center"/>
      <protection locked="0"/>
    </xf>
    <xf numFmtId="0" fontId="7" fillId="6" borderId="0" xfId="90" applyFont="1" applyFill="1" applyBorder="1" applyAlignment="1" applyProtection="1">
      <alignment horizontal="center" vertical="center"/>
      <protection locked="0"/>
    </xf>
    <xf numFmtId="2" fontId="121" fillId="14" borderId="126" xfId="90" applyNumberFormat="1" applyFont="1" applyFill="1" applyBorder="1" applyAlignment="1" applyProtection="1">
      <alignment horizontal="center" vertical="center"/>
      <protection locked="0"/>
    </xf>
    <xf numFmtId="2" fontId="121" fillId="14" borderId="108" xfId="90" applyNumberFormat="1" applyFont="1" applyFill="1" applyBorder="1" applyAlignment="1" applyProtection="1">
      <alignment horizontal="center" vertical="center"/>
      <protection locked="0"/>
    </xf>
    <xf numFmtId="2" fontId="121" fillId="14" borderId="132" xfId="90" applyNumberFormat="1" applyFont="1" applyFill="1" applyBorder="1" applyAlignment="1" applyProtection="1">
      <alignment horizontal="center" vertical="center"/>
      <protection locked="0"/>
    </xf>
    <xf numFmtId="2" fontId="121" fillId="14" borderId="128" xfId="90" applyNumberFormat="1" applyFont="1" applyFill="1" applyBorder="1" applyAlignment="1" applyProtection="1">
      <alignment horizontal="center" vertical="center"/>
      <protection locked="0"/>
    </xf>
    <xf numFmtId="2" fontId="121" fillId="14" borderId="0" xfId="90" applyNumberFormat="1" applyFont="1" applyFill="1" applyBorder="1" applyAlignment="1" applyProtection="1">
      <alignment horizontal="center" vertical="center"/>
      <protection locked="0"/>
    </xf>
    <xf numFmtId="2" fontId="121" fillId="14" borderId="133" xfId="90" applyNumberFormat="1" applyFont="1" applyFill="1" applyBorder="1" applyAlignment="1" applyProtection="1">
      <alignment horizontal="center" vertical="center"/>
      <protection locked="0"/>
    </xf>
    <xf numFmtId="2" fontId="121" fillId="14" borderId="130" xfId="90" applyNumberFormat="1" applyFont="1" applyFill="1" applyBorder="1" applyAlignment="1" applyProtection="1">
      <alignment horizontal="center" vertical="center"/>
      <protection locked="0"/>
    </xf>
    <xf numFmtId="2" fontId="121" fillId="14" borderId="109" xfId="90" applyNumberFormat="1" applyFont="1" applyFill="1" applyBorder="1" applyAlignment="1" applyProtection="1">
      <alignment horizontal="center" vertical="center"/>
      <protection locked="0"/>
    </xf>
    <xf numFmtId="2" fontId="121" fillId="14" borderId="131" xfId="90" applyNumberFormat="1" applyFont="1" applyFill="1" applyBorder="1" applyAlignment="1" applyProtection="1">
      <alignment horizontal="center" vertical="center"/>
      <protection locked="0"/>
    </xf>
    <xf numFmtId="166" fontId="121" fillId="6" borderId="126" xfId="90" applyNumberFormat="1" applyFont="1" applyFill="1" applyBorder="1" applyAlignment="1" applyProtection="1">
      <alignment horizontal="center" vertical="center"/>
      <protection locked="0"/>
    </xf>
    <xf numFmtId="166" fontId="121" fillId="6" borderId="108" xfId="90" applyNumberFormat="1" applyFont="1" applyFill="1" applyBorder="1" applyAlignment="1" applyProtection="1">
      <alignment horizontal="center" vertical="center"/>
      <protection locked="0"/>
    </xf>
    <xf numFmtId="166" fontId="121" fillId="6" borderId="132" xfId="90" applyNumberFormat="1" applyFont="1" applyFill="1" applyBorder="1" applyAlignment="1" applyProtection="1">
      <alignment horizontal="center" vertical="center"/>
      <protection locked="0"/>
    </xf>
    <xf numFmtId="0" fontId="239" fillId="6" borderId="29" xfId="90" applyFont="1" applyFill="1" applyBorder="1" applyAlignment="1" applyProtection="1">
      <alignment horizontal="right" vertical="center"/>
      <protection locked="0"/>
    </xf>
    <xf numFmtId="0" fontId="239" fillId="6" borderId="0" xfId="90" applyFont="1" applyFill="1" applyBorder="1" applyAlignment="1" applyProtection="1">
      <alignment horizontal="right" vertical="center"/>
      <protection locked="0"/>
    </xf>
    <xf numFmtId="169" fontId="121" fillId="14" borderId="126" xfId="22" applyNumberFormat="1" applyFont="1" applyFill="1" applyBorder="1" applyAlignment="1" applyProtection="1">
      <alignment horizontal="center" vertical="center"/>
      <protection locked="0"/>
    </xf>
    <xf numFmtId="169" fontId="121" fillId="14" borderId="108" xfId="22" applyNumberFormat="1" applyFont="1" applyFill="1" applyBorder="1" applyAlignment="1" applyProtection="1">
      <alignment horizontal="center" vertical="center"/>
      <protection locked="0"/>
    </xf>
    <xf numFmtId="169" fontId="121" fillId="14" borderId="132" xfId="22" applyNumberFormat="1" applyFont="1" applyFill="1" applyBorder="1" applyAlignment="1" applyProtection="1">
      <alignment horizontal="center" vertical="center"/>
      <protection locked="0"/>
    </xf>
    <xf numFmtId="169" fontId="121" fillId="14" borderId="128" xfId="22" applyNumberFormat="1" applyFont="1" applyFill="1" applyBorder="1" applyAlignment="1" applyProtection="1">
      <alignment horizontal="center" vertical="center"/>
      <protection locked="0"/>
    </xf>
    <xf numFmtId="169" fontId="121" fillId="14" borderId="0" xfId="22" applyNumberFormat="1" applyFont="1" applyFill="1" applyBorder="1" applyAlignment="1" applyProtection="1">
      <alignment horizontal="center" vertical="center"/>
      <protection locked="0"/>
    </xf>
    <xf numFmtId="169" fontId="121" fillId="14" borderId="133" xfId="22" applyNumberFormat="1" applyFont="1" applyFill="1" applyBorder="1" applyAlignment="1" applyProtection="1">
      <alignment horizontal="center" vertical="center"/>
      <protection locked="0"/>
    </xf>
    <xf numFmtId="169" fontId="121" fillId="14" borderId="130" xfId="22" applyNumberFormat="1" applyFont="1" applyFill="1" applyBorder="1" applyAlignment="1" applyProtection="1">
      <alignment horizontal="center" vertical="center"/>
      <protection locked="0"/>
    </xf>
    <xf numFmtId="169" fontId="121" fillId="14" borderId="109" xfId="22" applyNumberFormat="1" applyFont="1" applyFill="1" applyBorder="1" applyAlignment="1" applyProtection="1">
      <alignment horizontal="center" vertical="center"/>
      <protection locked="0"/>
    </xf>
    <xf numFmtId="169" fontId="121" fillId="14" borderId="131" xfId="22" applyNumberFormat="1" applyFont="1" applyFill="1" applyBorder="1" applyAlignment="1" applyProtection="1">
      <alignment horizontal="center" vertical="center"/>
      <protection locked="0"/>
    </xf>
    <xf numFmtId="0" fontId="79" fillId="6" borderId="150" xfId="90" applyFont="1" applyFill="1" applyBorder="1" applyAlignment="1" applyProtection="1">
      <alignment horizontal="center"/>
      <protection locked="0" hidden="1"/>
    </xf>
    <xf numFmtId="0" fontId="79" fillId="6" borderId="0" xfId="90" applyFont="1" applyFill="1" applyBorder="1" applyAlignment="1" applyProtection="1">
      <alignment horizontal="center"/>
      <protection locked="0" hidden="1"/>
    </xf>
    <xf numFmtId="0" fontId="79" fillId="6" borderId="151" xfId="90" applyFont="1" applyFill="1" applyBorder="1" applyAlignment="1" applyProtection="1">
      <alignment horizontal="center"/>
      <protection locked="0" hidden="1"/>
    </xf>
    <xf numFmtId="169" fontId="258" fillId="6" borderId="150" xfId="22" applyNumberFormat="1" applyFont="1" applyFill="1" applyBorder="1" applyAlignment="1" applyProtection="1">
      <alignment horizontal="center" vertical="center"/>
      <protection locked="0"/>
    </xf>
    <xf numFmtId="169" fontId="258" fillId="6" borderId="152" xfId="22" applyNumberFormat="1" applyFont="1" applyFill="1" applyBorder="1" applyAlignment="1" applyProtection="1">
      <alignment horizontal="center" vertical="center"/>
      <protection locked="0"/>
    </xf>
    <xf numFmtId="169" fontId="258" fillId="6" borderId="153" xfId="22" applyNumberFormat="1" applyFont="1" applyFill="1" applyBorder="1" applyAlignment="1" applyProtection="1">
      <alignment horizontal="center" vertical="center"/>
      <protection locked="0"/>
    </xf>
    <xf numFmtId="168" fontId="258" fillId="6" borderId="151" xfId="90" applyNumberFormat="1" applyFont="1" applyFill="1" applyBorder="1" applyAlignment="1" applyProtection="1">
      <alignment horizontal="center" vertical="center"/>
      <protection locked="0"/>
    </xf>
    <xf numFmtId="168" fontId="258" fillId="6" borderId="153" xfId="90" applyNumberFormat="1" applyFont="1" applyFill="1" applyBorder="1" applyAlignment="1" applyProtection="1">
      <alignment horizontal="center" vertical="center"/>
      <protection locked="0"/>
    </xf>
    <xf numFmtId="168" fontId="258" fillId="6" borderId="154" xfId="90" applyNumberFormat="1" applyFont="1" applyFill="1" applyBorder="1" applyAlignment="1" applyProtection="1">
      <alignment horizontal="center" vertical="center"/>
      <protection locked="0"/>
    </xf>
    <xf numFmtId="0" fontId="132" fillId="21" borderId="0" xfId="353" applyFont="1" applyFill="1" applyBorder="1" applyAlignment="1" applyProtection="1">
      <alignment horizontal="center" vertical="center"/>
    </xf>
    <xf numFmtId="169" fontId="121" fillId="14" borderId="234" xfId="22" applyNumberFormat="1" applyFont="1" applyFill="1" applyBorder="1" applyAlignment="1" applyProtection="1">
      <alignment horizontal="center" vertical="center"/>
      <protection locked="0"/>
    </xf>
    <xf numFmtId="169" fontId="121" fillId="14" borderId="235" xfId="22" applyNumberFormat="1" applyFont="1" applyFill="1" applyBorder="1" applyAlignment="1" applyProtection="1">
      <alignment horizontal="center" vertical="center"/>
      <protection locked="0"/>
    </xf>
    <xf numFmtId="169" fontId="121" fillId="14" borderId="236" xfId="22" applyNumberFormat="1" applyFont="1" applyFill="1" applyBorder="1" applyAlignment="1" applyProtection="1">
      <alignment horizontal="center" vertical="center"/>
      <protection locked="0"/>
    </xf>
    <xf numFmtId="0" fontId="69" fillId="6" borderId="29" xfId="90" applyFont="1" applyFill="1" applyBorder="1" applyAlignment="1" applyProtection="1">
      <alignment horizontal="right" vertical="center" indent="1"/>
      <protection locked="0" hidden="1"/>
    </xf>
    <xf numFmtId="166" fontId="56" fillId="16" borderId="17" xfId="353" applyNumberFormat="1" applyFont="1" applyFill="1" applyBorder="1" applyAlignment="1" applyProtection="1">
      <alignment horizontal="center" vertical="center"/>
    </xf>
    <xf numFmtId="166" fontId="56" fillId="16" borderId="0" xfId="353" applyNumberFormat="1" applyFont="1" applyFill="1" applyBorder="1" applyAlignment="1" applyProtection="1">
      <alignment horizontal="center" vertical="center"/>
    </xf>
    <xf numFmtId="166" fontId="56" fillId="16" borderId="18" xfId="353" applyNumberFormat="1" applyFont="1" applyFill="1" applyBorder="1" applyAlignment="1" applyProtection="1">
      <alignment horizontal="center" vertical="center"/>
    </xf>
    <xf numFmtId="166" fontId="56" fillId="17" borderId="136" xfId="353" applyNumberFormat="1" applyFont="1" applyFill="1" applyBorder="1" applyAlignment="1" applyProtection="1">
      <alignment horizontal="center" vertical="center"/>
    </xf>
    <xf numFmtId="166" fontId="56" fillId="17" borderId="137" xfId="353" applyNumberFormat="1" applyFont="1" applyFill="1" applyBorder="1" applyAlignment="1" applyProtection="1">
      <alignment horizontal="center" vertical="center"/>
    </xf>
    <xf numFmtId="166" fontId="56" fillId="17" borderId="138" xfId="353" applyNumberFormat="1" applyFont="1" applyFill="1" applyBorder="1" applyAlignment="1" applyProtection="1">
      <alignment horizontal="center" vertical="center"/>
    </xf>
    <xf numFmtId="166" fontId="56" fillId="17" borderId="139" xfId="353" applyNumberFormat="1" applyFont="1" applyFill="1" applyBorder="1" applyAlignment="1" applyProtection="1">
      <alignment horizontal="center" vertical="center"/>
    </xf>
    <xf numFmtId="166" fontId="56" fillId="17" borderId="135" xfId="353" applyNumberFormat="1" applyFont="1" applyFill="1" applyBorder="1" applyAlignment="1" applyProtection="1">
      <alignment horizontal="center" vertical="center"/>
    </xf>
    <xf numFmtId="166" fontId="56" fillId="17" borderId="140" xfId="353" applyNumberFormat="1" applyFont="1" applyFill="1" applyBorder="1" applyAlignment="1" applyProtection="1">
      <alignment horizontal="center" vertical="center"/>
    </xf>
    <xf numFmtId="166" fontId="56" fillId="17" borderId="141" xfId="353" applyNumberFormat="1" applyFont="1" applyFill="1" applyBorder="1" applyAlignment="1" applyProtection="1">
      <alignment horizontal="center" vertical="center"/>
    </xf>
    <xf numFmtId="166" fontId="56" fillId="17" borderId="142" xfId="353" applyNumberFormat="1" applyFont="1" applyFill="1" applyBorder="1" applyAlignment="1" applyProtection="1">
      <alignment horizontal="center" vertical="center"/>
    </xf>
    <xf numFmtId="166" fontId="56" fillId="17" borderId="143" xfId="353" applyNumberFormat="1" applyFont="1" applyFill="1" applyBorder="1" applyAlignment="1" applyProtection="1">
      <alignment horizontal="center" vertical="center"/>
    </xf>
    <xf numFmtId="166" fontId="56" fillId="20" borderId="53" xfId="353" applyNumberFormat="1" applyFont="1" applyFill="1" applyBorder="1" applyAlignment="1" applyProtection="1">
      <alignment horizontal="center" vertical="center"/>
    </xf>
    <xf numFmtId="166" fontId="56" fillId="20" borderId="0" xfId="353" applyNumberFormat="1" applyFont="1" applyFill="1" applyBorder="1" applyAlignment="1" applyProtection="1">
      <alignment horizontal="center" vertical="center"/>
    </xf>
    <xf numFmtId="166" fontId="56" fillId="20" borderId="54" xfId="353" applyNumberFormat="1" applyFont="1" applyFill="1" applyBorder="1" applyAlignment="1" applyProtection="1">
      <alignment horizontal="center" vertical="center"/>
    </xf>
    <xf numFmtId="166" fontId="56" fillId="20" borderId="55" xfId="353" applyNumberFormat="1" applyFont="1" applyFill="1" applyBorder="1" applyAlignment="1" applyProtection="1">
      <alignment horizontal="center" vertical="center"/>
    </xf>
    <xf numFmtId="166" fontId="56" fillId="20" borderId="56" xfId="353" applyNumberFormat="1" applyFont="1" applyFill="1" applyBorder="1" applyAlignment="1" applyProtection="1">
      <alignment horizontal="center" vertical="center"/>
    </xf>
    <xf numFmtId="166" fontId="56" fillId="20" borderId="57" xfId="353" applyNumberFormat="1" applyFont="1" applyFill="1" applyBorder="1" applyAlignment="1" applyProtection="1">
      <alignment horizontal="center" vertical="center"/>
    </xf>
    <xf numFmtId="0" fontId="412" fillId="41" borderId="714" xfId="1299" applyFont="1" applyFill="1" applyBorder="1" applyAlignment="1">
      <alignment horizontal="left" vertical="center"/>
    </xf>
    <xf numFmtId="0" fontId="391" fillId="0" borderId="616" xfId="1299" applyFont="1" applyBorder="1"/>
    <xf numFmtId="0" fontId="391" fillId="0" borderId="715" xfId="1299" applyFont="1" applyBorder="1"/>
    <xf numFmtId="0" fontId="412" fillId="41" borderId="717" xfId="1299" applyFont="1" applyFill="1" applyBorder="1" applyAlignment="1">
      <alignment horizontal="left" vertical="center"/>
    </xf>
    <xf numFmtId="0" fontId="391" fillId="0" borderId="629" xfId="1299" applyFont="1" applyBorder="1"/>
    <xf numFmtId="0" fontId="391" fillId="0" borderId="718" xfId="1299" applyFont="1" applyBorder="1"/>
    <xf numFmtId="0" fontId="408" fillId="48" borderId="0" xfId="1299" applyFont="1" applyFill="1" applyAlignment="1">
      <alignment horizontal="center" vertical="center"/>
    </xf>
    <xf numFmtId="0" fontId="392" fillId="0" borderId="0" xfId="1299" applyFont="1" applyAlignment="1"/>
    <xf numFmtId="0" fontId="429" fillId="41" borderId="631" xfId="1299" applyFont="1" applyFill="1" applyBorder="1" applyAlignment="1">
      <alignment horizontal="left" vertical="center"/>
    </xf>
    <xf numFmtId="0" fontId="391" fillId="0" borderId="662" xfId="1299" applyFont="1" applyBorder="1"/>
    <xf numFmtId="0" fontId="391" fillId="0" borderId="633" xfId="1299" applyFont="1" applyBorder="1"/>
    <xf numFmtId="0" fontId="412" fillId="41" borderId="628" xfId="1299" applyFont="1" applyFill="1" applyBorder="1" applyAlignment="1">
      <alignment horizontal="left" vertical="center"/>
    </xf>
    <xf numFmtId="0" fontId="391" fillId="0" borderId="630" xfId="1299" applyFont="1" applyBorder="1"/>
    <xf numFmtId="0" fontId="400" fillId="48" borderId="603" xfId="1299" applyFont="1" applyFill="1" applyBorder="1" applyAlignment="1">
      <alignment horizontal="left" vertical="center"/>
    </xf>
    <xf numFmtId="0" fontId="391" fillId="0" borderId="604" xfId="1299" applyFont="1" applyBorder="1"/>
    <xf numFmtId="0" fontId="391" fillId="0" borderId="605" xfId="1299" applyFont="1" applyBorder="1"/>
    <xf numFmtId="0" fontId="412" fillId="41" borderId="710" xfId="1299" applyFont="1" applyFill="1" applyBorder="1" applyAlignment="1">
      <alignment horizontal="left" vertical="center"/>
    </xf>
    <xf numFmtId="0" fontId="391" fillId="0" borderId="652" xfId="1299" applyFont="1" applyBorder="1"/>
    <xf numFmtId="0" fontId="391" fillId="0" borderId="711" xfId="1299" applyFont="1" applyBorder="1"/>
    <xf numFmtId="0" fontId="400" fillId="48" borderId="642" xfId="1299" applyFont="1" applyFill="1" applyBorder="1" applyAlignment="1">
      <alignment horizontal="left" vertical="center"/>
    </xf>
    <xf numFmtId="0" fontId="391" fillId="0" borderId="643" xfId="1299" applyFont="1" applyBorder="1"/>
    <xf numFmtId="0" fontId="391" fillId="0" borderId="644" xfId="1299" applyFont="1" applyBorder="1"/>
    <xf numFmtId="0" fontId="412" fillId="41" borderId="674" xfId="1299" applyFont="1" applyFill="1" applyBorder="1" applyAlignment="1">
      <alignment horizontal="left" vertical="center"/>
    </xf>
    <xf numFmtId="0" fontId="391" fillId="0" borderId="675" xfId="1299" applyFont="1" applyBorder="1"/>
    <xf numFmtId="0" fontId="391" fillId="0" borderId="676" xfId="1299" applyFont="1" applyBorder="1"/>
    <xf numFmtId="0" fontId="412" fillId="41" borderId="684" xfId="1299" applyFont="1" applyFill="1" applyBorder="1" applyAlignment="1">
      <alignment horizontal="left" vertical="center"/>
    </xf>
    <xf numFmtId="0" fontId="391" fillId="0" borderId="443" xfId="1299" applyFont="1" applyBorder="1"/>
    <xf numFmtId="0" fontId="391" fillId="0" borderId="685" xfId="1299" applyFont="1" applyBorder="1"/>
    <xf numFmtId="0" fontId="412" fillId="41" borderId="692" xfId="1299" applyFont="1" applyFill="1" applyBorder="1" applyAlignment="1">
      <alignment horizontal="left" vertical="center"/>
    </xf>
    <xf numFmtId="0" fontId="391" fillId="0" borderId="402" xfId="1299" applyFont="1" applyBorder="1"/>
    <xf numFmtId="0" fontId="391" fillId="0" borderId="693" xfId="1299" applyFont="1" applyBorder="1"/>
    <xf numFmtId="0" fontId="412" fillId="41" borderId="615" xfId="1299" applyFont="1" applyFill="1" applyBorder="1" applyAlignment="1">
      <alignment horizontal="left" vertical="center"/>
    </xf>
    <xf numFmtId="0" fontId="391" fillId="0" borderId="617" xfId="1299" applyFont="1" applyBorder="1"/>
    <xf numFmtId="0" fontId="412" fillId="41" borderId="651" xfId="1299" applyFont="1" applyFill="1" applyBorder="1" applyAlignment="1">
      <alignment horizontal="left" vertical="center"/>
    </xf>
    <xf numFmtId="0" fontId="391" fillId="0" borderId="653" xfId="1299" applyFont="1" applyBorder="1"/>
    <xf numFmtId="0" fontId="412" fillId="41" borderId="631" xfId="1299" applyFont="1" applyFill="1" applyBorder="1" applyAlignment="1">
      <alignment horizontal="left" vertical="center"/>
    </xf>
    <xf numFmtId="0" fontId="418" fillId="40" borderId="0" xfId="1299" applyFont="1" applyFill="1" applyBorder="1" applyAlignment="1">
      <alignment vertical="center"/>
    </xf>
    <xf numFmtId="0" fontId="418" fillId="41" borderId="226" xfId="1299" applyFont="1" applyFill="1" applyBorder="1" applyAlignment="1">
      <alignment horizontal="center" vertical="center"/>
    </xf>
    <xf numFmtId="0" fontId="391" fillId="0" borderId="227" xfId="1299" applyFont="1" applyBorder="1"/>
    <xf numFmtId="0" fontId="391" fillId="0" borderId="228" xfId="1299" applyFont="1" applyBorder="1"/>
    <xf numFmtId="0" fontId="399" fillId="40" borderId="218" xfId="1299" applyFont="1" applyFill="1" applyBorder="1" applyAlignment="1">
      <alignment horizontal="center" vertical="center"/>
    </xf>
    <xf numFmtId="0" fontId="400" fillId="48" borderId="610" xfId="1299" applyFont="1" applyFill="1" applyBorder="1" applyAlignment="1">
      <alignment horizontal="center" vertical="center"/>
    </xf>
    <xf numFmtId="0" fontId="400" fillId="48" borderId="611" xfId="1299" applyFont="1" applyFill="1" applyBorder="1" applyAlignment="1">
      <alignment horizontal="center" vertical="center"/>
    </xf>
    <xf numFmtId="0" fontId="400" fillId="48" borderId="612" xfId="1299" applyFont="1" applyFill="1" applyBorder="1" applyAlignment="1">
      <alignment horizontal="center" vertical="center"/>
    </xf>
    <xf numFmtId="0" fontId="427" fillId="56" borderId="606" xfId="1299" applyFont="1" applyFill="1" applyBorder="1" applyAlignment="1" applyProtection="1">
      <alignment horizontal="center" vertical="center"/>
      <protection locked="0"/>
    </xf>
    <xf numFmtId="0" fontId="427" fillId="56" borderId="607" xfId="1299" applyFont="1" applyFill="1" applyBorder="1" applyAlignment="1" applyProtection="1">
      <alignment horizontal="center" vertical="center"/>
      <protection locked="0"/>
    </xf>
    <xf numFmtId="0" fontId="401" fillId="48" borderId="613" xfId="1299" applyFont="1" applyFill="1" applyBorder="1" applyAlignment="1">
      <alignment horizontal="right" vertical="center" indent="1"/>
    </xf>
    <xf numFmtId="0" fontId="401" fillId="48" borderId="0" xfId="1299" applyFont="1" applyFill="1" applyBorder="1" applyAlignment="1">
      <alignment horizontal="right" vertical="center" indent="1"/>
    </xf>
    <xf numFmtId="0" fontId="401" fillId="48" borderId="614" xfId="1299" applyFont="1" applyFill="1" applyBorder="1" applyAlignment="1">
      <alignment horizontal="right" vertical="center" indent="1"/>
    </xf>
    <xf numFmtId="10" fontId="402" fillId="39" borderId="606" xfId="1299" applyNumberFormat="1" applyFont="1" applyFill="1" applyBorder="1" applyAlignment="1" applyProtection="1">
      <alignment horizontal="center" vertical="center"/>
      <protection locked="0"/>
    </xf>
    <xf numFmtId="0" fontId="391" fillId="0" borderId="607" xfId="1299" applyFont="1" applyBorder="1" applyProtection="1">
      <protection locked="0"/>
    </xf>
    <xf numFmtId="0" fontId="391" fillId="0" borderId="608" xfId="1299" applyFont="1" applyBorder="1" applyProtection="1">
      <protection locked="0"/>
    </xf>
    <xf numFmtId="0" fontId="412" fillId="41" borderId="618" xfId="1299" applyFont="1" applyFill="1" applyBorder="1" applyAlignment="1">
      <alignment horizontal="left" vertical="center"/>
    </xf>
    <xf numFmtId="0" fontId="391" fillId="0" borderId="624" xfId="1299" applyFont="1" applyBorder="1"/>
    <xf numFmtId="0" fontId="391" fillId="0" borderId="619" xfId="1299" applyFont="1" applyBorder="1"/>
    <xf numFmtId="0" fontId="416" fillId="52" borderId="546" xfId="1299" applyFont="1" applyFill="1" applyBorder="1" applyAlignment="1">
      <alignment horizontal="right" vertical="center"/>
    </xf>
    <xf numFmtId="0" fontId="391" fillId="0" borderId="547" xfId="1299" applyFont="1" applyBorder="1"/>
    <xf numFmtId="0" fontId="391" fillId="0" borderId="548" xfId="1299" applyFont="1" applyBorder="1"/>
    <xf numFmtId="0" fontId="409" fillId="53" borderId="554" xfId="1299" applyFont="1" applyFill="1" applyBorder="1" applyAlignment="1">
      <alignment horizontal="right" vertical="center"/>
    </xf>
    <xf numFmtId="0" fontId="391" fillId="0" borderId="555" xfId="1299" applyFont="1" applyBorder="1"/>
    <xf numFmtId="0" fontId="391" fillId="0" borderId="556" xfId="1299" applyFont="1" applyBorder="1"/>
    <xf numFmtId="0" fontId="418" fillId="41" borderId="558" xfId="1299" applyFont="1" applyFill="1" applyBorder="1" applyAlignment="1">
      <alignment horizontal="center" vertical="center" textRotation="90"/>
    </xf>
    <xf numFmtId="0" fontId="391" fillId="0" borderId="559" xfId="1299" applyFont="1" applyBorder="1"/>
    <xf numFmtId="0" fontId="391" fillId="0" borderId="564" xfId="1299" applyFont="1" applyBorder="1"/>
    <xf numFmtId="0" fontId="391" fillId="0" borderId="565" xfId="1299" applyFont="1" applyBorder="1"/>
    <xf numFmtId="0" fontId="391" fillId="0" borderId="596" xfId="1299" applyFont="1" applyBorder="1"/>
    <xf numFmtId="0" fontId="391" fillId="0" borderId="597" xfId="1299" applyFont="1" applyBorder="1"/>
    <xf numFmtId="0" fontId="400" fillId="54" borderId="560" xfId="1299" applyFont="1" applyFill="1" applyBorder="1" applyAlignment="1">
      <alignment vertical="center"/>
    </xf>
    <xf numFmtId="0" fontId="391" fillId="0" borderId="560" xfId="1299" applyFont="1" applyBorder="1"/>
    <xf numFmtId="0" fontId="391" fillId="0" borderId="561" xfId="1299" applyFont="1" applyBorder="1"/>
    <xf numFmtId="49" fontId="419" fillId="54" borderId="562" xfId="1299" applyNumberFormat="1" applyFont="1" applyFill="1" applyBorder="1" applyAlignment="1">
      <alignment horizontal="center" vertical="top"/>
    </xf>
    <xf numFmtId="0" fontId="412" fillId="41" borderId="566" xfId="1299" applyFont="1" applyFill="1" applyBorder="1" applyAlignment="1">
      <alignment horizontal="left" vertical="center"/>
    </xf>
    <xf numFmtId="0" fontId="391" fillId="0" borderId="566" xfId="1299" applyFont="1" applyBorder="1"/>
    <xf numFmtId="0" fontId="391" fillId="0" borderId="567" xfId="1299" applyFont="1" applyBorder="1"/>
    <xf numFmtId="0" fontId="412" fillId="41" borderId="0" xfId="1299" applyFont="1" applyFill="1" applyBorder="1" applyAlignment="1">
      <alignment horizontal="left" vertical="center"/>
    </xf>
    <xf numFmtId="0" fontId="391" fillId="0" borderId="0" xfId="1299" applyFont="1" applyBorder="1"/>
    <xf numFmtId="0" fontId="409" fillId="54" borderId="581" xfId="1299" applyFont="1" applyFill="1" applyBorder="1" applyAlignment="1">
      <alignment horizontal="right" vertical="center"/>
    </xf>
    <xf numFmtId="0" fontId="391" fillId="0" borderId="581" xfId="1299" applyFont="1" applyBorder="1"/>
    <xf numFmtId="0" fontId="391" fillId="0" borderId="582" xfId="1299" applyFont="1" applyBorder="1"/>
    <xf numFmtId="0" fontId="422" fillId="41" borderId="590" xfId="1299" applyFont="1" applyFill="1" applyBorder="1" applyAlignment="1">
      <alignment horizontal="left" vertical="center"/>
    </xf>
    <xf numFmtId="0" fontId="391" fillId="0" borderId="590" xfId="1299" applyFont="1" applyBorder="1"/>
    <xf numFmtId="166" fontId="422" fillId="41" borderId="590" xfId="1299" applyNumberFormat="1" applyFont="1" applyFill="1" applyBorder="1" applyAlignment="1">
      <alignment horizontal="center" vertical="center"/>
    </xf>
    <xf numFmtId="0" fontId="412" fillId="41" borderId="598" xfId="1299" applyFont="1" applyFill="1" applyBorder="1" applyAlignment="1">
      <alignment horizontal="left" vertical="center"/>
    </xf>
    <xf numFmtId="0" fontId="391" fillId="0" borderId="598" xfId="1299" applyFont="1" applyBorder="1"/>
    <xf numFmtId="0" fontId="412" fillId="39" borderId="529" xfId="1299" applyFont="1" applyFill="1" applyBorder="1" applyAlignment="1" applyProtection="1">
      <alignment horizontal="left" vertical="center"/>
      <protection locked="0"/>
    </xf>
    <xf numFmtId="0" fontId="391" fillId="0" borderId="440" xfId="1299" applyFont="1" applyBorder="1" applyProtection="1">
      <protection locked="0"/>
    </xf>
    <xf numFmtId="0" fontId="391" fillId="0" borderId="441" xfId="1299" applyFont="1" applyBorder="1" applyProtection="1">
      <protection locked="0"/>
    </xf>
    <xf numFmtId="0" fontId="415" fillId="39" borderId="439" xfId="1299" applyFont="1" applyFill="1" applyBorder="1" applyAlignment="1" applyProtection="1">
      <alignment horizontal="center" vertical="center"/>
      <protection locked="0"/>
    </xf>
    <xf numFmtId="37" fontId="393" fillId="39" borderId="439" xfId="1299" applyNumberFormat="1" applyFont="1" applyFill="1" applyBorder="1" applyAlignment="1" applyProtection="1">
      <alignment horizontal="center" vertical="center"/>
      <protection locked="0"/>
    </xf>
    <xf numFmtId="0" fontId="391" fillId="0" borderId="530" xfId="1299" applyFont="1" applyBorder="1" applyProtection="1">
      <protection locked="0"/>
    </xf>
    <xf numFmtId="0" fontId="412" fillId="39" borderId="533" xfId="1299" applyFont="1" applyFill="1" applyBorder="1" applyAlignment="1" applyProtection="1">
      <alignment horizontal="left" vertical="center"/>
      <protection locked="0"/>
    </xf>
    <xf numFmtId="0" fontId="391" fillId="0" borderId="534" xfId="1299" applyFont="1" applyBorder="1" applyProtection="1">
      <protection locked="0"/>
    </xf>
    <xf numFmtId="0" fontId="391" fillId="0" borderId="535" xfId="1299" applyFont="1" applyBorder="1" applyProtection="1">
      <protection locked="0"/>
    </xf>
    <xf numFmtId="0" fontId="415" fillId="39" borderId="536" xfId="1299" applyFont="1" applyFill="1" applyBorder="1" applyAlignment="1" applyProtection="1">
      <alignment horizontal="center" vertical="center"/>
      <protection locked="0"/>
    </xf>
    <xf numFmtId="37" fontId="393" fillId="39" borderId="536" xfId="1299" applyNumberFormat="1" applyFont="1" applyFill="1" applyBorder="1" applyAlignment="1" applyProtection="1">
      <alignment horizontal="center" vertical="center"/>
      <protection locked="0"/>
    </xf>
    <xf numFmtId="0" fontId="391" fillId="0" borderId="537" xfId="1299" applyFont="1" applyBorder="1" applyProtection="1">
      <protection locked="0"/>
    </xf>
    <xf numFmtId="0" fontId="412" fillId="39" borderId="519" xfId="1299" applyFont="1" applyFill="1" applyBorder="1" applyAlignment="1" applyProtection="1">
      <alignment horizontal="left" vertical="center"/>
      <protection locked="0"/>
    </xf>
    <xf numFmtId="0" fontId="391" fillId="0" borderId="520" xfId="1299" applyFont="1" applyBorder="1" applyProtection="1">
      <protection locked="0"/>
    </xf>
    <xf numFmtId="0" fontId="391" fillId="0" borderId="521" xfId="1299" applyFont="1" applyBorder="1" applyProtection="1">
      <protection locked="0"/>
    </xf>
    <xf numFmtId="0" fontId="415" fillId="39" borderId="522" xfId="1299" applyFont="1" applyFill="1" applyBorder="1" applyAlignment="1" applyProtection="1">
      <alignment horizontal="center" vertical="center"/>
      <protection locked="0"/>
    </xf>
    <xf numFmtId="0" fontId="406" fillId="39" borderId="439" xfId="1299" applyFont="1" applyFill="1" applyBorder="1" applyAlignment="1" applyProtection="1">
      <alignment horizontal="center" vertical="center"/>
      <protection locked="0"/>
    </xf>
    <xf numFmtId="0" fontId="392" fillId="39" borderId="529" xfId="1299" applyFont="1" applyFill="1" applyBorder="1" applyAlignment="1" applyProtection="1">
      <alignment horizontal="left" vertical="center"/>
      <protection locked="0"/>
    </xf>
    <xf numFmtId="0" fontId="409" fillId="37" borderId="505" xfId="1299" applyFont="1" applyFill="1" applyBorder="1" applyAlignment="1">
      <alignment horizontal="right" vertical="center"/>
    </xf>
    <xf numFmtId="0" fontId="391" fillId="0" borderId="506" xfId="1299" applyFont="1" applyBorder="1"/>
    <xf numFmtId="0" fontId="391" fillId="0" borderId="507" xfId="1299" applyFont="1" applyBorder="1"/>
    <xf numFmtId="0" fontId="400" fillId="52" borderId="508" xfId="1299" applyFont="1" applyFill="1" applyBorder="1" applyAlignment="1">
      <alignment horizontal="left" vertical="center"/>
    </xf>
    <xf numFmtId="0" fontId="391" fillId="0" borderId="509" xfId="1299" applyFont="1" applyBorder="1"/>
    <xf numFmtId="0" fontId="401" fillId="52" borderId="510" xfId="1299" applyFont="1" applyFill="1" applyBorder="1" applyAlignment="1">
      <alignment horizontal="right" vertical="center"/>
    </xf>
    <xf numFmtId="0" fontId="391" fillId="0" borderId="511" xfId="1299" applyFont="1" applyBorder="1"/>
    <xf numFmtId="10" fontId="402" fillId="39" borderId="510" xfId="1299" applyNumberFormat="1" applyFont="1" applyFill="1" applyBorder="1" applyAlignment="1" applyProtection="1">
      <alignment horizontal="center" vertical="center"/>
      <protection locked="0"/>
    </xf>
    <xf numFmtId="0" fontId="391" fillId="0" borderId="509" xfId="1299" applyFont="1" applyBorder="1" applyProtection="1">
      <protection locked="0"/>
    </xf>
    <xf numFmtId="0" fontId="391" fillId="0" borderId="512" xfId="1299" applyFont="1" applyBorder="1" applyProtection="1">
      <protection locked="0"/>
    </xf>
    <xf numFmtId="0" fontId="406" fillId="41" borderId="517" xfId="1299" applyFont="1" applyFill="1" applyBorder="1" applyAlignment="1">
      <alignment horizontal="left" vertical="center"/>
    </xf>
    <xf numFmtId="0" fontId="391" fillId="0" borderId="518" xfId="1299" applyFont="1" applyBorder="1"/>
    <xf numFmtId="0" fontId="392" fillId="39" borderId="519" xfId="1299" applyFont="1" applyFill="1" applyBorder="1" applyAlignment="1" applyProtection="1">
      <alignment horizontal="left" vertical="center"/>
      <protection locked="0"/>
    </xf>
    <xf numFmtId="0" fontId="406" fillId="39" borderId="522" xfId="1299" applyFont="1" applyFill="1" applyBorder="1" applyAlignment="1" applyProtection="1">
      <alignment horizontal="center" vertical="center"/>
      <protection locked="0"/>
    </xf>
    <xf numFmtId="0" fontId="393" fillId="39" borderId="522" xfId="1299" applyFont="1" applyFill="1" applyBorder="1" applyAlignment="1" applyProtection="1">
      <alignment horizontal="center" vertical="center"/>
      <protection locked="0"/>
    </xf>
    <xf numFmtId="0" fontId="391" fillId="0" borderId="523" xfId="1299" applyFont="1" applyBorder="1" applyProtection="1">
      <protection locked="0"/>
    </xf>
    <xf numFmtId="0" fontId="404" fillId="39" borderId="489" xfId="1299" applyFont="1" applyFill="1" applyBorder="1" applyAlignment="1" applyProtection="1">
      <alignment horizontal="left" vertical="center"/>
      <protection locked="0"/>
    </xf>
    <xf numFmtId="0" fontId="406" fillId="39" borderId="444" xfId="1299" applyFont="1" applyFill="1" applyBorder="1" applyAlignment="1" applyProtection="1">
      <alignment horizontal="center" vertical="center"/>
      <protection locked="0"/>
    </xf>
    <xf numFmtId="0" fontId="391" fillId="0" borderId="443" xfId="1299" applyFont="1" applyBorder="1" applyProtection="1">
      <protection locked="0"/>
    </xf>
    <xf numFmtId="0" fontId="391" fillId="0" borderId="457" xfId="1299" applyFont="1" applyBorder="1" applyProtection="1">
      <protection locked="0"/>
    </xf>
    <xf numFmtId="0" fontId="404" fillId="39" borderId="439" xfId="1299" applyFont="1" applyFill="1" applyBorder="1" applyAlignment="1" applyProtection="1">
      <alignment horizontal="center" vertical="center"/>
      <protection locked="0"/>
    </xf>
    <xf numFmtId="0" fontId="391" fillId="0" borderId="490" xfId="1299" applyFont="1" applyBorder="1" applyProtection="1">
      <protection locked="0"/>
    </xf>
    <xf numFmtId="0" fontId="407" fillId="41" borderId="499" xfId="1299" applyFont="1" applyFill="1" applyBorder="1" applyAlignment="1">
      <alignment horizontal="right" vertical="center"/>
    </xf>
    <xf numFmtId="0" fontId="391" fillId="0" borderId="500" xfId="1299" applyFont="1" applyBorder="1"/>
    <xf numFmtId="0" fontId="391" fillId="0" borderId="501" xfId="1299" applyFont="1" applyBorder="1"/>
    <xf numFmtId="37" fontId="404" fillId="39" borderId="439" xfId="1299" applyNumberFormat="1" applyFont="1" applyFill="1" applyBorder="1" applyAlignment="1" applyProtection="1">
      <alignment horizontal="center" vertical="center"/>
      <protection locked="0"/>
    </xf>
    <xf numFmtId="0" fontId="400" fillId="37" borderId="474" xfId="1299" applyFont="1" applyFill="1" applyBorder="1" applyAlignment="1">
      <alignment horizontal="left" vertical="center"/>
    </xf>
    <xf numFmtId="0" fontId="391" fillId="0" borderId="475" xfId="1299" applyFont="1" applyBorder="1"/>
    <xf numFmtId="0" fontId="401" fillId="37" borderId="475" xfId="1299" applyFont="1" applyFill="1" applyBorder="1" applyAlignment="1">
      <alignment horizontal="right" vertical="center"/>
    </xf>
    <xf numFmtId="10" fontId="402" fillId="39" borderId="475" xfId="1299" applyNumberFormat="1" applyFont="1" applyFill="1" applyBorder="1" applyAlignment="1" applyProtection="1">
      <alignment horizontal="center" vertical="center"/>
      <protection locked="0"/>
    </xf>
    <xf numFmtId="0" fontId="391" fillId="0" borderId="475" xfId="1299" applyFont="1" applyBorder="1" applyProtection="1">
      <protection locked="0"/>
    </xf>
    <xf numFmtId="0" fontId="391" fillId="0" borderId="476" xfId="1299" applyFont="1" applyBorder="1" applyProtection="1">
      <protection locked="0"/>
    </xf>
    <xf numFmtId="0" fontId="404" fillId="39" borderId="492" xfId="1299" applyFont="1" applyFill="1" applyBorder="1" applyAlignment="1" applyProtection="1">
      <alignment horizontal="left" vertical="center"/>
      <protection locked="0"/>
    </xf>
    <xf numFmtId="0" fontId="391" fillId="0" borderId="493" xfId="1299" applyFont="1" applyBorder="1" applyProtection="1">
      <protection locked="0"/>
    </xf>
    <xf numFmtId="0" fontId="391" fillId="0" borderId="494" xfId="1299" applyFont="1" applyBorder="1" applyProtection="1">
      <protection locked="0"/>
    </xf>
    <xf numFmtId="0" fontId="406" fillId="39" borderId="495" xfId="1299" applyFont="1" applyFill="1" applyBorder="1" applyAlignment="1" applyProtection="1">
      <alignment horizontal="center" vertical="center"/>
      <protection locked="0"/>
    </xf>
    <xf numFmtId="37" fontId="404" fillId="39" borderId="495" xfId="1299" applyNumberFormat="1" applyFont="1" applyFill="1" applyBorder="1" applyAlignment="1" applyProtection="1">
      <alignment horizontal="center" vertical="center"/>
      <protection locked="0"/>
    </xf>
    <xf numFmtId="0" fontId="391" fillId="0" borderId="496" xfId="1299" applyFont="1" applyBorder="1" applyProtection="1">
      <protection locked="0"/>
    </xf>
    <xf numFmtId="0" fontId="393" fillId="38" borderId="0" xfId="1299" applyFont="1" applyFill="1" applyAlignment="1">
      <alignment horizontal="center" vertical="center"/>
    </xf>
    <xf numFmtId="0" fontId="465" fillId="38" borderId="0" xfId="1299" applyFont="1" applyFill="1" applyAlignment="1">
      <alignment horizontal="center" vertical="center"/>
    </xf>
    <xf numFmtId="0" fontId="464" fillId="0" borderId="0" xfId="1299" applyFont="1" applyAlignment="1"/>
    <xf numFmtId="0" fontId="396" fillId="40" borderId="0" xfId="1299" applyFont="1" applyFill="1" applyAlignment="1">
      <alignment horizontal="center"/>
    </xf>
    <xf numFmtId="49" fontId="396" fillId="50" borderId="217" xfId="1299" applyNumberFormat="1" applyFont="1" applyFill="1" applyBorder="1" applyAlignment="1">
      <alignment horizontal="center" vertical="center" wrapText="1"/>
    </xf>
    <xf numFmtId="0" fontId="391" fillId="0" borderId="218" xfId="1299" applyFont="1" applyBorder="1"/>
    <xf numFmtId="0" fontId="391" fillId="0" borderId="219" xfId="1299" applyFont="1" applyBorder="1"/>
    <xf numFmtId="0" fontId="404" fillId="39" borderId="483" xfId="1299" applyFont="1" applyFill="1" applyBorder="1" applyAlignment="1" applyProtection="1">
      <alignment horizontal="left" vertical="center"/>
      <protection locked="0"/>
    </xf>
    <xf numFmtId="37" fontId="404" fillId="39" borderId="444" xfId="1299" applyNumberFormat="1" applyFont="1" applyFill="1" applyBorder="1" applyAlignment="1" applyProtection="1">
      <alignment horizontal="center" vertical="center"/>
      <protection locked="0"/>
    </xf>
    <xf numFmtId="0" fontId="391" fillId="0" borderId="484" xfId="1299" applyFont="1" applyBorder="1" applyProtection="1">
      <protection locked="0"/>
    </xf>
    <xf numFmtId="0" fontId="418" fillId="45" borderId="217" xfId="1299" applyFont="1" applyFill="1" applyBorder="1" applyAlignment="1">
      <alignment horizontal="center"/>
    </xf>
    <xf numFmtId="0" fontId="418" fillId="45" borderId="218" xfId="1299" applyFont="1" applyFill="1" applyBorder="1" applyAlignment="1">
      <alignment horizontal="center"/>
    </xf>
    <xf numFmtId="0" fontId="418" fillId="45" borderId="219" xfId="1299" applyFont="1" applyFill="1" applyBorder="1" applyAlignment="1">
      <alignment horizontal="center"/>
    </xf>
    <xf numFmtId="0" fontId="463" fillId="45" borderId="220" xfId="1299" applyFont="1" applyFill="1" applyBorder="1" applyAlignment="1">
      <alignment horizontal="left" vertical="center" indent="1"/>
    </xf>
    <xf numFmtId="0" fontId="463" fillId="45" borderId="0" xfId="1299" applyFont="1" applyFill="1" applyBorder="1" applyAlignment="1">
      <alignment horizontal="left" vertical="center" indent="1"/>
    </xf>
    <xf numFmtId="166" fontId="396" fillId="6" borderId="0" xfId="1299" applyNumberFormat="1" applyFont="1" applyFill="1" applyBorder="1" applyAlignment="1">
      <alignment horizontal="center" vertical="center"/>
    </xf>
    <xf numFmtId="166" fontId="396" fillId="6" borderId="221" xfId="1299" applyNumberFormat="1" applyFont="1" applyFill="1" applyBorder="1" applyAlignment="1">
      <alignment horizontal="center" vertical="center"/>
    </xf>
    <xf numFmtId="0" fontId="392" fillId="45" borderId="220" xfId="1299" applyFont="1" applyFill="1" applyBorder="1" applyAlignment="1">
      <alignment horizontal="left" vertical="center" indent="1"/>
    </xf>
    <xf numFmtId="0" fontId="392" fillId="45" borderId="0" xfId="1299" applyFont="1" applyFill="1" applyBorder="1" applyAlignment="1">
      <alignment horizontal="left" vertical="center" indent="1"/>
    </xf>
    <xf numFmtId="166" fontId="392" fillId="6" borderId="0" xfId="1299" applyNumberFormat="1" applyFont="1" applyFill="1" applyBorder="1" applyAlignment="1">
      <alignment horizontal="center" vertical="center"/>
    </xf>
    <xf numFmtId="166" fontId="392" fillId="6" borderId="221" xfId="1299" applyNumberFormat="1" applyFont="1" applyFill="1" applyBorder="1" applyAlignment="1">
      <alignment horizontal="center" vertical="center"/>
    </xf>
    <xf numFmtId="0" fontId="392" fillId="45" borderId="766" xfId="1299" applyFont="1" applyFill="1" applyBorder="1" applyAlignment="1">
      <alignment horizontal="left" vertical="center" indent="1"/>
    </xf>
    <xf numFmtId="0" fontId="392" fillId="45" borderId="8" xfId="1299" applyFont="1" applyFill="1" applyBorder="1" applyAlignment="1">
      <alignment horizontal="left" vertical="center" indent="1"/>
    </xf>
    <xf numFmtId="0" fontId="406" fillId="45" borderId="220" xfId="1299" applyFont="1" applyFill="1" applyBorder="1" applyAlignment="1">
      <alignment horizontal="left" vertical="center" indent="1"/>
    </xf>
    <xf numFmtId="0" fontId="406" fillId="45" borderId="0" xfId="1299" applyFont="1" applyFill="1" applyBorder="1" applyAlignment="1">
      <alignment horizontal="left" vertical="center" indent="1"/>
    </xf>
    <xf numFmtId="166" fontId="396" fillId="6" borderId="7" xfId="1299" applyNumberFormat="1" applyFont="1" applyFill="1" applyBorder="1" applyAlignment="1">
      <alignment horizontal="center" vertical="center"/>
    </xf>
    <xf numFmtId="166" fontId="396" fillId="6" borderId="767" xfId="1299" applyNumberFormat="1" applyFont="1" applyFill="1" applyBorder="1" applyAlignment="1">
      <alignment horizontal="center" vertical="center"/>
    </xf>
    <xf numFmtId="0" fontId="404" fillId="0" borderId="0" xfId="1299" applyFont="1" applyAlignment="1"/>
    <xf numFmtId="0" fontId="373" fillId="40" borderId="0" xfId="1299" applyFont="1" applyFill="1" applyAlignment="1" applyProtection="1">
      <alignment horizontal="center" vertical="center"/>
    </xf>
    <xf numFmtId="0" fontId="373" fillId="0" borderId="0" xfId="1299" applyFont="1" applyAlignment="1" applyProtection="1"/>
    <xf numFmtId="0" fontId="390" fillId="48" borderId="0" xfId="1299" applyFont="1" applyFill="1" applyAlignment="1" applyProtection="1">
      <alignment horizontal="center" vertical="center"/>
    </xf>
    <xf numFmtId="0" fontId="373" fillId="28" borderId="0" xfId="1299" applyFont="1" applyFill="1" applyAlignment="1" applyProtection="1"/>
    <xf numFmtId="166" fontId="374" fillId="41" borderId="444" xfId="1299" applyNumberFormat="1" applyFont="1" applyFill="1" applyBorder="1" applyAlignment="1" applyProtection="1">
      <alignment horizontal="right" vertical="center"/>
    </xf>
    <xf numFmtId="0" fontId="208" fillId="0" borderId="443" xfId="1299" applyFont="1" applyBorder="1" applyProtection="1"/>
    <xf numFmtId="0" fontId="208" fillId="0" borderId="457" xfId="1299" applyFont="1" applyBorder="1" applyProtection="1"/>
    <xf numFmtId="166" fontId="375" fillId="41" borderId="444" xfId="1299" applyNumberFormat="1" applyFont="1" applyFill="1" applyBorder="1" applyAlignment="1" applyProtection="1">
      <alignment horizontal="center" vertical="center"/>
    </xf>
    <xf numFmtId="166" fontId="385" fillId="42" borderId="319" xfId="1299" applyNumberFormat="1" applyFont="1" applyFill="1" applyBorder="1" applyAlignment="1" applyProtection="1">
      <alignment horizontal="center" vertical="center"/>
    </xf>
    <xf numFmtId="0" fontId="208" fillId="0" borderId="320" xfId="1299" applyFont="1" applyBorder="1" applyProtection="1"/>
    <xf numFmtId="0" fontId="208" fillId="0" borderId="321" xfId="1299" applyFont="1" applyBorder="1" applyProtection="1"/>
    <xf numFmtId="166" fontId="373" fillId="41" borderId="439" xfId="1299" applyNumberFormat="1" applyFont="1" applyFill="1" applyBorder="1" applyAlignment="1" applyProtection="1">
      <alignment horizontal="right" vertical="center"/>
    </xf>
    <xf numFmtId="0" fontId="208" fillId="0" borderId="440" xfId="1299" applyFont="1" applyBorder="1" applyProtection="1"/>
    <xf numFmtId="0" fontId="208" fillId="0" borderId="441" xfId="1299" applyFont="1" applyBorder="1" applyProtection="1"/>
    <xf numFmtId="166" fontId="375" fillId="41" borderId="439" xfId="1299" applyNumberFormat="1" applyFont="1" applyFill="1" applyBorder="1" applyAlignment="1" applyProtection="1">
      <alignment horizontal="center" vertical="center"/>
    </xf>
    <xf numFmtId="166" fontId="373" fillId="41" borderId="468" xfId="1299" applyNumberFormat="1" applyFont="1" applyFill="1" applyBorder="1" applyAlignment="1" applyProtection="1">
      <alignment horizontal="right" vertical="center"/>
    </xf>
    <xf numFmtId="0" fontId="208" fillId="0" borderId="469" xfId="1299" applyFont="1" applyBorder="1" applyProtection="1"/>
    <xf numFmtId="0" fontId="208" fillId="0" borderId="470" xfId="1299" applyFont="1" applyBorder="1" applyProtection="1"/>
    <xf numFmtId="166" fontId="375" fillId="41" borderId="468" xfId="1299" applyNumberFormat="1" applyFont="1" applyFill="1" applyBorder="1" applyAlignment="1" applyProtection="1">
      <alignment horizontal="center" vertical="center"/>
    </xf>
    <xf numFmtId="166" fontId="373" fillId="41" borderId="439" xfId="1299" quotePrefix="1" applyNumberFormat="1" applyFont="1" applyFill="1" applyBorder="1" applyAlignment="1" applyProtection="1">
      <alignment horizontal="right" vertical="center"/>
    </xf>
    <xf numFmtId="166" fontId="389" fillId="41" borderId="439" xfId="1299" applyNumberFormat="1" applyFont="1" applyFill="1" applyBorder="1" applyAlignment="1" applyProtection="1">
      <alignment horizontal="center" vertical="center"/>
    </xf>
    <xf numFmtId="166" fontId="373" fillId="41" borderId="763" xfId="1299" quotePrefix="1" applyNumberFormat="1" applyFont="1" applyFill="1" applyBorder="1" applyAlignment="1" applyProtection="1">
      <alignment horizontal="right" vertical="center"/>
    </xf>
    <xf numFmtId="0" fontId="208" fillId="0" borderId="764" xfId="1299" applyFont="1" applyBorder="1" applyProtection="1"/>
    <xf numFmtId="0" fontId="208" fillId="0" borderId="765" xfId="1299" applyFont="1" applyBorder="1" applyProtection="1"/>
    <xf numFmtId="166" fontId="389" fillId="41" borderId="763" xfId="1299" applyNumberFormat="1" applyFont="1" applyFill="1" applyBorder="1" applyAlignment="1" applyProtection="1">
      <alignment horizontal="center" vertical="center"/>
    </xf>
    <xf numFmtId="169" fontId="208" fillId="40" borderId="0" xfId="1299" applyNumberFormat="1" applyFont="1" applyFill="1" applyAlignment="1" applyProtection="1">
      <alignment horizontal="center" vertical="center"/>
    </xf>
    <xf numFmtId="0" fontId="384" fillId="41" borderId="217" xfId="1299" applyFont="1" applyFill="1" applyBorder="1" applyAlignment="1" applyProtection="1">
      <alignment horizontal="center" vertical="center"/>
    </xf>
    <xf numFmtId="0" fontId="208" fillId="0" borderId="218" xfId="1299" applyFont="1" applyBorder="1" applyProtection="1"/>
    <xf numFmtId="0" fontId="208" fillId="0" borderId="219" xfId="1299" applyFont="1" applyBorder="1" applyProtection="1"/>
    <xf numFmtId="0" fontId="208" fillId="0" borderId="222" xfId="1299" applyFont="1" applyBorder="1" applyProtection="1"/>
    <xf numFmtId="0" fontId="208" fillId="0" borderId="225" xfId="1299" applyFont="1" applyBorder="1" applyProtection="1"/>
    <xf numFmtId="0" fontId="208" fillId="0" borderId="216" xfId="1299" applyFont="1" applyBorder="1" applyProtection="1"/>
    <xf numFmtId="166" fontId="374" fillId="41" borderId="439" xfId="1299" applyNumberFormat="1" applyFont="1" applyFill="1" applyBorder="1" applyAlignment="1" applyProtection="1">
      <alignment horizontal="right" vertical="center"/>
    </xf>
    <xf numFmtId="0" fontId="210" fillId="0" borderId="440" xfId="1299" applyFont="1" applyBorder="1" applyProtection="1"/>
    <xf numFmtId="0" fontId="210" fillId="0" borderId="441" xfId="1299" applyFont="1" applyBorder="1" applyProtection="1"/>
    <xf numFmtId="187" fontId="387" fillId="39" borderId="439" xfId="1299" applyNumberFormat="1" applyFont="1" applyFill="1" applyBorder="1" applyAlignment="1" applyProtection="1">
      <alignment horizontal="center" vertical="center"/>
      <protection locked="0"/>
    </xf>
    <xf numFmtId="0" fontId="208" fillId="0" borderId="440" xfId="1299" applyFont="1" applyBorder="1" applyProtection="1">
      <protection locked="0"/>
    </xf>
    <xf numFmtId="0" fontId="208" fillId="0" borderId="441" xfId="1299" applyFont="1" applyBorder="1" applyProtection="1">
      <protection locked="0"/>
    </xf>
    <xf numFmtId="166" fontId="387" fillId="47" borderId="439" xfId="1299" applyNumberFormat="1" applyFont="1" applyFill="1" applyBorder="1" applyAlignment="1" applyProtection="1">
      <alignment horizontal="center" vertical="center"/>
    </xf>
    <xf numFmtId="166" fontId="387" fillId="41" borderId="439" xfId="1299" applyNumberFormat="1" applyFont="1" applyFill="1" applyBorder="1" applyAlignment="1" applyProtection="1">
      <alignment horizontal="left" vertical="center"/>
    </xf>
    <xf numFmtId="10" fontId="387" fillId="39" borderId="439" xfId="1299" applyNumberFormat="1" applyFont="1" applyFill="1" applyBorder="1" applyAlignment="1" applyProtection="1">
      <alignment horizontal="center" vertical="center"/>
      <protection locked="0"/>
    </xf>
    <xf numFmtId="166" fontId="387" fillId="41" borderId="439" xfId="1299" applyNumberFormat="1" applyFont="1" applyFill="1" applyBorder="1" applyAlignment="1" applyProtection="1">
      <alignment horizontal="center" vertical="center"/>
    </xf>
    <xf numFmtId="166" fontId="387" fillId="41" borderId="464" xfId="1299" applyNumberFormat="1" applyFont="1" applyFill="1" applyBorder="1" applyAlignment="1" applyProtection="1">
      <alignment horizontal="left" vertical="center"/>
    </xf>
    <xf numFmtId="0" fontId="208" fillId="0" borderId="447" xfId="1299" applyFont="1" applyBorder="1" applyProtection="1"/>
    <xf numFmtId="10" fontId="387" fillId="39" borderId="464" xfId="1299" applyNumberFormat="1" applyFont="1" applyFill="1" applyBorder="1" applyAlignment="1" applyProtection="1">
      <alignment horizontal="center" vertical="center"/>
      <protection locked="0"/>
    </xf>
    <xf numFmtId="0" fontId="208" fillId="0" borderId="447" xfId="1299" applyFont="1" applyBorder="1" applyProtection="1">
      <protection locked="0"/>
    </xf>
    <xf numFmtId="0" fontId="208" fillId="0" borderId="465" xfId="1299" applyFont="1" applyBorder="1" applyProtection="1">
      <protection locked="0"/>
    </xf>
    <xf numFmtId="166" fontId="387" fillId="41" borderId="464" xfId="1299" applyNumberFormat="1" applyFont="1" applyFill="1" applyBorder="1" applyAlignment="1" applyProtection="1">
      <alignment horizontal="center" vertical="center"/>
    </xf>
    <xf numFmtId="0" fontId="208" fillId="0" borderId="465" xfId="1299" applyFont="1" applyBorder="1" applyProtection="1"/>
    <xf numFmtId="0" fontId="368" fillId="43" borderId="217" xfId="1299" applyFont="1" applyFill="1" applyBorder="1" applyAlignment="1" applyProtection="1">
      <alignment horizontal="center" vertical="center" wrapText="1"/>
    </xf>
    <xf numFmtId="0" fontId="208" fillId="0" borderId="220" xfId="1299" applyFont="1" applyBorder="1" applyProtection="1"/>
    <xf numFmtId="0" fontId="208" fillId="0" borderId="221" xfId="1299" applyFont="1" applyBorder="1" applyProtection="1"/>
    <xf numFmtId="166" fontId="387" fillId="39" borderId="439" xfId="1299" applyNumberFormat="1" applyFont="1" applyFill="1" applyBorder="1" applyAlignment="1" applyProtection="1">
      <alignment horizontal="center" vertical="center"/>
      <protection locked="0"/>
    </xf>
    <xf numFmtId="166" fontId="208" fillId="0" borderId="447" xfId="1299" applyNumberFormat="1" applyFont="1" applyBorder="1" applyProtection="1"/>
    <xf numFmtId="166" fontId="208" fillId="0" borderId="465" xfId="1299" applyNumberFormat="1" applyFont="1" applyBorder="1" applyProtection="1"/>
    <xf numFmtId="166" fontId="108" fillId="44" borderId="122" xfId="1299" applyNumberFormat="1" applyFont="1" applyFill="1" applyBorder="1" applyAlignment="1" applyProtection="1">
      <alignment horizontal="center" vertical="center"/>
    </xf>
    <xf numFmtId="166" fontId="108" fillId="44" borderId="123" xfId="1299" applyNumberFormat="1" applyFont="1" applyFill="1" applyBorder="1" applyAlignment="1" applyProtection="1">
      <alignment horizontal="center" vertical="center"/>
    </xf>
    <xf numFmtId="166" fontId="108" fillId="44" borderId="124" xfId="1299" applyNumberFormat="1" applyFont="1" applyFill="1" applyBorder="1" applyAlignment="1" applyProtection="1">
      <alignment horizontal="center" vertical="center"/>
    </xf>
    <xf numFmtId="0" fontId="387" fillId="45" borderId="122" xfId="1299" applyFont="1" applyFill="1" applyBorder="1" applyAlignment="1" applyProtection="1">
      <alignment horizontal="center" vertical="center"/>
    </xf>
    <xf numFmtId="0" fontId="387" fillId="45" borderId="123" xfId="1299" applyFont="1" applyFill="1" applyBorder="1" applyAlignment="1" applyProtection="1">
      <alignment horizontal="center" vertical="center"/>
    </xf>
    <xf numFmtId="0" fontId="387" fillId="45" borderId="124" xfId="1299" applyFont="1" applyFill="1" applyBorder="1" applyAlignment="1" applyProtection="1">
      <alignment horizontal="center" vertical="center"/>
    </xf>
    <xf numFmtId="166" fontId="385" fillId="42" borderId="436" xfId="1299" applyNumberFormat="1" applyFont="1" applyFill="1" applyBorder="1" applyAlignment="1" applyProtection="1">
      <alignment horizontal="left" vertical="center"/>
    </xf>
    <xf numFmtId="0" fontId="208" fillId="0" borderId="437" xfId="1299" applyFont="1" applyBorder="1" applyProtection="1"/>
    <xf numFmtId="0" fontId="208" fillId="0" borderId="438" xfId="1299" applyFont="1" applyBorder="1" applyProtection="1"/>
    <xf numFmtId="166" fontId="386" fillId="42" borderId="436" xfId="1299" applyNumberFormat="1" applyFont="1" applyFill="1" applyBorder="1" applyAlignment="1" applyProtection="1">
      <alignment horizontal="center" vertical="center"/>
    </xf>
    <xf numFmtId="166" fontId="385" fillId="42" borderId="320" xfId="1299" applyNumberFormat="1" applyFont="1" applyFill="1" applyBorder="1" applyAlignment="1" applyProtection="1">
      <alignment horizontal="center" vertical="center"/>
    </xf>
    <xf numFmtId="166" fontId="385" fillId="42" borderId="321" xfId="1299" applyNumberFormat="1" applyFont="1" applyFill="1" applyBorder="1" applyAlignment="1" applyProtection="1">
      <alignment horizontal="center" vertical="center"/>
    </xf>
    <xf numFmtId="0" fontId="371" fillId="46" borderId="0" xfId="1299" applyFont="1" applyFill="1" applyBorder="1" applyAlignment="1" applyProtection="1">
      <alignment horizontal="center"/>
    </xf>
    <xf numFmtId="0" fontId="387" fillId="39" borderId="446" xfId="1299" applyFont="1" applyFill="1" applyBorder="1" applyAlignment="1" applyProtection="1">
      <alignment horizontal="center" vertical="center"/>
      <protection locked="0"/>
    </xf>
    <xf numFmtId="10" fontId="387" fillId="39" borderId="446" xfId="1299" applyNumberFormat="1" applyFont="1" applyFill="1" applyBorder="1" applyAlignment="1" applyProtection="1">
      <alignment horizontal="center" vertical="center"/>
      <protection locked="0"/>
    </xf>
    <xf numFmtId="166" fontId="387" fillId="39" borderId="447" xfId="1299" applyNumberFormat="1" applyFont="1" applyFill="1" applyBorder="1" applyAlignment="1" applyProtection="1">
      <alignment horizontal="center" vertical="center"/>
    </xf>
    <xf numFmtId="166" fontId="387" fillId="41" borderId="458" xfId="1299" applyNumberFormat="1" applyFont="1" applyFill="1" applyBorder="1" applyAlignment="1" applyProtection="1">
      <alignment horizontal="left" vertical="center"/>
    </xf>
    <xf numFmtId="0" fontId="208" fillId="0" borderId="401" xfId="1299" applyFont="1" applyBorder="1" applyProtection="1"/>
    <xf numFmtId="166" fontId="387" fillId="39" borderId="458" xfId="1299" applyNumberFormat="1" applyFont="1" applyFill="1" applyBorder="1" applyAlignment="1" applyProtection="1">
      <alignment horizontal="center" vertical="center"/>
      <protection locked="0"/>
    </xf>
    <xf numFmtId="0" fontId="208" fillId="0" borderId="401" xfId="1299" applyFont="1" applyBorder="1" applyProtection="1">
      <protection locked="0"/>
    </xf>
    <xf numFmtId="0" fontId="208" fillId="0" borderId="459" xfId="1299" applyFont="1" applyBorder="1" applyProtection="1">
      <protection locked="0"/>
    </xf>
    <xf numFmtId="166" fontId="387" fillId="41" borderId="458" xfId="1299" applyNumberFormat="1" applyFont="1" applyFill="1" applyBorder="1" applyAlignment="1" applyProtection="1">
      <alignment horizontal="center" vertical="center"/>
    </xf>
    <xf numFmtId="0" fontId="208" fillId="0" borderId="459" xfId="1299" applyFont="1" applyBorder="1" applyProtection="1"/>
    <xf numFmtId="166" fontId="374" fillId="41" borderId="460" xfId="1299" applyNumberFormat="1" applyFont="1" applyFill="1" applyBorder="1" applyAlignment="1" applyProtection="1">
      <alignment horizontal="right" vertical="center"/>
    </xf>
    <xf numFmtId="166" fontId="374" fillId="41" borderId="461" xfId="1299" applyNumberFormat="1" applyFont="1" applyFill="1" applyBorder="1" applyAlignment="1" applyProtection="1">
      <alignment horizontal="right" vertical="center"/>
    </xf>
    <xf numFmtId="166" fontId="374" fillId="41" borderId="462" xfId="1299" applyNumberFormat="1" applyFont="1" applyFill="1" applyBorder="1" applyAlignment="1" applyProtection="1">
      <alignment horizontal="right" vertical="center"/>
    </xf>
    <xf numFmtId="166" fontId="122" fillId="0" borderId="461" xfId="1299" applyNumberFormat="1" applyFont="1" applyBorder="1" applyAlignment="1" applyProtection="1">
      <alignment horizontal="center" vertical="center"/>
    </xf>
    <xf numFmtId="0" fontId="122" fillId="0" borderId="461" xfId="1299" applyFont="1" applyBorder="1" applyAlignment="1" applyProtection="1">
      <alignment horizontal="center" vertical="center"/>
    </xf>
    <xf numFmtId="0" fontId="122" fillId="0" borderId="463" xfId="1299" applyFont="1" applyBorder="1" applyAlignment="1" applyProtection="1">
      <alignment horizontal="center" vertical="center"/>
    </xf>
    <xf numFmtId="166" fontId="387" fillId="41" borderId="456" xfId="1299" applyNumberFormat="1" applyFont="1" applyFill="1" applyBorder="1" applyAlignment="1" applyProtection="1">
      <alignment horizontal="left" vertical="center"/>
    </xf>
    <xf numFmtId="166" fontId="387" fillId="41" borderId="444" xfId="1299" applyNumberFormat="1" applyFont="1" applyFill="1" applyBorder="1" applyAlignment="1" applyProtection="1">
      <alignment horizontal="center" vertical="center"/>
    </xf>
    <xf numFmtId="187" fontId="106" fillId="39" borderId="122" xfId="1299" applyNumberFormat="1" applyFont="1" applyFill="1" applyBorder="1" applyAlignment="1" applyProtection="1">
      <alignment horizontal="center" vertical="center"/>
      <protection locked="0"/>
    </xf>
    <xf numFmtId="187" fontId="106" fillId="39" borderId="123" xfId="1299" applyNumberFormat="1" applyFont="1" applyFill="1" applyBorder="1" applyAlignment="1" applyProtection="1">
      <alignment horizontal="center" vertical="center"/>
      <protection locked="0"/>
    </xf>
    <xf numFmtId="187" fontId="106" fillId="39" borderId="124" xfId="1299" applyNumberFormat="1" applyFont="1" applyFill="1" applyBorder="1" applyAlignment="1" applyProtection="1">
      <alignment horizontal="center" vertical="center"/>
      <protection locked="0"/>
    </xf>
    <xf numFmtId="166" fontId="372" fillId="42" borderId="437" xfId="1299" applyNumberFormat="1" applyFont="1" applyFill="1" applyBorder="1" applyAlignment="1" applyProtection="1">
      <alignment horizontal="center" vertical="center"/>
    </xf>
    <xf numFmtId="0" fontId="208" fillId="0" borderId="0" xfId="1299" applyFont="1" applyAlignment="1" applyProtection="1">
      <alignment horizontal="center" wrapText="1"/>
    </xf>
    <xf numFmtId="166" fontId="387" fillId="39" borderId="444" xfId="1299" applyNumberFormat="1" applyFont="1" applyFill="1" applyBorder="1" applyAlignment="1" applyProtection="1">
      <alignment horizontal="center" vertical="center"/>
      <protection locked="0"/>
    </xf>
    <xf numFmtId="0" fontId="208" fillId="0" borderId="443" xfId="1299" applyFont="1" applyBorder="1" applyProtection="1">
      <protection locked="0"/>
    </xf>
    <xf numFmtId="0" fontId="208" fillId="0" borderId="457" xfId="1299" applyFont="1" applyBorder="1" applyProtection="1">
      <protection locked="0"/>
    </xf>
    <xf numFmtId="166" fontId="374" fillId="41" borderId="451" xfId="1299" applyNumberFormat="1" applyFont="1" applyFill="1" applyBorder="1" applyAlignment="1" applyProtection="1">
      <alignment horizontal="right" vertical="center"/>
    </xf>
    <xf numFmtId="0" fontId="208" fillId="0" borderId="452" xfId="1299" applyFont="1" applyBorder="1" applyProtection="1"/>
    <xf numFmtId="166" fontId="375" fillId="41" borderId="453" xfId="1299" applyNumberFormat="1" applyFont="1" applyFill="1" applyBorder="1" applyAlignment="1" applyProtection="1">
      <alignment horizontal="center" vertical="center"/>
    </xf>
    <xf numFmtId="0" fontId="208" fillId="0" borderId="454" xfId="1299" applyFont="1" applyBorder="1" applyProtection="1"/>
    <xf numFmtId="0" fontId="387" fillId="39" borderId="439" xfId="1299" applyFont="1" applyFill="1" applyBorder="1" applyAlignment="1" applyProtection="1">
      <alignment horizontal="center" vertical="center"/>
      <protection locked="0"/>
    </xf>
    <xf numFmtId="168" fontId="387" fillId="39" borderId="439" xfId="1299" applyNumberFormat="1" applyFont="1" applyFill="1" applyBorder="1" applyAlignment="1" applyProtection="1">
      <alignment horizontal="center" vertical="center"/>
      <protection locked="0"/>
    </xf>
    <xf numFmtId="166" fontId="387" fillId="39" borderId="444" xfId="1299" applyNumberFormat="1" applyFont="1" applyFill="1" applyBorder="1" applyAlignment="1" applyProtection="1">
      <alignment horizontal="center" vertical="center"/>
    </xf>
    <xf numFmtId="0" fontId="208" fillId="0" borderId="445" xfId="1299" applyFont="1" applyBorder="1" applyProtection="1"/>
    <xf numFmtId="0" fontId="382" fillId="40" borderId="455" xfId="1299" applyFont="1" applyFill="1" applyBorder="1" applyAlignment="1" applyProtection="1">
      <alignment horizontal="left" vertical="center"/>
    </xf>
    <xf numFmtId="0" fontId="382" fillId="40" borderId="0" xfId="1299" applyFont="1" applyFill="1" applyBorder="1" applyAlignment="1" applyProtection="1">
      <alignment horizontal="left" vertical="center"/>
    </xf>
    <xf numFmtId="166" fontId="387" fillId="41" borderId="442" xfId="1299" applyNumberFormat="1" applyFont="1" applyFill="1" applyBorder="1" applyAlignment="1" applyProtection="1">
      <alignment horizontal="left" vertical="center"/>
    </xf>
    <xf numFmtId="166" fontId="388" fillId="41" borderId="443" xfId="1299" applyNumberFormat="1" applyFont="1" applyFill="1" applyBorder="1" applyAlignment="1" applyProtection="1">
      <alignment horizontal="center"/>
    </xf>
    <xf numFmtId="0" fontId="208" fillId="0" borderId="445" xfId="1299" applyFont="1" applyBorder="1" applyProtection="1">
      <protection locked="0"/>
    </xf>
    <xf numFmtId="166" fontId="387" fillId="41" borderId="446" xfId="1299" applyNumberFormat="1" applyFont="1" applyFill="1" applyBorder="1" applyAlignment="1" applyProtection="1">
      <alignment horizontal="left" vertical="center"/>
    </xf>
    <xf numFmtId="0" fontId="387" fillId="39" borderId="448" xfId="1299" applyFont="1" applyFill="1" applyBorder="1" applyAlignment="1" applyProtection="1">
      <alignment horizontal="center" vertical="center"/>
      <protection locked="0"/>
    </xf>
    <xf numFmtId="0" fontId="208" fillId="0" borderId="402" xfId="1299" applyFont="1" applyBorder="1" applyProtection="1">
      <protection locked="0"/>
    </xf>
    <xf numFmtId="10" fontId="387" fillId="39" borderId="448" xfId="1299" applyNumberFormat="1" applyFont="1" applyFill="1" applyBorder="1" applyAlignment="1" applyProtection="1">
      <alignment horizontal="center" vertical="center"/>
      <protection locked="0"/>
    </xf>
    <xf numFmtId="0" fontId="208" fillId="0" borderId="449" xfId="1299" applyFont="1" applyBorder="1" applyProtection="1">
      <protection locked="0"/>
    </xf>
    <xf numFmtId="0" fontId="208" fillId="0" borderId="450" xfId="1299" applyFont="1" applyBorder="1" applyProtection="1"/>
    <xf numFmtId="0" fontId="384" fillId="41" borderId="0" xfId="1299" applyFont="1" applyFill="1" applyBorder="1" applyAlignment="1" applyProtection="1">
      <alignment horizontal="center" vertical="center"/>
    </xf>
    <xf numFmtId="0" fontId="208" fillId="0" borderId="0" xfId="1299" applyFont="1" applyBorder="1" applyProtection="1"/>
    <xf numFmtId="0" fontId="53" fillId="38" borderId="0" xfId="1299" applyFont="1" applyFill="1" applyAlignment="1" applyProtection="1">
      <alignment horizontal="center" vertical="center"/>
    </xf>
    <xf numFmtId="0" fontId="260" fillId="38" borderId="0" xfId="1299" applyFont="1" applyFill="1" applyAlignment="1" applyProtection="1">
      <alignment horizontal="center" vertical="center"/>
    </xf>
    <xf numFmtId="0" fontId="466" fillId="0" borderId="0" xfId="1299" applyFont="1" applyAlignment="1" applyProtection="1"/>
    <xf numFmtId="0" fontId="375" fillId="40" borderId="0" xfId="1299" applyFont="1" applyFill="1" applyAlignment="1" applyProtection="1">
      <alignment horizontal="center"/>
    </xf>
    <xf numFmtId="0" fontId="461" fillId="43" borderId="0" xfId="1299" applyFont="1" applyFill="1" applyBorder="1" applyAlignment="1" applyProtection="1">
      <alignment horizontal="center" vertical="center" wrapText="1"/>
    </xf>
    <xf numFmtId="166" fontId="392" fillId="41" borderId="468" xfId="1299" applyNumberFormat="1" applyFont="1" applyFill="1" applyBorder="1" applyAlignment="1">
      <alignment horizontal="right" vertical="center"/>
    </xf>
    <xf numFmtId="0" fontId="391" fillId="0" borderId="469" xfId="1299" applyFont="1" applyBorder="1"/>
    <xf numFmtId="0" fontId="391" fillId="0" borderId="470" xfId="1299" applyFont="1" applyBorder="1"/>
    <xf numFmtId="166" fontId="396" fillId="41" borderId="468" xfId="1299" applyNumberFormat="1" applyFont="1" applyFill="1" applyBorder="1" applyAlignment="1">
      <alignment horizontal="center" vertical="center"/>
    </xf>
    <xf numFmtId="0" fontId="467" fillId="0" borderId="0" xfId="1299" applyFont="1" applyAlignment="1" applyProtection="1"/>
    <xf numFmtId="0" fontId="468" fillId="45" borderId="0" xfId="1299" applyFont="1" applyFill="1" applyBorder="1" applyAlignment="1">
      <alignment horizontal="center" vertical="center"/>
    </xf>
    <xf numFmtId="166" fontId="395" fillId="62" borderId="393" xfId="1299" applyNumberFormat="1" applyFont="1" applyFill="1" applyBorder="1" applyAlignment="1">
      <alignment horizontal="center" vertical="center"/>
    </xf>
    <xf numFmtId="166" fontId="395" fillId="62" borderId="770" xfId="1299" applyNumberFormat="1" applyFont="1" applyFill="1" applyBorder="1" applyAlignment="1">
      <alignment horizontal="center" vertical="center"/>
    </xf>
    <xf numFmtId="0" fontId="442" fillId="14" borderId="393" xfId="1299" applyFont="1" applyFill="1" applyBorder="1" applyAlignment="1" applyProtection="1">
      <alignment horizontal="center" vertical="center"/>
      <protection locked="0"/>
    </xf>
    <xf numFmtId="0" fontId="442" fillId="14" borderId="724" xfId="1299" applyFont="1" applyFill="1" applyBorder="1" applyAlignment="1" applyProtection="1">
      <alignment horizontal="center" vertical="center"/>
      <protection locked="0"/>
    </xf>
    <xf numFmtId="166" fontId="387" fillId="47" borderId="393" xfId="1299" applyNumberFormat="1" applyFont="1" applyFill="1" applyBorder="1" applyAlignment="1" applyProtection="1">
      <alignment horizontal="center" vertical="center"/>
    </xf>
    <xf numFmtId="0" fontId="208" fillId="0" borderId="393" xfId="1299" applyFont="1" applyBorder="1" applyProtection="1"/>
    <xf numFmtId="0" fontId="208" fillId="0" borderId="724" xfId="1299" applyFont="1" applyBorder="1" applyProtection="1"/>
    <xf numFmtId="166" fontId="431" fillId="41" borderId="464" xfId="1299" applyNumberFormat="1" applyFont="1" applyFill="1" applyBorder="1" applyAlignment="1">
      <alignment horizontal="left" vertical="center" indent="1"/>
    </xf>
    <xf numFmtId="0" fontId="391" fillId="0" borderId="447" xfId="1299" applyFont="1" applyBorder="1" applyAlignment="1">
      <alignment horizontal="left" indent="1"/>
    </xf>
    <xf numFmtId="10" fontId="431" fillId="39" borderId="695" xfId="1299" applyNumberFormat="1" applyFont="1" applyFill="1" applyBorder="1" applyAlignment="1" applyProtection="1">
      <alignment horizontal="center" vertical="center"/>
      <protection locked="0"/>
    </xf>
    <xf numFmtId="0" fontId="391" fillId="0" borderId="402" xfId="1299" applyFont="1" applyBorder="1" applyProtection="1">
      <protection locked="0"/>
    </xf>
    <xf numFmtId="0" fontId="391" fillId="0" borderId="449" xfId="1299" applyFont="1" applyBorder="1" applyProtection="1">
      <protection locked="0"/>
    </xf>
    <xf numFmtId="166" fontId="431" fillId="41" borderId="464" xfId="1299" applyNumberFormat="1" applyFont="1" applyFill="1" applyBorder="1" applyAlignment="1">
      <alignment horizontal="center" vertical="center"/>
    </xf>
    <xf numFmtId="166" fontId="391" fillId="0" borderId="447" xfId="1299" applyNumberFormat="1" applyFont="1" applyBorder="1"/>
    <xf numFmtId="166" fontId="391" fillId="0" borderId="465" xfId="1299" applyNumberFormat="1" applyFont="1" applyBorder="1"/>
    <xf numFmtId="166" fontId="431" fillId="41" borderId="418" xfId="1299" applyNumberFormat="1" applyFont="1" applyFill="1" applyBorder="1" applyAlignment="1">
      <alignment horizontal="left" vertical="center" indent="1"/>
    </xf>
    <xf numFmtId="166" fontId="431" fillId="41" borderId="393" xfId="1299" applyNumberFormat="1" applyFont="1" applyFill="1" applyBorder="1" applyAlignment="1">
      <alignment horizontal="left" vertical="center" indent="1"/>
    </xf>
    <xf numFmtId="166" fontId="431" fillId="41" borderId="725" xfId="1299" applyNumberFormat="1" applyFont="1" applyFill="1" applyBorder="1" applyAlignment="1">
      <alignment horizontal="left" vertical="center" indent="1"/>
    </xf>
    <xf numFmtId="166" fontId="406" fillId="41" borderId="456" xfId="1299" applyNumberFormat="1" applyFont="1" applyFill="1" applyBorder="1" applyAlignment="1">
      <alignment horizontal="right" vertical="center"/>
    </xf>
    <xf numFmtId="166" fontId="396" fillId="41" borderId="456" xfId="1299" applyNumberFormat="1" applyFont="1" applyFill="1" applyBorder="1" applyAlignment="1">
      <alignment horizontal="center" vertical="center"/>
    </xf>
    <xf numFmtId="0" fontId="391" fillId="0" borderId="466" xfId="1299" applyFont="1" applyBorder="1"/>
    <xf numFmtId="166" fontId="406" fillId="41" borderId="444" xfId="1299" applyNumberFormat="1" applyFont="1" applyFill="1" applyBorder="1" applyAlignment="1">
      <alignment horizontal="right" vertical="center"/>
    </xf>
    <xf numFmtId="0" fontId="391" fillId="0" borderId="457" xfId="1299" applyFont="1" applyBorder="1"/>
    <xf numFmtId="166" fontId="396" fillId="41" borderId="444" xfId="1299" applyNumberFormat="1" applyFont="1" applyFill="1" applyBorder="1" applyAlignment="1">
      <alignment horizontal="center" vertical="center"/>
    </xf>
    <xf numFmtId="166" fontId="400" fillId="42" borderId="319" xfId="1299" applyNumberFormat="1" applyFont="1" applyFill="1" applyBorder="1" applyAlignment="1">
      <alignment horizontal="center" vertical="center"/>
    </xf>
    <xf numFmtId="0" fontId="391" fillId="0" borderId="320" xfId="1299" applyFont="1" applyBorder="1"/>
    <xf numFmtId="0" fontId="391" fillId="0" borderId="321" xfId="1299" applyFont="1" applyBorder="1"/>
    <xf numFmtId="166" fontId="392" fillId="41" borderId="439" xfId="1299" applyNumberFormat="1" applyFont="1" applyFill="1" applyBorder="1" applyAlignment="1">
      <alignment horizontal="right" vertical="center"/>
    </xf>
    <xf numFmtId="0" fontId="391" fillId="0" borderId="440" xfId="1299" applyFont="1" applyBorder="1"/>
    <xf numFmtId="0" fontId="391" fillId="0" borderId="441" xfId="1299" applyFont="1" applyBorder="1"/>
    <xf numFmtId="166" fontId="396" fillId="41" borderId="439" xfId="1299" applyNumberFormat="1" applyFont="1" applyFill="1" applyBorder="1" applyAlignment="1">
      <alignment horizontal="center" vertical="center"/>
    </xf>
    <xf numFmtId="0" fontId="392" fillId="40" borderId="456" xfId="1299" applyFont="1" applyFill="1" applyBorder="1" applyAlignment="1">
      <alignment horizontal="center" vertical="center"/>
    </xf>
    <xf numFmtId="0" fontId="392" fillId="40" borderId="0" xfId="1299" applyFont="1" applyFill="1" applyAlignment="1">
      <alignment horizontal="center" vertical="center"/>
    </xf>
    <xf numFmtId="188" fontId="431" fillId="39" borderId="726" xfId="1299" applyNumberFormat="1" applyFont="1" applyFill="1" applyBorder="1" applyAlignment="1" applyProtection="1">
      <alignment horizontal="center" vertical="center"/>
      <protection locked="0"/>
    </xf>
    <xf numFmtId="0" fontId="391" fillId="0" borderId="727" xfId="1299" applyFont="1" applyBorder="1" applyProtection="1">
      <protection locked="0"/>
    </xf>
    <xf numFmtId="0" fontId="391" fillId="0" borderId="728" xfId="1299" applyFont="1" applyBorder="1" applyProtection="1">
      <protection locked="0"/>
    </xf>
    <xf numFmtId="166" fontId="400" fillId="42" borderId="436" xfId="1299" applyNumberFormat="1" applyFont="1" applyFill="1" applyBorder="1" applyAlignment="1">
      <alignment horizontal="left" vertical="center"/>
    </xf>
    <xf numFmtId="0" fontId="391" fillId="0" borderId="437" xfId="1299" applyFont="1" applyBorder="1"/>
    <xf numFmtId="0" fontId="391" fillId="0" borderId="438" xfId="1299" applyFont="1" applyBorder="1"/>
    <xf numFmtId="166" fontId="430" fillId="42" borderId="436" xfId="1299" applyNumberFormat="1" applyFont="1" applyFill="1" applyBorder="1" applyAlignment="1">
      <alignment horizontal="center" vertical="center"/>
    </xf>
    <xf numFmtId="0" fontId="391" fillId="60" borderId="0" xfId="1299" applyFont="1" applyFill="1" applyBorder="1" applyAlignment="1">
      <alignment horizontal="center" vertical="center" wrapText="1"/>
    </xf>
    <xf numFmtId="0" fontId="391" fillId="22" borderId="0" xfId="1299" applyFont="1" applyFill="1" applyBorder="1"/>
    <xf numFmtId="0" fontId="392" fillId="22" borderId="0" xfId="1299" applyFont="1" applyFill="1" applyBorder="1" applyAlignment="1"/>
    <xf numFmtId="166" fontId="431" fillId="41" borderId="444" xfId="1299" applyNumberFormat="1" applyFont="1" applyFill="1" applyBorder="1" applyAlignment="1">
      <alignment horizontal="left" vertical="center"/>
    </xf>
    <xf numFmtId="166" fontId="431" fillId="39" borderId="444" xfId="1299" applyNumberFormat="1" applyFont="1" applyFill="1" applyBorder="1" applyAlignment="1" applyProtection="1">
      <alignment horizontal="center" vertical="center"/>
      <protection locked="0"/>
    </xf>
    <xf numFmtId="166" fontId="431" fillId="41" borderId="444" xfId="1299" applyNumberFormat="1" applyFont="1" applyFill="1" applyBorder="1" applyAlignment="1">
      <alignment horizontal="center" vertical="center"/>
    </xf>
    <xf numFmtId="166" fontId="431" fillId="41" borderId="464" xfId="1299" applyNumberFormat="1" applyFont="1" applyFill="1" applyBorder="1" applyAlignment="1">
      <alignment horizontal="left" vertical="center"/>
    </xf>
    <xf numFmtId="0" fontId="391" fillId="0" borderId="447" xfId="1299" applyFont="1" applyBorder="1"/>
    <xf numFmtId="10" fontId="431" fillId="39" borderId="464" xfId="1299" applyNumberFormat="1" applyFont="1" applyFill="1" applyBorder="1" applyAlignment="1" applyProtection="1">
      <alignment horizontal="center" vertical="center"/>
      <protection locked="0"/>
    </xf>
    <xf numFmtId="0" fontId="391" fillId="0" borderId="447" xfId="1299" applyFont="1" applyBorder="1" applyProtection="1">
      <protection locked="0"/>
    </xf>
    <xf numFmtId="0" fontId="391" fillId="0" borderId="465" xfId="1299" applyFont="1" applyBorder="1" applyProtection="1">
      <protection locked="0"/>
    </xf>
    <xf numFmtId="10" fontId="431" fillId="39" borderId="134" xfId="1299" applyNumberFormat="1" applyFont="1" applyFill="1" applyBorder="1" applyAlignment="1" applyProtection="1">
      <alignment horizontal="center" vertical="center"/>
      <protection locked="0"/>
    </xf>
    <xf numFmtId="0" fontId="391" fillId="0" borderId="114" xfId="1299" applyFont="1" applyBorder="1" applyProtection="1">
      <protection locked="0"/>
    </xf>
    <xf numFmtId="0" fontId="391" fillId="0" borderId="65" xfId="1299" applyFont="1" applyBorder="1" applyProtection="1">
      <protection locked="0"/>
    </xf>
    <xf numFmtId="0" fontId="154" fillId="6" borderId="204" xfId="0" applyFont="1" applyFill="1" applyBorder="1" applyAlignment="1" applyProtection="1">
      <alignment vertical="center"/>
      <protection hidden="1"/>
    </xf>
    <xf numFmtId="0" fontId="115" fillId="6" borderId="204" xfId="0" applyFont="1" applyFill="1" applyBorder="1" applyAlignment="1" applyProtection="1">
      <alignment horizontal="left" vertical="center"/>
      <protection hidden="1"/>
    </xf>
    <xf numFmtId="0" fontId="276" fillId="26" borderId="217" xfId="0" applyFont="1" applyFill="1" applyBorder="1" applyAlignment="1" applyProtection="1">
      <alignment horizontal="center" vertical="center"/>
      <protection hidden="1"/>
    </xf>
    <xf numFmtId="0" fontId="276" fillId="26" borderId="218" xfId="0" applyFont="1" applyFill="1" applyBorder="1" applyAlignment="1" applyProtection="1">
      <alignment horizontal="center" vertical="center"/>
      <protection hidden="1"/>
    </xf>
    <xf numFmtId="0" fontId="276" fillId="26" borderId="219" xfId="0" applyFont="1" applyFill="1" applyBorder="1" applyAlignment="1" applyProtection="1">
      <alignment horizontal="center" vertical="center"/>
      <protection hidden="1"/>
    </xf>
    <xf numFmtId="0" fontId="276" fillId="26" borderId="222" xfId="0" applyFont="1" applyFill="1" applyBorder="1" applyAlignment="1" applyProtection="1">
      <alignment horizontal="center" vertical="center"/>
      <protection hidden="1"/>
    </xf>
    <xf numFmtId="0" fontId="276" fillId="26" borderId="225" xfId="0" applyFont="1" applyFill="1" applyBorder="1" applyAlignment="1" applyProtection="1">
      <alignment horizontal="center" vertical="center"/>
      <protection hidden="1"/>
    </xf>
    <xf numFmtId="0" fontId="276" fillId="26" borderId="216" xfId="0" applyFont="1" applyFill="1" applyBorder="1" applyAlignment="1" applyProtection="1">
      <alignment horizontal="center" vertical="center"/>
      <protection hidden="1"/>
    </xf>
    <xf numFmtId="0" fontId="381" fillId="6" borderId="203" xfId="0" applyFont="1" applyFill="1" applyBorder="1" applyAlignment="1" applyProtection="1">
      <alignment horizontal="left" vertical="center"/>
      <protection hidden="1"/>
    </xf>
    <xf numFmtId="0" fontId="215" fillId="21" borderId="0" xfId="0" applyFont="1" applyFill="1" applyAlignment="1" applyProtection="1">
      <alignment horizontal="center" vertical="center"/>
      <protection hidden="1"/>
    </xf>
    <xf numFmtId="0" fontId="75" fillId="6" borderId="127" xfId="0" applyNumberFormat="1" applyFont="1" applyFill="1" applyBorder="1" applyAlignment="1" applyProtection="1">
      <alignment horizontal="left"/>
      <protection locked="0"/>
    </xf>
    <xf numFmtId="0" fontId="75" fillId="6" borderId="121" xfId="0" applyNumberFormat="1" applyFont="1" applyFill="1" applyBorder="1" applyAlignment="1" applyProtection="1">
      <alignment horizontal="left"/>
      <protection locked="0"/>
    </xf>
    <xf numFmtId="0" fontId="75" fillId="6" borderId="128" xfId="0" applyNumberFormat="1" applyFont="1" applyFill="1" applyBorder="1" applyAlignment="1" applyProtection="1">
      <alignment horizontal="left"/>
      <protection locked="0"/>
    </xf>
    <xf numFmtId="0" fontId="75" fillId="6" borderId="0" xfId="0" applyNumberFormat="1" applyFont="1" applyFill="1" applyBorder="1" applyAlignment="1" applyProtection="1">
      <alignment horizontal="left"/>
      <protection locked="0"/>
    </xf>
    <xf numFmtId="0" fontId="75" fillId="6" borderId="133" xfId="0" applyNumberFormat="1" applyFont="1" applyFill="1" applyBorder="1" applyAlignment="1" applyProtection="1">
      <alignment horizontal="left"/>
      <protection locked="0"/>
    </xf>
    <xf numFmtId="0" fontId="75" fillId="6" borderId="130" xfId="0" applyNumberFormat="1" applyFont="1" applyFill="1" applyBorder="1" applyAlignment="1" applyProtection="1">
      <alignment horizontal="left"/>
      <protection locked="0"/>
    </xf>
    <xf numFmtId="0" fontId="75" fillId="6" borderId="109" xfId="0" applyNumberFormat="1" applyFont="1" applyFill="1" applyBorder="1" applyAlignment="1" applyProtection="1">
      <alignment horizontal="left"/>
      <protection locked="0"/>
    </xf>
    <xf numFmtId="0" fontId="75" fillId="6" borderId="131" xfId="0" applyNumberFormat="1" applyFont="1" applyFill="1" applyBorder="1" applyAlignment="1" applyProtection="1">
      <alignment horizontal="left"/>
      <protection locked="0"/>
    </xf>
    <xf numFmtId="0" fontId="215" fillId="21" borderId="0" xfId="0" applyFont="1" applyFill="1" applyBorder="1" applyAlignment="1">
      <alignment horizontal="center" vertical="center"/>
    </xf>
    <xf numFmtId="0" fontId="215" fillId="21" borderId="0" xfId="0" applyFont="1" applyFill="1" applyAlignment="1">
      <alignment horizontal="center" vertical="center"/>
    </xf>
    <xf numFmtId="0" fontId="120" fillId="22" borderId="0" xfId="0" applyFont="1" applyFill="1" applyBorder="1" applyAlignment="1">
      <alignment horizontal="left" vertical="center" wrapText="1" indent="1"/>
    </xf>
    <xf numFmtId="0" fontId="154" fillId="22" borderId="0" xfId="0" applyFont="1" applyFill="1" applyBorder="1" applyAlignment="1">
      <alignment horizontal="left" vertical="top" wrapText="1"/>
    </xf>
    <xf numFmtId="0" fontId="52" fillId="6" borderId="121" xfId="8" applyNumberFormat="1" applyFont="1" applyFill="1" applyBorder="1" applyAlignment="1" applyProtection="1">
      <alignment horizontal="left" vertical="center"/>
      <protection locked="0"/>
    </xf>
    <xf numFmtId="0" fontId="72" fillId="6" borderId="0" xfId="0" applyNumberFormat="1" applyFont="1" applyFill="1" applyBorder="1" applyAlignment="1" applyProtection="1">
      <alignment horizontal="center"/>
      <protection locked="0"/>
    </xf>
    <xf numFmtId="0" fontId="72" fillId="6" borderId="4" xfId="0" applyNumberFormat="1" applyFont="1" applyFill="1" applyBorder="1" applyAlignment="1" applyProtection="1">
      <alignment horizontal="center"/>
      <protection locked="0"/>
    </xf>
    <xf numFmtId="166" fontId="51" fillId="6" borderId="104" xfId="0" applyNumberFormat="1" applyFont="1" applyFill="1" applyBorder="1" applyAlignment="1" applyProtection="1">
      <alignment horizontal="center"/>
      <protection locked="0"/>
    </xf>
    <xf numFmtId="166" fontId="51" fillId="6" borderId="369" xfId="0" applyNumberFormat="1" applyFont="1" applyFill="1" applyBorder="1" applyAlignment="1" applyProtection="1">
      <alignment horizontal="center"/>
      <protection locked="0"/>
    </xf>
    <xf numFmtId="0" fontId="106" fillId="6" borderId="99" xfId="0" applyNumberFormat="1" applyFont="1" applyFill="1" applyBorder="1" applyAlignment="1" applyProtection="1">
      <alignment horizontal="left" vertical="center" indent="1"/>
      <protection locked="0"/>
    </xf>
    <xf numFmtId="0" fontId="106" fillId="6" borderId="0" xfId="0" applyNumberFormat="1" applyFont="1" applyFill="1" applyBorder="1" applyAlignment="1" applyProtection="1">
      <alignment horizontal="left" vertical="center" indent="1"/>
      <protection locked="0"/>
    </xf>
    <xf numFmtId="166" fontId="50" fillId="6" borderId="121" xfId="8" applyNumberFormat="1" applyFont="1" applyFill="1" applyBorder="1" applyAlignment="1" applyProtection="1">
      <alignment horizontal="center" vertical="center"/>
      <protection locked="0"/>
    </xf>
    <xf numFmtId="0" fontId="73" fillId="7" borderId="121" xfId="0" applyNumberFormat="1" applyFont="1" applyFill="1" applyBorder="1" applyAlignment="1" applyProtection="1">
      <alignment horizontal="left" vertical="center" indent="1"/>
      <protection locked="0"/>
    </xf>
    <xf numFmtId="0" fontId="52" fillId="6" borderId="121" xfId="0" applyNumberFormat="1" applyFont="1" applyFill="1" applyBorder="1" applyAlignment="1" applyProtection="1">
      <alignment horizontal="left" vertical="center"/>
      <protection locked="0"/>
    </xf>
    <xf numFmtId="166" fontId="51" fillId="6" borderId="0" xfId="3" applyNumberFormat="1" applyFont="1" applyFill="1" applyBorder="1" applyAlignment="1" applyProtection="1">
      <alignment horizontal="center"/>
      <protection locked="0"/>
    </xf>
    <xf numFmtId="0" fontId="51" fillId="6" borderId="99" xfId="0" applyNumberFormat="1" applyFont="1" applyFill="1" applyBorder="1" applyAlignment="1" applyProtection="1">
      <alignment horizontal="left" indent="2"/>
      <protection locked="0"/>
    </xf>
    <xf numFmtId="0" fontId="51" fillId="6" borderId="0" xfId="0" applyNumberFormat="1" applyFont="1" applyFill="1" applyBorder="1" applyAlignment="1" applyProtection="1">
      <alignment horizontal="left" indent="2"/>
      <protection locked="0"/>
    </xf>
    <xf numFmtId="0" fontId="52" fillId="6" borderId="0" xfId="0" applyNumberFormat="1" applyFont="1" applyFill="1" applyBorder="1" applyAlignment="1" applyProtection="1">
      <alignment horizontal="right"/>
      <protection locked="0"/>
    </xf>
    <xf numFmtId="0" fontId="51" fillId="6" borderId="128" xfId="0" applyNumberFormat="1" applyFont="1" applyFill="1" applyBorder="1" applyAlignment="1" applyProtection="1">
      <alignment horizontal="left" indent="2"/>
      <protection locked="0"/>
    </xf>
    <xf numFmtId="166" fontId="51" fillId="6" borderId="61" xfId="0" applyNumberFormat="1" applyFont="1" applyFill="1" applyBorder="1" applyAlignment="1" applyProtection="1">
      <alignment horizontal="center" vertical="center"/>
      <protection locked="0"/>
    </xf>
    <xf numFmtId="166" fontId="51" fillId="6" borderId="366" xfId="0" applyNumberFormat="1" applyFont="1" applyFill="1" applyBorder="1" applyAlignment="1" applyProtection="1">
      <alignment horizontal="center" vertical="center"/>
      <protection locked="0"/>
    </xf>
    <xf numFmtId="166" fontId="51" fillId="6" borderId="96" xfId="0" applyNumberFormat="1" applyFont="1" applyFill="1" applyBorder="1" applyAlignment="1" applyProtection="1">
      <alignment horizontal="center" vertical="center"/>
      <protection locked="0"/>
    </xf>
    <xf numFmtId="166" fontId="51" fillId="6" borderId="165" xfId="0" applyNumberFormat="1" applyFont="1" applyFill="1" applyBorder="1" applyAlignment="1" applyProtection="1">
      <alignment horizontal="center" vertical="center"/>
      <protection locked="0"/>
    </xf>
    <xf numFmtId="166" fontId="51" fillId="6" borderId="103" xfId="0" applyNumberFormat="1" applyFont="1" applyFill="1" applyBorder="1" applyAlignment="1" applyProtection="1">
      <alignment horizontal="center"/>
      <protection locked="0"/>
    </xf>
    <xf numFmtId="166" fontId="51" fillId="6" borderId="368" xfId="0" applyNumberFormat="1" applyFont="1" applyFill="1" applyBorder="1" applyAlignment="1" applyProtection="1">
      <alignment horizontal="center"/>
      <protection locked="0"/>
    </xf>
    <xf numFmtId="9" fontId="50" fillId="6" borderId="101" xfId="0" applyNumberFormat="1" applyFont="1" applyFill="1" applyBorder="1" applyAlignment="1" applyProtection="1">
      <alignment horizontal="center"/>
      <protection locked="0"/>
    </xf>
    <xf numFmtId="0" fontId="50" fillId="6" borderId="101" xfId="0" applyNumberFormat="1" applyFont="1" applyFill="1" applyBorder="1" applyAlignment="1" applyProtection="1">
      <alignment horizontal="center"/>
      <protection locked="0"/>
    </xf>
    <xf numFmtId="166" fontId="50" fillId="6" borderId="121" xfId="3" applyNumberFormat="1" applyFont="1" applyFill="1" applyBorder="1" applyAlignment="1" applyProtection="1">
      <alignment horizontal="center" vertical="center"/>
      <protection locked="0"/>
    </xf>
    <xf numFmtId="166" fontId="51" fillId="6" borderId="103" xfId="3" applyNumberFormat="1" applyFont="1" applyFill="1" applyBorder="1" applyAlignment="1" applyProtection="1">
      <alignment horizontal="center"/>
      <protection locked="0"/>
    </xf>
    <xf numFmtId="0" fontId="76" fillId="6" borderId="109" xfId="0" applyNumberFormat="1" applyFont="1" applyFill="1" applyBorder="1" applyAlignment="1" applyProtection="1">
      <alignment horizontal="right" vertical="center"/>
      <protection locked="0"/>
    </xf>
    <xf numFmtId="0" fontId="106" fillId="6" borderId="128" xfId="0" applyNumberFormat="1" applyFont="1" applyFill="1" applyBorder="1" applyAlignment="1" applyProtection="1">
      <alignment horizontal="left" vertical="center" indent="1"/>
      <protection locked="0"/>
    </xf>
    <xf numFmtId="166" fontId="71" fillId="6" borderId="121" xfId="3" applyNumberFormat="1" applyFont="1" applyFill="1" applyBorder="1" applyAlignment="1" applyProtection="1">
      <alignment horizontal="center" vertical="center"/>
      <protection locked="0"/>
    </xf>
    <xf numFmtId="0" fontId="246" fillId="7" borderId="121" xfId="0" applyNumberFormat="1" applyFont="1" applyFill="1" applyBorder="1" applyAlignment="1" applyProtection="1">
      <alignment horizontal="center" vertical="center"/>
      <protection locked="0"/>
    </xf>
    <xf numFmtId="0" fontId="51" fillId="6" borderId="128" xfId="0" applyNumberFormat="1" applyFont="1" applyFill="1" applyBorder="1" applyAlignment="1" applyProtection="1">
      <alignment horizontal="left" indent="1"/>
      <protection locked="0"/>
    </xf>
    <xf numFmtId="0" fontId="51" fillId="6" borderId="0" xfId="0" applyNumberFormat="1" applyFont="1" applyFill="1" applyBorder="1" applyAlignment="1" applyProtection="1">
      <alignment horizontal="left" indent="1"/>
      <protection locked="0"/>
    </xf>
    <xf numFmtId="0" fontId="77" fillId="6" borderId="109" xfId="0" applyNumberFormat="1" applyFont="1" applyFill="1" applyBorder="1" applyAlignment="1" applyProtection="1">
      <alignment horizontal="right" vertical="center"/>
      <protection locked="0"/>
    </xf>
    <xf numFmtId="0" fontId="72" fillId="6" borderId="104" xfId="0" applyNumberFormat="1" applyFont="1" applyFill="1" applyBorder="1" applyAlignment="1" applyProtection="1">
      <alignment horizontal="center"/>
      <protection locked="0"/>
    </xf>
    <xf numFmtId="0" fontId="72" fillId="6" borderId="369" xfId="0" applyNumberFormat="1" applyFont="1" applyFill="1" applyBorder="1" applyAlignment="1" applyProtection="1">
      <alignment horizontal="center"/>
      <protection locked="0"/>
    </xf>
    <xf numFmtId="0" fontId="72" fillId="6" borderId="103" xfId="0" applyNumberFormat="1" applyFont="1" applyFill="1" applyBorder="1" applyAlignment="1" applyProtection="1">
      <alignment horizontal="center"/>
      <protection locked="0"/>
    </xf>
    <xf numFmtId="0" fontId="72" fillId="6" borderId="368" xfId="0" applyNumberFormat="1" applyFont="1" applyFill="1" applyBorder="1" applyAlignment="1" applyProtection="1">
      <alignment horizontal="center"/>
      <protection locked="0"/>
    </xf>
    <xf numFmtId="166" fontId="106" fillId="6" borderId="104" xfId="3" applyNumberFormat="1" applyFont="1" applyFill="1" applyBorder="1" applyAlignment="1" applyProtection="1">
      <alignment horizontal="center" vertical="center"/>
      <protection locked="0"/>
    </xf>
    <xf numFmtId="166" fontId="106" fillId="6" borderId="103" xfId="3" applyNumberFormat="1" applyFont="1" applyFill="1" applyBorder="1" applyAlignment="1" applyProtection="1">
      <alignment horizontal="center" vertical="center"/>
      <protection locked="0"/>
    </xf>
    <xf numFmtId="166" fontId="106" fillId="6" borderId="0" xfId="3" applyNumberFormat="1" applyFont="1" applyFill="1" applyBorder="1" applyAlignment="1" applyProtection="1">
      <alignment horizontal="center" vertical="center"/>
      <protection locked="0"/>
    </xf>
    <xf numFmtId="0" fontId="72" fillId="6" borderId="121" xfId="0" applyNumberFormat="1" applyFont="1" applyFill="1" applyBorder="1" applyAlignment="1" applyProtection="1">
      <alignment horizontal="center" vertical="center"/>
      <protection locked="0"/>
    </xf>
    <xf numFmtId="0" fontId="55" fillId="6" borderId="121" xfId="0" applyNumberFormat="1" applyFont="1" applyFill="1" applyBorder="1" applyAlignment="1" applyProtection="1">
      <alignment horizontal="left" indent="1"/>
      <protection locked="0"/>
    </xf>
    <xf numFmtId="0" fontId="122" fillId="7" borderId="121" xfId="0" applyFont="1" applyFill="1" applyBorder="1" applyAlignment="1">
      <alignment horizontal="center" vertical="center"/>
    </xf>
    <xf numFmtId="0" fontId="72" fillId="6" borderId="121" xfId="0" applyNumberFormat="1" applyFont="1" applyFill="1" applyBorder="1" applyAlignment="1" applyProtection="1">
      <alignment horizontal="center"/>
      <protection locked="0"/>
    </xf>
    <xf numFmtId="0" fontId="210" fillId="6" borderId="121" xfId="0" applyNumberFormat="1" applyFont="1" applyFill="1" applyBorder="1" applyAlignment="1" applyProtection="1">
      <alignment horizontal="center"/>
      <protection locked="0"/>
    </xf>
    <xf numFmtId="0" fontId="210" fillId="6" borderId="121" xfId="0" applyNumberFormat="1" applyFont="1" applyFill="1" applyBorder="1" applyAlignment="1" applyProtection="1">
      <alignment horizontal="left" vertical="center"/>
      <protection locked="0"/>
    </xf>
    <xf numFmtId="0" fontId="210" fillId="6" borderId="125" xfId="0" applyNumberFormat="1" applyFont="1" applyFill="1" applyBorder="1" applyAlignment="1" applyProtection="1">
      <alignment horizontal="left" vertical="center"/>
      <protection locked="0"/>
    </xf>
    <xf numFmtId="0" fontId="250" fillId="6" borderId="121" xfId="0" applyNumberFormat="1" applyFont="1" applyFill="1" applyBorder="1" applyAlignment="1" applyProtection="1">
      <alignment horizontal="left"/>
      <protection locked="0"/>
    </xf>
    <xf numFmtId="0" fontId="212" fillId="6" borderId="121" xfId="0" applyNumberFormat="1" applyFont="1" applyFill="1" applyBorder="1" applyAlignment="1" applyProtection="1">
      <alignment horizontal="center"/>
      <protection locked="0"/>
    </xf>
    <xf numFmtId="0" fontId="76" fillId="6" borderId="121" xfId="0" applyNumberFormat="1" applyFont="1" applyFill="1" applyBorder="1" applyAlignment="1" applyProtection="1">
      <alignment horizontal="left" vertical="top"/>
      <protection locked="0"/>
    </xf>
    <xf numFmtId="0" fontId="210" fillId="6" borderId="121" xfId="0" applyNumberFormat="1" applyFont="1" applyFill="1" applyBorder="1" applyAlignment="1" applyProtection="1">
      <alignment horizontal="center" vertical="center"/>
      <protection locked="0"/>
    </xf>
    <xf numFmtId="0" fontId="74" fillId="6" borderId="121" xfId="0" applyNumberFormat="1" applyFont="1" applyFill="1" applyBorder="1" applyAlignment="1" applyProtection="1">
      <alignment horizontal="center"/>
      <protection locked="0"/>
    </xf>
    <xf numFmtId="0" fontId="55" fillId="6" borderId="121" xfId="0" applyNumberFormat="1" applyFont="1" applyFill="1" applyBorder="1" applyAlignment="1" applyProtection="1">
      <alignment horizontal="center" vertical="center"/>
      <protection locked="0"/>
    </xf>
    <xf numFmtId="0" fontId="55" fillId="6" borderId="124" xfId="0" applyNumberFormat="1" applyFont="1" applyFill="1" applyBorder="1" applyAlignment="1" applyProtection="1">
      <alignment horizontal="center"/>
      <protection locked="0"/>
    </xf>
    <xf numFmtId="0" fontId="55" fillId="6" borderId="122" xfId="0" applyNumberFormat="1" applyFont="1" applyFill="1" applyBorder="1" applyAlignment="1" applyProtection="1">
      <alignment horizontal="center"/>
      <protection locked="0"/>
    </xf>
    <xf numFmtId="0" fontId="331" fillId="6" borderId="127" xfId="0" applyNumberFormat="1" applyFont="1" applyFill="1" applyBorder="1" applyAlignment="1" applyProtection="1">
      <alignment horizontal="center"/>
      <protection locked="0"/>
    </xf>
    <xf numFmtId="0" fontId="331" fillId="6" borderId="121" xfId="0" applyNumberFormat="1" applyFont="1" applyFill="1" applyBorder="1" applyAlignment="1" applyProtection="1">
      <alignment horizontal="center"/>
      <protection locked="0"/>
    </xf>
    <xf numFmtId="0" fontId="210" fillId="7" borderId="121" xfId="0" applyNumberFormat="1" applyFont="1" applyFill="1" applyBorder="1" applyAlignment="1" applyProtection="1">
      <alignment horizontal="left" vertical="center"/>
      <protection locked="0"/>
    </xf>
    <xf numFmtId="0" fontId="73" fillId="23" borderId="121" xfId="3" applyNumberFormat="1" applyFont="1" applyFill="1" applyBorder="1" applyAlignment="1" applyProtection="1">
      <alignment horizontal="center" vertical="center"/>
      <protection locked="0"/>
    </xf>
    <xf numFmtId="166" fontId="51" fillId="6" borderId="0" xfId="0" applyNumberFormat="1" applyFont="1" applyFill="1" applyBorder="1" applyAlignment="1" applyProtection="1">
      <alignment horizontal="center"/>
      <protection locked="0"/>
    </xf>
    <xf numFmtId="166" fontId="51" fillId="6" borderId="133" xfId="0" applyNumberFormat="1" applyFont="1" applyFill="1" applyBorder="1" applyAlignment="1" applyProtection="1">
      <alignment horizontal="center"/>
      <protection locked="0"/>
    </xf>
    <xf numFmtId="166" fontId="51" fillId="6" borderId="61" xfId="0" applyNumberFormat="1" applyFont="1" applyFill="1" applyBorder="1" applyAlignment="1" applyProtection="1">
      <alignment horizontal="center"/>
      <protection locked="0"/>
    </xf>
    <xf numFmtId="166" fontId="51" fillId="6" borderId="366" xfId="0" applyNumberFormat="1" applyFont="1" applyFill="1" applyBorder="1" applyAlignment="1" applyProtection="1">
      <alignment horizontal="center"/>
      <protection locked="0"/>
    </xf>
    <xf numFmtId="166" fontId="51" fillId="6" borderId="89" xfId="0" applyNumberFormat="1" applyFont="1" applyFill="1" applyBorder="1" applyAlignment="1" applyProtection="1">
      <alignment horizontal="center"/>
      <protection locked="0"/>
    </xf>
    <xf numFmtId="166" fontId="51" fillId="6" borderId="367" xfId="0" applyNumberFormat="1" applyFont="1" applyFill="1" applyBorder="1" applyAlignment="1" applyProtection="1">
      <alignment horizontal="center"/>
      <protection locked="0"/>
    </xf>
    <xf numFmtId="0" fontId="51" fillId="6" borderId="99" xfId="0" applyNumberFormat="1" applyFont="1" applyFill="1" applyBorder="1" applyAlignment="1" applyProtection="1">
      <alignment horizontal="left" indent="1"/>
      <protection locked="0"/>
    </xf>
    <xf numFmtId="166" fontId="106" fillId="6" borderId="121" xfId="3" applyNumberFormat="1" applyFont="1" applyFill="1" applyBorder="1" applyAlignment="1" applyProtection="1">
      <alignment horizontal="center" vertical="center"/>
      <protection locked="0"/>
    </xf>
    <xf numFmtId="0" fontId="73" fillId="7" borderId="121" xfId="0" applyNumberFormat="1" applyFont="1" applyFill="1" applyBorder="1" applyAlignment="1" applyProtection="1">
      <alignment horizontal="left" vertical="center"/>
      <protection locked="0"/>
    </xf>
    <xf numFmtId="0" fontId="55" fillId="6" borderId="124" xfId="0" applyNumberFormat="1" applyFont="1" applyFill="1" applyBorder="1" applyAlignment="1" applyProtection="1">
      <alignment horizontal="right"/>
      <protection locked="0"/>
    </xf>
    <xf numFmtId="0" fontId="55" fillId="6" borderId="121" xfId="0" applyNumberFormat="1" applyFont="1" applyFill="1" applyBorder="1" applyAlignment="1" applyProtection="1">
      <alignment horizontal="right"/>
      <protection locked="0"/>
    </xf>
    <xf numFmtId="0" fontId="55" fillId="6" borderId="122" xfId="0" applyNumberFormat="1" applyFont="1" applyFill="1" applyBorder="1" applyAlignment="1" applyProtection="1">
      <alignment horizontal="right"/>
      <protection locked="0"/>
    </xf>
    <xf numFmtId="0" fontId="55" fillId="6" borderId="121" xfId="0" applyNumberFormat="1" applyFont="1" applyFill="1" applyBorder="1" applyAlignment="1" applyProtection="1">
      <alignment horizontal="left"/>
      <protection locked="0"/>
    </xf>
    <xf numFmtId="0" fontId="55" fillId="6" borderId="122" xfId="0" applyNumberFormat="1" applyFont="1" applyFill="1" applyBorder="1" applyAlignment="1" applyProtection="1">
      <alignment horizontal="left"/>
      <protection locked="0"/>
    </xf>
    <xf numFmtId="0" fontId="55" fillId="6" borderId="124" xfId="0" applyNumberFormat="1" applyFont="1" applyFill="1" applyBorder="1" applyAlignment="1" applyProtection="1">
      <alignment horizontal="left"/>
      <protection locked="0"/>
    </xf>
    <xf numFmtId="0" fontId="210" fillId="7" borderId="121" xfId="0" applyNumberFormat="1" applyFont="1" applyFill="1" applyBorder="1" applyAlignment="1" applyProtection="1">
      <alignment horizontal="center" vertical="center"/>
      <protection locked="0"/>
    </xf>
    <xf numFmtId="0" fontId="208" fillId="7" borderId="121" xfId="0" applyNumberFormat="1" applyFont="1" applyFill="1" applyBorder="1" applyAlignment="1" applyProtection="1">
      <alignment horizontal="center" vertical="center"/>
      <protection locked="0"/>
    </xf>
    <xf numFmtId="0" fontId="52" fillId="6" borderId="121" xfId="0" applyNumberFormat="1" applyFont="1" applyFill="1" applyBorder="1" applyAlignment="1" applyProtection="1">
      <alignment horizontal="left"/>
      <protection locked="0"/>
    </xf>
    <xf numFmtId="0" fontId="141" fillId="7" borderId="109" xfId="0" applyFont="1" applyFill="1" applyBorder="1" applyAlignment="1">
      <alignment horizontal="right" vertical="center" indent="1"/>
    </xf>
    <xf numFmtId="0" fontId="52" fillId="6" borderId="126" xfId="0" applyNumberFormat="1" applyFont="1" applyFill="1" applyBorder="1" applyAlignment="1" applyProtection="1">
      <alignment horizontal="left" vertical="center" indent="1"/>
      <protection locked="0"/>
    </xf>
    <xf numFmtId="0" fontId="52" fillId="6" borderId="108" xfId="0" applyNumberFormat="1" applyFont="1" applyFill="1" applyBorder="1" applyAlignment="1" applyProtection="1">
      <alignment horizontal="left" vertical="center" indent="1"/>
      <protection locked="0"/>
    </xf>
    <xf numFmtId="0" fontId="52" fillId="6" borderId="128" xfId="0" applyNumberFormat="1" applyFont="1" applyFill="1" applyBorder="1" applyAlignment="1" applyProtection="1">
      <alignment horizontal="left" vertical="center" indent="1"/>
      <protection locked="0"/>
    </xf>
    <xf numFmtId="0" fontId="52" fillId="6" borderId="0" xfId="0" applyNumberFormat="1" applyFont="1" applyFill="1" applyBorder="1" applyAlignment="1" applyProtection="1">
      <alignment horizontal="left" vertical="center" indent="1"/>
      <protection locked="0"/>
    </xf>
    <xf numFmtId="0" fontId="55" fillId="6" borderId="124" xfId="1" applyNumberFormat="1" applyFont="1" applyFill="1" applyBorder="1" applyAlignment="1" applyProtection="1">
      <alignment horizontal="center"/>
      <protection locked="0"/>
    </xf>
    <xf numFmtId="0" fontId="55" fillId="6" borderId="121" xfId="1" applyNumberFormat="1" applyFont="1" applyFill="1" applyBorder="1" applyAlignment="1" applyProtection="1">
      <alignment horizontal="center"/>
      <protection locked="0"/>
    </xf>
    <xf numFmtId="0" fontId="55" fillId="6" borderId="122" xfId="1" applyNumberFormat="1" applyFont="1" applyFill="1" applyBorder="1" applyAlignment="1" applyProtection="1">
      <alignment horizontal="center"/>
      <protection locked="0"/>
    </xf>
    <xf numFmtId="0" fontId="246" fillId="6" borderId="121" xfId="0" applyNumberFormat="1" applyFont="1" applyFill="1" applyBorder="1" applyAlignment="1" applyProtection="1">
      <alignment horizontal="right" vertical="center" indent="1"/>
      <protection locked="0"/>
    </xf>
    <xf numFmtId="0" fontId="343" fillId="0" borderId="773" xfId="0" applyFont="1" applyBorder="1" applyAlignment="1" applyProtection="1">
      <alignment horizontal="center" vertical="center"/>
      <protection locked="0"/>
    </xf>
    <xf numFmtId="0" fontId="343" fillId="0" borderId="432" xfId="0" applyFont="1" applyBorder="1" applyAlignment="1" applyProtection="1">
      <alignment horizontal="center" vertical="center"/>
      <protection locked="0"/>
    </xf>
    <xf numFmtId="0" fontId="343" fillId="0" borderId="774" xfId="0" applyFont="1" applyBorder="1" applyAlignment="1" applyProtection="1">
      <alignment horizontal="center" vertical="center"/>
      <protection locked="0"/>
    </xf>
    <xf numFmtId="0" fontId="343" fillId="0" borderId="775" xfId="0" applyFont="1" applyBorder="1" applyAlignment="1" applyProtection="1">
      <alignment horizontal="center" vertical="center"/>
      <protection locked="0"/>
    </xf>
    <xf numFmtId="0" fontId="343" fillId="0" borderId="0" xfId="0" applyFont="1" applyBorder="1" applyAlignment="1" applyProtection="1">
      <alignment horizontal="center" vertical="center"/>
      <protection locked="0"/>
    </xf>
    <xf numFmtId="0" fontId="343" fillId="0" borderId="776" xfId="0" applyFont="1" applyBorder="1" applyAlignment="1" applyProtection="1">
      <alignment horizontal="center" vertical="center"/>
      <protection locked="0"/>
    </xf>
    <xf numFmtId="0" fontId="343" fillId="0" borderId="777" xfId="0" applyFont="1" applyBorder="1" applyAlignment="1" applyProtection="1">
      <alignment horizontal="center" vertical="center"/>
      <protection locked="0"/>
    </xf>
    <xf numFmtId="0" fontId="343" fillId="0" borderId="778" xfId="0" applyFont="1" applyBorder="1" applyAlignment="1" applyProtection="1">
      <alignment horizontal="center" vertical="center"/>
      <protection locked="0"/>
    </xf>
    <xf numFmtId="0" fontId="343" fillId="0" borderId="779" xfId="0" applyFont="1" applyBorder="1" applyAlignment="1" applyProtection="1">
      <alignment horizontal="center" vertical="center"/>
      <protection locked="0"/>
    </xf>
    <xf numFmtId="0" fontId="55" fillId="6" borderId="0" xfId="0" applyFont="1" applyFill="1" applyBorder="1" applyAlignment="1" applyProtection="1">
      <alignment horizontal="center" vertical="center"/>
      <protection hidden="1"/>
    </xf>
    <xf numFmtId="0" fontId="55" fillId="6" borderId="61" xfId="0" applyFont="1" applyFill="1" applyBorder="1" applyAlignment="1" applyProtection="1">
      <alignment horizontal="center" vertical="center"/>
      <protection hidden="1"/>
    </xf>
    <xf numFmtId="0" fontId="37" fillId="27" borderId="0" xfId="0" applyFont="1" applyFill="1" applyBorder="1" applyAlignment="1" applyProtection="1">
      <alignment horizontal="center"/>
      <protection hidden="1"/>
    </xf>
    <xf numFmtId="0" fontId="37" fillId="27" borderId="61" xfId="0" applyFont="1" applyFill="1" applyBorder="1" applyAlignment="1" applyProtection="1">
      <alignment horizontal="center"/>
      <protection hidden="1"/>
    </xf>
    <xf numFmtId="0" fontId="121" fillId="0" borderId="108" xfId="0" applyFont="1" applyBorder="1" applyAlignment="1" applyProtection="1">
      <alignment horizontal="left" vertical="center"/>
      <protection locked="0"/>
    </xf>
    <xf numFmtId="166" fontId="349" fillId="0" borderId="0" xfId="0" quotePrefix="1" applyNumberFormat="1" applyFont="1" applyBorder="1" applyAlignment="1" applyProtection="1">
      <alignment horizontal="left" vertical="center" indent="1"/>
      <protection locked="0"/>
    </xf>
    <xf numFmtId="166" fontId="349" fillId="0" borderId="0" xfId="0" applyNumberFormat="1" applyFont="1" applyBorder="1" applyAlignment="1" applyProtection="1">
      <alignment horizontal="left" vertical="center" indent="1"/>
      <protection locked="0"/>
    </xf>
    <xf numFmtId="166" fontId="349" fillId="6" borderId="0" xfId="3" applyNumberFormat="1" applyFont="1" applyFill="1" applyBorder="1" applyAlignment="1" applyProtection="1">
      <alignment horizontal="center" vertical="center"/>
      <protection locked="0"/>
    </xf>
    <xf numFmtId="0" fontId="225" fillId="0" borderId="7" xfId="0" applyFont="1" applyBorder="1" applyAlignment="1" applyProtection="1">
      <alignment horizontal="right" vertical="center"/>
      <protection locked="0"/>
    </xf>
    <xf numFmtId="166" fontId="225" fillId="0" borderId="7" xfId="0" applyNumberFormat="1" applyFont="1" applyBorder="1" applyAlignment="1" applyProtection="1">
      <alignment horizontal="center" vertical="center"/>
      <protection locked="0"/>
    </xf>
    <xf numFmtId="0" fontId="225" fillId="0" borderId="0" xfId="0" applyFont="1" applyBorder="1" applyAlignment="1" applyProtection="1">
      <alignment horizontal="right" vertical="center"/>
      <protection locked="0"/>
    </xf>
    <xf numFmtId="166" fontId="225" fillId="0" borderId="0" xfId="0" applyNumberFormat="1" applyFont="1" applyBorder="1" applyAlignment="1" applyProtection="1">
      <alignment horizontal="center" vertical="center"/>
      <protection locked="0"/>
    </xf>
    <xf numFmtId="0" fontId="225" fillId="0" borderId="92" xfId="0" applyFont="1" applyBorder="1" applyAlignment="1" applyProtection="1">
      <alignment horizontal="left" vertical="center"/>
      <protection locked="0"/>
    </xf>
    <xf numFmtId="0" fontId="225" fillId="0" borderId="92" xfId="0" applyFont="1" applyBorder="1" applyAlignment="1" applyProtection="1">
      <alignment horizontal="center" vertical="center"/>
      <protection locked="0"/>
    </xf>
    <xf numFmtId="166" fontId="478" fillId="0" borderId="0" xfId="0" applyNumberFormat="1" applyFont="1" applyBorder="1" applyAlignment="1" applyProtection="1">
      <alignment horizontal="left" vertical="center" indent="1"/>
      <protection locked="0"/>
    </xf>
    <xf numFmtId="166" fontId="349" fillId="0" borderId="0" xfId="0" quotePrefix="1" applyNumberFormat="1" applyFont="1" applyBorder="1" applyAlignment="1" applyProtection="1">
      <alignment horizontal="left" vertical="center" indent="2"/>
      <protection locked="0"/>
    </xf>
    <xf numFmtId="166" fontId="349" fillId="0" borderId="0" xfId="0" applyNumberFormat="1" applyFont="1" applyBorder="1" applyAlignment="1" applyProtection="1">
      <alignment horizontal="left" vertical="center" indent="2"/>
      <protection locked="0"/>
    </xf>
    <xf numFmtId="166" fontId="349" fillId="0" borderId="83" xfId="0" applyNumberFormat="1" applyFont="1" applyBorder="1" applyAlignment="1" applyProtection="1">
      <alignment horizontal="left" vertical="center" indent="1"/>
      <protection locked="0"/>
    </xf>
    <xf numFmtId="166" fontId="349" fillId="6" borderId="83" xfId="3" applyNumberFormat="1" applyFont="1" applyFill="1" applyBorder="1" applyAlignment="1" applyProtection="1">
      <alignment horizontal="center" vertical="center"/>
      <protection locked="0"/>
    </xf>
    <xf numFmtId="166" fontId="349" fillId="0" borderId="8" xfId="0" applyNumberFormat="1" applyFont="1" applyBorder="1" applyAlignment="1" applyProtection="1">
      <alignment horizontal="left" vertical="center" indent="1"/>
      <protection locked="0"/>
    </xf>
    <xf numFmtId="166" fontId="349" fillId="6" borderId="8" xfId="3" applyNumberFormat="1" applyFont="1" applyFill="1" applyBorder="1" applyAlignment="1" applyProtection="1">
      <alignment horizontal="center" vertical="center"/>
      <protection locked="0"/>
    </xf>
    <xf numFmtId="0" fontId="344" fillId="0" borderId="108" xfId="0" applyFont="1" applyBorder="1" applyAlignment="1" applyProtection="1">
      <alignment horizontal="center" vertical="center"/>
      <protection locked="0"/>
    </xf>
    <xf numFmtId="0" fontId="210" fillId="0" borderId="109" xfId="0" applyFont="1" applyBorder="1" applyAlignment="1" applyProtection="1">
      <alignment horizontal="right" vertical="center"/>
      <protection locked="0"/>
    </xf>
    <xf numFmtId="169" fontId="270" fillId="0" borderId="8" xfId="22" applyNumberFormat="1" applyFont="1" applyBorder="1" applyAlignment="1" applyProtection="1">
      <alignment horizontal="center" vertical="center"/>
      <protection locked="0"/>
    </xf>
    <xf numFmtId="9" fontId="122" fillId="0" borderId="0" xfId="22" applyFont="1" applyBorder="1" applyAlignment="1" applyProtection="1">
      <alignment horizontal="center" vertical="center"/>
      <protection locked="0"/>
    </xf>
    <xf numFmtId="169" fontId="356" fillId="0" borderId="0" xfId="22" applyNumberFormat="1" applyFont="1" applyBorder="1" applyAlignment="1" applyProtection="1">
      <alignment horizontal="center" vertical="center"/>
      <protection locked="0"/>
    </xf>
    <xf numFmtId="169" fontId="356" fillId="0" borderId="776" xfId="22" applyNumberFormat="1" applyFont="1" applyBorder="1" applyAlignment="1" applyProtection="1">
      <alignment horizontal="center" vertical="center"/>
      <protection locked="0"/>
    </xf>
    <xf numFmtId="169" fontId="270" fillId="0" borderId="781" xfId="22" applyNumberFormat="1" applyFont="1" applyBorder="1" applyAlignment="1" applyProtection="1">
      <alignment horizontal="center" vertical="center"/>
      <protection locked="0"/>
    </xf>
    <xf numFmtId="0" fontId="379" fillId="6" borderId="783" xfId="0" applyFont="1" applyFill="1" applyBorder="1" applyAlignment="1" applyProtection="1">
      <alignment horizontal="center" vertical="center"/>
      <protection locked="0"/>
    </xf>
    <xf numFmtId="0" fontId="379" fillId="6" borderId="83" xfId="0" applyFont="1" applyFill="1" applyBorder="1" applyAlignment="1" applyProtection="1">
      <alignment horizontal="center" vertical="center"/>
      <protection locked="0"/>
    </xf>
    <xf numFmtId="0" fontId="379" fillId="6" borderId="128" xfId="0" applyFont="1" applyFill="1" applyBorder="1" applyAlignment="1" applyProtection="1">
      <alignment horizontal="center" vertical="center"/>
      <protection locked="0"/>
    </xf>
    <xf numFmtId="0" fontId="379" fillId="6" borderId="0" xfId="0" applyFont="1" applyFill="1" applyBorder="1" applyAlignment="1" applyProtection="1">
      <alignment horizontal="center" vertical="center"/>
      <protection locked="0"/>
    </xf>
    <xf numFmtId="0" fontId="379" fillId="6" borderId="788" xfId="0" applyFont="1" applyFill="1" applyBorder="1" applyAlignment="1" applyProtection="1">
      <alignment horizontal="center" vertical="center"/>
      <protection locked="0"/>
    </xf>
    <xf numFmtId="0" fontId="379" fillId="6" borderId="8" xfId="0" applyFont="1" applyFill="1" applyBorder="1" applyAlignment="1" applyProtection="1">
      <alignment horizontal="center" vertical="center"/>
      <protection locked="0"/>
    </xf>
    <xf numFmtId="3" fontId="473" fillId="0" borderId="83" xfId="0" applyNumberFormat="1" applyFont="1" applyBorder="1" applyAlignment="1" applyProtection="1">
      <alignment horizontal="center" vertical="center" wrapText="1"/>
      <protection locked="0"/>
    </xf>
    <xf numFmtId="0" fontId="473" fillId="0" borderId="83" xfId="0" applyFont="1" applyBorder="1" applyAlignment="1" applyProtection="1">
      <alignment horizontal="center" vertical="center" wrapText="1"/>
      <protection locked="0"/>
    </xf>
    <xf numFmtId="0" fontId="473" fillId="0" borderId="0" xfId="0" applyFont="1" applyBorder="1" applyAlignment="1" applyProtection="1">
      <alignment horizontal="center" vertical="center" wrapText="1"/>
      <protection locked="0"/>
    </xf>
    <xf numFmtId="0" fontId="473" fillId="0" borderId="8" xfId="0" applyFont="1" applyBorder="1" applyAlignment="1" applyProtection="1">
      <alignment horizontal="center" vertical="center" wrapText="1"/>
      <protection locked="0"/>
    </xf>
    <xf numFmtId="0" fontId="473" fillId="0" borderId="92" xfId="0" applyFont="1" applyBorder="1" applyAlignment="1" applyProtection="1">
      <alignment horizontal="center" vertical="center" wrapText="1"/>
      <protection locked="0"/>
    </xf>
    <xf numFmtId="166" fontId="473" fillId="0" borderId="83" xfId="0" applyNumberFormat="1" applyFont="1" applyBorder="1" applyAlignment="1" applyProtection="1">
      <alignment horizontal="center" vertical="center"/>
      <protection locked="0"/>
    </xf>
    <xf numFmtId="166" fontId="473" fillId="0" borderId="0" xfId="0" applyNumberFormat="1" applyFont="1" applyBorder="1" applyAlignment="1" applyProtection="1">
      <alignment horizontal="center" vertical="center"/>
      <protection locked="0"/>
    </xf>
    <xf numFmtId="166" fontId="473" fillId="0" borderId="8" xfId="0" applyNumberFormat="1" applyFont="1" applyBorder="1" applyAlignment="1" applyProtection="1">
      <alignment horizontal="center" vertical="center"/>
      <protection locked="0"/>
    </xf>
    <xf numFmtId="166" fontId="473" fillId="0" borderId="92" xfId="0" applyNumberFormat="1" applyFont="1" applyBorder="1" applyAlignment="1" applyProtection="1">
      <alignment horizontal="center" vertical="center"/>
      <protection locked="0"/>
    </xf>
    <xf numFmtId="0" fontId="379" fillId="6" borderId="786" xfId="0" applyFont="1" applyFill="1" applyBorder="1" applyAlignment="1" applyProtection="1">
      <alignment horizontal="center" vertical="center"/>
      <protection locked="0"/>
    </xf>
    <xf numFmtId="0" fontId="379" fillId="6" borderId="114" xfId="0" applyFont="1" applyFill="1" applyBorder="1" applyAlignment="1" applyProtection="1">
      <alignment horizontal="center" vertical="center"/>
      <protection locked="0"/>
    </xf>
    <xf numFmtId="0" fontId="473" fillId="0" borderId="114" xfId="0" applyFont="1" applyBorder="1" applyAlignment="1" applyProtection="1">
      <alignment horizontal="center" vertical="center"/>
      <protection locked="0"/>
    </xf>
    <xf numFmtId="0" fontId="474" fillId="6" borderId="428" xfId="0" applyNumberFormat="1" applyFont="1" applyFill="1" applyBorder="1" applyAlignment="1" applyProtection="1">
      <alignment horizontal="center" vertical="center"/>
      <protection locked="0"/>
    </xf>
    <xf numFmtId="0" fontId="474" fillId="6" borderId="429" xfId="0" applyNumberFormat="1" applyFont="1" applyFill="1" applyBorder="1" applyAlignment="1" applyProtection="1">
      <alignment horizontal="center" vertical="center"/>
      <protection locked="0"/>
    </xf>
    <xf numFmtId="0" fontId="474" fillId="6" borderId="430" xfId="0" applyNumberFormat="1" applyFont="1" applyFill="1" applyBorder="1" applyAlignment="1" applyProtection="1">
      <alignment horizontal="center" vertical="center"/>
      <protection locked="0"/>
    </xf>
    <xf numFmtId="0" fontId="473" fillId="0" borderId="432" xfId="0" applyFont="1" applyBorder="1" applyAlignment="1" applyProtection="1">
      <alignment horizontal="center" vertical="center" wrapText="1"/>
      <protection locked="0"/>
    </xf>
    <xf numFmtId="0" fontId="239" fillId="7" borderId="0" xfId="0" applyFont="1" applyFill="1" applyBorder="1" applyAlignment="1" applyProtection="1">
      <alignment horizontal="right" vertical="center"/>
      <protection locked="0"/>
    </xf>
    <xf numFmtId="169" fontId="351" fillId="7" borderId="0" xfId="22" applyNumberFormat="1" applyFont="1" applyFill="1" applyBorder="1" applyAlignment="1" applyProtection="1">
      <alignment horizontal="center" vertical="center"/>
      <protection locked="0"/>
    </xf>
    <xf numFmtId="0" fontId="121" fillId="7" borderId="0" xfId="0" applyFont="1" applyFill="1" applyBorder="1" applyAlignment="1" applyProtection="1">
      <alignment horizontal="left" vertical="center" indent="1"/>
      <protection locked="0"/>
    </xf>
    <xf numFmtId="166" fontId="354" fillId="7" borderId="0" xfId="0" applyNumberFormat="1" applyFont="1" applyFill="1" applyBorder="1" applyAlignment="1" applyProtection="1">
      <alignment horizontal="center" vertical="center"/>
      <protection locked="0"/>
    </xf>
    <xf numFmtId="166" fontId="225" fillId="0" borderId="92" xfId="0" applyNumberFormat="1" applyFont="1" applyBorder="1" applyAlignment="1" applyProtection="1">
      <alignment horizontal="left" vertical="center"/>
      <protection locked="0"/>
    </xf>
    <xf numFmtId="166" fontId="225" fillId="6" borderId="92" xfId="3" applyNumberFormat="1" applyFont="1" applyFill="1" applyBorder="1" applyAlignment="1" applyProtection="1">
      <alignment horizontal="center" vertical="center"/>
      <protection locked="0"/>
    </xf>
    <xf numFmtId="0" fontId="348" fillId="0" borderId="0" xfId="0" applyFont="1" applyBorder="1" applyAlignment="1" applyProtection="1">
      <alignment horizontal="left" vertical="center"/>
      <protection locked="0"/>
    </xf>
    <xf numFmtId="166" fontId="349" fillId="0" borderId="114" xfId="0" applyNumberFormat="1" applyFont="1" applyBorder="1" applyAlignment="1" applyProtection="1">
      <alignment horizontal="left" vertical="center"/>
      <protection locked="0"/>
    </xf>
    <xf numFmtId="0" fontId="349" fillId="0" borderId="114" xfId="0" applyFont="1" applyBorder="1" applyAlignment="1" applyProtection="1">
      <alignment horizontal="left" vertical="center"/>
      <protection locked="0"/>
    </xf>
    <xf numFmtId="166" fontId="349" fillId="6" borderId="114" xfId="3" applyNumberFormat="1" applyFont="1" applyFill="1" applyBorder="1" applyAlignment="1" applyProtection="1">
      <alignment horizontal="center" vertical="center"/>
      <protection locked="0"/>
    </xf>
    <xf numFmtId="166" fontId="349" fillId="0" borderId="386" xfId="0" applyNumberFormat="1" applyFont="1" applyBorder="1" applyAlignment="1" applyProtection="1">
      <alignment horizontal="left" vertical="center"/>
      <protection locked="0"/>
    </xf>
    <xf numFmtId="0" fontId="349" fillId="0" borderId="386" xfId="0" applyFont="1" applyBorder="1" applyAlignment="1" applyProtection="1">
      <alignment horizontal="left" vertical="center"/>
      <protection locked="0"/>
    </xf>
    <xf numFmtId="166" fontId="349" fillId="6" borderId="386" xfId="3" applyNumberFormat="1" applyFont="1" applyFill="1" applyBorder="1" applyAlignment="1" applyProtection="1">
      <alignment horizontal="center" vertical="center"/>
      <protection locked="0"/>
    </xf>
    <xf numFmtId="0" fontId="225" fillId="6" borderId="92" xfId="0" applyFont="1" applyFill="1" applyBorder="1" applyAlignment="1" applyProtection="1">
      <alignment horizontal="center" vertical="center"/>
      <protection locked="0"/>
    </xf>
    <xf numFmtId="166" fontId="353" fillId="7" borderId="0" xfId="0" applyNumberFormat="1" applyFont="1" applyFill="1" applyBorder="1" applyAlignment="1" applyProtection="1">
      <alignment horizontal="center" vertical="center"/>
      <protection locked="0"/>
    </xf>
    <xf numFmtId="166" fontId="352" fillId="7" borderId="0" xfId="0" applyNumberFormat="1" applyFont="1" applyFill="1" applyBorder="1" applyAlignment="1" applyProtection="1">
      <alignment horizontal="center" vertical="center"/>
      <protection locked="0"/>
    </xf>
    <xf numFmtId="0" fontId="52" fillId="6" borderId="0" xfId="0" applyFont="1" applyFill="1" applyAlignment="1" applyProtection="1">
      <alignment horizontal="right"/>
      <protection locked="0"/>
    </xf>
    <xf numFmtId="178" fontId="474" fillId="6" borderId="428" xfId="0" applyNumberFormat="1" applyFont="1" applyFill="1" applyBorder="1" applyAlignment="1" applyProtection="1">
      <alignment horizontal="center" vertical="center"/>
      <protection locked="0"/>
    </xf>
    <xf numFmtId="178" fontId="474" fillId="6" borderId="429" xfId="0" applyNumberFormat="1" applyFont="1" applyFill="1" applyBorder="1" applyAlignment="1" applyProtection="1">
      <alignment horizontal="center" vertical="center"/>
      <protection locked="0"/>
    </xf>
    <xf numFmtId="178" fontId="474" fillId="6" borderId="430" xfId="0" applyNumberFormat="1" applyFont="1" applyFill="1" applyBorder="1" applyAlignment="1" applyProtection="1">
      <alignment horizontal="center" vertical="center"/>
      <protection locked="0"/>
    </xf>
    <xf numFmtId="185" fontId="474" fillId="6" borderId="428" xfId="0" applyNumberFormat="1" applyFont="1" applyFill="1" applyBorder="1" applyAlignment="1" applyProtection="1">
      <alignment horizontal="center" vertical="center"/>
      <protection locked="0"/>
    </xf>
    <xf numFmtId="185" fontId="474" fillId="6" borderId="429" xfId="0" applyNumberFormat="1" applyFont="1" applyFill="1" applyBorder="1" applyAlignment="1" applyProtection="1">
      <alignment horizontal="center" vertical="center"/>
      <protection locked="0"/>
    </xf>
    <xf numFmtId="185" fontId="474" fillId="6" borderId="430" xfId="0" applyNumberFormat="1" applyFont="1" applyFill="1" applyBorder="1" applyAlignment="1" applyProtection="1">
      <alignment horizontal="center" vertical="center"/>
      <protection locked="0"/>
    </xf>
    <xf numFmtId="178" fontId="474" fillId="6" borderId="431" xfId="0" applyNumberFormat="1" applyFont="1" applyFill="1" applyBorder="1" applyAlignment="1" applyProtection="1">
      <alignment horizontal="center" vertical="center"/>
      <protection locked="0"/>
    </xf>
    <xf numFmtId="185" fontId="474" fillId="6" borderId="427" xfId="0" applyNumberFormat="1" applyFont="1" applyFill="1" applyBorder="1" applyAlignment="1" applyProtection="1">
      <alignment horizontal="center" vertical="center"/>
      <protection locked="0"/>
    </xf>
    <xf numFmtId="179" fontId="474" fillId="6" borderId="427" xfId="0" applyNumberFormat="1" applyFont="1" applyFill="1" applyBorder="1" applyAlignment="1" applyProtection="1">
      <alignment horizontal="center" vertical="center"/>
      <protection locked="0"/>
    </xf>
    <xf numFmtId="180" fontId="474" fillId="6" borderId="427" xfId="0" applyNumberFormat="1" applyFont="1" applyFill="1" applyBorder="1" applyAlignment="1" applyProtection="1">
      <alignment horizontal="center" vertical="center"/>
      <protection locked="0"/>
    </xf>
    <xf numFmtId="1" fontId="474" fillId="6" borderId="427" xfId="0" applyNumberFormat="1" applyFont="1" applyFill="1" applyBorder="1" applyAlignment="1" applyProtection="1">
      <alignment horizontal="center" vertical="center"/>
      <protection locked="0"/>
    </xf>
    <xf numFmtId="0" fontId="474" fillId="6" borderId="427" xfId="0" applyNumberFormat="1" applyFont="1" applyFill="1" applyBorder="1" applyAlignment="1" applyProtection="1">
      <alignment horizontal="center" vertical="center"/>
      <protection locked="0"/>
    </xf>
    <xf numFmtId="1" fontId="474" fillId="6" borderId="428" xfId="0" applyNumberFormat="1" applyFont="1" applyFill="1" applyBorder="1" applyAlignment="1" applyProtection="1">
      <alignment horizontal="center" vertical="center"/>
      <protection locked="0"/>
    </xf>
    <xf numFmtId="1" fontId="474" fillId="6" borderId="429" xfId="0" applyNumberFormat="1" applyFont="1" applyFill="1" applyBorder="1" applyAlignment="1" applyProtection="1">
      <alignment horizontal="center" vertical="center"/>
      <protection locked="0"/>
    </xf>
    <xf numFmtId="1" fontId="474" fillId="6" borderId="430" xfId="0" applyNumberFormat="1" applyFont="1" applyFill="1" applyBorder="1" applyAlignment="1" applyProtection="1">
      <alignment horizontal="center" vertical="center"/>
      <protection locked="0"/>
    </xf>
    <xf numFmtId="179" fontId="474" fillId="6" borderId="428" xfId="0" applyNumberFormat="1" applyFont="1" applyFill="1" applyBorder="1" applyAlignment="1" applyProtection="1">
      <alignment horizontal="center" vertical="center"/>
      <protection locked="0"/>
    </xf>
    <xf numFmtId="179" fontId="474" fillId="6" borderId="429" xfId="0" applyNumberFormat="1" applyFont="1" applyFill="1" applyBorder="1" applyAlignment="1" applyProtection="1">
      <alignment horizontal="center" vertical="center"/>
      <protection locked="0"/>
    </xf>
    <xf numFmtId="179" fontId="474" fillId="6" borderId="430" xfId="0" applyNumberFormat="1" applyFont="1" applyFill="1" applyBorder="1" applyAlignment="1" applyProtection="1">
      <alignment horizontal="center" vertical="center"/>
      <protection locked="0"/>
    </xf>
    <xf numFmtId="180" fontId="474" fillId="6" borderId="428" xfId="0" applyNumberFormat="1" applyFont="1" applyFill="1" applyBorder="1" applyAlignment="1" applyProtection="1">
      <alignment horizontal="center" vertical="center"/>
      <protection locked="0"/>
    </xf>
    <xf numFmtId="180" fontId="474" fillId="6" borderId="429" xfId="0" applyNumberFormat="1" applyFont="1" applyFill="1" applyBorder="1" applyAlignment="1" applyProtection="1">
      <alignment horizontal="center" vertical="center"/>
      <protection locked="0"/>
    </xf>
    <xf numFmtId="180" fontId="474" fillId="6" borderId="430" xfId="0" applyNumberFormat="1" applyFont="1" applyFill="1" applyBorder="1" applyAlignment="1" applyProtection="1">
      <alignment horizontal="center" vertical="center"/>
      <protection locked="0"/>
    </xf>
    <xf numFmtId="166" fontId="473" fillId="0" borderId="114" xfId="0" applyNumberFormat="1" applyFont="1" applyBorder="1" applyAlignment="1" applyProtection="1">
      <alignment horizontal="center" vertical="center"/>
      <protection locked="0"/>
    </xf>
    <xf numFmtId="166" fontId="473" fillId="0" borderId="787" xfId="0" applyNumberFormat="1" applyFont="1" applyBorder="1" applyAlignment="1" applyProtection="1">
      <alignment horizontal="center" vertical="center"/>
      <protection locked="0"/>
    </xf>
    <xf numFmtId="49" fontId="473" fillId="0" borderId="114" xfId="0" applyNumberFormat="1" applyFont="1" applyBorder="1" applyAlignment="1" applyProtection="1">
      <alignment horizontal="center" vertical="center"/>
      <protection locked="0"/>
    </xf>
    <xf numFmtId="49" fontId="473" fillId="0" borderId="787" xfId="0" applyNumberFormat="1" applyFont="1" applyBorder="1" applyAlignment="1" applyProtection="1">
      <alignment horizontal="center" vertical="center"/>
      <protection locked="0"/>
    </xf>
    <xf numFmtId="2" fontId="473" fillId="0" borderId="114" xfId="0" applyNumberFormat="1" applyFont="1" applyBorder="1" applyAlignment="1" applyProtection="1">
      <alignment horizontal="center" vertical="center"/>
      <protection locked="0"/>
    </xf>
    <xf numFmtId="2" fontId="473" fillId="0" borderId="787" xfId="0" applyNumberFormat="1" applyFont="1" applyBorder="1" applyAlignment="1" applyProtection="1">
      <alignment horizontal="center" vertical="center"/>
      <protection locked="0"/>
    </xf>
    <xf numFmtId="0" fontId="378" fillId="22" borderId="128" xfId="0" applyFont="1" applyFill="1" applyBorder="1" applyAlignment="1" applyProtection="1">
      <alignment horizontal="left" vertical="center" indent="1"/>
      <protection locked="0"/>
    </xf>
    <xf numFmtId="0" fontId="378" fillId="22" borderId="0" xfId="0" applyFont="1" applyFill="1" applyBorder="1" applyAlignment="1" applyProtection="1">
      <alignment horizontal="left" vertical="center" indent="1"/>
      <protection locked="0"/>
    </xf>
    <xf numFmtId="0" fontId="378" fillId="22" borderId="133" xfId="0" applyFont="1" applyFill="1" applyBorder="1" applyAlignment="1" applyProtection="1">
      <alignment horizontal="left" vertical="center" indent="1"/>
      <protection locked="0"/>
    </xf>
    <xf numFmtId="0" fontId="379" fillId="7" borderId="782" xfId="0" applyFont="1" applyFill="1" applyBorder="1" applyAlignment="1" applyProtection="1">
      <alignment horizontal="center" vertical="center"/>
      <protection locked="0"/>
    </xf>
    <xf numFmtId="0" fontId="379" fillId="7" borderId="92" xfId="0" applyFont="1" applyFill="1" applyBorder="1" applyAlignment="1" applyProtection="1">
      <alignment horizontal="center" vertical="center"/>
      <protection locked="0"/>
    </xf>
    <xf numFmtId="0" fontId="379" fillId="7" borderId="0" xfId="0" applyFont="1" applyFill="1" applyBorder="1" applyAlignment="1" applyProtection="1">
      <alignment horizontal="center" vertical="center"/>
      <protection locked="0"/>
    </xf>
    <xf numFmtId="0" fontId="52" fillId="0" borderId="88" xfId="0" applyFont="1" applyBorder="1" applyAlignment="1" applyProtection="1">
      <alignment horizontal="center"/>
      <protection locked="0"/>
    </xf>
    <xf numFmtId="166" fontId="473" fillId="0" borderId="784" xfId="0" applyNumberFormat="1" applyFont="1" applyBorder="1" applyAlignment="1" applyProtection="1">
      <alignment horizontal="center" vertical="center"/>
      <protection locked="0"/>
    </xf>
    <xf numFmtId="166" fontId="473" fillId="0" borderId="133" xfId="0" applyNumberFormat="1" applyFont="1" applyBorder="1" applyAlignment="1" applyProtection="1">
      <alignment horizontal="center" vertical="center"/>
      <protection locked="0"/>
    </xf>
    <xf numFmtId="166" fontId="473" fillId="0" borderId="785" xfId="0" applyNumberFormat="1" applyFont="1" applyBorder="1" applyAlignment="1" applyProtection="1">
      <alignment horizontal="center" vertical="center"/>
      <protection locked="0"/>
    </xf>
    <xf numFmtId="166" fontId="473" fillId="0" borderId="789" xfId="0" applyNumberFormat="1" applyFont="1" applyBorder="1" applyAlignment="1" applyProtection="1">
      <alignment horizontal="center" vertical="center"/>
      <protection locked="0"/>
    </xf>
    <xf numFmtId="0" fontId="378" fillId="22" borderId="126" xfId="0" applyFont="1" applyFill="1" applyBorder="1" applyAlignment="1" applyProtection="1">
      <alignment horizontal="left" vertical="center" indent="1"/>
      <protection locked="0"/>
    </xf>
    <xf numFmtId="0" fontId="378" fillId="22" borderId="108" xfId="0" applyFont="1" applyFill="1" applyBorder="1" applyAlignment="1" applyProtection="1">
      <alignment horizontal="left" vertical="center" indent="1"/>
      <protection locked="0"/>
    </xf>
    <xf numFmtId="0" fontId="378" fillId="22" borderId="132" xfId="0" applyFont="1" applyFill="1" applyBorder="1" applyAlignment="1" applyProtection="1">
      <alignment horizontal="left" vertical="center" indent="1"/>
      <protection locked="0"/>
    </xf>
    <xf numFmtId="0" fontId="379" fillId="7" borderId="133" xfId="0" applyFont="1" applyFill="1" applyBorder="1" applyAlignment="1" applyProtection="1">
      <alignment horizontal="center" vertical="center"/>
      <protection locked="0"/>
    </xf>
    <xf numFmtId="0" fontId="225" fillId="6" borderId="0" xfId="0" applyFont="1" applyFill="1" applyBorder="1" applyAlignment="1" applyProtection="1">
      <alignment horizontal="center" vertical="center"/>
      <protection locked="0"/>
    </xf>
    <xf numFmtId="0" fontId="266" fillId="0" borderId="88" xfId="0" applyFont="1" applyBorder="1" applyAlignment="1" applyProtection="1">
      <alignment horizontal="center" vertical="top" wrapText="1"/>
      <protection locked="0"/>
    </xf>
    <xf numFmtId="0" fontId="132" fillId="22" borderId="0" xfId="0" applyFont="1" applyFill="1" applyBorder="1" applyAlignment="1" applyProtection="1">
      <alignment horizontal="left" vertical="center" wrapText="1" indent="1"/>
      <protection hidden="1"/>
    </xf>
    <xf numFmtId="0" fontId="154" fillId="22" borderId="0" xfId="0" applyFont="1" applyFill="1" applyBorder="1" applyAlignment="1" applyProtection="1">
      <alignment horizontal="left" vertical="top" wrapText="1"/>
      <protection hidden="1"/>
    </xf>
    <xf numFmtId="167" fontId="51" fillId="6" borderId="0" xfId="0" applyNumberFormat="1" applyFont="1" applyFill="1" applyAlignment="1" applyProtection="1">
      <alignment horizontal="left" vertical="center"/>
      <protection locked="0"/>
    </xf>
    <xf numFmtId="0" fontId="122" fillId="27" borderId="0" xfId="0" applyFont="1" applyFill="1" applyBorder="1" applyAlignment="1" applyProtection="1">
      <alignment horizontal="center" vertical="center"/>
      <protection hidden="1"/>
    </xf>
    <xf numFmtId="0" fontId="122" fillId="27" borderId="61" xfId="0" applyFont="1" applyFill="1" applyBorder="1" applyAlignment="1" applyProtection="1">
      <alignment horizontal="center" vertical="center"/>
      <protection hidden="1"/>
    </xf>
    <xf numFmtId="166" fontId="225" fillId="6" borderId="0" xfId="3" applyNumberFormat="1" applyFont="1" applyFill="1" applyBorder="1" applyAlignment="1" applyProtection="1">
      <alignment horizontal="center" vertical="center"/>
      <protection locked="0"/>
    </xf>
    <xf numFmtId="0" fontId="225" fillId="0" borderId="0" xfId="0" applyFont="1" applyBorder="1" applyAlignment="1" applyProtection="1">
      <alignment horizontal="left" vertical="center"/>
      <protection locked="0"/>
    </xf>
    <xf numFmtId="0" fontId="349" fillId="0" borderId="0" xfId="0" applyFont="1" applyBorder="1" applyAlignment="1" applyProtection="1">
      <alignment horizontal="left" vertical="center"/>
      <protection locked="0"/>
    </xf>
    <xf numFmtId="0" fontId="349" fillId="0" borderId="386" xfId="0" quotePrefix="1" applyFont="1" applyBorder="1" applyAlignment="1" applyProtection="1">
      <alignment horizontal="left" vertical="center"/>
      <protection locked="0"/>
    </xf>
    <xf numFmtId="0" fontId="301" fillId="22" borderId="0" xfId="0" applyFont="1" applyFill="1" applyAlignment="1" applyProtection="1">
      <alignment horizontal="center" vertical="center"/>
      <protection locked="0"/>
    </xf>
    <xf numFmtId="0" fontId="345" fillId="0" borderId="0" xfId="0" applyNumberFormat="1" applyFont="1" applyAlignment="1" applyProtection="1">
      <alignment horizontal="left" vertical="center"/>
      <protection locked="0"/>
    </xf>
    <xf numFmtId="0" fontId="265" fillId="0" borderId="0" xfId="0" applyFont="1" applyAlignment="1" applyProtection="1">
      <alignment horizontal="left" vertical="top"/>
      <protection locked="0"/>
    </xf>
    <xf numFmtId="0" fontId="346" fillId="0" borderId="0" xfId="0" applyFont="1" applyAlignment="1" applyProtection="1">
      <alignment horizontal="left"/>
      <protection locked="0"/>
    </xf>
    <xf numFmtId="175" fontId="351" fillId="7" borderId="0" xfId="0" applyNumberFormat="1" applyFont="1" applyFill="1" applyBorder="1" applyAlignment="1" applyProtection="1">
      <alignment horizontal="center" vertical="center"/>
      <protection locked="0"/>
    </xf>
    <xf numFmtId="0" fontId="249" fillId="22" borderId="0" xfId="0" applyFont="1" applyFill="1" applyAlignment="1" applyProtection="1">
      <alignment horizontal="center" vertical="center"/>
      <protection locked="0"/>
    </xf>
    <xf numFmtId="171" fontId="249" fillId="22" borderId="0" xfId="0" applyNumberFormat="1" applyFont="1" applyFill="1" applyAlignment="1" applyProtection="1">
      <alignment horizontal="center" vertical="center"/>
      <protection locked="0"/>
    </xf>
    <xf numFmtId="0" fontId="350" fillId="6" borderId="0" xfId="0" applyFont="1" applyFill="1" applyBorder="1" applyAlignment="1" applyProtection="1">
      <alignment horizontal="left" vertical="center"/>
      <protection locked="0"/>
    </xf>
    <xf numFmtId="166" fontId="253" fillId="7" borderId="0" xfId="0" applyNumberFormat="1" applyFont="1" applyFill="1" applyBorder="1" applyAlignment="1" applyProtection="1">
      <alignment horizontal="center" vertical="center"/>
      <protection locked="0"/>
    </xf>
    <xf numFmtId="0" fontId="210" fillId="6" borderId="0" xfId="0" applyFont="1" applyFill="1" applyAlignment="1" applyProtection="1">
      <alignment horizontal="left" indent="1"/>
      <protection locked="0"/>
    </xf>
    <xf numFmtId="10" fontId="349" fillId="6" borderId="114" xfId="22" applyNumberFormat="1" applyFont="1" applyFill="1" applyBorder="1" applyAlignment="1" applyProtection="1">
      <alignment horizontal="center" vertical="center"/>
      <protection locked="0"/>
    </xf>
    <xf numFmtId="14" fontId="473" fillId="0" borderId="114" xfId="0" applyNumberFormat="1" applyFont="1" applyBorder="1" applyAlignment="1" applyProtection="1">
      <alignment horizontal="center" vertical="center"/>
      <protection locked="0"/>
    </xf>
    <xf numFmtId="14" fontId="473" fillId="0" borderId="787" xfId="0" applyNumberFormat="1" applyFont="1" applyBorder="1" applyAlignment="1" applyProtection="1">
      <alignment horizontal="center" vertical="center"/>
      <protection locked="0"/>
    </xf>
    <xf numFmtId="0" fontId="473" fillId="0" borderId="787" xfId="0" applyFont="1" applyBorder="1" applyAlignment="1" applyProtection="1">
      <alignment horizontal="center" vertical="center"/>
      <protection locked="0"/>
    </xf>
    <xf numFmtId="0" fontId="344" fillId="0" borderId="434" xfId="0" applyFont="1" applyBorder="1" applyAlignment="1" applyProtection="1">
      <alignment horizontal="left" vertical="center"/>
      <protection locked="0"/>
    </xf>
    <xf numFmtId="0" fontId="344" fillId="0" borderId="433" xfId="0" applyFont="1" applyBorder="1" applyAlignment="1" applyProtection="1">
      <alignment horizontal="left" vertical="center"/>
      <protection locked="0"/>
    </xf>
    <xf numFmtId="166" fontId="378" fillId="0" borderId="109" xfId="0" applyNumberFormat="1" applyFont="1" applyBorder="1" applyAlignment="1" applyProtection="1">
      <alignment horizontal="center" vertical="center"/>
      <protection locked="0"/>
    </xf>
    <xf numFmtId="166" fontId="378" fillId="0" borderId="131" xfId="0" applyNumberFormat="1" applyFont="1" applyBorder="1" applyAlignment="1" applyProtection="1">
      <alignment horizontal="center" vertical="center"/>
      <protection locked="0"/>
    </xf>
    <xf numFmtId="0" fontId="344" fillId="0" borderId="130" xfId="0" applyFont="1" applyBorder="1" applyAlignment="1" applyProtection="1">
      <alignment horizontal="left" vertical="center"/>
      <protection locked="0"/>
    </xf>
    <xf numFmtId="0" fontId="344" fillId="0" borderId="109" xfId="0" applyFont="1" applyBorder="1" applyAlignment="1" applyProtection="1">
      <alignment horizontal="left" vertical="center"/>
      <protection locked="0"/>
    </xf>
    <xf numFmtId="186" fontId="378" fillId="0" borderId="109" xfId="0" applyNumberFormat="1" applyFont="1" applyBorder="1" applyAlignment="1" applyProtection="1">
      <alignment horizontal="center" vertical="center"/>
      <protection locked="0"/>
    </xf>
    <xf numFmtId="166" fontId="378" fillId="0" borderId="433" xfId="0" applyNumberFormat="1" applyFont="1" applyBorder="1" applyAlignment="1" applyProtection="1">
      <alignment horizontal="center" vertical="center"/>
      <protection locked="0"/>
    </xf>
    <xf numFmtId="166" fontId="378" fillId="0" borderId="435" xfId="0" applyNumberFormat="1" applyFont="1" applyBorder="1" applyAlignment="1" applyProtection="1">
      <alignment horizontal="center" vertical="center"/>
      <protection locked="0"/>
    </xf>
    <xf numFmtId="0" fontId="356" fillId="0" borderId="775" xfId="0" applyFont="1" applyBorder="1" applyAlignment="1" applyProtection="1">
      <alignment horizontal="left" vertical="center" indent="1"/>
      <protection locked="0"/>
    </xf>
    <xf numFmtId="0" fontId="356" fillId="0" borderId="0" xfId="0" applyFont="1" applyBorder="1" applyAlignment="1" applyProtection="1">
      <alignment horizontal="left" vertical="center" indent="1"/>
      <protection locked="0"/>
    </xf>
    <xf numFmtId="166" fontId="357" fillId="0" borderId="0" xfId="3" applyNumberFormat="1" applyFont="1" applyBorder="1" applyAlignment="1" applyProtection="1">
      <alignment horizontal="center" vertical="center"/>
      <protection locked="0"/>
    </xf>
    <xf numFmtId="0" fontId="356" fillId="22" borderId="773" xfId="0" applyFont="1" applyFill="1" applyBorder="1" applyAlignment="1" applyProtection="1">
      <alignment horizontal="left" vertical="center" indent="1"/>
      <protection locked="0"/>
    </xf>
    <xf numFmtId="0" fontId="356" fillId="22" borderId="432" xfId="0" applyFont="1" applyFill="1" applyBorder="1" applyAlignment="1" applyProtection="1">
      <alignment horizontal="left" vertical="center" indent="1"/>
      <protection locked="0"/>
    </xf>
    <xf numFmtId="0" fontId="356" fillId="22" borderId="432" xfId="0" applyFont="1" applyFill="1" applyBorder="1" applyAlignment="1" applyProtection="1">
      <alignment horizontal="center" vertical="center"/>
      <protection locked="0"/>
    </xf>
    <xf numFmtId="0" fontId="356" fillId="22" borderId="774" xfId="0" applyFont="1" applyFill="1" applyBorder="1" applyAlignment="1" applyProtection="1">
      <alignment horizontal="center" vertical="center"/>
      <protection locked="0"/>
    </xf>
    <xf numFmtId="0" fontId="358" fillId="0" borderId="0" xfId="0" applyFont="1" applyBorder="1" applyAlignment="1" applyProtection="1">
      <alignment horizontal="right" vertical="center"/>
      <protection locked="0"/>
    </xf>
    <xf numFmtId="166" fontId="357" fillId="0" borderId="235" xfId="0" applyNumberFormat="1" applyFont="1" applyBorder="1" applyAlignment="1" applyProtection="1">
      <alignment horizontal="center" vertical="center"/>
      <protection locked="0"/>
    </xf>
    <xf numFmtId="0" fontId="357" fillId="0" borderId="0" xfId="0" applyFont="1" applyBorder="1" applyAlignment="1" applyProtection="1">
      <alignment horizontal="right" vertical="center"/>
      <protection locked="0"/>
    </xf>
    <xf numFmtId="166" fontId="357" fillId="0" borderId="0" xfId="0" applyNumberFormat="1" applyFont="1" applyBorder="1" applyAlignment="1" applyProtection="1">
      <alignment horizontal="center" vertical="center"/>
      <protection locked="0"/>
    </xf>
    <xf numFmtId="0" fontId="356" fillId="0" borderId="780" xfId="0" applyFont="1" applyBorder="1" applyAlignment="1" applyProtection="1">
      <alignment horizontal="left" vertical="center" indent="1"/>
      <protection locked="0"/>
    </xf>
    <xf numFmtId="0" fontId="356" fillId="0" borderId="8" xfId="0" applyFont="1" applyBorder="1" applyAlignment="1" applyProtection="1">
      <alignment horizontal="left" vertical="center" indent="1"/>
      <protection locked="0"/>
    </xf>
    <xf numFmtId="166" fontId="357" fillId="0" borderId="8" xfId="3" applyNumberFormat="1" applyFont="1" applyBorder="1" applyAlignment="1" applyProtection="1">
      <alignment horizontal="center" vertical="center"/>
      <protection locked="0"/>
    </xf>
    <xf numFmtId="166" fontId="357" fillId="0" borderId="778" xfId="0" applyNumberFormat="1" applyFont="1" applyBorder="1" applyAlignment="1" applyProtection="1">
      <alignment horizontal="center" vertical="center"/>
      <protection locked="0"/>
    </xf>
    <xf numFmtId="0" fontId="357" fillId="0" borderId="777" xfId="0" applyFont="1" applyBorder="1" applyAlignment="1" applyProtection="1">
      <alignment horizontal="right" vertical="center"/>
      <protection locked="0"/>
    </xf>
    <xf numFmtId="0" fontId="357" fillId="0" borderId="778" xfId="0" applyFont="1" applyBorder="1" applyAlignment="1" applyProtection="1">
      <alignment horizontal="right" vertical="center"/>
      <protection locked="0"/>
    </xf>
    <xf numFmtId="9" fontId="122" fillId="0" borderId="778" xfId="22" applyFont="1" applyBorder="1" applyAlignment="1" applyProtection="1">
      <alignment horizontal="center" vertical="center"/>
      <protection locked="0"/>
    </xf>
    <xf numFmtId="9" fontId="122" fillId="0" borderId="779" xfId="22" applyFont="1" applyBorder="1" applyAlignment="1" applyProtection="1">
      <alignment horizontal="center" vertical="center"/>
      <protection locked="0"/>
    </xf>
    <xf numFmtId="0" fontId="379" fillId="6" borderId="782" xfId="0" applyFont="1" applyFill="1" applyBorder="1" applyAlignment="1" applyProtection="1">
      <alignment horizontal="center" vertical="center"/>
      <protection locked="0"/>
    </xf>
    <xf numFmtId="0" fontId="379" fillId="6" borderId="92" xfId="0" applyFont="1" applyFill="1" applyBorder="1" applyAlignment="1" applyProtection="1">
      <alignment horizontal="center" vertical="center"/>
      <protection locked="0"/>
    </xf>
    <xf numFmtId="0" fontId="473" fillId="0" borderId="784" xfId="0" applyFont="1" applyBorder="1" applyAlignment="1" applyProtection="1">
      <alignment horizontal="center" vertical="center" wrapText="1"/>
      <protection locked="0"/>
    </xf>
    <xf numFmtId="0" fontId="473" fillId="0" borderId="785" xfId="0" applyFont="1" applyBorder="1" applyAlignment="1" applyProtection="1">
      <alignment horizontal="center" vertical="center" wrapText="1"/>
      <protection locked="0"/>
    </xf>
    <xf numFmtId="0" fontId="132" fillId="0" borderId="110" xfId="0" applyFont="1" applyBorder="1" applyAlignment="1" applyProtection="1">
      <alignment vertical="top"/>
      <protection locked="0"/>
    </xf>
    <xf numFmtId="0" fontId="132" fillId="0" borderId="83" xfId="0" applyFont="1" applyBorder="1" applyAlignment="1" applyProtection="1">
      <alignment vertical="top"/>
      <protection locked="0"/>
    </xf>
    <xf numFmtId="0" fontId="132" fillId="0" borderId="111" xfId="0" applyFont="1" applyBorder="1" applyAlignment="1" applyProtection="1">
      <alignment vertical="top"/>
      <protection locked="0"/>
    </xf>
    <xf numFmtId="0" fontId="132" fillId="0" borderId="112" xfId="0" applyFont="1" applyBorder="1" applyAlignment="1" applyProtection="1">
      <alignment vertical="top"/>
      <protection locked="0"/>
    </xf>
    <xf numFmtId="0" fontId="132" fillId="0" borderId="0" xfId="0" applyFont="1" applyBorder="1" applyAlignment="1" applyProtection="1">
      <alignment vertical="top"/>
      <protection locked="0"/>
    </xf>
    <xf numFmtId="0" fontId="132" fillId="0" borderId="91" xfId="0" applyFont="1" applyBorder="1" applyAlignment="1" applyProtection="1">
      <alignment vertical="top"/>
      <protection locked="0"/>
    </xf>
    <xf numFmtId="0" fontId="132" fillId="0" borderId="113" xfId="0" applyFont="1" applyBorder="1" applyAlignment="1" applyProtection="1">
      <alignment vertical="top"/>
      <protection locked="0"/>
    </xf>
    <xf numFmtId="0" fontId="132" fillId="0" borderId="92" xfId="0" applyFont="1" applyBorder="1" applyAlignment="1" applyProtection="1">
      <alignment vertical="top"/>
      <protection locked="0"/>
    </xf>
    <xf numFmtId="0" fontId="132" fillId="0" borderId="66" xfId="0" applyFont="1" applyBorder="1" applyAlignment="1" applyProtection="1">
      <alignment vertical="top"/>
      <protection locked="0"/>
    </xf>
    <xf numFmtId="166" fontId="122" fillId="22" borderId="126" xfId="0" applyNumberFormat="1" applyFont="1" applyFill="1" applyBorder="1" applyAlignment="1" applyProtection="1">
      <alignment horizontal="center" vertical="center" wrapText="1"/>
      <protection locked="0" hidden="1"/>
    </xf>
    <xf numFmtId="166" fontId="122" fillId="22" borderId="132" xfId="0" applyNumberFormat="1" applyFont="1" applyFill="1" applyBorder="1" applyAlignment="1" applyProtection="1">
      <alignment horizontal="center" vertical="center" wrapText="1"/>
      <protection locked="0" hidden="1"/>
    </xf>
    <xf numFmtId="166" fontId="122" fillId="22" borderId="130" xfId="0" applyNumberFormat="1" applyFont="1" applyFill="1" applyBorder="1" applyAlignment="1" applyProtection="1">
      <alignment horizontal="center" vertical="center" wrapText="1"/>
      <protection locked="0" hidden="1"/>
    </xf>
    <xf numFmtId="166" fontId="122" fillId="22" borderId="131" xfId="0" applyNumberFormat="1" applyFont="1" applyFill="1" applyBorder="1" applyAlignment="1" applyProtection="1">
      <alignment horizontal="center" vertical="center" wrapText="1"/>
      <protection locked="0" hidden="1"/>
    </xf>
    <xf numFmtId="166" fontId="210" fillId="0" borderId="123" xfId="0" applyNumberFormat="1" applyFont="1" applyFill="1" applyBorder="1" applyAlignment="1" applyProtection="1">
      <alignment horizontal="center"/>
      <protection hidden="1"/>
    </xf>
    <xf numFmtId="0" fontId="57" fillId="0" borderId="122" xfId="0" applyFont="1" applyFill="1" applyBorder="1" applyAlignment="1" applyProtection="1">
      <alignment horizontal="left" indent="2"/>
      <protection hidden="1"/>
    </xf>
    <xf numFmtId="0" fontId="57" fillId="0" borderId="123" xfId="0" applyFont="1" applyFill="1" applyBorder="1" applyAlignment="1" applyProtection="1">
      <alignment horizontal="left" indent="2"/>
      <protection hidden="1"/>
    </xf>
    <xf numFmtId="168" fontId="52" fillId="7" borderId="123" xfId="0" applyNumberFormat="1" applyFont="1" applyFill="1" applyBorder="1" applyAlignment="1" applyProtection="1">
      <alignment horizontal="center"/>
      <protection hidden="1"/>
    </xf>
    <xf numFmtId="2" fontId="330" fillId="0" borderId="130" xfId="0" applyNumberFormat="1" applyFont="1" applyFill="1" applyBorder="1" applyAlignment="1" applyProtection="1">
      <alignment horizontal="right" vertical="center"/>
      <protection hidden="1"/>
    </xf>
    <xf numFmtId="2" fontId="330" fillId="0" borderId="109" xfId="0" applyNumberFormat="1" applyFont="1" applyFill="1" applyBorder="1" applyAlignment="1" applyProtection="1">
      <alignment horizontal="right" vertical="center"/>
      <protection hidden="1"/>
    </xf>
    <xf numFmtId="168" fontId="50" fillId="6" borderId="122" xfId="0" applyNumberFormat="1" applyFont="1" applyFill="1" applyBorder="1" applyAlignment="1" applyProtection="1">
      <alignment horizontal="left" vertical="center" indent="1"/>
      <protection hidden="1"/>
    </xf>
    <xf numFmtId="168" fontId="50" fillId="6" borderId="123" xfId="0" applyNumberFormat="1" applyFont="1" applyFill="1" applyBorder="1" applyAlignment="1" applyProtection="1">
      <alignment horizontal="left" vertical="center" indent="1"/>
      <protection hidden="1"/>
    </xf>
    <xf numFmtId="168" fontId="50" fillId="6" borderId="390" xfId="0" applyNumberFormat="1" applyFont="1" applyFill="1" applyBorder="1" applyAlignment="1" applyProtection="1">
      <alignment horizontal="left" vertical="center" indent="1"/>
      <protection hidden="1"/>
    </xf>
    <xf numFmtId="168" fontId="50" fillId="6" borderId="391" xfId="0" applyNumberFormat="1" applyFont="1" applyFill="1" applyBorder="1" applyAlignment="1" applyProtection="1">
      <alignment horizontal="left" vertical="center" indent="1"/>
      <protection hidden="1"/>
    </xf>
    <xf numFmtId="168" fontId="106" fillId="6" borderId="0" xfId="0" applyNumberFormat="1" applyFont="1" applyFill="1" applyBorder="1" applyAlignment="1" applyProtection="1">
      <alignment horizontal="right" vertical="center"/>
      <protection hidden="1"/>
    </xf>
    <xf numFmtId="166" fontId="122" fillId="22" borderId="218" xfId="0" applyNumberFormat="1" applyFont="1" applyFill="1" applyBorder="1" applyAlignment="1" applyProtection="1">
      <alignment horizontal="center" vertical="center"/>
      <protection hidden="1"/>
    </xf>
    <xf numFmtId="0" fontId="52" fillId="22" borderId="0" xfId="0" applyFont="1" applyFill="1" applyBorder="1" applyAlignment="1" applyProtection="1">
      <alignment horizontal="left" vertical="center" wrapText="1" indent="1"/>
      <protection hidden="1"/>
    </xf>
    <xf numFmtId="0" fontId="154" fillId="22" borderId="0" xfId="0" applyFont="1" applyFill="1" applyBorder="1" applyAlignment="1" applyProtection="1">
      <alignment horizontal="left" vertical="top"/>
      <protection hidden="1"/>
    </xf>
    <xf numFmtId="168" fontId="100" fillId="22" borderId="217" xfId="0" applyNumberFormat="1" applyFont="1" applyFill="1" applyBorder="1" applyAlignment="1" applyProtection="1">
      <alignment horizontal="left" vertical="center" wrapText="1" indent="1"/>
      <protection hidden="1"/>
    </xf>
    <xf numFmtId="168" fontId="100" fillId="22" borderId="218" xfId="0" applyNumberFormat="1" applyFont="1" applyFill="1" applyBorder="1" applyAlignment="1" applyProtection="1">
      <alignment horizontal="left" vertical="center" wrapText="1" indent="1"/>
      <protection hidden="1"/>
    </xf>
    <xf numFmtId="168" fontId="100" fillId="22" borderId="219" xfId="0" applyNumberFormat="1" applyFont="1" applyFill="1" applyBorder="1" applyAlignment="1" applyProtection="1">
      <alignment horizontal="left" vertical="center" wrapText="1" indent="1"/>
      <protection hidden="1"/>
    </xf>
    <xf numFmtId="168" fontId="100" fillId="22" borderId="220" xfId="0" applyNumberFormat="1" applyFont="1" applyFill="1" applyBorder="1" applyAlignment="1" applyProtection="1">
      <alignment horizontal="left" vertical="center" wrapText="1" indent="1"/>
      <protection hidden="1"/>
    </xf>
    <xf numFmtId="168" fontId="100" fillId="22" borderId="0" xfId="0" applyNumberFormat="1" applyFont="1" applyFill="1" applyBorder="1" applyAlignment="1" applyProtection="1">
      <alignment horizontal="left" vertical="center" wrapText="1" indent="1"/>
      <protection hidden="1"/>
    </xf>
    <xf numFmtId="168" fontId="100" fillId="22" borderId="221" xfId="0" applyNumberFormat="1" applyFont="1" applyFill="1" applyBorder="1" applyAlignment="1" applyProtection="1">
      <alignment horizontal="left" vertical="center" wrapText="1" indent="1"/>
      <protection hidden="1"/>
    </xf>
    <xf numFmtId="168" fontId="100" fillId="22" borderId="222" xfId="0" applyNumberFormat="1" applyFont="1" applyFill="1" applyBorder="1" applyAlignment="1" applyProtection="1">
      <alignment horizontal="left" vertical="center" wrapText="1" indent="1"/>
      <protection hidden="1"/>
    </xf>
    <xf numFmtId="168" fontId="100" fillId="22" borderId="225" xfId="0" applyNumberFormat="1" applyFont="1" applyFill="1" applyBorder="1" applyAlignment="1" applyProtection="1">
      <alignment horizontal="left" vertical="center" wrapText="1" indent="1"/>
      <protection hidden="1"/>
    </xf>
    <xf numFmtId="168" fontId="100" fillId="22" borderId="216" xfId="0" applyNumberFormat="1" applyFont="1" applyFill="1" applyBorder="1" applyAlignment="1" applyProtection="1">
      <alignment horizontal="left" vertical="center" wrapText="1" indent="1"/>
      <protection hidden="1"/>
    </xf>
    <xf numFmtId="0" fontId="176" fillId="21" borderId="0" xfId="0" applyFont="1" applyFill="1" applyProtection="1">
      <protection hidden="1"/>
    </xf>
    <xf numFmtId="41" fontId="176" fillId="21" borderId="0" xfId="0" applyNumberFormat="1" applyFont="1" applyFill="1" applyProtection="1">
      <protection hidden="1"/>
    </xf>
    <xf numFmtId="0" fontId="176" fillId="21" borderId="0" xfId="0" applyFont="1" applyFill="1" applyAlignment="1" applyProtection="1">
      <alignment horizontal="left"/>
      <protection hidden="1"/>
    </xf>
    <xf numFmtId="168" fontId="176" fillId="21" borderId="0" xfId="0" applyNumberFormat="1" applyFont="1" applyFill="1" applyAlignment="1" applyProtection="1">
      <alignment horizontal="center"/>
      <protection hidden="1"/>
    </xf>
    <xf numFmtId="166" fontId="176" fillId="21" borderId="0" xfId="0" applyNumberFormat="1" applyFont="1" applyFill="1" applyAlignment="1" applyProtection="1">
      <alignment horizontal="center"/>
      <protection hidden="1"/>
    </xf>
    <xf numFmtId="41" fontId="37" fillId="21" borderId="0" xfId="0" applyNumberFormat="1" applyFont="1" applyFill="1" applyProtection="1">
      <protection hidden="1"/>
    </xf>
    <xf numFmtId="168" fontId="307" fillId="6" borderId="122" xfId="0" applyNumberFormat="1" applyFont="1" applyFill="1" applyBorder="1" applyAlignment="1" applyProtection="1">
      <alignment horizontal="right" vertical="center"/>
      <protection hidden="1"/>
    </xf>
    <xf numFmtId="168" fontId="307" fillId="6" borderId="123" xfId="0" applyNumberFormat="1" applyFont="1" applyFill="1" applyBorder="1" applyAlignment="1" applyProtection="1">
      <alignment horizontal="right" vertical="center"/>
      <protection hidden="1"/>
    </xf>
    <xf numFmtId="166" fontId="122" fillId="6" borderId="123" xfId="0" applyNumberFormat="1" applyFont="1" applyFill="1" applyBorder="1" applyAlignment="1" applyProtection="1">
      <alignment horizontal="center" vertical="center"/>
      <protection hidden="1"/>
    </xf>
    <xf numFmtId="166" fontId="50" fillId="6" borderId="0" xfId="0" applyNumberFormat="1" applyFont="1" applyFill="1" applyBorder="1" applyAlignment="1" applyProtection="1">
      <alignment horizontal="center" vertical="center"/>
      <protection hidden="1"/>
    </xf>
    <xf numFmtId="168" fontId="270" fillId="22" borderId="217" xfId="0" applyNumberFormat="1" applyFont="1" applyFill="1" applyBorder="1" applyAlignment="1" applyProtection="1">
      <alignment horizontal="right" vertical="center"/>
      <protection hidden="1"/>
    </xf>
    <xf numFmtId="168" fontId="270" fillId="22" borderId="218" xfId="0" applyNumberFormat="1" applyFont="1" applyFill="1" applyBorder="1" applyAlignment="1" applyProtection="1">
      <alignment horizontal="right" vertical="center"/>
      <protection hidden="1"/>
    </xf>
    <xf numFmtId="168" fontId="270" fillId="22" borderId="220" xfId="0" applyNumberFormat="1" applyFont="1" applyFill="1" applyBorder="1" applyAlignment="1" applyProtection="1">
      <alignment horizontal="right" vertical="center"/>
      <protection hidden="1"/>
    </xf>
    <xf numFmtId="168" fontId="270" fillId="22" borderId="0" xfId="0" applyNumberFormat="1" applyFont="1" applyFill="1" applyBorder="1" applyAlignment="1" applyProtection="1">
      <alignment horizontal="right" vertical="center"/>
      <protection hidden="1"/>
    </xf>
    <xf numFmtId="166" fontId="122" fillId="22" borderId="0" xfId="0" applyNumberFormat="1" applyFont="1" applyFill="1" applyBorder="1" applyAlignment="1" applyProtection="1">
      <alignment horizontal="center" vertical="center"/>
      <protection hidden="1"/>
    </xf>
    <xf numFmtId="168" fontId="270" fillId="22" borderId="222" xfId="0" applyNumberFormat="1" applyFont="1" applyFill="1" applyBorder="1" applyAlignment="1" applyProtection="1">
      <alignment horizontal="right" vertical="center"/>
      <protection hidden="1"/>
    </xf>
    <xf numFmtId="168" fontId="270" fillId="22" borderId="225" xfId="0" applyNumberFormat="1" applyFont="1" applyFill="1" applyBorder="1" applyAlignment="1" applyProtection="1">
      <alignment horizontal="right" vertical="center"/>
      <protection hidden="1"/>
    </xf>
    <xf numFmtId="166" fontId="122" fillId="22" borderId="225" xfId="0" applyNumberFormat="1" applyFont="1" applyFill="1" applyBorder="1" applyAlignment="1" applyProtection="1">
      <alignment horizontal="center" vertical="center"/>
      <protection hidden="1"/>
    </xf>
    <xf numFmtId="166" fontId="122" fillId="6" borderId="0" xfId="0" applyNumberFormat="1" applyFont="1" applyFill="1" applyBorder="1" applyAlignment="1" applyProtection="1">
      <alignment horizontal="center" vertical="center"/>
      <protection hidden="1"/>
    </xf>
    <xf numFmtId="166" fontId="210" fillId="0" borderId="123" xfId="0" applyNumberFormat="1" applyFont="1" applyFill="1" applyBorder="1" applyAlignment="1" applyProtection="1">
      <alignment horizontal="center" vertical="center"/>
      <protection hidden="1"/>
    </xf>
    <xf numFmtId="2" fontId="330" fillId="0" borderId="122" xfId="0" applyNumberFormat="1" applyFont="1" applyFill="1" applyBorder="1" applyAlignment="1" applyProtection="1">
      <alignment horizontal="right" vertical="center"/>
      <protection hidden="1"/>
    </xf>
    <xf numFmtId="2" fontId="330" fillId="0" borderId="123" xfId="0" applyNumberFormat="1" applyFont="1" applyFill="1" applyBorder="1" applyAlignment="1" applyProtection="1">
      <alignment horizontal="right" vertical="center"/>
      <protection hidden="1"/>
    </xf>
    <xf numFmtId="0" fontId="122" fillId="22" borderId="126" xfId="0" applyFont="1" applyFill="1" applyBorder="1" applyAlignment="1" applyProtection="1">
      <alignment horizontal="center" vertical="center" wrapText="1"/>
      <protection locked="0" hidden="1"/>
    </xf>
    <xf numFmtId="0" fontId="122" fillId="22" borderId="108" xfId="0" applyFont="1" applyFill="1" applyBorder="1" applyAlignment="1" applyProtection="1">
      <alignment horizontal="center" vertical="center" wrapText="1"/>
      <protection locked="0" hidden="1"/>
    </xf>
    <xf numFmtId="0" fontId="122" fillId="22" borderId="132" xfId="0" applyFont="1" applyFill="1" applyBorder="1" applyAlignment="1" applyProtection="1">
      <alignment horizontal="center" vertical="center" wrapText="1"/>
      <protection locked="0" hidden="1"/>
    </xf>
    <xf numFmtId="0" fontId="122" fillId="22" borderId="130" xfId="0" applyFont="1" applyFill="1" applyBorder="1" applyAlignment="1" applyProtection="1">
      <alignment horizontal="center" vertical="center" wrapText="1"/>
      <protection locked="0" hidden="1"/>
    </xf>
    <xf numFmtId="0" fontId="122" fillId="22" borderId="109" xfId="0" applyFont="1" applyFill="1" applyBorder="1" applyAlignment="1" applyProtection="1">
      <alignment horizontal="center" vertical="center" wrapText="1"/>
      <protection locked="0" hidden="1"/>
    </xf>
    <xf numFmtId="0" fontId="122" fillId="22" borderId="131" xfId="0" applyFont="1" applyFill="1" applyBorder="1" applyAlignment="1" applyProtection="1">
      <alignment horizontal="center" vertical="center" wrapText="1"/>
      <protection locked="0" hidden="1"/>
    </xf>
    <xf numFmtId="41" fontId="122" fillId="22" borderId="125" xfId="0" applyNumberFormat="1" applyFont="1" applyFill="1" applyBorder="1" applyAlignment="1" applyProtection="1">
      <alignment horizontal="center" vertical="center" wrapText="1"/>
      <protection locked="0" hidden="1"/>
    </xf>
    <xf numFmtId="41" fontId="122" fillId="22" borderId="127" xfId="0" applyNumberFormat="1" applyFont="1" applyFill="1" applyBorder="1" applyAlignment="1" applyProtection="1">
      <alignment horizontal="center" vertical="center" wrapText="1"/>
      <protection locked="0" hidden="1"/>
    </xf>
    <xf numFmtId="0" fontId="122" fillId="22" borderId="125" xfId="0" applyFont="1" applyFill="1" applyBorder="1" applyAlignment="1" applyProtection="1">
      <alignment horizontal="center" vertical="center" wrapText="1"/>
      <protection locked="0" hidden="1"/>
    </xf>
    <xf numFmtId="0" fontId="122" fillId="22" borderId="127" xfId="0" applyFont="1" applyFill="1" applyBorder="1" applyAlignment="1" applyProtection="1">
      <alignment horizontal="center" vertical="center" wrapText="1"/>
      <protection locked="0" hidden="1"/>
    </xf>
    <xf numFmtId="168" fontId="50" fillId="6" borderId="123" xfId="0" applyNumberFormat="1" applyFont="1" applyFill="1" applyBorder="1" applyAlignment="1" applyProtection="1">
      <alignment horizontal="left" vertical="center"/>
      <protection hidden="1"/>
    </xf>
    <xf numFmtId="168" fontId="50" fillId="6" borderId="124" xfId="0" applyNumberFormat="1" applyFont="1" applyFill="1" applyBorder="1" applyAlignment="1" applyProtection="1">
      <alignment horizontal="left" vertical="center"/>
      <protection hidden="1"/>
    </xf>
    <xf numFmtId="168" fontId="50" fillId="6" borderId="391" xfId="0" applyNumberFormat="1" applyFont="1" applyFill="1" applyBorder="1" applyAlignment="1" applyProtection="1">
      <alignment horizontal="left" vertical="center"/>
      <protection hidden="1"/>
    </xf>
    <xf numFmtId="168" fontId="50" fillId="6" borderId="392" xfId="0" applyNumberFormat="1" applyFont="1" applyFill="1" applyBorder="1" applyAlignment="1" applyProtection="1">
      <alignment horizontal="left" vertical="center"/>
      <protection hidden="1"/>
    </xf>
    <xf numFmtId="0" fontId="226" fillId="6" borderId="108" xfId="0" applyFont="1" applyFill="1" applyBorder="1" applyAlignment="1" applyProtection="1">
      <alignment horizontal="center" vertical="center"/>
      <protection locked="0"/>
    </xf>
    <xf numFmtId="0" fontId="55" fillId="0" borderId="425" xfId="0" applyFont="1" applyFill="1" applyBorder="1" applyAlignment="1" applyProtection="1">
      <alignment horizontal="left" indent="2"/>
      <protection hidden="1"/>
    </xf>
    <xf numFmtId="0" fontId="55" fillId="0" borderId="426" xfId="0" applyFont="1" applyFill="1" applyBorder="1" applyAlignment="1" applyProtection="1">
      <alignment horizontal="left" indent="2"/>
      <protection hidden="1"/>
    </xf>
    <xf numFmtId="166" fontId="210" fillId="0" borderId="426" xfId="0" applyNumberFormat="1" applyFont="1" applyFill="1" applyBorder="1" applyAlignment="1" applyProtection="1">
      <alignment horizontal="center"/>
      <protection hidden="1"/>
    </xf>
    <xf numFmtId="0" fontId="330" fillId="7" borderId="122" xfId="0" applyFont="1" applyFill="1" applyBorder="1" applyAlignment="1" applyProtection="1">
      <alignment horizontal="left" vertical="center" indent="1"/>
      <protection hidden="1"/>
    </xf>
    <xf numFmtId="0" fontId="330" fillId="7" borderId="123" xfId="0" applyFont="1" applyFill="1" applyBorder="1" applyAlignment="1" applyProtection="1">
      <alignment horizontal="left" vertical="center" indent="1"/>
      <protection hidden="1"/>
    </xf>
    <xf numFmtId="168" fontId="106" fillId="6" borderId="226" xfId="0" applyNumberFormat="1" applyFont="1" applyFill="1" applyBorder="1" applyAlignment="1" applyProtection="1">
      <alignment horizontal="right" vertical="center"/>
      <protection hidden="1"/>
    </xf>
    <xf numFmtId="168" fontId="106" fillId="6" borderId="227" xfId="0" applyNumberFormat="1" applyFont="1" applyFill="1" applyBorder="1" applyAlignment="1" applyProtection="1">
      <alignment horizontal="right" vertical="center"/>
      <protection hidden="1"/>
    </xf>
    <xf numFmtId="166" fontId="122" fillId="6" borderId="227" xfId="0" applyNumberFormat="1" applyFont="1" applyFill="1" applyBorder="1" applyAlignment="1" applyProtection="1">
      <alignment horizontal="center" vertical="center"/>
      <protection hidden="1"/>
    </xf>
    <xf numFmtId="0" fontId="111" fillId="0" borderId="122" xfId="0" applyFont="1" applyFill="1" applyBorder="1" applyAlignment="1" applyProtection="1">
      <alignment horizontal="left" indent="2"/>
      <protection hidden="1"/>
    </xf>
    <xf numFmtId="0" fontId="111" fillId="0" borderId="123" xfId="0" applyFont="1" applyFill="1" applyBorder="1" applyAlignment="1" applyProtection="1">
      <alignment horizontal="left" indent="2"/>
      <protection hidden="1"/>
    </xf>
    <xf numFmtId="166" fontId="210" fillId="0" borderId="109" xfId="0" applyNumberFormat="1" applyFont="1" applyFill="1" applyBorder="1" applyAlignment="1" applyProtection="1">
      <alignment horizontal="center" vertical="center"/>
      <protection hidden="1"/>
    </xf>
    <xf numFmtId="0" fontId="78" fillId="0" borderId="122" xfId="0" applyFont="1" applyFill="1" applyBorder="1" applyAlignment="1" applyProtection="1">
      <alignment horizontal="left" indent="2"/>
      <protection hidden="1"/>
    </xf>
    <xf numFmtId="0" fontId="78" fillId="0" borderId="123" xfId="0" applyFont="1" applyFill="1" applyBorder="1" applyAlignment="1" applyProtection="1">
      <alignment horizontal="left" indent="2"/>
      <protection hidden="1"/>
    </xf>
    <xf numFmtId="0" fontId="55" fillId="0" borderId="122" xfId="0" applyFont="1" applyFill="1" applyBorder="1" applyAlignment="1" applyProtection="1">
      <alignment horizontal="left" indent="2"/>
      <protection hidden="1"/>
    </xf>
    <xf numFmtId="0" fontId="55" fillId="0" borderId="123" xfId="0" applyFont="1" applyFill="1" applyBorder="1" applyAlignment="1" applyProtection="1">
      <alignment horizontal="left" indent="2"/>
      <protection hidden="1"/>
    </xf>
    <xf numFmtId="0" fontId="95" fillId="25" borderId="121" xfId="0" applyFont="1" applyFill="1" applyBorder="1" applyAlignment="1" applyProtection="1">
      <alignment horizontal="center" vertical="top" wrapText="1"/>
      <protection locked="0" hidden="1"/>
    </xf>
    <xf numFmtId="166" fontId="95" fillId="25" borderId="121" xfId="0" applyNumberFormat="1" applyFont="1" applyFill="1" applyBorder="1" applyAlignment="1" applyProtection="1">
      <alignment horizontal="center" vertical="center" wrapText="1"/>
      <protection locked="0" hidden="1"/>
    </xf>
    <xf numFmtId="168" fontId="145" fillId="27" borderId="83" xfId="0" applyNumberFormat="1" applyFont="1" applyFill="1" applyBorder="1" applyAlignment="1" applyProtection="1">
      <alignment horizontal="center"/>
      <protection hidden="1"/>
    </xf>
    <xf numFmtId="0" fontId="193" fillId="14" borderId="156" xfId="0" applyFont="1" applyFill="1" applyBorder="1" applyAlignment="1" applyProtection="1">
      <alignment horizontal="center" vertical="center"/>
      <protection hidden="1"/>
    </xf>
    <xf numFmtId="0" fontId="193" fillId="14" borderId="157" xfId="0" applyFont="1" applyFill="1" applyBorder="1" applyAlignment="1" applyProtection="1">
      <alignment horizontal="center" vertical="center"/>
      <protection hidden="1"/>
    </xf>
    <xf numFmtId="0" fontId="323" fillId="6" borderId="0" xfId="0" applyFont="1" applyFill="1" applyAlignment="1" applyProtection="1">
      <alignment horizontal="left"/>
      <protection locked="0" hidden="1"/>
    </xf>
    <xf numFmtId="167" fontId="165" fillId="6" borderId="0" xfId="0" applyNumberFormat="1" applyFont="1" applyFill="1" applyAlignment="1" applyProtection="1">
      <alignment horizontal="center"/>
      <protection locked="0" hidden="1"/>
    </xf>
    <xf numFmtId="168" fontId="122" fillId="22" borderId="121" xfId="0" applyNumberFormat="1" applyFont="1" applyFill="1" applyBorder="1" applyAlignment="1" applyProtection="1">
      <alignment horizontal="center" vertical="top"/>
      <protection locked="0" hidden="1"/>
    </xf>
    <xf numFmtId="0" fontId="253" fillId="6" borderId="0" xfId="0" applyNumberFormat="1" applyFont="1" applyFill="1" applyAlignment="1" applyProtection="1">
      <alignment horizontal="left"/>
      <protection locked="0" hidden="1"/>
    </xf>
    <xf numFmtId="0" fontId="96" fillId="14" borderId="190" xfId="0" applyFont="1" applyFill="1" applyBorder="1" applyAlignment="1" applyProtection="1">
      <alignment horizontal="left" vertical="top" wrapText="1"/>
      <protection locked="0"/>
    </xf>
    <xf numFmtId="0" fontId="96" fillId="14" borderId="191" xfId="0" applyFont="1" applyFill="1" applyBorder="1" applyAlignment="1" applyProtection="1">
      <alignment horizontal="left" vertical="top" wrapText="1"/>
      <protection locked="0"/>
    </xf>
    <xf numFmtId="0" fontId="96" fillId="14" borderId="192" xfId="0" applyFont="1" applyFill="1" applyBorder="1" applyAlignment="1" applyProtection="1">
      <alignment horizontal="left" vertical="top" wrapText="1"/>
      <protection locked="0"/>
    </xf>
    <xf numFmtId="0" fontId="96" fillId="14" borderId="67" xfId="0" applyFont="1" applyFill="1" applyBorder="1" applyAlignment="1" applyProtection="1">
      <alignment horizontal="left" vertical="top" wrapText="1"/>
      <protection locked="0"/>
    </xf>
    <xf numFmtId="0" fontId="96" fillId="14" borderId="0" xfId="0" applyFont="1" applyFill="1" applyBorder="1" applyAlignment="1" applyProtection="1">
      <alignment horizontal="left" vertical="top" wrapText="1"/>
      <protection locked="0"/>
    </xf>
    <xf numFmtId="0" fontId="96" fillId="14" borderId="193" xfId="0" applyFont="1" applyFill="1" applyBorder="1" applyAlignment="1" applyProtection="1">
      <alignment horizontal="left" vertical="top" wrapText="1"/>
      <protection locked="0"/>
    </xf>
    <xf numFmtId="0" fontId="96" fillId="14" borderId="194" xfId="0" applyFont="1" applyFill="1" applyBorder="1" applyAlignment="1" applyProtection="1">
      <alignment horizontal="left" vertical="top" wrapText="1"/>
      <protection locked="0"/>
    </xf>
    <xf numFmtId="0" fontId="96" fillId="14" borderId="186" xfId="0" applyFont="1" applyFill="1" applyBorder="1" applyAlignment="1" applyProtection="1">
      <alignment horizontal="left" vertical="top" wrapText="1"/>
      <protection locked="0"/>
    </xf>
    <xf numFmtId="0" fontId="96" fillId="14" borderId="195" xfId="0" applyFont="1" applyFill="1" applyBorder="1" applyAlignment="1" applyProtection="1">
      <alignment horizontal="left" vertical="top" wrapText="1"/>
      <protection locked="0"/>
    </xf>
    <xf numFmtId="168" fontId="122" fillId="22" borderId="122" xfId="0" applyNumberFormat="1" applyFont="1" applyFill="1" applyBorder="1" applyAlignment="1" applyProtection="1">
      <alignment horizontal="center" vertical="center"/>
      <protection hidden="1"/>
    </xf>
    <xf numFmtId="168" fontId="122" fillId="22" borderId="123" xfId="0" applyNumberFormat="1" applyFont="1" applyFill="1" applyBorder="1" applyAlignment="1" applyProtection="1">
      <alignment horizontal="center" vertical="center"/>
      <protection hidden="1"/>
    </xf>
    <xf numFmtId="168" fontId="122" fillId="22" borderId="124" xfId="0" applyNumberFormat="1" applyFont="1" applyFill="1" applyBorder="1" applyAlignment="1" applyProtection="1">
      <alignment horizontal="center" vertical="center"/>
      <protection hidden="1"/>
    </xf>
    <xf numFmtId="166" fontId="50" fillId="6" borderId="123" xfId="0" applyNumberFormat="1" applyFont="1" applyFill="1" applyBorder="1" applyAlignment="1" applyProtection="1">
      <alignment horizontal="center" vertical="center"/>
      <protection hidden="1"/>
    </xf>
    <xf numFmtId="0" fontId="376" fillId="6" borderId="159" xfId="0" applyFont="1" applyFill="1" applyBorder="1" applyAlignment="1" applyProtection="1">
      <alignment horizontal="right" vertical="center"/>
      <protection hidden="1"/>
    </xf>
    <xf numFmtId="0" fontId="376" fillId="6" borderId="160" xfId="0" applyFont="1" applyFill="1" applyBorder="1" applyAlignment="1" applyProtection="1">
      <alignment horizontal="right" vertical="center"/>
      <protection hidden="1"/>
    </xf>
    <xf numFmtId="0" fontId="376" fillId="6" borderId="161" xfId="0" applyFont="1" applyFill="1" applyBorder="1" applyAlignment="1" applyProtection="1">
      <alignment horizontal="right" vertical="center"/>
      <protection hidden="1"/>
    </xf>
    <xf numFmtId="0" fontId="52" fillId="6" borderId="0" xfId="0" applyFont="1" applyFill="1" applyBorder="1" applyAlignment="1" applyProtection="1">
      <alignment horizontal="center" vertical="center"/>
      <protection hidden="1"/>
    </xf>
    <xf numFmtId="0" fontId="52" fillId="6" borderId="61" xfId="0" applyFont="1" applyFill="1" applyBorder="1" applyAlignment="1" applyProtection="1">
      <alignment horizontal="center" vertical="center"/>
      <protection hidden="1"/>
    </xf>
    <xf numFmtId="171" fontId="226" fillId="6" borderId="0" xfId="0" applyNumberFormat="1" applyFont="1" applyFill="1" applyBorder="1" applyAlignment="1" applyProtection="1">
      <alignment horizontal="center" vertical="center"/>
      <protection locked="0"/>
    </xf>
    <xf numFmtId="0" fontId="226" fillId="6" borderId="0" xfId="0" applyFont="1" applyFill="1" applyBorder="1" applyAlignment="1" applyProtection="1">
      <alignment horizontal="center" vertical="center"/>
      <protection locked="0"/>
    </xf>
    <xf numFmtId="0" fontId="226" fillId="0" borderId="0" xfId="0" applyFont="1" applyBorder="1" applyAlignment="1" applyProtection="1">
      <alignment horizontal="center" vertical="center"/>
      <protection locked="0"/>
    </xf>
    <xf numFmtId="166" fontId="50" fillId="6" borderId="391" xfId="0" applyNumberFormat="1" applyFont="1" applyFill="1" applyBorder="1" applyAlignment="1" applyProtection="1">
      <alignment horizontal="center" vertical="center"/>
      <protection hidden="1"/>
    </xf>
    <xf numFmtId="2" fontId="330" fillId="0" borderId="385" xfId="0" applyNumberFormat="1" applyFont="1" applyFill="1" applyBorder="1" applyAlignment="1" applyProtection="1">
      <alignment horizontal="right" vertical="center"/>
      <protection hidden="1"/>
    </xf>
    <xf numFmtId="166" fontId="249" fillId="0" borderId="385" xfId="0" applyNumberFormat="1" applyFont="1" applyFill="1" applyBorder="1" applyAlignment="1" applyProtection="1">
      <alignment horizontal="center" vertical="center"/>
      <protection hidden="1"/>
    </xf>
    <xf numFmtId="166" fontId="249" fillId="0" borderId="382" xfId="0" applyNumberFormat="1" applyFont="1" applyFill="1" applyBorder="1" applyAlignment="1" applyProtection="1">
      <alignment horizontal="center" vertical="center"/>
      <protection hidden="1"/>
    </xf>
    <xf numFmtId="166" fontId="249" fillId="0" borderId="383" xfId="0" applyNumberFormat="1" applyFont="1" applyFill="1" applyBorder="1" applyAlignment="1" applyProtection="1">
      <alignment horizontal="center" vertical="center"/>
      <protection hidden="1"/>
    </xf>
    <xf numFmtId="166" fontId="249" fillId="0" borderId="384" xfId="0" applyNumberFormat="1" applyFont="1" applyFill="1" applyBorder="1" applyAlignment="1" applyProtection="1">
      <alignment horizontal="center" vertical="center"/>
      <protection hidden="1"/>
    </xf>
    <xf numFmtId="0" fontId="55" fillId="0" borderId="121" xfId="0" applyFont="1" applyFill="1" applyBorder="1" applyAlignment="1" applyProtection="1">
      <alignment horizontal="left" vertical="center"/>
      <protection hidden="1"/>
    </xf>
    <xf numFmtId="166" fontId="52" fillId="0" borderId="121" xfId="0" applyNumberFormat="1" applyFont="1" applyFill="1" applyBorder="1" applyAlignment="1" applyProtection="1">
      <alignment horizontal="center" vertical="center"/>
      <protection hidden="1"/>
    </xf>
    <xf numFmtId="166" fontId="52" fillId="0" borderId="122" xfId="0" applyNumberFormat="1" applyFont="1" applyFill="1" applyBorder="1" applyAlignment="1" applyProtection="1">
      <alignment horizontal="left" vertical="center"/>
      <protection hidden="1"/>
    </xf>
    <xf numFmtId="166" fontId="52" fillId="0" borderId="123" xfId="0" applyNumberFormat="1" applyFont="1" applyFill="1" applyBorder="1" applyAlignment="1" applyProtection="1">
      <alignment horizontal="left" vertical="center"/>
      <protection hidden="1"/>
    </xf>
    <xf numFmtId="166" fontId="52" fillId="0" borderId="124" xfId="0" applyNumberFormat="1" applyFont="1" applyFill="1" applyBorder="1" applyAlignment="1" applyProtection="1">
      <alignment horizontal="left" vertical="center"/>
      <protection hidden="1"/>
    </xf>
    <xf numFmtId="0" fontId="55" fillId="0" borderId="233" xfId="0" applyFont="1" applyFill="1" applyBorder="1" applyAlignment="1" applyProtection="1">
      <alignment horizontal="left" vertical="center"/>
      <protection hidden="1"/>
    </xf>
    <xf numFmtId="166" fontId="52" fillId="0" borderId="233" xfId="0" applyNumberFormat="1" applyFont="1" applyFill="1" applyBorder="1" applyAlignment="1" applyProtection="1">
      <alignment horizontal="center" vertical="center"/>
      <protection hidden="1"/>
    </xf>
    <xf numFmtId="166" fontId="52" fillId="0" borderId="250" xfId="0" applyNumberFormat="1" applyFont="1" applyFill="1" applyBorder="1" applyAlignment="1" applyProtection="1">
      <alignment horizontal="left" vertical="center"/>
      <protection hidden="1"/>
    </xf>
    <xf numFmtId="166" fontId="52" fillId="0" borderId="381" xfId="0" applyNumberFormat="1" applyFont="1" applyFill="1" applyBorder="1" applyAlignment="1" applyProtection="1">
      <alignment horizontal="left" vertical="center"/>
      <protection hidden="1"/>
    </xf>
    <xf numFmtId="166" fontId="52" fillId="0" borderId="251" xfId="0" applyNumberFormat="1" applyFont="1" applyFill="1" applyBorder="1" applyAlignment="1" applyProtection="1">
      <alignment horizontal="left" vertical="center"/>
      <protection hidden="1"/>
    </xf>
    <xf numFmtId="0" fontId="330" fillId="7" borderId="121" xfId="0" applyFont="1" applyFill="1" applyBorder="1" applyAlignment="1" applyProtection="1">
      <alignment horizontal="left" vertical="center"/>
      <protection hidden="1"/>
    </xf>
    <xf numFmtId="0" fontId="330" fillId="7" borderId="122" xfId="0" applyFont="1" applyFill="1" applyBorder="1" applyAlignment="1" applyProtection="1">
      <alignment horizontal="left" vertical="center"/>
      <protection hidden="1"/>
    </xf>
    <xf numFmtId="166" fontId="122" fillId="7" borderId="124" xfId="0" applyNumberFormat="1" applyFont="1" applyFill="1" applyBorder="1" applyAlignment="1" applyProtection="1">
      <alignment horizontal="center" vertical="center"/>
      <protection hidden="1"/>
    </xf>
    <xf numFmtId="166" fontId="122" fillId="7" borderId="122" xfId="0" applyNumberFormat="1" applyFont="1" applyFill="1" applyBorder="1" applyAlignment="1" applyProtection="1">
      <alignment horizontal="center" vertical="center"/>
      <protection hidden="1"/>
    </xf>
    <xf numFmtId="168" fontId="52" fillId="7" borderId="123" xfId="0" applyNumberFormat="1" applyFont="1" applyFill="1" applyBorder="1" applyAlignment="1" applyProtection="1">
      <alignment horizontal="center" vertical="center"/>
      <protection hidden="1"/>
    </xf>
    <xf numFmtId="168" fontId="52" fillId="7" borderId="124" xfId="0" applyNumberFormat="1" applyFont="1" applyFill="1" applyBorder="1" applyAlignment="1" applyProtection="1">
      <alignment horizontal="center" vertical="center"/>
      <protection hidden="1"/>
    </xf>
    <xf numFmtId="168" fontId="52" fillId="7" borderId="122" xfId="0" applyNumberFormat="1" applyFont="1" applyFill="1" applyBorder="1" applyAlignment="1" applyProtection="1">
      <alignment horizontal="center" vertical="center"/>
      <protection hidden="1"/>
    </xf>
    <xf numFmtId="166" fontId="122" fillId="6" borderId="122" xfId="0" applyNumberFormat="1" applyFont="1" applyFill="1" applyBorder="1" applyAlignment="1" applyProtection="1">
      <alignment horizontal="center" vertical="center"/>
      <protection hidden="1"/>
    </xf>
    <xf numFmtId="166" fontId="122" fillId="6" borderId="124" xfId="0" applyNumberFormat="1" applyFont="1" applyFill="1" applyBorder="1" applyAlignment="1" applyProtection="1">
      <alignment horizontal="center" vertical="center"/>
      <protection hidden="1"/>
    </xf>
    <xf numFmtId="166" fontId="52" fillId="0" borderId="0" xfId="0" applyNumberFormat="1" applyFont="1" applyFill="1" applyBorder="1" applyAlignment="1" applyProtection="1">
      <alignment horizontal="left" vertical="center"/>
      <protection hidden="1"/>
    </xf>
    <xf numFmtId="166" fontId="50" fillId="25" borderId="122" xfId="0" applyNumberFormat="1" applyFont="1" applyFill="1" applyBorder="1" applyAlignment="1" applyProtection="1">
      <alignment horizontal="center" vertical="center" wrapText="1"/>
      <protection locked="0" hidden="1"/>
    </xf>
    <xf numFmtId="166" fontId="50" fillId="25" borderId="123" xfId="0" applyNumberFormat="1" applyFont="1" applyFill="1" applyBorder="1" applyAlignment="1" applyProtection="1">
      <alignment horizontal="center" vertical="center" wrapText="1"/>
      <protection locked="0" hidden="1"/>
    </xf>
    <xf numFmtId="166" fontId="50" fillId="25" borderId="124" xfId="0" applyNumberFormat="1" applyFont="1" applyFill="1" applyBorder="1" applyAlignment="1" applyProtection="1">
      <alignment horizontal="center" vertical="center" wrapText="1"/>
      <protection locked="0" hidden="1"/>
    </xf>
    <xf numFmtId="0" fontId="50" fillId="22" borderId="121" xfId="0" applyFont="1" applyFill="1" applyBorder="1" applyAlignment="1" applyProtection="1">
      <alignment horizontal="center" vertical="center" wrapText="1"/>
      <protection locked="0" hidden="1"/>
    </xf>
    <xf numFmtId="166" fontId="50" fillId="22" borderId="121" xfId="0" applyNumberFormat="1" applyFont="1" applyFill="1" applyBorder="1" applyAlignment="1" applyProtection="1">
      <alignment horizontal="center" vertical="center" wrapText="1"/>
      <protection locked="0" hidden="1"/>
    </xf>
    <xf numFmtId="0" fontId="50" fillId="25" borderId="121" xfId="0" applyFont="1" applyFill="1" applyBorder="1" applyAlignment="1" applyProtection="1">
      <alignment horizontal="center" vertical="center" wrapText="1"/>
      <protection locked="0" hidden="1"/>
    </xf>
    <xf numFmtId="166" fontId="50" fillId="25" borderId="121" xfId="0" applyNumberFormat="1" applyFont="1" applyFill="1" applyBorder="1" applyAlignment="1" applyProtection="1">
      <alignment horizontal="center" vertical="center" wrapText="1"/>
      <protection locked="0" hidden="1"/>
    </xf>
    <xf numFmtId="0" fontId="252" fillId="6" borderId="0" xfId="0" applyNumberFormat="1" applyFont="1" applyFill="1" applyAlignment="1" applyProtection="1">
      <alignment horizontal="left" vertical="center"/>
      <protection locked="0" hidden="1"/>
    </xf>
    <xf numFmtId="0" fontId="111" fillId="0" borderId="121" xfId="0" applyFont="1" applyFill="1" applyBorder="1" applyAlignment="1" applyProtection="1">
      <alignment horizontal="left" vertical="center"/>
      <protection hidden="1"/>
    </xf>
    <xf numFmtId="0" fontId="57" fillId="0" borderId="121" xfId="0" applyFont="1" applyFill="1" applyBorder="1" applyAlignment="1" applyProtection="1">
      <alignment horizontal="left" vertical="center"/>
      <protection hidden="1"/>
    </xf>
    <xf numFmtId="0" fontId="57" fillId="0" borderId="122" xfId="0" applyFont="1" applyFill="1" applyBorder="1" applyAlignment="1" applyProtection="1">
      <alignment horizontal="left" vertical="center"/>
      <protection hidden="1"/>
    </xf>
    <xf numFmtId="0" fontId="57" fillId="0" borderId="123" xfId="0" applyFont="1" applyFill="1" applyBorder="1" applyAlignment="1" applyProtection="1">
      <alignment horizontal="left" vertical="center"/>
      <protection hidden="1"/>
    </xf>
    <xf numFmtId="0" fontId="57" fillId="0" borderId="124" xfId="0" applyFont="1" applyFill="1" applyBorder="1" applyAlignment="1" applyProtection="1">
      <alignment horizontal="left" vertical="center"/>
      <protection hidden="1"/>
    </xf>
    <xf numFmtId="0" fontId="78" fillId="0" borderId="121" xfId="0" applyFont="1" applyFill="1" applyBorder="1" applyAlignment="1" applyProtection="1">
      <alignment horizontal="left" vertical="center"/>
      <protection hidden="1"/>
    </xf>
    <xf numFmtId="168" fontId="307" fillId="6" borderId="0" xfId="0" applyNumberFormat="1" applyFont="1" applyFill="1" applyBorder="1" applyAlignment="1" applyProtection="1">
      <alignment horizontal="right" vertical="center"/>
      <protection hidden="1"/>
    </xf>
    <xf numFmtId="168" fontId="307" fillId="6" borderId="121" xfId="0" applyNumberFormat="1" applyFont="1" applyFill="1" applyBorder="1" applyAlignment="1" applyProtection="1">
      <alignment horizontal="right" vertical="center"/>
      <protection hidden="1"/>
    </xf>
    <xf numFmtId="0" fontId="176" fillId="21" borderId="0" xfId="0" applyFont="1" applyFill="1" applyAlignment="1" applyProtection="1">
      <alignment horizontal="center"/>
      <protection hidden="1"/>
    </xf>
    <xf numFmtId="168" fontId="270" fillId="22" borderId="125" xfId="0" applyNumberFormat="1" applyFont="1" applyFill="1" applyBorder="1" applyAlignment="1" applyProtection="1">
      <alignment horizontal="right" vertical="center"/>
      <protection hidden="1"/>
    </xf>
    <xf numFmtId="168" fontId="270" fillId="22" borderId="164" xfId="0" applyNumberFormat="1" applyFont="1" applyFill="1" applyBorder="1" applyAlignment="1" applyProtection="1">
      <alignment horizontal="right" vertical="center"/>
      <protection hidden="1"/>
    </xf>
    <xf numFmtId="168" fontId="270" fillId="22" borderId="127" xfId="0" applyNumberFormat="1" applyFont="1" applyFill="1" applyBorder="1" applyAlignment="1" applyProtection="1">
      <alignment horizontal="right" vertical="center"/>
      <protection hidden="1"/>
    </xf>
    <xf numFmtId="168" fontId="270" fillId="22" borderId="126" xfId="0" applyNumberFormat="1" applyFont="1" applyFill="1" applyBorder="1" applyAlignment="1" applyProtection="1">
      <alignment horizontal="center" vertical="center" wrapText="1"/>
      <protection hidden="1"/>
    </xf>
    <xf numFmtId="168" fontId="270" fillId="22" borderId="108" xfId="0" applyNumberFormat="1" applyFont="1" applyFill="1" applyBorder="1" applyAlignment="1" applyProtection="1">
      <alignment horizontal="center" vertical="center" wrapText="1"/>
      <protection hidden="1"/>
    </xf>
    <xf numFmtId="168" fontId="270" fillId="22" borderId="132" xfId="0" applyNumberFormat="1" applyFont="1" applyFill="1" applyBorder="1" applyAlignment="1" applyProtection="1">
      <alignment horizontal="center" vertical="center" wrapText="1"/>
      <protection hidden="1"/>
    </xf>
    <xf numFmtId="168" fontId="270" fillId="22" borderId="128" xfId="0" applyNumberFormat="1" applyFont="1" applyFill="1" applyBorder="1" applyAlignment="1" applyProtection="1">
      <alignment horizontal="center" vertical="center" wrapText="1"/>
      <protection hidden="1"/>
    </xf>
    <xf numFmtId="168" fontId="270" fillId="22" borderId="0" xfId="0" applyNumberFormat="1" applyFont="1" applyFill="1" applyBorder="1" applyAlignment="1" applyProtection="1">
      <alignment horizontal="center" vertical="center" wrapText="1"/>
      <protection hidden="1"/>
    </xf>
    <xf numFmtId="168" fontId="270" fillId="22" borderId="133" xfId="0" applyNumberFormat="1" applyFont="1" applyFill="1" applyBorder="1" applyAlignment="1" applyProtection="1">
      <alignment horizontal="center" vertical="center" wrapText="1"/>
      <protection hidden="1"/>
    </xf>
    <xf numFmtId="168" fontId="270" fillId="22" borderId="130" xfId="0" applyNumberFormat="1" applyFont="1" applyFill="1" applyBorder="1" applyAlignment="1" applyProtection="1">
      <alignment horizontal="center" vertical="center" wrapText="1"/>
      <protection hidden="1"/>
    </xf>
    <xf numFmtId="168" fontId="270" fillId="22" borderId="109" xfId="0" applyNumberFormat="1" applyFont="1" applyFill="1" applyBorder="1" applyAlignment="1" applyProtection="1">
      <alignment horizontal="center" vertical="center" wrapText="1"/>
      <protection hidden="1"/>
    </xf>
    <xf numFmtId="168" fontId="270" fillId="22" borderId="131" xfId="0" applyNumberFormat="1" applyFont="1" applyFill="1" applyBorder="1" applyAlignment="1" applyProtection="1">
      <alignment horizontal="center" vertical="center" wrapText="1"/>
      <protection hidden="1"/>
    </xf>
    <xf numFmtId="166" fontId="270" fillId="22" borderId="126" xfId="0" applyNumberFormat="1" applyFont="1" applyFill="1" applyBorder="1" applyAlignment="1" applyProtection="1">
      <alignment horizontal="center" vertical="center" wrapText="1"/>
      <protection hidden="1"/>
    </xf>
    <xf numFmtId="166" fontId="270" fillId="22" borderId="132" xfId="0" applyNumberFormat="1" applyFont="1" applyFill="1" applyBorder="1" applyAlignment="1" applyProtection="1">
      <alignment horizontal="center" vertical="center" wrapText="1"/>
      <protection hidden="1"/>
    </xf>
    <xf numFmtId="166" fontId="270" fillId="22" borderId="128" xfId="0" applyNumberFormat="1" applyFont="1" applyFill="1" applyBorder="1" applyAlignment="1" applyProtection="1">
      <alignment horizontal="center" vertical="center" wrapText="1"/>
      <protection hidden="1"/>
    </xf>
    <xf numFmtId="166" fontId="270" fillId="22" borderId="133" xfId="0" applyNumberFormat="1" applyFont="1" applyFill="1" applyBorder="1" applyAlignment="1" applyProtection="1">
      <alignment horizontal="center" vertical="center" wrapText="1"/>
      <protection hidden="1"/>
    </xf>
    <xf numFmtId="166" fontId="270" fillId="22" borderId="130" xfId="0" applyNumberFormat="1" applyFont="1" applyFill="1" applyBorder="1" applyAlignment="1" applyProtection="1">
      <alignment horizontal="center" vertical="center" wrapText="1"/>
      <protection hidden="1"/>
    </xf>
    <xf numFmtId="166" fontId="270" fillId="22" borderId="131" xfId="0" applyNumberFormat="1" applyFont="1" applyFill="1" applyBorder="1" applyAlignment="1" applyProtection="1">
      <alignment horizontal="center" vertical="center" wrapText="1"/>
      <protection hidden="1"/>
    </xf>
    <xf numFmtId="166" fontId="122" fillId="6" borderId="108" xfId="0" applyNumberFormat="1" applyFont="1" applyFill="1" applyBorder="1" applyAlignment="1" applyProtection="1">
      <alignment horizontal="center" vertical="center"/>
      <protection hidden="1"/>
    </xf>
    <xf numFmtId="9" fontId="357" fillId="0" borderId="778" xfId="22" applyFont="1" applyBorder="1" applyAlignment="1" applyProtection="1">
      <alignment horizontal="center" vertical="center"/>
      <protection locked="0"/>
    </xf>
    <xf numFmtId="9" fontId="357" fillId="0" borderId="779" xfId="22" applyFont="1" applyBorder="1" applyAlignment="1" applyProtection="1">
      <alignment horizontal="center" vertical="center"/>
      <protection locked="0"/>
    </xf>
    <xf numFmtId="0" fontId="348" fillId="0" borderId="92" xfId="0" applyFont="1" applyBorder="1" applyAlignment="1" applyProtection="1">
      <alignment horizontal="left" vertical="center"/>
      <protection locked="0"/>
    </xf>
    <xf numFmtId="0" fontId="349" fillId="0" borderId="92" xfId="0" applyFont="1" applyBorder="1" applyAlignment="1" applyProtection="1">
      <alignment horizontal="left" vertical="center"/>
      <protection locked="0"/>
    </xf>
    <xf numFmtId="169" fontId="349" fillId="6" borderId="92" xfId="22" applyNumberFormat="1" applyFont="1" applyFill="1" applyBorder="1" applyAlignment="1" applyProtection="1">
      <alignment horizontal="center" vertical="center"/>
      <protection locked="0"/>
    </xf>
    <xf numFmtId="169" fontId="349" fillId="6" borderId="114" xfId="22" applyNumberFormat="1" applyFont="1" applyFill="1" applyBorder="1" applyAlignment="1" applyProtection="1">
      <alignment horizontal="center" vertical="center"/>
      <protection locked="0"/>
    </xf>
    <xf numFmtId="181" fontId="349" fillId="6" borderId="114" xfId="3" applyNumberFormat="1" applyFont="1" applyFill="1" applyBorder="1" applyAlignment="1" applyProtection="1">
      <alignment horizontal="center" vertical="center"/>
      <protection locked="0"/>
    </xf>
    <xf numFmtId="9" fontId="349" fillId="0" borderId="114" xfId="22" applyFont="1" applyBorder="1" applyAlignment="1" applyProtection="1">
      <alignment horizontal="center" vertical="center"/>
      <protection locked="0"/>
    </xf>
    <xf numFmtId="0" fontId="349" fillId="0" borderId="114" xfId="0" applyFont="1" applyBorder="1" applyAlignment="1" applyProtection="1">
      <alignment horizontal="center" vertical="center"/>
      <protection locked="0"/>
    </xf>
    <xf numFmtId="10" fontId="349" fillId="0" borderId="386" xfId="22" applyNumberFormat="1" applyFont="1" applyBorder="1" applyAlignment="1" applyProtection="1">
      <alignment horizontal="center" vertical="center"/>
      <protection locked="0"/>
    </xf>
    <xf numFmtId="9" fontId="357" fillId="0" borderId="0" xfId="22" applyFont="1" applyBorder="1" applyAlignment="1" applyProtection="1">
      <alignment horizontal="center" vertical="center"/>
      <protection locked="0"/>
    </xf>
    <xf numFmtId="3" fontId="473" fillId="0" borderId="83" xfId="0" applyNumberFormat="1" applyFont="1" applyBorder="1" applyAlignment="1" applyProtection="1">
      <alignment horizontal="center" vertical="center"/>
      <protection locked="0"/>
    </xf>
    <xf numFmtId="0" fontId="473" fillId="0" borderId="83" xfId="0" applyFont="1" applyBorder="1" applyAlignment="1" applyProtection="1">
      <alignment horizontal="center" vertical="center"/>
      <protection locked="0"/>
    </xf>
    <xf numFmtId="0" fontId="473" fillId="0" borderId="0" xfId="0" applyFont="1" applyBorder="1" applyAlignment="1" applyProtection="1">
      <alignment horizontal="center" vertical="center"/>
      <protection locked="0"/>
    </xf>
    <xf numFmtId="0" fontId="473" fillId="0" borderId="8" xfId="0" applyFont="1" applyBorder="1" applyAlignment="1" applyProtection="1">
      <alignment horizontal="center" vertical="center"/>
      <protection locked="0"/>
    </xf>
    <xf numFmtId="0" fontId="473" fillId="0" borderId="92" xfId="0" applyFont="1" applyBorder="1" applyAlignment="1" applyProtection="1">
      <alignment horizontal="center" vertical="center"/>
      <protection locked="0"/>
    </xf>
    <xf numFmtId="0" fontId="473" fillId="0" borderId="432" xfId="0" applyFont="1" applyBorder="1" applyAlignment="1" applyProtection="1">
      <alignment horizontal="center" vertical="center"/>
      <protection locked="0"/>
    </xf>
    <xf numFmtId="14" fontId="380" fillId="0" borderId="114" xfId="0" applyNumberFormat="1" applyFont="1" applyBorder="1" applyAlignment="1" applyProtection="1">
      <alignment horizontal="center" vertical="center"/>
      <protection locked="0"/>
    </xf>
    <xf numFmtId="2" fontId="380" fillId="0" borderId="114" xfId="0" applyNumberFormat="1" applyFont="1" applyBorder="1" applyAlignment="1" applyProtection="1">
      <alignment horizontal="center" vertical="center"/>
      <protection locked="0"/>
    </xf>
    <xf numFmtId="166" fontId="380" fillId="0" borderId="114" xfId="0" applyNumberFormat="1" applyFont="1" applyBorder="1" applyAlignment="1" applyProtection="1">
      <alignment horizontal="center" vertical="center"/>
      <protection locked="0"/>
    </xf>
    <xf numFmtId="49" fontId="380" fillId="0" borderId="114" xfId="0" applyNumberFormat="1" applyFont="1" applyBorder="1" applyAlignment="1" applyProtection="1">
      <alignment horizontal="center" vertical="center"/>
      <protection locked="0"/>
    </xf>
    <xf numFmtId="0" fontId="380" fillId="0" borderId="114" xfId="0" applyFont="1" applyBorder="1" applyAlignment="1" applyProtection="1">
      <alignment horizontal="center" vertical="center"/>
      <protection locked="0"/>
    </xf>
    <xf numFmtId="1" fontId="349" fillId="0" borderId="134" xfId="0" applyNumberFormat="1" applyFont="1" applyBorder="1" applyAlignment="1" applyProtection="1">
      <alignment horizontal="center" vertical="center"/>
      <protection locked="0"/>
    </xf>
    <xf numFmtId="166" fontId="349" fillId="0" borderId="114" xfId="0" applyNumberFormat="1" applyFont="1" applyBorder="1" applyAlignment="1" applyProtection="1">
      <alignment horizontal="center" vertical="center"/>
      <protection locked="0"/>
    </xf>
    <xf numFmtId="10" fontId="349" fillId="0" borderId="114" xfId="0" applyNumberFormat="1" applyFont="1" applyBorder="1" applyAlignment="1" applyProtection="1">
      <alignment horizontal="center" vertical="center"/>
      <protection locked="0"/>
    </xf>
    <xf numFmtId="0" fontId="349" fillId="0" borderId="65" xfId="0" applyFont="1" applyBorder="1" applyAlignment="1" applyProtection="1">
      <alignment horizontal="center" vertical="center"/>
      <protection locked="0"/>
    </xf>
    <xf numFmtId="0" fontId="347" fillId="0" borderId="0" xfId="0" applyFont="1" applyBorder="1" applyAlignment="1" applyProtection="1">
      <alignment horizontal="left" vertical="center"/>
      <protection locked="0"/>
    </xf>
    <xf numFmtId="0" fontId="379" fillId="7" borderId="134" xfId="0" applyFont="1" applyFill="1" applyBorder="1" applyAlignment="1" applyProtection="1">
      <alignment horizontal="center" vertical="center"/>
      <protection locked="0"/>
    </xf>
    <xf numFmtId="0" fontId="379" fillId="7" borderId="114" xfId="0" applyFont="1" applyFill="1" applyBorder="1" applyAlignment="1" applyProtection="1">
      <alignment horizontal="center" vertical="center"/>
      <protection locked="0"/>
    </xf>
    <xf numFmtId="0" fontId="379" fillId="7" borderId="65" xfId="0" applyFont="1" applyFill="1" applyBorder="1" applyAlignment="1" applyProtection="1">
      <alignment horizontal="center" vertical="center"/>
      <protection locked="0"/>
    </xf>
    <xf numFmtId="0" fontId="210" fillId="14" borderId="0" xfId="0" applyFont="1" applyFill="1" applyBorder="1" applyAlignment="1" applyProtection="1">
      <alignment horizontal="center" vertical="center"/>
      <protection hidden="1"/>
    </xf>
    <xf numFmtId="0" fontId="472" fillId="6" borderId="0" xfId="0" applyFont="1" applyFill="1" applyBorder="1" applyAlignment="1" applyProtection="1">
      <alignment horizontal="left" vertical="center"/>
      <protection locked="0"/>
    </xf>
    <xf numFmtId="0" fontId="239" fillId="6" borderId="110" xfId="0" applyFont="1" applyFill="1" applyBorder="1" applyAlignment="1" applyProtection="1">
      <alignment horizontal="left" vertical="center"/>
      <protection locked="0"/>
    </xf>
    <xf numFmtId="0" fontId="239" fillId="6" borderId="83" xfId="0" applyFont="1" applyFill="1" applyBorder="1" applyAlignment="1" applyProtection="1">
      <alignment horizontal="left" vertical="center"/>
      <protection locked="0"/>
    </xf>
    <xf numFmtId="0" fontId="239" fillId="6" borderId="111" xfId="0" applyFont="1" applyFill="1" applyBorder="1" applyAlignment="1" applyProtection="1">
      <alignment horizontal="left" vertical="center"/>
      <protection locked="0"/>
    </xf>
    <xf numFmtId="0" fontId="239" fillId="6" borderId="112" xfId="0" applyFont="1" applyFill="1" applyBorder="1" applyAlignment="1" applyProtection="1">
      <alignment horizontal="left" vertical="center"/>
      <protection locked="0"/>
    </xf>
    <xf numFmtId="0" fontId="239" fillId="6" borderId="0" xfId="0" applyFont="1" applyFill="1" applyBorder="1" applyAlignment="1" applyProtection="1">
      <alignment horizontal="left" vertical="center"/>
      <protection locked="0"/>
    </xf>
    <xf numFmtId="0" fontId="239" fillId="6" borderId="91" xfId="0" applyFont="1" applyFill="1" applyBorder="1" applyAlignment="1" applyProtection="1">
      <alignment horizontal="left" vertical="center"/>
      <protection locked="0"/>
    </xf>
    <xf numFmtId="0" fontId="239" fillId="6" borderId="113" xfId="0" applyFont="1" applyFill="1" applyBorder="1" applyAlignment="1" applyProtection="1">
      <alignment horizontal="left" vertical="center"/>
      <protection locked="0"/>
    </xf>
    <xf numFmtId="0" fontId="239" fillId="6" borderId="92" xfId="0" applyFont="1" applyFill="1" applyBorder="1" applyAlignment="1" applyProtection="1">
      <alignment horizontal="left" vertical="center"/>
      <protection locked="0"/>
    </xf>
    <xf numFmtId="0" fontId="239" fillId="6" borderId="66" xfId="0" applyFont="1" applyFill="1" applyBorder="1" applyAlignment="1" applyProtection="1">
      <alignment horizontal="left" vertical="center"/>
      <protection locked="0"/>
    </xf>
    <xf numFmtId="166" fontId="349" fillId="0" borderId="8" xfId="0" applyNumberFormat="1" applyFont="1" applyBorder="1" applyAlignment="1" applyProtection="1">
      <alignment horizontal="center" vertical="center"/>
      <protection locked="0"/>
    </xf>
    <xf numFmtId="0" fontId="225" fillId="0" borderId="7" xfId="0" applyFont="1" applyBorder="1" applyAlignment="1" applyProtection="1">
      <alignment horizontal="center" vertical="center"/>
      <protection locked="0"/>
    </xf>
    <xf numFmtId="10" fontId="225" fillId="0" borderId="7" xfId="0" applyNumberFormat="1" applyFont="1" applyBorder="1" applyAlignment="1" applyProtection="1">
      <alignment horizontal="center" vertical="center"/>
      <protection locked="0"/>
    </xf>
    <xf numFmtId="1" fontId="349" fillId="0" borderId="772" xfId="0" applyNumberFormat="1" applyFont="1" applyBorder="1" applyAlignment="1" applyProtection="1">
      <alignment horizontal="center" vertical="center"/>
      <protection locked="0"/>
    </xf>
    <xf numFmtId="0" fontId="349" fillId="0" borderId="386" xfId="0" applyFont="1" applyBorder="1" applyAlignment="1" applyProtection="1">
      <alignment horizontal="center" vertical="center"/>
      <protection locked="0"/>
    </xf>
    <xf numFmtId="166" fontId="349" fillId="0" borderId="0" xfId="0" applyNumberFormat="1" applyFont="1" applyBorder="1" applyAlignment="1" applyProtection="1">
      <alignment horizontal="center" vertical="center"/>
      <protection locked="0"/>
    </xf>
    <xf numFmtId="0" fontId="349" fillId="0" borderId="0" xfId="0" applyFont="1" applyBorder="1" applyAlignment="1" applyProtection="1">
      <alignment horizontal="right" vertical="center"/>
      <protection locked="0"/>
    </xf>
    <xf numFmtId="0" fontId="380" fillId="0" borderId="83" xfId="0" applyFont="1" applyBorder="1" applyAlignment="1" applyProtection="1">
      <alignment horizontal="center" vertical="center" wrapText="1"/>
      <protection locked="0"/>
    </xf>
    <xf numFmtId="0" fontId="380" fillId="0" borderId="92" xfId="0" applyFont="1" applyBorder="1" applyAlignment="1" applyProtection="1">
      <alignment horizontal="center" vertical="center" wrapText="1"/>
      <protection locked="0"/>
    </xf>
    <xf numFmtId="0" fontId="473" fillId="0" borderId="784" xfId="0" applyFont="1" applyBorder="1" applyAlignment="1" applyProtection="1">
      <alignment horizontal="center" vertical="center"/>
      <protection locked="0"/>
    </xf>
    <xf numFmtId="0" fontId="473" fillId="0" borderId="785" xfId="0" applyFont="1" applyBorder="1" applyAlignment="1" applyProtection="1">
      <alignment horizontal="center" vertical="center"/>
      <protection locked="0"/>
    </xf>
    <xf numFmtId="166" fontId="349" fillId="0" borderId="386" xfId="0" applyNumberFormat="1" applyFont="1" applyBorder="1" applyAlignment="1" applyProtection="1">
      <alignment horizontal="center" vertical="center"/>
      <protection locked="0"/>
    </xf>
    <xf numFmtId="10" fontId="349" fillId="0" borderId="386" xfId="0" applyNumberFormat="1" applyFont="1" applyBorder="1" applyAlignment="1" applyProtection="1">
      <alignment horizontal="center" vertical="center"/>
      <protection locked="0"/>
    </xf>
    <xf numFmtId="0" fontId="349" fillId="0" borderId="771" xfId="0" applyFont="1" applyBorder="1" applyAlignment="1" applyProtection="1">
      <alignment horizontal="center" vertical="center"/>
      <protection locked="0"/>
    </xf>
    <xf numFmtId="10" fontId="349" fillId="0" borderId="0" xfId="0" applyNumberFormat="1" applyFont="1" applyBorder="1" applyAlignment="1" applyProtection="1">
      <alignment horizontal="center" vertical="center"/>
      <protection locked="0"/>
    </xf>
    <xf numFmtId="0" fontId="349" fillId="0" borderId="0" xfId="0" applyFont="1" applyBorder="1" applyAlignment="1" applyProtection="1">
      <alignment horizontal="center" vertical="center"/>
      <protection locked="0"/>
    </xf>
    <xf numFmtId="10" fontId="349" fillId="0" borderId="8" xfId="0" applyNumberFormat="1" applyFont="1" applyBorder="1" applyAlignment="1" applyProtection="1">
      <alignment horizontal="center" vertical="center"/>
      <protection locked="0"/>
    </xf>
    <xf numFmtId="0" fontId="349" fillId="0" borderId="8" xfId="0" applyFont="1" applyBorder="1" applyAlignment="1" applyProtection="1">
      <alignment horizontal="center" vertical="center"/>
      <protection locked="0"/>
    </xf>
    <xf numFmtId="9" fontId="225" fillId="0" borderId="0" xfId="22" applyFont="1" applyBorder="1" applyAlignment="1" applyProtection="1">
      <alignment horizontal="center" vertical="center"/>
      <protection locked="0"/>
    </xf>
    <xf numFmtId="10" fontId="225" fillId="0" borderId="7" xfId="22" applyNumberFormat="1" applyFont="1" applyBorder="1" applyAlignment="1" applyProtection="1">
      <alignment horizontal="center" vertical="center"/>
      <protection locked="0"/>
    </xf>
    <xf numFmtId="186" fontId="43" fillId="6" borderId="0" xfId="0" applyNumberFormat="1" applyFont="1" applyFill="1" applyAlignment="1" applyProtection="1">
      <alignment horizontal="center"/>
      <protection hidden="1"/>
    </xf>
    <xf numFmtId="186" fontId="43" fillId="6" borderId="93" xfId="0" applyNumberFormat="1" applyFont="1" applyFill="1" applyBorder="1" applyAlignment="1" applyProtection="1">
      <alignment horizontal="center"/>
      <protection hidden="1"/>
    </xf>
    <xf numFmtId="186" fontId="40" fillId="6" borderId="0" xfId="0" applyNumberFormat="1" applyFont="1" applyFill="1" applyAlignment="1" applyProtection="1">
      <alignment horizontal="center"/>
      <protection hidden="1"/>
    </xf>
    <xf numFmtId="168" fontId="72" fillId="0" borderId="88" xfId="0" applyNumberFormat="1" applyFont="1" applyBorder="1" applyAlignment="1" applyProtection="1">
      <alignment horizontal="center" vertical="center"/>
      <protection hidden="1"/>
    </xf>
    <xf numFmtId="10" fontId="72" fillId="0" borderId="88" xfId="22" applyNumberFormat="1" applyFont="1" applyBorder="1" applyAlignment="1" applyProtection="1">
      <alignment horizontal="center" vertical="center"/>
      <protection hidden="1"/>
    </xf>
    <xf numFmtId="168" fontId="40" fillId="6" borderId="0" xfId="0" applyNumberFormat="1" applyFont="1" applyFill="1" applyAlignment="1" applyProtection="1">
      <alignment horizontal="center"/>
      <protection hidden="1"/>
    </xf>
    <xf numFmtId="168" fontId="72" fillId="0" borderId="88" xfId="22" applyNumberFormat="1" applyFont="1" applyBorder="1" applyAlignment="1" applyProtection="1">
      <alignment horizontal="center" vertical="center"/>
      <protection hidden="1"/>
    </xf>
    <xf numFmtId="0" fontId="72" fillId="0" borderId="88" xfId="0" applyFont="1" applyBorder="1" applyAlignment="1" applyProtection="1">
      <alignment horizontal="left"/>
      <protection hidden="1"/>
    </xf>
    <xf numFmtId="0" fontId="308" fillId="0" borderId="8" xfId="0" applyFont="1" applyFill="1" applyBorder="1" applyAlignment="1" applyProtection="1">
      <alignment horizontal="left" indent="1"/>
      <protection locked="0"/>
    </xf>
    <xf numFmtId="166" fontId="365" fillId="0" borderId="8" xfId="3" applyNumberFormat="1" applyFont="1" applyBorder="1" applyAlignment="1" applyProtection="1">
      <alignment horizontal="right"/>
      <protection locked="0"/>
    </xf>
    <xf numFmtId="0" fontId="0" fillId="24" borderId="88" xfId="0" applyFill="1" applyBorder="1" applyAlignment="1" applyProtection="1">
      <alignment horizontal="center"/>
      <protection hidden="1"/>
    </xf>
    <xf numFmtId="0" fontId="321" fillId="6" borderId="0" xfId="0" applyFont="1" applyFill="1" applyBorder="1" applyAlignment="1" applyProtection="1">
      <alignment horizontal="right"/>
      <protection locked="0"/>
    </xf>
    <xf numFmtId="166" fontId="105" fillId="6" borderId="0" xfId="3" quotePrefix="1" applyNumberFormat="1" applyFont="1" applyFill="1" applyBorder="1" applyAlignment="1" applyProtection="1">
      <alignment horizontal="right"/>
      <protection locked="0"/>
    </xf>
    <xf numFmtId="0" fontId="308" fillId="0" borderId="0" xfId="0" applyFont="1" applyFill="1" applyBorder="1" applyAlignment="1" applyProtection="1">
      <alignment horizontal="left" indent="1"/>
      <protection locked="0"/>
    </xf>
    <xf numFmtId="166" fontId="207" fillId="22" borderId="0" xfId="3" applyNumberFormat="1" applyFont="1" applyFill="1" applyBorder="1" applyAlignment="1" applyProtection="1">
      <alignment horizontal="center" vertical="center"/>
      <protection locked="0"/>
    </xf>
    <xf numFmtId="0" fontId="308" fillId="0" borderId="0" xfId="0" applyFont="1" applyFill="1" applyBorder="1" applyAlignment="1" applyProtection="1">
      <alignment horizontal="left" vertical="center" indent="1"/>
      <protection locked="0"/>
    </xf>
    <xf numFmtId="0" fontId="122" fillId="14" borderId="122" xfId="0" applyFont="1" applyFill="1" applyBorder="1" applyAlignment="1" applyProtection="1">
      <alignment horizontal="center" vertical="center"/>
      <protection hidden="1"/>
    </xf>
    <xf numFmtId="0" fontId="122" fillId="14" borderId="123" xfId="0" applyFont="1" applyFill="1" applyBorder="1" applyAlignment="1" applyProtection="1">
      <alignment horizontal="center" vertical="center"/>
      <protection hidden="1"/>
    </xf>
    <xf numFmtId="0" fontId="122" fillId="14" borderId="124" xfId="0" applyFont="1" applyFill="1" applyBorder="1" applyAlignment="1" applyProtection="1">
      <alignment horizontal="center" vertical="center"/>
      <protection hidden="1"/>
    </xf>
    <xf numFmtId="0" fontId="72" fillId="27" borderId="0" xfId="0" applyFont="1" applyFill="1" applyBorder="1" applyAlignment="1" applyProtection="1">
      <alignment horizontal="center"/>
      <protection hidden="1"/>
    </xf>
    <xf numFmtId="186" fontId="40" fillId="6" borderId="88" xfId="0" applyNumberFormat="1" applyFont="1" applyFill="1" applyBorder="1" applyAlignment="1" applyProtection="1">
      <alignment horizontal="center"/>
      <protection hidden="1"/>
    </xf>
    <xf numFmtId="186" fontId="40" fillId="6" borderId="0" xfId="0" applyNumberFormat="1" applyFont="1" applyFill="1" applyBorder="1" applyAlignment="1" applyProtection="1">
      <alignment horizontal="center" wrapText="1"/>
      <protection hidden="1"/>
    </xf>
    <xf numFmtId="0" fontId="93" fillId="9" borderId="88" xfId="0" applyFont="1" applyFill="1" applyBorder="1" applyAlignment="1" applyProtection="1">
      <alignment horizontal="center"/>
      <protection hidden="1"/>
    </xf>
    <xf numFmtId="0" fontId="93" fillId="6" borderId="0" xfId="0" applyFont="1" applyFill="1" applyAlignment="1" applyProtection="1">
      <alignment horizontal="center" vertical="center"/>
      <protection hidden="1"/>
    </xf>
    <xf numFmtId="0" fontId="93" fillId="6" borderId="61" xfId="0" applyFont="1" applyFill="1" applyBorder="1" applyAlignment="1" applyProtection="1">
      <alignment horizontal="center" vertical="center"/>
      <protection hidden="1"/>
    </xf>
    <xf numFmtId="0" fontId="169" fillId="22" borderId="0" xfId="0" applyFont="1" applyFill="1" applyBorder="1" applyAlignment="1" applyProtection="1">
      <alignment horizontal="left" vertical="top" wrapText="1"/>
      <protection hidden="1"/>
    </xf>
    <xf numFmtId="166" fontId="365" fillId="0" borderId="0" xfId="3" applyNumberFormat="1" applyFont="1" applyBorder="1" applyAlignment="1" applyProtection="1">
      <alignment horizontal="right"/>
      <protection locked="0"/>
    </xf>
    <xf numFmtId="0" fontId="251" fillId="6" borderId="225" xfId="0" applyFont="1" applyFill="1" applyBorder="1" applyAlignment="1" applyProtection="1">
      <alignment horizontal="left"/>
      <protection locked="0"/>
    </xf>
    <xf numFmtId="0" fontId="122" fillId="0" borderId="109" xfId="0" applyFont="1" applyFill="1" applyBorder="1" applyAlignment="1" applyProtection="1">
      <protection locked="0"/>
    </xf>
    <xf numFmtId="0" fontId="52" fillId="6" borderId="88" xfId="0" applyFont="1" applyFill="1" applyBorder="1" applyAlignment="1" applyProtection="1">
      <alignment horizontal="left"/>
      <protection locked="0"/>
    </xf>
    <xf numFmtId="170" fontId="52" fillId="7" borderId="88" xfId="3" applyNumberFormat="1" applyFont="1" applyFill="1" applyBorder="1" applyAlignment="1" applyProtection="1">
      <alignment horizontal="center"/>
      <protection locked="0"/>
    </xf>
    <xf numFmtId="186" fontId="40" fillId="6" borderId="88" xfId="3" applyNumberFormat="1" applyFont="1" applyFill="1" applyBorder="1" applyAlignment="1" applyProtection="1">
      <alignment horizontal="center"/>
      <protection hidden="1"/>
    </xf>
    <xf numFmtId="5" fontId="105" fillId="0" borderId="61" xfId="3" applyNumberFormat="1" applyFont="1" applyBorder="1" applyAlignment="1" applyProtection="1">
      <alignment horizontal="right" vertical="center"/>
      <protection locked="0"/>
    </xf>
    <xf numFmtId="10" fontId="106" fillId="14" borderId="106" xfId="22" applyNumberFormat="1" applyFont="1" applyFill="1" applyBorder="1" applyAlignment="1" applyProtection="1">
      <alignment horizontal="center" vertical="center"/>
      <protection locked="0"/>
    </xf>
    <xf numFmtId="10" fontId="106" fillId="14" borderId="107" xfId="22" applyNumberFormat="1" applyFont="1" applyFill="1" applyBorder="1" applyAlignment="1" applyProtection="1">
      <alignment horizontal="center" vertical="center"/>
      <protection locked="0"/>
    </xf>
    <xf numFmtId="166" fontId="122" fillId="6" borderId="2" xfId="3" applyNumberFormat="1" applyFont="1" applyFill="1" applyBorder="1" applyAlignment="1" applyProtection="1">
      <alignment horizontal="center" vertical="center"/>
      <protection hidden="1"/>
    </xf>
    <xf numFmtId="166" fontId="122" fillId="6" borderId="1" xfId="3" applyNumberFormat="1" applyFont="1" applyFill="1" applyBorder="1" applyAlignment="1" applyProtection="1">
      <alignment horizontal="center" vertical="center"/>
      <protection hidden="1"/>
    </xf>
    <xf numFmtId="166" fontId="122" fillId="6" borderId="3" xfId="3" applyNumberFormat="1" applyFont="1" applyFill="1" applyBorder="1" applyAlignment="1" applyProtection="1">
      <alignment horizontal="center" vertical="center"/>
      <protection hidden="1"/>
    </xf>
    <xf numFmtId="0" fontId="52" fillId="7" borderId="88" xfId="0" applyFont="1" applyFill="1" applyBorder="1" applyAlignment="1" applyProtection="1">
      <alignment horizontal="left"/>
      <protection locked="0"/>
    </xf>
    <xf numFmtId="166" fontId="105" fillId="0" borderId="0" xfId="3" applyNumberFormat="1" applyFont="1" applyBorder="1" applyAlignment="1" applyProtection="1">
      <alignment horizontal="right"/>
      <protection locked="0"/>
    </xf>
    <xf numFmtId="0" fontId="52" fillId="7" borderId="88" xfId="0" applyFont="1" applyFill="1" applyBorder="1" applyAlignment="1" applyProtection="1">
      <alignment horizontal="center"/>
      <protection locked="0"/>
    </xf>
    <xf numFmtId="165" fontId="73" fillId="7" borderId="88" xfId="3" applyNumberFormat="1" applyFont="1" applyFill="1" applyBorder="1" applyAlignment="1" applyProtection="1">
      <alignment horizontal="center"/>
      <protection locked="0"/>
    </xf>
    <xf numFmtId="0" fontId="125" fillId="0" borderId="0" xfId="0" applyFont="1" applyBorder="1" applyAlignment="1" applyProtection="1">
      <alignment horizontal="left"/>
      <protection locked="0"/>
    </xf>
    <xf numFmtId="0" fontId="122" fillId="0" borderId="0" xfId="0" applyFont="1" applyFill="1" applyBorder="1" applyAlignment="1" applyProtection="1">
      <protection locked="0"/>
    </xf>
    <xf numFmtId="0" fontId="52" fillId="6" borderId="88" xfId="0" applyFont="1" applyFill="1" applyBorder="1" applyAlignment="1" applyProtection="1">
      <alignment horizontal="center"/>
      <protection locked="0"/>
    </xf>
    <xf numFmtId="165" fontId="73" fillId="6" borderId="88" xfId="3" applyNumberFormat="1" applyFont="1" applyFill="1" applyBorder="1" applyAlignment="1" applyProtection="1">
      <alignment horizontal="center"/>
      <protection locked="0"/>
    </xf>
    <xf numFmtId="170" fontId="52" fillId="0" borderId="88" xfId="3" applyNumberFormat="1" applyFont="1" applyBorder="1" applyAlignment="1" applyProtection="1">
      <alignment horizontal="center"/>
      <protection locked="0"/>
    </xf>
    <xf numFmtId="0" fontId="52" fillId="6" borderId="0" xfId="0" applyFont="1" applyFill="1" applyBorder="1" applyAlignment="1" applyProtection="1">
      <alignment horizontal="left" vertical="center" wrapText="1" indent="1"/>
      <protection locked="0"/>
    </xf>
    <xf numFmtId="0" fontId="55" fillId="0" borderId="88" xfId="0" applyFont="1" applyBorder="1" applyAlignment="1" applyProtection="1">
      <alignment horizontal="center"/>
      <protection locked="0"/>
    </xf>
    <xf numFmtId="0" fontId="470" fillId="0" borderId="4" xfId="0" applyFont="1" applyBorder="1" applyAlignment="1" applyProtection="1">
      <alignment horizontal="right" vertical="center"/>
      <protection locked="0"/>
    </xf>
    <xf numFmtId="0" fontId="55" fillId="0" borderId="88" xfId="0" applyFont="1" applyBorder="1" applyAlignment="1" applyProtection="1">
      <alignment horizontal="left"/>
      <protection locked="0"/>
    </xf>
    <xf numFmtId="0" fontId="93" fillId="21" borderId="0" xfId="0" applyFont="1" applyFill="1" applyBorder="1" applyAlignment="1" applyProtection="1">
      <alignment horizontal="center"/>
      <protection hidden="1"/>
    </xf>
    <xf numFmtId="0" fontId="93" fillId="21" borderId="0" xfId="0" applyFont="1" applyFill="1" applyAlignment="1" applyProtection="1">
      <alignment horizontal="center"/>
      <protection hidden="1"/>
    </xf>
    <xf numFmtId="0" fontId="226" fillId="0" borderId="108" xfId="0" applyFont="1" applyBorder="1" applyAlignment="1" applyProtection="1">
      <alignment horizontal="center" vertical="center"/>
      <protection locked="0"/>
    </xf>
    <xf numFmtId="171" fontId="226" fillId="6" borderId="108" xfId="0" applyNumberFormat="1" applyFont="1" applyFill="1" applyBorder="1" applyAlignment="1" applyProtection="1">
      <alignment horizontal="center" vertical="center"/>
      <protection locked="0"/>
    </xf>
    <xf numFmtId="168" fontId="72" fillId="21" borderId="0" xfId="0" applyNumberFormat="1" applyFont="1" applyFill="1" applyBorder="1" applyAlignment="1" applyProtection="1">
      <alignment horizontal="center"/>
      <protection hidden="1"/>
    </xf>
    <xf numFmtId="0" fontId="82" fillId="27" borderId="0" xfId="0" applyFont="1" applyFill="1" applyBorder="1" applyAlignment="1" applyProtection="1">
      <alignment horizontal="center" vertical="center"/>
      <protection hidden="1"/>
    </xf>
    <xf numFmtId="0" fontId="72" fillId="0" borderId="0" xfId="0" applyFont="1" applyBorder="1" applyAlignment="1" applyProtection="1">
      <alignment horizontal="left" vertical="center" wrapText="1"/>
      <protection locked="0"/>
    </xf>
    <xf numFmtId="0" fontId="93" fillId="27" borderId="83" xfId="0" applyFont="1" applyFill="1" applyBorder="1" applyAlignment="1" applyProtection="1">
      <alignment horizontal="center" vertical="center"/>
      <protection hidden="1"/>
    </xf>
    <xf numFmtId="0" fontId="296" fillId="6" borderId="196" xfId="0" applyFont="1" applyFill="1" applyBorder="1" applyAlignment="1" applyProtection="1">
      <alignment horizontal="center" vertical="center" wrapText="1"/>
      <protection hidden="1"/>
    </xf>
    <xf numFmtId="0" fontId="296" fillId="6" borderId="197" xfId="0" applyFont="1" applyFill="1" applyBorder="1" applyAlignment="1" applyProtection="1">
      <alignment horizontal="center" vertical="center" wrapText="1"/>
      <protection hidden="1"/>
    </xf>
    <xf numFmtId="0" fontId="296" fillId="6" borderId="198" xfId="0" applyFont="1" applyFill="1" applyBorder="1" applyAlignment="1" applyProtection="1">
      <alignment horizontal="center" vertical="center" wrapText="1"/>
      <protection hidden="1"/>
    </xf>
    <xf numFmtId="0" fontId="296" fillId="6" borderId="199" xfId="0" applyFont="1" applyFill="1" applyBorder="1" applyAlignment="1" applyProtection="1">
      <alignment horizontal="center" vertical="center" wrapText="1"/>
      <protection hidden="1"/>
    </xf>
    <xf numFmtId="0" fontId="296" fillId="6" borderId="0" xfId="0" applyFont="1" applyFill="1" applyBorder="1" applyAlignment="1" applyProtection="1">
      <alignment horizontal="center" vertical="center" wrapText="1"/>
      <protection hidden="1"/>
    </xf>
    <xf numFmtId="0" fontId="296" fillId="6" borderId="200" xfId="0" applyFont="1" applyFill="1" applyBorder="1" applyAlignment="1" applyProtection="1">
      <alignment horizontal="center" vertical="center" wrapText="1"/>
      <protection hidden="1"/>
    </xf>
    <xf numFmtId="0" fontId="298" fillId="6" borderId="312" xfId="0" applyFont="1" applyFill="1" applyBorder="1" applyAlignment="1" applyProtection="1">
      <alignment horizontal="center" vertical="center"/>
      <protection locked="0"/>
    </xf>
    <xf numFmtId="0" fontId="285" fillId="6" borderId="312" xfId="0" applyFont="1" applyFill="1" applyBorder="1" applyAlignment="1" applyProtection="1">
      <alignment horizontal="left" vertical="center"/>
      <protection locked="0"/>
    </xf>
    <xf numFmtId="0" fontId="288" fillId="6" borderId="0" xfId="0" applyFont="1" applyFill="1" applyBorder="1" applyAlignment="1" applyProtection="1">
      <alignment horizontal="center" vertical="center"/>
      <protection locked="0"/>
    </xf>
    <xf numFmtId="14" fontId="296" fillId="6" borderId="0" xfId="0" applyNumberFormat="1" applyFont="1" applyFill="1" applyAlignment="1" applyProtection="1">
      <alignment horizontal="center" vertical="center"/>
      <protection hidden="1"/>
    </xf>
    <xf numFmtId="166" fontId="288" fillId="6" borderId="0" xfId="0" applyNumberFormat="1" applyFont="1" applyFill="1" applyBorder="1" applyAlignment="1" applyProtection="1">
      <alignment horizontal="center" vertical="center"/>
      <protection locked="0"/>
    </xf>
    <xf numFmtId="14" fontId="296" fillId="6" borderId="320" xfId="0" applyNumberFormat="1" applyFont="1" applyFill="1" applyBorder="1" applyAlignment="1" applyProtection="1">
      <alignment horizontal="center" vertical="center"/>
      <protection hidden="1"/>
    </xf>
    <xf numFmtId="166" fontId="288" fillId="6" borderId="320" xfId="0" applyNumberFormat="1" applyFont="1" applyFill="1" applyBorder="1" applyAlignment="1" applyProtection="1">
      <alignment horizontal="center" vertical="center"/>
      <protection locked="0"/>
    </xf>
    <xf numFmtId="0" fontId="288" fillId="6" borderId="322" xfId="0" applyFont="1" applyFill="1" applyBorder="1" applyAlignment="1" applyProtection="1">
      <alignment horizontal="left" vertical="center" indent="2"/>
      <protection locked="0"/>
    </xf>
    <xf numFmtId="0" fontId="288" fillId="6" borderId="0" xfId="0" applyFont="1" applyFill="1" applyBorder="1" applyAlignment="1" applyProtection="1">
      <alignment horizontal="left" vertical="center" indent="2"/>
      <protection locked="0"/>
    </xf>
    <xf numFmtId="184" fontId="288" fillId="6" borderId="0" xfId="0" applyNumberFormat="1" applyFont="1" applyFill="1" applyBorder="1" applyAlignment="1" applyProtection="1">
      <alignment horizontal="center" vertical="center"/>
      <protection locked="0"/>
    </xf>
    <xf numFmtId="184" fontId="288" fillId="6" borderId="323" xfId="0" applyNumberFormat="1" applyFont="1" applyFill="1" applyBorder="1" applyAlignment="1" applyProtection="1">
      <alignment horizontal="center" vertical="center"/>
      <protection locked="0"/>
    </xf>
    <xf numFmtId="0" fontId="142" fillId="6" borderId="312" xfId="0" applyFont="1" applyFill="1" applyBorder="1" applyAlignment="1" applyProtection="1">
      <alignment horizontal="center"/>
      <protection locked="0"/>
    </xf>
    <xf numFmtId="14" fontId="286" fillId="6" borderId="312" xfId="0" applyNumberFormat="1" applyFont="1" applyFill="1" applyBorder="1" applyAlignment="1" applyProtection="1">
      <alignment horizontal="center"/>
      <protection locked="0"/>
    </xf>
    <xf numFmtId="0" fontId="284" fillId="6" borderId="0" xfId="0" applyFont="1" applyFill="1" applyBorder="1" applyAlignment="1" applyProtection="1">
      <alignment horizontal="center" vertical="center"/>
      <protection locked="0"/>
    </xf>
    <xf numFmtId="0" fontId="290" fillId="6" borderId="316" xfId="0" applyFont="1" applyFill="1" applyBorder="1" applyAlignment="1" applyProtection="1">
      <alignment horizontal="center" vertical="center"/>
      <protection locked="0"/>
    </xf>
    <xf numFmtId="0" fontId="290" fillId="6" borderId="317" xfId="0" applyFont="1" applyFill="1" applyBorder="1" applyAlignment="1" applyProtection="1">
      <alignment horizontal="center" vertical="center"/>
      <protection locked="0"/>
    </xf>
    <xf numFmtId="0" fontId="290" fillId="6" borderId="318" xfId="0" applyFont="1" applyFill="1" applyBorder="1" applyAlignment="1" applyProtection="1">
      <alignment horizontal="center" vertical="center"/>
      <protection locked="0"/>
    </xf>
    <xf numFmtId="0" fontId="291" fillId="6" borderId="199" xfId="0" applyFont="1" applyFill="1" applyBorder="1" applyAlignment="1" applyProtection="1">
      <alignment horizontal="left" indent="2"/>
      <protection locked="0"/>
    </xf>
    <xf numFmtId="0" fontId="291" fillId="6" borderId="0" xfId="0" applyFont="1" applyFill="1" applyBorder="1" applyAlignment="1" applyProtection="1">
      <alignment horizontal="left" indent="2"/>
      <protection locked="0"/>
    </xf>
    <xf numFmtId="0" fontId="292" fillId="6" borderId="199" xfId="0" applyFont="1" applyFill="1" applyBorder="1" applyAlignment="1" applyProtection="1">
      <alignment horizontal="left" vertical="center" indent="2"/>
      <protection locked="0"/>
    </xf>
    <xf numFmtId="0" fontId="292" fillId="6" borderId="0" xfId="0" applyFont="1" applyFill="1" applyBorder="1" applyAlignment="1" applyProtection="1">
      <alignment horizontal="left" vertical="center" indent="2"/>
      <protection locked="0"/>
    </xf>
    <xf numFmtId="0" fontId="288" fillId="6" borderId="0" xfId="0" applyNumberFormat="1" applyFont="1" applyFill="1" applyBorder="1" applyAlignment="1" applyProtection="1">
      <alignment horizontal="center" vertical="center"/>
      <protection locked="0"/>
    </xf>
    <xf numFmtId="0" fontId="288" fillId="6" borderId="323" xfId="0" applyNumberFormat="1" applyFont="1" applyFill="1" applyBorder="1" applyAlignment="1" applyProtection="1">
      <alignment horizontal="center" vertical="center"/>
      <protection locked="0"/>
    </xf>
    <xf numFmtId="166" fontId="288" fillId="6" borderId="0" xfId="0" applyNumberFormat="1" applyFont="1" applyFill="1" applyAlignment="1" applyProtection="1">
      <alignment horizontal="center"/>
      <protection hidden="1"/>
    </xf>
    <xf numFmtId="166" fontId="288" fillId="6" borderId="323" xfId="0" applyNumberFormat="1" applyFont="1" applyFill="1" applyBorder="1" applyAlignment="1" applyProtection="1">
      <alignment horizontal="center"/>
      <protection hidden="1"/>
    </xf>
    <xf numFmtId="0" fontId="288" fillId="6" borderId="341" xfId="0" applyFont="1" applyFill="1" applyBorder="1" applyAlignment="1" applyProtection="1">
      <alignment horizontal="center" vertical="center"/>
      <protection locked="0"/>
    </xf>
    <xf numFmtId="0" fontId="288" fillId="6" borderId="123" xfId="0" applyFont="1" applyFill="1" applyBorder="1" applyAlignment="1" applyProtection="1">
      <alignment horizontal="center" vertical="center"/>
      <protection locked="0"/>
    </xf>
    <xf numFmtId="0" fontId="288" fillId="6" borderId="124" xfId="0" applyFont="1" applyFill="1" applyBorder="1" applyAlignment="1" applyProtection="1">
      <alignment horizontal="center" vertical="center"/>
      <protection locked="0"/>
    </xf>
    <xf numFmtId="0" fontId="288" fillId="6" borderId="342" xfId="0" applyFont="1" applyFill="1" applyBorder="1" applyAlignment="1" applyProtection="1">
      <alignment horizontal="center" vertical="center"/>
      <protection locked="0"/>
    </xf>
    <xf numFmtId="0" fontId="288" fillId="6" borderId="108" xfId="0" applyFont="1" applyFill="1" applyBorder="1" applyAlignment="1" applyProtection="1">
      <alignment horizontal="center" vertical="center"/>
      <protection locked="0"/>
    </xf>
    <xf numFmtId="0" fontId="288" fillId="6" borderId="132" xfId="0" applyFont="1" applyFill="1" applyBorder="1" applyAlignment="1" applyProtection="1">
      <alignment horizontal="center" vertical="center"/>
      <protection locked="0"/>
    </xf>
    <xf numFmtId="0" fontId="288" fillId="6" borderId="329" xfId="0" applyFont="1" applyFill="1" applyBorder="1" applyAlignment="1" applyProtection="1">
      <alignment horizontal="center" vertical="center"/>
      <protection locked="0"/>
    </xf>
    <xf numFmtId="0" fontId="288" fillId="6" borderId="121" xfId="0" applyFont="1" applyFill="1" applyBorder="1" applyAlignment="1" applyProtection="1">
      <alignment horizontal="center" vertical="center"/>
      <protection locked="0"/>
    </xf>
    <xf numFmtId="1" fontId="288" fillId="6" borderId="121" xfId="0" applyNumberFormat="1" applyFont="1" applyFill="1" applyBorder="1" applyAlignment="1" applyProtection="1">
      <alignment horizontal="center" vertical="center"/>
      <protection locked="0"/>
    </xf>
    <xf numFmtId="0" fontId="288" fillId="6" borderId="121" xfId="0" applyNumberFormat="1" applyFont="1" applyFill="1" applyBorder="1" applyAlignment="1" applyProtection="1">
      <alignment horizontal="center" vertical="center"/>
      <protection locked="0"/>
    </xf>
    <xf numFmtId="0" fontId="288" fillId="6" borderId="126" xfId="0" applyNumberFormat="1" applyFont="1" applyFill="1" applyBorder="1" applyAlignment="1" applyProtection="1">
      <alignment horizontal="center" vertical="center"/>
      <protection locked="0"/>
    </xf>
    <xf numFmtId="0" fontId="288" fillId="6" borderId="108" xfId="0" applyNumberFormat="1" applyFont="1" applyFill="1" applyBorder="1" applyAlignment="1" applyProtection="1">
      <alignment horizontal="center" vertical="center"/>
      <protection locked="0"/>
    </xf>
    <xf numFmtId="0" fontId="288" fillId="6" borderId="132" xfId="0" applyNumberFormat="1" applyFont="1" applyFill="1" applyBorder="1" applyAlignment="1" applyProtection="1">
      <alignment horizontal="center" vertical="center"/>
      <protection locked="0"/>
    </xf>
    <xf numFmtId="0" fontId="288" fillId="6" borderId="128" xfId="0" applyNumberFormat="1" applyFont="1" applyFill="1" applyBorder="1" applyAlignment="1" applyProtection="1">
      <alignment horizontal="center" vertical="center"/>
      <protection locked="0"/>
    </xf>
    <xf numFmtId="0" fontId="288" fillId="6" borderId="133" xfId="0" applyNumberFormat="1" applyFont="1" applyFill="1" applyBorder="1" applyAlignment="1" applyProtection="1">
      <alignment horizontal="center" vertical="center"/>
      <protection locked="0"/>
    </xf>
    <xf numFmtId="0" fontId="288" fillId="6" borderId="130" xfId="0" applyNumberFormat="1" applyFont="1" applyFill="1" applyBorder="1" applyAlignment="1" applyProtection="1">
      <alignment horizontal="center" vertical="center"/>
      <protection locked="0"/>
    </xf>
    <xf numFmtId="0" fontId="288" fillId="6" borderId="109" xfId="0" applyNumberFormat="1" applyFont="1" applyFill="1" applyBorder="1" applyAlignment="1" applyProtection="1">
      <alignment horizontal="center" vertical="center"/>
      <protection locked="0"/>
    </xf>
    <xf numFmtId="0" fontId="288" fillId="6" borderId="131" xfId="0" applyNumberFormat="1" applyFont="1" applyFill="1" applyBorder="1" applyAlignment="1" applyProtection="1">
      <alignment horizontal="center" vertical="center"/>
      <protection locked="0"/>
    </xf>
    <xf numFmtId="180" fontId="288" fillId="6" borderId="121" xfId="0" applyNumberFormat="1" applyFont="1" applyFill="1" applyBorder="1" applyAlignment="1" applyProtection="1">
      <alignment horizontal="center" vertical="center"/>
      <protection locked="0"/>
    </xf>
    <xf numFmtId="14" fontId="288" fillId="6" borderId="121" xfId="0" applyNumberFormat="1" applyFont="1" applyFill="1" applyBorder="1" applyAlignment="1" applyProtection="1">
      <alignment horizontal="center" vertical="center"/>
      <protection locked="0"/>
    </xf>
    <xf numFmtId="14" fontId="288" fillId="6" borderId="330" xfId="0" applyNumberFormat="1" applyFont="1" applyFill="1" applyBorder="1" applyAlignment="1" applyProtection="1">
      <alignment horizontal="center" vertical="center"/>
      <protection locked="0"/>
    </xf>
    <xf numFmtId="0" fontId="227" fillId="7" borderId="337" xfId="0" applyFont="1" applyFill="1" applyBorder="1" applyAlignment="1" applyProtection="1">
      <alignment horizontal="center" vertical="center"/>
      <protection locked="0"/>
    </xf>
    <xf numFmtId="0" fontId="227" fillId="7" borderId="335" xfId="0" applyFont="1" applyFill="1" applyBorder="1" applyAlignment="1" applyProtection="1">
      <alignment horizontal="center" vertical="center"/>
      <protection locked="0"/>
    </xf>
    <xf numFmtId="0" fontId="227" fillId="7" borderId="336" xfId="0" applyFont="1" applyFill="1" applyBorder="1" applyAlignment="1" applyProtection="1">
      <alignment horizontal="center" vertical="center"/>
      <protection locked="0"/>
    </xf>
    <xf numFmtId="0" fontId="227" fillId="7" borderId="338" xfId="0" applyFont="1" applyFill="1" applyBorder="1" applyAlignment="1" applyProtection="1">
      <alignment horizontal="center" vertical="center"/>
      <protection locked="0"/>
    </xf>
    <xf numFmtId="0" fontId="227" fillId="7" borderId="334" xfId="0" applyFont="1" applyFill="1" applyBorder="1" applyAlignment="1" applyProtection="1">
      <alignment horizontal="center" vertical="center"/>
      <protection locked="0"/>
    </xf>
    <xf numFmtId="179" fontId="288" fillId="6" borderId="121" xfId="0" applyNumberFormat="1" applyFont="1" applyFill="1" applyBorder="1" applyAlignment="1" applyProtection="1">
      <alignment horizontal="center" vertical="center"/>
      <protection locked="0"/>
    </xf>
    <xf numFmtId="185" fontId="288" fillId="6" borderId="121" xfId="0" applyNumberFormat="1" applyFont="1" applyFill="1" applyBorder="1" applyAlignment="1" applyProtection="1">
      <alignment horizontal="center" vertical="center"/>
      <protection locked="0"/>
    </xf>
    <xf numFmtId="0" fontId="288" fillId="6" borderId="329" xfId="0" applyFont="1" applyFill="1" applyBorder="1" applyAlignment="1" applyProtection="1">
      <alignment horizontal="right" vertical="center"/>
      <protection locked="0"/>
    </xf>
    <xf numFmtId="0" fontId="288" fillId="6" borderId="121" xfId="0" applyFont="1" applyFill="1" applyBorder="1" applyAlignment="1" applyProtection="1">
      <alignment horizontal="right" vertical="center"/>
      <protection locked="0"/>
    </xf>
    <xf numFmtId="0" fontId="288" fillId="6" borderId="330" xfId="0" applyFont="1" applyFill="1" applyBorder="1" applyAlignment="1" applyProtection="1">
      <alignment horizontal="center" vertical="center"/>
      <protection locked="0"/>
    </xf>
    <xf numFmtId="0" fontId="288" fillId="6" borderId="340" xfId="0" applyFont="1" applyFill="1" applyBorder="1" applyAlignment="1" applyProtection="1">
      <alignment horizontal="center" vertical="center"/>
      <protection locked="0"/>
    </xf>
    <xf numFmtId="0" fontId="288" fillId="6" borderId="109" xfId="0" applyFont="1" applyFill="1" applyBorder="1" applyAlignment="1" applyProtection="1">
      <alignment horizontal="center" vertical="center"/>
      <protection locked="0"/>
    </xf>
    <xf numFmtId="0" fontId="288" fillId="6" borderId="131" xfId="0" applyFont="1" applyFill="1" applyBorder="1" applyAlignment="1" applyProtection="1">
      <alignment horizontal="center" vertical="center"/>
      <protection locked="0"/>
    </xf>
    <xf numFmtId="178" fontId="288" fillId="6" borderId="121" xfId="0" applyNumberFormat="1" applyFont="1" applyFill="1" applyBorder="1" applyAlignment="1" applyProtection="1">
      <alignment horizontal="center" vertical="center"/>
      <protection locked="0"/>
    </xf>
    <xf numFmtId="1" fontId="288" fillId="6" borderId="332" xfId="0" applyNumberFormat="1" applyFont="1" applyFill="1" applyBorder="1" applyAlignment="1" applyProtection="1">
      <alignment horizontal="center" vertical="center"/>
      <protection locked="0"/>
    </xf>
    <xf numFmtId="0" fontId="287" fillId="7" borderId="326" xfId="0" applyFont="1" applyFill="1" applyBorder="1" applyAlignment="1" applyProtection="1">
      <alignment horizontal="center" vertical="center"/>
      <protection locked="0"/>
    </xf>
    <xf numFmtId="0" fontId="287" fillId="7" borderId="327" xfId="0" applyFont="1" applyFill="1" applyBorder="1" applyAlignment="1" applyProtection="1">
      <alignment horizontal="center" vertical="center"/>
      <protection locked="0"/>
    </xf>
    <xf numFmtId="0" fontId="287" fillId="7" borderId="328" xfId="0" applyFont="1" applyFill="1" applyBorder="1" applyAlignment="1" applyProtection="1">
      <alignment horizontal="center" vertical="center"/>
      <protection locked="0"/>
    </xf>
    <xf numFmtId="166" fontId="304" fillId="6" borderId="121" xfId="0" applyNumberFormat="1" applyFont="1" applyFill="1" applyBorder="1" applyAlignment="1" applyProtection="1">
      <alignment horizontal="center" vertical="center"/>
      <protection locked="0"/>
    </xf>
    <xf numFmtId="166" fontId="304" fillId="6" borderId="122" xfId="0" applyNumberFormat="1" applyFont="1" applyFill="1" applyBorder="1" applyAlignment="1" applyProtection="1">
      <alignment horizontal="center" vertical="center"/>
      <protection locked="0"/>
    </xf>
    <xf numFmtId="174" fontId="288" fillId="6" borderId="121" xfId="0" applyNumberFormat="1" applyFont="1" applyFill="1" applyBorder="1" applyAlignment="1" applyProtection="1">
      <alignment horizontal="center" vertical="center"/>
      <protection locked="0"/>
    </xf>
    <xf numFmtId="174" fontId="288" fillId="6" borderId="330" xfId="0" applyNumberFormat="1" applyFont="1" applyFill="1" applyBorder="1" applyAlignment="1" applyProtection="1">
      <alignment horizontal="center" vertical="center"/>
      <protection locked="0"/>
    </xf>
    <xf numFmtId="166" fontId="288" fillId="6" borderId="121" xfId="0" applyNumberFormat="1" applyFont="1" applyFill="1" applyBorder="1" applyAlignment="1" applyProtection="1">
      <alignment horizontal="center" vertical="center"/>
      <protection locked="0"/>
    </xf>
    <xf numFmtId="166" fontId="288" fillId="6" borderId="330" xfId="0" applyNumberFormat="1" applyFont="1" applyFill="1" applyBorder="1" applyAlignment="1" applyProtection="1">
      <alignment horizontal="center" vertical="center"/>
      <protection locked="0"/>
    </xf>
    <xf numFmtId="0" fontId="288" fillId="6" borderId="331" xfId="0" applyFont="1" applyFill="1" applyBorder="1" applyAlignment="1" applyProtection="1">
      <alignment horizontal="right" vertical="center"/>
      <protection locked="0"/>
    </xf>
    <xf numFmtId="0" fontId="288" fillId="6" borderId="332" xfId="0" applyFont="1" applyFill="1" applyBorder="1" applyAlignment="1" applyProtection="1">
      <alignment horizontal="right" vertical="center"/>
      <protection locked="0"/>
    </xf>
    <xf numFmtId="1" fontId="288" fillId="6" borderId="333" xfId="0" applyNumberFormat="1" applyFont="1" applyFill="1" applyBorder="1" applyAlignment="1" applyProtection="1">
      <alignment horizontal="center" vertical="center"/>
      <protection locked="0"/>
    </xf>
    <xf numFmtId="171" fontId="284" fillId="6" borderId="0" xfId="0" applyNumberFormat="1" applyFont="1" applyFill="1" applyBorder="1" applyAlignment="1" applyProtection="1">
      <alignment horizontal="center" vertical="center"/>
      <protection locked="0"/>
    </xf>
    <xf numFmtId="171" fontId="284" fillId="6" borderId="108" xfId="0" applyNumberFormat="1" applyFont="1" applyFill="1" applyBorder="1" applyAlignment="1" applyProtection="1">
      <alignment horizontal="center" vertical="center"/>
      <protection locked="0"/>
    </xf>
    <xf numFmtId="0" fontId="303" fillId="6" borderId="0" xfId="0" applyFont="1" applyFill="1" applyBorder="1" applyAlignment="1" applyProtection="1">
      <alignment horizontal="center" vertical="center"/>
      <protection locked="0"/>
    </xf>
    <xf numFmtId="0" fontId="303" fillId="6" borderId="312" xfId="0" applyFont="1" applyFill="1" applyBorder="1" applyAlignment="1" applyProtection="1">
      <alignment horizontal="center" vertical="center"/>
      <protection locked="0"/>
    </xf>
    <xf numFmtId="0" fontId="298" fillId="6" borderId="0" xfId="0" applyFont="1" applyFill="1" applyBorder="1" applyAlignment="1" applyProtection="1">
      <alignment horizontal="center"/>
      <protection locked="0"/>
    </xf>
    <xf numFmtId="0" fontId="298" fillId="6" borderId="312" xfId="0" applyFont="1" applyFill="1" applyBorder="1" applyAlignment="1" applyProtection="1">
      <alignment horizontal="center"/>
      <protection locked="0"/>
    </xf>
    <xf numFmtId="168" fontId="288" fillId="6" borderId="320" xfId="0" applyNumberFormat="1" applyFont="1" applyFill="1" applyBorder="1" applyAlignment="1" applyProtection="1">
      <alignment horizontal="center" vertical="center"/>
      <protection locked="0"/>
    </xf>
    <xf numFmtId="0" fontId="299" fillId="6" borderId="320" xfId="0" applyFont="1" applyFill="1" applyBorder="1" applyAlignment="1" applyProtection="1">
      <alignment horizontal="center" vertical="center"/>
      <protection hidden="1"/>
    </xf>
    <xf numFmtId="0" fontId="299" fillId="6" borderId="0" xfId="0" applyFont="1" applyFill="1" applyBorder="1" applyAlignment="1" applyProtection="1">
      <alignment horizontal="center" vertical="center"/>
      <protection hidden="1"/>
    </xf>
    <xf numFmtId="0" fontId="288" fillId="6" borderId="320" xfId="0" applyFont="1" applyFill="1" applyBorder="1" applyAlignment="1" applyProtection="1">
      <alignment horizontal="center" vertical="center"/>
      <protection locked="0"/>
    </xf>
    <xf numFmtId="0" fontId="122" fillId="7" borderId="0" xfId="0" applyFont="1" applyFill="1" applyAlignment="1">
      <alignment horizontal="right" vertical="center"/>
    </xf>
    <xf numFmtId="0" fontId="122" fillId="7" borderId="115" xfId="0" applyFont="1" applyFill="1" applyBorder="1" applyAlignment="1">
      <alignment horizontal="right" vertical="center"/>
    </xf>
    <xf numFmtId="0" fontId="288" fillId="6" borderId="331" xfId="0" applyFont="1" applyFill="1" applyBorder="1" applyAlignment="1" applyProtection="1">
      <alignment horizontal="center" vertical="center"/>
      <protection locked="0"/>
    </xf>
    <xf numFmtId="0" fontId="288" fillId="6" borderId="332" xfId="0" applyFont="1" applyFill="1" applyBorder="1" applyAlignment="1" applyProtection="1">
      <alignment horizontal="center" vertical="center"/>
      <protection locked="0"/>
    </xf>
    <xf numFmtId="166" fontId="288" fillId="6" borderId="349" xfId="0" applyNumberFormat="1" applyFont="1" applyFill="1" applyBorder="1" applyAlignment="1" applyProtection="1">
      <alignment horizontal="center" vertical="center"/>
      <protection locked="0"/>
    </xf>
    <xf numFmtId="166" fontId="288" fillId="6" borderId="350" xfId="0" applyNumberFormat="1" applyFont="1" applyFill="1" applyBorder="1" applyAlignment="1" applyProtection="1">
      <alignment horizontal="center" vertical="center"/>
      <protection locked="0"/>
    </xf>
    <xf numFmtId="166" fontId="288" fillId="6" borderId="351" xfId="0" applyNumberFormat="1" applyFont="1" applyFill="1" applyBorder="1" applyAlignment="1" applyProtection="1">
      <alignment horizontal="center" vertical="center"/>
      <protection locked="0"/>
    </xf>
    <xf numFmtId="166" fontId="288" fillId="6" borderId="353" xfId="0" applyNumberFormat="1" applyFont="1" applyFill="1" applyBorder="1" applyAlignment="1" applyProtection="1">
      <alignment horizontal="center" vertical="center"/>
      <protection locked="0"/>
    </xf>
    <xf numFmtId="166" fontId="288" fillId="6" borderId="332" xfId="0" applyNumberFormat="1" applyFont="1" applyFill="1" applyBorder="1" applyAlignment="1" applyProtection="1">
      <alignment horizontal="center" vertical="center"/>
      <protection locked="0"/>
    </xf>
    <xf numFmtId="166" fontId="288" fillId="6" borderId="333" xfId="0" applyNumberFormat="1" applyFont="1" applyFill="1" applyBorder="1" applyAlignment="1" applyProtection="1">
      <alignment horizontal="center" vertical="center"/>
      <protection locked="0"/>
    </xf>
    <xf numFmtId="0" fontId="288" fillId="6" borderId="344" xfId="0" applyNumberFormat="1" applyFont="1" applyFill="1" applyBorder="1" applyAlignment="1" applyProtection="1">
      <alignment horizontal="center" vertical="center"/>
      <protection locked="0"/>
    </xf>
    <xf numFmtId="0" fontId="288" fillId="6" borderId="345" xfId="0" applyNumberFormat="1" applyFont="1" applyFill="1" applyBorder="1" applyAlignment="1" applyProtection="1">
      <alignment horizontal="center" vertical="center"/>
      <protection locked="0"/>
    </xf>
    <xf numFmtId="0" fontId="288" fillId="6" borderId="346" xfId="0" applyNumberFormat="1" applyFont="1" applyFill="1" applyBorder="1" applyAlignment="1" applyProtection="1">
      <alignment horizontal="center" vertical="center"/>
      <protection locked="0"/>
    </xf>
    <xf numFmtId="0" fontId="287" fillId="6" borderId="125" xfId="0" applyFont="1" applyFill="1" applyBorder="1" applyAlignment="1" applyProtection="1">
      <alignment horizontal="center" vertical="center"/>
      <protection locked="0"/>
    </xf>
    <xf numFmtId="0" fontId="287" fillId="6" borderId="164" xfId="0" applyFont="1" applyFill="1" applyBorder="1" applyAlignment="1" applyProtection="1">
      <alignment horizontal="center" vertical="center"/>
      <protection locked="0"/>
    </xf>
    <xf numFmtId="0" fontId="287" fillId="6" borderId="347" xfId="0" applyFont="1" applyFill="1" applyBorder="1" applyAlignment="1" applyProtection="1">
      <alignment horizontal="center" vertical="center"/>
      <protection locked="0"/>
    </xf>
    <xf numFmtId="0" fontId="287" fillId="6" borderId="126" xfId="0" applyFont="1" applyFill="1" applyBorder="1" applyAlignment="1" applyProtection="1">
      <alignment horizontal="center" vertical="center"/>
      <protection locked="0"/>
    </xf>
    <xf numFmtId="0" fontId="287" fillId="6" borderId="343" xfId="0" applyFont="1" applyFill="1" applyBorder="1" applyAlignment="1" applyProtection="1">
      <alignment horizontal="center" vertical="center"/>
      <protection locked="0"/>
    </xf>
    <xf numFmtId="0" fontId="287" fillId="6" borderId="348" xfId="0" applyFont="1" applyFill="1" applyBorder="1" applyAlignment="1" applyProtection="1">
      <alignment horizontal="center" vertical="center"/>
      <protection locked="0"/>
    </xf>
    <xf numFmtId="0" fontId="288" fillId="6" borderId="352" xfId="0" applyFont="1" applyFill="1" applyBorder="1" applyAlignment="1" applyProtection="1">
      <alignment horizontal="center" vertical="center"/>
      <protection locked="0"/>
    </xf>
    <xf numFmtId="0" fontId="288" fillId="6" borderId="350" xfId="0" applyFont="1" applyFill="1" applyBorder="1" applyAlignment="1" applyProtection="1">
      <alignment horizontal="center" vertical="center"/>
      <protection locked="0"/>
    </xf>
    <xf numFmtId="0" fontId="288" fillId="6" borderId="351" xfId="0" applyFont="1" applyFill="1" applyBorder="1" applyAlignment="1" applyProtection="1">
      <alignment horizontal="center" vertical="center"/>
      <protection locked="0"/>
    </xf>
    <xf numFmtId="0" fontId="460" fillId="59" borderId="0" xfId="1299" applyFont="1" applyFill="1" applyBorder="1" applyAlignment="1">
      <alignment horizontal="center" vertical="center"/>
    </xf>
    <xf numFmtId="0" fontId="457" fillId="7" borderId="480" xfId="1299" applyFont="1" applyFill="1" applyBorder="1" applyAlignment="1">
      <alignment horizontal="center" vertical="center"/>
    </xf>
    <xf numFmtId="0" fontId="458" fillId="7" borderId="481" xfId="1299" applyFont="1" applyFill="1" applyBorder="1"/>
    <xf numFmtId="0" fontId="458" fillId="7" borderId="482" xfId="1299" applyFont="1" applyFill="1" applyBorder="1"/>
    <xf numFmtId="0" fontId="458" fillId="7" borderId="761" xfId="1299" applyFont="1" applyFill="1" applyBorder="1"/>
    <xf numFmtId="0" fontId="458" fillId="7" borderId="0" xfId="1299" applyFont="1" applyFill="1" applyAlignment="1"/>
    <xf numFmtId="0" fontId="458" fillId="7" borderId="762" xfId="1299" applyFont="1" applyFill="1" applyBorder="1"/>
    <xf numFmtId="0" fontId="458" fillId="7" borderId="505" xfId="1299" applyFont="1" applyFill="1" applyBorder="1"/>
    <xf numFmtId="0" fontId="458" fillId="7" borderId="506" xfId="1299" applyFont="1" applyFill="1" applyBorder="1"/>
    <xf numFmtId="0" fontId="458" fillId="7" borderId="507" xfId="1299" applyFont="1" applyFill="1" applyBorder="1"/>
    <xf numFmtId="0" fontId="391" fillId="0" borderId="480" xfId="1299" applyFont="1" applyBorder="1" applyAlignment="1">
      <alignment horizontal="center" vertical="center"/>
    </xf>
    <xf numFmtId="0" fontId="391" fillId="0" borderId="481" xfId="1299" applyFont="1" applyBorder="1"/>
    <xf numFmtId="0" fontId="391" fillId="0" borderId="761" xfId="1299" applyFont="1" applyBorder="1"/>
    <xf numFmtId="0" fontId="391" fillId="0" borderId="505" xfId="1299" applyFont="1" applyBorder="1"/>
    <xf numFmtId="0" fontId="391" fillId="0" borderId="482" xfId="1299" applyFont="1" applyBorder="1"/>
    <xf numFmtId="0" fontId="391" fillId="0" borderId="762" xfId="1299" applyFont="1" applyBorder="1"/>
    <xf numFmtId="0" fontId="415" fillId="0" borderId="493" xfId="1299" applyFont="1" applyBorder="1" applyAlignment="1">
      <alignment horizontal="left" vertical="center"/>
    </xf>
    <xf numFmtId="0" fontId="469" fillId="41" borderId="443" xfId="1299" applyNumberFormat="1" applyFont="1" applyFill="1" applyBorder="1" applyAlignment="1">
      <alignment horizontal="right" vertical="center"/>
    </xf>
    <xf numFmtId="0" fontId="438" fillId="0" borderId="443" xfId="1299" applyNumberFormat="1" applyFont="1" applyBorder="1" applyAlignment="1">
      <alignment horizontal="right"/>
    </xf>
    <xf numFmtId="0" fontId="433" fillId="0" borderId="0" xfId="1299" applyFont="1" applyAlignment="1">
      <alignment horizontal="right"/>
    </xf>
    <xf numFmtId="0" fontId="436" fillId="0" borderId="0" xfId="1299" applyFont="1" applyAlignment="1">
      <alignment horizontal="left"/>
    </xf>
    <xf numFmtId="0" fontId="438" fillId="0" borderId="0" xfId="1299" applyFont="1" applyAlignment="1">
      <alignment horizontal="left" vertical="center"/>
    </xf>
    <xf numFmtId="0" fontId="438" fillId="57" borderId="742" xfId="1299" applyFont="1" applyFill="1" applyBorder="1" applyAlignment="1">
      <alignment horizontal="right" vertical="center"/>
    </xf>
    <xf numFmtId="0" fontId="391" fillId="0" borderId="743" xfId="1299" applyFont="1" applyBorder="1"/>
    <xf numFmtId="0" fontId="391" fillId="0" borderId="744" xfId="1299" applyFont="1" applyBorder="1"/>
    <xf numFmtId="0" fontId="438" fillId="57" borderId="747" xfId="1299" applyFont="1" applyFill="1" applyBorder="1" applyAlignment="1">
      <alignment horizontal="right" vertical="center"/>
    </xf>
    <xf numFmtId="0" fontId="391" fillId="0" borderId="748" xfId="1299" applyFont="1" applyBorder="1"/>
    <xf numFmtId="0" fontId="391" fillId="0" borderId="749" xfId="1299" applyFont="1" applyBorder="1"/>
    <xf numFmtId="0" fontId="438" fillId="58" borderId="742" xfId="1299" applyFont="1" applyFill="1" applyBorder="1" applyAlignment="1">
      <alignment horizontal="right" vertical="center"/>
    </xf>
    <xf numFmtId="0" fontId="438" fillId="58" borderId="752" xfId="1299" applyFont="1" applyFill="1" applyBorder="1" applyAlignment="1">
      <alignment horizontal="right" vertical="center"/>
    </xf>
    <xf numFmtId="0" fontId="438" fillId="58" borderId="754" xfId="1299" applyFont="1" applyFill="1" applyBorder="1" applyAlignment="1">
      <alignment horizontal="right" vertical="center"/>
    </xf>
    <xf numFmtId="0" fontId="438" fillId="58" borderId="735" xfId="1299" applyFont="1" applyFill="1" applyBorder="1" applyAlignment="1">
      <alignment horizontal="right" vertical="center"/>
    </xf>
    <xf numFmtId="0" fontId="391" fillId="0" borderId="736" xfId="1299" applyFont="1" applyBorder="1"/>
    <xf numFmtId="0" fontId="391" fillId="0" borderId="757" xfId="1299" applyFont="1" applyBorder="1"/>
    <xf numFmtId="0" fontId="438" fillId="0" borderId="444" xfId="1299" applyFont="1" applyBorder="1" applyAlignment="1">
      <alignment horizontal="right" vertical="center"/>
    </xf>
    <xf numFmtId="0" fontId="391" fillId="0" borderId="0" xfId="1299" applyFont="1" applyAlignment="1">
      <alignment horizontal="left" vertical="center"/>
    </xf>
    <xf numFmtId="0" fontId="438" fillId="57" borderId="730" xfId="1299" applyFont="1" applyFill="1" applyBorder="1" applyAlignment="1">
      <alignment horizontal="right" vertical="center"/>
    </xf>
    <xf numFmtId="0" fontId="391" fillId="0" borderId="731" xfId="1299" applyFont="1" applyBorder="1"/>
    <xf numFmtId="0" fontId="391" fillId="0" borderId="737" xfId="1299" applyFont="1" applyBorder="1"/>
    <xf numFmtId="0" fontId="391" fillId="0" borderId="439" xfId="1299" applyFont="1" applyBorder="1" applyAlignment="1">
      <alignment horizontal="left" vertical="center"/>
    </xf>
    <xf numFmtId="0" fontId="391" fillId="0" borderId="464" xfId="1299" applyFont="1" applyBorder="1" applyAlignment="1">
      <alignment horizontal="left" vertical="center"/>
    </xf>
    <xf numFmtId="0" fontId="391" fillId="0" borderId="465" xfId="1299" applyFont="1" applyBorder="1"/>
    <xf numFmtId="0" fontId="391" fillId="0" borderId="495" xfId="1299" applyFont="1" applyBorder="1" applyAlignment="1">
      <alignment horizontal="left" vertical="center"/>
    </xf>
    <xf numFmtId="0" fontId="391" fillId="0" borderId="493" xfId="1299" applyFont="1" applyBorder="1"/>
    <xf numFmtId="0" fontId="391" fillId="0" borderId="494" xfId="1299" applyFont="1" applyBorder="1"/>
    <xf numFmtId="0" fontId="391" fillId="0" borderId="763" xfId="1299" applyFont="1" applyBorder="1" applyAlignment="1">
      <alignment horizontal="left" vertical="center"/>
    </xf>
    <xf numFmtId="0" fontId="391" fillId="0" borderId="764" xfId="1299" applyFont="1" applyBorder="1"/>
    <xf numFmtId="0" fontId="391" fillId="0" borderId="765" xfId="1299" applyFont="1" applyBorder="1"/>
    <xf numFmtId="0" fontId="438" fillId="0" borderId="443" xfId="1299" applyFont="1" applyBorder="1" applyAlignment="1">
      <alignment horizontal="right"/>
    </xf>
    <xf numFmtId="0" fontId="438" fillId="0" borderId="457" xfId="1299" applyFont="1" applyBorder="1" applyAlignment="1">
      <alignment horizontal="right"/>
    </xf>
    <xf numFmtId="0" fontId="438" fillId="57" borderId="752" xfId="1299" applyFont="1" applyFill="1" applyBorder="1" applyAlignment="1">
      <alignment horizontal="right" vertical="center"/>
    </xf>
    <xf numFmtId="0" fontId="438" fillId="57" borderId="754" xfId="1299" applyFont="1" applyFill="1" applyBorder="1" applyAlignment="1">
      <alignment horizontal="right" vertical="center"/>
    </xf>
    <xf numFmtId="0" fontId="438" fillId="57" borderId="735" xfId="1299" applyFont="1" applyFill="1" applyBorder="1" applyAlignment="1">
      <alignment horizontal="right" vertical="center"/>
    </xf>
    <xf numFmtId="0" fontId="391" fillId="50" borderId="0" xfId="1299" applyFont="1" applyFill="1" applyBorder="1" applyAlignment="1">
      <alignment horizontal="left" vertical="center"/>
    </xf>
    <xf numFmtId="0" fontId="391" fillId="0" borderId="0" xfId="1299" applyFont="1" applyBorder="1" applyAlignment="1">
      <alignment vertical="center"/>
    </xf>
    <xf numFmtId="10" fontId="391" fillId="50" borderId="0" xfId="1299" applyNumberFormat="1" applyFont="1" applyFill="1" applyBorder="1" applyAlignment="1">
      <alignment horizontal="center" vertical="center"/>
    </xf>
    <xf numFmtId="0" fontId="395" fillId="38" borderId="439" xfId="1299" applyFont="1" applyFill="1" applyBorder="1" applyAlignment="1">
      <alignment horizontal="center" vertical="center"/>
    </xf>
    <xf numFmtId="0" fontId="442" fillId="50" borderId="0" xfId="1299" applyFont="1" applyFill="1" applyBorder="1" applyAlignment="1">
      <alignment horizontal="left" vertical="center"/>
    </xf>
    <xf numFmtId="166" fontId="442" fillId="50" borderId="0" xfId="1299" applyNumberFormat="1" applyFont="1" applyFill="1" applyBorder="1" applyAlignment="1">
      <alignment horizontal="center" vertical="center"/>
    </xf>
    <xf numFmtId="10" fontId="439" fillId="41" borderId="732" xfId="1299" applyNumberFormat="1" applyFont="1" applyFill="1" applyBorder="1" applyAlignment="1">
      <alignment horizontal="center" vertical="center"/>
    </xf>
    <xf numFmtId="0" fontId="441" fillId="0" borderId="733" xfId="1299" applyFont="1" applyBorder="1"/>
    <xf numFmtId="0" fontId="441" fillId="0" borderId="734" xfId="1299" applyFont="1" applyBorder="1"/>
    <xf numFmtId="0" fontId="441" fillId="0" borderId="456" xfId="1299" applyFont="1" applyBorder="1"/>
    <xf numFmtId="0" fontId="440" fillId="0" borderId="0" xfId="1299" applyFont="1" applyAlignment="1"/>
    <xf numFmtId="0" fontId="441" fillId="0" borderId="466" xfId="1299" applyFont="1" applyBorder="1"/>
    <xf numFmtId="0" fontId="441" fillId="0" borderId="444" xfId="1299" applyFont="1" applyBorder="1"/>
    <xf numFmtId="0" fontId="441" fillId="0" borderId="443" xfId="1299" applyFont="1" applyBorder="1"/>
    <xf numFmtId="0" fontId="441" fillId="0" borderId="457" xfId="1299" applyFont="1" applyBorder="1"/>
    <xf numFmtId="166" fontId="438" fillId="50" borderId="0" xfId="1299" applyNumberFormat="1" applyFont="1" applyFill="1" applyBorder="1" applyAlignment="1">
      <alignment horizontal="center" vertical="center"/>
    </xf>
    <xf numFmtId="0" fontId="391" fillId="41" borderId="8" xfId="1299" applyFont="1" applyFill="1" applyBorder="1" applyAlignment="1">
      <alignment horizontal="left" vertical="center"/>
    </xf>
    <xf numFmtId="0" fontId="392" fillId="0" borderId="8" xfId="1299" applyFont="1" applyBorder="1" applyAlignment="1">
      <alignment vertical="center"/>
    </xf>
    <xf numFmtId="166" fontId="391" fillId="41" borderId="8" xfId="1299" applyNumberFormat="1" applyFont="1" applyFill="1" applyBorder="1" applyAlignment="1">
      <alignment horizontal="center" vertical="center"/>
    </xf>
    <xf numFmtId="0" fontId="391" fillId="41" borderId="0" xfId="1299" applyFont="1" applyFill="1" applyAlignment="1">
      <alignment horizontal="left" vertical="center"/>
    </xf>
    <xf numFmtId="0" fontId="392" fillId="0" borderId="0" xfId="1299" applyFont="1" applyAlignment="1">
      <alignment vertical="center"/>
    </xf>
    <xf numFmtId="166" fontId="391" fillId="41" borderId="0" xfId="1299" applyNumberFormat="1" applyFont="1" applyFill="1" applyAlignment="1">
      <alignment horizontal="center" vertical="center"/>
    </xf>
    <xf numFmtId="189" fontId="439" fillId="41" borderId="732" xfId="1299" applyNumberFormat="1" applyFont="1" applyFill="1" applyBorder="1" applyAlignment="1">
      <alignment horizontal="center" vertical="center"/>
    </xf>
    <xf numFmtId="0" fontId="418" fillId="41" borderId="443" xfId="1299" applyFont="1" applyFill="1" applyBorder="1" applyAlignment="1">
      <alignment horizontal="left" vertical="center"/>
    </xf>
    <xf numFmtId="0" fontId="391" fillId="0" borderId="443" xfId="1299" applyFont="1" applyBorder="1" applyAlignment="1">
      <alignment vertical="center"/>
    </xf>
    <xf numFmtId="0" fontId="418" fillId="41" borderId="0" xfId="1299" applyFont="1" applyFill="1" applyAlignment="1">
      <alignment horizontal="left" vertical="center"/>
    </xf>
    <xf numFmtId="166" fontId="447" fillId="41" borderId="0" xfId="1299" applyNumberFormat="1" applyFont="1" applyFill="1" applyAlignment="1">
      <alignment horizontal="center" vertical="center"/>
    </xf>
    <xf numFmtId="166" fontId="447" fillId="41" borderId="8" xfId="1299" applyNumberFormat="1" applyFont="1" applyFill="1" applyBorder="1" applyAlignment="1">
      <alignment horizontal="center" vertical="center"/>
    </xf>
    <xf numFmtId="0" fontId="442" fillId="50" borderId="7" xfId="1299" applyFont="1" applyFill="1" applyBorder="1" applyAlignment="1">
      <alignment horizontal="left" vertical="center"/>
    </xf>
    <xf numFmtId="166" fontId="442" fillId="50" borderId="7" xfId="1299" applyNumberFormat="1" applyFont="1" applyFill="1" applyBorder="1" applyAlignment="1">
      <alignment horizontal="center" vertical="center"/>
    </xf>
    <xf numFmtId="0" fontId="307" fillId="0" borderId="0" xfId="1299" applyFont="1" applyAlignment="1">
      <alignment horizontal="left" vertical="center"/>
    </xf>
    <xf numFmtId="166" fontId="439" fillId="41" borderId="495" xfId="1299" applyNumberFormat="1" applyFont="1" applyFill="1" applyBorder="1" applyAlignment="1">
      <alignment horizontal="center" vertical="center"/>
    </xf>
    <xf numFmtId="0" fontId="441" fillId="0" borderId="493" xfId="1299" applyFont="1" applyBorder="1"/>
    <xf numFmtId="0" fontId="441" fillId="0" borderId="494" xfId="1299" applyFont="1" applyBorder="1"/>
    <xf numFmtId="0" fontId="437" fillId="41" borderId="443" xfId="1299" applyFont="1" applyFill="1" applyBorder="1" applyAlignment="1">
      <alignment horizontal="center" vertical="center"/>
    </xf>
    <xf numFmtId="9" fontId="442" fillId="50" borderId="7" xfId="1299" applyNumberFormat="1" applyFont="1" applyFill="1" applyBorder="1" applyAlignment="1">
      <alignment horizontal="center" vertical="center"/>
    </xf>
    <xf numFmtId="0" fontId="307" fillId="0" borderId="443" xfId="1299" applyFont="1" applyBorder="1" applyAlignment="1">
      <alignment vertical="center"/>
    </xf>
    <xf numFmtId="0" fontId="296" fillId="0" borderId="443" xfId="1299" applyFont="1" applyBorder="1" applyAlignment="1">
      <alignment vertical="center"/>
    </xf>
    <xf numFmtId="166" fontId="444" fillId="41" borderId="732" xfId="1299" applyNumberFormat="1" applyFont="1" applyFill="1" applyBorder="1" applyAlignment="1">
      <alignment horizontal="center" vertical="center"/>
    </xf>
    <xf numFmtId="0" fontId="391" fillId="0" borderId="8" xfId="1299" applyFont="1" applyBorder="1" applyAlignment="1">
      <alignment vertical="center"/>
    </xf>
    <xf numFmtId="0" fontId="442" fillId="41" borderId="0" xfId="1299" applyFont="1" applyFill="1" applyBorder="1" applyAlignment="1">
      <alignment horizontal="left" vertical="center"/>
    </xf>
    <xf numFmtId="166" fontId="442" fillId="41" borderId="0" xfId="1299" applyNumberFormat="1" applyFont="1" applyFill="1" applyBorder="1" applyAlignment="1">
      <alignment horizontal="center" vertical="center"/>
    </xf>
    <xf numFmtId="9" fontId="391" fillId="41" borderId="8" xfId="1299" applyNumberFormat="1" applyFont="1" applyFill="1" applyBorder="1" applyAlignment="1">
      <alignment horizontal="center" vertical="center"/>
    </xf>
    <xf numFmtId="9" fontId="442" fillId="41" borderId="0" xfId="1299" applyNumberFormat="1" applyFont="1" applyFill="1" applyBorder="1" applyAlignment="1">
      <alignment horizontal="center" vertical="center"/>
    </xf>
    <xf numFmtId="9" fontId="442" fillId="50" borderId="0" xfId="1299" applyNumberFormat="1" applyFont="1" applyFill="1" applyBorder="1" applyAlignment="1">
      <alignment horizontal="center" vertical="center"/>
    </xf>
    <xf numFmtId="9" fontId="391" fillId="41" borderId="0" xfId="1299" applyNumberFormat="1" applyFont="1" applyFill="1" applyAlignment="1">
      <alignment horizontal="center" vertical="center"/>
    </xf>
    <xf numFmtId="0" fontId="391" fillId="41" borderId="0" xfId="1299" applyFont="1" applyFill="1" applyBorder="1" applyAlignment="1">
      <alignment horizontal="left" vertical="center"/>
    </xf>
    <xf numFmtId="0" fontId="392" fillId="0" borderId="0" xfId="1299" applyFont="1" applyBorder="1" applyAlignment="1">
      <alignment vertical="center"/>
    </xf>
    <xf numFmtId="166" fontId="391" fillId="41" borderId="0" xfId="1299" applyNumberFormat="1" applyFont="1" applyFill="1" applyBorder="1" applyAlignment="1">
      <alignment horizontal="center" vertical="center"/>
    </xf>
    <xf numFmtId="0" fontId="438" fillId="41" borderId="0" xfId="1299" applyFont="1" applyFill="1" applyBorder="1" applyAlignment="1">
      <alignment horizontal="left" vertical="center"/>
    </xf>
    <xf numFmtId="166" fontId="438" fillId="41" borderId="0" xfId="1299" applyNumberFormat="1" applyFont="1" applyFill="1" applyBorder="1" applyAlignment="1">
      <alignment horizontal="center"/>
    </xf>
    <xf numFmtId="0" fontId="437" fillId="41" borderId="0" xfId="1299" applyFont="1" applyFill="1" applyBorder="1" applyAlignment="1">
      <alignment horizontal="center" vertical="center"/>
    </xf>
    <xf numFmtId="0" fontId="392" fillId="0" borderId="0" xfId="1299" applyFont="1" applyBorder="1" applyAlignment="1"/>
    <xf numFmtId="166" fontId="439" fillId="41" borderId="456" xfId="1299" applyNumberFormat="1" applyFont="1" applyFill="1" applyBorder="1" applyAlignment="1">
      <alignment horizontal="center" vertical="center"/>
    </xf>
    <xf numFmtId="9" fontId="391" fillId="41" borderId="0" xfId="1299" applyNumberFormat="1" applyFont="1" applyFill="1" applyBorder="1" applyAlignment="1">
      <alignment horizontal="center" vertical="center"/>
    </xf>
    <xf numFmtId="0" fontId="418" fillId="57" borderId="0" xfId="1299" applyFont="1" applyFill="1" applyBorder="1" applyAlignment="1">
      <alignment horizontal="center" vertical="center"/>
    </xf>
    <xf numFmtId="0" fontId="391" fillId="0" borderId="0" xfId="1299" applyFont="1" applyBorder="1" applyAlignment="1">
      <alignment horizontal="center"/>
    </xf>
    <xf numFmtId="0" fontId="392" fillId="0" borderId="0" xfId="1299" applyFont="1" applyAlignment="1">
      <alignment horizontal="center"/>
    </xf>
    <xf numFmtId="0" fontId="391" fillId="0" borderId="729" xfId="1299" applyFont="1" applyBorder="1" applyAlignment="1">
      <alignment horizontal="center"/>
    </xf>
    <xf numFmtId="0" fontId="434" fillId="57" borderId="0" xfId="1299" applyFont="1" applyFill="1" applyBorder="1" applyAlignment="1">
      <alignment horizontal="center" vertical="center"/>
    </xf>
    <xf numFmtId="0" fontId="434" fillId="57" borderId="443" xfId="1299" applyFont="1" applyFill="1" applyBorder="1" applyAlignment="1">
      <alignment horizontal="center" vertical="center"/>
    </xf>
    <xf numFmtId="0" fontId="307" fillId="0" borderId="0" xfId="1299" applyFont="1" applyBorder="1" applyAlignment="1"/>
    <xf numFmtId="0" fontId="296" fillId="0" borderId="0" xfId="1299" applyFont="1" applyBorder="1"/>
    <xf numFmtId="169" fontId="356" fillId="0" borderId="8" xfId="22" applyNumberFormat="1" applyFont="1" applyBorder="1" applyAlignment="1" applyProtection="1">
      <alignment horizontal="center" vertical="center"/>
      <protection locked="0"/>
    </xf>
    <xf numFmtId="166" fontId="475" fillId="6" borderId="114" xfId="3" applyNumberFormat="1" applyFont="1" applyFill="1" applyBorder="1" applyAlignment="1" applyProtection="1">
      <alignment horizontal="center" vertical="center"/>
      <protection locked="0"/>
    </xf>
    <xf numFmtId="0" fontId="132" fillId="0" borderId="0" xfId="0" applyFont="1" applyBorder="1" applyAlignment="1" applyProtection="1">
      <alignment horizontal="right" vertical="center" indent="1"/>
      <protection locked="0"/>
    </xf>
    <xf numFmtId="180" fontId="210" fillId="6" borderId="0" xfId="0" applyNumberFormat="1" applyFont="1" applyFill="1" applyBorder="1" applyAlignment="1" applyProtection="1">
      <alignment horizontal="left" vertical="center"/>
      <protection locked="0"/>
    </xf>
    <xf numFmtId="167" fontId="51" fillId="0" borderId="0" xfId="0" applyNumberFormat="1" applyFont="1" applyAlignment="1" applyProtection="1">
      <alignment horizontal="left" vertical="center"/>
      <protection locked="0"/>
    </xf>
    <xf numFmtId="0" fontId="343" fillId="0" borderId="110" xfId="0" applyFont="1" applyBorder="1" applyAlignment="1" applyProtection="1">
      <alignment horizontal="center" vertical="center"/>
      <protection locked="0"/>
    </xf>
    <xf numFmtId="0" fontId="343" fillId="0" borderId="83" xfId="0" applyFont="1" applyBorder="1" applyAlignment="1" applyProtection="1">
      <alignment horizontal="center" vertical="center"/>
      <protection locked="0"/>
    </xf>
    <xf numFmtId="0" fontId="343" fillId="0" borderId="111" xfId="0" applyFont="1" applyBorder="1" applyAlignment="1" applyProtection="1">
      <alignment horizontal="center" vertical="center"/>
      <protection locked="0"/>
    </xf>
    <xf numFmtId="0" fontId="343" fillId="0" borderId="112" xfId="0" applyFont="1" applyBorder="1" applyAlignment="1" applyProtection="1">
      <alignment horizontal="center" vertical="center"/>
      <protection locked="0"/>
    </xf>
    <xf numFmtId="0" fontId="343" fillId="0" borderId="91" xfId="0" applyFont="1" applyBorder="1" applyAlignment="1" applyProtection="1">
      <alignment horizontal="center" vertical="center"/>
      <protection locked="0"/>
    </xf>
    <xf numFmtId="0" fontId="343" fillId="0" borderId="113" xfId="0" applyFont="1" applyBorder="1" applyAlignment="1" applyProtection="1">
      <alignment horizontal="center" vertical="center"/>
      <protection locked="0"/>
    </xf>
    <xf numFmtId="0" fontId="343" fillId="0" borderId="92" xfId="0" applyFont="1" applyBorder="1" applyAlignment="1" applyProtection="1">
      <alignment horizontal="center" vertical="center"/>
      <protection locked="0"/>
    </xf>
    <xf numFmtId="0" fontId="343" fillId="0" borderId="66" xfId="0" applyFont="1" applyBorder="1" applyAlignment="1" applyProtection="1">
      <alignment horizontal="center" vertical="center"/>
      <protection locked="0"/>
    </xf>
    <xf numFmtId="1" fontId="210" fillId="6" borderId="0" xfId="0" applyNumberFormat="1" applyFont="1" applyFill="1" applyBorder="1" applyAlignment="1" applyProtection="1">
      <alignment horizontal="left" vertical="center"/>
      <protection locked="0"/>
    </xf>
    <xf numFmtId="9" fontId="349" fillId="6" borderId="114" xfId="22" applyFont="1" applyFill="1" applyBorder="1" applyAlignment="1" applyProtection="1">
      <alignment horizontal="center" vertical="center"/>
      <protection locked="0"/>
    </xf>
    <xf numFmtId="0" fontId="379" fillId="6" borderId="110" xfId="0" applyFont="1" applyFill="1" applyBorder="1" applyAlignment="1" applyProtection="1">
      <alignment horizontal="center" vertical="center"/>
      <protection locked="0"/>
    </xf>
    <xf numFmtId="0" fontId="379" fillId="6" borderId="113" xfId="0" applyFont="1" applyFill="1" applyBorder="1" applyAlignment="1" applyProtection="1">
      <alignment horizontal="center" vertical="center"/>
      <protection locked="0"/>
    </xf>
    <xf numFmtId="0" fontId="379" fillId="6" borderId="134" xfId="0" applyFont="1" applyFill="1" applyBorder="1" applyAlignment="1" applyProtection="1">
      <alignment horizontal="center" vertical="center"/>
      <protection locked="0"/>
    </xf>
    <xf numFmtId="0" fontId="356" fillId="22" borderId="0" xfId="0" applyFont="1" applyFill="1" applyBorder="1" applyAlignment="1" applyProtection="1">
      <alignment horizontal="left" vertical="center" indent="1"/>
      <protection locked="0"/>
    </xf>
    <xf numFmtId="0" fontId="356" fillId="22" borderId="0" xfId="0" applyFont="1" applyFill="1" applyBorder="1" applyAlignment="1" applyProtection="1">
      <alignment horizontal="center" vertical="center"/>
      <protection locked="0"/>
    </xf>
    <xf numFmtId="0" fontId="210" fillId="6" borderId="61" xfId="0" applyFont="1" applyFill="1" applyBorder="1" applyAlignment="1" applyProtection="1">
      <alignment horizontal="right" vertical="center"/>
      <protection hidden="1"/>
    </xf>
    <xf numFmtId="0" fontId="144" fillId="6" borderId="182" xfId="0" applyFont="1" applyFill="1" applyBorder="1" applyAlignment="1" applyProtection="1">
      <alignment horizontal="center" vertical="top"/>
      <protection hidden="1"/>
    </xf>
    <xf numFmtId="0" fontId="327" fillId="6" borderId="181" xfId="0" applyFont="1" applyFill="1" applyBorder="1" applyAlignment="1" applyProtection="1">
      <alignment horizontal="right" vertical="top" indent="1"/>
      <protection hidden="1"/>
    </xf>
    <xf numFmtId="0" fontId="327" fillId="6" borderId="0" xfId="0" applyFont="1" applyFill="1" applyBorder="1" applyAlignment="1" applyProtection="1">
      <alignment horizontal="right" vertical="top" indent="1"/>
      <protection hidden="1"/>
    </xf>
    <xf numFmtId="0" fontId="263" fillId="7" borderId="305" xfId="0" applyFont="1" applyFill="1" applyBorder="1" applyAlignment="1" applyProtection="1">
      <alignment horizontal="center" vertical="center"/>
      <protection hidden="1"/>
    </xf>
    <xf numFmtId="0" fontId="263" fillId="7" borderId="306" xfId="0" applyFont="1" applyFill="1" applyBorder="1" applyAlignment="1" applyProtection="1">
      <alignment horizontal="center" vertical="center"/>
      <protection hidden="1"/>
    </xf>
    <xf numFmtId="0" fontId="263" fillId="7" borderId="307" xfId="0" applyFont="1" applyFill="1" applyBorder="1" applyAlignment="1" applyProtection="1">
      <alignment horizontal="center" vertical="center"/>
      <protection hidden="1"/>
    </xf>
    <xf numFmtId="0" fontId="50" fillId="7" borderId="305" xfId="0" applyFont="1" applyFill="1" applyBorder="1" applyAlignment="1" applyProtection="1">
      <alignment horizontal="center" vertical="center"/>
      <protection hidden="1"/>
    </xf>
    <xf numFmtId="0" fontId="50" fillId="7" borderId="306" xfId="0" applyFont="1" applyFill="1" applyBorder="1" applyAlignment="1" applyProtection="1">
      <alignment horizontal="center" vertical="center"/>
      <protection hidden="1"/>
    </xf>
    <xf numFmtId="0" fontId="50" fillId="7" borderId="307" xfId="0" applyFont="1" applyFill="1" applyBorder="1" applyAlignment="1" applyProtection="1">
      <alignment horizontal="center" vertical="center"/>
      <protection hidden="1"/>
    </xf>
    <xf numFmtId="0" fontId="58" fillId="14" borderId="0" xfId="0" applyFont="1" applyFill="1" applyBorder="1" applyAlignment="1" applyProtection="1">
      <alignment horizontal="left" vertical="center" indent="1"/>
      <protection locked="0"/>
    </xf>
    <xf numFmtId="0" fontId="281" fillId="0" borderId="0" xfId="0" applyFont="1" applyFill="1" applyBorder="1" applyAlignment="1" applyProtection="1">
      <alignment horizontal="right" vertical="center"/>
      <protection locked="0"/>
    </xf>
    <xf numFmtId="0" fontId="37" fillId="6" borderId="121" xfId="0" applyFont="1" applyFill="1" applyBorder="1" applyAlignment="1" applyProtection="1">
      <alignment horizontal="center"/>
      <protection locked="0" hidden="1"/>
    </xf>
    <xf numFmtId="0" fontId="282" fillId="0" borderId="0" xfId="0" applyFont="1" applyFill="1" applyBorder="1" applyAlignment="1" applyProtection="1">
      <alignment horizontal="left"/>
      <protection locked="0"/>
    </xf>
    <xf numFmtId="0" fontId="58" fillId="0" borderId="122" xfId="0" applyFont="1" applyFill="1" applyBorder="1" applyAlignment="1" applyProtection="1">
      <protection locked="0"/>
    </xf>
    <xf numFmtId="0" fontId="58" fillId="0" borderId="123" xfId="0" applyFont="1" applyFill="1" applyBorder="1" applyAlignment="1" applyProtection="1">
      <protection locked="0"/>
    </xf>
    <xf numFmtId="41" fontId="58" fillId="0" borderId="123" xfId="0" applyNumberFormat="1" applyFont="1" applyFill="1" applyBorder="1" applyAlignment="1" applyProtection="1">
      <alignment horizontal="center" vertical="center"/>
      <protection locked="0"/>
    </xf>
    <xf numFmtId="0" fontId="58" fillId="0" borderId="123" xfId="0" applyFont="1" applyFill="1" applyBorder="1" applyAlignment="1" applyProtection="1">
      <alignment horizontal="center" vertical="center"/>
      <protection locked="0"/>
    </xf>
    <xf numFmtId="41" fontId="58" fillId="14" borderId="123" xfId="0" applyNumberFormat="1" applyFont="1" applyFill="1" applyBorder="1" applyAlignment="1" applyProtection="1">
      <alignment horizontal="left"/>
      <protection locked="0"/>
    </xf>
    <xf numFmtId="41" fontId="58" fillId="14" borderId="124" xfId="0" applyNumberFormat="1" applyFont="1" applyFill="1" applyBorder="1" applyAlignment="1" applyProtection="1">
      <alignment horizontal="left"/>
      <protection locked="0"/>
    </xf>
    <xf numFmtId="41" fontId="57" fillId="14" borderId="123" xfId="0" applyNumberFormat="1" applyFont="1" applyFill="1" applyBorder="1" applyAlignment="1" applyProtection="1">
      <alignment horizontal="left"/>
      <protection locked="0"/>
    </xf>
    <xf numFmtId="41" fontId="57" fillId="14" borderId="124" xfId="0" applyNumberFormat="1" applyFont="1" applyFill="1" applyBorder="1" applyAlignment="1" applyProtection="1">
      <alignment horizontal="left"/>
      <protection locked="0"/>
    </xf>
    <xf numFmtId="0" fontId="281" fillId="7" borderId="121" xfId="0" applyFont="1" applyFill="1" applyBorder="1" applyAlignment="1" applyProtection="1">
      <alignment vertical="center"/>
      <protection locked="0"/>
    </xf>
    <xf numFmtId="0" fontId="281" fillId="7" borderId="122" xfId="0" applyFont="1" applyFill="1" applyBorder="1" applyAlignment="1" applyProtection="1">
      <alignment vertical="center"/>
      <protection locked="0"/>
    </xf>
    <xf numFmtId="41" fontId="59" fillId="7" borderId="124" xfId="0" applyNumberFormat="1" applyFont="1" applyFill="1" applyBorder="1" applyAlignment="1" applyProtection="1">
      <alignment horizontal="center" vertical="center"/>
      <protection locked="0"/>
    </xf>
    <xf numFmtId="41" fontId="59" fillId="7" borderId="122" xfId="0" applyNumberFormat="1" applyFont="1" applyFill="1" applyBorder="1" applyAlignment="1" applyProtection="1">
      <alignment horizontal="center" vertical="center"/>
      <protection locked="0"/>
    </xf>
    <xf numFmtId="41" fontId="58" fillId="7" borderId="124" xfId="0" applyNumberFormat="1" applyFont="1" applyFill="1" applyBorder="1" applyAlignment="1" applyProtection="1">
      <alignment horizontal="center" vertical="center"/>
      <protection locked="0"/>
    </xf>
    <xf numFmtId="41" fontId="58" fillId="7" borderId="122" xfId="0" applyNumberFormat="1" applyFont="1" applyFill="1" applyBorder="1" applyAlignment="1" applyProtection="1">
      <alignment horizontal="center" vertical="center"/>
      <protection locked="0"/>
    </xf>
    <xf numFmtId="41" fontId="59" fillId="7" borderId="121" xfId="0" applyNumberFormat="1" applyFont="1" applyFill="1" applyBorder="1" applyAlignment="1" applyProtection="1">
      <alignment horizontal="center" vertical="center"/>
      <protection locked="0"/>
    </xf>
    <xf numFmtId="0" fontId="324" fillId="0" borderId="122" xfId="0" applyFont="1" applyFill="1" applyBorder="1" applyAlignment="1" applyProtection="1">
      <protection locked="0"/>
    </xf>
    <xf numFmtId="0" fontId="324" fillId="0" borderId="123" xfId="0" applyFont="1" applyFill="1" applyBorder="1" applyAlignment="1" applyProtection="1">
      <protection locked="0"/>
    </xf>
    <xf numFmtId="41" fontId="58" fillId="14" borderId="123" xfId="0" applyNumberFormat="1" applyFont="1" applyFill="1" applyBorder="1" applyAlignment="1" applyProtection="1">
      <protection locked="0"/>
    </xf>
    <xf numFmtId="41" fontId="58" fillId="14" borderId="124" xfId="0" applyNumberFormat="1" applyFont="1" applyFill="1" applyBorder="1" applyAlignment="1" applyProtection="1">
      <protection locked="0"/>
    </xf>
    <xf numFmtId="41" fontId="57" fillId="14" borderId="123" xfId="0" applyNumberFormat="1" applyFont="1" applyFill="1" applyBorder="1" applyAlignment="1" applyProtection="1">
      <protection locked="0"/>
    </xf>
    <xf numFmtId="41" fontId="57" fillId="14" borderId="124" xfId="0" applyNumberFormat="1" applyFont="1" applyFill="1" applyBorder="1" applyAlignment="1" applyProtection="1">
      <protection locked="0"/>
    </xf>
    <xf numFmtId="0" fontId="281" fillId="7" borderId="123" xfId="0" applyFont="1" applyFill="1" applyBorder="1" applyAlignment="1" applyProtection="1">
      <alignment vertical="center"/>
      <protection locked="0"/>
    </xf>
    <xf numFmtId="0" fontId="281" fillId="7" borderId="121" xfId="0" applyFont="1" applyFill="1" applyBorder="1" applyAlignment="1" applyProtection="1">
      <alignment horizontal="left" vertical="center" indent="1"/>
      <protection locked="0"/>
    </xf>
    <xf numFmtId="0" fontId="281" fillId="7" borderId="122" xfId="0" applyFont="1" applyFill="1" applyBorder="1" applyAlignment="1" applyProtection="1">
      <alignment horizontal="left" vertical="center" indent="1"/>
      <protection locked="0"/>
    </xf>
    <xf numFmtId="41" fontId="57" fillId="0" borderId="123" xfId="0" applyNumberFormat="1" applyFont="1" applyFill="1" applyBorder="1" applyAlignment="1" applyProtection="1">
      <alignment horizontal="center" vertical="center"/>
      <protection locked="0"/>
    </xf>
    <xf numFmtId="0" fontId="57" fillId="0" borderId="123" xfId="0" applyFont="1" applyFill="1" applyBorder="1" applyAlignment="1" applyProtection="1">
      <alignment horizontal="center" vertical="center"/>
      <protection locked="0"/>
    </xf>
    <xf numFmtId="0" fontId="215" fillId="21" borderId="0" xfId="0" applyFont="1" applyFill="1" applyBorder="1" applyAlignment="1" applyProtection="1">
      <alignment horizontal="center" vertical="center"/>
      <protection hidden="1"/>
    </xf>
    <xf numFmtId="0" fontId="328" fillId="6" borderId="0" xfId="0" applyFont="1" applyFill="1" applyAlignment="1" applyProtection="1">
      <alignment horizontal="center" vertical="center"/>
      <protection hidden="1"/>
    </xf>
    <xf numFmtId="0" fontId="121" fillId="14" borderId="122" xfId="0" applyFont="1" applyFill="1" applyBorder="1" applyAlignment="1" applyProtection="1">
      <alignment horizontal="center" vertical="center"/>
      <protection locked="0" hidden="1"/>
    </xf>
    <xf numFmtId="0" fontId="121" fillId="14" borderId="124" xfId="0" applyFont="1" applyFill="1" applyBorder="1" applyAlignment="1" applyProtection="1">
      <alignment horizontal="center" vertical="center"/>
      <protection locked="0" hidden="1"/>
    </xf>
    <xf numFmtId="0" fontId="108" fillId="7" borderId="109" xfId="0" applyFont="1" applyFill="1" applyBorder="1" applyAlignment="1">
      <alignment horizontal="center" vertical="center"/>
    </xf>
    <xf numFmtId="0" fontId="94" fillId="0" borderId="0" xfId="0" applyFont="1" applyBorder="1" applyAlignment="1" applyProtection="1">
      <alignment horizontal="left" vertical="center" wrapText="1"/>
      <protection locked="0"/>
    </xf>
    <xf numFmtId="0" fontId="323" fillId="0" borderId="0" xfId="0" applyFont="1" applyBorder="1" applyAlignment="1" applyProtection="1">
      <alignment horizontal="left" vertical="center"/>
      <protection locked="0"/>
    </xf>
    <xf numFmtId="167" fontId="52" fillId="6" borderId="0" xfId="0" applyNumberFormat="1" applyFont="1" applyFill="1" applyAlignment="1" applyProtection="1">
      <alignment horizontal="right" vertical="center"/>
      <protection locked="0"/>
    </xf>
    <xf numFmtId="0" fontId="55" fillId="6" borderId="122" xfId="0" applyFont="1" applyFill="1" applyBorder="1" applyAlignment="1" applyProtection="1">
      <alignment horizontal="left" vertical="center" indent="1"/>
      <protection hidden="1"/>
    </xf>
    <xf numFmtId="0" fontId="55" fillId="6" borderId="123" xfId="0" applyFont="1" applyFill="1" applyBorder="1" applyAlignment="1" applyProtection="1">
      <alignment horizontal="left" vertical="center" indent="1"/>
      <protection hidden="1"/>
    </xf>
    <xf numFmtId="0" fontId="55" fillId="6" borderId="302" xfId="0" applyFont="1" applyFill="1" applyBorder="1" applyAlignment="1" applyProtection="1">
      <alignment horizontal="left" vertical="center" indent="1"/>
      <protection hidden="1"/>
    </xf>
    <xf numFmtId="0" fontId="55" fillId="6" borderId="213" xfId="0" applyFont="1" applyFill="1" applyBorder="1" applyAlignment="1" applyProtection="1">
      <alignment horizontal="left" vertical="center" indent="1"/>
      <protection hidden="1"/>
    </xf>
    <xf numFmtId="0" fontId="55" fillId="6" borderId="360" xfId="0" applyFont="1" applyFill="1" applyBorder="1" applyAlignment="1" applyProtection="1">
      <alignment horizontal="left" vertical="center" indent="1"/>
      <protection hidden="1"/>
    </xf>
    <xf numFmtId="0" fontId="55" fillId="6" borderId="365" xfId="0" applyFont="1" applyFill="1" applyBorder="1" applyAlignment="1" applyProtection="1">
      <alignment horizontal="left" vertical="center" indent="1"/>
      <protection hidden="1"/>
    </xf>
    <xf numFmtId="0" fontId="55" fillId="6" borderId="124" xfId="0" applyFont="1" applyFill="1" applyBorder="1" applyAlignment="1" applyProtection="1">
      <alignment horizontal="left" vertical="center" indent="1"/>
      <protection hidden="1"/>
    </xf>
    <xf numFmtId="0" fontId="55" fillId="6" borderId="214" xfId="0" applyFont="1" applyFill="1" applyBorder="1" applyAlignment="1" applyProtection="1">
      <alignment horizontal="left" vertical="center" indent="1"/>
      <protection hidden="1"/>
    </xf>
  </cellXfs>
  <cellStyles count="1300">
    <cellStyle name="20% - Accent3" xfId="27" builtinId="38"/>
    <cellStyle name="20% - Accent3 2" xfId="131" xr:uid="{00000000-0005-0000-0000-000001000000}"/>
    <cellStyle name="20% - Accent3 2 2" xfId="287" xr:uid="{00000000-0005-0000-0000-000002000000}"/>
    <cellStyle name="20% - Accent3 2 2 2" xfId="1226" xr:uid="{00000000-0005-0000-0000-000003000000}"/>
    <cellStyle name="20% - Accent3 2 2 3" xfId="913" xr:uid="{00000000-0005-0000-0000-000004000000}"/>
    <cellStyle name="20% - Accent3 2 2 4" xfId="600" xr:uid="{00000000-0005-0000-0000-000005000000}"/>
    <cellStyle name="20% - Accent3 2 3" xfId="1070" xr:uid="{00000000-0005-0000-0000-000006000000}"/>
    <cellStyle name="20% - Accent3 2 4" xfId="757" xr:uid="{00000000-0005-0000-0000-000007000000}"/>
    <cellStyle name="20% - Accent3 2 5" xfId="444" xr:uid="{00000000-0005-0000-0000-000008000000}"/>
    <cellStyle name="20% - Accent3 3" xfId="208" xr:uid="{00000000-0005-0000-0000-000009000000}"/>
    <cellStyle name="20% - Accent3 3 2" xfId="1147" xr:uid="{00000000-0005-0000-0000-00000A000000}"/>
    <cellStyle name="20% - Accent3 3 3" xfId="834" xr:uid="{00000000-0005-0000-0000-00000B000000}"/>
    <cellStyle name="20% - Accent3 3 4" xfId="521" xr:uid="{00000000-0005-0000-0000-00000C000000}"/>
    <cellStyle name="20% - Accent3 4" xfId="991" xr:uid="{00000000-0005-0000-0000-00000D000000}"/>
    <cellStyle name="20% - Accent3 5" xfId="678" xr:uid="{00000000-0005-0000-0000-00000E000000}"/>
    <cellStyle name="20% - Accent3 6" xfId="365" xr:uid="{00000000-0005-0000-0000-00000F000000}"/>
    <cellStyle name="20% - Accent5 2" xfId="95" xr:uid="{00000000-0005-0000-0000-000010000000}"/>
    <cellStyle name="20% - Accent5 2 2" xfId="192" xr:uid="{00000000-0005-0000-0000-000011000000}"/>
    <cellStyle name="20% - Accent5 2 2 2" xfId="348" xr:uid="{00000000-0005-0000-0000-000012000000}"/>
    <cellStyle name="20% - Accent5 2 2 2 2" xfId="1287" xr:uid="{00000000-0005-0000-0000-000013000000}"/>
    <cellStyle name="20% - Accent5 2 2 2 3" xfId="974" xr:uid="{00000000-0005-0000-0000-000014000000}"/>
    <cellStyle name="20% - Accent5 2 2 2 4" xfId="661" xr:uid="{00000000-0005-0000-0000-000015000000}"/>
    <cellStyle name="20% - Accent5 2 2 3" xfId="1131" xr:uid="{00000000-0005-0000-0000-000016000000}"/>
    <cellStyle name="20% - Accent5 2 2 4" xfId="818" xr:uid="{00000000-0005-0000-0000-000017000000}"/>
    <cellStyle name="20% - Accent5 2 2 5" xfId="505" xr:uid="{00000000-0005-0000-0000-000018000000}"/>
    <cellStyle name="20% - Accent5 2 3" xfId="269" xr:uid="{00000000-0005-0000-0000-000019000000}"/>
    <cellStyle name="20% - Accent5 2 3 2" xfId="1208" xr:uid="{00000000-0005-0000-0000-00001A000000}"/>
    <cellStyle name="20% - Accent5 2 3 3" xfId="895" xr:uid="{00000000-0005-0000-0000-00001B000000}"/>
    <cellStyle name="20% - Accent5 2 3 4" xfId="582" xr:uid="{00000000-0005-0000-0000-00001C000000}"/>
    <cellStyle name="20% - Accent5 2 4" xfId="1052" xr:uid="{00000000-0005-0000-0000-00001D000000}"/>
    <cellStyle name="20% - Accent5 2 5" xfId="739" xr:uid="{00000000-0005-0000-0000-00001E000000}"/>
    <cellStyle name="20% - Accent5 2 6" xfId="426" xr:uid="{00000000-0005-0000-0000-00001F000000}"/>
    <cellStyle name="20% - Accent5 2 7" xfId="1296" xr:uid="{00000000-0005-0000-0000-000020000000}"/>
    <cellStyle name="40% - Accent2 2" xfId="94" xr:uid="{00000000-0005-0000-0000-000021000000}"/>
    <cellStyle name="40% - Accent2 2 2" xfId="191" xr:uid="{00000000-0005-0000-0000-000022000000}"/>
    <cellStyle name="40% - Accent2 2 2 2" xfId="347" xr:uid="{00000000-0005-0000-0000-000023000000}"/>
    <cellStyle name="40% - Accent2 2 2 2 2" xfId="1286" xr:uid="{00000000-0005-0000-0000-000024000000}"/>
    <cellStyle name="40% - Accent2 2 2 2 3" xfId="973" xr:uid="{00000000-0005-0000-0000-000025000000}"/>
    <cellStyle name="40% - Accent2 2 2 2 4" xfId="660" xr:uid="{00000000-0005-0000-0000-000026000000}"/>
    <cellStyle name="40% - Accent2 2 2 3" xfId="1130" xr:uid="{00000000-0005-0000-0000-000027000000}"/>
    <cellStyle name="40% - Accent2 2 2 4" xfId="817" xr:uid="{00000000-0005-0000-0000-000028000000}"/>
    <cellStyle name="40% - Accent2 2 2 5" xfId="504" xr:uid="{00000000-0005-0000-0000-000029000000}"/>
    <cellStyle name="40% - Accent2 2 3" xfId="268" xr:uid="{00000000-0005-0000-0000-00002A000000}"/>
    <cellStyle name="40% - Accent2 2 3 2" xfId="1207" xr:uid="{00000000-0005-0000-0000-00002B000000}"/>
    <cellStyle name="40% - Accent2 2 3 3" xfId="894" xr:uid="{00000000-0005-0000-0000-00002C000000}"/>
    <cellStyle name="40% - Accent2 2 3 4" xfId="581" xr:uid="{00000000-0005-0000-0000-00002D000000}"/>
    <cellStyle name="40% - Accent2 2 4" xfId="1051" xr:uid="{00000000-0005-0000-0000-00002E000000}"/>
    <cellStyle name="40% - Accent2 2 5" xfId="738" xr:uid="{00000000-0005-0000-0000-00002F000000}"/>
    <cellStyle name="40% - Accent2 2 6" xfId="425" xr:uid="{00000000-0005-0000-0000-000030000000}"/>
    <cellStyle name="40% - Accent2 2 7" xfId="1295" xr:uid="{00000000-0005-0000-0000-000031000000}"/>
    <cellStyle name="40% - Accent3 2" xfId="93" xr:uid="{00000000-0005-0000-0000-000032000000}"/>
    <cellStyle name="40% - Accent3 2 2" xfId="190" xr:uid="{00000000-0005-0000-0000-000033000000}"/>
    <cellStyle name="40% - Accent3 2 2 2" xfId="346" xr:uid="{00000000-0005-0000-0000-000034000000}"/>
    <cellStyle name="40% - Accent3 2 2 2 2" xfId="1285" xr:uid="{00000000-0005-0000-0000-000035000000}"/>
    <cellStyle name="40% - Accent3 2 2 2 3" xfId="972" xr:uid="{00000000-0005-0000-0000-000036000000}"/>
    <cellStyle name="40% - Accent3 2 2 2 4" xfId="659" xr:uid="{00000000-0005-0000-0000-000037000000}"/>
    <cellStyle name="40% - Accent3 2 2 3" xfId="1129" xr:uid="{00000000-0005-0000-0000-000038000000}"/>
    <cellStyle name="40% - Accent3 2 2 4" xfId="816" xr:uid="{00000000-0005-0000-0000-000039000000}"/>
    <cellStyle name="40% - Accent3 2 2 5" xfId="503" xr:uid="{00000000-0005-0000-0000-00003A000000}"/>
    <cellStyle name="40% - Accent3 2 3" xfId="267" xr:uid="{00000000-0005-0000-0000-00003B000000}"/>
    <cellStyle name="40% - Accent3 2 3 2" xfId="1206" xr:uid="{00000000-0005-0000-0000-00003C000000}"/>
    <cellStyle name="40% - Accent3 2 3 3" xfId="893" xr:uid="{00000000-0005-0000-0000-00003D000000}"/>
    <cellStyle name="40% - Accent3 2 3 4" xfId="580" xr:uid="{00000000-0005-0000-0000-00003E000000}"/>
    <cellStyle name="40% - Accent3 2 4" xfId="1050" xr:uid="{00000000-0005-0000-0000-00003F000000}"/>
    <cellStyle name="40% - Accent3 2 5" xfId="737" xr:uid="{00000000-0005-0000-0000-000040000000}"/>
    <cellStyle name="40% - Accent3 2 6" xfId="424" xr:uid="{00000000-0005-0000-0000-000041000000}"/>
    <cellStyle name="40% - Accent3 2 7" xfId="1297" xr:uid="{00000000-0005-0000-0000-000042000000}"/>
    <cellStyle name="Activity" xfId="99" xr:uid="{00000000-0005-0000-0000-000043000000}"/>
    <cellStyle name="Comma" xfId="1" builtinId="3"/>
    <cellStyle name="Comma 2" xfId="2" xr:uid="{00000000-0005-0000-0000-000045000000}"/>
    <cellStyle name="Comma 3" xfId="28" xr:uid="{00000000-0005-0000-0000-000046000000}"/>
    <cellStyle name="Currency" xfId="3" builtinId="4"/>
    <cellStyle name="Currency 2" xfId="4" xr:uid="{00000000-0005-0000-0000-000048000000}"/>
    <cellStyle name="Currency 2 2" xfId="5" xr:uid="{00000000-0005-0000-0000-000049000000}"/>
    <cellStyle name="Currency 2 3" xfId="6" xr:uid="{00000000-0005-0000-0000-00004A000000}"/>
    <cellStyle name="Currency 3" xfId="7" xr:uid="{00000000-0005-0000-0000-00004B000000}"/>
    <cellStyle name="Currency 3 2" xfId="109" xr:uid="{00000000-0005-0000-0000-00004C000000}"/>
    <cellStyle name="Currency 4" xfId="8" xr:uid="{00000000-0005-0000-0000-00004D000000}"/>
    <cellStyle name="Currency 4 2" xfId="29" xr:uid="{00000000-0005-0000-0000-00004E000000}"/>
    <cellStyle name="Currency 4 2 2" xfId="30" xr:uid="{00000000-0005-0000-0000-00004F000000}"/>
    <cellStyle name="Currency 4 2 2 2" xfId="133" xr:uid="{00000000-0005-0000-0000-000050000000}"/>
    <cellStyle name="Currency 4 2 2 2 2" xfId="289" xr:uid="{00000000-0005-0000-0000-000051000000}"/>
    <cellStyle name="Currency 4 2 2 2 2 2" xfId="1228" xr:uid="{00000000-0005-0000-0000-000052000000}"/>
    <cellStyle name="Currency 4 2 2 2 2 3" xfId="915" xr:uid="{00000000-0005-0000-0000-000053000000}"/>
    <cellStyle name="Currency 4 2 2 2 2 4" xfId="602" xr:uid="{00000000-0005-0000-0000-000054000000}"/>
    <cellStyle name="Currency 4 2 2 2 3" xfId="1072" xr:uid="{00000000-0005-0000-0000-000055000000}"/>
    <cellStyle name="Currency 4 2 2 2 4" xfId="759" xr:uid="{00000000-0005-0000-0000-000056000000}"/>
    <cellStyle name="Currency 4 2 2 2 5" xfId="446" xr:uid="{00000000-0005-0000-0000-000057000000}"/>
    <cellStyle name="Currency 4 2 2 3" xfId="210" xr:uid="{00000000-0005-0000-0000-000058000000}"/>
    <cellStyle name="Currency 4 2 2 3 2" xfId="1149" xr:uid="{00000000-0005-0000-0000-000059000000}"/>
    <cellStyle name="Currency 4 2 2 3 3" xfId="836" xr:uid="{00000000-0005-0000-0000-00005A000000}"/>
    <cellStyle name="Currency 4 2 2 3 4" xfId="523" xr:uid="{00000000-0005-0000-0000-00005B000000}"/>
    <cellStyle name="Currency 4 2 2 4" xfId="993" xr:uid="{00000000-0005-0000-0000-00005C000000}"/>
    <cellStyle name="Currency 4 2 2 5" xfId="680" xr:uid="{00000000-0005-0000-0000-00005D000000}"/>
    <cellStyle name="Currency 4 2 2 6" xfId="367" xr:uid="{00000000-0005-0000-0000-00005E000000}"/>
    <cellStyle name="Currency 4 2 3" xfId="132" xr:uid="{00000000-0005-0000-0000-00005F000000}"/>
    <cellStyle name="Currency 4 2 3 2" xfId="288" xr:uid="{00000000-0005-0000-0000-000060000000}"/>
    <cellStyle name="Currency 4 2 3 2 2" xfId="1227" xr:uid="{00000000-0005-0000-0000-000061000000}"/>
    <cellStyle name="Currency 4 2 3 2 3" xfId="914" xr:uid="{00000000-0005-0000-0000-000062000000}"/>
    <cellStyle name="Currency 4 2 3 2 4" xfId="601" xr:uid="{00000000-0005-0000-0000-000063000000}"/>
    <cellStyle name="Currency 4 2 3 3" xfId="1071" xr:uid="{00000000-0005-0000-0000-000064000000}"/>
    <cellStyle name="Currency 4 2 3 4" xfId="758" xr:uid="{00000000-0005-0000-0000-000065000000}"/>
    <cellStyle name="Currency 4 2 3 5" xfId="445" xr:uid="{00000000-0005-0000-0000-000066000000}"/>
    <cellStyle name="Currency 4 2 4" xfId="209" xr:uid="{00000000-0005-0000-0000-000067000000}"/>
    <cellStyle name="Currency 4 2 4 2" xfId="1148" xr:uid="{00000000-0005-0000-0000-000068000000}"/>
    <cellStyle name="Currency 4 2 4 3" xfId="835" xr:uid="{00000000-0005-0000-0000-000069000000}"/>
    <cellStyle name="Currency 4 2 4 4" xfId="522" xr:uid="{00000000-0005-0000-0000-00006A000000}"/>
    <cellStyle name="Currency 4 2 5" xfId="992" xr:uid="{00000000-0005-0000-0000-00006B000000}"/>
    <cellStyle name="Currency 4 2 6" xfId="679" xr:uid="{00000000-0005-0000-0000-00006C000000}"/>
    <cellStyle name="Currency 4 2 7" xfId="366" xr:uid="{00000000-0005-0000-0000-00006D000000}"/>
    <cellStyle name="Currency 4 3" xfId="31" xr:uid="{00000000-0005-0000-0000-00006E000000}"/>
    <cellStyle name="Currency 4 3 2" xfId="32" xr:uid="{00000000-0005-0000-0000-00006F000000}"/>
    <cellStyle name="Currency 4 3 2 2" xfId="135" xr:uid="{00000000-0005-0000-0000-000070000000}"/>
    <cellStyle name="Currency 4 3 2 2 2" xfId="291" xr:uid="{00000000-0005-0000-0000-000071000000}"/>
    <cellStyle name="Currency 4 3 2 2 2 2" xfId="1230" xr:uid="{00000000-0005-0000-0000-000072000000}"/>
    <cellStyle name="Currency 4 3 2 2 2 3" xfId="917" xr:uid="{00000000-0005-0000-0000-000073000000}"/>
    <cellStyle name="Currency 4 3 2 2 2 4" xfId="604" xr:uid="{00000000-0005-0000-0000-000074000000}"/>
    <cellStyle name="Currency 4 3 2 2 3" xfId="1074" xr:uid="{00000000-0005-0000-0000-000075000000}"/>
    <cellStyle name="Currency 4 3 2 2 4" xfId="761" xr:uid="{00000000-0005-0000-0000-000076000000}"/>
    <cellStyle name="Currency 4 3 2 2 5" xfId="448" xr:uid="{00000000-0005-0000-0000-000077000000}"/>
    <cellStyle name="Currency 4 3 2 3" xfId="212" xr:uid="{00000000-0005-0000-0000-000078000000}"/>
    <cellStyle name="Currency 4 3 2 3 2" xfId="1151" xr:uid="{00000000-0005-0000-0000-000079000000}"/>
    <cellStyle name="Currency 4 3 2 3 3" xfId="838" xr:uid="{00000000-0005-0000-0000-00007A000000}"/>
    <cellStyle name="Currency 4 3 2 3 4" xfId="525" xr:uid="{00000000-0005-0000-0000-00007B000000}"/>
    <cellStyle name="Currency 4 3 2 4" xfId="995" xr:uid="{00000000-0005-0000-0000-00007C000000}"/>
    <cellStyle name="Currency 4 3 2 5" xfId="682" xr:uid="{00000000-0005-0000-0000-00007D000000}"/>
    <cellStyle name="Currency 4 3 2 6" xfId="369" xr:uid="{00000000-0005-0000-0000-00007E000000}"/>
    <cellStyle name="Currency 4 3 3" xfId="134" xr:uid="{00000000-0005-0000-0000-00007F000000}"/>
    <cellStyle name="Currency 4 3 3 2" xfId="290" xr:uid="{00000000-0005-0000-0000-000080000000}"/>
    <cellStyle name="Currency 4 3 3 2 2" xfId="1229" xr:uid="{00000000-0005-0000-0000-000081000000}"/>
    <cellStyle name="Currency 4 3 3 2 3" xfId="916" xr:uid="{00000000-0005-0000-0000-000082000000}"/>
    <cellStyle name="Currency 4 3 3 2 4" xfId="603" xr:uid="{00000000-0005-0000-0000-000083000000}"/>
    <cellStyle name="Currency 4 3 3 3" xfId="1073" xr:uid="{00000000-0005-0000-0000-000084000000}"/>
    <cellStyle name="Currency 4 3 3 4" xfId="760" xr:uid="{00000000-0005-0000-0000-000085000000}"/>
    <cellStyle name="Currency 4 3 3 5" xfId="447" xr:uid="{00000000-0005-0000-0000-000086000000}"/>
    <cellStyle name="Currency 4 3 4" xfId="211" xr:uid="{00000000-0005-0000-0000-000087000000}"/>
    <cellStyle name="Currency 4 3 4 2" xfId="1150" xr:uid="{00000000-0005-0000-0000-000088000000}"/>
    <cellStyle name="Currency 4 3 4 3" xfId="837" xr:uid="{00000000-0005-0000-0000-000089000000}"/>
    <cellStyle name="Currency 4 3 4 4" xfId="524" xr:uid="{00000000-0005-0000-0000-00008A000000}"/>
    <cellStyle name="Currency 4 3 5" xfId="994" xr:uid="{00000000-0005-0000-0000-00008B000000}"/>
    <cellStyle name="Currency 4 3 6" xfId="681" xr:uid="{00000000-0005-0000-0000-00008C000000}"/>
    <cellStyle name="Currency 4 3 7" xfId="368" xr:uid="{00000000-0005-0000-0000-00008D000000}"/>
    <cellStyle name="Currency 4 4" xfId="33" xr:uid="{00000000-0005-0000-0000-00008E000000}"/>
    <cellStyle name="Currency 4 4 2" xfId="34" xr:uid="{00000000-0005-0000-0000-00008F000000}"/>
    <cellStyle name="Currency 4 4 2 2" xfId="137" xr:uid="{00000000-0005-0000-0000-000090000000}"/>
    <cellStyle name="Currency 4 4 2 2 2" xfId="293" xr:uid="{00000000-0005-0000-0000-000091000000}"/>
    <cellStyle name="Currency 4 4 2 2 2 2" xfId="1232" xr:uid="{00000000-0005-0000-0000-000092000000}"/>
    <cellStyle name="Currency 4 4 2 2 2 3" xfId="919" xr:uid="{00000000-0005-0000-0000-000093000000}"/>
    <cellStyle name="Currency 4 4 2 2 2 4" xfId="606" xr:uid="{00000000-0005-0000-0000-000094000000}"/>
    <cellStyle name="Currency 4 4 2 2 3" xfId="1076" xr:uid="{00000000-0005-0000-0000-000095000000}"/>
    <cellStyle name="Currency 4 4 2 2 4" xfId="763" xr:uid="{00000000-0005-0000-0000-000096000000}"/>
    <cellStyle name="Currency 4 4 2 2 5" xfId="450" xr:uid="{00000000-0005-0000-0000-000097000000}"/>
    <cellStyle name="Currency 4 4 2 3" xfId="214" xr:uid="{00000000-0005-0000-0000-000098000000}"/>
    <cellStyle name="Currency 4 4 2 3 2" xfId="1153" xr:uid="{00000000-0005-0000-0000-000099000000}"/>
    <cellStyle name="Currency 4 4 2 3 3" xfId="840" xr:uid="{00000000-0005-0000-0000-00009A000000}"/>
    <cellStyle name="Currency 4 4 2 3 4" xfId="527" xr:uid="{00000000-0005-0000-0000-00009B000000}"/>
    <cellStyle name="Currency 4 4 2 4" xfId="997" xr:uid="{00000000-0005-0000-0000-00009C000000}"/>
    <cellStyle name="Currency 4 4 2 5" xfId="684" xr:uid="{00000000-0005-0000-0000-00009D000000}"/>
    <cellStyle name="Currency 4 4 2 6" xfId="371" xr:uid="{00000000-0005-0000-0000-00009E000000}"/>
    <cellStyle name="Currency 4 4 3" xfId="136" xr:uid="{00000000-0005-0000-0000-00009F000000}"/>
    <cellStyle name="Currency 4 4 3 2" xfId="292" xr:uid="{00000000-0005-0000-0000-0000A0000000}"/>
    <cellStyle name="Currency 4 4 3 2 2" xfId="1231" xr:uid="{00000000-0005-0000-0000-0000A1000000}"/>
    <cellStyle name="Currency 4 4 3 2 3" xfId="918" xr:uid="{00000000-0005-0000-0000-0000A2000000}"/>
    <cellStyle name="Currency 4 4 3 2 4" xfId="605" xr:uid="{00000000-0005-0000-0000-0000A3000000}"/>
    <cellStyle name="Currency 4 4 3 3" xfId="1075" xr:uid="{00000000-0005-0000-0000-0000A4000000}"/>
    <cellStyle name="Currency 4 4 3 4" xfId="762" xr:uid="{00000000-0005-0000-0000-0000A5000000}"/>
    <cellStyle name="Currency 4 4 3 5" xfId="449" xr:uid="{00000000-0005-0000-0000-0000A6000000}"/>
    <cellStyle name="Currency 4 4 4" xfId="213" xr:uid="{00000000-0005-0000-0000-0000A7000000}"/>
    <cellStyle name="Currency 4 4 4 2" xfId="1152" xr:uid="{00000000-0005-0000-0000-0000A8000000}"/>
    <cellStyle name="Currency 4 4 4 3" xfId="839" xr:uid="{00000000-0005-0000-0000-0000A9000000}"/>
    <cellStyle name="Currency 4 4 4 4" xfId="526" xr:uid="{00000000-0005-0000-0000-0000AA000000}"/>
    <cellStyle name="Currency 4 4 5" xfId="996" xr:uid="{00000000-0005-0000-0000-0000AB000000}"/>
    <cellStyle name="Currency 4 4 6" xfId="683" xr:uid="{00000000-0005-0000-0000-0000AC000000}"/>
    <cellStyle name="Currency 4 4 7" xfId="370" xr:uid="{00000000-0005-0000-0000-0000AD000000}"/>
    <cellStyle name="Currency 4 5" xfId="35" xr:uid="{00000000-0005-0000-0000-0000AE000000}"/>
    <cellStyle name="Currency 4 5 2" xfId="138" xr:uid="{00000000-0005-0000-0000-0000AF000000}"/>
    <cellStyle name="Currency 4 5 2 2" xfId="294" xr:uid="{00000000-0005-0000-0000-0000B0000000}"/>
    <cellStyle name="Currency 4 5 2 2 2" xfId="1233" xr:uid="{00000000-0005-0000-0000-0000B1000000}"/>
    <cellStyle name="Currency 4 5 2 2 3" xfId="920" xr:uid="{00000000-0005-0000-0000-0000B2000000}"/>
    <cellStyle name="Currency 4 5 2 2 4" xfId="607" xr:uid="{00000000-0005-0000-0000-0000B3000000}"/>
    <cellStyle name="Currency 4 5 2 3" xfId="1077" xr:uid="{00000000-0005-0000-0000-0000B4000000}"/>
    <cellStyle name="Currency 4 5 2 4" xfId="764" xr:uid="{00000000-0005-0000-0000-0000B5000000}"/>
    <cellStyle name="Currency 4 5 2 5" xfId="451" xr:uid="{00000000-0005-0000-0000-0000B6000000}"/>
    <cellStyle name="Currency 4 5 3" xfId="215" xr:uid="{00000000-0005-0000-0000-0000B7000000}"/>
    <cellStyle name="Currency 4 5 3 2" xfId="1154" xr:uid="{00000000-0005-0000-0000-0000B8000000}"/>
    <cellStyle name="Currency 4 5 3 3" xfId="841" xr:uid="{00000000-0005-0000-0000-0000B9000000}"/>
    <cellStyle name="Currency 4 5 3 4" xfId="528" xr:uid="{00000000-0005-0000-0000-0000BA000000}"/>
    <cellStyle name="Currency 4 5 4" xfId="998" xr:uid="{00000000-0005-0000-0000-0000BB000000}"/>
    <cellStyle name="Currency 4 5 5" xfId="685" xr:uid="{00000000-0005-0000-0000-0000BC000000}"/>
    <cellStyle name="Currency 4 5 6" xfId="372" xr:uid="{00000000-0005-0000-0000-0000BD000000}"/>
    <cellStyle name="Currency 5" xfId="20" xr:uid="{00000000-0005-0000-0000-0000BE000000}"/>
    <cellStyle name="Currency 5 2" xfId="25" xr:uid="{00000000-0005-0000-0000-0000BF000000}"/>
    <cellStyle name="Currency 5 2 2" xfId="92" xr:uid="{00000000-0005-0000-0000-0000C0000000}"/>
    <cellStyle name="Currency 5 2 2 2" xfId="98" xr:uid="{00000000-0005-0000-0000-0000C1000000}"/>
    <cellStyle name="Currency 5 2 2 2 2" xfId="195" xr:uid="{00000000-0005-0000-0000-0000C2000000}"/>
    <cellStyle name="Currency 5 2 2 2 2 2" xfId="351" xr:uid="{00000000-0005-0000-0000-0000C3000000}"/>
    <cellStyle name="Currency 5 2 2 2 2 2 2" xfId="1290" xr:uid="{00000000-0005-0000-0000-0000C4000000}"/>
    <cellStyle name="Currency 5 2 2 2 2 2 3" xfId="977" xr:uid="{00000000-0005-0000-0000-0000C5000000}"/>
    <cellStyle name="Currency 5 2 2 2 2 2 4" xfId="664" xr:uid="{00000000-0005-0000-0000-0000C6000000}"/>
    <cellStyle name="Currency 5 2 2 2 2 3" xfId="1134" xr:uid="{00000000-0005-0000-0000-0000C7000000}"/>
    <cellStyle name="Currency 5 2 2 2 2 4" xfId="821" xr:uid="{00000000-0005-0000-0000-0000C8000000}"/>
    <cellStyle name="Currency 5 2 2 2 2 5" xfId="508" xr:uid="{00000000-0005-0000-0000-0000C9000000}"/>
    <cellStyle name="Currency 5 2 2 2 3" xfId="272" xr:uid="{00000000-0005-0000-0000-0000CA000000}"/>
    <cellStyle name="Currency 5 2 2 2 3 2" xfId="1211" xr:uid="{00000000-0005-0000-0000-0000CB000000}"/>
    <cellStyle name="Currency 5 2 2 2 3 3" xfId="898" xr:uid="{00000000-0005-0000-0000-0000CC000000}"/>
    <cellStyle name="Currency 5 2 2 2 3 4" xfId="585" xr:uid="{00000000-0005-0000-0000-0000CD000000}"/>
    <cellStyle name="Currency 5 2 2 2 4" xfId="1055" xr:uid="{00000000-0005-0000-0000-0000CE000000}"/>
    <cellStyle name="Currency 5 2 2 2 5" xfId="742" xr:uid="{00000000-0005-0000-0000-0000CF000000}"/>
    <cellStyle name="Currency 5 2 2 2 6" xfId="429" xr:uid="{00000000-0005-0000-0000-0000D0000000}"/>
    <cellStyle name="Currency 5 2 2 3" xfId="189" xr:uid="{00000000-0005-0000-0000-0000D1000000}"/>
    <cellStyle name="Currency 5 2 2 3 2" xfId="345" xr:uid="{00000000-0005-0000-0000-0000D2000000}"/>
    <cellStyle name="Currency 5 2 2 3 2 2" xfId="1284" xr:uid="{00000000-0005-0000-0000-0000D3000000}"/>
    <cellStyle name="Currency 5 2 2 3 2 3" xfId="971" xr:uid="{00000000-0005-0000-0000-0000D4000000}"/>
    <cellStyle name="Currency 5 2 2 3 2 4" xfId="658" xr:uid="{00000000-0005-0000-0000-0000D5000000}"/>
    <cellStyle name="Currency 5 2 2 3 3" xfId="1128" xr:uid="{00000000-0005-0000-0000-0000D6000000}"/>
    <cellStyle name="Currency 5 2 2 3 4" xfId="815" xr:uid="{00000000-0005-0000-0000-0000D7000000}"/>
    <cellStyle name="Currency 5 2 2 3 5" xfId="502" xr:uid="{00000000-0005-0000-0000-0000D8000000}"/>
    <cellStyle name="Currency 5 2 2 4" xfId="266" xr:uid="{00000000-0005-0000-0000-0000D9000000}"/>
    <cellStyle name="Currency 5 2 2 4 2" xfId="1205" xr:uid="{00000000-0005-0000-0000-0000DA000000}"/>
    <cellStyle name="Currency 5 2 2 4 3" xfId="892" xr:uid="{00000000-0005-0000-0000-0000DB000000}"/>
    <cellStyle name="Currency 5 2 2 4 4" xfId="579" xr:uid="{00000000-0005-0000-0000-0000DC000000}"/>
    <cellStyle name="Currency 5 2 2 5" xfId="1049" xr:uid="{00000000-0005-0000-0000-0000DD000000}"/>
    <cellStyle name="Currency 5 2 2 6" xfId="736" xr:uid="{00000000-0005-0000-0000-0000DE000000}"/>
    <cellStyle name="Currency 5 2 2 7" xfId="423" xr:uid="{00000000-0005-0000-0000-0000DF000000}"/>
    <cellStyle name="Currency 5 2 3" xfId="129" xr:uid="{00000000-0005-0000-0000-0000E0000000}"/>
    <cellStyle name="Currency 5 2 3 2" xfId="285" xr:uid="{00000000-0005-0000-0000-0000E1000000}"/>
    <cellStyle name="Currency 5 2 3 2 2" xfId="1224" xr:uid="{00000000-0005-0000-0000-0000E2000000}"/>
    <cellStyle name="Currency 5 2 3 2 3" xfId="911" xr:uid="{00000000-0005-0000-0000-0000E3000000}"/>
    <cellStyle name="Currency 5 2 3 2 4" xfId="598" xr:uid="{00000000-0005-0000-0000-0000E4000000}"/>
    <cellStyle name="Currency 5 2 3 3" xfId="1068" xr:uid="{00000000-0005-0000-0000-0000E5000000}"/>
    <cellStyle name="Currency 5 2 3 4" xfId="755" xr:uid="{00000000-0005-0000-0000-0000E6000000}"/>
    <cellStyle name="Currency 5 2 3 5" xfId="442" xr:uid="{00000000-0005-0000-0000-0000E7000000}"/>
    <cellStyle name="Currency 5 2 4" xfId="206" xr:uid="{00000000-0005-0000-0000-0000E8000000}"/>
    <cellStyle name="Currency 5 2 4 2" xfId="1145" xr:uid="{00000000-0005-0000-0000-0000E9000000}"/>
    <cellStyle name="Currency 5 2 4 3" xfId="832" xr:uid="{00000000-0005-0000-0000-0000EA000000}"/>
    <cellStyle name="Currency 5 2 4 4" xfId="519" xr:uid="{00000000-0005-0000-0000-0000EB000000}"/>
    <cellStyle name="Currency 5 2 5" xfId="989" xr:uid="{00000000-0005-0000-0000-0000EC000000}"/>
    <cellStyle name="Currency 5 2 6" xfId="676" xr:uid="{00000000-0005-0000-0000-0000ED000000}"/>
    <cellStyle name="Currency 5 2 7" xfId="363" xr:uid="{00000000-0005-0000-0000-0000EE000000}"/>
    <cellStyle name="Currency 5 3" xfId="125" xr:uid="{00000000-0005-0000-0000-0000EF000000}"/>
    <cellStyle name="Currency 5 3 2" xfId="281" xr:uid="{00000000-0005-0000-0000-0000F0000000}"/>
    <cellStyle name="Currency 5 3 2 2" xfId="1220" xr:uid="{00000000-0005-0000-0000-0000F1000000}"/>
    <cellStyle name="Currency 5 3 2 3" xfId="907" xr:uid="{00000000-0005-0000-0000-0000F2000000}"/>
    <cellStyle name="Currency 5 3 2 4" xfId="594" xr:uid="{00000000-0005-0000-0000-0000F3000000}"/>
    <cellStyle name="Currency 5 3 3" xfId="1064" xr:uid="{00000000-0005-0000-0000-0000F4000000}"/>
    <cellStyle name="Currency 5 3 4" xfId="751" xr:uid="{00000000-0005-0000-0000-0000F5000000}"/>
    <cellStyle name="Currency 5 3 5" xfId="438" xr:uid="{00000000-0005-0000-0000-0000F6000000}"/>
    <cellStyle name="Currency 5 4" xfId="202" xr:uid="{00000000-0005-0000-0000-0000F7000000}"/>
    <cellStyle name="Currency 5 4 2" xfId="1141" xr:uid="{00000000-0005-0000-0000-0000F8000000}"/>
    <cellStyle name="Currency 5 4 3" xfId="828" xr:uid="{00000000-0005-0000-0000-0000F9000000}"/>
    <cellStyle name="Currency 5 4 4" xfId="515" xr:uid="{00000000-0005-0000-0000-0000FA000000}"/>
    <cellStyle name="Currency 5 5" xfId="985" xr:uid="{00000000-0005-0000-0000-0000FB000000}"/>
    <cellStyle name="Currency 5 6" xfId="672" xr:uid="{00000000-0005-0000-0000-0000FC000000}"/>
    <cellStyle name="Currency 5 7" xfId="359" xr:uid="{00000000-0005-0000-0000-0000FD000000}"/>
    <cellStyle name="Followed Hyperlink" xfId="1292" builtinId="9" hidden="1"/>
    <cellStyle name="Heading 1 2" xfId="101" xr:uid="{00000000-0005-0000-0000-0000FF000000}"/>
    <cellStyle name="Heading 1 3" xfId="110" xr:uid="{00000000-0005-0000-0000-000000010000}"/>
    <cellStyle name="Heading 2 2" xfId="111" xr:uid="{00000000-0005-0000-0000-000001010000}"/>
    <cellStyle name="Heading 3 2" xfId="112" xr:uid="{00000000-0005-0000-0000-000002010000}"/>
    <cellStyle name="Hyperlink" xfId="107" builtinId="8"/>
    <cellStyle name="Key Metric Header" xfId="113" xr:uid="{00000000-0005-0000-0000-000004010000}"/>
    <cellStyle name="Key Metric Percentage" xfId="114" xr:uid="{00000000-0005-0000-0000-000005010000}"/>
    <cellStyle name="Key Metric Value" xfId="115" xr:uid="{00000000-0005-0000-0000-000006010000}"/>
    <cellStyle name="Label" xfId="102" xr:uid="{00000000-0005-0000-0000-000007010000}"/>
    <cellStyle name="Normal" xfId="0" builtinId="0"/>
    <cellStyle name="Normal 10" xfId="36" xr:uid="{00000000-0005-0000-0000-000009010000}"/>
    <cellStyle name="Normal 11" xfId="37" xr:uid="{00000000-0005-0000-0000-00000A010000}"/>
    <cellStyle name="Normal 12" xfId="100" xr:uid="{00000000-0005-0000-0000-00000B010000}"/>
    <cellStyle name="Normal 13" xfId="38" xr:uid="{00000000-0005-0000-0000-00000C010000}"/>
    <cellStyle name="Normal 13 10" xfId="373" xr:uid="{00000000-0005-0000-0000-00000D010000}"/>
    <cellStyle name="Normal 13 2" xfId="39" xr:uid="{00000000-0005-0000-0000-00000E010000}"/>
    <cellStyle name="Normal 13 2 2" xfId="40" xr:uid="{00000000-0005-0000-0000-00000F010000}"/>
    <cellStyle name="Normal 13 2 2 2" xfId="141" xr:uid="{00000000-0005-0000-0000-000010010000}"/>
    <cellStyle name="Normal 13 2 2 2 2" xfId="297" xr:uid="{00000000-0005-0000-0000-000011010000}"/>
    <cellStyle name="Normal 13 2 2 2 2 2" xfId="1236" xr:uid="{00000000-0005-0000-0000-000012010000}"/>
    <cellStyle name="Normal 13 2 2 2 2 3" xfId="923" xr:uid="{00000000-0005-0000-0000-000013010000}"/>
    <cellStyle name="Normal 13 2 2 2 2 4" xfId="610" xr:uid="{00000000-0005-0000-0000-000014010000}"/>
    <cellStyle name="Normal 13 2 2 2 3" xfId="1080" xr:uid="{00000000-0005-0000-0000-000015010000}"/>
    <cellStyle name="Normal 13 2 2 2 4" xfId="767" xr:uid="{00000000-0005-0000-0000-000016010000}"/>
    <cellStyle name="Normal 13 2 2 2 5" xfId="454" xr:uid="{00000000-0005-0000-0000-000017010000}"/>
    <cellStyle name="Normal 13 2 2 3" xfId="218" xr:uid="{00000000-0005-0000-0000-000018010000}"/>
    <cellStyle name="Normal 13 2 2 3 2" xfId="1157" xr:uid="{00000000-0005-0000-0000-000019010000}"/>
    <cellStyle name="Normal 13 2 2 3 3" xfId="844" xr:uid="{00000000-0005-0000-0000-00001A010000}"/>
    <cellStyle name="Normal 13 2 2 3 4" xfId="531" xr:uid="{00000000-0005-0000-0000-00001B010000}"/>
    <cellStyle name="Normal 13 2 2 4" xfId="1001" xr:uid="{00000000-0005-0000-0000-00001C010000}"/>
    <cellStyle name="Normal 13 2 2 5" xfId="688" xr:uid="{00000000-0005-0000-0000-00001D010000}"/>
    <cellStyle name="Normal 13 2 2 6" xfId="375" xr:uid="{00000000-0005-0000-0000-00001E010000}"/>
    <cellStyle name="Normal 13 2 3" xfId="140" xr:uid="{00000000-0005-0000-0000-00001F010000}"/>
    <cellStyle name="Normal 13 2 3 2" xfId="296" xr:uid="{00000000-0005-0000-0000-000020010000}"/>
    <cellStyle name="Normal 13 2 3 2 2" xfId="1235" xr:uid="{00000000-0005-0000-0000-000021010000}"/>
    <cellStyle name="Normal 13 2 3 2 3" xfId="922" xr:uid="{00000000-0005-0000-0000-000022010000}"/>
    <cellStyle name="Normal 13 2 3 2 4" xfId="609" xr:uid="{00000000-0005-0000-0000-000023010000}"/>
    <cellStyle name="Normal 13 2 3 3" xfId="1079" xr:uid="{00000000-0005-0000-0000-000024010000}"/>
    <cellStyle name="Normal 13 2 3 4" xfId="766" xr:uid="{00000000-0005-0000-0000-000025010000}"/>
    <cellStyle name="Normal 13 2 3 5" xfId="453" xr:uid="{00000000-0005-0000-0000-000026010000}"/>
    <cellStyle name="Normal 13 2 4" xfId="217" xr:uid="{00000000-0005-0000-0000-000027010000}"/>
    <cellStyle name="Normal 13 2 4 2" xfId="1156" xr:uid="{00000000-0005-0000-0000-000028010000}"/>
    <cellStyle name="Normal 13 2 4 3" xfId="843" xr:uid="{00000000-0005-0000-0000-000029010000}"/>
    <cellStyle name="Normal 13 2 4 4" xfId="530" xr:uid="{00000000-0005-0000-0000-00002A010000}"/>
    <cellStyle name="Normal 13 2 5" xfId="1000" xr:uid="{00000000-0005-0000-0000-00002B010000}"/>
    <cellStyle name="Normal 13 2 6" xfId="687" xr:uid="{00000000-0005-0000-0000-00002C010000}"/>
    <cellStyle name="Normal 13 2 7" xfId="374" xr:uid="{00000000-0005-0000-0000-00002D010000}"/>
    <cellStyle name="Normal 13 3" xfId="41" xr:uid="{00000000-0005-0000-0000-00002E010000}"/>
    <cellStyle name="Normal 13 3 2" xfId="42" xr:uid="{00000000-0005-0000-0000-00002F010000}"/>
    <cellStyle name="Normal 13 3 2 2" xfId="143" xr:uid="{00000000-0005-0000-0000-000030010000}"/>
    <cellStyle name="Normal 13 3 2 2 2" xfId="299" xr:uid="{00000000-0005-0000-0000-000031010000}"/>
    <cellStyle name="Normal 13 3 2 2 2 2" xfId="1238" xr:uid="{00000000-0005-0000-0000-000032010000}"/>
    <cellStyle name="Normal 13 3 2 2 2 3" xfId="925" xr:uid="{00000000-0005-0000-0000-000033010000}"/>
    <cellStyle name="Normal 13 3 2 2 2 4" xfId="612" xr:uid="{00000000-0005-0000-0000-000034010000}"/>
    <cellStyle name="Normal 13 3 2 2 3" xfId="1082" xr:uid="{00000000-0005-0000-0000-000035010000}"/>
    <cellStyle name="Normal 13 3 2 2 4" xfId="769" xr:uid="{00000000-0005-0000-0000-000036010000}"/>
    <cellStyle name="Normal 13 3 2 2 5" xfId="456" xr:uid="{00000000-0005-0000-0000-000037010000}"/>
    <cellStyle name="Normal 13 3 2 3" xfId="220" xr:uid="{00000000-0005-0000-0000-000038010000}"/>
    <cellStyle name="Normal 13 3 2 3 2" xfId="1159" xr:uid="{00000000-0005-0000-0000-000039010000}"/>
    <cellStyle name="Normal 13 3 2 3 3" xfId="846" xr:uid="{00000000-0005-0000-0000-00003A010000}"/>
    <cellStyle name="Normal 13 3 2 3 4" xfId="533" xr:uid="{00000000-0005-0000-0000-00003B010000}"/>
    <cellStyle name="Normal 13 3 2 4" xfId="1003" xr:uid="{00000000-0005-0000-0000-00003C010000}"/>
    <cellStyle name="Normal 13 3 2 5" xfId="690" xr:uid="{00000000-0005-0000-0000-00003D010000}"/>
    <cellStyle name="Normal 13 3 2 6" xfId="377" xr:uid="{00000000-0005-0000-0000-00003E010000}"/>
    <cellStyle name="Normal 13 3 3" xfId="142" xr:uid="{00000000-0005-0000-0000-00003F010000}"/>
    <cellStyle name="Normal 13 3 3 2" xfId="298" xr:uid="{00000000-0005-0000-0000-000040010000}"/>
    <cellStyle name="Normal 13 3 3 2 2" xfId="1237" xr:uid="{00000000-0005-0000-0000-000041010000}"/>
    <cellStyle name="Normal 13 3 3 2 3" xfId="924" xr:uid="{00000000-0005-0000-0000-000042010000}"/>
    <cellStyle name="Normal 13 3 3 2 4" xfId="611" xr:uid="{00000000-0005-0000-0000-000043010000}"/>
    <cellStyle name="Normal 13 3 3 3" xfId="1081" xr:uid="{00000000-0005-0000-0000-000044010000}"/>
    <cellStyle name="Normal 13 3 3 4" xfId="768" xr:uid="{00000000-0005-0000-0000-000045010000}"/>
    <cellStyle name="Normal 13 3 3 5" xfId="455" xr:uid="{00000000-0005-0000-0000-000046010000}"/>
    <cellStyle name="Normal 13 3 4" xfId="219" xr:uid="{00000000-0005-0000-0000-000047010000}"/>
    <cellStyle name="Normal 13 3 4 2" xfId="1158" xr:uid="{00000000-0005-0000-0000-000048010000}"/>
    <cellStyle name="Normal 13 3 4 3" xfId="845" xr:uid="{00000000-0005-0000-0000-000049010000}"/>
    <cellStyle name="Normal 13 3 4 4" xfId="532" xr:uid="{00000000-0005-0000-0000-00004A010000}"/>
    <cellStyle name="Normal 13 3 5" xfId="1002" xr:uid="{00000000-0005-0000-0000-00004B010000}"/>
    <cellStyle name="Normal 13 3 6" xfId="689" xr:uid="{00000000-0005-0000-0000-00004C010000}"/>
    <cellStyle name="Normal 13 3 7" xfId="376" xr:uid="{00000000-0005-0000-0000-00004D010000}"/>
    <cellStyle name="Normal 13 4" xfId="43" xr:uid="{00000000-0005-0000-0000-00004E010000}"/>
    <cellStyle name="Normal 13 4 2" xfId="44" xr:uid="{00000000-0005-0000-0000-00004F010000}"/>
    <cellStyle name="Normal 13 4 2 2" xfId="145" xr:uid="{00000000-0005-0000-0000-000050010000}"/>
    <cellStyle name="Normal 13 4 2 2 2" xfId="301" xr:uid="{00000000-0005-0000-0000-000051010000}"/>
    <cellStyle name="Normal 13 4 2 2 2 2" xfId="1240" xr:uid="{00000000-0005-0000-0000-000052010000}"/>
    <cellStyle name="Normal 13 4 2 2 2 3" xfId="927" xr:uid="{00000000-0005-0000-0000-000053010000}"/>
    <cellStyle name="Normal 13 4 2 2 2 4" xfId="614" xr:uid="{00000000-0005-0000-0000-000054010000}"/>
    <cellStyle name="Normal 13 4 2 2 3" xfId="1084" xr:uid="{00000000-0005-0000-0000-000055010000}"/>
    <cellStyle name="Normal 13 4 2 2 4" xfId="771" xr:uid="{00000000-0005-0000-0000-000056010000}"/>
    <cellStyle name="Normal 13 4 2 2 5" xfId="458" xr:uid="{00000000-0005-0000-0000-000057010000}"/>
    <cellStyle name="Normal 13 4 2 3" xfId="222" xr:uid="{00000000-0005-0000-0000-000058010000}"/>
    <cellStyle name="Normal 13 4 2 3 2" xfId="1161" xr:uid="{00000000-0005-0000-0000-000059010000}"/>
    <cellStyle name="Normal 13 4 2 3 3" xfId="848" xr:uid="{00000000-0005-0000-0000-00005A010000}"/>
    <cellStyle name="Normal 13 4 2 3 4" xfId="535" xr:uid="{00000000-0005-0000-0000-00005B010000}"/>
    <cellStyle name="Normal 13 4 2 4" xfId="1005" xr:uid="{00000000-0005-0000-0000-00005C010000}"/>
    <cellStyle name="Normal 13 4 2 5" xfId="692" xr:uid="{00000000-0005-0000-0000-00005D010000}"/>
    <cellStyle name="Normal 13 4 2 6" xfId="379" xr:uid="{00000000-0005-0000-0000-00005E010000}"/>
    <cellStyle name="Normal 13 4 3" xfId="144" xr:uid="{00000000-0005-0000-0000-00005F010000}"/>
    <cellStyle name="Normal 13 4 3 2" xfId="300" xr:uid="{00000000-0005-0000-0000-000060010000}"/>
    <cellStyle name="Normal 13 4 3 2 2" xfId="1239" xr:uid="{00000000-0005-0000-0000-000061010000}"/>
    <cellStyle name="Normal 13 4 3 2 3" xfId="926" xr:uid="{00000000-0005-0000-0000-000062010000}"/>
    <cellStyle name="Normal 13 4 3 2 4" xfId="613" xr:uid="{00000000-0005-0000-0000-000063010000}"/>
    <cellStyle name="Normal 13 4 3 3" xfId="1083" xr:uid="{00000000-0005-0000-0000-000064010000}"/>
    <cellStyle name="Normal 13 4 3 4" xfId="770" xr:uid="{00000000-0005-0000-0000-000065010000}"/>
    <cellStyle name="Normal 13 4 3 5" xfId="457" xr:uid="{00000000-0005-0000-0000-000066010000}"/>
    <cellStyle name="Normal 13 4 4" xfId="221" xr:uid="{00000000-0005-0000-0000-000067010000}"/>
    <cellStyle name="Normal 13 4 4 2" xfId="1160" xr:uid="{00000000-0005-0000-0000-000068010000}"/>
    <cellStyle name="Normal 13 4 4 3" xfId="847" xr:uid="{00000000-0005-0000-0000-000069010000}"/>
    <cellStyle name="Normal 13 4 4 4" xfId="534" xr:uid="{00000000-0005-0000-0000-00006A010000}"/>
    <cellStyle name="Normal 13 4 5" xfId="1004" xr:uid="{00000000-0005-0000-0000-00006B010000}"/>
    <cellStyle name="Normal 13 4 6" xfId="691" xr:uid="{00000000-0005-0000-0000-00006C010000}"/>
    <cellStyle name="Normal 13 4 7" xfId="378" xr:uid="{00000000-0005-0000-0000-00006D010000}"/>
    <cellStyle name="Normal 13 5" xfId="45" xr:uid="{00000000-0005-0000-0000-00006E010000}"/>
    <cellStyle name="Normal 13 5 2" xfId="146" xr:uid="{00000000-0005-0000-0000-00006F010000}"/>
    <cellStyle name="Normal 13 5 2 2" xfId="302" xr:uid="{00000000-0005-0000-0000-000070010000}"/>
    <cellStyle name="Normal 13 5 2 2 2" xfId="1241" xr:uid="{00000000-0005-0000-0000-000071010000}"/>
    <cellStyle name="Normal 13 5 2 2 3" xfId="928" xr:uid="{00000000-0005-0000-0000-000072010000}"/>
    <cellStyle name="Normal 13 5 2 2 4" xfId="615" xr:uid="{00000000-0005-0000-0000-000073010000}"/>
    <cellStyle name="Normal 13 5 2 3" xfId="1085" xr:uid="{00000000-0005-0000-0000-000074010000}"/>
    <cellStyle name="Normal 13 5 2 4" xfId="772" xr:uid="{00000000-0005-0000-0000-000075010000}"/>
    <cellStyle name="Normal 13 5 2 5" xfId="459" xr:uid="{00000000-0005-0000-0000-000076010000}"/>
    <cellStyle name="Normal 13 5 3" xfId="223" xr:uid="{00000000-0005-0000-0000-000077010000}"/>
    <cellStyle name="Normal 13 5 3 2" xfId="1162" xr:uid="{00000000-0005-0000-0000-000078010000}"/>
    <cellStyle name="Normal 13 5 3 3" xfId="849" xr:uid="{00000000-0005-0000-0000-000079010000}"/>
    <cellStyle name="Normal 13 5 3 4" xfId="536" xr:uid="{00000000-0005-0000-0000-00007A010000}"/>
    <cellStyle name="Normal 13 5 4" xfId="1006" xr:uid="{00000000-0005-0000-0000-00007B010000}"/>
    <cellStyle name="Normal 13 5 5" xfId="693" xr:uid="{00000000-0005-0000-0000-00007C010000}"/>
    <cellStyle name="Normal 13 5 6" xfId="380" xr:uid="{00000000-0005-0000-0000-00007D010000}"/>
    <cellStyle name="Normal 13 6" xfId="139" xr:uid="{00000000-0005-0000-0000-00007E010000}"/>
    <cellStyle name="Normal 13 6 2" xfId="295" xr:uid="{00000000-0005-0000-0000-00007F010000}"/>
    <cellStyle name="Normal 13 6 2 2" xfId="1234" xr:uid="{00000000-0005-0000-0000-000080010000}"/>
    <cellStyle name="Normal 13 6 2 3" xfId="921" xr:uid="{00000000-0005-0000-0000-000081010000}"/>
    <cellStyle name="Normal 13 6 2 4" xfId="608" xr:uid="{00000000-0005-0000-0000-000082010000}"/>
    <cellStyle name="Normal 13 6 3" xfId="1078" xr:uid="{00000000-0005-0000-0000-000083010000}"/>
    <cellStyle name="Normal 13 6 4" xfId="765" xr:uid="{00000000-0005-0000-0000-000084010000}"/>
    <cellStyle name="Normal 13 6 5" xfId="452" xr:uid="{00000000-0005-0000-0000-000085010000}"/>
    <cellStyle name="Normal 13 7" xfId="216" xr:uid="{00000000-0005-0000-0000-000086010000}"/>
    <cellStyle name="Normal 13 7 2" xfId="1155" xr:uid="{00000000-0005-0000-0000-000087010000}"/>
    <cellStyle name="Normal 13 7 3" xfId="842" xr:uid="{00000000-0005-0000-0000-000088010000}"/>
    <cellStyle name="Normal 13 7 4" xfId="529" xr:uid="{00000000-0005-0000-0000-000089010000}"/>
    <cellStyle name="Normal 13 8" xfId="999" xr:uid="{00000000-0005-0000-0000-00008A010000}"/>
    <cellStyle name="Normal 13 9" xfId="686" xr:uid="{00000000-0005-0000-0000-00008B010000}"/>
    <cellStyle name="Normal 14" xfId="108" xr:uid="{00000000-0005-0000-0000-00008C010000}"/>
    <cellStyle name="Normal 14 2" xfId="196" xr:uid="{00000000-0005-0000-0000-00008D010000}"/>
    <cellStyle name="Normal 14 2 2" xfId="352" xr:uid="{00000000-0005-0000-0000-00008E010000}"/>
    <cellStyle name="Normal 14 2 2 2" xfId="1291" xr:uid="{00000000-0005-0000-0000-00008F010000}"/>
    <cellStyle name="Normal 14 2 2 3" xfId="978" xr:uid="{00000000-0005-0000-0000-000090010000}"/>
    <cellStyle name="Normal 14 2 2 4" xfId="665" xr:uid="{00000000-0005-0000-0000-000091010000}"/>
    <cellStyle name="Normal 14 2 3" xfId="1135" xr:uid="{00000000-0005-0000-0000-000092010000}"/>
    <cellStyle name="Normal 14 2 4" xfId="822" xr:uid="{00000000-0005-0000-0000-000093010000}"/>
    <cellStyle name="Normal 14 2 5" xfId="509" xr:uid="{00000000-0005-0000-0000-000094010000}"/>
    <cellStyle name="Normal 14 3" xfId="273" xr:uid="{00000000-0005-0000-0000-000095010000}"/>
    <cellStyle name="Normal 14 3 2" xfId="1212" xr:uid="{00000000-0005-0000-0000-000096010000}"/>
    <cellStyle name="Normal 14 3 3" xfId="899" xr:uid="{00000000-0005-0000-0000-000097010000}"/>
    <cellStyle name="Normal 14 3 4" xfId="586" xr:uid="{00000000-0005-0000-0000-000098010000}"/>
    <cellStyle name="Normal 14 4" xfId="1056" xr:uid="{00000000-0005-0000-0000-000099010000}"/>
    <cellStyle name="Normal 14 5" xfId="743" xr:uid="{00000000-0005-0000-0000-00009A010000}"/>
    <cellStyle name="Normal 14 6" xfId="430" xr:uid="{00000000-0005-0000-0000-00009B010000}"/>
    <cellStyle name="Normal 15" xfId="116" xr:uid="{00000000-0005-0000-0000-00009C010000}"/>
    <cellStyle name="Normal 16" xfId="1294" xr:uid="{00000000-0005-0000-0000-00009D010000}"/>
    <cellStyle name="Normal 17" xfId="1298" xr:uid="{00000000-0005-0000-0000-00009E010000}"/>
    <cellStyle name="Normal 18" xfId="1299" xr:uid="{0B231044-BE06-46F2-A742-3E5EE9C761CD}"/>
    <cellStyle name="Normal 2" xfId="9" xr:uid="{00000000-0005-0000-0000-00009F010000}"/>
    <cellStyle name="Normal 2 10" xfId="46" xr:uid="{00000000-0005-0000-0000-0000A0010000}"/>
    <cellStyle name="Normal 2 10 2" xfId="147" xr:uid="{00000000-0005-0000-0000-0000A1010000}"/>
    <cellStyle name="Normal 2 10 2 2" xfId="303" xr:uid="{00000000-0005-0000-0000-0000A2010000}"/>
    <cellStyle name="Normal 2 10 2 2 2" xfId="1242" xr:uid="{00000000-0005-0000-0000-0000A3010000}"/>
    <cellStyle name="Normal 2 10 2 2 3" xfId="929" xr:uid="{00000000-0005-0000-0000-0000A4010000}"/>
    <cellStyle name="Normal 2 10 2 2 4" xfId="616" xr:uid="{00000000-0005-0000-0000-0000A5010000}"/>
    <cellStyle name="Normal 2 10 2 3" xfId="1086" xr:uid="{00000000-0005-0000-0000-0000A6010000}"/>
    <cellStyle name="Normal 2 10 2 4" xfId="773" xr:uid="{00000000-0005-0000-0000-0000A7010000}"/>
    <cellStyle name="Normal 2 10 2 5" xfId="460" xr:uid="{00000000-0005-0000-0000-0000A8010000}"/>
    <cellStyle name="Normal 2 10 3" xfId="224" xr:uid="{00000000-0005-0000-0000-0000A9010000}"/>
    <cellStyle name="Normal 2 10 3 2" xfId="1163" xr:uid="{00000000-0005-0000-0000-0000AA010000}"/>
    <cellStyle name="Normal 2 10 3 3" xfId="850" xr:uid="{00000000-0005-0000-0000-0000AB010000}"/>
    <cellStyle name="Normal 2 10 3 4" xfId="537" xr:uid="{00000000-0005-0000-0000-0000AC010000}"/>
    <cellStyle name="Normal 2 10 4" xfId="1007" xr:uid="{00000000-0005-0000-0000-0000AD010000}"/>
    <cellStyle name="Normal 2 10 5" xfId="694" xr:uid="{00000000-0005-0000-0000-0000AE010000}"/>
    <cellStyle name="Normal 2 10 6" xfId="381" xr:uid="{00000000-0005-0000-0000-0000AF010000}"/>
    <cellStyle name="Normal 2 2" xfId="10" xr:uid="{00000000-0005-0000-0000-0000B0010000}"/>
    <cellStyle name="Normal 2 3" xfId="11" xr:uid="{00000000-0005-0000-0000-0000B1010000}"/>
    <cellStyle name="Normal 2 3 2" xfId="47" xr:uid="{00000000-0005-0000-0000-0000B2010000}"/>
    <cellStyle name="Normal 2 3 2 2" xfId="48" xr:uid="{00000000-0005-0000-0000-0000B3010000}"/>
    <cellStyle name="Normal 2 3 2 2 2" xfId="149" xr:uid="{00000000-0005-0000-0000-0000B4010000}"/>
    <cellStyle name="Normal 2 3 2 2 2 2" xfId="305" xr:uid="{00000000-0005-0000-0000-0000B5010000}"/>
    <cellStyle name="Normal 2 3 2 2 2 2 2" xfId="1244" xr:uid="{00000000-0005-0000-0000-0000B6010000}"/>
    <cellStyle name="Normal 2 3 2 2 2 2 3" xfId="931" xr:uid="{00000000-0005-0000-0000-0000B7010000}"/>
    <cellStyle name="Normal 2 3 2 2 2 2 4" xfId="618" xr:uid="{00000000-0005-0000-0000-0000B8010000}"/>
    <cellStyle name="Normal 2 3 2 2 2 3" xfId="1088" xr:uid="{00000000-0005-0000-0000-0000B9010000}"/>
    <cellStyle name="Normal 2 3 2 2 2 4" xfId="775" xr:uid="{00000000-0005-0000-0000-0000BA010000}"/>
    <cellStyle name="Normal 2 3 2 2 2 5" xfId="462" xr:uid="{00000000-0005-0000-0000-0000BB010000}"/>
    <cellStyle name="Normal 2 3 2 2 3" xfId="226" xr:uid="{00000000-0005-0000-0000-0000BC010000}"/>
    <cellStyle name="Normal 2 3 2 2 3 2" xfId="1165" xr:uid="{00000000-0005-0000-0000-0000BD010000}"/>
    <cellStyle name="Normal 2 3 2 2 3 3" xfId="852" xr:uid="{00000000-0005-0000-0000-0000BE010000}"/>
    <cellStyle name="Normal 2 3 2 2 3 4" xfId="539" xr:uid="{00000000-0005-0000-0000-0000BF010000}"/>
    <cellStyle name="Normal 2 3 2 2 4" xfId="1009" xr:uid="{00000000-0005-0000-0000-0000C0010000}"/>
    <cellStyle name="Normal 2 3 2 2 5" xfId="696" xr:uid="{00000000-0005-0000-0000-0000C1010000}"/>
    <cellStyle name="Normal 2 3 2 2 6" xfId="383" xr:uid="{00000000-0005-0000-0000-0000C2010000}"/>
    <cellStyle name="Normal 2 3 2 3" xfId="148" xr:uid="{00000000-0005-0000-0000-0000C3010000}"/>
    <cellStyle name="Normal 2 3 2 3 2" xfId="304" xr:uid="{00000000-0005-0000-0000-0000C4010000}"/>
    <cellStyle name="Normal 2 3 2 3 2 2" xfId="1243" xr:uid="{00000000-0005-0000-0000-0000C5010000}"/>
    <cellStyle name="Normal 2 3 2 3 2 3" xfId="930" xr:uid="{00000000-0005-0000-0000-0000C6010000}"/>
    <cellStyle name="Normal 2 3 2 3 2 4" xfId="617" xr:uid="{00000000-0005-0000-0000-0000C7010000}"/>
    <cellStyle name="Normal 2 3 2 3 3" xfId="1087" xr:uid="{00000000-0005-0000-0000-0000C8010000}"/>
    <cellStyle name="Normal 2 3 2 3 4" xfId="774" xr:uid="{00000000-0005-0000-0000-0000C9010000}"/>
    <cellStyle name="Normal 2 3 2 3 5" xfId="461" xr:uid="{00000000-0005-0000-0000-0000CA010000}"/>
    <cellStyle name="Normal 2 3 2 4" xfId="225" xr:uid="{00000000-0005-0000-0000-0000CB010000}"/>
    <cellStyle name="Normal 2 3 2 4 2" xfId="1164" xr:uid="{00000000-0005-0000-0000-0000CC010000}"/>
    <cellStyle name="Normal 2 3 2 4 3" xfId="851" xr:uid="{00000000-0005-0000-0000-0000CD010000}"/>
    <cellStyle name="Normal 2 3 2 4 4" xfId="538" xr:uid="{00000000-0005-0000-0000-0000CE010000}"/>
    <cellStyle name="Normal 2 3 2 5" xfId="1008" xr:uid="{00000000-0005-0000-0000-0000CF010000}"/>
    <cellStyle name="Normal 2 3 2 6" xfId="695" xr:uid="{00000000-0005-0000-0000-0000D0010000}"/>
    <cellStyle name="Normal 2 3 2 7" xfId="382" xr:uid="{00000000-0005-0000-0000-0000D1010000}"/>
    <cellStyle name="Normal 2 3 3" xfId="49" xr:uid="{00000000-0005-0000-0000-0000D2010000}"/>
    <cellStyle name="Normal 2 3 3 2" xfId="50" xr:uid="{00000000-0005-0000-0000-0000D3010000}"/>
    <cellStyle name="Normal 2 3 3 2 2" xfId="151" xr:uid="{00000000-0005-0000-0000-0000D4010000}"/>
    <cellStyle name="Normal 2 3 3 2 2 2" xfId="307" xr:uid="{00000000-0005-0000-0000-0000D5010000}"/>
    <cellStyle name="Normal 2 3 3 2 2 2 2" xfId="1246" xr:uid="{00000000-0005-0000-0000-0000D6010000}"/>
    <cellStyle name="Normal 2 3 3 2 2 2 3" xfId="933" xr:uid="{00000000-0005-0000-0000-0000D7010000}"/>
    <cellStyle name="Normal 2 3 3 2 2 2 4" xfId="620" xr:uid="{00000000-0005-0000-0000-0000D8010000}"/>
    <cellStyle name="Normal 2 3 3 2 2 3" xfId="1090" xr:uid="{00000000-0005-0000-0000-0000D9010000}"/>
    <cellStyle name="Normal 2 3 3 2 2 4" xfId="777" xr:uid="{00000000-0005-0000-0000-0000DA010000}"/>
    <cellStyle name="Normal 2 3 3 2 2 5" xfId="464" xr:uid="{00000000-0005-0000-0000-0000DB010000}"/>
    <cellStyle name="Normal 2 3 3 2 3" xfId="228" xr:uid="{00000000-0005-0000-0000-0000DC010000}"/>
    <cellStyle name="Normal 2 3 3 2 3 2" xfId="1167" xr:uid="{00000000-0005-0000-0000-0000DD010000}"/>
    <cellStyle name="Normal 2 3 3 2 3 3" xfId="854" xr:uid="{00000000-0005-0000-0000-0000DE010000}"/>
    <cellStyle name="Normal 2 3 3 2 3 4" xfId="541" xr:uid="{00000000-0005-0000-0000-0000DF010000}"/>
    <cellStyle name="Normal 2 3 3 2 4" xfId="1011" xr:uid="{00000000-0005-0000-0000-0000E0010000}"/>
    <cellStyle name="Normal 2 3 3 2 5" xfId="698" xr:uid="{00000000-0005-0000-0000-0000E1010000}"/>
    <cellStyle name="Normal 2 3 3 2 6" xfId="385" xr:uid="{00000000-0005-0000-0000-0000E2010000}"/>
    <cellStyle name="Normal 2 3 3 3" xfId="150" xr:uid="{00000000-0005-0000-0000-0000E3010000}"/>
    <cellStyle name="Normal 2 3 3 3 2" xfId="306" xr:uid="{00000000-0005-0000-0000-0000E4010000}"/>
    <cellStyle name="Normal 2 3 3 3 2 2" xfId="1245" xr:uid="{00000000-0005-0000-0000-0000E5010000}"/>
    <cellStyle name="Normal 2 3 3 3 2 3" xfId="932" xr:uid="{00000000-0005-0000-0000-0000E6010000}"/>
    <cellStyle name="Normal 2 3 3 3 2 4" xfId="619" xr:uid="{00000000-0005-0000-0000-0000E7010000}"/>
    <cellStyle name="Normal 2 3 3 3 3" xfId="1089" xr:uid="{00000000-0005-0000-0000-0000E8010000}"/>
    <cellStyle name="Normal 2 3 3 3 4" xfId="776" xr:uid="{00000000-0005-0000-0000-0000E9010000}"/>
    <cellStyle name="Normal 2 3 3 3 5" xfId="463" xr:uid="{00000000-0005-0000-0000-0000EA010000}"/>
    <cellStyle name="Normal 2 3 3 4" xfId="227" xr:uid="{00000000-0005-0000-0000-0000EB010000}"/>
    <cellStyle name="Normal 2 3 3 4 2" xfId="1166" xr:uid="{00000000-0005-0000-0000-0000EC010000}"/>
    <cellStyle name="Normal 2 3 3 4 3" xfId="853" xr:uid="{00000000-0005-0000-0000-0000ED010000}"/>
    <cellStyle name="Normal 2 3 3 4 4" xfId="540" xr:uid="{00000000-0005-0000-0000-0000EE010000}"/>
    <cellStyle name="Normal 2 3 3 5" xfId="1010" xr:uid="{00000000-0005-0000-0000-0000EF010000}"/>
    <cellStyle name="Normal 2 3 3 6" xfId="697" xr:uid="{00000000-0005-0000-0000-0000F0010000}"/>
    <cellStyle name="Normal 2 3 3 7" xfId="384" xr:uid="{00000000-0005-0000-0000-0000F1010000}"/>
    <cellStyle name="Normal 2 3 4" xfId="51" xr:uid="{00000000-0005-0000-0000-0000F2010000}"/>
    <cellStyle name="Normal 2 3 4 2" xfId="52" xr:uid="{00000000-0005-0000-0000-0000F3010000}"/>
    <cellStyle name="Normal 2 3 4 2 2" xfId="153" xr:uid="{00000000-0005-0000-0000-0000F4010000}"/>
    <cellStyle name="Normal 2 3 4 2 2 2" xfId="309" xr:uid="{00000000-0005-0000-0000-0000F5010000}"/>
    <cellStyle name="Normal 2 3 4 2 2 2 2" xfId="1248" xr:uid="{00000000-0005-0000-0000-0000F6010000}"/>
    <cellStyle name="Normal 2 3 4 2 2 2 3" xfId="935" xr:uid="{00000000-0005-0000-0000-0000F7010000}"/>
    <cellStyle name="Normal 2 3 4 2 2 2 4" xfId="622" xr:uid="{00000000-0005-0000-0000-0000F8010000}"/>
    <cellStyle name="Normal 2 3 4 2 2 3" xfId="1092" xr:uid="{00000000-0005-0000-0000-0000F9010000}"/>
    <cellStyle name="Normal 2 3 4 2 2 4" xfId="779" xr:uid="{00000000-0005-0000-0000-0000FA010000}"/>
    <cellStyle name="Normal 2 3 4 2 2 5" xfId="466" xr:uid="{00000000-0005-0000-0000-0000FB010000}"/>
    <cellStyle name="Normal 2 3 4 2 3" xfId="230" xr:uid="{00000000-0005-0000-0000-0000FC010000}"/>
    <cellStyle name="Normal 2 3 4 2 3 2" xfId="1169" xr:uid="{00000000-0005-0000-0000-0000FD010000}"/>
    <cellStyle name="Normal 2 3 4 2 3 3" xfId="856" xr:uid="{00000000-0005-0000-0000-0000FE010000}"/>
    <cellStyle name="Normal 2 3 4 2 3 4" xfId="543" xr:uid="{00000000-0005-0000-0000-0000FF010000}"/>
    <cellStyle name="Normal 2 3 4 2 4" xfId="1013" xr:uid="{00000000-0005-0000-0000-000000020000}"/>
    <cellStyle name="Normal 2 3 4 2 5" xfId="700" xr:uid="{00000000-0005-0000-0000-000001020000}"/>
    <cellStyle name="Normal 2 3 4 2 6" xfId="387" xr:uid="{00000000-0005-0000-0000-000002020000}"/>
    <cellStyle name="Normal 2 3 4 3" xfId="152" xr:uid="{00000000-0005-0000-0000-000003020000}"/>
    <cellStyle name="Normal 2 3 4 3 2" xfId="308" xr:uid="{00000000-0005-0000-0000-000004020000}"/>
    <cellStyle name="Normal 2 3 4 3 2 2" xfId="1247" xr:uid="{00000000-0005-0000-0000-000005020000}"/>
    <cellStyle name="Normal 2 3 4 3 2 3" xfId="934" xr:uid="{00000000-0005-0000-0000-000006020000}"/>
    <cellStyle name="Normal 2 3 4 3 2 4" xfId="621" xr:uid="{00000000-0005-0000-0000-000007020000}"/>
    <cellStyle name="Normal 2 3 4 3 3" xfId="1091" xr:uid="{00000000-0005-0000-0000-000008020000}"/>
    <cellStyle name="Normal 2 3 4 3 4" xfId="778" xr:uid="{00000000-0005-0000-0000-000009020000}"/>
    <cellStyle name="Normal 2 3 4 3 5" xfId="465" xr:uid="{00000000-0005-0000-0000-00000A020000}"/>
    <cellStyle name="Normal 2 3 4 4" xfId="229" xr:uid="{00000000-0005-0000-0000-00000B020000}"/>
    <cellStyle name="Normal 2 3 4 4 2" xfId="1168" xr:uid="{00000000-0005-0000-0000-00000C020000}"/>
    <cellStyle name="Normal 2 3 4 4 3" xfId="855" xr:uid="{00000000-0005-0000-0000-00000D020000}"/>
    <cellStyle name="Normal 2 3 4 4 4" xfId="542" xr:uid="{00000000-0005-0000-0000-00000E020000}"/>
    <cellStyle name="Normal 2 3 4 5" xfId="1012" xr:uid="{00000000-0005-0000-0000-00000F020000}"/>
    <cellStyle name="Normal 2 3 4 6" xfId="699" xr:uid="{00000000-0005-0000-0000-000010020000}"/>
    <cellStyle name="Normal 2 3 4 7" xfId="386" xr:uid="{00000000-0005-0000-0000-000011020000}"/>
    <cellStyle name="Normal 2 3 5" xfId="53" xr:uid="{00000000-0005-0000-0000-000012020000}"/>
    <cellStyle name="Normal 2 3 5 2" xfId="154" xr:uid="{00000000-0005-0000-0000-000013020000}"/>
    <cellStyle name="Normal 2 3 5 2 2" xfId="310" xr:uid="{00000000-0005-0000-0000-000014020000}"/>
    <cellStyle name="Normal 2 3 5 2 2 2" xfId="1249" xr:uid="{00000000-0005-0000-0000-000015020000}"/>
    <cellStyle name="Normal 2 3 5 2 2 3" xfId="936" xr:uid="{00000000-0005-0000-0000-000016020000}"/>
    <cellStyle name="Normal 2 3 5 2 2 4" xfId="623" xr:uid="{00000000-0005-0000-0000-000017020000}"/>
    <cellStyle name="Normal 2 3 5 2 3" xfId="1093" xr:uid="{00000000-0005-0000-0000-000018020000}"/>
    <cellStyle name="Normal 2 3 5 2 4" xfId="780" xr:uid="{00000000-0005-0000-0000-000019020000}"/>
    <cellStyle name="Normal 2 3 5 2 5" xfId="467" xr:uid="{00000000-0005-0000-0000-00001A020000}"/>
    <cellStyle name="Normal 2 3 5 3" xfId="231" xr:uid="{00000000-0005-0000-0000-00001B020000}"/>
    <cellStyle name="Normal 2 3 5 3 2" xfId="1170" xr:uid="{00000000-0005-0000-0000-00001C020000}"/>
    <cellStyle name="Normal 2 3 5 3 3" xfId="857" xr:uid="{00000000-0005-0000-0000-00001D020000}"/>
    <cellStyle name="Normal 2 3 5 3 4" xfId="544" xr:uid="{00000000-0005-0000-0000-00001E020000}"/>
    <cellStyle name="Normal 2 3 5 4" xfId="1014" xr:uid="{00000000-0005-0000-0000-00001F020000}"/>
    <cellStyle name="Normal 2 3 5 5" xfId="701" xr:uid="{00000000-0005-0000-0000-000020020000}"/>
    <cellStyle name="Normal 2 3 5 6" xfId="388" xr:uid="{00000000-0005-0000-0000-000021020000}"/>
    <cellStyle name="Normal 2 4" xfId="54" xr:uid="{00000000-0005-0000-0000-000022020000}"/>
    <cellStyle name="Normal 2 4 10" xfId="389" xr:uid="{00000000-0005-0000-0000-000023020000}"/>
    <cellStyle name="Normal 2 4 2" xfId="55" xr:uid="{00000000-0005-0000-0000-000024020000}"/>
    <cellStyle name="Normal 2 4 2 2" xfId="56" xr:uid="{00000000-0005-0000-0000-000025020000}"/>
    <cellStyle name="Normal 2 4 2 2 2" xfId="157" xr:uid="{00000000-0005-0000-0000-000026020000}"/>
    <cellStyle name="Normal 2 4 2 2 2 2" xfId="313" xr:uid="{00000000-0005-0000-0000-000027020000}"/>
    <cellStyle name="Normal 2 4 2 2 2 2 2" xfId="1252" xr:uid="{00000000-0005-0000-0000-000028020000}"/>
    <cellStyle name="Normal 2 4 2 2 2 2 3" xfId="939" xr:uid="{00000000-0005-0000-0000-000029020000}"/>
    <cellStyle name="Normal 2 4 2 2 2 2 4" xfId="626" xr:uid="{00000000-0005-0000-0000-00002A020000}"/>
    <cellStyle name="Normal 2 4 2 2 2 3" xfId="1096" xr:uid="{00000000-0005-0000-0000-00002B020000}"/>
    <cellStyle name="Normal 2 4 2 2 2 4" xfId="783" xr:uid="{00000000-0005-0000-0000-00002C020000}"/>
    <cellStyle name="Normal 2 4 2 2 2 5" xfId="470" xr:uid="{00000000-0005-0000-0000-00002D020000}"/>
    <cellStyle name="Normal 2 4 2 2 3" xfId="234" xr:uid="{00000000-0005-0000-0000-00002E020000}"/>
    <cellStyle name="Normal 2 4 2 2 3 2" xfId="1173" xr:uid="{00000000-0005-0000-0000-00002F020000}"/>
    <cellStyle name="Normal 2 4 2 2 3 3" xfId="860" xr:uid="{00000000-0005-0000-0000-000030020000}"/>
    <cellStyle name="Normal 2 4 2 2 3 4" xfId="547" xr:uid="{00000000-0005-0000-0000-000031020000}"/>
    <cellStyle name="Normal 2 4 2 2 4" xfId="1017" xr:uid="{00000000-0005-0000-0000-000032020000}"/>
    <cellStyle name="Normal 2 4 2 2 5" xfId="704" xr:uid="{00000000-0005-0000-0000-000033020000}"/>
    <cellStyle name="Normal 2 4 2 2 6" xfId="391" xr:uid="{00000000-0005-0000-0000-000034020000}"/>
    <cellStyle name="Normal 2 4 2 3" xfId="156" xr:uid="{00000000-0005-0000-0000-000035020000}"/>
    <cellStyle name="Normal 2 4 2 3 2" xfId="312" xr:uid="{00000000-0005-0000-0000-000036020000}"/>
    <cellStyle name="Normal 2 4 2 3 2 2" xfId="1251" xr:uid="{00000000-0005-0000-0000-000037020000}"/>
    <cellStyle name="Normal 2 4 2 3 2 3" xfId="938" xr:uid="{00000000-0005-0000-0000-000038020000}"/>
    <cellStyle name="Normal 2 4 2 3 2 4" xfId="625" xr:uid="{00000000-0005-0000-0000-000039020000}"/>
    <cellStyle name="Normal 2 4 2 3 3" xfId="1095" xr:uid="{00000000-0005-0000-0000-00003A020000}"/>
    <cellStyle name="Normal 2 4 2 3 4" xfId="782" xr:uid="{00000000-0005-0000-0000-00003B020000}"/>
    <cellStyle name="Normal 2 4 2 3 5" xfId="469" xr:uid="{00000000-0005-0000-0000-00003C020000}"/>
    <cellStyle name="Normal 2 4 2 4" xfId="233" xr:uid="{00000000-0005-0000-0000-00003D020000}"/>
    <cellStyle name="Normal 2 4 2 4 2" xfId="1172" xr:uid="{00000000-0005-0000-0000-00003E020000}"/>
    <cellStyle name="Normal 2 4 2 4 3" xfId="859" xr:uid="{00000000-0005-0000-0000-00003F020000}"/>
    <cellStyle name="Normal 2 4 2 4 4" xfId="546" xr:uid="{00000000-0005-0000-0000-000040020000}"/>
    <cellStyle name="Normal 2 4 2 5" xfId="1016" xr:uid="{00000000-0005-0000-0000-000041020000}"/>
    <cellStyle name="Normal 2 4 2 6" xfId="703" xr:uid="{00000000-0005-0000-0000-000042020000}"/>
    <cellStyle name="Normal 2 4 2 7" xfId="390" xr:uid="{00000000-0005-0000-0000-000043020000}"/>
    <cellStyle name="Normal 2 4 3" xfId="57" xr:uid="{00000000-0005-0000-0000-000044020000}"/>
    <cellStyle name="Normal 2 4 3 2" xfId="58" xr:uid="{00000000-0005-0000-0000-000045020000}"/>
    <cellStyle name="Normal 2 4 3 2 2" xfId="159" xr:uid="{00000000-0005-0000-0000-000046020000}"/>
    <cellStyle name="Normal 2 4 3 2 2 2" xfId="315" xr:uid="{00000000-0005-0000-0000-000047020000}"/>
    <cellStyle name="Normal 2 4 3 2 2 2 2" xfId="1254" xr:uid="{00000000-0005-0000-0000-000048020000}"/>
    <cellStyle name="Normal 2 4 3 2 2 2 3" xfId="941" xr:uid="{00000000-0005-0000-0000-000049020000}"/>
    <cellStyle name="Normal 2 4 3 2 2 2 4" xfId="628" xr:uid="{00000000-0005-0000-0000-00004A020000}"/>
    <cellStyle name="Normal 2 4 3 2 2 3" xfId="1098" xr:uid="{00000000-0005-0000-0000-00004B020000}"/>
    <cellStyle name="Normal 2 4 3 2 2 4" xfId="785" xr:uid="{00000000-0005-0000-0000-00004C020000}"/>
    <cellStyle name="Normal 2 4 3 2 2 5" xfId="472" xr:uid="{00000000-0005-0000-0000-00004D020000}"/>
    <cellStyle name="Normal 2 4 3 2 3" xfId="236" xr:uid="{00000000-0005-0000-0000-00004E020000}"/>
    <cellStyle name="Normal 2 4 3 2 3 2" xfId="1175" xr:uid="{00000000-0005-0000-0000-00004F020000}"/>
    <cellStyle name="Normal 2 4 3 2 3 3" xfId="862" xr:uid="{00000000-0005-0000-0000-000050020000}"/>
    <cellStyle name="Normal 2 4 3 2 3 4" xfId="549" xr:uid="{00000000-0005-0000-0000-000051020000}"/>
    <cellStyle name="Normal 2 4 3 2 4" xfId="1019" xr:uid="{00000000-0005-0000-0000-000052020000}"/>
    <cellStyle name="Normal 2 4 3 2 5" xfId="706" xr:uid="{00000000-0005-0000-0000-000053020000}"/>
    <cellStyle name="Normal 2 4 3 2 6" xfId="393" xr:uid="{00000000-0005-0000-0000-000054020000}"/>
    <cellStyle name="Normal 2 4 3 3" xfId="158" xr:uid="{00000000-0005-0000-0000-000055020000}"/>
    <cellStyle name="Normal 2 4 3 3 2" xfId="314" xr:uid="{00000000-0005-0000-0000-000056020000}"/>
    <cellStyle name="Normal 2 4 3 3 2 2" xfId="1253" xr:uid="{00000000-0005-0000-0000-000057020000}"/>
    <cellStyle name="Normal 2 4 3 3 2 3" xfId="940" xr:uid="{00000000-0005-0000-0000-000058020000}"/>
    <cellStyle name="Normal 2 4 3 3 2 4" xfId="627" xr:uid="{00000000-0005-0000-0000-000059020000}"/>
    <cellStyle name="Normal 2 4 3 3 3" xfId="1097" xr:uid="{00000000-0005-0000-0000-00005A020000}"/>
    <cellStyle name="Normal 2 4 3 3 4" xfId="784" xr:uid="{00000000-0005-0000-0000-00005B020000}"/>
    <cellStyle name="Normal 2 4 3 3 5" xfId="471" xr:uid="{00000000-0005-0000-0000-00005C020000}"/>
    <cellStyle name="Normal 2 4 3 4" xfId="235" xr:uid="{00000000-0005-0000-0000-00005D020000}"/>
    <cellStyle name="Normal 2 4 3 4 2" xfId="1174" xr:uid="{00000000-0005-0000-0000-00005E020000}"/>
    <cellStyle name="Normal 2 4 3 4 3" xfId="861" xr:uid="{00000000-0005-0000-0000-00005F020000}"/>
    <cellStyle name="Normal 2 4 3 4 4" xfId="548" xr:uid="{00000000-0005-0000-0000-000060020000}"/>
    <cellStyle name="Normal 2 4 3 5" xfId="1018" xr:uid="{00000000-0005-0000-0000-000061020000}"/>
    <cellStyle name="Normal 2 4 3 6" xfId="705" xr:uid="{00000000-0005-0000-0000-000062020000}"/>
    <cellStyle name="Normal 2 4 3 7" xfId="392" xr:uid="{00000000-0005-0000-0000-000063020000}"/>
    <cellStyle name="Normal 2 4 4" xfId="59" xr:uid="{00000000-0005-0000-0000-000064020000}"/>
    <cellStyle name="Normal 2 4 4 2" xfId="60" xr:uid="{00000000-0005-0000-0000-000065020000}"/>
    <cellStyle name="Normal 2 4 4 2 2" xfId="161" xr:uid="{00000000-0005-0000-0000-000066020000}"/>
    <cellStyle name="Normal 2 4 4 2 2 2" xfId="317" xr:uid="{00000000-0005-0000-0000-000067020000}"/>
    <cellStyle name="Normal 2 4 4 2 2 2 2" xfId="1256" xr:uid="{00000000-0005-0000-0000-000068020000}"/>
    <cellStyle name="Normal 2 4 4 2 2 2 3" xfId="943" xr:uid="{00000000-0005-0000-0000-000069020000}"/>
    <cellStyle name="Normal 2 4 4 2 2 2 4" xfId="630" xr:uid="{00000000-0005-0000-0000-00006A020000}"/>
    <cellStyle name="Normal 2 4 4 2 2 3" xfId="1100" xr:uid="{00000000-0005-0000-0000-00006B020000}"/>
    <cellStyle name="Normal 2 4 4 2 2 4" xfId="787" xr:uid="{00000000-0005-0000-0000-00006C020000}"/>
    <cellStyle name="Normal 2 4 4 2 2 5" xfId="474" xr:uid="{00000000-0005-0000-0000-00006D020000}"/>
    <cellStyle name="Normal 2 4 4 2 3" xfId="238" xr:uid="{00000000-0005-0000-0000-00006E020000}"/>
    <cellStyle name="Normal 2 4 4 2 3 2" xfId="1177" xr:uid="{00000000-0005-0000-0000-00006F020000}"/>
    <cellStyle name="Normal 2 4 4 2 3 3" xfId="864" xr:uid="{00000000-0005-0000-0000-000070020000}"/>
    <cellStyle name="Normal 2 4 4 2 3 4" xfId="551" xr:uid="{00000000-0005-0000-0000-000071020000}"/>
    <cellStyle name="Normal 2 4 4 2 4" xfId="1021" xr:uid="{00000000-0005-0000-0000-000072020000}"/>
    <cellStyle name="Normal 2 4 4 2 5" xfId="708" xr:uid="{00000000-0005-0000-0000-000073020000}"/>
    <cellStyle name="Normal 2 4 4 2 6" xfId="395" xr:uid="{00000000-0005-0000-0000-000074020000}"/>
    <cellStyle name="Normal 2 4 4 3" xfId="160" xr:uid="{00000000-0005-0000-0000-000075020000}"/>
    <cellStyle name="Normal 2 4 4 3 2" xfId="316" xr:uid="{00000000-0005-0000-0000-000076020000}"/>
    <cellStyle name="Normal 2 4 4 3 2 2" xfId="1255" xr:uid="{00000000-0005-0000-0000-000077020000}"/>
    <cellStyle name="Normal 2 4 4 3 2 3" xfId="942" xr:uid="{00000000-0005-0000-0000-000078020000}"/>
    <cellStyle name="Normal 2 4 4 3 2 4" xfId="629" xr:uid="{00000000-0005-0000-0000-000079020000}"/>
    <cellStyle name="Normal 2 4 4 3 3" xfId="1099" xr:uid="{00000000-0005-0000-0000-00007A020000}"/>
    <cellStyle name="Normal 2 4 4 3 4" xfId="786" xr:uid="{00000000-0005-0000-0000-00007B020000}"/>
    <cellStyle name="Normal 2 4 4 3 5" xfId="473" xr:uid="{00000000-0005-0000-0000-00007C020000}"/>
    <cellStyle name="Normal 2 4 4 4" xfId="237" xr:uid="{00000000-0005-0000-0000-00007D020000}"/>
    <cellStyle name="Normal 2 4 4 4 2" xfId="1176" xr:uid="{00000000-0005-0000-0000-00007E020000}"/>
    <cellStyle name="Normal 2 4 4 4 3" xfId="863" xr:uid="{00000000-0005-0000-0000-00007F020000}"/>
    <cellStyle name="Normal 2 4 4 4 4" xfId="550" xr:uid="{00000000-0005-0000-0000-000080020000}"/>
    <cellStyle name="Normal 2 4 4 5" xfId="1020" xr:uid="{00000000-0005-0000-0000-000081020000}"/>
    <cellStyle name="Normal 2 4 4 6" xfId="707" xr:uid="{00000000-0005-0000-0000-000082020000}"/>
    <cellStyle name="Normal 2 4 4 7" xfId="394" xr:uid="{00000000-0005-0000-0000-000083020000}"/>
    <cellStyle name="Normal 2 4 5" xfId="61" xr:uid="{00000000-0005-0000-0000-000084020000}"/>
    <cellStyle name="Normal 2 4 5 2" xfId="162" xr:uid="{00000000-0005-0000-0000-000085020000}"/>
    <cellStyle name="Normal 2 4 5 2 2" xfId="318" xr:uid="{00000000-0005-0000-0000-000086020000}"/>
    <cellStyle name="Normal 2 4 5 2 2 2" xfId="1257" xr:uid="{00000000-0005-0000-0000-000087020000}"/>
    <cellStyle name="Normal 2 4 5 2 2 3" xfId="944" xr:uid="{00000000-0005-0000-0000-000088020000}"/>
    <cellStyle name="Normal 2 4 5 2 2 4" xfId="631" xr:uid="{00000000-0005-0000-0000-000089020000}"/>
    <cellStyle name="Normal 2 4 5 2 3" xfId="1101" xr:uid="{00000000-0005-0000-0000-00008A020000}"/>
    <cellStyle name="Normal 2 4 5 2 4" xfId="788" xr:uid="{00000000-0005-0000-0000-00008B020000}"/>
    <cellStyle name="Normal 2 4 5 2 5" xfId="475" xr:uid="{00000000-0005-0000-0000-00008C020000}"/>
    <cellStyle name="Normal 2 4 5 3" xfId="239" xr:uid="{00000000-0005-0000-0000-00008D020000}"/>
    <cellStyle name="Normal 2 4 5 3 2" xfId="1178" xr:uid="{00000000-0005-0000-0000-00008E020000}"/>
    <cellStyle name="Normal 2 4 5 3 3" xfId="865" xr:uid="{00000000-0005-0000-0000-00008F020000}"/>
    <cellStyle name="Normal 2 4 5 3 4" xfId="552" xr:uid="{00000000-0005-0000-0000-000090020000}"/>
    <cellStyle name="Normal 2 4 5 4" xfId="1022" xr:uid="{00000000-0005-0000-0000-000091020000}"/>
    <cellStyle name="Normal 2 4 5 5" xfId="709" xr:uid="{00000000-0005-0000-0000-000092020000}"/>
    <cellStyle name="Normal 2 4 5 6" xfId="396" xr:uid="{00000000-0005-0000-0000-000093020000}"/>
    <cellStyle name="Normal 2 4 6" xfId="155" xr:uid="{00000000-0005-0000-0000-000094020000}"/>
    <cellStyle name="Normal 2 4 6 2" xfId="311" xr:uid="{00000000-0005-0000-0000-000095020000}"/>
    <cellStyle name="Normal 2 4 6 2 2" xfId="1250" xr:uid="{00000000-0005-0000-0000-000096020000}"/>
    <cellStyle name="Normal 2 4 6 2 3" xfId="937" xr:uid="{00000000-0005-0000-0000-000097020000}"/>
    <cellStyle name="Normal 2 4 6 2 4" xfId="624" xr:uid="{00000000-0005-0000-0000-000098020000}"/>
    <cellStyle name="Normal 2 4 6 3" xfId="1094" xr:uid="{00000000-0005-0000-0000-000099020000}"/>
    <cellStyle name="Normal 2 4 6 4" xfId="781" xr:uid="{00000000-0005-0000-0000-00009A020000}"/>
    <cellStyle name="Normal 2 4 6 5" xfId="468" xr:uid="{00000000-0005-0000-0000-00009B020000}"/>
    <cellStyle name="Normal 2 4 7" xfId="232" xr:uid="{00000000-0005-0000-0000-00009C020000}"/>
    <cellStyle name="Normal 2 4 7 2" xfId="1171" xr:uid="{00000000-0005-0000-0000-00009D020000}"/>
    <cellStyle name="Normal 2 4 7 3" xfId="858" xr:uid="{00000000-0005-0000-0000-00009E020000}"/>
    <cellStyle name="Normal 2 4 7 4" xfId="545" xr:uid="{00000000-0005-0000-0000-00009F020000}"/>
    <cellStyle name="Normal 2 4 8" xfId="1015" xr:uid="{00000000-0005-0000-0000-0000A0020000}"/>
    <cellStyle name="Normal 2 4 9" xfId="702" xr:uid="{00000000-0005-0000-0000-0000A1020000}"/>
    <cellStyle name="Normal 2 5" xfId="62" xr:uid="{00000000-0005-0000-0000-0000A2020000}"/>
    <cellStyle name="Normal 2 5 10" xfId="397" xr:uid="{00000000-0005-0000-0000-0000A3020000}"/>
    <cellStyle name="Normal 2 5 2" xfId="63" xr:uid="{00000000-0005-0000-0000-0000A4020000}"/>
    <cellStyle name="Normal 2 5 2 2" xfId="64" xr:uid="{00000000-0005-0000-0000-0000A5020000}"/>
    <cellStyle name="Normal 2 5 2 2 2" xfId="165" xr:uid="{00000000-0005-0000-0000-0000A6020000}"/>
    <cellStyle name="Normal 2 5 2 2 2 2" xfId="321" xr:uid="{00000000-0005-0000-0000-0000A7020000}"/>
    <cellStyle name="Normal 2 5 2 2 2 2 2" xfId="1260" xr:uid="{00000000-0005-0000-0000-0000A8020000}"/>
    <cellStyle name="Normal 2 5 2 2 2 2 3" xfId="947" xr:uid="{00000000-0005-0000-0000-0000A9020000}"/>
    <cellStyle name="Normal 2 5 2 2 2 2 4" xfId="634" xr:uid="{00000000-0005-0000-0000-0000AA020000}"/>
    <cellStyle name="Normal 2 5 2 2 2 3" xfId="1104" xr:uid="{00000000-0005-0000-0000-0000AB020000}"/>
    <cellStyle name="Normal 2 5 2 2 2 4" xfId="791" xr:uid="{00000000-0005-0000-0000-0000AC020000}"/>
    <cellStyle name="Normal 2 5 2 2 2 5" xfId="478" xr:uid="{00000000-0005-0000-0000-0000AD020000}"/>
    <cellStyle name="Normal 2 5 2 2 3" xfId="242" xr:uid="{00000000-0005-0000-0000-0000AE020000}"/>
    <cellStyle name="Normal 2 5 2 2 3 2" xfId="1181" xr:uid="{00000000-0005-0000-0000-0000AF020000}"/>
    <cellStyle name="Normal 2 5 2 2 3 3" xfId="868" xr:uid="{00000000-0005-0000-0000-0000B0020000}"/>
    <cellStyle name="Normal 2 5 2 2 3 4" xfId="555" xr:uid="{00000000-0005-0000-0000-0000B1020000}"/>
    <cellStyle name="Normal 2 5 2 2 4" xfId="1025" xr:uid="{00000000-0005-0000-0000-0000B2020000}"/>
    <cellStyle name="Normal 2 5 2 2 5" xfId="712" xr:uid="{00000000-0005-0000-0000-0000B3020000}"/>
    <cellStyle name="Normal 2 5 2 2 6" xfId="399" xr:uid="{00000000-0005-0000-0000-0000B4020000}"/>
    <cellStyle name="Normal 2 5 2 3" xfId="164" xr:uid="{00000000-0005-0000-0000-0000B5020000}"/>
    <cellStyle name="Normal 2 5 2 3 2" xfId="320" xr:uid="{00000000-0005-0000-0000-0000B6020000}"/>
    <cellStyle name="Normal 2 5 2 3 2 2" xfId="1259" xr:uid="{00000000-0005-0000-0000-0000B7020000}"/>
    <cellStyle name="Normal 2 5 2 3 2 3" xfId="946" xr:uid="{00000000-0005-0000-0000-0000B8020000}"/>
    <cellStyle name="Normal 2 5 2 3 2 4" xfId="633" xr:uid="{00000000-0005-0000-0000-0000B9020000}"/>
    <cellStyle name="Normal 2 5 2 3 3" xfId="1103" xr:uid="{00000000-0005-0000-0000-0000BA020000}"/>
    <cellStyle name="Normal 2 5 2 3 4" xfId="790" xr:uid="{00000000-0005-0000-0000-0000BB020000}"/>
    <cellStyle name="Normal 2 5 2 3 5" xfId="477" xr:uid="{00000000-0005-0000-0000-0000BC020000}"/>
    <cellStyle name="Normal 2 5 2 4" xfId="241" xr:uid="{00000000-0005-0000-0000-0000BD020000}"/>
    <cellStyle name="Normal 2 5 2 4 2" xfId="1180" xr:uid="{00000000-0005-0000-0000-0000BE020000}"/>
    <cellStyle name="Normal 2 5 2 4 3" xfId="867" xr:uid="{00000000-0005-0000-0000-0000BF020000}"/>
    <cellStyle name="Normal 2 5 2 4 4" xfId="554" xr:uid="{00000000-0005-0000-0000-0000C0020000}"/>
    <cellStyle name="Normal 2 5 2 5" xfId="1024" xr:uid="{00000000-0005-0000-0000-0000C1020000}"/>
    <cellStyle name="Normal 2 5 2 6" xfId="711" xr:uid="{00000000-0005-0000-0000-0000C2020000}"/>
    <cellStyle name="Normal 2 5 2 7" xfId="398" xr:uid="{00000000-0005-0000-0000-0000C3020000}"/>
    <cellStyle name="Normal 2 5 3" xfId="65" xr:uid="{00000000-0005-0000-0000-0000C4020000}"/>
    <cellStyle name="Normal 2 5 3 2" xfId="66" xr:uid="{00000000-0005-0000-0000-0000C5020000}"/>
    <cellStyle name="Normal 2 5 3 2 2" xfId="167" xr:uid="{00000000-0005-0000-0000-0000C6020000}"/>
    <cellStyle name="Normal 2 5 3 2 2 2" xfId="323" xr:uid="{00000000-0005-0000-0000-0000C7020000}"/>
    <cellStyle name="Normal 2 5 3 2 2 2 2" xfId="1262" xr:uid="{00000000-0005-0000-0000-0000C8020000}"/>
    <cellStyle name="Normal 2 5 3 2 2 2 3" xfId="949" xr:uid="{00000000-0005-0000-0000-0000C9020000}"/>
    <cellStyle name="Normal 2 5 3 2 2 2 4" xfId="636" xr:uid="{00000000-0005-0000-0000-0000CA020000}"/>
    <cellStyle name="Normal 2 5 3 2 2 3" xfId="1106" xr:uid="{00000000-0005-0000-0000-0000CB020000}"/>
    <cellStyle name="Normal 2 5 3 2 2 4" xfId="793" xr:uid="{00000000-0005-0000-0000-0000CC020000}"/>
    <cellStyle name="Normal 2 5 3 2 2 5" xfId="480" xr:uid="{00000000-0005-0000-0000-0000CD020000}"/>
    <cellStyle name="Normal 2 5 3 2 3" xfId="244" xr:uid="{00000000-0005-0000-0000-0000CE020000}"/>
    <cellStyle name="Normal 2 5 3 2 3 2" xfId="1183" xr:uid="{00000000-0005-0000-0000-0000CF020000}"/>
    <cellStyle name="Normal 2 5 3 2 3 3" xfId="870" xr:uid="{00000000-0005-0000-0000-0000D0020000}"/>
    <cellStyle name="Normal 2 5 3 2 3 4" xfId="557" xr:uid="{00000000-0005-0000-0000-0000D1020000}"/>
    <cellStyle name="Normal 2 5 3 2 4" xfId="1027" xr:uid="{00000000-0005-0000-0000-0000D2020000}"/>
    <cellStyle name="Normal 2 5 3 2 5" xfId="714" xr:uid="{00000000-0005-0000-0000-0000D3020000}"/>
    <cellStyle name="Normal 2 5 3 2 6" xfId="401" xr:uid="{00000000-0005-0000-0000-0000D4020000}"/>
    <cellStyle name="Normal 2 5 3 3" xfId="166" xr:uid="{00000000-0005-0000-0000-0000D5020000}"/>
    <cellStyle name="Normal 2 5 3 3 2" xfId="322" xr:uid="{00000000-0005-0000-0000-0000D6020000}"/>
    <cellStyle name="Normal 2 5 3 3 2 2" xfId="1261" xr:uid="{00000000-0005-0000-0000-0000D7020000}"/>
    <cellStyle name="Normal 2 5 3 3 2 3" xfId="948" xr:uid="{00000000-0005-0000-0000-0000D8020000}"/>
    <cellStyle name="Normal 2 5 3 3 2 4" xfId="635" xr:uid="{00000000-0005-0000-0000-0000D9020000}"/>
    <cellStyle name="Normal 2 5 3 3 3" xfId="1105" xr:uid="{00000000-0005-0000-0000-0000DA020000}"/>
    <cellStyle name="Normal 2 5 3 3 4" xfId="792" xr:uid="{00000000-0005-0000-0000-0000DB020000}"/>
    <cellStyle name="Normal 2 5 3 3 5" xfId="479" xr:uid="{00000000-0005-0000-0000-0000DC020000}"/>
    <cellStyle name="Normal 2 5 3 4" xfId="243" xr:uid="{00000000-0005-0000-0000-0000DD020000}"/>
    <cellStyle name="Normal 2 5 3 4 2" xfId="1182" xr:uid="{00000000-0005-0000-0000-0000DE020000}"/>
    <cellStyle name="Normal 2 5 3 4 3" xfId="869" xr:uid="{00000000-0005-0000-0000-0000DF020000}"/>
    <cellStyle name="Normal 2 5 3 4 4" xfId="556" xr:uid="{00000000-0005-0000-0000-0000E0020000}"/>
    <cellStyle name="Normal 2 5 3 5" xfId="1026" xr:uid="{00000000-0005-0000-0000-0000E1020000}"/>
    <cellStyle name="Normal 2 5 3 6" xfId="713" xr:uid="{00000000-0005-0000-0000-0000E2020000}"/>
    <cellStyle name="Normal 2 5 3 7" xfId="400" xr:uid="{00000000-0005-0000-0000-0000E3020000}"/>
    <cellStyle name="Normal 2 5 4" xfId="67" xr:uid="{00000000-0005-0000-0000-0000E4020000}"/>
    <cellStyle name="Normal 2 5 4 2" xfId="68" xr:uid="{00000000-0005-0000-0000-0000E5020000}"/>
    <cellStyle name="Normal 2 5 4 2 2" xfId="169" xr:uid="{00000000-0005-0000-0000-0000E6020000}"/>
    <cellStyle name="Normal 2 5 4 2 2 2" xfId="325" xr:uid="{00000000-0005-0000-0000-0000E7020000}"/>
    <cellStyle name="Normal 2 5 4 2 2 2 2" xfId="1264" xr:uid="{00000000-0005-0000-0000-0000E8020000}"/>
    <cellStyle name="Normal 2 5 4 2 2 2 3" xfId="951" xr:uid="{00000000-0005-0000-0000-0000E9020000}"/>
    <cellStyle name="Normal 2 5 4 2 2 2 4" xfId="638" xr:uid="{00000000-0005-0000-0000-0000EA020000}"/>
    <cellStyle name="Normal 2 5 4 2 2 3" xfId="1108" xr:uid="{00000000-0005-0000-0000-0000EB020000}"/>
    <cellStyle name="Normal 2 5 4 2 2 4" xfId="795" xr:uid="{00000000-0005-0000-0000-0000EC020000}"/>
    <cellStyle name="Normal 2 5 4 2 2 5" xfId="482" xr:uid="{00000000-0005-0000-0000-0000ED020000}"/>
    <cellStyle name="Normal 2 5 4 2 3" xfId="246" xr:uid="{00000000-0005-0000-0000-0000EE020000}"/>
    <cellStyle name="Normal 2 5 4 2 3 2" xfId="1185" xr:uid="{00000000-0005-0000-0000-0000EF020000}"/>
    <cellStyle name="Normal 2 5 4 2 3 3" xfId="872" xr:uid="{00000000-0005-0000-0000-0000F0020000}"/>
    <cellStyle name="Normal 2 5 4 2 3 4" xfId="559" xr:uid="{00000000-0005-0000-0000-0000F1020000}"/>
    <cellStyle name="Normal 2 5 4 2 4" xfId="1029" xr:uid="{00000000-0005-0000-0000-0000F2020000}"/>
    <cellStyle name="Normal 2 5 4 2 5" xfId="716" xr:uid="{00000000-0005-0000-0000-0000F3020000}"/>
    <cellStyle name="Normal 2 5 4 2 6" xfId="403" xr:uid="{00000000-0005-0000-0000-0000F4020000}"/>
    <cellStyle name="Normal 2 5 4 3" xfId="168" xr:uid="{00000000-0005-0000-0000-0000F5020000}"/>
    <cellStyle name="Normal 2 5 4 3 2" xfId="324" xr:uid="{00000000-0005-0000-0000-0000F6020000}"/>
    <cellStyle name="Normal 2 5 4 3 2 2" xfId="1263" xr:uid="{00000000-0005-0000-0000-0000F7020000}"/>
    <cellStyle name="Normal 2 5 4 3 2 3" xfId="950" xr:uid="{00000000-0005-0000-0000-0000F8020000}"/>
    <cellStyle name="Normal 2 5 4 3 2 4" xfId="637" xr:uid="{00000000-0005-0000-0000-0000F9020000}"/>
    <cellStyle name="Normal 2 5 4 3 3" xfId="1107" xr:uid="{00000000-0005-0000-0000-0000FA020000}"/>
    <cellStyle name="Normal 2 5 4 3 4" xfId="794" xr:uid="{00000000-0005-0000-0000-0000FB020000}"/>
    <cellStyle name="Normal 2 5 4 3 5" xfId="481" xr:uid="{00000000-0005-0000-0000-0000FC020000}"/>
    <cellStyle name="Normal 2 5 4 4" xfId="245" xr:uid="{00000000-0005-0000-0000-0000FD020000}"/>
    <cellStyle name="Normal 2 5 4 4 2" xfId="1184" xr:uid="{00000000-0005-0000-0000-0000FE020000}"/>
    <cellStyle name="Normal 2 5 4 4 3" xfId="871" xr:uid="{00000000-0005-0000-0000-0000FF020000}"/>
    <cellStyle name="Normal 2 5 4 4 4" xfId="558" xr:uid="{00000000-0005-0000-0000-000000030000}"/>
    <cellStyle name="Normal 2 5 4 5" xfId="1028" xr:uid="{00000000-0005-0000-0000-000001030000}"/>
    <cellStyle name="Normal 2 5 4 6" xfId="715" xr:uid="{00000000-0005-0000-0000-000002030000}"/>
    <cellStyle name="Normal 2 5 4 7" xfId="402" xr:uid="{00000000-0005-0000-0000-000003030000}"/>
    <cellStyle name="Normal 2 5 5" xfId="69" xr:uid="{00000000-0005-0000-0000-000004030000}"/>
    <cellStyle name="Normal 2 5 5 2" xfId="170" xr:uid="{00000000-0005-0000-0000-000005030000}"/>
    <cellStyle name="Normal 2 5 5 2 2" xfId="326" xr:uid="{00000000-0005-0000-0000-000006030000}"/>
    <cellStyle name="Normal 2 5 5 2 2 2" xfId="1265" xr:uid="{00000000-0005-0000-0000-000007030000}"/>
    <cellStyle name="Normal 2 5 5 2 2 3" xfId="952" xr:uid="{00000000-0005-0000-0000-000008030000}"/>
    <cellStyle name="Normal 2 5 5 2 2 4" xfId="639" xr:uid="{00000000-0005-0000-0000-000009030000}"/>
    <cellStyle name="Normal 2 5 5 2 3" xfId="1109" xr:uid="{00000000-0005-0000-0000-00000A030000}"/>
    <cellStyle name="Normal 2 5 5 2 4" xfId="796" xr:uid="{00000000-0005-0000-0000-00000B030000}"/>
    <cellStyle name="Normal 2 5 5 2 5" xfId="483" xr:uid="{00000000-0005-0000-0000-00000C030000}"/>
    <cellStyle name="Normal 2 5 5 3" xfId="247" xr:uid="{00000000-0005-0000-0000-00000D030000}"/>
    <cellStyle name="Normal 2 5 5 3 2" xfId="1186" xr:uid="{00000000-0005-0000-0000-00000E030000}"/>
    <cellStyle name="Normal 2 5 5 3 3" xfId="873" xr:uid="{00000000-0005-0000-0000-00000F030000}"/>
    <cellStyle name="Normal 2 5 5 3 4" xfId="560" xr:uid="{00000000-0005-0000-0000-000010030000}"/>
    <cellStyle name="Normal 2 5 5 4" xfId="1030" xr:uid="{00000000-0005-0000-0000-000011030000}"/>
    <cellStyle name="Normal 2 5 5 5" xfId="717" xr:uid="{00000000-0005-0000-0000-000012030000}"/>
    <cellStyle name="Normal 2 5 5 6" xfId="404" xr:uid="{00000000-0005-0000-0000-000013030000}"/>
    <cellStyle name="Normal 2 5 6" xfId="163" xr:uid="{00000000-0005-0000-0000-000014030000}"/>
    <cellStyle name="Normal 2 5 6 2" xfId="319" xr:uid="{00000000-0005-0000-0000-000015030000}"/>
    <cellStyle name="Normal 2 5 6 2 2" xfId="1258" xr:uid="{00000000-0005-0000-0000-000016030000}"/>
    <cellStyle name="Normal 2 5 6 2 3" xfId="945" xr:uid="{00000000-0005-0000-0000-000017030000}"/>
    <cellStyle name="Normal 2 5 6 2 4" xfId="632" xr:uid="{00000000-0005-0000-0000-000018030000}"/>
    <cellStyle name="Normal 2 5 6 3" xfId="1102" xr:uid="{00000000-0005-0000-0000-000019030000}"/>
    <cellStyle name="Normal 2 5 6 4" xfId="789" xr:uid="{00000000-0005-0000-0000-00001A030000}"/>
    <cellStyle name="Normal 2 5 6 5" xfId="476" xr:uid="{00000000-0005-0000-0000-00001B030000}"/>
    <cellStyle name="Normal 2 5 7" xfId="240" xr:uid="{00000000-0005-0000-0000-00001C030000}"/>
    <cellStyle name="Normal 2 5 7 2" xfId="1179" xr:uid="{00000000-0005-0000-0000-00001D030000}"/>
    <cellStyle name="Normal 2 5 7 3" xfId="866" xr:uid="{00000000-0005-0000-0000-00001E030000}"/>
    <cellStyle name="Normal 2 5 7 4" xfId="553" xr:uid="{00000000-0005-0000-0000-00001F030000}"/>
    <cellStyle name="Normal 2 5 8" xfId="1023" xr:uid="{00000000-0005-0000-0000-000020030000}"/>
    <cellStyle name="Normal 2 5 9" xfId="710" xr:uid="{00000000-0005-0000-0000-000021030000}"/>
    <cellStyle name="Normal 2 6" xfId="70" xr:uid="{00000000-0005-0000-0000-000022030000}"/>
    <cellStyle name="Normal 2 6 10" xfId="405" xr:uid="{00000000-0005-0000-0000-000023030000}"/>
    <cellStyle name="Normal 2 6 2" xfId="71" xr:uid="{00000000-0005-0000-0000-000024030000}"/>
    <cellStyle name="Normal 2 6 2 2" xfId="72" xr:uid="{00000000-0005-0000-0000-000025030000}"/>
    <cellStyle name="Normal 2 6 2 2 2" xfId="173" xr:uid="{00000000-0005-0000-0000-000026030000}"/>
    <cellStyle name="Normal 2 6 2 2 2 2" xfId="329" xr:uid="{00000000-0005-0000-0000-000027030000}"/>
    <cellStyle name="Normal 2 6 2 2 2 2 2" xfId="1268" xr:uid="{00000000-0005-0000-0000-000028030000}"/>
    <cellStyle name="Normal 2 6 2 2 2 2 3" xfId="955" xr:uid="{00000000-0005-0000-0000-000029030000}"/>
    <cellStyle name="Normal 2 6 2 2 2 2 4" xfId="642" xr:uid="{00000000-0005-0000-0000-00002A030000}"/>
    <cellStyle name="Normal 2 6 2 2 2 3" xfId="1112" xr:uid="{00000000-0005-0000-0000-00002B030000}"/>
    <cellStyle name="Normal 2 6 2 2 2 4" xfId="799" xr:uid="{00000000-0005-0000-0000-00002C030000}"/>
    <cellStyle name="Normal 2 6 2 2 2 5" xfId="486" xr:uid="{00000000-0005-0000-0000-00002D030000}"/>
    <cellStyle name="Normal 2 6 2 2 3" xfId="250" xr:uid="{00000000-0005-0000-0000-00002E030000}"/>
    <cellStyle name="Normal 2 6 2 2 3 2" xfId="1189" xr:uid="{00000000-0005-0000-0000-00002F030000}"/>
    <cellStyle name="Normal 2 6 2 2 3 3" xfId="876" xr:uid="{00000000-0005-0000-0000-000030030000}"/>
    <cellStyle name="Normal 2 6 2 2 3 4" xfId="563" xr:uid="{00000000-0005-0000-0000-000031030000}"/>
    <cellStyle name="Normal 2 6 2 2 4" xfId="1033" xr:uid="{00000000-0005-0000-0000-000032030000}"/>
    <cellStyle name="Normal 2 6 2 2 5" xfId="720" xr:uid="{00000000-0005-0000-0000-000033030000}"/>
    <cellStyle name="Normal 2 6 2 2 6" xfId="407" xr:uid="{00000000-0005-0000-0000-000034030000}"/>
    <cellStyle name="Normal 2 6 2 3" xfId="172" xr:uid="{00000000-0005-0000-0000-000035030000}"/>
    <cellStyle name="Normal 2 6 2 3 2" xfId="328" xr:uid="{00000000-0005-0000-0000-000036030000}"/>
    <cellStyle name="Normal 2 6 2 3 2 2" xfId="1267" xr:uid="{00000000-0005-0000-0000-000037030000}"/>
    <cellStyle name="Normal 2 6 2 3 2 3" xfId="954" xr:uid="{00000000-0005-0000-0000-000038030000}"/>
    <cellStyle name="Normal 2 6 2 3 2 4" xfId="641" xr:uid="{00000000-0005-0000-0000-000039030000}"/>
    <cellStyle name="Normal 2 6 2 3 3" xfId="1111" xr:uid="{00000000-0005-0000-0000-00003A030000}"/>
    <cellStyle name="Normal 2 6 2 3 4" xfId="798" xr:uid="{00000000-0005-0000-0000-00003B030000}"/>
    <cellStyle name="Normal 2 6 2 3 5" xfId="485" xr:uid="{00000000-0005-0000-0000-00003C030000}"/>
    <cellStyle name="Normal 2 6 2 4" xfId="249" xr:uid="{00000000-0005-0000-0000-00003D030000}"/>
    <cellStyle name="Normal 2 6 2 4 2" xfId="1188" xr:uid="{00000000-0005-0000-0000-00003E030000}"/>
    <cellStyle name="Normal 2 6 2 4 3" xfId="875" xr:uid="{00000000-0005-0000-0000-00003F030000}"/>
    <cellStyle name="Normal 2 6 2 4 4" xfId="562" xr:uid="{00000000-0005-0000-0000-000040030000}"/>
    <cellStyle name="Normal 2 6 2 5" xfId="1032" xr:uid="{00000000-0005-0000-0000-000041030000}"/>
    <cellStyle name="Normal 2 6 2 6" xfId="719" xr:uid="{00000000-0005-0000-0000-000042030000}"/>
    <cellStyle name="Normal 2 6 2 7" xfId="406" xr:uid="{00000000-0005-0000-0000-000043030000}"/>
    <cellStyle name="Normal 2 6 3" xfId="73" xr:uid="{00000000-0005-0000-0000-000044030000}"/>
    <cellStyle name="Normal 2 6 3 2" xfId="74" xr:uid="{00000000-0005-0000-0000-000045030000}"/>
    <cellStyle name="Normal 2 6 3 2 2" xfId="175" xr:uid="{00000000-0005-0000-0000-000046030000}"/>
    <cellStyle name="Normal 2 6 3 2 2 2" xfId="331" xr:uid="{00000000-0005-0000-0000-000047030000}"/>
    <cellStyle name="Normal 2 6 3 2 2 2 2" xfId="1270" xr:uid="{00000000-0005-0000-0000-000048030000}"/>
    <cellStyle name="Normal 2 6 3 2 2 2 3" xfId="957" xr:uid="{00000000-0005-0000-0000-000049030000}"/>
    <cellStyle name="Normal 2 6 3 2 2 2 4" xfId="644" xr:uid="{00000000-0005-0000-0000-00004A030000}"/>
    <cellStyle name="Normal 2 6 3 2 2 3" xfId="1114" xr:uid="{00000000-0005-0000-0000-00004B030000}"/>
    <cellStyle name="Normal 2 6 3 2 2 4" xfId="801" xr:uid="{00000000-0005-0000-0000-00004C030000}"/>
    <cellStyle name="Normal 2 6 3 2 2 5" xfId="488" xr:uid="{00000000-0005-0000-0000-00004D030000}"/>
    <cellStyle name="Normal 2 6 3 2 3" xfId="252" xr:uid="{00000000-0005-0000-0000-00004E030000}"/>
    <cellStyle name="Normal 2 6 3 2 3 2" xfId="1191" xr:uid="{00000000-0005-0000-0000-00004F030000}"/>
    <cellStyle name="Normal 2 6 3 2 3 3" xfId="878" xr:uid="{00000000-0005-0000-0000-000050030000}"/>
    <cellStyle name="Normal 2 6 3 2 3 4" xfId="565" xr:uid="{00000000-0005-0000-0000-000051030000}"/>
    <cellStyle name="Normal 2 6 3 2 4" xfId="1035" xr:uid="{00000000-0005-0000-0000-000052030000}"/>
    <cellStyle name="Normal 2 6 3 2 5" xfId="722" xr:uid="{00000000-0005-0000-0000-000053030000}"/>
    <cellStyle name="Normal 2 6 3 2 6" xfId="409" xr:uid="{00000000-0005-0000-0000-000054030000}"/>
    <cellStyle name="Normal 2 6 3 3" xfId="174" xr:uid="{00000000-0005-0000-0000-000055030000}"/>
    <cellStyle name="Normal 2 6 3 3 2" xfId="330" xr:uid="{00000000-0005-0000-0000-000056030000}"/>
    <cellStyle name="Normal 2 6 3 3 2 2" xfId="1269" xr:uid="{00000000-0005-0000-0000-000057030000}"/>
    <cellStyle name="Normal 2 6 3 3 2 3" xfId="956" xr:uid="{00000000-0005-0000-0000-000058030000}"/>
    <cellStyle name="Normal 2 6 3 3 2 4" xfId="643" xr:uid="{00000000-0005-0000-0000-000059030000}"/>
    <cellStyle name="Normal 2 6 3 3 3" xfId="1113" xr:uid="{00000000-0005-0000-0000-00005A030000}"/>
    <cellStyle name="Normal 2 6 3 3 4" xfId="800" xr:uid="{00000000-0005-0000-0000-00005B030000}"/>
    <cellStyle name="Normal 2 6 3 3 5" xfId="487" xr:uid="{00000000-0005-0000-0000-00005C030000}"/>
    <cellStyle name="Normal 2 6 3 4" xfId="251" xr:uid="{00000000-0005-0000-0000-00005D030000}"/>
    <cellStyle name="Normal 2 6 3 4 2" xfId="1190" xr:uid="{00000000-0005-0000-0000-00005E030000}"/>
    <cellStyle name="Normal 2 6 3 4 3" xfId="877" xr:uid="{00000000-0005-0000-0000-00005F030000}"/>
    <cellStyle name="Normal 2 6 3 4 4" xfId="564" xr:uid="{00000000-0005-0000-0000-000060030000}"/>
    <cellStyle name="Normal 2 6 3 5" xfId="1034" xr:uid="{00000000-0005-0000-0000-000061030000}"/>
    <cellStyle name="Normal 2 6 3 6" xfId="721" xr:uid="{00000000-0005-0000-0000-000062030000}"/>
    <cellStyle name="Normal 2 6 3 7" xfId="408" xr:uid="{00000000-0005-0000-0000-000063030000}"/>
    <cellStyle name="Normal 2 6 4" xfId="75" xr:uid="{00000000-0005-0000-0000-000064030000}"/>
    <cellStyle name="Normal 2 6 4 2" xfId="76" xr:uid="{00000000-0005-0000-0000-000065030000}"/>
    <cellStyle name="Normal 2 6 4 2 2" xfId="177" xr:uid="{00000000-0005-0000-0000-000066030000}"/>
    <cellStyle name="Normal 2 6 4 2 2 2" xfId="333" xr:uid="{00000000-0005-0000-0000-000067030000}"/>
    <cellStyle name="Normal 2 6 4 2 2 2 2" xfId="1272" xr:uid="{00000000-0005-0000-0000-000068030000}"/>
    <cellStyle name="Normal 2 6 4 2 2 2 3" xfId="959" xr:uid="{00000000-0005-0000-0000-000069030000}"/>
    <cellStyle name="Normal 2 6 4 2 2 2 4" xfId="646" xr:uid="{00000000-0005-0000-0000-00006A030000}"/>
    <cellStyle name="Normal 2 6 4 2 2 3" xfId="1116" xr:uid="{00000000-0005-0000-0000-00006B030000}"/>
    <cellStyle name="Normal 2 6 4 2 2 4" xfId="803" xr:uid="{00000000-0005-0000-0000-00006C030000}"/>
    <cellStyle name="Normal 2 6 4 2 2 5" xfId="490" xr:uid="{00000000-0005-0000-0000-00006D030000}"/>
    <cellStyle name="Normal 2 6 4 2 3" xfId="254" xr:uid="{00000000-0005-0000-0000-00006E030000}"/>
    <cellStyle name="Normal 2 6 4 2 3 2" xfId="1193" xr:uid="{00000000-0005-0000-0000-00006F030000}"/>
    <cellStyle name="Normal 2 6 4 2 3 3" xfId="880" xr:uid="{00000000-0005-0000-0000-000070030000}"/>
    <cellStyle name="Normal 2 6 4 2 3 4" xfId="567" xr:uid="{00000000-0005-0000-0000-000071030000}"/>
    <cellStyle name="Normal 2 6 4 2 4" xfId="1037" xr:uid="{00000000-0005-0000-0000-000072030000}"/>
    <cellStyle name="Normal 2 6 4 2 5" xfId="724" xr:uid="{00000000-0005-0000-0000-000073030000}"/>
    <cellStyle name="Normal 2 6 4 2 6" xfId="411" xr:uid="{00000000-0005-0000-0000-000074030000}"/>
    <cellStyle name="Normal 2 6 4 3" xfId="176" xr:uid="{00000000-0005-0000-0000-000075030000}"/>
    <cellStyle name="Normal 2 6 4 3 2" xfId="332" xr:uid="{00000000-0005-0000-0000-000076030000}"/>
    <cellStyle name="Normal 2 6 4 3 2 2" xfId="1271" xr:uid="{00000000-0005-0000-0000-000077030000}"/>
    <cellStyle name="Normal 2 6 4 3 2 3" xfId="958" xr:uid="{00000000-0005-0000-0000-000078030000}"/>
    <cellStyle name="Normal 2 6 4 3 2 4" xfId="645" xr:uid="{00000000-0005-0000-0000-000079030000}"/>
    <cellStyle name="Normal 2 6 4 3 3" xfId="1115" xr:uid="{00000000-0005-0000-0000-00007A030000}"/>
    <cellStyle name="Normal 2 6 4 3 4" xfId="802" xr:uid="{00000000-0005-0000-0000-00007B030000}"/>
    <cellStyle name="Normal 2 6 4 3 5" xfId="489" xr:uid="{00000000-0005-0000-0000-00007C030000}"/>
    <cellStyle name="Normal 2 6 4 4" xfId="253" xr:uid="{00000000-0005-0000-0000-00007D030000}"/>
    <cellStyle name="Normal 2 6 4 4 2" xfId="1192" xr:uid="{00000000-0005-0000-0000-00007E030000}"/>
    <cellStyle name="Normal 2 6 4 4 3" xfId="879" xr:uid="{00000000-0005-0000-0000-00007F030000}"/>
    <cellStyle name="Normal 2 6 4 4 4" xfId="566" xr:uid="{00000000-0005-0000-0000-000080030000}"/>
    <cellStyle name="Normal 2 6 4 5" xfId="1036" xr:uid="{00000000-0005-0000-0000-000081030000}"/>
    <cellStyle name="Normal 2 6 4 6" xfId="723" xr:uid="{00000000-0005-0000-0000-000082030000}"/>
    <cellStyle name="Normal 2 6 4 7" xfId="410" xr:uid="{00000000-0005-0000-0000-000083030000}"/>
    <cellStyle name="Normal 2 6 5" xfId="77" xr:uid="{00000000-0005-0000-0000-000084030000}"/>
    <cellStyle name="Normal 2 6 5 2" xfId="178" xr:uid="{00000000-0005-0000-0000-000085030000}"/>
    <cellStyle name="Normal 2 6 5 2 2" xfId="334" xr:uid="{00000000-0005-0000-0000-000086030000}"/>
    <cellStyle name="Normal 2 6 5 2 2 2" xfId="1273" xr:uid="{00000000-0005-0000-0000-000087030000}"/>
    <cellStyle name="Normal 2 6 5 2 2 3" xfId="960" xr:uid="{00000000-0005-0000-0000-000088030000}"/>
    <cellStyle name="Normal 2 6 5 2 2 4" xfId="647" xr:uid="{00000000-0005-0000-0000-000089030000}"/>
    <cellStyle name="Normal 2 6 5 2 3" xfId="1117" xr:uid="{00000000-0005-0000-0000-00008A030000}"/>
    <cellStyle name="Normal 2 6 5 2 4" xfId="804" xr:uid="{00000000-0005-0000-0000-00008B030000}"/>
    <cellStyle name="Normal 2 6 5 2 5" xfId="491" xr:uid="{00000000-0005-0000-0000-00008C030000}"/>
    <cellStyle name="Normal 2 6 5 3" xfId="255" xr:uid="{00000000-0005-0000-0000-00008D030000}"/>
    <cellStyle name="Normal 2 6 5 3 2" xfId="1194" xr:uid="{00000000-0005-0000-0000-00008E030000}"/>
    <cellStyle name="Normal 2 6 5 3 3" xfId="881" xr:uid="{00000000-0005-0000-0000-00008F030000}"/>
    <cellStyle name="Normal 2 6 5 3 4" xfId="568" xr:uid="{00000000-0005-0000-0000-000090030000}"/>
    <cellStyle name="Normal 2 6 5 4" xfId="1038" xr:uid="{00000000-0005-0000-0000-000091030000}"/>
    <cellStyle name="Normal 2 6 5 5" xfId="725" xr:uid="{00000000-0005-0000-0000-000092030000}"/>
    <cellStyle name="Normal 2 6 5 6" xfId="412" xr:uid="{00000000-0005-0000-0000-000093030000}"/>
    <cellStyle name="Normal 2 6 6" xfId="171" xr:uid="{00000000-0005-0000-0000-000094030000}"/>
    <cellStyle name="Normal 2 6 6 2" xfId="327" xr:uid="{00000000-0005-0000-0000-000095030000}"/>
    <cellStyle name="Normal 2 6 6 2 2" xfId="1266" xr:uid="{00000000-0005-0000-0000-000096030000}"/>
    <cellStyle name="Normal 2 6 6 2 3" xfId="953" xr:uid="{00000000-0005-0000-0000-000097030000}"/>
    <cellStyle name="Normal 2 6 6 2 4" xfId="640" xr:uid="{00000000-0005-0000-0000-000098030000}"/>
    <cellStyle name="Normal 2 6 6 3" xfId="1110" xr:uid="{00000000-0005-0000-0000-000099030000}"/>
    <cellStyle name="Normal 2 6 6 4" xfId="797" xr:uid="{00000000-0005-0000-0000-00009A030000}"/>
    <cellStyle name="Normal 2 6 6 5" xfId="484" xr:uid="{00000000-0005-0000-0000-00009B030000}"/>
    <cellStyle name="Normal 2 6 7" xfId="248" xr:uid="{00000000-0005-0000-0000-00009C030000}"/>
    <cellStyle name="Normal 2 6 7 2" xfId="1187" xr:uid="{00000000-0005-0000-0000-00009D030000}"/>
    <cellStyle name="Normal 2 6 7 3" xfId="874" xr:uid="{00000000-0005-0000-0000-00009E030000}"/>
    <cellStyle name="Normal 2 6 7 4" xfId="561" xr:uid="{00000000-0005-0000-0000-00009F030000}"/>
    <cellStyle name="Normal 2 6 8" xfId="1031" xr:uid="{00000000-0005-0000-0000-0000A0030000}"/>
    <cellStyle name="Normal 2 6 9" xfId="718" xr:uid="{00000000-0005-0000-0000-0000A1030000}"/>
    <cellStyle name="Normal 2 7" xfId="78" xr:uid="{00000000-0005-0000-0000-0000A2030000}"/>
    <cellStyle name="Normal 2 7 2" xfId="79" xr:uid="{00000000-0005-0000-0000-0000A3030000}"/>
    <cellStyle name="Normal 2 7 2 2" xfId="180" xr:uid="{00000000-0005-0000-0000-0000A4030000}"/>
    <cellStyle name="Normal 2 7 2 2 2" xfId="336" xr:uid="{00000000-0005-0000-0000-0000A5030000}"/>
    <cellStyle name="Normal 2 7 2 2 2 2" xfId="1275" xr:uid="{00000000-0005-0000-0000-0000A6030000}"/>
    <cellStyle name="Normal 2 7 2 2 2 3" xfId="962" xr:uid="{00000000-0005-0000-0000-0000A7030000}"/>
    <cellStyle name="Normal 2 7 2 2 2 4" xfId="649" xr:uid="{00000000-0005-0000-0000-0000A8030000}"/>
    <cellStyle name="Normal 2 7 2 2 3" xfId="1119" xr:uid="{00000000-0005-0000-0000-0000A9030000}"/>
    <cellStyle name="Normal 2 7 2 2 4" xfId="806" xr:uid="{00000000-0005-0000-0000-0000AA030000}"/>
    <cellStyle name="Normal 2 7 2 2 5" xfId="493" xr:uid="{00000000-0005-0000-0000-0000AB030000}"/>
    <cellStyle name="Normal 2 7 2 3" xfId="257" xr:uid="{00000000-0005-0000-0000-0000AC030000}"/>
    <cellStyle name="Normal 2 7 2 3 2" xfId="1196" xr:uid="{00000000-0005-0000-0000-0000AD030000}"/>
    <cellStyle name="Normal 2 7 2 3 3" xfId="883" xr:uid="{00000000-0005-0000-0000-0000AE030000}"/>
    <cellStyle name="Normal 2 7 2 3 4" xfId="570" xr:uid="{00000000-0005-0000-0000-0000AF030000}"/>
    <cellStyle name="Normal 2 7 2 4" xfId="1040" xr:uid="{00000000-0005-0000-0000-0000B0030000}"/>
    <cellStyle name="Normal 2 7 2 5" xfId="727" xr:uid="{00000000-0005-0000-0000-0000B1030000}"/>
    <cellStyle name="Normal 2 7 2 6" xfId="414" xr:uid="{00000000-0005-0000-0000-0000B2030000}"/>
    <cellStyle name="Normal 2 7 3" xfId="179" xr:uid="{00000000-0005-0000-0000-0000B3030000}"/>
    <cellStyle name="Normal 2 7 3 2" xfId="335" xr:uid="{00000000-0005-0000-0000-0000B4030000}"/>
    <cellStyle name="Normal 2 7 3 2 2" xfId="1274" xr:uid="{00000000-0005-0000-0000-0000B5030000}"/>
    <cellStyle name="Normal 2 7 3 2 3" xfId="961" xr:uid="{00000000-0005-0000-0000-0000B6030000}"/>
    <cellStyle name="Normal 2 7 3 2 4" xfId="648" xr:uid="{00000000-0005-0000-0000-0000B7030000}"/>
    <cellStyle name="Normal 2 7 3 3" xfId="1118" xr:uid="{00000000-0005-0000-0000-0000B8030000}"/>
    <cellStyle name="Normal 2 7 3 4" xfId="805" xr:uid="{00000000-0005-0000-0000-0000B9030000}"/>
    <cellStyle name="Normal 2 7 3 5" xfId="492" xr:uid="{00000000-0005-0000-0000-0000BA030000}"/>
    <cellStyle name="Normal 2 7 4" xfId="256" xr:uid="{00000000-0005-0000-0000-0000BB030000}"/>
    <cellStyle name="Normal 2 7 4 2" xfId="1195" xr:uid="{00000000-0005-0000-0000-0000BC030000}"/>
    <cellStyle name="Normal 2 7 4 3" xfId="882" xr:uid="{00000000-0005-0000-0000-0000BD030000}"/>
    <cellStyle name="Normal 2 7 4 4" xfId="569" xr:uid="{00000000-0005-0000-0000-0000BE030000}"/>
    <cellStyle name="Normal 2 7 5" xfId="1039" xr:uid="{00000000-0005-0000-0000-0000BF030000}"/>
    <cellStyle name="Normal 2 7 6" xfId="726" xr:uid="{00000000-0005-0000-0000-0000C0030000}"/>
    <cellStyle name="Normal 2 7 7" xfId="413" xr:uid="{00000000-0005-0000-0000-0000C1030000}"/>
    <cellStyle name="Normal 2 8" xfId="80" xr:uid="{00000000-0005-0000-0000-0000C2030000}"/>
    <cellStyle name="Normal 2 8 2" xfId="81" xr:uid="{00000000-0005-0000-0000-0000C3030000}"/>
    <cellStyle name="Normal 2 8 2 2" xfId="182" xr:uid="{00000000-0005-0000-0000-0000C4030000}"/>
    <cellStyle name="Normal 2 8 2 2 2" xfId="338" xr:uid="{00000000-0005-0000-0000-0000C5030000}"/>
    <cellStyle name="Normal 2 8 2 2 2 2" xfId="1277" xr:uid="{00000000-0005-0000-0000-0000C6030000}"/>
    <cellStyle name="Normal 2 8 2 2 2 3" xfId="964" xr:uid="{00000000-0005-0000-0000-0000C7030000}"/>
    <cellStyle name="Normal 2 8 2 2 2 4" xfId="651" xr:uid="{00000000-0005-0000-0000-0000C8030000}"/>
    <cellStyle name="Normal 2 8 2 2 3" xfId="1121" xr:uid="{00000000-0005-0000-0000-0000C9030000}"/>
    <cellStyle name="Normal 2 8 2 2 4" xfId="808" xr:uid="{00000000-0005-0000-0000-0000CA030000}"/>
    <cellStyle name="Normal 2 8 2 2 5" xfId="495" xr:uid="{00000000-0005-0000-0000-0000CB030000}"/>
    <cellStyle name="Normal 2 8 2 3" xfId="259" xr:uid="{00000000-0005-0000-0000-0000CC030000}"/>
    <cellStyle name="Normal 2 8 2 3 2" xfId="1198" xr:uid="{00000000-0005-0000-0000-0000CD030000}"/>
    <cellStyle name="Normal 2 8 2 3 3" xfId="885" xr:uid="{00000000-0005-0000-0000-0000CE030000}"/>
    <cellStyle name="Normal 2 8 2 3 4" xfId="572" xr:uid="{00000000-0005-0000-0000-0000CF030000}"/>
    <cellStyle name="Normal 2 8 2 4" xfId="1042" xr:uid="{00000000-0005-0000-0000-0000D0030000}"/>
    <cellStyle name="Normal 2 8 2 5" xfId="729" xr:uid="{00000000-0005-0000-0000-0000D1030000}"/>
    <cellStyle name="Normal 2 8 2 6" xfId="416" xr:uid="{00000000-0005-0000-0000-0000D2030000}"/>
    <cellStyle name="Normal 2 8 3" xfId="181" xr:uid="{00000000-0005-0000-0000-0000D3030000}"/>
    <cellStyle name="Normal 2 8 3 2" xfId="337" xr:uid="{00000000-0005-0000-0000-0000D4030000}"/>
    <cellStyle name="Normal 2 8 3 2 2" xfId="1276" xr:uid="{00000000-0005-0000-0000-0000D5030000}"/>
    <cellStyle name="Normal 2 8 3 2 3" xfId="963" xr:uid="{00000000-0005-0000-0000-0000D6030000}"/>
    <cellStyle name="Normal 2 8 3 2 4" xfId="650" xr:uid="{00000000-0005-0000-0000-0000D7030000}"/>
    <cellStyle name="Normal 2 8 3 3" xfId="1120" xr:uid="{00000000-0005-0000-0000-0000D8030000}"/>
    <cellStyle name="Normal 2 8 3 4" xfId="807" xr:uid="{00000000-0005-0000-0000-0000D9030000}"/>
    <cellStyle name="Normal 2 8 3 5" xfId="494" xr:uid="{00000000-0005-0000-0000-0000DA030000}"/>
    <cellStyle name="Normal 2 8 4" xfId="258" xr:uid="{00000000-0005-0000-0000-0000DB030000}"/>
    <cellStyle name="Normal 2 8 4 2" xfId="1197" xr:uid="{00000000-0005-0000-0000-0000DC030000}"/>
    <cellStyle name="Normal 2 8 4 3" xfId="884" xr:uid="{00000000-0005-0000-0000-0000DD030000}"/>
    <cellStyle name="Normal 2 8 4 4" xfId="571" xr:uid="{00000000-0005-0000-0000-0000DE030000}"/>
    <cellStyle name="Normal 2 8 5" xfId="1041" xr:uid="{00000000-0005-0000-0000-0000DF030000}"/>
    <cellStyle name="Normal 2 8 6" xfId="728" xr:uid="{00000000-0005-0000-0000-0000E0030000}"/>
    <cellStyle name="Normal 2 8 7" xfId="415" xr:uid="{00000000-0005-0000-0000-0000E1030000}"/>
    <cellStyle name="Normal 2 9" xfId="82" xr:uid="{00000000-0005-0000-0000-0000E2030000}"/>
    <cellStyle name="Normal 2 9 2" xfId="83" xr:uid="{00000000-0005-0000-0000-0000E3030000}"/>
    <cellStyle name="Normal 2 9 2 2" xfId="184" xr:uid="{00000000-0005-0000-0000-0000E4030000}"/>
    <cellStyle name="Normal 2 9 2 2 2" xfId="340" xr:uid="{00000000-0005-0000-0000-0000E5030000}"/>
    <cellStyle name="Normal 2 9 2 2 2 2" xfId="1279" xr:uid="{00000000-0005-0000-0000-0000E6030000}"/>
    <cellStyle name="Normal 2 9 2 2 2 3" xfId="966" xr:uid="{00000000-0005-0000-0000-0000E7030000}"/>
    <cellStyle name="Normal 2 9 2 2 2 4" xfId="653" xr:uid="{00000000-0005-0000-0000-0000E8030000}"/>
    <cellStyle name="Normal 2 9 2 2 3" xfId="1123" xr:uid="{00000000-0005-0000-0000-0000E9030000}"/>
    <cellStyle name="Normal 2 9 2 2 4" xfId="810" xr:uid="{00000000-0005-0000-0000-0000EA030000}"/>
    <cellStyle name="Normal 2 9 2 2 5" xfId="497" xr:uid="{00000000-0005-0000-0000-0000EB030000}"/>
    <cellStyle name="Normal 2 9 2 3" xfId="261" xr:uid="{00000000-0005-0000-0000-0000EC030000}"/>
    <cellStyle name="Normal 2 9 2 3 2" xfId="1200" xr:uid="{00000000-0005-0000-0000-0000ED030000}"/>
    <cellStyle name="Normal 2 9 2 3 3" xfId="887" xr:uid="{00000000-0005-0000-0000-0000EE030000}"/>
    <cellStyle name="Normal 2 9 2 3 4" xfId="574" xr:uid="{00000000-0005-0000-0000-0000EF030000}"/>
    <cellStyle name="Normal 2 9 2 4" xfId="1044" xr:uid="{00000000-0005-0000-0000-0000F0030000}"/>
    <cellStyle name="Normal 2 9 2 5" xfId="731" xr:uid="{00000000-0005-0000-0000-0000F1030000}"/>
    <cellStyle name="Normal 2 9 2 6" xfId="418" xr:uid="{00000000-0005-0000-0000-0000F2030000}"/>
    <cellStyle name="Normal 2 9 3" xfId="183" xr:uid="{00000000-0005-0000-0000-0000F3030000}"/>
    <cellStyle name="Normal 2 9 3 2" xfId="339" xr:uid="{00000000-0005-0000-0000-0000F4030000}"/>
    <cellStyle name="Normal 2 9 3 2 2" xfId="1278" xr:uid="{00000000-0005-0000-0000-0000F5030000}"/>
    <cellStyle name="Normal 2 9 3 2 3" xfId="965" xr:uid="{00000000-0005-0000-0000-0000F6030000}"/>
    <cellStyle name="Normal 2 9 3 2 4" xfId="652" xr:uid="{00000000-0005-0000-0000-0000F7030000}"/>
    <cellStyle name="Normal 2 9 3 3" xfId="1122" xr:uid="{00000000-0005-0000-0000-0000F8030000}"/>
    <cellStyle name="Normal 2 9 3 4" xfId="809" xr:uid="{00000000-0005-0000-0000-0000F9030000}"/>
    <cellStyle name="Normal 2 9 3 5" xfId="496" xr:uid="{00000000-0005-0000-0000-0000FA030000}"/>
    <cellStyle name="Normal 2 9 4" xfId="260" xr:uid="{00000000-0005-0000-0000-0000FB030000}"/>
    <cellStyle name="Normal 2 9 4 2" xfId="1199" xr:uid="{00000000-0005-0000-0000-0000FC030000}"/>
    <cellStyle name="Normal 2 9 4 3" xfId="886" xr:uid="{00000000-0005-0000-0000-0000FD030000}"/>
    <cellStyle name="Normal 2 9 4 4" xfId="573" xr:uid="{00000000-0005-0000-0000-0000FE030000}"/>
    <cellStyle name="Normal 2 9 5" xfId="1043" xr:uid="{00000000-0005-0000-0000-0000FF030000}"/>
    <cellStyle name="Normal 2 9 6" xfId="730" xr:uid="{00000000-0005-0000-0000-000000040000}"/>
    <cellStyle name="Normal 2 9 7" xfId="417" xr:uid="{00000000-0005-0000-0000-000001040000}"/>
    <cellStyle name="Normal 2_Resp" xfId="84" xr:uid="{00000000-0005-0000-0000-000002040000}"/>
    <cellStyle name="Normal 3" xfId="12" xr:uid="{00000000-0005-0000-0000-000003040000}"/>
    <cellStyle name="Normal 3 2" xfId="13" xr:uid="{00000000-0005-0000-0000-000004040000}"/>
    <cellStyle name="Normal 3 2 2" xfId="121" xr:uid="{00000000-0005-0000-0000-000005040000}"/>
    <cellStyle name="Normal 3 2 2 2" xfId="277" xr:uid="{00000000-0005-0000-0000-000006040000}"/>
    <cellStyle name="Normal 3 2 2 2 2" xfId="1216" xr:uid="{00000000-0005-0000-0000-000007040000}"/>
    <cellStyle name="Normal 3 2 2 2 3" xfId="903" xr:uid="{00000000-0005-0000-0000-000008040000}"/>
    <cellStyle name="Normal 3 2 2 2 4" xfId="590" xr:uid="{00000000-0005-0000-0000-000009040000}"/>
    <cellStyle name="Normal 3 2 2 3" xfId="1060" xr:uid="{00000000-0005-0000-0000-00000A040000}"/>
    <cellStyle name="Normal 3 2 2 4" xfId="747" xr:uid="{00000000-0005-0000-0000-00000B040000}"/>
    <cellStyle name="Normal 3 2 2 5" xfId="434" xr:uid="{00000000-0005-0000-0000-00000C040000}"/>
    <cellStyle name="Normal 3 2 3" xfId="198" xr:uid="{00000000-0005-0000-0000-00000D040000}"/>
    <cellStyle name="Normal 3 2 3 2" xfId="1137" xr:uid="{00000000-0005-0000-0000-00000E040000}"/>
    <cellStyle name="Normal 3 2 3 3" xfId="824" xr:uid="{00000000-0005-0000-0000-00000F040000}"/>
    <cellStyle name="Normal 3 2 3 4" xfId="511" xr:uid="{00000000-0005-0000-0000-000010040000}"/>
    <cellStyle name="Normal 3 2 4" xfId="981" xr:uid="{00000000-0005-0000-0000-000011040000}"/>
    <cellStyle name="Normal 3 2 5" xfId="668" xr:uid="{00000000-0005-0000-0000-000012040000}"/>
    <cellStyle name="Normal 3 2 6" xfId="355" xr:uid="{00000000-0005-0000-0000-000013040000}"/>
    <cellStyle name="Normal 3 3" xfId="120" xr:uid="{00000000-0005-0000-0000-000014040000}"/>
    <cellStyle name="Normal 3 3 2" xfId="276" xr:uid="{00000000-0005-0000-0000-000015040000}"/>
    <cellStyle name="Normal 3 3 2 2" xfId="1215" xr:uid="{00000000-0005-0000-0000-000016040000}"/>
    <cellStyle name="Normal 3 3 2 3" xfId="902" xr:uid="{00000000-0005-0000-0000-000017040000}"/>
    <cellStyle name="Normal 3 3 2 4" xfId="589" xr:uid="{00000000-0005-0000-0000-000018040000}"/>
    <cellStyle name="Normal 3 3 3" xfId="1059" xr:uid="{00000000-0005-0000-0000-000019040000}"/>
    <cellStyle name="Normal 3 3 4" xfId="746" xr:uid="{00000000-0005-0000-0000-00001A040000}"/>
    <cellStyle name="Normal 3 3 5" xfId="433" xr:uid="{00000000-0005-0000-0000-00001B040000}"/>
    <cellStyle name="Normal 3 4" xfId="197" xr:uid="{00000000-0005-0000-0000-00001C040000}"/>
    <cellStyle name="Normal 3 4 2" xfId="1136" xr:uid="{00000000-0005-0000-0000-00001D040000}"/>
    <cellStyle name="Normal 3 4 3" xfId="823" xr:uid="{00000000-0005-0000-0000-00001E040000}"/>
    <cellStyle name="Normal 3 4 4" xfId="510" xr:uid="{00000000-0005-0000-0000-00001F040000}"/>
    <cellStyle name="Normal 3 5" xfId="980" xr:uid="{00000000-0005-0000-0000-000020040000}"/>
    <cellStyle name="Normal 3 6" xfId="667" xr:uid="{00000000-0005-0000-0000-000021040000}"/>
    <cellStyle name="Normal 3 7" xfId="354" xr:uid="{00000000-0005-0000-0000-000022040000}"/>
    <cellStyle name="Normal 4" xfId="14" xr:uid="{00000000-0005-0000-0000-000023040000}"/>
    <cellStyle name="Normal 4 2" xfId="117" xr:uid="{00000000-0005-0000-0000-000024040000}"/>
    <cellStyle name="Normal 4 2 2" xfId="274" xr:uid="{00000000-0005-0000-0000-000025040000}"/>
    <cellStyle name="Normal 4 2 2 2" xfId="1213" xr:uid="{00000000-0005-0000-0000-000026040000}"/>
    <cellStyle name="Normal 4 2 2 3" xfId="900" xr:uid="{00000000-0005-0000-0000-000027040000}"/>
    <cellStyle name="Normal 4 2 2 4" xfId="587" xr:uid="{00000000-0005-0000-0000-000028040000}"/>
    <cellStyle name="Normal 4 2 3" xfId="1057" xr:uid="{00000000-0005-0000-0000-000029040000}"/>
    <cellStyle name="Normal 4 2 4" xfId="744" xr:uid="{00000000-0005-0000-0000-00002A040000}"/>
    <cellStyle name="Normal 4 2 5" xfId="431" xr:uid="{00000000-0005-0000-0000-00002B040000}"/>
    <cellStyle name="Normal 4 3" xfId="122" xr:uid="{00000000-0005-0000-0000-00002C040000}"/>
    <cellStyle name="Normal 4 3 2" xfId="278" xr:uid="{00000000-0005-0000-0000-00002D040000}"/>
    <cellStyle name="Normal 4 3 2 2" xfId="1217" xr:uid="{00000000-0005-0000-0000-00002E040000}"/>
    <cellStyle name="Normal 4 3 2 3" xfId="904" xr:uid="{00000000-0005-0000-0000-00002F040000}"/>
    <cellStyle name="Normal 4 3 2 4" xfId="591" xr:uid="{00000000-0005-0000-0000-000030040000}"/>
    <cellStyle name="Normal 4 3 3" xfId="1061" xr:uid="{00000000-0005-0000-0000-000031040000}"/>
    <cellStyle name="Normal 4 3 4" xfId="748" xr:uid="{00000000-0005-0000-0000-000032040000}"/>
    <cellStyle name="Normal 4 3 5" xfId="435" xr:uid="{00000000-0005-0000-0000-000033040000}"/>
    <cellStyle name="Normal 4 4" xfId="199" xr:uid="{00000000-0005-0000-0000-000034040000}"/>
    <cellStyle name="Normal 4 4 2" xfId="1138" xr:uid="{00000000-0005-0000-0000-000035040000}"/>
    <cellStyle name="Normal 4 4 3" xfId="825" xr:uid="{00000000-0005-0000-0000-000036040000}"/>
    <cellStyle name="Normal 4 4 4" xfId="512" xr:uid="{00000000-0005-0000-0000-000037040000}"/>
    <cellStyle name="Normal 4 5" xfId="982" xr:uid="{00000000-0005-0000-0000-000038040000}"/>
    <cellStyle name="Normal 4 6" xfId="669" xr:uid="{00000000-0005-0000-0000-000039040000}"/>
    <cellStyle name="Normal 4 7" xfId="356" xr:uid="{00000000-0005-0000-0000-00003A040000}"/>
    <cellStyle name="Normal 5" xfId="15" xr:uid="{00000000-0005-0000-0000-00003B040000}"/>
    <cellStyle name="Normal 6" xfId="18" xr:uid="{00000000-0005-0000-0000-00003C040000}"/>
    <cellStyle name="Normal 6 2" xfId="23" xr:uid="{00000000-0005-0000-0000-00003D040000}"/>
    <cellStyle name="Normal 6 2 2" xfId="90" xr:uid="{00000000-0005-0000-0000-00003E040000}"/>
    <cellStyle name="Normal 6 2 2 2" xfId="96" xr:uid="{00000000-0005-0000-0000-00003F040000}"/>
    <cellStyle name="Normal 6 2 2 2 2" xfId="193" xr:uid="{00000000-0005-0000-0000-000040040000}"/>
    <cellStyle name="Normal 6 2 2 2 2 2" xfId="349" xr:uid="{00000000-0005-0000-0000-000041040000}"/>
    <cellStyle name="Normal 6 2 2 2 2 2 2" xfId="1288" xr:uid="{00000000-0005-0000-0000-000042040000}"/>
    <cellStyle name="Normal 6 2 2 2 2 2 3" xfId="975" xr:uid="{00000000-0005-0000-0000-000043040000}"/>
    <cellStyle name="Normal 6 2 2 2 2 2 4" xfId="662" xr:uid="{00000000-0005-0000-0000-000044040000}"/>
    <cellStyle name="Normal 6 2 2 2 2 3" xfId="1132" xr:uid="{00000000-0005-0000-0000-000045040000}"/>
    <cellStyle name="Normal 6 2 2 2 2 4" xfId="819" xr:uid="{00000000-0005-0000-0000-000046040000}"/>
    <cellStyle name="Normal 6 2 2 2 2 5" xfId="506" xr:uid="{00000000-0005-0000-0000-000047040000}"/>
    <cellStyle name="Normal 6 2 2 2 3" xfId="270" xr:uid="{00000000-0005-0000-0000-000048040000}"/>
    <cellStyle name="Normal 6 2 2 2 3 2" xfId="1209" xr:uid="{00000000-0005-0000-0000-000049040000}"/>
    <cellStyle name="Normal 6 2 2 2 3 3" xfId="896" xr:uid="{00000000-0005-0000-0000-00004A040000}"/>
    <cellStyle name="Normal 6 2 2 2 3 4" xfId="583" xr:uid="{00000000-0005-0000-0000-00004B040000}"/>
    <cellStyle name="Normal 6 2 2 2 4" xfId="1053" xr:uid="{00000000-0005-0000-0000-00004C040000}"/>
    <cellStyle name="Normal 6 2 2 2 5" xfId="740" xr:uid="{00000000-0005-0000-0000-00004D040000}"/>
    <cellStyle name="Normal 6 2 2 2 6" xfId="427" xr:uid="{00000000-0005-0000-0000-00004E040000}"/>
    <cellStyle name="Normal 6 2 2 3" xfId="187" xr:uid="{00000000-0005-0000-0000-00004F040000}"/>
    <cellStyle name="Normal 6 2 2 3 2" xfId="343" xr:uid="{00000000-0005-0000-0000-000050040000}"/>
    <cellStyle name="Normal 6 2 2 3 2 2" xfId="1282" xr:uid="{00000000-0005-0000-0000-000051040000}"/>
    <cellStyle name="Normal 6 2 2 3 2 3" xfId="969" xr:uid="{00000000-0005-0000-0000-000052040000}"/>
    <cellStyle name="Normal 6 2 2 3 2 4" xfId="656" xr:uid="{00000000-0005-0000-0000-000053040000}"/>
    <cellStyle name="Normal 6 2 2 3 3" xfId="1126" xr:uid="{00000000-0005-0000-0000-000054040000}"/>
    <cellStyle name="Normal 6 2 2 3 4" xfId="813" xr:uid="{00000000-0005-0000-0000-000055040000}"/>
    <cellStyle name="Normal 6 2 2 3 5" xfId="500" xr:uid="{00000000-0005-0000-0000-000056040000}"/>
    <cellStyle name="Normal 6 2 2 4" xfId="264" xr:uid="{00000000-0005-0000-0000-000057040000}"/>
    <cellStyle name="Normal 6 2 2 4 2" xfId="1203" xr:uid="{00000000-0005-0000-0000-000058040000}"/>
    <cellStyle name="Normal 6 2 2 4 3" xfId="890" xr:uid="{00000000-0005-0000-0000-000059040000}"/>
    <cellStyle name="Normal 6 2 2 4 4" xfId="577" xr:uid="{00000000-0005-0000-0000-00005A040000}"/>
    <cellStyle name="Normal 6 2 2 5" xfId="353" xr:uid="{00000000-0005-0000-0000-00005B040000}"/>
    <cellStyle name="Normal 6 2 2 5 2" xfId="979" xr:uid="{00000000-0005-0000-0000-00005C040000}"/>
    <cellStyle name="Normal 6 2 2 5 3" xfId="666" xr:uid="{00000000-0005-0000-0000-00005D040000}"/>
    <cellStyle name="Normal 6 2 2 5 4" xfId="1293" xr:uid="{00000000-0005-0000-0000-00005E040000}"/>
    <cellStyle name="Normal 6 2 2 6" xfId="1047" xr:uid="{00000000-0005-0000-0000-00005F040000}"/>
    <cellStyle name="Normal 6 2 2 7" xfId="734" xr:uid="{00000000-0005-0000-0000-000060040000}"/>
    <cellStyle name="Normal 6 2 2 8" xfId="421" xr:uid="{00000000-0005-0000-0000-000061040000}"/>
    <cellStyle name="Normal 6 2 3" xfId="127" xr:uid="{00000000-0005-0000-0000-000062040000}"/>
    <cellStyle name="Normal 6 2 3 2" xfId="283" xr:uid="{00000000-0005-0000-0000-000063040000}"/>
    <cellStyle name="Normal 6 2 3 2 2" xfId="1222" xr:uid="{00000000-0005-0000-0000-000064040000}"/>
    <cellStyle name="Normal 6 2 3 2 3" xfId="909" xr:uid="{00000000-0005-0000-0000-000065040000}"/>
    <cellStyle name="Normal 6 2 3 2 4" xfId="596" xr:uid="{00000000-0005-0000-0000-000066040000}"/>
    <cellStyle name="Normal 6 2 3 3" xfId="1066" xr:uid="{00000000-0005-0000-0000-000067040000}"/>
    <cellStyle name="Normal 6 2 3 4" xfId="753" xr:uid="{00000000-0005-0000-0000-000068040000}"/>
    <cellStyle name="Normal 6 2 3 5" xfId="440" xr:uid="{00000000-0005-0000-0000-000069040000}"/>
    <cellStyle name="Normal 6 2 4" xfId="204" xr:uid="{00000000-0005-0000-0000-00006A040000}"/>
    <cellStyle name="Normal 6 2 4 2" xfId="1143" xr:uid="{00000000-0005-0000-0000-00006B040000}"/>
    <cellStyle name="Normal 6 2 4 3" xfId="830" xr:uid="{00000000-0005-0000-0000-00006C040000}"/>
    <cellStyle name="Normal 6 2 4 4" xfId="517" xr:uid="{00000000-0005-0000-0000-00006D040000}"/>
    <cellStyle name="Normal 6 2 5" xfId="987" xr:uid="{00000000-0005-0000-0000-00006E040000}"/>
    <cellStyle name="Normal 6 2 6" xfId="674" xr:uid="{00000000-0005-0000-0000-00006F040000}"/>
    <cellStyle name="Normal 6 2 7" xfId="361" xr:uid="{00000000-0005-0000-0000-000070040000}"/>
    <cellStyle name="Normal 6 3" xfId="123" xr:uid="{00000000-0005-0000-0000-000071040000}"/>
    <cellStyle name="Normal 6 3 2" xfId="279" xr:uid="{00000000-0005-0000-0000-000072040000}"/>
    <cellStyle name="Normal 6 3 2 2" xfId="1218" xr:uid="{00000000-0005-0000-0000-000073040000}"/>
    <cellStyle name="Normal 6 3 2 3" xfId="905" xr:uid="{00000000-0005-0000-0000-000074040000}"/>
    <cellStyle name="Normal 6 3 2 4" xfId="592" xr:uid="{00000000-0005-0000-0000-000075040000}"/>
    <cellStyle name="Normal 6 3 3" xfId="1062" xr:uid="{00000000-0005-0000-0000-000076040000}"/>
    <cellStyle name="Normal 6 3 4" xfId="749" xr:uid="{00000000-0005-0000-0000-000077040000}"/>
    <cellStyle name="Normal 6 3 5" xfId="436" xr:uid="{00000000-0005-0000-0000-000078040000}"/>
    <cellStyle name="Normal 6 4" xfId="200" xr:uid="{00000000-0005-0000-0000-000079040000}"/>
    <cellStyle name="Normal 6 4 2" xfId="1139" xr:uid="{00000000-0005-0000-0000-00007A040000}"/>
    <cellStyle name="Normal 6 4 3" xfId="826" xr:uid="{00000000-0005-0000-0000-00007B040000}"/>
    <cellStyle name="Normal 6 4 4" xfId="513" xr:uid="{00000000-0005-0000-0000-00007C040000}"/>
    <cellStyle name="Normal 6 5" xfId="983" xr:uid="{00000000-0005-0000-0000-00007D040000}"/>
    <cellStyle name="Normal 6 6" xfId="670" xr:uid="{00000000-0005-0000-0000-00007E040000}"/>
    <cellStyle name="Normal 6 7" xfId="357" xr:uid="{00000000-0005-0000-0000-00007F040000}"/>
    <cellStyle name="Normal 7" xfId="85" xr:uid="{00000000-0005-0000-0000-000080040000}"/>
    <cellStyle name="Normal 8" xfId="86" xr:uid="{00000000-0005-0000-0000-000081040000}"/>
    <cellStyle name="Normal 9" xfId="87" xr:uid="{00000000-0005-0000-0000-000082040000}"/>
    <cellStyle name="Note 2" xfId="19" xr:uid="{00000000-0005-0000-0000-000083040000}"/>
    <cellStyle name="Note 2 2" xfId="24" xr:uid="{00000000-0005-0000-0000-000084040000}"/>
    <cellStyle name="Note 2 2 2" xfId="91" xr:uid="{00000000-0005-0000-0000-000085040000}"/>
    <cellStyle name="Note 2 2 2 2" xfId="97" xr:uid="{00000000-0005-0000-0000-000086040000}"/>
    <cellStyle name="Note 2 2 2 2 2" xfId="194" xr:uid="{00000000-0005-0000-0000-000087040000}"/>
    <cellStyle name="Note 2 2 2 2 2 2" xfId="350" xr:uid="{00000000-0005-0000-0000-000088040000}"/>
    <cellStyle name="Note 2 2 2 2 2 2 2" xfId="1289" xr:uid="{00000000-0005-0000-0000-000089040000}"/>
    <cellStyle name="Note 2 2 2 2 2 2 3" xfId="976" xr:uid="{00000000-0005-0000-0000-00008A040000}"/>
    <cellStyle name="Note 2 2 2 2 2 2 4" xfId="663" xr:uid="{00000000-0005-0000-0000-00008B040000}"/>
    <cellStyle name="Note 2 2 2 2 2 3" xfId="1133" xr:uid="{00000000-0005-0000-0000-00008C040000}"/>
    <cellStyle name="Note 2 2 2 2 2 4" xfId="820" xr:uid="{00000000-0005-0000-0000-00008D040000}"/>
    <cellStyle name="Note 2 2 2 2 2 5" xfId="507" xr:uid="{00000000-0005-0000-0000-00008E040000}"/>
    <cellStyle name="Note 2 2 2 2 3" xfId="271" xr:uid="{00000000-0005-0000-0000-00008F040000}"/>
    <cellStyle name="Note 2 2 2 2 3 2" xfId="1210" xr:uid="{00000000-0005-0000-0000-000090040000}"/>
    <cellStyle name="Note 2 2 2 2 3 3" xfId="897" xr:uid="{00000000-0005-0000-0000-000091040000}"/>
    <cellStyle name="Note 2 2 2 2 3 4" xfId="584" xr:uid="{00000000-0005-0000-0000-000092040000}"/>
    <cellStyle name="Note 2 2 2 2 4" xfId="1054" xr:uid="{00000000-0005-0000-0000-000093040000}"/>
    <cellStyle name="Note 2 2 2 2 5" xfId="741" xr:uid="{00000000-0005-0000-0000-000094040000}"/>
    <cellStyle name="Note 2 2 2 2 6" xfId="428" xr:uid="{00000000-0005-0000-0000-000095040000}"/>
    <cellStyle name="Note 2 2 2 3" xfId="188" xr:uid="{00000000-0005-0000-0000-000096040000}"/>
    <cellStyle name="Note 2 2 2 3 2" xfId="344" xr:uid="{00000000-0005-0000-0000-000097040000}"/>
    <cellStyle name="Note 2 2 2 3 2 2" xfId="1283" xr:uid="{00000000-0005-0000-0000-000098040000}"/>
    <cellStyle name="Note 2 2 2 3 2 3" xfId="970" xr:uid="{00000000-0005-0000-0000-000099040000}"/>
    <cellStyle name="Note 2 2 2 3 2 4" xfId="657" xr:uid="{00000000-0005-0000-0000-00009A040000}"/>
    <cellStyle name="Note 2 2 2 3 3" xfId="1127" xr:uid="{00000000-0005-0000-0000-00009B040000}"/>
    <cellStyle name="Note 2 2 2 3 4" xfId="814" xr:uid="{00000000-0005-0000-0000-00009C040000}"/>
    <cellStyle name="Note 2 2 2 3 5" xfId="501" xr:uid="{00000000-0005-0000-0000-00009D040000}"/>
    <cellStyle name="Note 2 2 2 4" xfId="265" xr:uid="{00000000-0005-0000-0000-00009E040000}"/>
    <cellStyle name="Note 2 2 2 4 2" xfId="1204" xr:uid="{00000000-0005-0000-0000-00009F040000}"/>
    <cellStyle name="Note 2 2 2 4 3" xfId="891" xr:uid="{00000000-0005-0000-0000-0000A0040000}"/>
    <cellStyle name="Note 2 2 2 4 4" xfId="578" xr:uid="{00000000-0005-0000-0000-0000A1040000}"/>
    <cellStyle name="Note 2 2 2 5" xfId="1048" xr:uid="{00000000-0005-0000-0000-0000A2040000}"/>
    <cellStyle name="Note 2 2 2 6" xfId="735" xr:uid="{00000000-0005-0000-0000-0000A3040000}"/>
    <cellStyle name="Note 2 2 2 7" xfId="422" xr:uid="{00000000-0005-0000-0000-0000A4040000}"/>
    <cellStyle name="Note 2 2 3" xfId="128" xr:uid="{00000000-0005-0000-0000-0000A5040000}"/>
    <cellStyle name="Note 2 2 3 2" xfId="284" xr:uid="{00000000-0005-0000-0000-0000A6040000}"/>
    <cellStyle name="Note 2 2 3 2 2" xfId="1223" xr:uid="{00000000-0005-0000-0000-0000A7040000}"/>
    <cellStyle name="Note 2 2 3 2 3" xfId="910" xr:uid="{00000000-0005-0000-0000-0000A8040000}"/>
    <cellStyle name="Note 2 2 3 2 4" xfId="597" xr:uid="{00000000-0005-0000-0000-0000A9040000}"/>
    <cellStyle name="Note 2 2 3 3" xfId="1067" xr:uid="{00000000-0005-0000-0000-0000AA040000}"/>
    <cellStyle name="Note 2 2 3 4" xfId="754" xr:uid="{00000000-0005-0000-0000-0000AB040000}"/>
    <cellStyle name="Note 2 2 3 5" xfId="441" xr:uid="{00000000-0005-0000-0000-0000AC040000}"/>
    <cellStyle name="Note 2 2 4" xfId="205" xr:uid="{00000000-0005-0000-0000-0000AD040000}"/>
    <cellStyle name="Note 2 2 4 2" xfId="1144" xr:uid="{00000000-0005-0000-0000-0000AE040000}"/>
    <cellStyle name="Note 2 2 4 3" xfId="831" xr:uid="{00000000-0005-0000-0000-0000AF040000}"/>
    <cellStyle name="Note 2 2 4 4" xfId="518" xr:uid="{00000000-0005-0000-0000-0000B0040000}"/>
    <cellStyle name="Note 2 2 5" xfId="988" xr:uid="{00000000-0005-0000-0000-0000B1040000}"/>
    <cellStyle name="Note 2 2 6" xfId="675" xr:uid="{00000000-0005-0000-0000-0000B2040000}"/>
    <cellStyle name="Note 2 2 7" xfId="362" xr:uid="{00000000-0005-0000-0000-0000B3040000}"/>
    <cellStyle name="Note 2 3" xfId="124" xr:uid="{00000000-0005-0000-0000-0000B4040000}"/>
    <cellStyle name="Note 2 3 2" xfId="280" xr:uid="{00000000-0005-0000-0000-0000B5040000}"/>
    <cellStyle name="Note 2 3 2 2" xfId="1219" xr:uid="{00000000-0005-0000-0000-0000B6040000}"/>
    <cellStyle name="Note 2 3 2 3" xfId="906" xr:uid="{00000000-0005-0000-0000-0000B7040000}"/>
    <cellStyle name="Note 2 3 2 4" xfId="593" xr:uid="{00000000-0005-0000-0000-0000B8040000}"/>
    <cellStyle name="Note 2 3 3" xfId="1063" xr:uid="{00000000-0005-0000-0000-0000B9040000}"/>
    <cellStyle name="Note 2 3 4" xfId="750" xr:uid="{00000000-0005-0000-0000-0000BA040000}"/>
    <cellStyle name="Note 2 3 5" xfId="437" xr:uid="{00000000-0005-0000-0000-0000BB040000}"/>
    <cellStyle name="Note 2 4" xfId="201" xr:uid="{00000000-0005-0000-0000-0000BC040000}"/>
    <cellStyle name="Note 2 4 2" xfId="1140" xr:uid="{00000000-0005-0000-0000-0000BD040000}"/>
    <cellStyle name="Note 2 4 3" xfId="827" xr:uid="{00000000-0005-0000-0000-0000BE040000}"/>
    <cellStyle name="Note 2 4 4" xfId="514" xr:uid="{00000000-0005-0000-0000-0000BF040000}"/>
    <cellStyle name="Note 2 5" xfId="984" xr:uid="{00000000-0005-0000-0000-0000C0040000}"/>
    <cellStyle name="Note 2 6" xfId="671" xr:uid="{00000000-0005-0000-0000-0000C1040000}"/>
    <cellStyle name="Note 2 7" xfId="358" xr:uid="{00000000-0005-0000-0000-0000C2040000}"/>
    <cellStyle name="Note 3" xfId="88" xr:uid="{00000000-0005-0000-0000-0000C3040000}"/>
    <cellStyle name="Note 3 2" xfId="89" xr:uid="{00000000-0005-0000-0000-0000C4040000}"/>
    <cellStyle name="Note 3 2 2" xfId="186" xr:uid="{00000000-0005-0000-0000-0000C5040000}"/>
    <cellStyle name="Note 3 2 2 2" xfId="342" xr:uid="{00000000-0005-0000-0000-0000C6040000}"/>
    <cellStyle name="Note 3 2 2 2 2" xfId="1281" xr:uid="{00000000-0005-0000-0000-0000C7040000}"/>
    <cellStyle name="Note 3 2 2 2 3" xfId="968" xr:uid="{00000000-0005-0000-0000-0000C8040000}"/>
    <cellStyle name="Note 3 2 2 2 4" xfId="655" xr:uid="{00000000-0005-0000-0000-0000C9040000}"/>
    <cellStyle name="Note 3 2 2 3" xfId="1125" xr:uid="{00000000-0005-0000-0000-0000CA040000}"/>
    <cellStyle name="Note 3 2 2 4" xfId="812" xr:uid="{00000000-0005-0000-0000-0000CB040000}"/>
    <cellStyle name="Note 3 2 2 5" xfId="499" xr:uid="{00000000-0005-0000-0000-0000CC040000}"/>
    <cellStyle name="Note 3 2 3" xfId="263" xr:uid="{00000000-0005-0000-0000-0000CD040000}"/>
    <cellStyle name="Note 3 2 3 2" xfId="1202" xr:uid="{00000000-0005-0000-0000-0000CE040000}"/>
    <cellStyle name="Note 3 2 3 3" xfId="889" xr:uid="{00000000-0005-0000-0000-0000CF040000}"/>
    <cellStyle name="Note 3 2 3 4" xfId="576" xr:uid="{00000000-0005-0000-0000-0000D0040000}"/>
    <cellStyle name="Note 3 2 4" xfId="1046" xr:uid="{00000000-0005-0000-0000-0000D1040000}"/>
    <cellStyle name="Note 3 2 5" xfId="733" xr:uid="{00000000-0005-0000-0000-0000D2040000}"/>
    <cellStyle name="Note 3 2 6" xfId="420" xr:uid="{00000000-0005-0000-0000-0000D3040000}"/>
    <cellStyle name="Note 3 3" xfId="185" xr:uid="{00000000-0005-0000-0000-0000D4040000}"/>
    <cellStyle name="Note 3 3 2" xfId="341" xr:uid="{00000000-0005-0000-0000-0000D5040000}"/>
    <cellStyle name="Note 3 3 2 2" xfId="1280" xr:uid="{00000000-0005-0000-0000-0000D6040000}"/>
    <cellStyle name="Note 3 3 2 3" xfId="967" xr:uid="{00000000-0005-0000-0000-0000D7040000}"/>
    <cellStyle name="Note 3 3 2 4" xfId="654" xr:uid="{00000000-0005-0000-0000-0000D8040000}"/>
    <cellStyle name="Note 3 3 3" xfId="1124" xr:uid="{00000000-0005-0000-0000-0000D9040000}"/>
    <cellStyle name="Note 3 3 4" xfId="811" xr:uid="{00000000-0005-0000-0000-0000DA040000}"/>
    <cellStyle name="Note 3 3 5" xfId="498" xr:uid="{00000000-0005-0000-0000-0000DB040000}"/>
    <cellStyle name="Note 3 4" xfId="262" xr:uid="{00000000-0005-0000-0000-0000DC040000}"/>
    <cellStyle name="Note 3 4 2" xfId="1201" xr:uid="{00000000-0005-0000-0000-0000DD040000}"/>
    <cellStyle name="Note 3 4 3" xfId="888" xr:uid="{00000000-0005-0000-0000-0000DE040000}"/>
    <cellStyle name="Note 3 4 4" xfId="575" xr:uid="{00000000-0005-0000-0000-0000DF040000}"/>
    <cellStyle name="Note 3 5" xfId="1045" xr:uid="{00000000-0005-0000-0000-0000E0040000}"/>
    <cellStyle name="Note 3 6" xfId="732" xr:uid="{00000000-0005-0000-0000-0000E1040000}"/>
    <cellStyle name="Note 3 7" xfId="419" xr:uid="{00000000-0005-0000-0000-0000E2040000}"/>
    <cellStyle name="Percent" xfId="22" builtinId="5"/>
    <cellStyle name="Percent 2" xfId="16" xr:uid="{00000000-0005-0000-0000-0000E4040000}"/>
    <cellStyle name="Percent 3" xfId="17" xr:uid="{00000000-0005-0000-0000-0000E5040000}"/>
    <cellStyle name="Percent 4" xfId="21" xr:uid="{00000000-0005-0000-0000-0000E6040000}"/>
    <cellStyle name="Percent 4 2" xfId="26" xr:uid="{00000000-0005-0000-0000-0000E7040000}"/>
    <cellStyle name="Percent 4 2 2" xfId="130" xr:uid="{00000000-0005-0000-0000-0000E8040000}"/>
    <cellStyle name="Percent 4 2 2 2" xfId="286" xr:uid="{00000000-0005-0000-0000-0000E9040000}"/>
    <cellStyle name="Percent 4 2 2 2 2" xfId="1225" xr:uid="{00000000-0005-0000-0000-0000EA040000}"/>
    <cellStyle name="Percent 4 2 2 2 3" xfId="912" xr:uid="{00000000-0005-0000-0000-0000EB040000}"/>
    <cellStyle name="Percent 4 2 2 2 4" xfId="599" xr:uid="{00000000-0005-0000-0000-0000EC040000}"/>
    <cellStyle name="Percent 4 2 2 3" xfId="1069" xr:uid="{00000000-0005-0000-0000-0000ED040000}"/>
    <cellStyle name="Percent 4 2 2 4" xfId="756" xr:uid="{00000000-0005-0000-0000-0000EE040000}"/>
    <cellStyle name="Percent 4 2 2 5" xfId="443" xr:uid="{00000000-0005-0000-0000-0000EF040000}"/>
    <cellStyle name="Percent 4 2 3" xfId="207" xr:uid="{00000000-0005-0000-0000-0000F0040000}"/>
    <cellStyle name="Percent 4 2 3 2" xfId="1146" xr:uid="{00000000-0005-0000-0000-0000F1040000}"/>
    <cellStyle name="Percent 4 2 3 3" xfId="833" xr:uid="{00000000-0005-0000-0000-0000F2040000}"/>
    <cellStyle name="Percent 4 2 3 4" xfId="520" xr:uid="{00000000-0005-0000-0000-0000F3040000}"/>
    <cellStyle name="Percent 4 2 4" xfId="990" xr:uid="{00000000-0005-0000-0000-0000F4040000}"/>
    <cellStyle name="Percent 4 2 5" xfId="677" xr:uid="{00000000-0005-0000-0000-0000F5040000}"/>
    <cellStyle name="Percent 4 2 6" xfId="364" xr:uid="{00000000-0005-0000-0000-0000F6040000}"/>
    <cellStyle name="Percent 4 3" xfId="126" xr:uid="{00000000-0005-0000-0000-0000F7040000}"/>
    <cellStyle name="Percent 4 3 2" xfId="282" xr:uid="{00000000-0005-0000-0000-0000F8040000}"/>
    <cellStyle name="Percent 4 3 2 2" xfId="1221" xr:uid="{00000000-0005-0000-0000-0000F9040000}"/>
    <cellStyle name="Percent 4 3 2 3" xfId="908" xr:uid="{00000000-0005-0000-0000-0000FA040000}"/>
    <cellStyle name="Percent 4 3 2 4" xfId="595" xr:uid="{00000000-0005-0000-0000-0000FB040000}"/>
    <cellStyle name="Percent 4 3 3" xfId="1065" xr:uid="{00000000-0005-0000-0000-0000FC040000}"/>
    <cellStyle name="Percent 4 3 4" xfId="752" xr:uid="{00000000-0005-0000-0000-0000FD040000}"/>
    <cellStyle name="Percent 4 3 5" xfId="439" xr:uid="{00000000-0005-0000-0000-0000FE040000}"/>
    <cellStyle name="Percent 4 4" xfId="203" xr:uid="{00000000-0005-0000-0000-0000FF040000}"/>
    <cellStyle name="Percent 4 4 2" xfId="1142" xr:uid="{00000000-0005-0000-0000-000000050000}"/>
    <cellStyle name="Percent 4 4 3" xfId="829" xr:uid="{00000000-0005-0000-0000-000001050000}"/>
    <cellStyle name="Percent 4 4 4" xfId="516" xr:uid="{00000000-0005-0000-0000-000002050000}"/>
    <cellStyle name="Percent 4 5" xfId="986" xr:uid="{00000000-0005-0000-0000-000003050000}"/>
    <cellStyle name="Percent 4 6" xfId="673" xr:uid="{00000000-0005-0000-0000-000004050000}"/>
    <cellStyle name="Percent 4 7" xfId="360" xr:uid="{00000000-0005-0000-0000-000005050000}"/>
    <cellStyle name="Percent 5" xfId="118" xr:uid="{00000000-0005-0000-0000-000006050000}"/>
    <cellStyle name="Percent 5 2" xfId="275" xr:uid="{00000000-0005-0000-0000-000007050000}"/>
    <cellStyle name="Percent 5 2 2" xfId="1214" xr:uid="{00000000-0005-0000-0000-000008050000}"/>
    <cellStyle name="Percent 5 2 3" xfId="901" xr:uid="{00000000-0005-0000-0000-000009050000}"/>
    <cellStyle name="Percent 5 2 4" xfId="588" xr:uid="{00000000-0005-0000-0000-00000A050000}"/>
    <cellStyle name="Percent 5 3" xfId="1058" xr:uid="{00000000-0005-0000-0000-00000B050000}"/>
    <cellStyle name="Percent 5 4" xfId="745" xr:uid="{00000000-0005-0000-0000-00000C050000}"/>
    <cellStyle name="Percent 5 5" xfId="432" xr:uid="{00000000-0005-0000-0000-00000D050000}"/>
    <cellStyle name="Percent Complete" xfId="106" xr:uid="{00000000-0005-0000-0000-00000E050000}"/>
    <cellStyle name="Period Headers" xfId="105" xr:uid="{00000000-0005-0000-0000-00000F050000}"/>
    <cellStyle name="Period Highlight Control" xfId="103" xr:uid="{00000000-0005-0000-0000-000010050000}"/>
    <cellStyle name="Project Headers" xfId="104" xr:uid="{00000000-0005-0000-0000-000011050000}"/>
    <cellStyle name="Title 2" xfId="119" xr:uid="{00000000-0005-0000-0000-000012050000}"/>
  </cellStyles>
  <dxfs count="28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i val="0"/>
        <color rgb="FF00B050"/>
      </font>
      <numFmt numFmtId="190" formatCode="\+&quot;$&quot;#,##0"/>
    </dxf>
    <dxf>
      <font>
        <color rgb="FFFF5050"/>
      </font>
    </dxf>
    <dxf>
      <font>
        <b/>
        <i val="0"/>
        <color rgb="FF00B050"/>
      </font>
      <numFmt numFmtId="190" formatCode="\+&quot;$&quot;#,##0"/>
    </dxf>
    <dxf>
      <font>
        <color rgb="FFFF5050"/>
      </font>
    </dxf>
    <dxf>
      <font>
        <b/>
        <i val="0"/>
        <color rgb="FF00B050"/>
      </font>
      <numFmt numFmtId="190" formatCode="\+&quot;$&quot;#,##0"/>
    </dxf>
    <dxf>
      <font>
        <color rgb="FFFF5050"/>
      </font>
    </dxf>
    <dxf>
      <font>
        <color theme="0"/>
      </font>
    </dxf>
    <dxf>
      <font>
        <color theme="0" tint="-4.9989318521683403E-2"/>
      </font>
    </dxf>
    <dxf>
      <font>
        <color theme="0" tint="-4.9989318521683403E-2"/>
      </font>
    </dxf>
    <dxf>
      <font>
        <color theme="0"/>
      </font>
    </dxf>
    <dxf>
      <font>
        <color theme="0"/>
      </font>
    </dxf>
    <dxf>
      <font>
        <color rgb="FF00B050"/>
      </font>
      <numFmt numFmtId="191" formatCode="&quot;+ &quot;&quot;$&quot;#,##0"/>
    </dxf>
    <dxf>
      <font>
        <color theme="0" tint="-4.9989318521683403E-2"/>
      </font>
    </dxf>
    <dxf>
      <font>
        <color theme="0" tint="-4.9989318521683403E-2"/>
      </font>
    </dxf>
    <dxf>
      <font>
        <color theme="0" tint="-4.9989318521683403E-2"/>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00B050"/>
      </font>
      <numFmt numFmtId="192" formatCode="\+\ &quot;$&quot;#,##0"/>
    </dxf>
    <dxf>
      <font>
        <color rgb="FFFF5050"/>
      </font>
    </dxf>
    <dxf>
      <font>
        <color rgb="FF00B050"/>
      </font>
      <numFmt numFmtId="192" formatCode="\+\ &quot;$&quot;#,##0"/>
    </dxf>
    <dxf>
      <font>
        <color rgb="FFFF5050"/>
      </font>
    </dxf>
    <dxf>
      <font>
        <color rgb="FF00B050"/>
      </font>
      <numFmt numFmtId="192" formatCode="\+\ &quot;$&quot;#,##0"/>
    </dxf>
    <dxf>
      <font>
        <color rgb="FFFF5050"/>
      </font>
    </dxf>
    <dxf>
      <font>
        <color rgb="FF00B050"/>
      </font>
      <numFmt numFmtId="192" formatCode="\+\ &quot;$&quot;#,##0"/>
    </dxf>
    <dxf>
      <font>
        <color rgb="FFFF5050"/>
      </font>
    </dxf>
    <dxf>
      <font>
        <b/>
        <i val="0"/>
        <color rgb="FF00B050"/>
      </font>
      <numFmt numFmtId="190" formatCode="\+&quot;$&quot;#,##0"/>
    </dxf>
    <dxf>
      <font>
        <color rgb="FFFF5050"/>
      </font>
    </dxf>
    <dxf>
      <font>
        <b/>
        <i val="0"/>
        <color rgb="FF00B050"/>
      </font>
      <numFmt numFmtId="190" formatCode="\+&quot;$&quot;#,##0"/>
    </dxf>
    <dxf>
      <font>
        <color rgb="FFFF5050"/>
      </font>
    </dxf>
    <dxf>
      <font>
        <b/>
        <i val="0"/>
        <color rgb="FF00B050"/>
      </font>
      <numFmt numFmtId="190" formatCode="\+&quot;$&quot;#,##0"/>
    </dxf>
    <dxf>
      <font>
        <color rgb="FFFF505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b/>
        <i val="0"/>
        <color rgb="FF00B050"/>
      </font>
      <numFmt numFmtId="190" formatCode="\+&quot;$&quot;#,##0"/>
    </dxf>
    <dxf>
      <font>
        <color rgb="FFFF5050"/>
      </font>
    </dxf>
    <dxf>
      <font>
        <b/>
        <i val="0"/>
        <color rgb="FF00B050"/>
      </font>
      <numFmt numFmtId="190" formatCode="\+&quot;$&quot;#,##0"/>
    </dxf>
    <dxf>
      <font>
        <color rgb="FFFF5050"/>
      </font>
    </dxf>
    <dxf>
      <font>
        <b/>
        <i val="0"/>
        <color rgb="FF00B050"/>
      </font>
      <numFmt numFmtId="190" formatCode="\+&quot;$&quot;#,##0"/>
    </dxf>
    <dxf>
      <font>
        <color rgb="FFFF5050"/>
      </font>
    </dxf>
    <dxf>
      <fill>
        <patternFill patternType="solid">
          <fgColor rgb="FFFFFFFF"/>
          <bgColor rgb="FFFFFFFF"/>
        </patternFill>
      </fill>
      <border>
        <left/>
        <right/>
        <top/>
        <bottom/>
      </border>
    </dxf>
    <dxf>
      <fill>
        <patternFill patternType="solid">
          <fgColor rgb="FFFFFFFF"/>
          <bgColor rgb="FFFFFFFF"/>
        </patternFill>
      </fill>
      <border>
        <left/>
        <right/>
        <top/>
        <bottom/>
      </border>
    </dxf>
    <dxf>
      <fill>
        <patternFill patternType="solid">
          <fgColor rgb="FFFFFFFF"/>
          <bgColor rgb="FFFFFFFF"/>
        </patternFill>
      </fill>
      <border>
        <left/>
        <right/>
        <top/>
        <bottom/>
      </border>
    </dxf>
    <dxf>
      <fill>
        <patternFill patternType="darkUp"/>
      </fill>
    </dxf>
    <dxf>
      <fill>
        <patternFill patternType="solid">
          <fgColor rgb="FFFFFFFF"/>
          <bgColor rgb="FFFFFFFF"/>
        </patternFill>
      </fill>
      <border>
        <left/>
        <right/>
        <top/>
        <bottom/>
      </border>
    </dxf>
    <dxf>
      <font>
        <color rgb="FF00B050"/>
      </font>
      <numFmt numFmtId="190" formatCode="\+&quot;$&quot;#,##0"/>
    </dxf>
    <dxf>
      <font>
        <color rgb="FFFF5050"/>
      </font>
    </dxf>
    <dxf>
      <font>
        <b/>
        <i val="0"/>
      </font>
      <fill>
        <patternFill>
          <bgColor theme="8" tint="0.79998168889431442"/>
        </patternFill>
      </fill>
    </dxf>
    <dxf>
      <font>
        <b/>
        <i val="0"/>
      </font>
      <fill>
        <patternFill>
          <bgColor theme="8" tint="0.79998168889431442"/>
        </patternFill>
      </fill>
    </dxf>
    <dxf>
      <font>
        <b/>
        <i val="0"/>
      </font>
      <fill>
        <patternFill>
          <bgColor theme="8" tint="0.79998168889431442"/>
        </patternFill>
      </fill>
    </dxf>
    <dxf>
      <font>
        <b/>
        <i val="0"/>
      </font>
      <fill>
        <patternFill>
          <bgColor theme="8" tint="0.79998168889431442"/>
        </patternFill>
      </fill>
    </dxf>
    <dxf>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rgb="FF00B050"/>
      </font>
      <numFmt numFmtId="191" formatCode="&quot;+ &quot;&quot;$&quot;#,##0"/>
    </dxf>
    <dxf>
      <font>
        <color rgb="FFFF5050"/>
      </font>
    </dxf>
    <dxf>
      <fill>
        <patternFill>
          <bgColor rgb="FFFFFFCC"/>
        </patternFill>
      </fill>
    </dxf>
    <dxf>
      <fill>
        <patternFill>
          <bgColor rgb="FFFFFFCC"/>
        </patternFill>
      </fill>
    </dxf>
    <dxf>
      <fill>
        <patternFill patternType="darkUp"/>
      </fill>
    </dxf>
    <dxf>
      <fill>
        <patternFill>
          <bgColor rgb="FFFFFFCC"/>
        </patternFill>
      </fill>
    </dxf>
    <dxf>
      <fill>
        <patternFill>
          <bgColor rgb="FFFFFFCC"/>
        </patternFill>
      </fill>
    </dxf>
    <dxf>
      <fill>
        <patternFill>
          <bgColor rgb="FFFFFFCC"/>
        </patternFill>
      </fill>
    </dxf>
    <dxf>
      <border>
        <left/>
        <right/>
        <top/>
        <bottom/>
      </border>
    </dxf>
    <dxf>
      <border>
        <left/>
        <right/>
        <top/>
        <bottom/>
        <vertical/>
        <horizontal/>
      </border>
    </dxf>
    <dxf>
      <border>
        <top/>
        <bottom/>
        <vertical/>
        <horizontal/>
      </border>
    </dxf>
    <dxf>
      <border>
        <left/>
        <top/>
        <bottom/>
        <vertical/>
        <horizontal/>
      </border>
    </dxf>
    <dxf>
      <border>
        <left/>
        <top/>
        <bottom/>
        <vertical/>
        <horizontal/>
      </border>
    </dxf>
    <dxf>
      <font>
        <color theme="0"/>
      </font>
      <fill>
        <patternFill>
          <bgColor theme="0"/>
        </patternFill>
      </fill>
    </dxf>
    <dxf>
      <font>
        <color theme="1" tint="0.34998626667073579"/>
      </font>
      <fill>
        <patternFill>
          <bgColor rgb="FFFFFFCC"/>
        </patternFill>
      </fill>
    </dxf>
    <dxf>
      <font>
        <color rgb="FFFF5050"/>
      </font>
      <numFmt numFmtId="193" formatCode="\ &quot;$&quot;#,##0"/>
    </dxf>
    <dxf>
      <font>
        <color rgb="FF00B050"/>
      </font>
      <numFmt numFmtId="192" formatCode="\+\ &quot;$&quot;#,##0"/>
    </dxf>
    <dxf>
      <font>
        <color rgb="FFFF5050"/>
      </font>
      <numFmt numFmtId="193" formatCode="\ &quot;$&quot;#,##0"/>
    </dxf>
    <dxf>
      <font>
        <color rgb="FF00B050"/>
      </font>
      <numFmt numFmtId="192" formatCode="\+\ &quot;$&quot;#,##0"/>
    </dxf>
    <dxf>
      <font>
        <color rgb="FFFF5050"/>
      </font>
      <numFmt numFmtId="193" formatCode="\ &quot;$&quot;#,##0"/>
    </dxf>
    <dxf>
      <font>
        <color rgb="FF00B050"/>
      </font>
      <numFmt numFmtId="192" formatCode="\+\ &quot;$&quot;#,##0"/>
    </dxf>
    <dxf>
      <font>
        <color rgb="FFFF5050"/>
      </font>
      <numFmt numFmtId="193" formatCode="\ &quot;$&quot;#,##0"/>
    </dxf>
    <dxf>
      <font>
        <color rgb="FF00B050"/>
      </font>
      <numFmt numFmtId="192" formatCode="\+\ &quot;$&quot;#,##0"/>
    </dxf>
    <dxf>
      <font>
        <color rgb="FFFF5050"/>
      </font>
      <numFmt numFmtId="193" formatCode="\ &quot;$&quot;#,##0"/>
    </dxf>
    <dxf>
      <font>
        <color rgb="FF00B050"/>
      </font>
      <numFmt numFmtId="192" formatCode="\+\ &quot;$&quot;#,##0"/>
    </dxf>
    <dxf>
      <font>
        <color rgb="FFFF5050"/>
      </font>
      <numFmt numFmtId="193" formatCode="\ &quot;$&quot;#,##0"/>
    </dxf>
    <dxf>
      <font>
        <color rgb="FF00B050"/>
      </font>
      <numFmt numFmtId="192" formatCode="\+\ &quot;$&quot;#,##0"/>
    </dxf>
    <dxf>
      <font>
        <color rgb="FFFF5050"/>
      </font>
      <numFmt numFmtId="193" formatCode="\ &quot;$&quot;#,##0"/>
    </dxf>
    <dxf>
      <font>
        <color rgb="FF00B050"/>
      </font>
      <numFmt numFmtId="192" formatCode="\+\ &quot;$&quot;#,##0"/>
    </dxf>
    <dxf>
      <font>
        <color rgb="FFFF5050"/>
      </font>
      <numFmt numFmtId="193" formatCode="\ &quot;$&quot;#,##0"/>
    </dxf>
    <dxf>
      <font>
        <color rgb="FF00B050"/>
      </font>
      <numFmt numFmtId="192" formatCode="\+\ &quot;$&quot;#,##0"/>
    </dxf>
    <dxf>
      <font>
        <color rgb="FFFF5050"/>
      </font>
      <numFmt numFmtId="193" formatCode="\ &quot;$&quot;#,##0"/>
    </dxf>
    <dxf>
      <font>
        <color rgb="FF00B050"/>
      </font>
      <numFmt numFmtId="192" formatCode="\+\ &quot;$&quot;#,##0"/>
    </dxf>
    <dxf>
      <font>
        <color rgb="FFFF5050"/>
      </font>
      <numFmt numFmtId="193" formatCode="\ &quot;$&quot;#,##0"/>
    </dxf>
    <dxf>
      <font>
        <color rgb="FF00B050"/>
      </font>
      <numFmt numFmtId="192" formatCode="\+\ &quot;$&quot;#,##0"/>
    </dxf>
    <dxf>
      <font>
        <color rgb="FFFF5050"/>
      </font>
      <numFmt numFmtId="193" formatCode="\ &quot;$&quot;#,##0"/>
    </dxf>
    <dxf>
      <font>
        <color rgb="FF00B050"/>
      </font>
      <numFmt numFmtId="192" formatCode="\+\ &quot;$&quot;#,##0"/>
    </dxf>
    <dxf>
      <font>
        <color rgb="FFFF5050"/>
      </font>
      <numFmt numFmtId="193" formatCode="\ &quot;$&quot;#,##0"/>
    </dxf>
    <dxf>
      <font>
        <color rgb="FF00B050"/>
      </font>
      <numFmt numFmtId="192" formatCode="\+\ &quot;$&quot;#,##0"/>
    </dxf>
    <dxf>
      <font>
        <b/>
        <i val="0"/>
        <color rgb="FFFF5050"/>
      </font>
    </dxf>
    <dxf>
      <font>
        <b/>
        <i val="0"/>
        <color rgb="FF00B050"/>
      </font>
    </dxf>
    <dxf>
      <font>
        <color rgb="FFFF5050"/>
      </font>
    </dxf>
    <dxf>
      <font>
        <color rgb="FFFF5050"/>
      </font>
    </dxf>
    <dxf>
      <fill>
        <patternFill patternType="darkUp">
          <fgColor theme="0" tint="-0.499984740745262"/>
        </patternFill>
      </fill>
    </dxf>
    <dxf>
      <fill>
        <patternFill patternType="darkUp">
          <fgColor theme="0" tint="-0.499984740745262"/>
        </patternFill>
      </fill>
    </dxf>
    <dxf>
      <fill>
        <patternFill patternType="darkUp">
          <fgColor theme="0" tint="-0.499984740745262"/>
        </patternFill>
      </fill>
    </dxf>
    <dxf>
      <fill>
        <patternFill patternType="darkUp">
          <fgColor theme="0" tint="-0.499984740745262"/>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border>
        <left/>
        <top/>
        <bottom/>
        <vertical/>
        <horizontal/>
      </border>
    </dxf>
    <dxf>
      <font>
        <color theme="0"/>
      </font>
      <fill>
        <patternFill>
          <bgColor theme="0"/>
        </patternFill>
      </fill>
    </dxf>
    <dxf>
      <font>
        <color theme="0"/>
      </font>
      <fill>
        <patternFill>
          <bgColor theme="0"/>
        </patternFill>
      </fill>
    </dxf>
    <dxf>
      <border>
        <right/>
        <top/>
        <bottom/>
        <vertical/>
        <horizontal/>
      </border>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rgb="FFFF5050"/>
      </font>
    </dxf>
    <dxf>
      <font>
        <color rgb="FFFF5050"/>
      </font>
    </dxf>
    <dxf>
      <font>
        <color rgb="FFFF5050"/>
      </font>
    </dxf>
    <dxf>
      <font>
        <color theme="0"/>
      </font>
    </dxf>
    <dxf>
      <border>
        <right/>
        <top/>
        <bottom/>
        <vertical/>
        <horizontal/>
      </border>
    </dxf>
    <dxf>
      <border>
        <left/>
        <top/>
        <bottom/>
        <vertical/>
        <horizontal/>
      </border>
    </dxf>
    <dxf>
      <font>
        <color theme="0"/>
      </font>
      <fill>
        <patternFill>
          <bgColor theme="0"/>
        </patternFill>
      </fill>
    </dxf>
    <dxf>
      <font>
        <color theme="1" tint="0.34998626667073579"/>
      </font>
      <fill>
        <patternFill>
          <bgColor rgb="FFFFFFCC"/>
        </patternFill>
      </fill>
    </dxf>
    <dxf>
      <fill>
        <patternFill>
          <bgColor rgb="FFFFFFCC"/>
        </patternFill>
      </fill>
    </dxf>
    <dxf>
      <fill>
        <patternFill>
          <bgColor rgb="FFFFFFCC"/>
        </patternFill>
      </fill>
    </dxf>
    <dxf>
      <font>
        <color theme="0"/>
      </font>
      <fill>
        <patternFill>
          <bgColor theme="0"/>
        </patternFill>
      </fill>
    </dxf>
    <dxf>
      <font>
        <color theme="0"/>
      </font>
      <fill>
        <patternFill>
          <bgColor theme="0"/>
        </patternFill>
      </fill>
    </dxf>
    <dxf>
      <fill>
        <patternFill patternType="darkUp">
          <fgColor theme="0" tint="-0.499984740745262"/>
        </patternFill>
      </fill>
    </dxf>
    <dxf>
      <border>
        <top/>
        <bottom/>
        <vertical/>
        <horizontal/>
      </border>
    </dxf>
    <dxf>
      <numFmt numFmtId="168" formatCode="&quot;$&quot;#,##0.00"/>
    </dxf>
    <dxf>
      <numFmt numFmtId="168" formatCode="&quot;$&quot;#,##0.00"/>
    </dxf>
    <dxf>
      <font>
        <b/>
        <i val="0"/>
      </font>
    </dxf>
    <dxf>
      <font>
        <b/>
        <i val="0"/>
      </font>
    </dxf>
    <dxf>
      <fill>
        <patternFill>
          <bgColor rgb="FFFFFFCC"/>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CC"/>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dxf>
    <dxf>
      <font>
        <b/>
        <i/>
        <u/>
      </font>
    </dxf>
    <dxf>
      <font>
        <b val="0"/>
        <i val="0"/>
      </font>
    </dxf>
    <dxf>
      <font>
        <b val="0"/>
        <i val="0"/>
      </font>
    </dxf>
    <dxf>
      <font>
        <b/>
        <i val="0"/>
      </font>
    </dxf>
    <dxf>
      <font>
        <b/>
        <i val="0"/>
      </font>
    </dxf>
    <dxf>
      <font>
        <color theme="1" tint="0.34998626667073579"/>
      </font>
      <fill>
        <patternFill>
          <bgColor rgb="FFFFFFCC"/>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i/>
        <u/>
      </font>
    </dxf>
    <dxf>
      <font>
        <b/>
        <i/>
        <u/>
      </font>
    </dxf>
    <dxf>
      <font>
        <b/>
        <i/>
        <u/>
      </font>
    </dxf>
    <dxf>
      <font>
        <b/>
        <i/>
        <u/>
      </font>
    </dxf>
    <dxf>
      <font>
        <b/>
        <i/>
        <u/>
      </font>
    </dxf>
    <dxf>
      <font>
        <b/>
        <i/>
        <u/>
      </font>
    </dxf>
    <dxf>
      <font>
        <b/>
        <i/>
        <u/>
      </font>
    </dxf>
    <dxf>
      <font>
        <b/>
        <i/>
        <u/>
      </font>
    </dxf>
    <dxf>
      <font>
        <b/>
        <i/>
        <u/>
      </font>
    </dxf>
    <dxf>
      <font>
        <color theme="1" tint="0.24994659260841701"/>
      </font>
    </dxf>
    <dxf>
      <font>
        <color theme="0"/>
      </font>
    </dxf>
    <dxf>
      <font>
        <color theme="1" tint="0.34998626667073579"/>
      </font>
      <fill>
        <patternFill>
          <bgColor rgb="FFFFFFCC"/>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border>
        <top/>
        <bottom/>
        <vertical/>
        <horizontal/>
      </border>
    </dxf>
    <dxf>
      <border>
        <top/>
        <bottom/>
        <vertical/>
        <horizontal/>
      </border>
    </dxf>
    <dxf>
      <border>
        <top/>
        <bottom/>
        <vertical/>
        <horizontal/>
      </border>
    </dxf>
    <dxf>
      <border>
        <top/>
        <bottom/>
        <vertical/>
        <horizontal/>
      </border>
    </dxf>
    <dxf>
      <font>
        <b/>
        <i val="0"/>
        <sz val="9"/>
        <color theme="1"/>
      </font>
      <border>
        <bottom style="medium">
          <color theme="4"/>
        </bottom>
        <vertical/>
        <horizontal/>
      </border>
    </dxf>
    <dxf>
      <font>
        <sz val="9"/>
        <color theme="1"/>
      </font>
      <border>
        <left style="thin">
          <color theme="4"/>
        </left>
        <right style="thin">
          <color theme="4"/>
        </right>
        <top style="thin">
          <color theme="4"/>
        </top>
        <bottom style="thin">
          <color theme="4"/>
        </bottom>
        <vertical/>
        <horizontal/>
      </border>
    </dxf>
    <dxf>
      <font>
        <sz val="10"/>
        <color theme="1"/>
      </font>
      <border>
        <bottom style="medium">
          <color theme="4"/>
        </bottom>
        <vertical/>
        <horizontal/>
      </border>
    </dxf>
    <dxf>
      <font>
        <sz val="10"/>
        <color theme="1"/>
      </font>
      <border>
        <left style="thin">
          <color theme="4"/>
        </left>
        <right style="thin">
          <color theme="4"/>
        </right>
        <top style="thin">
          <color theme="4"/>
        </top>
        <bottom style="thin">
          <color theme="4"/>
        </bottom>
        <vertical/>
        <horizontal/>
      </border>
    </dxf>
    <dxf>
      <font>
        <b/>
        <color theme="1"/>
      </font>
      <border>
        <bottom style="medium">
          <color theme="4"/>
        </bottom>
        <vertical/>
        <horizontal/>
      </border>
    </dxf>
    <dxf>
      <font>
        <color theme="1"/>
      </font>
      <border>
        <left style="thin">
          <color theme="4"/>
        </left>
        <right style="thin">
          <color theme="4"/>
        </right>
        <top style="thin">
          <color theme="4"/>
        </top>
        <bottom style="thin">
          <color theme="4"/>
        </bottom>
        <vertical/>
        <horizontal/>
      </border>
    </dxf>
    <dxf>
      <fill>
        <patternFill>
          <bgColor rgb="FF398CCC"/>
        </patternFill>
      </fill>
    </dxf>
    <dxf>
      <font>
        <b/>
        <i val="0"/>
        <name val="Calibri"/>
        <family val="2"/>
        <scheme val="minor"/>
      </font>
      <fill>
        <patternFill>
          <bgColor theme="0"/>
        </patternFill>
      </fill>
      <border>
        <bottom style="medium">
          <color rgb="FF398CCC"/>
        </bottom>
      </border>
    </dxf>
    <dxf>
      <fill>
        <patternFill patternType="none">
          <bgColor auto="1"/>
        </patternFill>
      </fill>
    </dxf>
    <dxf>
      <font>
        <b/>
        <i val="0"/>
        <name val="Calibri"/>
        <family val="2"/>
        <scheme val="minor"/>
      </font>
      <fill>
        <patternFill>
          <bgColor theme="0"/>
        </patternFill>
      </fill>
      <border>
        <bottom style="medium">
          <color rgb="FF398CCC"/>
        </bottom>
      </border>
    </dxf>
    <dxf>
      <fill>
        <patternFill patternType="none">
          <bgColor auto="1"/>
        </patternFill>
      </fill>
    </dxf>
    <dxf>
      <fill>
        <patternFill>
          <bgColor rgb="FF0070C0"/>
        </patternFill>
      </fill>
    </dxf>
  </dxfs>
  <tableStyles count="7" defaultTableStyle="TableStyleMedium2" defaultPivotStyle="PivotStyleLight16">
    <tableStyle name="Slicer Style 1" pivot="0" table="0" count="1" xr9:uid="{00000000-0011-0000-FFFF-FFFF00000000}">
      <tableStyleElement type="headerRow" dxfId="288"/>
    </tableStyle>
    <tableStyle name="Slicer Style 1 2" pivot="0" table="0" count="8" xr9:uid="{00000000-0011-0000-FFFF-FFFF01000000}">
      <tableStyleElement type="wholeTable" dxfId="287"/>
      <tableStyleElement type="headerRow" dxfId="286"/>
    </tableStyle>
    <tableStyle name="Slicer Style 1 2 2" pivot="0" table="0" count="10" xr9:uid="{00000000-0011-0000-FFFF-FFFF02000000}">
      <tableStyleElement type="wholeTable" dxfId="285"/>
      <tableStyleElement type="headerRow" dxfId="284"/>
    </tableStyle>
    <tableStyle name="Slicer Style 2" pivot="0" table="0" count="1" xr9:uid="{00000000-0011-0000-FFFF-FFFF03000000}">
      <tableStyleElement type="headerRow" dxfId="283"/>
    </tableStyle>
    <tableStyle name="SlicerStyleLight1 2" pivot="0" table="0" count="10" xr9:uid="{00000000-0011-0000-FFFF-FFFF04000000}">
      <tableStyleElement type="wholeTable" dxfId="282"/>
      <tableStyleElement type="headerRow" dxfId="281"/>
    </tableStyle>
    <tableStyle name="SlicerStyleLight1 2 2" pivot="0" table="0" count="10" xr9:uid="{00000000-0011-0000-FFFF-FFFF05000000}">
      <tableStyleElement type="wholeTable" dxfId="280"/>
      <tableStyleElement type="headerRow" dxfId="279"/>
    </tableStyle>
    <tableStyle name="SlicerStyleLight1 2 2 2" pivot="0" table="0" count="10" xr9:uid="{00000000-0011-0000-FFFF-FFFF06000000}">
      <tableStyleElement type="wholeTable" dxfId="278"/>
      <tableStyleElement type="headerRow" dxfId="277"/>
    </tableStyle>
  </tableStyles>
  <colors>
    <mruColors>
      <color rgb="FF2F74A8"/>
      <color rgb="FF398CCC"/>
      <color rgb="FFFFFFCC"/>
      <color rgb="FFFF5050"/>
      <color rgb="FFFFCCCC"/>
      <color rgb="FFEDEFF2"/>
      <color rgb="FFE8E8E8"/>
      <color rgb="FF333A3D"/>
      <color rgb="FF545F6B"/>
      <color rgb="FF2A6896"/>
    </mruColors>
  </colors>
  <extLst>
    <ext xmlns:x14="http://schemas.microsoft.com/office/spreadsheetml/2009/9/main" uri="{46F421CA-312F-682f-3DD2-61675219B42D}">
      <x14:dxfs count="38">
        <dxf>
          <font>
            <sz val="8"/>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8"/>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8"/>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8"/>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8"/>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sz val="8"/>
            <color rgb="FF000000"/>
          </font>
          <fill>
            <patternFill patternType="solid">
              <fgColor theme="8" tint="0.79998168889431442"/>
              <bgColor theme="8" tint="0.79998168889431442"/>
            </patternFill>
          </fill>
          <border>
            <left style="thin">
              <color rgb="FF999999"/>
            </left>
            <right style="thin">
              <color rgb="FF999999"/>
            </right>
            <top style="thin">
              <color rgb="FF999999"/>
            </top>
            <bottom style="thin">
              <color rgb="FF999999"/>
            </bottom>
            <vertical/>
            <horizontal/>
          </border>
        </dxf>
        <dxf>
          <font>
            <sz val="8"/>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sz val="8"/>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sz val="10"/>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10"/>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10"/>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10"/>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10"/>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sz val="10"/>
            <color rgb="FF000000"/>
          </font>
          <fill>
            <patternFill patternType="solid">
              <fgColor theme="8" tint="0.79998168889431442"/>
              <bgColor theme="8" tint="0.79998168889431442"/>
            </patternFill>
          </fill>
          <border>
            <left style="thin">
              <color rgb="FF999999"/>
            </left>
            <right style="thin">
              <color rgb="FF999999"/>
            </right>
            <top style="thin">
              <color rgb="FF999999"/>
            </top>
            <bottom style="thin">
              <color rgb="FF999999"/>
            </bottom>
            <vertical/>
            <horizontal/>
          </border>
        </dxf>
        <dxf>
          <font>
            <sz val="10"/>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sz val="10"/>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8" tint="0.79998168889431442"/>
              <bgColor theme="8"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rgb="FF398CCC"/>
            </patternFill>
          </fill>
        </dxf>
        <dxf>
          <fill>
            <patternFill>
              <bgColor rgb="FF398CCC"/>
            </patternFill>
          </fill>
        </dxf>
        <dxf>
          <fill>
            <patternFill>
              <bgColor rgb="FF398CCC"/>
            </patternFill>
          </fill>
        </dxf>
        <dxf>
          <fill>
            <patternFill>
              <bgColor rgb="FF398C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398CCC"/>
            </patternFill>
          </fill>
        </dxf>
        <dxf>
          <fill>
            <patternFill>
              <bgColor rgb="FF398CCC"/>
            </patternFill>
          </fill>
        </dxf>
        <dxf>
          <fill>
            <patternFill>
              <bgColor rgb="FF398CCC"/>
            </patternFill>
          </fill>
        </dxf>
        <dxf>
          <fill>
            <patternFill>
              <bgColor rgb="FF398CCC"/>
            </patternFill>
          </fill>
        </dxf>
        <dxf>
          <fill>
            <patternFill>
              <bgColor theme="8" tint="0.79998168889431442"/>
            </patternFill>
          </fill>
        </dxf>
        <dxf>
          <fill>
            <patternFill>
              <bgColor theme="8" tint="0.79998168889431442"/>
            </patternFill>
          </fill>
        </dxf>
      </x14:dxfs>
    </ext>
    <ext xmlns:x14="http://schemas.microsoft.com/office/spreadsheetml/2009/9/main" uri="{EB79DEF2-80B8-43e5-95BD-54CBDDF9020C}">
      <x14:slicerStyles defaultSlicerStyle="SlicerStyleLight1 2">
        <x14:slicerStyle name="Slicer Style 1"/>
        <x14:slicerStyle name="Slicer Style 1 2">
          <x14:slicerStyleElements>
            <x14:slicerStyleElement type="selectedItemWithData" dxfId="37"/>
            <x14:slicerStyleElement type="selectedItemWithNoData" dxfId="36"/>
            <x14:slicerStyleElement type="hoveredUnselectedItemWithData" dxfId="35"/>
            <x14:slicerStyleElement type="hoveredSelectedItemWithData" dxfId="34"/>
            <x14:slicerStyleElement type="hoveredUnselectedItemWithNoData" dxfId="33"/>
            <x14:slicerStyleElement type="hoveredSelectedItemWithNoData" dxfId="32"/>
          </x14:slicerStyleElements>
        </x14:slicerStyle>
        <x14:slicerStyle name="Slicer Style 1 2 2">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Slicer Style 2"/>
        <x14:slicerStyle name="SlicerStyleLight1 2">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1 2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2 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66666666666666"/>
          <c:y val="0.10648148148148148"/>
          <c:w val="0.49166666666666664"/>
          <c:h val="0.81944444444444442"/>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017-4A25-AB1E-F4CF1F57AAC8}"/>
              </c:ext>
            </c:extLst>
          </c:dPt>
          <c:dPt>
            <c:idx val="1"/>
            <c:bubble3D val="0"/>
            <c:spPr>
              <a:solidFill>
                <a:schemeClr val="accent6"/>
              </a:solidFill>
              <a:ln w="127000">
                <a:solidFill>
                  <a:schemeClr val="accent6"/>
                </a:solidFill>
              </a:ln>
              <a:effectLst/>
            </c:spPr>
            <c:extLst>
              <c:ext xmlns:c16="http://schemas.microsoft.com/office/drawing/2014/chart" uri="{C3380CC4-5D6E-409C-BE32-E72D297353CC}">
                <c16:uniqueId val="{00000001-F13A-4B07-BCF0-702E83041AED}"/>
              </c:ext>
            </c:extLst>
          </c:dPt>
          <c:cat>
            <c:numRef>
              <c:f>'1 REHAB ANALYZER'!$BF$121:$BF$122</c:f>
              <c:numCache>
                <c:formatCode>"$"#,##0</c:formatCode>
                <c:ptCount val="2"/>
              </c:numCache>
            </c:numRef>
          </c:cat>
          <c:val>
            <c:numRef>
              <c:f>'1 REHAB ANALYZER'!$BG$121:$BG$122</c:f>
              <c:numCache>
                <c:formatCode>0%</c:formatCode>
                <c:ptCount val="2"/>
                <c:pt idx="0">
                  <c:v>0</c:v>
                </c:pt>
                <c:pt idx="1">
                  <c:v>0</c:v>
                </c:pt>
              </c:numCache>
            </c:numRef>
          </c:val>
          <c:extLst>
            <c:ext xmlns:c16="http://schemas.microsoft.com/office/drawing/2014/chart" uri="{C3380CC4-5D6E-409C-BE32-E72D297353CC}">
              <c16:uniqueId val="{00000000-F13A-4B07-BCF0-702E83041AED}"/>
            </c:ext>
          </c:extLst>
        </c:ser>
        <c:dLbls>
          <c:showLegendKey val="0"/>
          <c:showVal val="0"/>
          <c:showCatName val="0"/>
          <c:showSerName val="0"/>
          <c:showPercent val="0"/>
          <c:showBubbleSize val="0"/>
          <c:showLeaderLines val="1"/>
        </c:dLbls>
        <c:firstSliceAng val="0"/>
        <c:holeSize val="81"/>
      </c:doughnutChart>
      <c:spPr>
        <a:noFill/>
        <a:ln>
          <a:noFill/>
        </a:ln>
        <a:effectLst/>
      </c:spPr>
    </c:plotArea>
    <c:plotVisOnly val="0"/>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2048069943317"/>
          <c:y val="8.9551504289231476E-2"/>
          <c:w val="0.76365617905681893"/>
          <c:h val="0.92497501115486469"/>
        </c:manualLayout>
      </c:layout>
      <c:doughnutChart>
        <c:varyColors val="1"/>
        <c:ser>
          <c:idx val="0"/>
          <c:order val="0"/>
          <c:spPr>
            <a:solidFill>
              <a:schemeClr val="accent4"/>
            </a:solidFill>
          </c:spPr>
          <c:dPt>
            <c:idx val="0"/>
            <c:bubble3D val="0"/>
            <c:spPr>
              <a:solidFill>
                <a:schemeClr val="accent6"/>
              </a:solidFill>
            </c:spPr>
            <c:extLst>
              <c:ext xmlns:c16="http://schemas.microsoft.com/office/drawing/2014/chart" uri="{C3380CC4-5D6E-409C-BE32-E72D297353CC}">
                <c16:uniqueId val="{00000001-872F-42FD-BA86-96CE7F1435F9}"/>
              </c:ext>
            </c:extLst>
          </c:dPt>
          <c:dPt>
            <c:idx val="1"/>
            <c:bubble3D val="0"/>
            <c:spPr>
              <a:solidFill>
                <a:schemeClr val="accent3"/>
              </a:solidFill>
            </c:spPr>
            <c:extLst>
              <c:ext xmlns:c16="http://schemas.microsoft.com/office/drawing/2014/chart" uri="{C3380CC4-5D6E-409C-BE32-E72D297353CC}">
                <c16:uniqueId val="{00000003-872F-42FD-BA86-96CE7F1435F9}"/>
              </c:ext>
            </c:extLst>
          </c:dPt>
          <c:dPt>
            <c:idx val="2"/>
            <c:bubble3D val="0"/>
            <c:spPr>
              <a:solidFill>
                <a:schemeClr val="accent2"/>
              </a:solidFill>
            </c:spPr>
            <c:extLst>
              <c:ext xmlns:c16="http://schemas.microsoft.com/office/drawing/2014/chart" uri="{C3380CC4-5D6E-409C-BE32-E72D297353CC}">
                <c16:uniqueId val="{00000005-872F-42FD-BA86-96CE7F1435F9}"/>
              </c:ext>
            </c:extLst>
          </c:dPt>
          <c:dPt>
            <c:idx val="3"/>
            <c:bubble3D val="0"/>
            <c:spPr>
              <a:solidFill>
                <a:schemeClr val="accent4"/>
              </a:solidFill>
              <a:ln w="88900">
                <a:solidFill>
                  <a:schemeClr val="accent4"/>
                </a:solidFill>
              </a:ln>
            </c:spPr>
            <c:extLst>
              <c:ext xmlns:c16="http://schemas.microsoft.com/office/drawing/2014/chart" uri="{C3380CC4-5D6E-409C-BE32-E72D297353CC}">
                <c16:uniqueId val="{00000007-872F-42FD-BA86-96CE7F1435F9}"/>
              </c:ext>
            </c:extLst>
          </c:dPt>
          <c:dPt>
            <c:idx val="4"/>
            <c:bubble3D val="0"/>
            <c:extLst>
              <c:ext xmlns:c16="http://schemas.microsoft.com/office/drawing/2014/chart" uri="{C3380CC4-5D6E-409C-BE32-E72D297353CC}">
                <c16:uniqueId val="{00000009-872F-42FD-BA86-96CE7F1435F9}"/>
              </c:ext>
            </c:extLst>
          </c:dPt>
          <c:cat>
            <c:numRef>
              <c:f>'1 REHAB ANALYZER'!$BF$110:$BF$113</c:f>
              <c:numCache>
                <c:formatCode>"$"#,##0</c:formatCode>
                <c:ptCount val="4"/>
              </c:numCache>
            </c:numRef>
          </c:cat>
          <c:val>
            <c:numRef>
              <c:f>'1 REHAB ANALYZER'!$BG$110:$BG$113</c:f>
              <c:numCache>
                <c:formatCode>"$"#,##0</c:formatCode>
                <c:ptCount val="4"/>
                <c:pt idx="0">
                  <c:v>0</c:v>
                </c:pt>
                <c:pt idx="1">
                  <c:v>0</c:v>
                </c:pt>
                <c:pt idx="2">
                  <c:v>0</c:v>
                </c:pt>
                <c:pt idx="3">
                  <c:v>0</c:v>
                </c:pt>
              </c:numCache>
            </c:numRef>
          </c:val>
          <c:extLst>
            <c:ext xmlns:c16="http://schemas.microsoft.com/office/drawing/2014/chart" uri="{C3380CC4-5D6E-409C-BE32-E72D297353CC}">
              <c16:uniqueId val="{0000000A-872F-42FD-BA86-96CE7F1435F9}"/>
            </c:ext>
          </c:extLst>
        </c:ser>
        <c:dLbls>
          <c:showLegendKey val="0"/>
          <c:showVal val="0"/>
          <c:showCatName val="0"/>
          <c:showSerName val="0"/>
          <c:showPercent val="0"/>
          <c:showBubbleSize val="0"/>
          <c:showLeaderLines val="1"/>
        </c:dLbls>
        <c:firstSliceAng val="0"/>
        <c:holeSize val="75"/>
      </c:doughnutChart>
    </c:plotArea>
    <c:plotVisOnly val="0"/>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4287797358663"/>
          <c:y val="7.2398190045248875E-2"/>
          <c:w val="0.77645502645502651"/>
          <c:h val="0.88536953242835603"/>
        </c:manualLayout>
      </c:layout>
      <c:doughnutChart>
        <c:varyColors val="1"/>
        <c:ser>
          <c:idx val="0"/>
          <c:order val="0"/>
          <c:dPt>
            <c:idx val="0"/>
            <c:bubble3D val="0"/>
            <c:spPr>
              <a:solidFill>
                <a:schemeClr val="accent6"/>
              </a:solidFill>
            </c:spPr>
            <c:extLst>
              <c:ext xmlns:c16="http://schemas.microsoft.com/office/drawing/2014/chart" uri="{C3380CC4-5D6E-409C-BE32-E72D297353CC}">
                <c16:uniqueId val="{00000001-EB3D-4581-9E68-AB654216C81A}"/>
              </c:ext>
            </c:extLst>
          </c:dPt>
          <c:dPt>
            <c:idx val="1"/>
            <c:bubble3D val="0"/>
            <c:spPr>
              <a:solidFill>
                <a:schemeClr val="accent3"/>
              </a:solidFill>
            </c:spPr>
            <c:extLst>
              <c:ext xmlns:c16="http://schemas.microsoft.com/office/drawing/2014/chart" uri="{C3380CC4-5D6E-409C-BE32-E72D297353CC}">
                <c16:uniqueId val="{00000003-EB3D-4581-9E68-AB654216C81A}"/>
              </c:ext>
            </c:extLst>
          </c:dPt>
          <c:dPt>
            <c:idx val="2"/>
            <c:bubble3D val="0"/>
            <c:spPr>
              <a:solidFill>
                <a:schemeClr val="accent2"/>
              </a:solidFill>
            </c:spPr>
            <c:extLst>
              <c:ext xmlns:c16="http://schemas.microsoft.com/office/drawing/2014/chart" uri="{C3380CC4-5D6E-409C-BE32-E72D297353CC}">
                <c16:uniqueId val="{00000005-EB3D-4581-9E68-AB654216C81A}"/>
              </c:ext>
            </c:extLst>
          </c:dPt>
          <c:dPt>
            <c:idx val="3"/>
            <c:bubble3D val="0"/>
            <c:spPr>
              <a:solidFill>
                <a:schemeClr val="accent4"/>
              </a:solidFill>
              <a:ln w="88900">
                <a:solidFill>
                  <a:schemeClr val="accent4"/>
                </a:solidFill>
              </a:ln>
            </c:spPr>
            <c:extLst>
              <c:ext xmlns:c16="http://schemas.microsoft.com/office/drawing/2014/chart" uri="{C3380CC4-5D6E-409C-BE32-E72D297353CC}">
                <c16:uniqueId val="{00000007-EB3D-4581-9E68-AB654216C81A}"/>
              </c:ext>
            </c:extLst>
          </c:dPt>
          <c:dPt>
            <c:idx val="4"/>
            <c:bubble3D val="0"/>
            <c:spPr>
              <a:solidFill>
                <a:schemeClr val="tx1">
                  <a:lumMod val="65000"/>
                  <a:lumOff val="35000"/>
                </a:schemeClr>
              </a:solidFill>
            </c:spPr>
            <c:extLst>
              <c:ext xmlns:c16="http://schemas.microsoft.com/office/drawing/2014/chart" uri="{C3380CC4-5D6E-409C-BE32-E72D297353CC}">
                <c16:uniqueId val="{00000009-EB3D-4581-9E68-AB654216C81A}"/>
              </c:ext>
            </c:extLst>
          </c:dPt>
          <c:cat>
            <c:numRef>
              <c:f>'1 REHAB ANALYZER'!$BF$110:$BF$113</c:f>
              <c:numCache>
                <c:formatCode>"$"#,##0</c:formatCode>
                <c:ptCount val="4"/>
              </c:numCache>
            </c:numRef>
          </c:cat>
          <c:val>
            <c:numRef>
              <c:f>'1 REHAB ANALYZER'!$BG$110:$BG$113</c:f>
              <c:numCache>
                <c:formatCode>"$"#,##0</c:formatCode>
                <c:ptCount val="4"/>
                <c:pt idx="0">
                  <c:v>0</c:v>
                </c:pt>
                <c:pt idx="1">
                  <c:v>0</c:v>
                </c:pt>
                <c:pt idx="2">
                  <c:v>0</c:v>
                </c:pt>
                <c:pt idx="3">
                  <c:v>0</c:v>
                </c:pt>
              </c:numCache>
            </c:numRef>
          </c:val>
          <c:extLst>
            <c:ext xmlns:c16="http://schemas.microsoft.com/office/drawing/2014/chart" uri="{C3380CC4-5D6E-409C-BE32-E72D297353CC}">
              <c16:uniqueId val="{0000000A-EB3D-4581-9E68-AB654216C81A}"/>
            </c:ext>
          </c:extLst>
        </c:ser>
        <c:dLbls>
          <c:showLegendKey val="0"/>
          <c:showVal val="0"/>
          <c:showCatName val="0"/>
          <c:showSerName val="0"/>
          <c:showPercent val="0"/>
          <c:showBubbleSize val="0"/>
          <c:showLeaderLines val="1"/>
        </c:dLbls>
        <c:firstSliceAng val="0"/>
        <c:holeSize val="75"/>
      </c:doughnutChart>
    </c:plotArea>
    <c:plotVisOnly val="0"/>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83991204813047"/>
          <c:y val="7.2097552124927786E-2"/>
          <c:w val="0.71612273558091688"/>
          <c:h val="0.89189997165603507"/>
        </c:manualLayout>
      </c:layout>
      <c:doughnutChart>
        <c:varyColors val="1"/>
        <c:ser>
          <c:idx val="0"/>
          <c:order val="0"/>
          <c:spPr>
            <a:solidFill>
              <a:srgbClr val="545F6B"/>
            </a:solidFill>
          </c:spPr>
          <c:dPt>
            <c:idx val="0"/>
            <c:bubble3D val="0"/>
            <c:spPr>
              <a:solidFill>
                <a:schemeClr val="accent6"/>
              </a:solidFill>
            </c:spPr>
            <c:extLst>
              <c:ext xmlns:c16="http://schemas.microsoft.com/office/drawing/2014/chart" uri="{C3380CC4-5D6E-409C-BE32-E72D297353CC}">
                <c16:uniqueId val="{00000001-0AFF-4467-9DB3-4919E09AF836}"/>
              </c:ext>
            </c:extLst>
          </c:dPt>
          <c:dPt>
            <c:idx val="1"/>
            <c:bubble3D val="0"/>
            <c:spPr>
              <a:solidFill>
                <a:schemeClr val="accent3"/>
              </a:solidFill>
            </c:spPr>
            <c:extLst>
              <c:ext xmlns:c16="http://schemas.microsoft.com/office/drawing/2014/chart" uri="{C3380CC4-5D6E-409C-BE32-E72D297353CC}">
                <c16:uniqueId val="{00000003-0AFF-4467-9DB3-4919E09AF836}"/>
              </c:ext>
            </c:extLst>
          </c:dPt>
          <c:dPt>
            <c:idx val="2"/>
            <c:bubble3D val="0"/>
            <c:spPr>
              <a:solidFill>
                <a:schemeClr val="accent2"/>
              </a:solidFill>
            </c:spPr>
            <c:extLst>
              <c:ext xmlns:c16="http://schemas.microsoft.com/office/drawing/2014/chart" uri="{C3380CC4-5D6E-409C-BE32-E72D297353CC}">
                <c16:uniqueId val="{00000005-8ADE-47FE-ABCB-5E206CB02028}"/>
              </c:ext>
            </c:extLst>
          </c:dPt>
          <c:dPt>
            <c:idx val="3"/>
            <c:bubble3D val="0"/>
            <c:spPr>
              <a:solidFill>
                <a:schemeClr val="accent4"/>
              </a:solidFill>
              <a:ln w="88900">
                <a:solidFill>
                  <a:schemeClr val="accent4"/>
                </a:solidFill>
              </a:ln>
            </c:spPr>
            <c:extLst>
              <c:ext xmlns:c16="http://schemas.microsoft.com/office/drawing/2014/chart" uri="{C3380CC4-5D6E-409C-BE32-E72D297353CC}">
                <c16:uniqueId val="{00000004-8ADE-47FE-ABCB-5E206CB02028}"/>
              </c:ext>
            </c:extLst>
          </c:dPt>
          <c:cat>
            <c:strRef>
              <c:f>'WHOLESALE CALC'!$CB$31:$CB$34</c:f>
              <c:strCache>
                <c:ptCount val="4"/>
                <c:pt idx="0">
                  <c:v>FIXED COSTS</c:v>
                </c:pt>
                <c:pt idx="1">
                  <c:v>REHAB PROFIT</c:v>
                </c:pt>
                <c:pt idx="2">
                  <c:v>REPAIR ESTIMATE</c:v>
                </c:pt>
                <c:pt idx="3">
                  <c:v>REHABBER MAXIMUM PURCHASE PRICE</c:v>
                </c:pt>
              </c:strCache>
            </c:strRef>
          </c:cat>
          <c:val>
            <c:numRef>
              <c:f>'WHOLESALE CALC'!$CC$31:$CC$34</c:f>
              <c:numCache>
                <c:formatCode>"$"#,##0</c:formatCode>
                <c:ptCount val="4"/>
                <c:pt idx="0">
                  <c:v>0</c:v>
                </c:pt>
                <c:pt idx="1">
                  <c:v>0</c:v>
                </c:pt>
                <c:pt idx="2">
                  <c:v>50000</c:v>
                </c:pt>
                <c:pt idx="3">
                  <c:v>-50000</c:v>
                </c:pt>
              </c:numCache>
            </c:numRef>
          </c:val>
          <c:extLst>
            <c:ext xmlns:c16="http://schemas.microsoft.com/office/drawing/2014/chart" uri="{C3380CC4-5D6E-409C-BE32-E72D297353CC}">
              <c16:uniqueId val="{00000004-0AFF-4467-9DB3-4919E09AF836}"/>
            </c:ext>
          </c:extLst>
        </c:ser>
        <c:dLbls>
          <c:showLegendKey val="0"/>
          <c:showVal val="0"/>
          <c:showCatName val="0"/>
          <c:showSerName val="0"/>
          <c:showPercent val="0"/>
          <c:showBubbleSize val="0"/>
          <c:showLeaderLines val="1"/>
        </c:dLbls>
        <c:firstSliceAng val="0"/>
        <c:holeSize val="75"/>
      </c:doughnutChart>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66666666666666"/>
          <c:y val="0.10648148148148148"/>
          <c:w val="0.49166666666666664"/>
          <c:h val="0.81944444444444442"/>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C69-476D-B183-DFEA5693A634}"/>
              </c:ext>
            </c:extLst>
          </c:dPt>
          <c:dPt>
            <c:idx val="1"/>
            <c:bubble3D val="0"/>
            <c:spPr>
              <a:solidFill>
                <a:schemeClr val="accent6"/>
              </a:solidFill>
              <a:ln w="127000">
                <a:solidFill>
                  <a:schemeClr val="accent6"/>
                </a:solidFill>
              </a:ln>
              <a:effectLst/>
            </c:spPr>
            <c:extLst>
              <c:ext xmlns:c16="http://schemas.microsoft.com/office/drawing/2014/chart" uri="{C3380CC4-5D6E-409C-BE32-E72D297353CC}">
                <c16:uniqueId val="{00000009-B582-4AA9-A89B-D1AA613E9FA8}"/>
              </c:ext>
            </c:extLst>
          </c:dPt>
          <c:cat>
            <c:numRef>
              <c:f>'WHOLESALE CALC'!$AY$98:$AY$99</c:f>
              <c:numCache>
                <c:formatCode>"$"#,##0</c:formatCode>
                <c:ptCount val="2"/>
              </c:numCache>
            </c:numRef>
          </c:cat>
          <c:val>
            <c:numRef>
              <c:f>'WHOLESALE CALC'!$AZ$98:$AZ$99</c:f>
              <c:numCache>
                <c:formatCode>0%</c:formatCode>
                <c:ptCount val="2"/>
                <c:pt idx="0">
                  <c:v>0</c:v>
                </c:pt>
                <c:pt idx="1">
                  <c:v>0</c:v>
                </c:pt>
              </c:numCache>
            </c:numRef>
          </c:val>
          <c:extLst>
            <c:ext xmlns:c16="http://schemas.microsoft.com/office/drawing/2014/chart" uri="{C3380CC4-5D6E-409C-BE32-E72D297353CC}">
              <c16:uniqueId val="{00000005-B582-4AA9-A89B-D1AA613E9FA8}"/>
            </c:ext>
          </c:extLst>
        </c:ser>
        <c:dLbls>
          <c:showLegendKey val="0"/>
          <c:showVal val="0"/>
          <c:showCatName val="0"/>
          <c:showSerName val="0"/>
          <c:showPercent val="0"/>
          <c:showBubbleSize val="0"/>
          <c:showLeaderLines val="1"/>
        </c:dLbls>
        <c:firstSliceAng val="0"/>
        <c:holeSize val="81"/>
      </c:doughnutChart>
      <c:spPr>
        <a:noFill/>
        <a:ln>
          <a:noFill/>
        </a:ln>
        <a:effectLst/>
      </c:spPr>
    </c:plotArea>
    <c:plotVisOnly val="0"/>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1.png"/><Relationship Id="rId7" Type="http://schemas.openxmlformats.org/officeDocument/2006/relationships/hyperlink" Target="http://www.houseflippingspreadsheet.com/videos.html" TargetMode="External"/><Relationship Id="rId2" Type="http://schemas.openxmlformats.org/officeDocument/2006/relationships/hyperlink" Target="http://www.houseflippingspreadsheet.com/" TargetMode="External"/><Relationship Id="rId1" Type="http://schemas.openxmlformats.org/officeDocument/2006/relationships/hyperlink" Target="http://www.houseflippingspreadsheet.com" TargetMode="External"/><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hyperlink" Target="http://www.houseflippingspreadsheet.com/report-piracy.html" TargetMode="External"/><Relationship Id="rId9" Type="http://schemas.openxmlformats.org/officeDocument/2006/relationships/image" Target="../media/image5.png"/></Relationships>
</file>

<file path=xl/drawings/_rels/drawing10.xml.rels><?xml version="1.0" encoding="UTF-8" standalone="yes"?>
<Relationships xmlns="http://schemas.openxmlformats.org/package/2006/relationships"><Relationship Id="rId3" Type="http://schemas.openxmlformats.org/officeDocument/2006/relationships/hyperlink" Target="http://www.houseflippingspreadsheet.com/videos.html" TargetMode="External"/><Relationship Id="rId2" Type="http://schemas.openxmlformats.org/officeDocument/2006/relationships/image" Target="../media/image6.png"/><Relationship Id="rId1" Type="http://schemas.openxmlformats.org/officeDocument/2006/relationships/image" Target="../media/image32.png"/><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2.png"/><Relationship Id="rId1" Type="http://schemas.openxmlformats.org/officeDocument/2006/relationships/image" Target="../media/image8.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http://www.houseflippingspreadsheet.com/videos.html"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http://www.houseflippingspreadsheet.com/videos.html" TargetMode="External"/><Relationship Id="rId2" Type="http://schemas.openxmlformats.org/officeDocument/2006/relationships/image" Target="../media/image6.png"/><Relationship Id="rId1" Type="http://schemas.openxmlformats.org/officeDocument/2006/relationships/image" Target="../media/image29.png"/><Relationship Id="rId5" Type="http://schemas.openxmlformats.org/officeDocument/2006/relationships/image" Target="../media/image5.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4.png"/><Relationship Id="rId7" Type="http://schemas.openxmlformats.org/officeDocument/2006/relationships/image" Target="../media/image29.png"/><Relationship Id="rId2" Type="http://schemas.openxmlformats.org/officeDocument/2006/relationships/image" Target="../media/image13.png"/><Relationship Id="rId1" Type="http://schemas.openxmlformats.org/officeDocument/2006/relationships/chart" Target="../charts/chart4.xml"/><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image" Target="../media/image33.png"/><Relationship Id="rId10" Type="http://schemas.openxmlformats.org/officeDocument/2006/relationships/image" Target="../media/image4.png"/><Relationship Id="rId4" Type="http://schemas.openxmlformats.org/officeDocument/2006/relationships/hyperlink" Target="http://www.houseflippingspreadsheet.com/report-piracy.html" TargetMode="External"/><Relationship Id="rId9" Type="http://schemas.openxmlformats.org/officeDocument/2006/relationships/hyperlink" Target="http://www.houseflippingspreadsheet.com/videos.html" TargetMode="External"/></Relationships>
</file>

<file path=xl/drawings/_rels/drawing14.xml.rels><?xml version="1.0" encoding="UTF-8" standalone="yes"?>
<Relationships xmlns="http://schemas.openxmlformats.org/package/2006/relationships"><Relationship Id="rId3" Type="http://schemas.openxmlformats.org/officeDocument/2006/relationships/hyperlink" Target="http://www.houseflippingspreadsheet.com/videos.html" TargetMode="External"/><Relationship Id="rId2" Type="http://schemas.openxmlformats.org/officeDocument/2006/relationships/image" Target="../media/image34.png"/><Relationship Id="rId1"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hyperlink" Target="http://www.houseflippingspreadsheet.com/videos.html" TargetMode="External"/><Relationship Id="rId2" Type="http://schemas.openxmlformats.org/officeDocument/2006/relationships/image" Target="../media/image6.png"/><Relationship Id="rId1" Type="http://schemas.openxmlformats.org/officeDocument/2006/relationships/image" Target="../media/image8.png"/><Relationship Id="rId5" Type="http://schemas.openxmlformats.org/officeDocument/2006/relationships/image" Target="../media/image5.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www.houseflippingspreadsheet.com/videos.html" TargetMode="External"/><Relationship Id="rId1" Type="http://schemas.openxmlformats.org/officeDocument/2006/relationships/image" Target="../media/image6.png"/><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hyperlink" Target="http://www.houseflippingspreadsheet.com/videos.html" TargetMode="External"/><Relationship Id="rId2" Type="http://schemas.openxmlformats.org/officeDocument/2006/relationships/image" Target="../media/image2.png"/><Relationship Id="rId1" Type="http://schemas.openxmlformats.org/officeDocument/2006/relationships/hyperlink" Target="http://www.houseflippingspreadsheet.com/report-piracy.html" TargetMode="External"/><Relationship Id="rId5" Type="http://schemas.openxmlformats.org/officeDocument/2006/relationships/image" Target="../media/image5.pn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hyperlink" Target="http://www.houseflippingspreadsheet.com/videos.html" TargetMode="External"/><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hyperlink" Target="http://www.houseflippingspreadsheet.com/report-piracy.html" TargetMode="External"/><Relationship Id="rId1" Type="http://schemas.openxmlformats.org/officeDocument/2006/relationships/image" Target="../media/image8.png"/><Relationship Id="rId6" Type="http://schemas.openxmlformats.org/officeDocument/2006/relationships/image" Target="../media/image25.png"/><Relationship Id="rId5" Type="http://schemas.openxmlformats.org/officeDocument/2006/relationships/hyperlink" Target="http://www.houseflippingspreadsheet.com/inspection-checklist-report-tutorial.html" TargetMode="External"/><Relationship Id="rId10" Type="http://schemas.openxmlformats.org/officeDocument/2006/relationships/image" Target="../media/image5.png"/><Relationship Id="rId4" Type="http://schemas.openxmlformats.org/officeDocument/2006/relationships/image" Target="../media/image35.png"/><Relationship Id="rId9"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hyperlink" Target="http://www.houseflippingspreadsheet.com/videos.html" TargetMode="External"/><Relationship Id="rId3" Type="http://schemas.openxmlformats.org/officeDocument/2006/relationships/image" Target="../media/image25.png"/><Relationship Id="rId7" Type="http://schemas.openxmlformats.org/officeDocument/2006/relationships/image" Target="../media/image6.png"/><Relationship Id="rId2" Type="http://schemas.openxmlformats.org/officeDocument/2006/relationships/image" Target="../media/image36.png"/><Relationship Id="rId1" Type="http://schemas.openxmlformats.org/officeDocument/2006/relationships/image" Target="../media/image8.png"/><Relationship Id="rId6" Type="http://schemas.openxmlformats.org/officeDocument/2006/relationships/image" Target="../media/image34.png"/><Relationship Id="rId5" Type="http://schemas.openxmlformats.org/officeDocument/2006/relationships/image" Target="../media/image37.png"/><Relationship Id="rId10" Type="http://schemas.openxmlformats.org/officeDocument/2006/relationships/image" Target="../media/image5.png"/><Relationship Id="rId4" Type="http://schemas.openxmlformats.org/officeDocument/2006/relationships/hyperlink" Target="http://www.houseflippingspreadsheet.com/investment-packet-tutorial.html" TargetMode="External"/><Relationship Id="rId9"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http://www.houseflippingspreadsheet.com/videos.html" TargetMode="External"/><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8" Type="http://schemas.openxmlformats.org/officeDocument/2006/relationships/hyperlink" Target="http://www.houseflippingspreadsheet.com/videos.html" TargetMode="External"/><Relationship Id="rId3" Type="http://schemas.openxmlformats.org/officeDocument/2006/relationships/image" Target="../media/image6.png"/><Relationship Id="rId7" Type="http://schemas.openxmlformats.org/officeDocument/2006/relationships/image" Target="../media/image25.png"/><Relationship Id="rId2" Type="http://schemas.openxmlformats.org/officeDocument/2006/relationships/image" Target="../media/image34.png"/><Relationship Id="rId1" Type="http://schemas.openxmlformats.org/officeDocument/2006/relationships/image" Target="../media/image8.png"/><Relationship Id="rId6" Type="http://schemas.openxmlformats.org/officeDocument/2006/relationships/hyperlink" Target="http://www.houseflippingspreadsheet.com/repair-cost-estimate-report-tutorial.html" TargetMode="External"/><Relationship Id="rId5" Type="http://schemas.openxmlformats.org/officeDocument/2006/relationships/image" Target="../media/image38.png"/><Relationship Id="rId10" Type="http://schemas.openxmlformats.org/officeDocument/2006/relationships/image" Target="../media/image5.png"/><Relationship Id="rId4" Type="http://schemas.openxmlformats.org/officeDocument/2006/relationships/hyperlink" Target="https://www.houseflippingspreadsheet.com/repair-cost-estimate-report-tutorial.html" TargetMode="External"/><Relationship Id="rId9"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hyperlink" Target="http://www.houseflippingspreadsheet.com/videos.html" TargetMode="External"/><Relationship Id="rId2" Type="http://schemas.openxmlformats.org/officeDocument/2006/relationships/image" Target="../media/image25.png"/><Relationship Id="rId1"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34.png"/><Relationship Id="rId7" Type="http://schemas.openxmlformats.org/officeDocument/2006/relationships/image" Target="../media/image4.png"/><Relationship Id="rId2" Type="http://schemas.openxmlformats.org/officeDocument/2006/relationships/image" Target="../media/image25.png"/><Relationship Id="rId1" Type="http://schemas.openxmlformats.org/officeDocument/2006/relationships/image" Target="../media/image8.png"/><Relationship Id="rId6" Type="http://schemas.openxmlformats.org/officeDocument/2006/relationships/hyperlink" Target="http://www.houseflippingspreadsheet.com/videos.html" TargetMode="External"/><Relationship Id="rId5" Type="http://schemas.openxmlformats.org/officeDocument/2006/relationships/image" Target="../media/image37.png"/><Relationship Id="rId4" Type="http://schemas.openxmlformats.org/officeDocument/2006/relationships/image" Target="../media/image6.png"/></Relationships>
</file>

<file path=xl/drawings/_rels/drawing2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25.png"/><Relationship Id="rId7" Type="http://schemas.openxmlformats.org/officeDocument/2006/relationships/hyperlink" Target="http://www.houseflippingspreadsheet.com/videos.html" TargetMode="External"/><Relationship Id="rId2" Type="http://schemas.openxmlformats.org/officeDocument/2006/relationships/hyperlink" Target="http://www.houseflippingspreadsheet.com/homeowner-offer-report-tutorial.html" TargetMode="External"/><Relationship Id="rId1" Type="http://schemas.openxmlformats.org/officeDocument/2006/relationships/image" Target="../media/image39.png"/><Relationship Id="rId6" Type="http://schemas.openxmlformats.org/officeDocument/2006/relationships/image" Target="../media/image6.png"/><Relationship Id="rId5" Type="http://schemas.openxmlformats.org/officeDocument/2006/relationships/image" Target="../media/image34.png"/><Relationship Id="rId4" Type="http://schemas.openxmlformats.org/officeDocument/2006/relationships/image" Target="../media/image8.png"/><Relationship Id="rId9"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47.png"/><Relationship Id="rId13" Type="http://schemas.openxmlformats.org/officeDocument/2006/relationships/image" Target="../media/image8.png"/><Relationship Id="rId18" Type="http://schemas.openxmlformats.org/officeDocument/2006/relationships/image" Target="../media/image5.png"/><Relationship Id="rId3" Type="http://schemas.openxmlformats.org/officeDocument/2006/relationships/image" Target="../media/image42.png"/><Relationship Id="rId7" Type="http://schemas.openxmlformats.org/officeDocument/2006/relationships/image" Target="../media/image46.png"/><Relationship Id="rId12" Type="http://schemas.openxmlformats.org/officeDocument/2006/relationships/image" Target="../media/image50.png"/><Relationship Id="rId17" Type="http://schemas.openxmlformats.org/officeDocument/2006/relationships/image" Target="../media/image4.png"/><Relationship Id="rId2" Type="http://schemas.openxmlformats.org/officeDocument/2006/relationships/image" Target="../media/image41.png"/><Relationship Id="rId16" Type="http://schemas.openxmlformats.org/officeDocument/2006/relationships/hyperlink" Target="http://www.houseflippingspreadsheet.com/videos.html" TargetMode="External"/><Relationship Id="rId1" Type="http://schemas.openxmlformats.org/officeDocument/2006/relationships/image" Target="../media/image40.png"/><Relationship Id="rId6" Type="http://schemas.openxmlformats.org/officeDocument/2006/relationships/image" Target="../media/image45.png"/><Relationship Id="rId11" Type="http://schemas.openxmlformats.org/officeDocument/2006/relationships/image" Target="../media/image34.png"/><Relationship Id="rId5" Type="http://schemas.openxmlformats.org/officeDocument/2006/relationships/image" Target="../media/image44.png"/><Relationship Id="rId15" Type="http://schemas.openxmlformats.org/officeDocument/2006/relationships/image" Target="../media/image6.png"/><Relationship Id="rId10" Type="http://schemas.openxmlformats.org/officeDocument/2006/relationships/image" Target="../media/image49.png"/><Relationship Id="rId4" Type="http://schemas.openxmlformats.org/officeDocument/2006/relationships/image" Target="../media/image43.png"/><Relationship Id="rId9" Type="http://schemas.openxmlformats.org/officeDocument/2006/relationships/image" Target="../media/image48.png"/><Relationship Id="rId14" Type="http://schemas.openxmlformats.org/officeDocument/2006/relationships/image" Target="../media/image37.png"/></Relationships>
</file>

<file path=xl/drawings/_rels/drawing2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1.png"/><Relationship Id="rId1" Type="http://schemas.openxmlformats.org/officeDocument/2006/relationships/image" Target="../media/image34.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http://www.houseflippingspreadsheet.com/videos.html" TargetMode="External"/></Relationships>
</file>

<file path=xl/drawings/_rels/drawing26.xml.rels><?xml version="1.0" encoding="UTF-8" standalone="yes"?>
<Relationships xmlns="http://schemas.openxmlformats.org/package/2006/relationships"><Relationship Id="rId8" Type="http://schemas.openxmlformats.org/officeDocument/2006/relationships/hyperlink" Target="http://www.houseflippingspreadsheet.com/videos.html" TargetMode="External"/><Relationship Id="rId3" Type="http://schemas.openxmlformats.org/officeDocument/2006/relationships/image" Target="../media/image36.png"/><Relationship Id="rId7" Type="http://schemas.openxmlformats.org/officeDocument/2006/relationships/image" Target="../media/image6.png"/><Relationship Id="rId2" Type="http://schemas.openxmlformats.org/officeDocument/2006/relationships/hyperlink" Target="https://www.houseflippingspreadsheet.com/wholesale-marketing-packet-tutorial.html" TargetMode="External"/><Relationship Id="rId1" Type="http://schemas.openxmlformats.org/officeDocument/2006/relationships/image" Target="../media/image8.png"/><Relationship Id="rId6" Type="http://schemas.openxmlformats.org/officeDocument/2006/relationships/image" Target="../media/image34.png"/><Relationship Id="rId5" Type="http://schemas.openxmlformats.org/officeDocument/2006/relationships/image" Target="../media/image37.png"/><Relationship Id="rId10" Type="http://schemas.openxmlformats.org/officeDocument/2006/relationships/image" Target="../media/image5.png"/><Relationship Id="rId4" Type="http://schemas.openxmlformats.org/officeDocument/2006/relationships/image" Target="../media/image25.png"/><Relationship Id="rId9" Type="http://schemas.openxmlformats.org/officeDocument/2006/relationships/image" Target="../media/image4.png"/></Relationships>
</file>

<file path=xl/drawings/_rels/drawing27.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hyperlink" Target="http://www.houseflippingspreadsheet.com/scope-of-work-report-tutorial.html" TargetMode="External"/><Relationship Id="rId7" Type="http://schemas.openxmlformats.org/officeDocument/2006/relationships/image" Target="../media/image20.png"/><Relationship Id="rId2" Type="http://schemas.openxmlformats.org/officeDocument/2006/relationships/image" Target="../media/image25.png"/><Relationship Id="rId1" Type="http://schemas.openxmlformats.org/officeDocument/2006/relationships/image" Target="../media/image8.png"/><Relationship Id="rId6" Type="http://schemas.openxmlformats.org/officeDocument/2006/relationships/image" Target="../media/image18.png"/><Relationship Id="rId11" Type="http://schemas.openxmlformats.org/officeDocument/2006/relationships/image" Target="../media/image5.png"/><Relationship Id="rId5" Type="http://schemas.openxmlformats.org/officeDocument/2006/relationships/image" Target="../media/image6.png"/><Relationship Id="rId10" Type="http://schemas.openxmlformats.org/officeDocument/2006/relationships/image" Target="../media/image4.png"/><Relationship Id="rId4" Type="http://schemas.openxmlformats.org/officeDocument/2006/relationships/image" Target="../media/image52.png"/><Relationship Id="rId9" Type="http://schemas.openxmlformats.org/officeDocument/2006/relationships/hyperlink" Target="http://www.houseflippingspreadsheet.com/videos.html"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http://www.houseflippingspreadsheet.com/videos.html"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png"/><Relationship Id="rId1" Type="http://schemas.openxmlformats.org/officeDocument/2006/relationships/image" Target="../media/image8.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http://www.houseflippingspreadsheet.com/videos.html"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www.houseflippingspreadsheet.com/videos.html" TargetMode="External"/><Relationship Id="rId2" Type="http://schemas.openxmlformats.org/officeDocument/2006/relationships/image" Target="../media/image6.png"/><Relationship Id="rId1" Type="http://schemas.openxmlformats.org/officeDocument/2006/relationships/image" Target="../media/image8.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http://www.houseflippingspreadsheet.com/videos.html" TargetMode="External"/><Relationship Id="rId2" Type="http://schemas.openxmlformats.org/officeDocument/2006/relationships/image" Target="../media/image6.png"/><Relationship Id="rId1" Type="http://schemas.openxmlformats.org/officeDocument/2006/relationships/image" Target="../media/image8.png"/><Relationship Id="rId5" Type="http://schemas.openxmlformats.org/officeDocument/2006/relationships/image" Target="../media/image5.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5.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4.png"/><Relationship Id="rId5" Type="http://schemas.openxmlformats.org/officeDocument/2006/relationships/hyperlink" Target="http://www.houseflippingspreadsheet.com/videos.html" TargetMode="External"/><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4.png"/><Relationship Id="rId3" Type="http://schemas.openxmlformats.org/officeDocument/2006/relationships/image" Target="../media/image13.png"/><Relationship Id="rId7" Type="http://schemas.openxmlformats.org/officeDocument/2006/relationships/image" Target="../media/image7.png"/><Relationship Id="rId12" Type="http://schemas.openxmlformats.org/officeDocument/2006/relationships/hyperlink" Target="http://www.houseflippingspreadsheet.com/videos.html" TargetMode="Externa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5.png"/><Relationship Id="rId11" Type="http://schemas.openxmlformats.org/officeDocument/2006/relationships/image" Target="../media/image5.png"/><Relationship Id="rId5" Type="http://schemas.openxmlformats.org/officeDocument/2006/relationships/chart" Target="../charts/chart3.xml"/><Relationship Id="rId10" Type="http://schemas.openxmlformats.org/officeDocument/2006/relationships/image" Target="../media/image17.png"/><Relationship Id="rId4" Type="http://schemas.openxmlformats.org/officeDocument/2006/relationships/image" Target="../media/image14.png"/><Relationship Id="rId9" Type="http://schemas.openxmlformats.org/officeDocument/2006/relationships/image" Target="../media/image16.png"/></Relationships>
</file>

<file path=xl/drawings/_rels/drawing9.xml.rels><?xml version="1.0" encoding="UTF-8" standalone="yes"?>
<Relationships xmlns="http://schemas.openxmlformats.org/package/2006/relationships"><Relationship Id="rId8" Type="http://schemas.openxmlformats.org/officeDocument/2006/relationships/hyperlink" Target="http://www.houseflippingspreadsheet.com/report-piracy.html" TargetMode="External"/><Relationship Id="rId13" Type="http://schemas.openxmlformats.org/officeDocument/2006/relationships/image" Target="../media/image27.png"/><Relationship Id="rId18" Type="http://schemas.openxmlformats.org/officeDocument/2006/relationships/hyperlink" Target="http://www.houseflippingspreadsheet.com/repair-cost-estimator---the-basics-tutorial.html" TargetMode="External"/><Relationship Id="rId26" Type="http://schemas.openxmlformats.org/officeDocument/2006/relationships/image" Target="../media/image5.png"/><Relationship Id="rId3" Type="http://schemas.openxmlformats.org/officeDocument/2006/relationships/image" Target="../media/image20.png"/><Relationship Id="rId21" Type="http://schemas.openxmlformats.org/officeDocument/2006/relationships/hyperlink" Target="http://www.houseflippingspreadsheet.com/repair-cost-estimate-report-tutorial.html" TargetMode="External"/><Relationship Id="rId7" Type="http://schemas.openxmlformats.org/officeDocument/2006/relationships/image" Target="../media/image24.png"/><Relationship Id="rId12" Type="http://schemas.openxmlformats.org/officeDocument/2006/relationships/image" Target="../media/image8.png"/><Relationship Id="rId17" Type="http://schemas.openxmlformats.org/officeDocument/2006/relationships/image" Target="../media/image6.png"/><Relationship Id="rId25" Type="http://schemas.openxmlformats.org/officeDocument/2006/relationships/image" Target="../media/image4.png"/><Relationship Id="rId2" Type="http://schemas.openxmlformats.org/officeDocument/2006/relationships/image" Target="../media/image19.png"/><Relationship Id="rId16" Type="http://schemas.openxmlformats.org/officeDocument/2006/relationships/image" Target="../media/image29.png"/><Relationship Id="rId20" Type="http://schemas.openxmlformats.org/officeDocument/2006/relationships/hyperlink" Target="http://www.houseflippingspreadsheet.com/changing-unit-costs-on-the-repair-cost-estimator-tutorial.html" TargetMode="External"/><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6.png"/><Relationship Id="rId24" Type="http://schemas.openxmlformats.org/officeDocument/2006/relationships/hyperlink" Target="http://www.houseflippingspreadsheet.com/videos.html" TargetMode="External"/><Relationship Id="rId5" Type="http://schemas.openxmlformats.org/officeDocument/2006/relationships/image" Target="../media/image22.png"/><Relationship Id="rId15" Type="http://schemas.openxmlformats.org/officeDocument/2006/relationships/image" Target="../media/image7.png"/><Relationship Id="rId23" Type="http://schemas.openxmlformats.org/officeDocument/2006/relationships/image" Target="../media/image31.png"/><Relationship Id="rId10" Type="http://schemas.openxmlformats.org/officeDocument/2006/relationships/image" Target="../media/image25.png"/><Relationship Id="rId19" Type="http://schemas.openxmlformats.org/officeDocument/2006/relationships/hyperlink" Target="http://www.houseflippingspreadsheet.com/changing-scope-of-work-video-tutorial.html" TargetMode="External"/><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28.png"/><Relationship Id="rId22"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xdr:from>
      <xdr:col>21</xdr:col>
      <xdr:colOff>0</xdr:colOff>
      <xdr:row>0</xdr:row>
      <xdr:rowOff>0</xdr:rowOff>
    </xdr:from>
    <xdr:to>
      <xdr:col>22</xdr:col>
      <xdr:colOff>1303020</xdr:colOff>
      <xdr:row>1</xdr:row>
      <xdr:rowOff>7620</xdr:rowOff>
    </xdr:to>
    <xdr:sp macro="" textlink="">
      <xdr:nvSpPr>
        <xdr:cNvPr id="47" name="Rectangle 46">
          <a:extLst>
            <a:ext uri="{FF2B5EF4-FFF2-40B4-BE49-F238E27FC236}">
              <a16:creationId xmlns:a16="http://schemas.microsoft.com/office/drawing/2014/main" id="{00000000-0008-0000-0600-00002F000000}"/>
            </a:ext>
          </a:extLst>
        </xdr:cNvPr>
        <xdr:cNvSpPr/>
      </xdr:nvSpPr>
      <xdr:spPr>
        <a:xfrm>
          <a:off x="0" y="0"/>
          <a:ext cx="1485900" cy="67056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44</xdr:col>
      <xdr:colOff>209550</xdr:colOff>
      <xdr:row>42</xdr:row>
      <xdr:rowOff>217171</xdr:rowOff>
    </xdr:from>
    <xdr:to>
      <xdr:col>46</xdr:col>
      <xdr:colOff>592231</xdr:colOff>
      <xdr:row>45</xdr:row>
      <xdr:rowOff>28576</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21878925" y="12334875"/>
          <a:ext cx="1906681"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xdr:from>
      <xdr:col>45</xdr:col>
      <xdr:colOff>209550</xdr:colOff>
      <xdr:row>18</xdr:row>
      <xdr:rowOff>104775</xdr:rowOff>
    </xdr:from>
    <xdr:to>
      <xdr:col>46</xdr:col>
      <xdr:colOff>57150</xdr:colOff>
      <xdr:row>22</xdr:row>
      <xdr:rowOff>57150</xdr:rowOff>
    </xdr:to>
    <xdr:grpSp>
      <xdr:nvGrpSpPr>
        <xdr:cNvPr id="10" name="Group 9">
          <a:hlinkClick xmlns:r="http://schemas.openxmlformats.org/officeDocument/2006/relationships" r:id="rId1"/>
          <a:extLst>
            <a:ext uri="{FF2B5EF4-FFF2-40B4-BE49-F238E27FC236}">
              <a16:creationId xmlns:a16="http://schemas.microsoft.com/office/drawing/2014/main" id="{00000000-0008-0000-0600-00000A000000}"/>
            </a:ext>
          </a:extLst>
        </xdr:cNvPr>
        <xdr:cNvGrpSpPr/>
      </xdr:nvGrpSpPr>
      <xdr:grpSpPr>
        <a:xfrm>
          <a:off x="22125517" y="5328708"/>
          <a:ext cx="601133" cy="1086909"/>
          <a:chOff x="971550" y="104775"/>
          <a:chExt cx="609600" cy="495300"/>
        </a:xfrm>
      </xdr:grpSpPr>
      <xdr:sp macro="" textlink="">
        <xdr:nvSpPr>
          <xdr:cNvPr id="11" name="Flowchart: Off-page Connector 10">
            <a:extLst>
              <a:ext uri="{FF2B5EF4-FFF2-40B4-BE49-F238E27FC236}">
                <a16:creationId xmlns:a16="http://schemas.microsoft.com/office/drawing/2014/main" id="{00000000-0008-0000-0600-00000B000000}"/>
              </a:ext>
            </a:extLst>
          </xdr:cNvPr>
          <xdr:cNvSpPr/>
        </xdr:nvSpPr>
        <xdr:spPr>
          <a:xfrm>
            <a:off x="1064895" y="104775"/>
            <a:ext cx="430530" cy="495300"/>
          </a:xfrm>
          <a:prstGeom prst="flowChartOffpageConnector">
            <a:avLst/>
          </a:prstGeom>
          <a:solidFill>
            <a:srgbClr val="545F6B"/>
          </a:solidFill>
          <a:ln w="3810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971550" y="137161"/>
            <a:ext cx="609600" cy="391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bg1"/>
                </a:solidFill>
              </a:rPr>
              <a:t>HFS</a:t>
            </a:r>
          </a:p>
        </xdr:txBody>
      </xdr:sp>
    </xdr:grpSp>
    <xdr:clientData/>
  </xdr:twoCellAnchor>
  <xdr:twoCellAnchor editAs="absolute">
    <xdr:from>
      <xdr:col>44</xdr:col>
      <xdr:colOff>209550</xdr:colOff>
      <xdr:row>42</xdr:row>
      <xdr:rowOff>217171</xdr:rowOff>
    </xdr:from>
    <xdr:to>
      <xdr:col>46</xdr:col>
      <xdr:colOff>590750</xdr:colOff>
      <xdr:row>45</xdr:row>
      <xdr:rowOff>38523</xdr:rowOff>
    </xdr:to>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21389340" y="12313920"/>
          <a:ext cx="1870486" cy="662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45</xdr:col>
      <xdr:colOff>134470</xdr:colOff>
      <xdr:row>18</xdr:row>
      <xdr:rowOff>44823</xdr:rowOff>
    </xdr:from>
    <xdr:to>
      <xdr:col>45</xdr:col>
      <xdr:colOff>724098</xdr:colOff>
      <xdr:row>20</xdr:row>
      <xdr:rowOff>77208</xdr:rowOff>
    </xdr:to>
    <xdr:pic>
      <xdr:nvPicPr>
        <xdr:cNvPr id="18" name="Picture 17">
          <a:hlinkClick xmlns:r="http://schemas.openxmlformats.org/officeDocument/2006/relationships" r:id="rId2"/>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2270570" y="12358743"/>
          <a:ext cx="585395" cy="594360"/>
        </a:xfrm>
        <a:prstGeom prst="rect">
          <a:avLst/>
        </a:prstGeom>
      </xdr:spPr>
    </xdr:pic>
    <xdr:clientData/>
  </xdr:twoCellAnchor>
  <xdr:twoCellAnchor editAs="oneCell">
    <xdr:from>
      <xdr:col>23</xdr:col>
      <xdr:colOff>135927</xdr:colOff>
      <xdr:row>2</xdr:row>
      <xdr:rowOff>85725</xdr:rowOff>
    </xdr:from>
    <xdr:to>
      <xdr:col>23</xdr:col>
      <xdr:colOff>410248</xdr:colOff>
      <xdr:row>3</xdr:row>
      <xdr:rowOff>160019</xdr:rowOff>
    </xdr:to>
    <xdr:pic>
      <xdr:nvPicPr>
        <xdr:cNvPr id="22" name="Picture 21">
          <a:hlinkClick xmlns:r="http://schemas.openxmlformats.org/officeDocument/2006/relationships" r:id="rId4"/>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17427" y="952500"/>
          <a:ext cx="274320" cy="274320"/>
        </a:xfrm>
        <a:prstGeom prst="rect">
          <a:avLst/>
        </a:prstGeom>
      </xdr:spPr>
    </xdr:pic>
    <xdr:clientData/>
  </xdr:twoCellAnchor>
  <xdr:twoCellAnchor>
    <xdr:from>
      <xdr:col>23</xdr:col>
      <xdr:colOff>339090</xdr:colOff>
      <xdr:row>2</xdr:row>
      <xdr:rowOff>32385</xdr:rowOff>
    </xdr:from>
    <xdr:to>
      <xdr:col>24</xdr:col>
      <xdr:colOff>476250</xdr:colOff>
      <xdr:row>3</xdr:row>
      <xdr:rowOff>238126</xdr:rowOff>
    </xdr:to>
    <xdr:sp macro="" textlink="">
      <xdr:nvSpPr>
        <xdr:cNvPr id="23" name="TextBox 22">
          <a:hlinkClick xmlns:r="http://schemas.openxmlformats.org/officeDocument/2006/relationships" r:id="rId4"/>
          <a:extLst>
            <a:ext uri="{FF2B5EF4-FFF2-40B4-BE49-F238E27FC236}">
              <a16:creationId xmlns:a16="http://schemas.microsoft.com/office/drawing/2014/main" id="{00000000-0008-0000-0600-000017000000}"/>
            </a:ext>
          </a:extLst>
        </xdr:cNvPr>
        <xdr:cNvSpPr txBox="1"/>
      </xdr:nvSpPr>
      <xdr:spPr>
        <a:xfrm>
          <a:off x="4720590" y="899160"/>
          <a:ext cx="1089660" cy="4057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rgbClr val="398CCC"/>
              </a:solidFill>
              <a:latin typeface="Calibri Light" panose="020F0302020204030204" pitchFamily="34" charset="0"/>
            </a:rPr>
            <a:t>Report</a:t>
          </a:r>
          <a:r>
            <a:rPr lang="en-US" sz="1200" b="0" i="1" baseline="0">
              <a:solidFill>
                <a:srgbClr val="398CCC"/>
              </a:solidFill>
              <a:latin typeface="Calibri Light" panose="020F0302020204030204" pitchFamily="34" charset="0"/>
            </a:rPr>
            <a:t> Piracy</a:t>
          </a:r>
          <a:endParaRPr lang="en-US" sz="1200" b="0" i="1">
            <a:solidFill>
              <a:srgbClr val="398CCC"/>
            </a:solidFill>
            <a:latin typeface="Calibri Light" panose="020F0302020204030204" pitchFamily="34" charset="0"/>
          </a:endParaRPr>
        </a:p>
      </xdr:txBody>
    </xdr:sp>
    <xdr:clientData/>
  </xdr:twoCellAnchor>
  <xdr:twoCellAnchor>
    <xdr:from>
      <xdr:col>18</xdr:col>
      <xdr:colOff>0</xdr:colOff>
      <xdr:row>0</xdr:row>
      <xdr:rowOff>0</xdr:rowOff>
    </xdr:from>
    <xdr:to>
      <xdr:col>19</xdr:col>
      <xdr:colOff>1303020</xdr:colOff>
      <xdr:row>1</xdr:row>
      <xdr:rowOff>7620</xdr:rowOff>
    </xdr:to>
    <xdr:sp macro="" textlink="">
      <xdr:nvSpPr>
        <xdr:cNvPr id="24" name="Rectangle 23">
          <a:extLst>
            <a:ext uri="{FF2B5EF4-FFF2-40B4-BE49-F238E27FC236}">
              <a16:creationId xmlns:a16="http://schemas.microsoft.com/office/drawing/2014/main" id="{00000000-0008-0000-0600-000018000000}"/>
            </a:ext>
          </a:extLst>
        </xdr:cNvPr>
        <xdr:cNvSpPr/>
      </xdr:nvSpPr>
      <xdr:spPr>
        <a:xfrm>
          <a:off x="2667000" y="0"/>
          <a:ext cx="1493520"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0</xdr:colOff>
      <xdr:row>0</xdr:row>
      <xdr:rowOff>0</xdr:rowOff>
    </xdr:from>
    <xdr:to>
      <xdr:col>16</xdr:col>
      <xdr:colOff>1303020</xdr:colOff>
      <xdr:row>1</xdr:row>
      <xdr:rowOff>7620</xdr:rowOff>
    </xdr:to>
    <xdr:sp macro="" textlink="">
      <xdr:nvSpPr>
        <xdr:cNvPr id="25" name="Rectangle 24">
          <a:extLst>
            <a:ext uri="{FF2B5EF4-FFF2-40B4-BE49-F238E27FC236}">
              <a16:creationId xmlns:a16="http://schemas.microsoft.com/office/drawing/2014/main" id="{00000000-0008-0000-0600-000019000000}"/>
            </a:ext>
          </a:extLst>
        </xdr:cNvPr>
        <xdr:cNvSpPr/>
      </xdr:nvSpPr>
      <xdr:spPr>
        <a:xfrm>
          <a:off x="5524500" y="0"/>
          <a:ext cx="1493520"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12</xdr:col>
      <xdr:colOff>0</xdr:colOff>
      <xdr:row>0</xdr:row>
      <xdr:rowOff>0</xdr:rowOff>
    </xdr:from>
    <xdr:to>
      <xdr:col>13</xdr:col>
      <xdr:colOff>1303020</xdr:colOff>
      <xdr:row>1</xdr:row>
      <xdr:rowOff>7620</xdr:rowOff>
    </xdr:to>
    <xdr:sp macro="" textlink="">
      <xdr:nvSpPr>
        <xdr:cNvPr id="26" name="Rectangle 25">
          <a:extLst>
            <a:ext uri="{FF2B5EF4-FFF2-40B4-BE49-F238E27FC236}">
              <a16:creationId xmlns:a16="http://schemas.microsoft.com/office/drawing/2014/main" id="{00000000-0008-0000-0600-00001A000000}"/>
            </a:ext>
          </a:extLst>
        </xdr:cNvPr>
        <xdr:cNvSpPr/>
      </xdr:nvSpPr>
      <xdr:spPr>
        <a:xfrm>
          <a:off x="4953000" y="0"/>
          <a:ext cx="379095"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0</xdr:colOff>
      <xdr:row>0</xdr:row>
      <xdr:rowOff>0</xdr:rowOff>
    </xdr:from>
    <xdr:to>
      <xdr:col>6</xdr:col>
      <xdr:colOff>1303020</xdr:colOff>
      <xdr:row>1</xdr:row>
      <xdr:rowOff>7620</xdr:rowOff>
    </xdr:to>
    <xdr:sp macro="" textlink="">
      <xdr:nvSpPr>
        <xdr:cNvPr id="28" name="Rectangle 27">
          <a:extLst>
            <a:ext uri="{FF2B5EF4-FFF2-40B4-BE49-F238E27FC236}">
              <a16:creationId xmlns:a16="http://schemas.microsoft.com/office/drawing/2014/main" id="{00000000-0008-0000-0600-00001C000000}"/>
            </a:ext>
          </a:extLst>
        </xdr:cNvPr>
        <xdr:cNvSpPr/>
      </xdr:nvSpPr>
      <xdr:spPr>
        <a:xfrm>
          <a:off x="8572500" y="0"/>
          <a:ext cx="379095"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13</xdr:col>
      <xdr:colOff>180975</xdr:colOff>
      <xdr:row>28</xdr:row>
      <xdr:rowOff>5716</xdr:rowOff>
    </xdr:from>
    <xdr:to>
      <xdr:col>15</xdr:col>
      <xdr:colOff>74295</xdr:colOff>
      <xdr:row>28</xdr:row>
      <xdr:rowOff>275802</xdr:rowOff>
    </xdr:to>
    <xdr:pic>
      <xdr:nvPicPr>
        <xdr:cNvPr id="30" name="Picture 29">
          <a:hlinkClick xmlns:r="http://schemas.openxmlformats.org/officeDocument/2006/relationships" r:id="rId4"/>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657475" y="11073766"/>
          <a:ext cx="274320" cy="274320"/>
        </a:xfrm>
        <a:prstGeom prst="rect">
          <a:avLst/>
        </a:prstGeom>
      </xdr:spPr>
    </xdr:pic>
    <xdr:clientData/>
  </xdr:twoCellAnchor>
  <xdr:twoCellAnchor>
    <xdr:from>
      <xdr:col>15</xdr:col>
      <xdr:colOff>3138</xdr:colOff>
      <xdr:row>27</xdr:row>
      <xdr:rowOff>238125</xdr:rowOff>
    </xdr:from>
    <xdr:to>
      <xdr:col>20</xdr:col>
      <xdr:colOff>140298</xdr:colOff>
      <xdr:row>29</xdr:row>
      <xdr:rowOff>41910</xdr:rowOff>
    </xdr:to>
    <xdr:sp macro="" textlink="">
      <xdr:nvSpPr>
        <xdr:cNvPr id="31" name="TextBox 30">
          <a:hlinkClick xmlns:r="http://schemas.openxmlformats.org/officeDocument/2006/relationships" r:id="rId4"/>
          <a:extLst>
            <a:ext uri="{FF2B5EF4-FFF2-40B4-BE49-F238E27FC236}">
              <a16:creationId xmlns:a16="http://schemas.microsoft.com/office/drawing/2014/main" id="{00000000-0008-0000-0600-00001F000000}"/>
            </a:ext>
          </a:extLst>
        </xdr:cNvPr>
        <xdr:cNvSpPr txBox="1"/>
      </xdr:nvSpPr>
      <xdr:spPr>
        <a:xfrm>
          <a:off x="2860638" y="11020425"/>
          <a:ext cx="108966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rgbClr val="398CCC"/>
              </a:solidFill>
              <a:latin typeface="Calibri Light" panose="020F0302020204030204" pitchFamily="34" charset="0"/>
            </a:rPr>
            <a:t>Report</a:t>
          </a:r>
          <a:r>
            <a:rPr lang="en-US" sz="1200" b="0" i="1" baseline="0">
              <a:solidFill>
                <a:srgbClr val="398CCC"/>
              </a:solidFill>
              <a:latin typeface="Calibri Light" panose="020F0302020204030204" pitchFamily="34" charset="0"/>
            </a:rPr>
            <a:t> Piracy</a:t>
          </a:r>
          <a:endParaRPr lang="en-US" sz="1200" b="0" i="1">
            <a:solidFill>
              <a:srgbClr val="398CCC"/>
            </a:solidFill>
            <a:latin typeface="Calibri Light" panose="020F0302020204030204" pitchFamily="34" charset="0"/>
          </a:endParaRPr>
        </a:p>
      </xdr:txBody>
    </xdr:sp>
    <xdr:clientData/>
  </xdr:twoCellAnchor>
  <xdr:twoCellAnchor editAs="absolute">
    <xdr:from>
      <xdr:col>28</xdr:col>
      <xdr:colOff>580824</xdr:colOff>
      <xdr:row>0</xdr:row>
      <xdr:rowOff>0</xdr:rowOff>
    </xdr:from>
    <xdr:to>
      <xdr:col>30</xdr:col>
      <xdr:colOff>389679</xdr:colOff>
      <xdr:row>0</xdr:row>
      <xdr:rowOff>561975</xdr:rowOff>
    </xdr:to>
    <xdr:sp macro="[0]!Navigate_Reporting" textlink="">
      <xdr:nvSpPr>
        <xdr:cNvPr id="32" name="TextBox 31">
          <a:extLst>
            <a:ext uri="{FF2B5EF4-FFF2-40B4-BE49-F238E27FC236}">
              <a16:creationId xmlns:a16="http://schemas.microsoft.com/office/drawing/2014/main" id="{047B2B20-A435-4252-A916-550A73E55C26}"/>
            </a:ext>
          </a:extLst>
        </xdr:cNvPr>
        <xdr:cNvSpPr txBox="1">
          <a:spLocks noChangeAspect="1"/>
        </xdr:cNvSpPr>
      </xdr:nvSpPr>
      <xdr:spPr>
        <a:xfrm>
          <a:off x="9458124" y="0"/>
          <a:ext cx="169480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24</xdr:col>
      <xdr:colOff>922877</xdr:colOff>
      <xdr:row>0</xdr:row>
      <xdr:rowOff>1</xdr:rowOff>
    </xdr:from>
    <xdr:to>
      <xdr:col>26</xdr:col>
      <xdr:colOff>732790</xdr:colOff>
      <xdr:row>0</xdr:row>
      <xdr:rowOff>561975</xdr:rowOff>
    </xdr:to>
    <xdr:sp macro="[0]!Navigate_Rehab_Analyzer" textlink="">
      <xdr:nvSpPr>
        <xdr:cNvPr id="33" name="TextBox 32">
          <a:extLst>
            <a:ext uri="{FF2B5EF4-FFF2-40B4-BE49-F238E27FC236}">
              <a16:creationId xmlns:a16="http://schemas.microsoft.com/office/drawing/2014/main" id="{607D0C7C-3459-404C-9260-08255426013D}"/>
            </a:ext>
          </a:extLst>
        </xdr:cNvPr>
        <xdr:cNvSpPr txBox="1">
          <a:spLocks noChangeAspect="1"/>
        </xdr:cNvSpPr>
      </xdr:nvSpPr>
      <xdr:spPr>
        <a:xfrm>
          <a:off x="6028277" y="1"/>
          <a:ext cx="1695863" cy="561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26</xdr:col>
      <xdr:colOff>754168</xdr:colOff>
      <xdr:row>0</xdr:row>
      <xdr:rowOff>0</xdr:rowOff>
    </xdr:from>
    <xdr:to>
      <xdr:col>28</xdr:col>
      <xdr:colOff>551402</xdr:colOff>
      <xdr:row>0</xdr:row>
      <xdr:rowOff>561975</xdr:rowOff>
    </xdr:to>
    <xdr:sp macro="[0]!Navigate_Repair_Estimator" textlink="">
      <xdr:nvSpPr>
        <xdr:cNvPr id="34" name="TextBox 33">
          <a:extLst>
            <a:ext uri="{FF2B5EF4-FFF2-40B4-BE49-F238E27FC236}">
              <a16:creationId xmlns:a16="http://schemas.microsoft.com/office/drawing/2014/main" id="{A6A02E05-C59C-4FC4-B0EF-B1B21AC21982}"/>
            </a:ext>
          </a:extLst>
        </xdr:cNvPr>
        <xdr:cNvSpPr txBox="1">
          <a:spLocks noChangeAspect="1"/>
        </xdr:cNvSpPr>
      </xdr:nvSpPr>
      <xdr:spPr>
        <a:xfrm>
          <a:off x="7745518" y="0"/>
          <a:ext cx="1683184"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23</xdr:col>
      <xdr:colOff>171012</xdr:colOff>
      <xdr:row>0</xdr:row>
      <xdr:rowOff>0</xdr:rowOff>
    </xdr:from>
    <xdr:to>
      <xdr:col>24</xdr:col>
      <xdr:colOff>912917</xdr:colOff>
      <xdr:row>0</xdr:row>
      <xdr:rowOff>561975</xdr:rowOff>
    </xdr:to>
    <xdr:sp macro="[0]!Navigate_Home" textlink="">
      <xdr:nvSpPr>
        <xdr:cNvPr id="41" name="TextBox 40">
          <a:extLst>
            <a:ext uri="{FF2B5EF4-FFF2-40B4-BE49-F238E27FC236}">
              <a16:creationId xmlns:a16="http://schemas.microsoft.com/office/drawing/2014/main" id="{0E58D222-F1F3-4AC4-B9C8-40D880497A0F}"/>
            </a:ext>
          </a:extLst>
        </xdr:cNvPr>
        <xdr:cNvSpPr txBox="1">
          <a:spLocks noChangeAspect="1"/>
        </xdr:cNvSpPr>
      </xdr:nvSpPr>
      <xdr:spPr>
        <a:xfrm>
          <a:off x="4333437" y="0"/>
          <a:ext cx="168488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31</xdr:col>
      <xdr:colOff>258657</xdr:colOff>
      <xdr:row>0</xdr:row>
      <xdr:rowOff>153469</xdr:rowOff>
    </xdr:from>
    <xdr:to>
      <xdr:col>31</xdr:col>
      <xdr:colOff>525280</xdr:colOff>
      <xdr:row>0</xdr:row>
      <xdr:rowOff>428836</xdr:rowOff>
    </xdr:to>
    <xdr:pic>
      <xdr:nvPicPr>
        <xdr:cNvPr id="42" name="Picture 41" title="Help">
          <a:hlinkClick xmlns:r="http://schemas.openxmlformats.org/officeDocument/2006/relationships" r:id="rId7"/>
          <a:extLst>
            <a:ext uri="{FF2B5EF4-FFF2-40B4-BE49-F238E27FC236}">
              <a16:creationId xmlns:a16="http://schemas.microsoft.com/office/drawing/2014/main" id="{74D304D9-75CA-438A-852C-130C5229C4F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1964882" y="153469"/>
          <a:ext cx="266623" cy="275367"/>
        </a:xfrm>
        <a:prstGeom prst="rect">
          <a:avLst/>
        </a:prstGeom>
      </xdr:spPr>
    </xdr:pic>
    <xdr:clientData/>
  </xdr:twoCellAnchor>
  <xdr:twoCellAnchor editAs="absolute">
    <xdr:from>
      <xdr:col>30</xdr:col>
      <xdr:colOff>649182</xdr:colOff>
      <xdr:row>0</xdr:row>
      <xdr:rowOff>152516</xdr:rowOff>
    </xdr:from>
    <xdr:to>
      <xdr:col>30</xdr:col>
      <xdr:colOff>932816</xdr:colOff>
      <xdr:row>0</xdr:row>
      <xdr:rowOff>428941</xdr:rowOff>
    </xdr:to>
    <xdr:pic macro="[0]!Navigate_Info_Sheet">
      <xdr:nvPicPr>
        <xdr:cNvPr id="43" name="Picture 42">
          <a:extLst>
            <a:ext uri="{FF2B5EF4-FFF2-40B4-BE49-F238E27FC236}">
              <a16:creationId xmlns:a16="http://schemas.microsoft.com/office/drawing/2014/main" id="{3A16FD49-B271-41DD-BBFC-9FEADE50FC8D}"/>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1412432" y="152516"/>
          <a:ext cx="283634" cy="276425"/>
        </a:xfrm>
        <a:prstGeom prst="rect">
          <a:avLst/>
        </a:prstGeom>
      </xdr:spPr>
    </xdr:pic>
    <xdr:clientData/>
  </xdr:twoCellAnchor>
  <xdr:twoCellAnchor editAs="absolute">
    <xdr:from>
      <xdr:col>0</xdr:col>
      <xdr:colOff>0</xdr:colOff>
      <xdr:row>0</xdr:row>
      <xdr:rowOff>0</xdr:rowOff>
    </xdr:from>
    <xdr:to>
      <xdr:col>9</xdr:col>
      <xdr:colOff>35997</xdr:colOff>
      <xdr:row>0</xdr:row>
      <xdr:rowOff>563880</xdr:rowOff>
    </xdr:to>
    <xdr:sp macro="" textlink="">
      <xdr:nvSpPr>
        <xdr:cNvPr id="44" name="TextBox 43">
          <a:extLst>
            <a:ext uri="{FF2B5EF4-FFF2-40B4-BE49-F238E27FC236}">
              <a16:creationId xmlns:a16="http://schemas.microsoft.com/office/drawing/2014/main" id="{FA05FA8F-DC7F-4B03-9BBF-A7751652F350}"/>
            </a:ext>
          </a:extLst>
        </xdr:cNvPr>
        <xdr:cNvSpPr txBox="1">
          <a:spLocks noChangeAspect="1"/>
        </xdr:cNvSpPr>
      </xdr:nvSpPr>
      <xdr:spPr>
        <a:xfrm>
          <a:off x="0" y="0"/>
          <a:ext cx="1664772"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114300</xdr:colOff>
      <xdr:row>1</xdr:row>
      <xdr:rowOff>85725</xdr:rowOff>
    </xdr:from>
    <xdr:to>
      <xdr:col>1</xdr:col>
      <xdr:colOff>188595</xdr:colOff>
      <xdr:row>2</xdr:row>
      <xdr:rowOff>264795</xdr:rowOff>
    </xdr:to>
    <xdr:pic macro="[0]!Key_Rehab_Analyzer_Calculator">
      <xdr:nvPicPr>
        <xdr:cNvPr id="27" name="Rehab_Analyzer_Unlock_Icon" hidden="1">
          <a:extLst>
            <a:ext uri="{FF2B5EF4-FFF2-40B4-BE49-F238E27FC236}">
              <a16:creationId xmlns:a16="http://schemas.microsoft.com/office/drawing/2014/main" id="{537FB2ED-3D5F-4DD3-B909-C05F6059031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4300" y="657225"/>
          <a:ext cx="274320" cy="274320"/>
        </a:xfrm>
        <a:prstGeom prst="rect">
          <a:avLst/>
        </a:prstGeom>
      </xdr:spPr>
    </xdr:pic>
    <xdr:clientData/>
  </xdr:twoCellAnchor>
  <xdr:twoCellAnchor editAs="absolute">
    <xdr:from>
      <xdr:col>62</xdr:col>
      <xdr:colOff>77258</xdr:colOff>
      <xdr:row>0</xdr:row>
      <xdr:rowOff>171660</xdr:rowOff>
    </xdr:from>
    <xdr:to>
      <xdr:col>63</xdr:col>
      <xdr:colOff>153248</xdr:colOff>
      <xdr:row>0</xdr:row>
      <xdr:rowOff>449157</xdr:rowOff>
    </xdr:to>
    <xdr:pic macro="[0]!Hide_Scenarios">
      <xdr:nvPicPr>
        <xdr:cNvPr id="47" name="Picture 46">
          <a:extLst>
            <a:ext uri="{FF2B5EF4-FFF2-40B4-BE49-F238E27FC236}">
              <a16:creationId xmlns:a16="http://schemas.microsoft.com/office/drawing/2014/main" id="{3045685E-65D8-4E72-A76B-B7F04F08BB6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2478808" y="171660"/>
          <a:ext cx="276015" cy="277497"/>
        </a:xfrm>
        <a:prstGeom prst="rect">
          <a:avLst/>
        </a:prstGeom>
      </xdr:spPr>
    </xdr:pic>
    <xdr:clientData/>
  </xdr:twoCellAnchor>
  <xdr:twoCellAnchor editAs="absolute">
    <xdr:from>
      <xdr:col>47</xdr:col>
      <xdr:colOff>58007</xdr:colOff>
      <xdr:row>0</xdr:row>
      <xdr:rowOff>0</xdr:rowOff>
    </xdr:from>
    <xdr:to>
      <xdr:col>55</xdr:col>
      <xdr:colOff>151554</xdr:colOff>
      <xdr:row>0</xdr:row>
      <xdr:rowOff>560917</xdr:rowOff>
    </xdr:to>
    <xdr:sp macro="[0]!Navigate_Reporting" textlink="">
      <xdr:nvSpPr>
        <xdr:cNvPr id="17" name="TextBox 16">
          <a:extLst>
            <a:ext uri="{FF2B5EF4-FFF2-40B4-BE49-F238E27FC236}">
              <a16:creationId xmlns:a16="http://schemas.microsoft.com/office/drawing/2014/main" id="{8A73ED91-8044-4808-9703-674BA5FA86D7}"/>
            </a:ext>
          </a:extLst>
        </xdr:cNvPr>
        <xdr:cNvSpPr txBox="1">
          <a:spLocks noChangeAspect="1"/>
        </xdr:cNvSpPr>
      </xdr:nvSpPr>
      <xdr:spPr>
        <a:xfrm>
          <a:off x="9459182" y="0"/>
          <a:ext cx="1693747"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30</xdr:col>
      <xdr:colOff>28585</xdr:colOff>
      <xdr:row>0</xdr:row>
      <xdr:rowOff>1</xdr:rowOff>
    </xdr:from>
    <xdr:to>
      <xdr:col>38</xdr:col>
      <xdr:colOff>124248</xdr:colOff>
      <xdr:row>0</xdr:row>
      <xdr:rowOff>560917</xdr:rowOff>
    </xdr:to>
    <xdr:sp macro="[0]!Navigate_Rehab_Analyzer" textlink="">
      <xdr:nvSpPr>
        <xdr:cNvPr id="18" name="TextBox 17">
          <a:extLst>
            <a:ext uri="{FF2B5EF4-FFF2-40B4-BE49-F238E27FC236}">
              <a16:creationId xmlns:a16="http://schemas.microsoft.com/office/drawing/2014/main" id="{73BF0146-1357-4FC5-87E4-132DBE0D62A8}"/>
            </a:ext>
          </a:extLst>
        </xdr:cNvPr>
        <xdr:cNvSpPr txBox="1">
          <a:spLocks noChangeAspect="1"/>
        </xdr:cNvSpPr>
      </xdr:nvSpPr>
      <xdr:spPr>
        <a:xfrm>
          <a:off x="6029335" y="1"/>
          <a:ext cx="1695863" cy="560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38</xdr:col>
      <xdr:colOff>143510</xdr:colOff>
      <xdr:row>0</xdr:row>
      <xdr:rowOff>0</xdr:rowOff>
    </xdr:from>
    <xdr:to>
      <xdr:col>47</xdr:col>
      <xdr:colOff>28585</xdr:colOff>
      <xdr:row>0</xdr:row>
      <xdr:rowOff>560917</xdr:rowOff>
    </xdr:to>
    <xdr:sp macro="[0]!Navigate_Repair_Estimator" textlink="">
      <xdr:nvSpPr>
        <xdr:cNvPr id="19" name="TextBox 18">
          <a:extLst>
            <a:ext uri="{FF2B5EF4-FFF2-40B4-BE49-F238E27FC236}">
              <a16:creationId xmlns:a16="http://schemas.microsoft.com/office/drawing/2014/main" id="{41A3CA60-3B0F-433D-B209-9C08BAAE019C}"/>
            </a:ext>
          </a:extLst>
        </xdr:cNvPr>
        <xdr:cNvSpPr txBox="1">
          <a:spLocks noChangeAspect="1"/>
        </xdr:cNvSpPr>
      </xdr:nvSpPr>
      <xdr:spPr>
        <a:xfrm>
          <a:off x="7744460" y="0"/>
          <a:ext cx="1685300"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21</xdr:col>
      <xdr:colOff>133970</xdr:colOff>
      <xdr:row>0</xdr:row>
      <xdr:rowOff>0</xdr:rowOff>
    </xdr:from>
    <xdr:to>
      <xdr:col>30</xdr:col>
      <xdr:colOff>17567</xdr:colOff>
      <xdr:row>0</xdr:row>
      <xdr:rowOff>560917</xdr:rowOff>
    </xdr:to>
    <xdr:sp macro="[0]!Navigate_Home" textlink="">
      <xdr:nvSpPr>
        <xdr:cNvPr id="20" name="TextBox 19">
          <a:extLst>
            <a:ext uri="{FF2B5EF4-FFF2-40B4-BE49-F238E27FC236}">
              <a16:creationId xmlns:a16="http://schemas.microsoft.com/office/drawing/2014/main" id="{12CAA417-1AF5-4AFF-A1C9-324C682D0D5C}"/>
            </a:ext>
          </a:extLst>
        </xdr:cNvPr>
        <xdr:cNvSpPr txBox="1">
          <a:spLocks noChangeAspect="1"/>
        </xdr:cNvSpPr>
      </xdr:nvSpPr>
      <xdr:spPr>
        <a:xfrm>
          <a:off x="4334495" y="0"/>
          <a:ext cx="1683822"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59</xdr:col>
      <xdr:colOff>163407</xdr:colOff>
      <xdr:row>0</xdr:row>
      <xdr:rowOff>153469</xdr:rowOff>
    </xdr:from>
    <xdr:to>
      <xdr:col>61</xdr:col>
      <xdr:colOff>26805</xdr:colOff>
      <xdr:row>0</xdr:row>
      <xdr:rowOff>429894</xdr:rowOff>
    </xdr:to>
    <xdr:pic>
      <xdr:nvPicPr>
        <xdr:cNvPr id="21" name="Picture 20" title="Help">
          <a:hlinkClick xmlns:r="http://schemas.openxmlformats.org/officeDocument/2006/relationships" r:id="rId3"/>
          <a:extLst>
            <a:ext uri="{FF2B5EF4-FFF2-40B4-BE49-F238E27FC236}">
              <a16:creationId xmlns:a16="http://schemas.microsoft.com/office/drawing/2014/main" id="{9601C5F9-06ED-4BD2-AFAA-DA58FA09F7E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964882" y="153469"/>
          <a:ext cx="263448" cy="276425"/>
        </a:xfrm>
        <a:prstGeom prst="rect">
          <a:avLst/>
        </a:prstGeom>
      </xdr:spPr>
    </xdr:pic>
    <xdr:clientData/>
  </xdr:twoCellAnchor>
  <xdr:twoCellAnchor editAs="absolute">
    <xdr:from>
      <xdr:col>57</xdr:col>
      <xdr:colOff>11007</xdr:colOff>
      <xdr:row>0</xdr:row>
      <xdr:rowOff>152516</xdr:rowOff>
    </xdr:from>
    <xdr:to>
      <xdr:col>58</xdr:col>
      <xdr:colOff>93558</xdr:colOff>
      <xdr:row>0</xdr:row>
      <xdr:rowOff>429999</xdr:rowOff>
    </xdr:to>
    <xdr:pic macro="[0]!Navigate_Info_Sheet">
      <xdr:nvPicPr>
        <xdr:cNvPr id="22" name="Picture 21">
          <a:extLst>
            <a:ext uri="{FF2B5EF4-FFF2-40B4-BE49-F238E27FC236}">
              <a16:creationId xmlns:a16="http://schemas.microsoft.com/office/drawing/2014/main" id="{4F5C2030-9300-43F9-A662-63591B1884B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412432" y="152516"/>
          <a:ext cx="282576" cy="277483"/>
        </a:xfrm>
        <a:prstGeom prst="rect">
          <a:avLst/>
        </a:prstGeom>
      </xdr:spPr>
    </xdr:pic>
    <xdr:clientData/>
  </xdr:twoCellAnchor>
  <xdr:twoCellAnchor editAs="absolute">
    <xdr:from>
      <xdr:col>0</xdr:col>
      <xdr:colOff>0</xdr:colOff>
      <xdr:row>0</xdr:row>
      <xdr:rowOff>0</xdr:rowOff>
    </xdr:from>
    <xdr:to>
      <xdr:col>8</xdr:col>
      <xdr:colOff>64572</xdr:colOff>
      <xdr:row>0</xdr:row>
      <xdr:rowOff>562822</xdr:rowOff>
    </xdr:to>
    <xdr:sp macro="" textlink="">
      <xdr:nvSpPr>
        <xdr:cNvPr id="24" name="TextBox 23">
          <a:extLst>
            <a:ext uri="{FF2B5EF4-FFF2-40B4-BE49-F238E27FC236}">
              <a16:creationId xmlns:a16="http://schemas.microsoft.com/office/drawing/2014/main" id="{1A5B33BD-3ACC-444D-97FE-8C23F45601ED}"/>
            </a:ext>
          </a:extLst>
        </xdr:cNvPr>
        <xdr:cNvSpPr txBox="1">
          <a:spLocks noChangeAspect="1"/>
        </xdr:cNvSpPr>
      </xdr:nvSpPr>
      <xdr:spPr>
        <a:xfrm>
          <a:off x="0" y="0"/>
          <a:ext cx="1664772" cy="562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123825</xdr:colOff>
      <xdr:row>9</xdr:row>
      <xdr:rowOff>78439</xdr:rowOff>
    </xdr:from>
    <xdr:to>
      <xdr:col>19</xdr:col>
      <xdr:colOff>157443</xdr:colOff>
      <xdr:row>10</xdr:row>
      <xdr:rowOff>110936</xdr:rowOff>
    </xdr:to>
    <xdr:sp macro="" textlink="">
      <xdr:nvSpPr>
        <xdr:cNvPr id="12" name="Rectangle 11">
          <a:extLst>
            <a:ext uri="{FF2B5EF4-FFF2-40B4-BE49-F238E27FC236}">
              <a16:creationId xmlns:a16="http://schemas.microsoft.com/office/drawing/2014/main" id="{00000000-0008-0000-0F00-00000C000000}"/>
            </a:ext>
          </a:extLst>
        </xdr:cNvPr>
        <xdr:cNvSpPr>
          <a:spLocks noChangeAspect="1"/>
        </xdr:cNvSpPr>
      </xdr:nvSpPr>
      <xdr:spPr>
        <a:xfrm>
          <a:off x="3124200" y="1250014"/>
          <a:ext cx="233643" cy="232522"/>
        </a:xfrm>
        <a:prstGeom prst="rect">
          <a:avLst/>
        </a:prstGeom>
        <a:solidFill>
          <a:schemeClr val="bg1"/>
        </a:solidFill>
        <a:ln>
          <a:solidFill>
            <a:schemeClr val="bg1">
              <a:lumMod val="75000"/>
            </a:schemeClr>
          </a:solid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20</xdr:col>
      <xdr:colOff>36423</xdr:colOff>
      <xdr:row>9</xdr:row>
      <xdr:rowOff>0</xdr:rowOff>
    </xdr:from>
    <xdr:to>
      <xdr:col>26</xdr:col>
      <xdr:colOff>152401</xdr:colOff>
      <xdr:row>11</xdr:row>
      <xdr:rowOff>18488</xdr:rowOff>
    </xdr:to>
    <xdr:sp macro="[0]!Baseline_Offer_Accepted" textlink="">
      <xdr:nvSpPr>
        <xdr:cNvPr id="13" name="TextBox 12">
          <a:extLst>
            <a:ext uri="{FF2B5EF4-FFF2-40B4-BE49-F238E27FC236}">
              <a16:creationId xmlns:a16="http://schemas.microsoft.com/office/drawing/2014/main" id="{00000000-0008-0000-0F00-00000D000000}"/>
            </a:ext>
          </a:extLst>
        </xdr:cNvPr>
        <xdr:cNvSpPr txBox="1"/>
      </xdr:nvSpPr>
      <xdr:spPr>
        <a:xfrm>
          <a:off x="3436848" y="1171575"/>
          <a:ext cx="1316128" cy="418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0" u="none">
              <a:solidFill>
                <a:srgbClr val="398CCC"/>
              </a:solidFill>
              <a:latin typeface="Calibri Light" panose="020F0302020204030204" pitchFamily="34" charset="0"/>
            </a:rPr>
            <a:t>Accepted Offer</a:t>
          </a:r>
        </a:p>
      </xdr:txBody>
    </xdr:sp>
    <xdr:clientData/>
  </xdr:twoCellAnchor>
  <xdr:twoCellAnchor>
    <xdr:from>
      <xdr:col>27</xdr:col>
      <xdr:colOff>114300</xdr:colOff>
      <xdr:row>9</xdr:row>
      <xdr:rowOff>87964</xdr:rowOff>
    </xdr:from>
    <xdr:to>
      <xdr:col>28</xdr:col>
      <xdr:colOff>147918</xdr:colOff>
      <xdr:row>10</xdr:row>
      <xdr:rowOff>120461</xdr:rowOff>
    </xdr:to>
    <xdr:sp macro="[0]!Offer1_Accepted" textlink="">
      <xdr:nvSpPr>
        <xdr:cNvPr id="14" name="Rectangle 13">
          <a:extLst>
            <a:ext uri="{FF2B5EF4-FFF2-40B4-BE49-F238E27FC236}">
              <a16:creationId xmlns:a16="http://schemas.microsoft.com/office/drawing/2014/main" id="{00000000-0008-0000-0F00-00000E000000}"/>
            </a:ext>
          </a:extLst>
        </xdr:cNvPr>
        <xdr:cNvSpPr>
          <a:spLocks noChangeAspect="1"/>
        </xdr:cNvSpPr>
      </xdr:nvSpPr>
      <xdr:spPr>
        <a:xfrm>
          <a:off x="5114925" y="1259539"/>
          <a:ext cx="233643" cy="232522"/>
        </a:xfrm>
        <a:prstGeom prst="rect">
          <a:avLst/>
        </a:prstGeom>
        <a:solidFill>
          <a:schemeClr val="bg1"/>
        </a:solidFill>
        <a:ln>
          <a:solidFill>
            <a:schemeClr val="bg1">
              <a:lumMod val="75000"/>
            </a:schemeClr>
          </a:solid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29</xdr:col>
      <xdr:colOff>17373</xdr:colOff>
      <xdr:row>9</xdr:row>
      <xdr:rowOff>9525</xdr:rowOff>
    </xdr:from>
    <xdr:to>
      <xdr:col>35</xdr:col>
      <xdr:colOff>133351</xdr:colOff>
      <xdr:row>11</xdr:row>
      <xdr:rowOff>28013</xdr:rowOff>
    </xdr:to>
    <xdr:sp macro="[0]!Offer1_Accepted" textlink="">
      <xdr:nvSpPr>
        <xdr:cNvPr id="15" name="TextBox 14">
          <a:extLst>
            <a:ext uri="{FF2B5EF4-FFF2-40B4-BE49-F238E27FC236}">
              <a16:creationId xmlns:a16="http://schemas.microsoft.com/office/drawing/2014/main" id="{00000000-0008-0000-0F00-00000F000000}"/>
            </a:ext>
          </a:extLst>
        </xdr:cNvPr>
        <xdr:cNvSpPr txBox="1"/>
      </xdr:nvSpPr>
      <xdr:spPr>
        <a:xfrm>
          <a:off x="5418048" y="1181100"/>
          <a:ext cx="1316128" cy="418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0" u="none">
              <a:solidFill>
                <a:srgbClr val="398CCC"/>
              </a:solidFill>
              <a:latin typeface="Calibri Light" panose="020F0302020204030204" pitchFamily="34" charset="0"/>
            </a:rPr>
            <a:t>Accepted Offer</a:t>
          </a:r>
        </a:p>
      </xdr:txBody>
    </xdr:sp>
    <xdr:clientData/>
  </xdr:twoCellAnchor>
  <xdr:twoCellAnchor>
    <xdr:from>
      <xdr:col>36</xdr:col>
      <xdr:colOff>114300</xdr:colOff>
      <xdr:row>9</xdr:row>
      <xdr:rowOff>78439</xdr:rowOff>
    </xdr:from>
    <xdr:to>
      <xdr:col>37</xdr:col>
      <xdr:colOff>147918</xdr:colOff>
      <xdr:row>10</xdr:row>
      <xdr:rowOff>110936</xdr:rowOff>
    </xdr:to>
    <xdr:sp macro="[0]!Offer2_Accepted" textlink="">
      <xdr:nvSpPr>
        <xdr:cNvPr id="16" name="Rectangle 15">
          <a:extLst>
            <a:ext uri="{FF2B5EF4-FFF2-40B4-BE49-F238E27FC236}">
              <a16:creationId xmlns:a16="http://schemas.microsoft.com/office/drawing/2014/main" id="{00000000-0008-0000-0F00-000010000000}"/>
            </a:ext>
          </a:extLst>
        </xdr:cNvPr>
        <xdr:cNvSpPr>
          <a:spLocks noChangeAspect="1"/>
        </xdr:cNvSpPr>
      </xdr:nvSpPr>
      <xdr:spPr>
        <a:xfrm>
          <a:off x="6915150" y="1250014"/>
          <a:ext cx="233643" cy="232522"/>
        </a:xfrm>
        <a:prstGeom prst="rect">
          <a:avLst/>
        </a:prstGeom>
        <a:solidFill>
          <a:schemeClr val="bg1"/>
        </a:solidFill>
        <a:ln>
          <a:solidFill>
            <a:schemeClr val="bg1">
              <a:lumMod val="75000"/>
            </a:schemeClr>
          </a:solid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38</xdr:col>
      <xdr:colOff>17373</xdr:colOff>
      <xdr:row>9</xdr:row>
      <xdr:rowOff>0</xdr:rowOff>
    </xdr:from>
    <xdr:to>
      <xdr:col>44</xdr:col>
      <xdr:colOff>133351</xdr:colOff>
      <xdr:row>11</xdr:row>
      <xdr:rowOff>18488</xdr:rowOff>
    </xdr:to>
    <xdr:sp macro="[0]!Offer2_Accepted" textlink="">
      <xdr:nvSpPr>
        <xdr:cNvPr id="17" name="TextBox 16">
          <a:extLst>
            <a:ext uri="{FF2B5EF4-FFF2-40B4-BE49-F238E27FC236}">
              <a16:creationId xmlns:a16="http://schemas.microsoft.com/office/drawing/2014/main" id="{00000000-0008-0000-0F00-000011000000}"/>
            </a:ext>
          </a:extLst>
        </xdr:cNvPr>
        <xdr:cNvSpPr txBox="1"/>
      </xdr:nvSpPr>
      <xdr:spPr>
        <a:xfrm>
          <a:off x="7218273" y="1171575"/>
          <a:ext cx="1316128" cy="418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0" u="none">
              <a:solidFill>
                <a:srgbClr val="398CCC"/>
              </a:solidFill>
              <a:latin typeface="Calibri Light" panose="020F0302020204030204" pitchFamily="34" charset="0"/>
            </a:rPr>
            <a:t>Accepted Offer</a:t>
          </a:r>
        </a:p>
      </xdr:txBody>
    </xdr:sp>
    <xdr:clientData/>
  </xdr:twoCellAnchor>
  <xdr:twoCellAnchor>
    <xdr:from>
      <xdr:col>45</xdr:col>
      <xdr:colOff>104775</xdr:colOff>
      <xdr:row>9</xdr:row>
      <xdr:rowOff>78439</xdr:rowOff>
    </xdr:from>
    <xdr:to>
      <xdr:col>46</xdr:col>
      <xdr:colOff>138393</xdr:colOff>
      <xdr:row>10</xdr:row>
      <xdr:rowOff>110936</xdr:rowOff>
    </xdr:to>
    <xdr:sp macro="[0]!Offer3_Accepted" textlink="">
      <xdr:nvSpPr>
        <xdr:cNvPr id="18" name="Rectangle 17">
          <a:extLst>
            <a:ext uri="{FF2B5EF4-FFF2-40B4-BE49-F238E27FC236}">
              <a16:creationId xmlns:a16="http://schemas.microsoft.com/office/drawing/2014/main" id="{00000000-0008-0000-0F00-000012000000}"/>
            </a:ext>
          </a:extLst>
        </xdr:cNvPr>
        <xdr:cNvSpPr>
          <a:spLocks noChangeAspect="1"/>
        </xdr:cNvSpPr>
      </xdr:nvSpPr>
      <xdr:spPr>
        <a:xfrm>
          <a:off x="8705850" y="1250014"/>
          <a:ext cx="233643" cy="232522"/>
        </a:xfrm>
        <a:prstGeom prst="rect">
          <a:avLst/>
        </a:prstGeom>
        <a:solidFill>
          <a:schemeClr val="bg1"/>
        </a:solidFill>
        <a:ln>
          <a:solidFill>
            <a:schemeClr val="bg1">
              <a:lumMod val="75000"/>
            </a:schemeClr>
          </a:solid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47</xdr:col>
      <xdr:colOff>7848</xdr:colOff>
      <xdr:row>9</xdr:row>
      <xdr:rowOff>0</xdr:rowOff>
    </xdr:from>
    <xdr:to>
      <xdr:col>53</xdr:col>
      <xdr:colOff>123826</xdr:colOff>
      <xdr:row>11</xdr:row>
      <xdr:rowOff>18488</xdr:rowOff>
    </xdr:to>
    <xdr:sp macro="[0]!Offer3_Accepted" textlink="">
      <xdr:nvSpPr>
        <xdr:cNvPr id="19" name="TextBox 18">
          <a:extLst>
            <a:ext uri="{FF2B5EF4-FFF2-40B4-BE49-F238E27FC236}">
              <a16:creationId xmlns:a16="http://schemas.microsoft.com/office/drawing/2014/main" id="{00000000-0008-0000-0F00-000013000000}"/>
            </a:ext>
          </a:extLst>
        </xdr:cNvPr>
        <xdr:cNvSpPr txBox="1"/>
      </xdr:nvSpPr>
      <xdr:spPr>
        <a:xfrm>
          <a:off x="9008973" y="1171575"/>
          <a:ext cx="1316128" cy="418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0" u="none">
              <a:solidFill>
                <a:srgbClr val="398CCC"/>
              </a:solidFill>
              <a:latin typeface="Calibri Light" panose="020F0302020204030204" pitchFamily="34" charset="0"/>
            </a:rPr>
            <a:t>Accepted</a:t>
          </a:r>
          <a:r>
            <a:rPr lang="en-US" sz="1200" b="0" i="0" u="none" baseline="0">
              <a:solidFill>
                <a:srgbClr val="398CCC"/>
              </a:solidFill>
              <a:latin typeface="Calibri Light" panose="020F0302020204030204" pitchFamily="34" charset="0"/>
            </a:rPr>
            <a:t> Offer</a:t>
          </a:r>
          <a:endParaRPr lang="en-US" sz="1200" b="0" i="0" u="none">
            <a:solidFill>
              <a:srgbClr val="398CCC"/>
            </a:solidFill>
            <a:latin typeface="Calibri Light" panose="020F0302020204030204" pitchFamily="34" charset="0"/>
          </a:endParaRPr>
        </a:p>
      </xdr:txBody>
    </xdr:sp>
    <xdr:clientData/>
  </xdr:twoCellAnchor>
  <xdr:twoCellAnchor>
    <xdr:from>
      <xdr:col>54</xdr:col>
      <xdr:colOff>123825</xdr:colOff>
      <xdr:row>9</xdr:row>
      <xdr:rowOff>78439</xdr:rowOff>
    </xdr:from>
    <xdr:to>
      <xdr:col>55</xdr:col>
      <xdr:colOff>157443</xdr:colOff>
      <xdr:row>10</xdr:row>
      <xdr:rowOff>110936</xdr:rowOff>
    </xdr:to>
    <xdr:sp macro="[0]!Offer4_Accepted" textlink="">
      <xdr:nvSpPr>
        <xdr:cNvPr id="21" name="Rectangle 20">
          <a:extLst>
            <a:ext uri="{FF2B5EF4-FFF2-40B4-BE49-F238E27FC236}">
              <a16:creationId xmlns:a16="http://schemas.microsoft.com/office/drawing/2014/main" id="{00000000-0008-0000-0F00-000015000000}"/>
            </a:ext>
          </a:extLst>
        </xdr:cNvPr>
        <xdr:cNvSpPr>
          <a:spLocks noChangeAspect="1"/>
        </xdr:cNvSpPr>
      </xdr:nvSpPr>
      <xdr:spPr>
        <a:xfrm>
          <a:off x="10525125" y="1250014"/>
          <a:ext cx="233643" cy="232522"/>
        </a:xfrm>
        <a:prstGeom prst="rect">
          <a:avLst/>
        </a:prstGeom>
        <a:solidFill>
          <a:schemeClr val="bg1"/>
        </a:solidFill>
        <a:ln>
          <a:solidFill>
            <a:schemeClr val="bg1">
              <a:lumMod val="75000"/>
            </a:schemeClr>
          </a:solid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56</xdr:col>
      <xdr:colOff>36423</xdr:colOff>
      <xdr:row>9</xdr:row>
      <xdr:rowOff>0</xdr:rowOff>
    </xdr:from>
    <xdr:to>
      <xdr:col>62</xdr:col>
      <xdr:colOff>152401</xdr:colOff>
      <xdr:row>11</xdr:row>
      <xdr:rowOff>18488</xdr:rowOff>
    </xdr:to>
    <xdr:sp macro="[0]!Offer4_Accepted" textlink="">
      <xdr:nvSpPr>
        <xdr:cNvPr id="22" name="TextBox 21">
          <a:extLst>
            <a:ext uri="{FF2B5EF4-FFF2-40B4-BE49-F238E27FC236}">
              <a16:creationId xmlns:a16="http://schemas.microsoft.com/office/drawing/2014/main" id="{00000000-0008-0000-0F00-000016000000}"/>
            </a:ext>
          </a:extLst>
        </xdr:cNvPr>
        <xdr:cNvSpPr txBox="1"/>
      </xdr:nvSpPr>
      <xdr:spPr>
        <a:xfrm>
          <a:off x="10837773" y="1171575"/>
          <a:ext cx="1316128" cy="418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0" u="none">
              <a:solidFill>
                <a:srgbClr val="398CCC"/>
              </a:solidFill>
              <a:latin typeface="Calibri Light" panose="020F0302020204030204" pitchFamily="34" charset="0"/>
            </a:rPr>
            <a:t>Accepted Offer</a:t>
          </a:r>
        </a:p>
      </xdr:txBody>
    </xdr:sp>
    <xdr:clientData/>
  </xdr:twoCellAnchor>
  <xdr:twoCellAnchor>
    <xdr:from>
      <xdr:col>63</xdr:col>
      <xdr:colOff>123825</xdr:colOff>
      <xdr:row>9</xdr:row>
      <xdr:rowOff>78439</xdr:rowOff>
    </xdr:from>
    <xdr:to>
      <xdr:col>64</xdr:col>
      <xdr:colOff>157443</xdr:colOff>
      <xdr:row>10</xdr:row>
      <xdr:rowOff>110936</xdr:rowOff>
    </xdr:to>
    <xdr:sp macro="[0]!Offer5_Accepted" textlink="">
      <xdr:nvSpPr>
        <xdr:cNvPr id="23" name="Rectangle 22">
          <a:extLst>
            <a:ext uri="{FF2B5EF4-FFF2-40B4-BE49-F238E27FC236}">
              <a16:creationId xmlns:a16="http://schemas.microsoft.com/office/drawing/2014/main" id="{00000000-0008-0000-0F00-000017000000}"/>
            </a:ext>
          </a:extLst>
        </xdr:cNvPr>
        <xdr:cNvSpPr>
          <a:spLocks noChangeAspect="1"/>
        </xdr:cNvSpPr>
      </xdr:nvSpPr>
      <xdr:spPr>
        <a:xfrm>
          <a:off x="12325350" y="1250014"/>
          <a:ext cx="233643" cy="232522"/>
        </a:xfrm>
        <a:prstGeom prst="rect">
          <a:avLst/>
        </a:prstGeom>
        <a:solidFill>
          <a:schemeClr val="bg1"/>
        </a:solidFill>
        <a:ln>
          <a:solidFill>
            <a:schemeClr val="bg1">
              <a:lumMod val="75000"/>
            </a:schemeClr>
          </a:solid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65</xdr:col>
      <xdr:colOff>36423</xdr:colOff>
      <xdr:row>9</xdr:row>
      <xdr:rowOff>0</xdr:rowOff>
    </xdr:from>
    <xdr:to>
      <xdr:col>71</xdr:col>
      <xdr:colOff>152401</xdr:colOff>
      <xdr:row>11</xdr:row>
      <xdr:rowOff>18488</xdr:rowOff>
    </xdr:to>
    <xdr:sp macro="[0]!Offer5_Accepted" textlink="">
      <xdr:nvSpPr>
        <xdr:cNvPr id="24" name="TextBox 23">
          <a:extLst>
            <a:ext uri="{FF2B5EF4-FFF2-40B4-BE49-F238E27FC236}">
              <a16:creationId xmlns:a16="http://schemas.microsoft.com/office/drawing/2014/main" id="{00000000-0008-0000-0F00-000018000000}"/>
            </a:ext>
          </a:extLst>
        </xdr:cNvPr>
        <xdr:cNvSpPr txBox="1"/>
      </xdr:nvSpPr>
      <xdr:spPr>
        <a:xfrm>
          <a:off x="12637998" y="1171575"/>
          <a:ext cx="1316128" cy="418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0" u="none">
              <a:solidFill>
                <a:srgbClr val="398CCC"/>
              </a:solidFill>
              <a:latin typeface="Calibri Light" panose="020F0302020204030204" pitchFamily="34" charset="0"/>
            </a:rPr>
            <a:t>Accepted Offer</a:t>
          </a:r>
        </a:p>
      </xdr:txBody>
    </xdr:sp>
    <xdr:clientData/>
  </xdr:twoCellAnchor>
  <xdr:twoCellAnchor>
    <xdr:from>
      <xdr:col>18</xdr:col>
      <xdr:colOff>133353</xdr:colOff>
      <xdr:row>9</xdr:row>
      <xdr:rowOff>85725</xdr:rowOff>
    </xdr:from>
    <xdr:to>
      <xdr:col>19</xdr:col>
      <xdr:colOff>167326</xdr:colOff>
      <xdr:row>10</xdr:row>
      <xdr:rowOff>119679</xdr:rowOff>
    </xdr:to>
    <xdr:pic macro="[0]!Baseline_Offer_Accepted">
      <xdr:nvPicPr>
        <xdr:cNvPr id="38" name="Baseline_Offer_Accepted">
          <a:extLst>
            <a:ext uri="{FF2B5EF4-FFF2-40B4-BE49-F238E27FC236}">
              <a16:creationId xmlns:a16="http://schemas.microsoft.com/office/drawing/2014/main" id="{1680FC54-BD86-4B6B-960E-24409FEBE60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533778" y="2276475"/>
          <a:ext cx="233998" cy="233979"/>
        </a:xfrm>
        <a:prstGeom prst="rect">
          <a:avLst/>
        </a:prstGeom>
      </xdr:spPr>
    </xdr:pic>
    <xdr:clientData/>
  </xdr:twoCellAnchor>
  <xdr:twoCellAnchor>
    <xdr:from>
      <xdr:col>27</xdr:col>
      <xdr:colOff>114303</xdr:colOff>
      <xdr:row>9</xdr:row>
      <xdr:rowOff>85725</xdr:rowOff>
    </xdr:from>
    <xdr:to>
      <xdr:col>28</xdr:col>
      <xdr:colOff>148276</xdr:colOff>
      <xdr:row>10</xdr:row>
      <xdr:rowOff>119679</xdr:rowOff>
    </xdr:to>
    <xdr:pic>
      <xdr:nvPicPr>
        <xdr:cNvPr id="39" name="Offer1_Accepted" hidden="1">
          <a:extLst>
            <a:ext uri="{FF2B5EF4-FFF2-40B4-BE49-F238E27FC236}">
              <a16:creationId xmlns:a16="http://schemas.microsoft.com/office/drawing/2014/main" id="{8E9E802C-BC49-431A-AD86-E9CAEB8EFCE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314953" y="2276475"/>
          <a:ext cx="233998" cy="233979"/>
        </a:xfrm>
        <a:prstGeom prst="rect">
          <a:avLst/>
        </a:prstGeom>
      </xdr:spPr>
    </xdr:pic>
    <xdr:clientData/>
  </xdr:twoCellAnchor>
  <xdr:twoCellAnchor>
    <xdr:from>
      <xdr:col>36</xdr:col>
      <xdr:colOff>114300</xdr:colOff>
      <xdr:row>9</xdr:row>
      <xdr:rowOff>76200</xdr:rowOff>
    </xdr:from>
    <xdr:to>
      <xdr:col>37</xdr:col>
      <xdr:colOff>148273</xdr:colOff>
      <xdr:row>10</xdr:row>
      <xdr:rowOff>110154</xdr:rowOff>
    </xdr:to>
    <xdr:pic>
      <xdr:nvPicPr>
        <xdr:cNvPr id="40" name="Offer2_Accepted" hidden="1">
          <a:extLst>
            <a:ext uri="{FF2B5EF4-FFF2-40B4-BE49-F238E27FC236}">
              <a16:creationId xmlns:a16="http://schemas.microsoft.com/office/drawing/2014/main" id="{C6F5B4F7-0447-4D83-94F2-63F967CEE8B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115175" y="2266950"/>
          <a:ext cx="233998" cy="233979"/>
        </a:xfrm>
        <a:prstGeom prst="rect">
          <a:avLst/>
        </a:prstGeom>
      </xdr:spPr>
    </xdr:pic>
    <xdr:clientData/>
  </xdr:twoCellAnchor>
  <xdr:twoCellAnchor>
    <xdr:from>
      <xdr:col>45</xdr:col>
      <xdr:colOff>104775</xdr:colOff>
      <xdr:row>9</xdr:row>
      <xdr:rowOff>85725</xdr:rowOff>
    </xdr:from>
    <xdr:to>
      <xdr:col>46</xdr:col>
      <xdr:colOff>138748</xdr:colOff>
      <xdr:row>10</xdr:row>
      <xdr:rowOff>119679</xdr:rowOff>
    </xdr:to>
    <xdr:pic>
      <xdr:nvPicPr>
        <xdr:cNvPr id="41" name="Offer3_Accepted" hidden="1">
          <a:extLst>
            <a:ext uri="{FF2B5EF4-FFF2-40B4-BE49-F238E27FC236}">
              <a16:creationId xmlns:a16="http://schemas.microsoft.com/office/drawing/2014/main" id="{646CF21A-388E-4483-8AB2-096EA043674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905875" y="2276475"/>
          <a:ext cx="233998" cy="233979"/>
        </a:xfrm>
        <a:prstGeom prst="rect">
          <a:avLst/>
        </a:prstGeom>
      </xdr:spPr>
    </xdr:pic>
    <xdr:clientData/>
  </xdr:twoCellAnchor>
  <xdr:twoCellAnchor>
    <xdr:from>
      <xdr:col>54</xdr:col>
      <xdr:colOff>133350</xdr:colOff>
      <xdr:row>9</xdr:row>
      <xdr:rowOff>76200</xdr:rowOff>
    </xdr:from>
    <xdr:to>
      <xdr:col>55</xdr:col>
      <xdr:colOff>167323</xdr:colOff>
      <xdr:row>10</xdr:row>
      <xdr:rowOff>110154</xdr:rowOff>
    </xdr:to>
    <xdr:pic>
      <xdr:nvPicPr>
        <xdr:cNvPr id="42" name="Offer4_Accepted" hidden="1">
          <a:extLst>
            <a:ext uri="{FF2B5EF4-FFF2-40B4-BE49-F238E27FC236}">
              <a16:creationId xmlns:a16="http://schemas.microsoft.com/office/drawing/2014/main" id="{AA4B4FB9-8C64-4CC1-9D77-8B83557E5C2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734675" y="2266950"/>
          <a:ext cx="233998" cy="233979"/>
        </a:xfrm>
        <a:prstGeom prst="rect">
          <a:avLst/>
        </a:prstGeom>
      </xdr:spPr>
    </xdr:pic>
    <xdr:clientData/>
  </xdr:twoCellAnchor>
  <xdr:twoCellAnchor>
    <xdr:from>
      <xdr:col>63</xdr:col>
      <xdr:colOff>133350</xdr:colOff>
      <xdr:row>9</xdr:row>
      <xdr:rowOff>85725</xdr:rowOff>
    </xdr:from>
    <xdr:to>
      <xdr:col>64</xdr:col>
      <xdr:colOff>167323</xdr:colOff>
      <xdr:row>10</xdr:row>
      <xdr:rowOff>119679</xdr:rowOff>
    </xdr:to>
    <xdr:pic>
      <xdr:nvPicPr>
        <xdr:cNvPr id="43" name="Offer5_Accepted" hidden="1">
          <a:extLst>
            <a:ext uri="{FF2B5EF4-FFF2-40B4-BE49-F238E27FC236}">
              <a16:creationId xmlns:a16="http://schemas.microsoft.com/office/drawing/2014/main" id="{BF9587A8-BDB6-48BE-BE56-FF358AC077F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534900" y="2276475"/>
          <a:ext cx="233998" cy="233979"/>
        </a:xfrm>
        <a:prstGeom prst="rect">
          <a:avLst/>
        </a:prstGeom>
      </xdr:spPr>
    </xdr:pic>
    <xdr:clientData/>
  </xdr:twoCellAnchor>
  <xdr:twoCellAnchor editAs="oneCell">
    <xdr:from>
      <xdr:col>0</xdr:col>
      <xdr:colOff>114300</xdr:colOff>
      <xdr:row>1</xdr:row>
      <xdr:rowOff>85725</xdr:rowOff>
    </xdr:from>
    <xdr:to>
      <xdr:col>1</xdr:col>
      <xdr:colOff>188595</xdr:colOff>
      <xdr:row>2</xdr:row>
      <xdr:rowOff>264795</xdr:rowOff>
    </xdr:to>
    <xdr:pic macro="[0]!Key_Rehab_Analyzer_Calculator">
      <xdr:nvPicPr>
        <xdr:cNvPr id="46" name="Rehab_Analyzer_Unlock_Icon" hidden="1">
          <a:extLst>
            <a:ext uri="{FF2B5EF4-FFF2-40B4-BE49-F238E27FC236}">
              <a16:creationId xmlns:a16="http://schemas.microsoft.com/office/drawing/2014/main" id="{BF39EFC5-8FFD-4C4D-8999-F7DEC511C91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4300" y="657225"/>
          <a:ext cx="274320" cy="274320"/>
        </a:xfrm>
        <a:prstGeom prst="rect">
          <a:avLst/>
        </a:prstGeom>
      </xdr:spPr>
    </xdr:pic>
    <xdr:clientData/>
  </xdr:twoCellAnchor>
  <xdr:twoCellAnchor editAs="absolute">
    <xdr:from>
      <xdr:col>62</xdr:col>
      <xdr:colOff>37042</xdr:colOff>
      <xdr:row>0</xdr:row>
      <xdr:rowOff>151548</xdr:rowOff>
    </xdr:from>
    <xdr:to>
      <xdr:col>63</xdr:col>
      <xdr:colOff>115152</xdr:colOff>
      <xdr:row>0</xdr:row>
      <xdr:rowOff>426932</xdr:rowOff>
    </xdr:to>
    <xdr:pic macro="[0]!Hide_Offer_Tracker">
      <xdr:nvPicPr>
        <xdr:cNvPr id="56" name="Picture 55">
          <a:extLst>
            <a:ext uri="{FF2B5EF4-FFF2-40B4-BE49-F238E27FC236}">
              <a16:creationId xmlns:a16="http://schemas.microsoft.com/office/drawing/2014/main" id="{93E36880-FE81-468A-8A46-4561407E0022}"/>
            </a:ext>
          </a:extLst>
        </xdr:cNvPr>
        <xdr:cNvPicPr>
          <a:picLocks noChangeAspect="1"/>
        </xdr:cNvPicPr>
      </xdr:nvPicPr>
      <xdr:blipFill>
        <a:blip xmlns:r="http://schemas.openxmlformats.org/officeDocument/2006/relationships" r:embed="rId3"/>
        <a:stretch>
          <a:fillRect/>
        </a:stretch>
      </xdr:blipFill>
      <xdr:spPr>
        <a:xfrm>
          <a:off x="12438592" y="151548"/>
          <a:ext cx="278135" cy="275384"/>
        </a:xfrm>
        <a:prstGeom prst="rect">
          <a:avLst/>
        </a:prstGeom>
      </xdr:spPr>
    </xdr:pic>
    <xdr:clientData/>
  </xdr:twoCellAnchor>
  <xdr:twoCellAnchor editAs="absolute">
    <xdr:from>
      <xdr:col>47</xdr:col>
      <xdr:colOff>55890</xdr:colOff>
      <xdr:row>0</xdr:row>
      <xdr:rowOff>0</xdr:rowOff>
    </xdr:from>
    <xdr:to>
      <xdr:col>55</xdr:col>
      <xdr:colOff>151554</xdr:colOff>
      <xdr:row>0</xdr:row>
      <xdr:rowOff>559859</xdr:rowOff>
    </xdr:to>
    <xdr:sp macro="[0]!Navigate_Reporting" textlink="">
      <xdr:nvSpPr>
        <xdr:cNvPr id="34" name="TextBox 33">
          <a:extLst>
            <a:ext uri="{FF2B5EF4-FFF2-40B4-BE49-F238E27FC236}">
              <a16:creationId xmlns:a16="http://schemas.microsoft.com/office/drawing/2014/main" id="{877C7D0D-D749-46A7-B587-D213A0020897}"/>
            </a:ext>
          </a:extLst>
        </xdr:cNvPr>
        <xdr:cNvSpPr txBox="1">
          <a:spLocks noChangeAspect="1"/>
        </xdr:cNvSpPr>
      </xdr:nvSpPr>
      <xdr:spPr>
        <a:xfrm>
          <a:off x="9457065" y="0"/>
          <a:ext cx="1695864" cy="559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30</xdr:col>
      <xdr:colOff>27527</xdr:colOff>
      <xdr:row>0</xdr:row>
      <xdr:rowOff>1</xdr:rowOff>
    </xdr:from>
    <xdr:to>
      <xdr:col>38</xdr:col>
      <xdr:colOff>125306</xdr:colOff>
      <xdr:row>0</xdr:row>
      <xdr:rowOff>559859</xdr:rowOff>
    </xdr:to>
    <xdr:sp macro="[0]!Navigate_Rehab_Analyzer" textlink="">
      <xdr:nvSpPr>
        <xdr:cNvPr id="35" name="TextBox 34">
          <a:extLst>
            <a:ext uri="{FF2B5EF4-FFF2-40B4-BE49-F238E27FC236}">
              <a16:creationId xmlns:a16="http://schemas.microsoft.com/office/drawing/2014/main" id="{7B302EBA-9DEF-4977-91F4-97E28F53FC96}"/>
            </a:ext>
          </a:extLst>
        </xdr:cNvPr>
        <xdr:cNvSpPr txBox="1">
          <a:spLocks noChangeAspect="1"/>
        </xdr:cNvSpPr>
      </xdr:nvSpPr>
      <xdr:spPr>
        <a:xfrm>
          <a:off x="6028277" y="1"/>
          <a:ext cx="1697979" cy="559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38</xdr:col>
      <xdr:colOff>142452</xdr:colOff>
      <xdr:row>0</xdr:row>
      <xdr:rowOff>0</xdr:rowOff>
    </xdr:from>
    <xdr:to>
      <xdr:col>47</xdr:col>
      <xdr:colOff>27527</xdr:colOff>
      <xdr:row>0</xdr:row>
      <xdr:rowOff>559859</xdr:rowOff>
    </xdr:to>
    <xdr:sp macro="[0]!Navigate_Repair_Estimator" textlink="">
      <xdr:nvSpPr>
        <xdr:cNvPr id="36" name="TextBox 35">
          <a:extLst>
            <a:ext uri="{FF2B5EF4-FFF2-40B4-BE49-F238E27FC236}">
              <a16:creationId xmlns:a16="http://schemas.microsoft.com/office/drawing/2014/main" id="{323D64F6-458B-431F-ABEE-D3638CA158C4}"/>
            </a:ext>
          </a:extLst>
        </xdr:cNvPr>
        <xdr:cNvSpPr txBox="1">
          <a:spLocks noChangeAspect="1"/>
        </xdr:cNvSpPr>
      </xdr:nvSpPr>
      <xdr:spPr>
        <a:xfrm>
          <a:off x="7743402" y="0"/>
          <a:ext cx="1685300" cy="559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21</xdr:col>
      <xdr:colOff>131853</xdr:colOff>
      <xdr:row>0</xdr:row>
      <xdr:rowOff>0</xdr:rowOff>
    </xdr:from>
    <xdr:to>
      <xdr:col>30</xdr:col>
      <xdr:colOff>19684</xdr:colOff>
      <xdr:row>0</xdr:row>
      <xdr:rowOff>559859</xdr:rowOff>
    </xdr:to>
    <xdr:sp macro="[0]!Navigate_Home" textlink="">
      <xdr:nvSpPr>
        <xdr:cNvPr id="37" name="TextBox 36">
          <a:extLst>
            <a:ext uri="{FF2B5EF4-FFF2-40B4-BE49-F238E27FC236}">
              <a16:creationId xmlns:a16="http://schemas.microsoft.com/office/drawing/2014/main" id="{C490E81C-E3B2-4BB0-AC5B-62946714B4BD}"/>
            </a:ext>
          </a:extLst>
        </xdr:cNvPr>
        <xdr:cNvSpPr txBox="1">
          <a:spLocks noChangeAspect="1"/>
        </xdr:cNvSpPr>
      </xdr:nvSpPr>
      <xdr:spPr>
        <a:xfrm>
          <a:off x="4332378" y="0"/>
          <a:ext cx="1688056" cy="559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59</xdr:col>
      <xdr:colOff>160232</xdr:colOff>
      <xdr:row>0</xdr:row>
      <xdr:rowOff>153469</xdr:rowOff>
    </xdr:from>
    <xdr:to>
      <xdr:col>61</xdr:col>
      <xdr:colOff>29980</xdr:colOff>
      <xdr:row>0</xdr:row>
      <xdr:rowOff>426719</xdr:rowOff>
    </xdr:to>
    <xdr:pic>
      <xdr:nvPicPr>
        <xdr:cNvPr id="54" name="Picture 53" title="Help">
          <a:hlinkClick xmlns:r="http://schemas.openxmlformats.org/officeDocument/2006/relationships" r:id="rId4"/>
          <a:extLst>
            <a:ext uri="{FF2B5EF4-FFF2-40B4-BE49-F238E27FC236}">
              <a16:creationId xmlns:a16="http://schemas.microsoft.com/office/drawing/2014/main" id="{01C452D9-4680-4425-954B-1974C939847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961707" y="153469"/>
          <a:ext cx="269798" cy="273250"/>
        </a:xfrm>
        <a:prstGeom prst="rect">
          <a:avLst/>
        </a:prstGeom>
      </xdr:spPr>
    </xdr:pic>
    <xdr:clientData/>
  </xdr:twoCellAnchor>
  <xdr:twoCellAnchor editAs="absolute">
    <xdr:from>
      <xdr:col>57</xdr:col>
      <xdr:colOff>7832</xdr:colOff>
      <xdr:row>0</xdr:row>
      <xdr:rowOff>152516</xdr:rowOff>
    </xdr:from>
    <xdr:to>
      <xdr:col>58</xdr:col>
      <xdr:colOff>95675</xdr:colOff>
      <xdr:row>0</xdr:row>
      <xdr:rowOff>426824</xdr:rowOff>
    </xdr:to>
    <xdr:pic macro="[0]!Navigate_Info_Sheet">
      <xdr:nvPicPr>
        <xdr:cNvPr id="57" name="Picture 56">
          <a:extLst>
            <a:ext uri="{FF2B5EF4-FFF2-40B4-BE49-F238E27FC236}">
              <a16:creationId xmlns:a16="http://schemas.microsoft.com/office/drawing/2014/main" id="{BB210C77-5846-4E52-9B1E-64380C8A8AD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409257" y="152516"/>
          <a:ext cx="287868" cy="274308"/>
        </a:xfrm>
        <a:prstGeom prst="rect">
          <a:avLst/>
        </a:prstGeom>
      </xdr:spPr>
    </xdr:pic>
    <xdr:clientData/>
  </xdr:twoCellAnchor>
  <xdr:twoCellAnchor editAs="absolute">
    <xdr:from>
      <xdr:col>0</xdr:col>
      <xdr:colOff>0</xdr:colOff>
      <xdr:row>0</xdr:row>
      <xdr:rowOff>0</xdr:rowOff>
    </xdr:from>
    <xdr:to>
      <xdr:col>8</xdr:col>
      <xdr:colOff>67747</xdr:colOff>
      <xdr:row>0</xdr:row>
      <xdr:rowOff>561764</xdr:rowOff>
    </xdr:to>
    <xdr:sp macro="" textlink="">
      <xdr:nvSpPr>
        <xdr:cNvPr id="58" name="TextBox 57">
          <a:extLst>
            <a:ext uri="{FF2B5EF4-FFF2-40B4-BE49-F238E27FC236}">
              <a16:creationId xmlns:a16="http://schemas.microsoft.com/office/drawing/2014/main" id="{8873C7D9-7813-48E9-98DB-F3A3924093FC}"/>
            </a:ext>
          </a:extLst>
        </xdr:cNvPr>
        <xdr:cNvSpPr txBox="1">
          <a:spLocks noChangeAspect="1"/>
        </xdr:cNvSpPr>
      </xdr:nvSpPr>
      <xdr:spPr>
        <a:xfrm>
          <a:off x="0" y="0"/>
          <a:ext cx="1667947" cy="561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63</xdr:col>
      <xdr:colOff>110068</xdr:colOff>
      <xdr:row>1</xdr:row>
      <xdr:rowOff>85725</xdr:rowOff>
    </xdr:from>
    <xdr:to>
      <xdr:col>74</xdr:col>
      <xdr:colOff>104775</xdr:colOff>
      <xdr:row>1</xdr:row>
      <xdr:rowOff>390524</xdr:rowOff>
    </xdr:to>
    <xdr:sp macro="[0]!Navigate_Comparables_Reports" textlink="">
      <xdr:nvSpPr>
        <xdr:cNvPr id="13" name="TextBox 12">
          <a:extLst>
            <a:ext uri="{FF2B5EF4-FFF2-40B4-BE49-F238E27FC236}">
              <a16:creationId xmlns:a16="http://schemas.microsoft.com/office/drawing/2014/main" id="{F1FECDBA-10C2-4639-99FB-C0EC363253F4}"/>
            </a:ext>
          </a:extLst>
        </xdr:cNvPr>
        <xdr:cNvSpPr txBox="1"/>
      </xdr:nvSpPr>
      <xdr:spPr>
        <a:xfrm>
          <a:off x="12711643" y="657225"/>
          <a:ext cx="2194982" cy="304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0" u="none">
              <a:solidFill>
                <a:srgbClr val="289FE8"/>
              </a:solidFill>
              <a:latin typeface="Calibri Light" panose="020F0302020204030204" pitchFamily="34" charset="0"/>
            </a:rPr>
            <a:t>Print Comparables Report</a:t>
          </a:r>
        </a:p>
      </xdr:txBody>
    </xdr:sp>
    <xdr:clientData/>
  </xdr:twoCellAnchor>
  <xdr:twoCellAnchor editAs="oneCell">
    <xdr:from>
      <xdr:col>63</xdr:col>
      <xdr:colOff>90488</xdr:colOff>
      <xdr:row>1</xdr:row>
      <xdr:rowOff>124882</xdr:rowOff>
    </xdr:from>
    <xdr:to>
      <xdr:col>64</xdr:col>
      <xdr:colOff>120121</xdr:colOff>
      <xdr:row>1</xdr:row>
      <xdr:rowOff>354540</xdr:rowOff>
    </xdr:to>
    <xdr:pic macro="[0]!Navigate_Comparables_Reports">
      <xdr:nvPicPr>
        <xdr:cNvPr id="14" name="Picture 13">
          <a:extLst>
            <a:ext uri="{FF2B5EF4-FFF2-40B4-BE49-F238E27FC236}">
              <a16:creationId xmlns:a16="http://schemas.microsoft.com/office/drawing/2014/main" id="{B6A1BD18-1ECA-4E44-9520-C96967542855}"/>
            </a:ext>
          </a:extLst>
        </xdr:cNvPr>
        <xdr:cNvPicPr>
          <a:picLocks noChangeAspect="1"/>
        </xdr:cNvPicPr>
      </xdr:nvPicPr>
      <xdr:blipFill>
        <a:blip xmlns:r="http://schemas.openxmlformats.org/officeDocument/2006/relationships" r:embed="rId1"/>
        <a:stretch>
          <a:fillRect/>
        </a:stretch>
      </xdr:blipFill>
      <xdr:spPr>
        <a:xfrm>
          <a:off x="12692063" y="696382"/>
          <a:ext cx="229658" cy="229658"/>
        </a:xfrm>
        <a:prstGeom prst="rect">
          <a:avLst/>
        </a:prstGeom>
      </xdr:spPr>
    </xdr:pic>
    <xdr:clientData/>
  </xdr:twoCellAnchor>
  <xdr:twoCellAnchor editAs="absolute">
    <xdr:from>
      <xdr:col>62</xdr:col>
      <xdr:colOff>104775</xdr:colOff>
      <xdr:row>0</xdr:row>
      <xdr:rowOff>162136</xdr:rowOff>
    </xdr:from>
    <xdr:to>
      <xdr:col>63</xdr:col>
      <xdr:colOff>180764</xdr:colOff>
      <xdr:row>0</xdr:row>
      <xdr:rowOff>438574</xdr:rowOff>
    </xdr:to>
    <xdr:pic macro="[0]!Hide_Comps">
      <xdr:nvPicPr>
        <xdr:cNvPr id="24" name="Picture 23">
          <a:extLst>
            <a:ext uri="{FF2B5EF4-FFF2-40B4-BE49-F238E27FC236}">
              <a16:creationId xmlns:a16="http://schemas.microsoft.com/office/drawing/2014/main" id="{E77C0D94-F281-4C6F-85EC-195CF5C1FF34}"/>
            </a:ext>
          </a:extLst>
        </xdr:cNvPr>
        <xdr:cNvPicPr>
          <a:picLocks noChangeAspect="1"/>
        </xdr:cNvPicPr>
      </xdr:nvPicPr>
      <xdr:blipFill>
        <a:blip xmlns:r="http://schemas.openxmlformats.org/officeDocument/2006/relationships" r:embed="rId2"/>
        <a:stretch>
          <a:fillRect/>
        </a:stretch>
      </xdr:blipFill>
      <xdr:spPr>
        <a:xfrm>
          <a:off x="12506325" y="162136"/>
          <a:ext cx="276014" cy="276438"/>
        </a:xfrm>
        <a:prstGeom prst="rect">
          <a:avLst/>
        </a:prstGeom>
      </xdr:spPr>
    </xdr:pic>
    <xdr:clientData/>
  </xdr:twoCellAnchor>
  <xdr:twoCellAnchor editAs="absolute">
    <xdr:from>
      <xdr:col>47</xdr:col>
      <xdr:colOff>55890</xdr:colOff>
      <xdr:row>0</xdr:row>
      <xdr:rowOff>0</xdr:rowOff>
    </xdr:from>
    <xdr:to>
      <xdr:col>55</xdr:col>
      <xdr:colOff>151554</xdr:colOff>
      <xdr:row>0</xdr:row>
      <xdr:rowOff>559859</xdr:rowOff>
    </xdr:to>
    <xdr:sp macro="[0]!Navigate_Reporting" textlink="">
      <xdr:nvSpPr>
        <xdr:cNvPr id="25" name="TextBox 24">
          <a:extLst>
            <a:ext uri="{FF2B5EF4-FFF2-40B4-BE49-F238E27FC236}">
              <a16:creationId xmlns:a16="http://schemas.microsoft.com/office/drawing/2014/main" id="{752A4D2D-79FB-4310-94DF-FE58FA5DE8DB}"/>
            </a:ext>
          </a:extLst>
        </xdr:cNvPr>
        <xdr:cNvSpPr txBox="1">
          <a:spLocks noChangeAspect="1"/>
        </xdr:cNvSpPr>
      </xdr:nvSpPr>
      <xdr:spPr>
        <a:xfrm>
          <a:off x="9457065" y="0"/>
          <a:ext cx="1695864" cy="559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30</xdr:col>
      <xdr:colOff>27527</xdr:colOff>
      <xdr:row>0</xdr:row>
      <xdr:rowOff>1</xdr:rowOff>
    </xdr:from>
    <xdr:to>
      <xdr:col>38</xdr:col>
      <xdr:colOff>125306</xdr:colOff>
      <xdr:row>0</xdr:row>
      <xdr:rowOff>559859</xdr:rowOff>
    </xdr:to>
    <xdr:sp macro="[0]!Navigate_Rehab_Analyzer" textlink="">
      <xdr:nvSpPr>
        <xdr:cNvPr id="26" name="TextBox 25">
          <a:extLst>
            <a:ext uri="{FF2B5EF4-FFF2-40B4-BE49-F238E27FC236}">
              <a16:creationId xmlns:a16="http://schemas.microsoft.com/office/drawing/2014/main" id="{FC0E0191-057D-45F8-9E22-298B0101BD10}"/>
            </a:ext>
          </a:extLst>
        </xdr:cNvPr>
        <xdr:cNvSpPr txBox="1">
          <a:spLocks noChangeAspect="1"/>
        </xdr:cNvSpPr>
      </xdr:nvSpPr>
      <xdr:spPr>
        <a:xfrm>
          <a:off x="6028277" y="1"/>
          <a:ext cx="1697979" cy="559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38</xdr:col>
      <xdr:colOff>142452</xdr:colOff>
      <xdr:row>0</xdr:row>
      <xdr:rowOff>0</xdr:rowOff>
    </xdr:from>
    <xdr:to>
      <xdr:col>47</xdr:col>
      <xdr:colOff>27527</xdr:colOff>
      <xdr:row>0</xdr:row>
      <xdr:rowOff>559859</xdr:rowOff>
    </xdr:to>
    <xdr:sp macro="[0]!Navigate_Repair_Estimator" textlink="">
      <xdr:nvSpPr>
        <xdr:cNvPr id="27" name="TextBox 26">
          <a:extLst>
            <a:ext uri="{FF2B5EF4-FFF2-40B4-BE49-F238E27FC236}">
              <a16:creationId xmlns:a16="http://schemas.microsoft.com/office/drawing/2014/main" id="{C2A6064E-F88B-4704-8FC8-2A1B6DEAFC8B}"/>
            </a:ext>
          </a:extLst>
        </xdr:cNvPr>
        <xdr:cNvSpPr txBox="1">
          <a:spLocks noChangeAspect="1"/>
        </xdr:cNvSpPr>
      </xdr:nvSpPr>
      <xdr:spPr>
        <a:xfrm>
          <a:off x="7743402" y="0"/>
          <a:ext cx="1685300" cy="559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21</xdr:col>
      <xdr:colOff>131853</xdr:colOff>
      <xdr:row>0</xdr:row>
      <xdr:rowOff>0</xdr:rowOff>
    </xdr:from>
    <xdr:to>
      <xdr:col>30</xdr:col>
      <xdr:colOff>19684</xdr:colOff>
      <xdr:row>0</xdr:row>
      <xdr:rowOff>559859</xdr:rowOff>
    </xdr:to>
    <xdr:sp macro="[0]!Navigate_Home" textlink="">
      <xdr:nvSpPr>
        <xdr:cNvPr id="28" name="TextBox 27">
          <a:extLst>
            <a:ext uri="{FF2B5EF4-FFF2-40B4-BE49-F238E27FC236}">
              <a16:creationId xmlns:a16="http://schemas.microsoft.com/office/drawing/2014/main" id="{74D98BC1-8D81-4EDF-904D-592457F6ADD8}"/>
            </a:ext>
          </a:extLst>
        </xdr:cNvPr>
        <xdr:cNvSpPr txBox="1">
          <a:spLocks noChangeAspect="1"/>
        </xdr:cNvSpPr>
      </xdr:nvSpPr>
      <xdr:spPr>
        <a:xfrm>
          <a:off x="4332378" y="0"/>
          <a:ext cx="1688056" cy="559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59</xdr:col>
      <xdr:colOff>160232</xdr:colOff>
      <xdr:row>0</xdr:row>
      <xdr:rowOff>153469</xdr:rowOff>
    </xdr:from>
    <xdr:to>
      <xdr:col>61</xdr:col>
      <xdr:colOff>29980</xdr:colOff>
      <xdr:row>0</xdr:row>
      <xdr:rowOff>426719</xdr:rowOff>
    </xdr:to>
    <xdr:pic>
      <xdr:nvPicPr>
        <xdr:cNvPr id="29" name="Picture 28" title="Help">
          <a:hlinkClick xmlns:r="http://schemas.openxmlformats.org/officeDocument/2006/relationships" r:id="rId3"/>
          <a:extLst>
            <a:ext uri="{FF2B5EF4-FFF2-40B4-BE49-F238E27FC236}">
              <a16:creationId xmlns:a16="http://schemas.microsoft.com/office/drawing/2014/main" id="{C8CA8AD8-23D5-474F-BF0D-98833E9A4D6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961707" y="153469"/>
          <a:ext cx="269798" cy="273250"/>
        </a:xfrm>
        <a:prstGeom prst="rect">
          <a:avLst/>
        </a:prstGeom>
      </xdr:spPr>
    </xdr:pic>
    <xdr:clientData/>
  </xdr:twoCellAnchor>
  <xdr:twoCellAnchor editAs="absolute">
    <xdr:from>
      <xdr:col>57</xdr:col>
      <xdr:colOff>7832</xdr:colOff>
      <xdr:row>0</xdr:row>
      <xdr:rowOff>152516</xdr:rowOff>
    </xdr:from>
    <xdr:to>
      <xdr:col>58</xdr:col>
      <xdr:colOff>95675</xdr:colOff>
      <xdr:row>0</xdr:row>
      <xdr:rowOff>426824</xdr:rowOff>
    </xdr:to>
    <xdr:pic macro="[0]!Navigate_Info_Sheet">
      <xdr:nvPicPr>
        <xdr:cNvPr id="30" name="Picture 29">
          <a:extLst>
            <a:ext uri="{FF2B5EF4-FFF2-40B4-BE49-F238E27FC236}">
              <a16:creationId xmlns:a16="http://schemas.microsoft.com/office/drawing/2014/main" id="{5B7803E6-C07F-4C7F-9223-FA56DD107661}"/>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409257" y="152516"/>
          <a:ext cx="287868" cy="274308"/>
        </a:xfrm>
        <a:prstGeom prst="rect">
          <a:avLst/>
        </a:prstGeom>
      </xdr:spPr>
    </xdr:pic>
    <xdr:clientData/>
  </xdr:twoCellAnchor>
  <xdr:twoCellAnchor editAs="absolute">
    <xdr:from>
      <xdr:col>0</xdr:col>
      <xdr:colOff>0</xdr:colOff>
      <xdr:row>0</xdr:row>
      <xdr:rowOff>0</xdr:rowOff>
    </xdr:from>
    <xdr:to>
      <xdr:col>8</xdr:col>
      <xdr:colOff>67747</xdr:colOff>
      <xdr:row>0</xdr:row>
      <xdr:rowOff>561764</xdr:rowOff>
    </xdr:to>
    <xdr:sp macro="" textlink="">
      <xdr:nvSpPr>
        <xdr:cNvPr id="31" name="TextBox 30">
          <a:extLst>
            <a:ext uri="{FF2B5EF4-FFF2-40B4-BE49-F238E27FC236}">
              <a16:creationId xmlns:a16="http://schemas.microsoft.com/office/drawing/2014/main" id="{52E8C040-1CF1-4907-B6EB-800A28528558}"/>
            </a:ext>
          </a:extLst>
        </xdr:cNvPr>
        <xdr:cNvSpPr txBox="1">
          <a:spLocks noChangeAspect="1"/>
        </xdr:cNvSpPr>
      </xdr:nvSpPr>
      <xdr:spPr>
        <a:xfrm>
          <a:off x="0" y="0"/>
          <a:ext cx="1667947" cy="561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65</xdr:col>
      <xdr:colOff>152400</xdr:colOff>
      <xdr:row>23</xdr:row>
      <xdr:rowOff>76200</xdr:rowOff>
    </xdr:from>
    <xdr:to>
      <xdr:col>82</xdr:col>
      <xdr:colOff>49306</xdr:colOff>
      <xdr:row>48</xdr:row>
      <xdr:rowOff>60512</xdr:rowOff>
    </xdr:to>
    <xdr:graphicFrame macro="">
      <xdr:nvGraphicFramePr>
        <xdr:cNvPr id="19" name="Chart 18">
          <a:extLst>
            <a:ext uri="{FF2B5EF4-FFF2-40B4-BE49-F238E27FC236}">
              <a16:creationId xmlns:a16="http://schemas.microsoft.com/office/drawing/2014/main" id="{00000000-0008-0000-1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66</xdr:col>
      <xdr:colOff>150898</xdr:colOff>
      <xdr:row>6</xdr:row>
      <xdr:rowOff>25166</xdr:rowOff>
    </xdr:from>
    <xdr:to>
      <xdr:col>69</xdr:col>
      <xdr:colOff>150898</xdr:colOff>
      <xdr:row>8</xdr:row>
      <xdr:rowOff>49228</xdr:rowOff>
    </xdr:to>
    <xdr:sp macro="[0]!Wholesale_Calculator_Rehabber_Profit_5" textlink="">
      <xdr:nvSpPr>
        <xdr:cNvPr id="45" name="Rounded Rectangle 44">
          <a:extLst>
            <a:ext uri="{FF2B5EF4-FFF2-40B4-BE49-F238E27FC236}">
              <a16:creationId xmlns:a16="http://schemas.microsoft.com/office/drawing/2014/main" id="{00000000-0008-0000-1100-00002D000000}"/>
            </a:ext>
          </a:extLst>
        </xdr:cNvPr>
        <xdr:cNvSpPr/>
      </xdr:nvSpPr>
      <xdr:spPr>
        <a:xfrm>
          <a:off x="11638048" y="1444391"/>
          <a:ext cx="457200" cy="19551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5%</a:t>
          </a:r>
        </a:p>
      </xdr:txBody>
    </xdr:sp>
    <xdr:clientData/>
  </xdr:twoCellAnchor>
  <xdr:twoCellAnchor>
    <xdr:from>
      <xdr:col>70</xdr:col>
      <xdr:colOff>57152</xdr:colOff>
      <xdr:row>6</xdr:row>
      <xdr:rowOff>25166</xdr:rowOff>
    </xdr:from>
    <xdr:to>
      <xdr:col>73</xdr:col>
      <xdr:colOff>57152</xdr:colOff>
      <xdr:row>8</xdr:row>
      <xdr:rowOff>49228</xdr:rowOff>
    </xdr:to>
    <xdr:sp macro="[0]!Wholesale_Calculator_Rehabber_Profit_10" textlink="">
      <xdr:nvSpPr>
        <xdr:cNvPr id="46" name="Rounded Rectangle 45">
          <a:extLst>
            <a:ext uri="{FF2B5EF4-FFF2-40B4-BE49-F238E27FC236}">
              <a16:creationId xmlns:a16="http://schemas.microsoft.com/office/drawing/2014/main" id="{00000000-0008-0000-1100-00002E000000}"/>
            </a:ext>
          </a:extLst>
        </xdr:cNvPr>
        <xdr:cNvSpPr/>
      </xdr:nvSpPr>
      <xdr:spPr>
        <a:xfrm>
          <a:off x="12153902" y="1444391"/>
          <a:ext cx="457200" cy="19551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10%</a:t>
          </a:r>
        </a:p>
      </xdr:txBody>
    </xdr:sp>
    <xdr:clientData/>
  </xdr:twoCellAnchor>
  <xdr:twoCellAnchor>
    <xdr:from>
      <xdr:col>73</xdr:col>
      <xdr:colOff>114301</xdr:colOff>
      <xdr:row>6</xdr:row>
      <xdr:rowOff>25166</xdr:rowOff>
    </xdr:from>
    <xdr:to>
      <xdr:col>76</xdr:col>
      <xdr:colOff>114301</xdr:colOff>
      <xdr:row>8</xdr:row>
      <xdr:rowOff>49228</xdr:rowOff>
    </xdr:to>
    <xdr:sp macro="[0]!Wholesale_Calculator_Rehabber_Profit_15" textlink="">
      <xdr:nvSpPr>
        <xdr:cNvPr id="47" name="Rounded Rectangle 46">
          <a:extLst>
            <a:ext uri="{FF2B5EF4-FFF2-40B4-BE49-F238E27FC236}">
              <a16:creationId xmlns:a16="http://schemas.microsoft.com/office/drawing/2014/main" id="{00000000-0008-0000-1100-00002F000000}"/>
            </a:ext>
          </a:extLst>
        </xdr:cNvPr>
        <xdr:cNvSpPr/>
      </xdr:nvSpPr>
      <xdr:spPr>
        <a:xfrm>
          <a:off x="12668251" y="1444391"/>
          <a:ext cx="457200" cy="19551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15%</a:t>
          </a:r>
        </a:p>
      </xdr:txBody>
    </xdr:sp>
    <xdr:clientData/>
  </xdr:twoCellAnchor>
  <xdr:twoCellAnchor>
    <xdr:from>
      <xdr:col>77</xdr:col>
      <xdr:colOff>30080</xdr:colOff>
      <xdr:row>6</xdr:row>
      <xdr:rowOff>25166</xdr:rowOff>
    </xdr:from>
    <xdr:to>
      <xdr:col>80</xdr:col>
      <xdr:colOff>30080</xdr:colOff>
      <xdr:row>8</xdr:row>
      <xdr:rowOff>49228</xdr:rowOff>
    </xdr:to>
    <xdr:sp macro="[0]!Wholesale_Calculator_Rehabber_Profit_20" textlink="">
      <xdr:nvSpPr>
        <xdr:cNvPr id="48" name="Rounded Rectangle 47">
          <a:extLst>
            <a:ext uri="{FF2B5EF4-FFF2-40B4-BE49-F238E27FC236}">
              <a16:creationId xmlns:a16="http://schemas.microsoft.com/office/drawing/2014/main" id="{00000000-0008-0000-1100-000030000000}"/>
            </a:ext>
          </a:extLst>
        </xdr:cNvPr>
        <xdr:cNvSpPr/>
      </xdr:nvSpPr>
      <xdr:spPr>
        <a:xfrm>
          <a:off x="13193630" y="1444391"/>
          <a:ext cx="457200" cy="19551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20%</a:t>
          </a:r>
        </a:p>
      </xdr:txBody>
    </xdr:sp>
    <xdr:clientData/>
  </xdr:twoCellAnchor>
  <xdr:twoCellAnchor>
    <xdr:from>
      <xdr:col>80</xdr:col>
      <xdr:colOff>107785</xdr:colOff>
      <xdr:row>6</xdr:row>
      <xdr:rowOff>25166</xdr:rowOff>
    </xdr:from>
    <xdr:to>
      <xdr:col>83</xdr:col>
      <xdr:colOff>107785</xdr:colOff>
      <xdr:row>8</xdr:row>
      <xdr:rowOff>49228</xdr:rowOff>
    </xdr:to>
    <xdr:sp macro="[0]!Wholesale_Calculator_Rehabber_Profit_25" textlink="">
      <xdr:nvSpPr>
        <xdr:cNvPr id="49" name="Rounded Rectangle 48">
          <a:extLst>
            <a:ext uri="{FF2B5EF4-FFF2-40B4-BE49-F238E27FC236}">
              <a16:creationId xmlns:a16="http://schemas.microsoft.com/office/drawing/2014/main" id="{00000000-0008-0000-1100-000031000000}"/>
            </a:ext>
          </a:extLst>
        </xdr:cNvPr>
        <xdr:cNvSpPr/>
      </xdr:nvSpPr>
      <xdr:spPr>
        <a:xfrm>
          <a:off x="13728535" y="1444391"/>
          <a:ext cx="457200" cy="19551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25%</a:t>
          </a:r>
        </a:p>
      </xdr:txBody>
    </xdr:sp>
    <xdr:clientData/>
  </xdr:twoCellAnchor>
  <xdr:twoCellAnchor>
    <xdr:from>
      <xdr:col>84</xdr:col>
      <xdr:colOff>14339</xdr:colOff>
      <xdr:row>6</xdr:row>
      <xdr:rowOff>15641</xdr:rowOff>
    </xdr:from>
    <xdr:to>
      <xdr:col>87</xdr:col>
      <xdr:colOff>14339</xdr:colOff>
      <xdr:row>8</xdr:row>
      <xdr:rowOff>39703</xdr:rowOff>
    </xdr:to>
    <xdr:sp macro="[0]!Wholesale_Calculator_Rehabber_Profit_30" textlink="">
      <xdr:nvSpPr>
        <xdr:cNvPr id="50" name="Rounded Rectangle 49">
          <a:extLst>
            <a:ext uri="{FF2B5EF4-FFF2-40B4-BE49-F238E27FC236}">
              <a16:creationId xmlns:a16="http://schemas.microsoft.com/office/drawing/2014/main" id="{00000000-0008-0000-1100-000032000000}"/>
            </a:ext>
          </a:extLst>
        </xdr:cNvPr>
        <xdr:cNvSpPr/>
      </xdr:nvSpPr>
      <xdr:spPr>
        <a:xfrm>
          <a:off x="14244689" y="1434866"/>
          <a:ext cx="457200" cy="19551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30%</a:t>
          </a:r>
        </a:p>
      </xdr:txBody>
    </xdr:sp>
    <xdr:clientData/>
  </xdr:twoCellAnchor>
  <xdr:twoCellAnchor>
    <xdr:from>
      <xdr:col>0</xdr:col>
      <xdr:colOff>0</xdr:colOff>
      <xdr:row>0</xdr:row>
      <xdr:rowOff>0</xdr:rowOff>
    </xdr:from>
    <xdr:to>
      <xdr:col>1</xdr:col>
      <xdr:colOff>99060</xdr:colOff>
      <xdr:row>2</xdr:row>
      <xdr:rowOff>7620</xdr:rowOff>
    </xdr:to>
    <xdr:sp macro="" textlink="">
      <xdr:nvSpPr>
        <xdr:cNvPr id="69" name="Rectangle 68">
          <a:extLst>
            <a:ext uri="{FF2B5EF4-FFF2-40B4-BE49-F238E27FC236}">
              <a16:creationId xmlns:a16="http://schemas.microsoft.com/office/drawing/2014/main" id="{00000000-0008-0000-1100-000045000000}"/>
            </a:ext>
          </a:extLst>
        </xdr:cNvPr>
        <xdr:cNvSpPr/>
      </xdr:nvSpPr>
      <xdr:spPr>
        <a:xfrm>
          <a:off x="0" y="0"/>
          <a:ext cx="1485900" cy="67056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31</xdr:col>
      <xdr:colOff>19050</xdr:colOff>
      <xdr:row>3</xdr:row>
      <xdr:rowOff>0</xdr:rowOff>
    </xdr:from>
    <xdr:to>
      <xdr:col>33</xdr:col>
      <xdr:colOff>0</xdr:colOff>
      <xdr:row>6</xdr:row>
      <xdr:rowOff>28581</xdr:rowOff>
    </xdr:to>
    <xdr:pic macro="[0]!HELP_ARV">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6010275" y="847725"/>
          <a:ext cx="285750" cy="285750"/>
        </a:xfrm>
        <a:prstGeom prst="rect">
          <a:avLst/>
        </a:prstGeom>
      </xdr:spPr>
    </xdr:pic>
    <xdr:clientData/>
  </xdr:twoCellAnchor>
  <xdr:twoCellAnchor editAs="oneCell">
    <xdr:from>
      <xdr:col>31</xdr:col>
      <xdr:colOff>9525</xdr:colOff>
      <xdr:row>70</xdr:row>
      <xdr:rowOff>0</xdr:rowOff>
    </xdr:from>
    <xdr:to>
      <xdr:col>32</xdr:col>
      <xdr:colOff>142881</xdr:colOff>
      <xdr:row>73</xdr:row>
      <xdr:rowOff>28581</xdr:rowOff>
    </xdr:to>
    <xdr:pic macro="[0]!HELP_FIXED_COSTS">
      <xdr:nvPicPr>
        <xdr:cNvPr id="35" name="Picture 34">
          <a:extLst>
            <a:ext uri="{FF2B5EF4-FFF2-40B4-BE49-F238E27FC236}">
              <a16:creationId xmlns:a16="http://schemas.microsoft.com/office/drawing/2014/main" id="{00000000-0008-0000-1100-00002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6000750" y="6591300"/>
          <a:ext cx="285750" cy="285750"/>
        </a:xfrm>
        <a:prstGeom prst="rect">
          <a:avLst/>
        </a:prstGeom>
      </xdr:spPr>
    </xdr:pic>
    <xdr:clientData/>
  </xdr:twoCellAnchor>
  <xdr:twoCellAnchor editAs="oneCell">
    <xdr:from>
      <xdr:col>62</xdr:col>
      <xdr:colOff>28575</xdr:colOff>
      <xdr:row>30</xdr:row>
      <xdr:rowOff>0</xdr:rowOff>
    </xdr:from>
    <xdr:to>
      <xdr:col>64</xdr:col>
      <xdr:colOff>9519</xdr:colOff>
      <xdr:row>33</xdr:row>
      <xdr:rowOff>28581</xdr:rowOff>
    </xdr:to>
    <xdr:pic macro="[0]!HELP_TOTAL_REPAIR_ESTIMATE">
      <xdr:nvPicPr>
        <xdr:cNvPr id="36" name="Picture 35">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0744200" y="3162300"/>
          <a:ext cx="285750" cy="285750"/>
        </a:xfrm>
        <a:prstGeom prst="rect">
          <a:avLst/>
        </a:prstGeom>
      </xdr:spPr>
    </xdr:pic>
    <xdr:clientData/>
  </xdr:twoCellAnchor>
  <xdr:twoCellAnchor editAs="oneCell">
    <xdr:from>
      <xdr:col>62</xdr:col>
      <xdr:colOff>19050</xdr:colOff>
      <xdr:row>40</xdr:row>
      <xdr:rowOff>9525</xdr:rowOff>
    </xdr:from>
    <xdr:to>
      <xdr:col>64</xdr:col>
      <xdr:colOff>0</xdr:colOff>
      <xdr:row>43</xdr:row>
      <xdr:rowOff>38100</xdr:rowOff>
    </xdr:to>
    <xdr:pic>
      <xdr:nvPicPr>
        <xdr:cNvPr id="38" name="Picture 37">
          <a:extLst>
            <a:ext uri="{FF2B5EF4-FFF2-40B4-BE49-F238E27FC236}">
              <a16:creationId xmlns:a16="http://schemas.microsoft.com/office/drawing/2014/main" id="{00000000-0008-0000-11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0734675" y="4029075"/>
          <a:ext cx="285750" cy="285750"/>
        </a:xfrm>
        <a:prstGeom prst="rect">
          <a:avLst/>
        </a:prstGeom>
      </xdr:spPr>
    </xdr:pic>
    <xdr:clientData/>
  </xdr:twoCellAnchor>
  <xdr:twoCellAnchor editAs="oneCell">
    <xdr:from>
      <xdr:col>96</xdr:col>
      <xdr:colOff>28575</xdr:colOff>
      <xdr:row>3</xdr:row>
      <xdr:rowOff>9525</xdr:rowOff>
    </xdr:from>
    <xdr:to>
      <xdr:col>98</xdr:col>
      <xdr:colOff>9519</xdr:colOff>
      <xdr:row>6</xdr:row>
      <xdr:rowOff>38100</xdr:rowOff>
    </xdr:to>
    <xdr:pic macro="[0]!HELP_REHABBER_PROFIT_WHOLESALE">
      <xdr:nvPicPr>
        <xdr:cNvPr id="39" name="Picture 38">
          <a:extLst>
            <a:ext uri="{FF2B5EF4-FFF2-40B4-BE49-F238E27FC236}">
              <a16:creationId xmlns:a16="http://schemas.microsoft.com/office/drawing/2014/main" id="{00000000-0008-0000-1100-00002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5925800" y="857250"/>
          <a:ext cx="285750" cy="285750"/>
        </a:xfrm>
        <a:prstGeom prst="rect">
          <a:avLst/>
        </a:prstGeom>
      </xdr:spPr>
    </xdr:pic>
    <xdr:clientData/>
  </xdr:twoCellAnchor>
  <xdr:twoCellAnchor editAs="oneCell">
    <xdr:from>
      <xdr:col>96</xdr:col>
      <xdr:colOff>19050</xdr:colOff>
      <xdr:row>50</xdr:row>
      <xdr:rowOff>0</xdr:rowOff>
    </xdr:from>
    <xdr:to>
      <xdr:col>98</xdr:col>
      <xdr:colOff>0</xdr:colOff>
      <xdr:row>53</xdr:row>
      <xdr:rowOff>28582</xdr:rowOff>
    </xdr:to>
    <xdr:pic macro="[0]!HELP_REHABBER_MAXIMUM_PURCHASE_PRICE">
      <xdr:nvPicPr>
        <xdr:cNvPr id="40" name="Picture 39">
          <a:extLst>
            <a:ext uri="{FF2B5EF4-FFF2-40B4-BE49-F238E27FC236}">
              <a16:creationId xmlns:a16="http://schemas.microsoft.com/office/drawing/2014/main" id="{00000000-0008-0000-1100-00002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5916275" y="4533900"/>
          <a:ext cx="285750" cy="285750"/>
        </a:xfrm>
        <a:prstGeom prst="rect">
          <a:avLst/>
        </a:prstGeom>
      </xdr:spPr>
    </xdr:pic>
    <xdr:clientData/>
  </xdr:twoCellAnchor>
  <xdr:twoCellAnchor editAs="oneCell">
    <xdr:from>
      <xdr:col>96</xdr:col>
      <xdr:colOff>19050</xdr:colOff>
      <xdr:row>60</xdr:row>
      <xdr:rowOff>0</xdr:rowOff>
    </xdr:from>
    <xdr:to>
      <xdr:col>98</xdr:col>
      <xdr:colOff>0</xdr:colOff>
      <xdr:row>63</xdr:row>
      <xdr:rowOff>28580</xdr:rowOff>
    </xdr:to>
    <xdr:pic macro="[0]!HELP_WHOLESALER_ASSIGNMENT_FEE">
      <xdr:nvPicPr>
        <xdr:cNvPr id="58" name="Picture 57">
          <a:extLst>
            <a:ext uri="{FF2B5EF4-FFF2-40B4-BE49-F238E27FC236}">
              <a16:creationId xmlns:a16="http://schemas.microsoft.com/office/drawing/2014/main" id="{00000000-0008-0000-11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5916275" y="5562600"/>
          <a:ext cx="285750" cy="285750"/>
        </a:xfrm>
        <a:prstGeom prst="rect">
          <a:avLst/>
        </a:prstGeom>
      </xdr:spPr>
    </xdr:pic>
    <xdr:clientData/>
  </xdr:twoCellAnchor>
  <xdr:twoCellAnchor editAs="oneCell">
    <xdr:from>
      <xdr:col>96</xdr:col>
      <xdr:colOff>28575</xdr:colOff>
      <xdr:row>70</xdr:row>
      <xdr:rowOff>0</xdr:rowOff>
    </xdr:from>
    <xdr:to>
      <xdr:col>98</xdr:col>
      <xdr:colOff>9519</xdr:colOff>
      <xdr:row>73</xdr:row>
      <xdr:rowOff>28581</xdr:rowOff>
    </xdr:to>
    <xdr:pic macro="[0]!HELP_WHOLESALER_MAXIMUM_ALLOWABLE_OFFER">
      <xdr:nvPicPr>
        <xdr:cNvPr id="59" name="Picture 58">
          <a:extLst>
            <a:ext uri="{FF2B5EF4-FFF2-40B4-BE49-F238E27FC236}">
              <a16:creationId xmlns:a16="http://schemas.microsoft.com/office/drawing/2014/main" id="{00000000-0008-0000-1100-00003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5925800" y="6591300"/>
          <a:ext cx="285750" cy="285750"/>
        </a:xfrm>
        <a:prstGeom prst="rect">
          <a:avLst/>
        </a:prstGeom>
      </xdr:spPr>
    </xdr:pic>
    <xdr:clientData/>
  </xdr:twoCellAnchor>
  <xdr:twoCellAnchor editAs="oneCell">
    <xdr:from>
      <xdr:col>96</xdr:col>
      <xdr:colOff>19051</xdr:colOff>
      <xdr:row>30</xdr:row>
      <xdr:rowOff>47625</xdr:rowOff>
    </xdr:from>
    <xdr:to>
      <xdr:col>97</xdr:col>
      <xdr:colOff>112296</xdr:colOff>
      <xdr:row>33</xdr:row>
      <xdr:rowOff>19049</xdr:rowOff>
    </xdr:to>
    <xdr:pic macro="[0]!HELP_SEVENTY_PERCENT_RULE">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5916276" y="2609850"/>
          <a:ext cx="244929" cy="228600"/>
        </a:xfrm>
        <a:prstGeom prst="rect">
          <a:avLst/>
        </a:prstGeom>
      </xdr:spPr>
    </xdr:pic>
    <xdr:clientData/>
  </xdr:twoCellAnchor>
  <xdr:twoCellAnchor editAs="oneCell">
    <xdr:from>
      <xdr:col>89</xdr:col>
      <xdr:colOff>23532</xdr:colOff>
      <xdr:row>81</xdr:row>
      <xdr:rowOff>5716</xdr:rowOff>
    </xdr:from>
    <xdr:to>
      <xdr:col>90</xdr:col>
      <xdr:colOff>154167</xdr:colOff>
      <xdr:row>84</xdr:row>
      <xdr:rowOff>9968</xdr:rowOff>
    </xdr:to>
    <xdr:pic>
      <xdr:nvPicPr>
        <xdr:cNvPr id="60" name="Picture 59">
          <a:hlinkClick xmlns:r="http://schemas.openxmlformats.org/officeDocument/2006/relationships" r:id="rId4"/>
          <a:extLst>
            <a:ext uri="{FF2B5EF4-FFF2-40B4-BE49-F238E27FC236}">
              <a16:creationId xmlns:a16="http://schemas.microsoft.com/office/drawing/2014/main" id="{00000000-0008-0000-1100-00003C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4736856" y="7737775"/>
          <a:ext cx="283285" cy="284405"/>
        </a:xfrm>
        <a:prstGeom prst="rect">
          <a:avLst/>
        </a:prstGeom>
      </xdr:spPr>
    </xdr:pic>
    <xdr:clientData/>
  </xdr:twoCellAnchor>
  <xdr:twoCellAnchor>
    <xdr:from>
      <xdr:col>90</xdr:col>
      <xdr:colOff>74296</xdr:colOff>
      <xdr:row>80</xdr:row>
      <xdr:rowOff>25213</xdr:rowOff>
    </xdr:from>
    <xdr:to>
      <xdr:col>97</xdr:col>
      <xdr:colOff>97156</xdr:colOff>
      <xdr:row>84</xdr:row>
      <xdr:rowOff>57598</xdr:rowOff>
    </xdr:to>
    <xdr:sp macro="" textlink="">
      <xdr:nvSpPr>
        <xdr:cNvPr id="61" name="TextBox 60">
          <a:hlinkClick xmlns:r="http://schemas.openxmlformats.org/officeDocument/2006/relationships" r:id="rId4"/>
          <a:extLst>
            <a:ext uri="{FF2B5EF4-FFF2-40B4-BE49-F238E27FC236}">
              <a16:creationId xmlns:a16="http://schemas.microsoft.com/office/drawing/2014/main" id="{00000000-0008-0000-1100-00003D000000}"/>
            </a:ext>
          </a:extLst>
        </xdr:cNvPr>
        <xdr:cNvSpPr txBox="1"/>
      </xdr:nvSpPr>
      <xdr:spPr>
        <a:xfrm>
          <a:off x="14944502" y="7678831"/>
          <a:ext cx="1121036" cy="390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rgbClr val="398CCC"/>
              </a:solidFill>
              <a:latin typeface="Calibri Light" panose="020F0302020204030204" pitchFamily="34" charset="0"/>
            </a:rPr>
            <a:t>Report</a:t>
          </a:r>
          <a:r>
            <a:rPr lang="en-US" sz="1200" b="0" i="1" baseline="0">
              <a:solidFill>
                <a:srgbClr val="398CCC"/>
              </a:solidFill>
              <a:latin typeface="Calibri Light" panose="020F0302020204030204" pitchFamily="34" charset="0"/>
            </a:rPr>
            <a:t> Piracy</a:t>
          </a:r>
          <a:endParaRPr lang="en-US" sz="1200" b="0" i="1">
            <a:solidFill>
              <a:srgbClr val="398CCC"/>
            </a:solidFill>
            <a:latin typeface="Calibri Light" panose="020F0302020204030204" pitchFamily="34" charset="0"/>
          </a:endParaRPr>
        </a:p>
      </xdr:txBody>
    </xdr:sp>
    <xdr:clientData/>
  </xdr:twoCellAnchor>
  <xdr:oneCellAnchor>
    <xdr:from>
      <xdr:col>34</xdr:col>
      <xdr:colOff>22861</xdr:colOff>
      <xdr:row>70</xdr:row>
      <xdr:rowOff>24766</xdr:rowOff>
    </xdr:from>
    <xdr:ext cx="228600" cy="210773"/>
    <xdr:pic macro="[0]!HELP_TOTAL_REPAIR_ESTIMATE">
      <xdr:nvPicPr>
        <xdr:cNvPr id="42" name="Picture 41">
          <a:extLst>
            <a:ext uri="{FF2B5EF4-FFF2-40B4-BE49-F238E27FC236}">
              <a16:creationId xmlns:a16="http://schemas.microsoft.com/office/drawing/2014/main" id="{00CBF3AA-0619-4862-B66C-3C95C7D8CC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6271261" y="6958966"/>
          <a:ext cx="228600" cy="210773"/>
        </a:xfrm>
        <a:prstGeom prst="rect">
          <a:avLst/>
        </a:prstGeom>
      </xdr:spPr>
    </xdr:pic>
    <xdr:clientData/>
  </xdr:oneCellAnchor>
  <xdr:twoCellAnchor>
    <xdr:from>
      <xdr:col>34</xdr:col>
      <xdr:colOff>1</xdr:colOff>
      <xdr:row>72</xdr:row>
      <xdr:rowOff>76200</xdr:rowOff>
    </xdr:from>
    <xdr:to>
      <xdr:col>63</xdr:col>
      <xdr:colOff>53341</xdr:colOff>
      <xdr:row>80</xdr:row>
      <xdr:rowOff>30480</xdr:rowOff>
    </xdr:to>
    <xdr:sp macro="[0]!HELP_TOTAL_REPAIR_ESTIMATE" textlink="">
      <xdr:nvSpPr>
        <xdr:cNvPr id="43" name="Rectangle 42">
          <a:extLst>
            <a:ext uri="{FF2B5EF4-FFF2-40B4-BE49-F238E27FC236}">
              <a16:creationId xmlns:a16="http://schemas.microsoft.com/office/drawing/2014/main" id="{67D24B97-C8D3-4ACF-8B2F-F1F2FBC3945F}"/>
            </a:ext>
          </a:extLst>
        </xdr:cNvPr>
        <xdr:cNvSpPr/>
      </xdr:nvSpPr>
      <xdr:spPr>
        <a:xfrm>
          <a:off x="6248401" y="7181850"/>
          <a:ext cx="4749165" cy="64008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85725</xdr:colOff>
      <xdr:row>21</xdr:row>
      <xdr:rowOff>76200</xdr:rowOff>
    </xdr:from>
    <xdr:to>
      <xdr:col>29</xdr:col>
      <xdr:colOff>152400</xdr:colOff>
      <xdr:row>53</xdr:row>
      <xdr:rowOff>76200</xdr:rowOff>
    </xdr:to>
    <xdr:graphicFrame macro="">
      <xdr:nvGraphicFramePr>
        <xdr:cNvPr id="33" name="Fixed_Costs_Chart2">
          <a:extLst>
            <a:ext uri="{FF2B5EF4-FFF2-40B4-BE49-F238E27FC236}">
              <a16:creationId xmlns:a16="http://schemas.microsoft.com/office/drawing/2014/main" id="{F27455D0-E803-445D-B349-13D9E5B573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51</xdr:row>
      <xdr:rowOff>57150</xdr:rowOff>
    </xdr:from>
    <xdr:to>
      <xdr:col>31</xdr:col>
      <xdr:colOff>28575</xdr:colOff>
      <xdr:row>59</xdr:row>
      <xdr:rowOff>28575</xdr:rowOff>
    </xdr:to>
    <xdr:sp macro="" textlink="$O$115">
      <xdr:nvSpPr>
        <xdr:cNvPr id="34" name="Fixed_Costs_Description_Box4">
          <a:extLst>
            <a:ext uri="{FF2B5EF4-FFF2-40B4-BE49-F238E27FC236}">
              <a16:creationId xmlns:a16="http://schemas.microsoft.com/office/drawing/2014/main" id="{E765DA68-3FAD-4DE9-9AFE-139ABF8F24E2}"/>
            </a:ext>
          </a:extLst>
        </xdr:cNvPr>
        <xdr:cNvSpPr txBox="1"/>
      </xdr:nvSpPr>
      <xdr:spPr>
        <a:xfrm>
          <a:off x="1219200" y="5362575"/>
          <a:ext cx="457200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F821F0A-CC5D-42ED-B748-6095F506F121}" type="TxLink">
            <a:rPr lang="en-US" sz="1600" b="0" i="0" u="none" strike="noStrike">
              <a:solidFill>
                <a:srgbClr val="000000"/>
              </a:solidFill>
              <a:latin typeface="Calibri Light" panose="020F0302020204030204" pitchFamily="34" charset="0"/>
              <a:cs typeface="Calibri Light" panose="020F0302020204030204" pitchFamily="34" charset="0"/>
            </a:rPr>
            <a:pPr algn="ctr"/>
            <a:t>Fixed Costs are being Calculated at 15% of the ARV</a:t>
          </a:fld>
          <a:endParaRPr lang="en-US" sz="3200" b="1">
            <a:solidFill>
              <a:schemeClr val="accent1"/>
            </a:solidFill>
            <a:latin typeface="Calibri Light" panose="020F0302020204030204" pitchFamily="34" charset="0"/>
            <a:cs typeface="Calibri Light" panose="020F0302020204030204" pitchFamily="34" charset="0"/>
          </a:endParaRPr>
        </a:p>
      </xdr:txBody>
    </xdr:sp>
    <xdr:clientData/>
  </xdr:twoCellAnchor>
  <xdr:twoCellAnchor>
    <xdr:from>
      <xdr:col>8</xdr:col>
      <xdr:colOff>28575</xdr:colOff>
      <xdr:row>31</xdr:row>
      <xdr:rowOff>28575</xdr:rowOff>
    </xdr:from>
    <xdr:to>
      <xdr:col>27</xdr:col>
      <xdr:colOff>0</xdr:colOff>
      <xdr:row>45</xdr:row>
      <xdr:rowOff>38100</xdr:rowOff>
    </xdr:to>
    <xdr:sp macro="" textlink="$AD$14">
      <xdr:nvSpPr>
        <xdr:cNvPr id="37" name="Fixed_Costs_Description_Box3">
          <a:extLst>
            <a:ext uri="{FF2B5EF4-FFF2-40B4-BE49-F238E27FC236}">
              <a16:creationId xmlns:a16="http://schemas.microsoft.com/office/drawing/2014/main" id="{A8BC5644-1361-4317-8521-D2F875496BF1}"/>
            </a:ext>
          </a:extLst>
        </xdr:cNvPr>
        <xdr:cNvSpPr txBox="1"/>
      </xdr:nvSpPr>
      <xdr:spPr>
        <a:xfrm>
          <a:off x="2066925" y="3619500"/>
          <a:ext cx="3048000" cy="1209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247E62D-65AD-4BEA-A0B8-14294677ACA0}" type="TxLink">
            <a:rPr lang="en-US" sz="4800" b="1" i="0" u="none" strike="noStrike">
              <a:solidFill>
                <a:srgbClr val="F79646"/>
              </a:solidFill>
              <a:latin typeface="Calibri"/>
              <a:cs typeface="Calibri"/>
            </a:rPr>
            <a:pPr algn="ctr"/>
            <a:t>15%</a:t>
          </a:fld>
          <a:endParaRPr lang="en-US" sz="4800" b="1">
            <a:solidFill>
              <a:schemeClr val="accent1"/>
            </a:solidFill>
            <a:latin typeface="Calibri Light" panose="020F0302020204030204" pitchFamily="34" charset="0"/>
            <a:cs typeface="Calibri Light" panose="020F0302020204030204" pitchFamily="34" charset="0"/>
          </a:endParaRPr>
        </a:p>
      </xdr:txBody>
    </xdr:sp>
    <xdr:clientData/>
  </xdr:twoCellAnchor>
  <xdr:twoCellAnchor>
    <xdr:from>
      <xdr:col>82</xdr:col>
      <xdr:colOff>52918</xdr:colOff>
      <xdr:row>1</xdr:row>
      <xdr:rowOff>85725</xdr:rowOff>
    </xdr:from>
    <xdr:to>
      <xdr:col>94</xdr:col>
      <xdr:colOff>104775</xdr:colOff>
      <xdr:row>1</xdr:row>
      <xdr:rowOff>390524</xdr:rowOff>
    </xdr:to>
    <xdr:sp macro="[0]!Navigate_Wholesale_Reports" textlink="">
      <xdr:nvSpPr>
        <xdr:cNvPr id="41" name="TextBox 40">
          <a:extLst>
            <a:ext uri="{FF2B5EF4-FFF2-40B4-BE49-F238E27FC236}">
              <a16:creationId xmlns:a16="http://schemas.microsoft.com/office/drawing/2014/main" id="{80663D14-A174-4820-8524-2B5E8327416C}"/>
            </a:ext>
          </a:extLst>
        </xdr:cNvPr>
        <xdr:cNvSpPr txBox="1"/>
      </xdr:nvSpPr>
      <xdr:spPr>
        <a:xfrm>
          <a:off x="14073718" y="657225"/>
          <a:ext cx="1994957" cy="304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0" u="none">
              <a:solidFill>
                <a:srgbClr val="289FE8"/>
              </a:solidFill>
              <a:latin typeface="Calibri Light" panose="020F0302020204030204" pitchFamily="34" charset="0"/>
            </a:rPr>
            <a:t>Print Wholesale</a:t>
          </a:r>
          <a:r>
            <a:rPr lang="en-US" sz="1100" b="0" i="0" u="none" baseline="0">
              <a:solidFill>
                <a:srgbClr val="289FE8"/>
              </a:solidFill>
              <a:latin typeface="Calibri Light" panose="020F0302020204030204" pitchFamily="34" charset="0"/>
            </a:rPr>
            <a:t> Report</a:t>
          </a:r>
          <a:endParaRPr lang="en-US" sz="1100" b="0" i="0" u="none">
            <a:solidFill>
              <a:srgbClr val="289FE8"/>
            </a:solidFill>
            <a:latin typeface="Calibri Light" panose="020F0302020204030204" pitchFamily="34" charset="0"/>
          </a:endParaRPr>
        </a:p>
      </xdr:txBody>
    </xdr:sp>
    <xdr:clientData/>
  </xdr:twoCellAnchor>
  <xdr:twoCellAnchor editAs="oneCell">
    <xdr:from>
      <xdr:col>82</xdr:col>
      <xdr:colOff>32279</xdr:colOff>
      <xdr:row>1</xdr:row>
      <xdr:rowOff>124882</xdr:rowOff>
    </xdr:from>
    <xdr:to>
      <xdr:col>83</xdr:col>
      <xdr:colOff>105309</xdr:colOff>
      <xdr:row>1</xdr:row>
      <xdr:rowOff>353476</xdr:rowOff>
    </xdr:to>
    <xdr:pic macro="[0]!Navigate_Wholesale_Reports">
      <xdr:nvPicPr>
        <xdr:cNvPr id="44" name="Picture 43">
          <a:extLst>
            <a:ext uri="{FF2B5EF4-FFF2-40B4-BE49-F238E27FC236}">
              <a16:creationId xmlns:a16="http://schemas.microsoft.com/office/drawing/2014/main" id="{BD5A155D-078D-4AD1-80D7-B163417819B4}"/>
            </a:ext>
          </a:extLst>
        </xdr:cNvPr>
        <xdr:cNvPicPr>
          <a:picLocks noChangeAspect="1"/>
        </xdr:cNvPicPr>
      </xdr:nvPicPr>
      <xdr:blipFill>
        <a:blip xmlns:r="http://schemas.openxmlformats.org/officeDocument/2006/relationships" r:embed="rId7"/>
        <a:stretch>
          <a:fillRect/>
        </a:stretch>
      </xdr:blipFill>
      <xdr:spPr>
        <a:xfrm>
          <a:off x="13929254" y="696382"/>
          <a:ext cx="229658" cy="229658"/>
        </a:xfrm>
        <a:prstGeom prst="rect">
          <a:avLst/>
        </a:prstGeom>
      </xdr:spPr>
    </xdr:pic>
    <xdr:clientData/>
  </xdr:twoCellAnchor>
  <xdr:twoCellAnchor editAs="absolute">
    <xdr:from>
      <xdr:col>73</xdr:col>
      <xdr:colOff>49415</xdr:colOff>
      <xdr:row>0</xdr:row>
      <xdr:rowOff>151547</xdr:rowOff>
    </xdr:from>
    <xdr:to>
      <xdr:col>75</xdr:col>
      <xdr:colOff>7929</xdr:colOff>
      <xdr:row>0</xdr:row>
      <xdr:rowOff>426932</xdr:rowOff>
    </xdr:to>
    <xdr:pic macro="[0]!Hide_Wholesale_Calculator">
      <xdr:nvPicPr>
        <xdr:cNvPr id="64" name="Picture 63">
          <a:extLst>
            <a:ext uri="{FF2B5EF4-FFF2-40B4-BE49-F238E27FC236}">
              <a16:creationId xmlns:a16="http://schemas.microsoft.com/office/drawing/2014/main" id="{B8752494-9877-4248-AADC-33243461B9CE}"/>
            </a:ext>
          </a:extLst>
        </xdr:cNvPr>
        <xdr:cNvPicPr>
          <a:picLocks noChangeAspect="1"/>
        </xdr:cNvPicPr>
      </xdr:nvPicPr>
      <xdr:blipFill>
        <a:blip xmlns:r="http://schemas.openxmlformats.org/officeDocument/2006/relationships" r:embed="rId8"/>
        <a:stretch>
          <a:fillRect/>
        </a:stretch>
      </xdr:blipFill>
      <xdr:spPr>
        <a:xfrm>
          <a:off x="12489065" y="151547"/>
          <a:ext cx="282364" cy="275385"/>
        </a:xfrm>
        <a:prstGeom prst="rect">
          <a:avLst/>
        </a:prstGeom>
      </xdr:spPr>
    </xdr:pic>
    <xdr:clientData/>
  </xdr:twoCellAnchor>
  <xdr:twoCellAnchor editAs="absolute">
    <xdr:from>
      <xdr:col>54</xdr:col>
      <xdr:colOff>93990</xdr:colOff>
      <xdr:row>0</xdr:row>
      <xdr:rowOff>0</xdr:rowOff>
    </xdr:from>
    <xdr:to>
      <xdr:col>65</xdr:col>
      <xdr:colOff>8679</xdr:colOff>
      <xdr:row>0</xdr:row>
      <xdr:rowOff>559859</xdr:rowOff>
    </xdr:to>
    <xdr:sp macro="[0]!Navigate_Reporting" textlink="">
      <xdr:nvSpPr>
        <xdr:cNvPr id="66" name="TextBox 65">
          <a:extLst>
            <a:ext uri="{FF2B5EF4-FFF2-40B4-BE49-F238E27FC236}">
              <a16:creationId xmlns:a16="http://schemas.microsoft.com/office/drawing/2014/main" id="{F0013804-30C8-4700-B228-01B8E968AB94}"/>
            </a:ext>
          </a:extLst>
        </xdr:cNvPr>
        <xdr:cNvSpPr txBox="1">
          <a:spLocks noChangeAspect="1"/>
        </xdr:cNvSpPr>
      </xdr:nvSpPr>
      <xdr:spPr>
        <a:xfrm>
          <a:off x="9457065" y="0"/>
          <a:ext cx="1695864" cy="559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33</xdr:col>
      <xdr:colOff>65627</xdr:colOff>
      <xdr:row>0</xdr:row>
      <xdr:rowOff>1</xdr:rowOff>
    </xdr:from>
    <xdr:to>
      <xdr:col>43</xdr:col>
      <xdr:colOff>144356</xdr:colOff>
      <xdr:row>0</xdr:row>
      <xdr:rowOff>559859</xdr:rowOff>
    </xdr:to>
    <xdr:sp macro="[0]!Navigate_Rehab_Analyzer" textlink="">
      <xdr:nvSpPr>
        <xdr:cNvPr id="67" name="TextBox 66">
          <a:extLst>
            <a:ext uri="{FF2B5EF4-FFF2-40B4-BE49-F238E27FC236}">
              <a16:creationId xmlns:a16="http://schemas.microsoft.com/office/drawing/2014/main" id="{E675B83A-5C11-4511-8706-ADD088EDBDC8}"/>
            </a:ext>
          </a:extLst>
        </xdr:cNvPr>
        <xdr:cNvSpPr txBox="1">
          <a:spLocks noChangeAspect="1"/>
        </xdr:cNvSpPr>
      </xdr:nvSpPr>
      <xdr:spPr>
        <a:xfrm>
          <a:off x="6028277" y="1"/>
          <a:ext cx="1697979" cy="559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43</xdr:col>
      <xdr:colOff>161502</xdr:colOff>
      <xdr:row>0</xdr:row>
      <xdr:rowOff>0</xdr:rowOff>
    </xdr:from>
    <xdr:to>
      <xdr:col>54</xdr:col>
      <xdr:colOff>65627</xdr:colOff>
      <xdr:row>0</xdr:row>
      <xdr:rowOff>559859</xdr:rowOff>
    </xdr:to>
    <xdr:sp macro="[0]!Navigate_Repair_Estimator" textlink="">
      <xdr:nvSpPr>
        <xdr:cNvPr id="68" name="TextBox 67">
          <a:extLst>
            <a:ext uri="{FF2B5EF4-FFF2-40B4-BE49-F238E27FC236}">
              <a16:creationId xmlns:a16="http://schemas.microsoft.com/office/drawing/2014/main" id="{8EAC791E-F908-4E26-84A7-36BF036219AE}"/>
            </a:ext>
          </a:extLst>
        </xdr:cNvPr>
        <xdr:cNvSpPr txBox="1">
          <a:spLocks noChangeAspect="1"/>
        </xdr:cNvSpPr>
      </xdr:nvSpPr>
      <xdr:spPr>
        <a:xfrm>
          <a:off x="7743402" y="0"/>
          <a:ext cx="1685300" cy="559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22</xdr:col>
      <xdr:colOff>150903</xdr:colOff>
      <xdr:row>0</xdr:row>
      <xdr:rowOff>0</xdr:rowOff>
    </xdr:from>
    <xdr:to>
      <xdr:col>33</xdr:col>
      <xdr:colOff>57784</xdr:colOff>
      <xdr:row>0</xdr:row>
      <xdr:rowOff>559859</xdr:rowOff>
    </xdr:to>
    <xdr:sp macro="[0]!Navigate_Home" textlink="">
      <xdr:nvSpPr>
        <xdr:cNvPr id="70" name="TextBox 69">
          <a:extLst>
            <a:ext uri="{FF2B5EF4-FFF2-40B4-BE49-F238E27FC236}">
              <a16:creationId xmlns:a16="http://schemas.microsoft.com/office/drawing/2014/main" id="{6991ED55-A2B5-4E46-A803-F89ACE83B5D0}"/>
            </a:ext>
          </a:extLst>
        </xdr:cNvPr>
        <xdr:cNvSpPr txBox="1">
          <a:spLocks noChangeAspect="1"/>
        </xdr:cNvSpPr>
      </xdr:nvSpPr>
      <xdr:spPr>
        <a:xfrm>
          <a:off x="4332378" y="0"/>
          <a:ext cx="1688056" cy="559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70</xdr:col>
      <xdr:colOff>7832</xdr:colOff>
      <xdr:row>0</xdr:row>
      <xdr:rowOff>153469</xdr:rowOff>
    </xdr:from>
    <xdr:to>
      <xdr:col>71</xdr:col>
      <xdr:colOff>115705</xdr:colOff>
      <xdr:row>0</xdr:row>
      <xdr:rowOff>426719</xdr:rowOff>
    </xdr:to>
    <xdr:pic>
      <xdr:nvPicPr>
        <xdr:cNvPr id="71" name="Picture 70" title="Help">
          <a:hlinkClick xmlns:r="http://schemas.openxmlformats.org/officeDocument/2006/relationships" r:id="rId9"/>
          <a:extLst>
            <a:ext uri="{FF2B5EF4-FFF2-40B4-BE49-F238E27FC236}">
              <a16:creationId xmlns:a16="http://schemas.microsoft.com/office/drawing/2014/main" id="{877392AA-1AAD-45B1-B02A-927210BFE69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961707" y="153469"/>
          <a:ext cx="269798" cy="273250"/>
        </a:xfrm>
        <a:prstGeom prst="rect">
          <a:avLst/>
        </a:prstGeom>
      </xdr:spPr>
    </xdr:pic>
    <xdr:clientData/>
  </xdr:twoCellAnchor>
  <xdr:twoCellAnchor editAs="absolute">
    <xdr:from>
      <xdr:col>66</xdr:col>
      <xdr:colOff>103082</xdr:colOff>
      <xdr:row>0</xdr:row>
      <xdr:rowOff>152516</xdr:rowOff>
    </xdr:from>
    <xdr:to>
      <xdr:col>68</xdr:col>
      <xdr:colOff>67100</xdr:colOff>
      <xdr:row>0</xdr:row>
      <xdr:rowOff>426824</xdr:rowOff>
    </xdr:to>
    <xdr:pic macro="[0]!Navigate_Info_Sheet">
      <xdr:nvPicPr>
        <xdr:cNvPr id="72" name="Picture 71">
          <a:extLst>
            <a:ext uri="{FF2B5EF4-FFF2-40B4-BE49-F238E27FC236}">
              <a16:creationId xmlns:a16="http://schemas.microsoft.com/office/drawing/2014/main" id="{42704161-B99F-4F9D-9937-B9B4226F3968}"/>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1409257" y="152516"/>
          <a:ext cx="287868" cy="274308"/>
        </a:xfrm>
        <a:prstGeom prst="rect">
          <a:avLst/>
        </a:prstGeom>
      </xdr:spPr>
    </xdr:pic>
    <xdr:clientData/>
  </xdr:twoCellAnchor>
  <xdr:twoCellAnchor editAs="absolute">
    <xdr:from>
      <xdr:col>0</xdr:col>
      <xdr:colOff>0</xdr:colOff>
      <xdr:row>0</xdr:row>
      <xdr:rowOff>0</xdr:rowOff>
    </xdr:from>
    <xdr:to>
      <xdr:col>6</xdr:col>
      <xdr:colOff>77272</xdr:colOff>
      <xdr:row>0</xdr:row>
      <xdr:rowOff>561764</xdr:rowOff>
    </xdr:to>
    <xdr:sp macro="" textlink="">
      <xdr:nvSpPr>
        <xdr:cNvPr id="73" name="TextBox 72">
          <a:extLst>
            <a:ext uri="{FF2B5EF4-FFF2-40B4-BE49-F238E27FC236}">
              <a16:creationId xmlns:a16="http://schemas.microsoft.com/office/drawing/2014/main" id="{853BD681-09D4-4EDA-AD7A-588B39EF10DF}"/>
            </a:ext>
          </a:extLst>
        </xdr:cNvPr>
        <xdr:cNvSpPr txBox="1">
          <a:spLocks noChangeAspect="1"/>
        </xdr:cNvSpPr>
      </xdr:nvSpPr>
      <xdr:spPr>
        <a:xfrm>
          <a:off x="0" y="0"/>
          <a:ext cx="1667947" cy="561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26</xdr:col>
      <xdr:colOff>439763</xdr:colOff>
      <xdr:row>0</xdr:row>
      <xdr:rowOff>151228</xdr:rowOff>
    </xdr:from>
    <xdr:to>
      <xdr:col>26</xdr:col>
      <xdr:colOff>712289</xdr:colOff>
      <xdr:row>0</xdr:row>
      <xdr:rowOff>429038</xdr:rowOff>
    </xdr:to>
    <xdr:pic macro="[0]!Hide_Rental_Analysis">
      <xdr:nvPicPr>
        <xdr:cNvPr id="9" name="Picture 8">
          <a:extLst>
            <a:ext uri="{FF2B5EF4-FFF2-40B4-BE49-F238E27FC236}">
              <a16:creationId xmlns:a16="http://schemas.microsoft.com/office/drawing/2014/main" id="{99FD8ECD-FEB7-45A3-851C-4A5C9070B297}"/>
            </a:ext>
          </a:extLst>
        </xdr:cNvPr>
        <xdr:cNvPicPr>
          <a:picLocks noChangeAspect="1"/>
        </xdr:cNvPicPr>
      </xdr:nvPicPr>
      <xdr:blipFill>
        <a:blip xmlns:r="http://schemas.openxmlformats.org/officeDocument/2006/relationships" r:embed="rId1"/>
        <a:stretch>
          <a:fillRect/>
        </a:stretch>
      </xdr:blipFill>
      <xdr:spPr>
        <a:xfrm>
          <a:off x="12431738" y="151228"/>
          <a:ext cx="274632" cy="275704"/>
        </a:xfrm>
        <a:prstGeom prst="rect">
          <a:avLst/>
        </a:prstGeom>
      </xdr:spPr>
    </xdr:pic>
    <xdr:clientData/>
  </xdr:twoCellAnchor>
  <xdr:twoCellAnchor editAs="oneCell">
    <xdr:from>
      <xdr:col>15</xdr:col>
      <xdr:colOff>77258</xdr:colOff>
      <xdr:row>5</xdr:row>
      <xdr:rowOff>132291</xdr:rowOff>
    </xdr:from>
    <xdr:to>
      <xdr:col>15</xdr:col>
      <xdr:colOff>305331</xdr:colOff>
      <xdr:row>6</xdr:row>
      <xdr:rowOff>56091</xdr:rowOff>
    </xdr:to>
    <xdr:pic macro="[0]!Navigate_Rental_Purchase">
      <xdr:nvPicPr>
        <xdr:cNvPr id="12" name="Picture 11">
          <a:extLst>
            <a:ext uri="{FF2B5EF4-FFF2-40B4-BE49-F238E27FC236}">
              <a16:creationId xmlns:a16="http://schemas.microsoft.com/office/drawing/2014/main" id="{DE4F9B97-F8D0-4C72-B210-83F0C5CF03C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58933" y="1361016"/>
          <a:ext cx="228073" cy="228600"/>
        </a:xfrm>
        <a:prstGeom prst="rect">
          <a:avLst/>
        </a:prstGeom>
      </xdr:spPr>
    </xdr:pic>
    <xdr:clientData/>
  </xdr:twoCellAnchor>
  <xdr:twoCellAnchor>
    <xdr:from>
      <xdr:col>15</xdr:col>
      <xdr:colOff>332317</xdr:colOff>
      <xdr:row>5</xdr:row>
      <xdr:rowOff>67733</xdr:rowOff>
    </xdr:from>
    <xdr:to>
      <xdr:col>18</xdr:col>
      <xdr:colOff>323850</xdr:colOff>
      <xdr:row>6</xdr:row>
      <xdr:rowOff>143933</xdr:rowOff>
    </xdr:to>
    <xdr:sp macro="[0]!Navigate_Rental_Purchase" textlink="">
      <xdr:nvSpPr>
        <xdr:cNvPr id="13" name="TextBox 12">
          <a:extLst>
            <a:ext uri="{FF2B5EF4-FFF2-40B4-BE49-F238E27FC236}">
              <a16:creationId xmlns:a16="http://schemas.microsoft.com/office/drawing/2014/main" id="{F4878603-8B77-4107-B371-02BBD0D4958C}"/>
            </a:ext>
          </a:extLst>
        </xdr:cNvPr>
        <xdr:cNvSpPr txBox="1"/>
      </xdr:nvSpPr>
      <xdr:spPr>
        <a:xfrm>
          <a:off x="6113992" y="1296458"/>
          <a:ext cx="1105958"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u="sng">
              <a:solidFill>
                <a:schemeClr val="accent1"/>
              </a:solidFill>
            </a:rPr>
            <a:t>Edit Details</a:t>
          </a:r>
        </a:p>
      </xdr:txBody>
    </xdr:sp>
    <xdr:clientData/>
  </xdr:twoCellAnchor>
  <xdr:twoCellAnchor>
    <xdr:from>
      <xdr:col>1</xdr:col>
      <xdr:colOff>66675</xdr:colOff>
      <xdr:row>51</xdr:row>
      <xdr:rowOff>38100</xdr:rowOff>
    </xdr:from>
    <xdr:to>
      <xdr:col>2</xdr:col>
      <xdr:colOff>361950</xdr:colOff>
      <xdr:row>56</xdr:row>
      <xdr:rowOff>190500</xdr:rowOff>
    </xdr:to>
    <xdr:sp macro="[0]!Navigate_Rental_Financing" textlink="">
      <xdr:nvSpPr>
        <xdr:cNvPr id="14" name="Rectangle 13">
          <a:extLst>
            <a:ext uri="{FF2B5EF4-FFF2-40B4-BE49-F238E27FC236}">
              <a16:creationId xmlns:a16="http://schemas.microsoft.com/office/drawing/2014/main" id="{E5D76280-4E9C-4EDA-B3B5-077BC526E91D}"/>
            </a:ext>
          </a:extLst>
        </xdr:cNvPr>
        <xdr:cNvSpPr/>
      </xdr:nvSpPr>
      <xdr:spPr>
        <a:xfrm>
          <a:off x="457200" y="11630025"/>
          <a:ext cx="685800" cy="1428750"/>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6</xdr:col>
      <xdr:colOff>369360</xdr:colOff>
      <xdr:row>3</xdr:row>
      <xdr:rowOff>67734</xdr:rowOff>
    </xdr:from>
    <xdr:to>
      <xdr:col>10</xdr:col>
      <xdr:colOff>369360</xdr:colOff>
      <xdr:row>3</xdr:row>
      <xdr:rowOff>67734</xdr:rowOff>
    </xdr:to>
    <xdr:cxnSp macro="">
      <xdr:nvCxnSpPr>
        <xdr:cNvPr id="15" name="Straight Connector 14">
          <a:extLst>
            <a:ext uri="{FF2B5EF4-FFF2-40B4-BE49-F238E27FC236}">
              <a16:creationId xmlns:a16="http://schemas.microsoft.com/office/drawing/2014/main" id="{8BC49AFC-226F-43CE-B8C8-F664115D70F6}"/>
            </a:ext>
          </a:extLst>
        </xdr:cNvPr>
        <xdr:cNvCxnSpPr/>
      </xdr:nvCxnSpPr>
      <xdr:spPr>
        <a:xfrm>
          <a:off x="2712510" y="1010709"/>
          <a:ext cx="1562100"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352425</xdr:colOff>
      <xdr:row>1</xdr:row>
      <xdr:rowOff>19050</xdr:rowOff>
    </xdr:from>
    <xdr:to>
      <xdr:col>10</xdr:col>
      <xdr:colOff>352425</xdr:colOff>
      <xdr:row>3</xdr:row>
      <xdr:rowOff>57150</xdr:rowOff>
    </xdr:to>
    <xdr:sp macro="[0]!Navigate_Rental_Analysis" textlink="">
      <xdr:nvSpPr>
        <xdr:cNvPr id="16" name="Rectangle 15">
          <a:extLst>
            <a:ext uri="{FF2B5EF4-FFF2-40B4-BE49-F238E27FC236}">
              <a16:creationId xmlns:a16="http://schemas.microsoft.com/office/drawing/2014/main" id="{E25E8443-D778-47F0-9F68-258308667FBD}"/>
            </a:ext>
          </a:extLst>
        </xdr:cNvPr>
        <xdr:cNvSpPr/>
      </xdr:nvSpPr>
      <xdr:spPr>
        <a:xfrm>
          <a:off x="2695575" y="590550"/>
          <a:ext cx="1562100" cy="409575"/>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xdr:col>
      <xdr:colOff>361950</xdr:colOff>
      <xdr:row>1</xdr:row>
      <xdr:rowOff>19050</xdr:rowOff>
    </xdr:from>
    <xdr:to>
      <xdr:col>6</xdr:col>
      <xdr:colOff>361950</xdr:colOff>
      <xdr:row>3</xdr:row>
      <xdr:rowOff>57150</xdr:rowOff>
    </xdr:to>
    <xdr:sp macro="[0]!Navigate_Rental_Purchase" textlink="">
      <xdr:nvSpPr>
        <xdr:cNvPr id="17" name="Rectangle 16">
          <a:extLst>
            <a:ext uri="{FF2B5EF4-FFF2-40B4-BE49-F238E27FC236}">
              <a16:creationId xmlns:a16="http://schemas.microsoft.com/office/drawing/2014/main" id="{A9BBD8B9-4C48-4D81-B781-ECB67B0F2070}"/>
            </a:ext>
          </a:extLst>
        </xdr:cNvPr>
        <xdr:cNvSpPr/>
      </xdr:nvSpPr>
      <xdr:spPr>
        <a:xfrm>
          <a:off x="1143000" y="590550"/>
          <a:ext cx="1562100" cy="409575"/>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10</xdr:col>
      <xdr:colOff>371475</xdr:colOff>
      <xdr:row>1</xdr:row>
      <xdr:rowOff>20108</xdr:rowOff>
    </xdr:from>
    <xdr:to>
      <xdr:col>15</xdr:col>
      <xdr:colOff>0</xdr:colOff>
      <xdr:row>3</xdr:row>
      <xdr:rowOff>59266</xdr:rowOff>
    </xdr:to>
    <xdr:sp macro="[0]!Navigate_Rental_Financing" textlink="">
      <xdr:nvSpPr>
        <xdr:cNvPr id="19" name="Rectangle 18">
          <a:extLst>
            <a:ext uri="{FF2B5EF4-FFF2-40B4-BE49-F238E27FC236}">
              <a16:creationId xmlns:a16="http://schemas.microsoft.com/office/drawing/2014/main" id="{FA92A68E-71D7-4225-A8C9-1DE5C168F316}"/>
            </a:ext>
          </a:extLst>
        </xdr:cNvPr>
        <xdr:cNvSpPr/>
      </xdr:nvSpPr>
      <xdr:spPr>
        <a:xfrm>
          <a:off x="4276725" y="591608"/>
          <a:ext cx="1504950" cy="410633"/>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oneCell">
    <xdr:from>
      <xdr:col>1</xdr:col>
      <xdr:colOff>266700</xdr:colOff>
      <xdr:row>55</xdr:row>
      <xdr:rowOff>38100</xdr:rowOff>
    </xdr:from>
    <xdr:to>
      <xdr:col>2</xdr:col>
      <xdr:colOff>106473</xdr:colOff>
      <xdr:row>56</xdr:row>
      <xdr:rowOff>35984</xdr:rowOff>
    </xdr:to>
    <xdr:pic macro="[0]!Navigate_Rental_Financing">
      <xdr:nvPicPr>
        <xdr:cNvPr id="18" name="Picture 17">
          <a:extLst>
            <a:ext uri="{FF2B5EF4-FFF2-40B4-BE49-F238E27FC236}">
              <a16:creationId xmlns:a16="http://schemas.microsoft.com/office/drawing/2014/main" id="{E76A0D4F-262A-48FE-890D-6EC2726ABBD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60400" y="13572067"/>
          <a:ext cx="228073" cy="230717"/>
        </a:xfrm>
        <a:prstGeom prst="rect">
          <a:avLst/>
        </a:prstGeom>
      </xdr:spPr>
    </xdr:pic>
    <xdr:clientData/>
  </xdr:twoCellAnchor>
  <xdr:twoCellAnchor editAs="absolute">
    <xdr:from>
      <xdr:col>22</xdr:col>
      <xdr:colOff>209349</xdr:colOff>
      <xdr:row>0</xdr:row>
      <xdr:rowOff>0</xdr:rowOff>
    </xdr:from>
    <xdr:to>
      <xdr:col>24</xdr:col>
      <xdr:colOff>837354</xdr:colOff>
      <xdr:row>0</xdr:row>
      <xdr:rowOff>559869</xdr:rowOff>
    </xdr:to>
    <xdr:sp macro="[0]!Navigate_Reporting" textlink="">
      <xdr:nvSpPr>
        <xdr:cNvPr id="20" name="TextBox 19">
          <a:extLst>
            <a:ext uri="{FF2B5EF4-FFF2-40B4-BE49-F238E27FC236}">
              <a16:creationId xmlns:a16="http://schemas.microsoft.com/office/drawing/2014/main" id="{62C0A3B8-130D-4840-88F2-6F662D0F7233}"/>
            </a:ext>
          </a:extLst>
        </xdr:cNvPr>
        <xdr:cNvSpPr txBox="1">
          <a:spLocks noChangeAspect="1"/>
        </xdr:cNvSpPr>
      </xdr:nvSpPr>
      <xdr:spPr>
        <a:xfrm>
          <a:off x="9458124" y="0"/>
          <a:ext cx="169480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15</xdr:col>
      <xdr:colOff>246602</xdr:colOff>
      <xdr:row>0</xdr:row>
      <xdr:rowOff>1</xdr:rowOff>
    </xdr:from>
    <xdr:to>
      <xdr:col>20</xdr:col>
      <xdr:colOff>266065</xdr:colOff>
      <xdr:row>0</xdr:row>
      <xdr:rowOff>559869</xdr:rowOff>
    </xdr:to>
    <xdr:sp macro="[0]!Navigate_Rehab_Analyzer" textlink="">
      <xdr:nvSpPr>
        <xdr:cNvPr id="21" name="TextBox 20">
          <a:extLst>
            <a:ext uri="{FF2B5EF4-FFF2-40B4-BE49-F238E27FC236}">
              <a16:creationId xmlns:a16="http://schemas.microsoft.com/office/drawing/2014/main" id="{902DCE81-DF92-4152-9A3A-018D5D0E68E5}"/>
            </a:ext>
          </a:extLst>
        </xdr:cNvPr>
        <xdr:cNvSpPr txBox="1">
          <a:spLocks noChangeAspect="1"/>
        </xdr:cNvSpPr>
      </xdr:nvSpPr>
      <xdr:spPr>
        <a:xfrm>
          <a:off x="6028277" y="1"/>
          <a:ext cx="1695863" cy="561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20</xdr:col>
      <xdr:colOff>287443</xdr:colOff>
      <xdr:row>0</xdr:row>
      <xdr:rowOff>0</xdr:rowOff>
    </xdr:from>
    <xdr:to>
      <xdr:col>22</xdr:col>
      <xdr:colOff>182054</xdr:colOff>
      <xdr:row>0</xdr:row>
      <xdr:rowOff>559869</xdr:rowOff>
    </xdr:to>
    <xdr:sp macro="[0]!Navigate_Repair_Estimator" textlink="">
      <xdr:nvSpPr>
        <xdr:cNvPr id="22" name="TextBox 21">
          <a:extLst>
            <a:ext uri="{FF2B5EF4-FFF2-40B4-BE49-F238E27FC236}">
              <a16:creationId xmlns:a16="http://schemas.microsoft.com/office/drawing/2014/main" id="{256939B3-E917-4E50-AB88-7932E855698A}"/>
            </a:ext>
          </a:extLst>
        </xdr:cNvPr>
        <xdr:cNvSpPr txBox="1">
          <a:spLocks noChangeAspect="1"/>
        </xdr:cNvSpPr>
      </xdr:nvSpPr>
      <xdr:spPr>
        <a:xfrm>
          <a:off x="7745518" y="0"/>
          <a:ext cx="1683184"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11</xdr:col>
      <xdr:colOff>37662</xdr:colOff>
      <xdr:row>0</xdr:row>
      <xdr:rowOff>0</xdr:rowOff>
    </xdr:from>
    <xdr:to>
      <xdr:col>15</xdr:col>
      <xdr:colOff>238748</xdr:colOff>
      <xdr:row>0</xdr:row>
      <xdr:rowOff>559869</xdr:rowOff>
    </xdr:to>
    <xdr:sp macro="[0]!Navigate_Home" textlink="">
      <xdr:nvSpPr>
        <xdr:cNvPr id="23" name="TextBox 22">
          <a:extLst>
            <a:ext uri="{FF2B5EF4-FFF2-40B4-BE49-F238E27FC236}">
              <a16:creationId xmlns:a16="http://schemas.microsoft.com/office/drawing/2014/main" id="{97CAA193-9D57-4E62-BE56-665BAB7E9366}"/>
            </a:ext>
          </a:extLst>
        </xdr:cNvPr>
        <xdr:cNvSpPr txBox="1">
          <a:spLocks noChangeAspect="1"/>
        </xdr:cNvSpPr>
      </xdr:nvSpPr>
      <xdr:spPr>
        <a:xfrm>
          <a:off x="4333437" y="0"/>
          <a:ext cx="168488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25</xdr:col>
      <xdr:colOff>808980</xdr:colOff>
      <xdr:row>0</xdr:row>
      <xdr:rowOff>153469</xdr:rowOff>
    </xdr:from>
    <xdr:to>
      <xdr:col>26</xdr:col>
      <xdr:colOff>237403</xdr:colOff>
      <xdr:row>0</xdr:row>
      <xdr:rowOff>426709</xdr:rowOff>
    </xdr:to>
    <xdr:pic>
      <xdr:nvPicPr>
        <xdr:cNvPr id="24" name="Picture 23" title="Help">
          <a:hlinkClick xmlns:r="http://schemas.openxmlformats.org/officeDocument/2006/relationships" r:id="rId3"/>
          <a:extLst>
            <a:ext uri="{FF2B5EF4-FFF2-40B4-BE49-F238E27FC236}">
              <a16:creationId xmlns:a16="http://schemas.microsoft.com/office/drawing/2014/main" id="{67C5D6E4-7A26-4E59-829E-88155702CF68}"/>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964882" y="153469"/>
          <a:ext cx="266623" cy="275367"/>
        </a:xfrm>
        <a:prstGeom prst="rect">
          <a:avLst/>
        </a:prstGeom>
      </xdr:spPr>
    </xdr:pic>
    <xdr:clientData/>
  </xdr:twoCellAnchor>
  <xdr:twoCellAnchor editAs="absolute">
    <xdr:from>
      <xdr:col>25</xdr:col>
      <xdr:colOff>256551</xdr:colOff>
      <xdr:row>0</xdr:row>
      <xdr:rowOff>152516</xdr:rowOff>
    </xdr:from>
    <xdr:to>
      <xdr:col>25</xdr:col>
      <xdr:colOff>544397</xdr:colOff>
      <xdr:row>0</xdr:row>
      <xdr:rowOff>426814</xdr:rowOff>
    </xdr:to>
    <xdr:pic macro="[0]!Navigate_Info_Sheet">
      <xdr:nvPicPr>
        <xdr:cNvPr id="25" name="Picture 24">
          <a:extLst>
            <a:ext uri="{FF2B5EF4-FFF2-40B4-BE49-F238E27FC236}">
              <a16:creationId xmlns:a16="http://schemas.microsoft.com/office/drawing/2014/main" id="{A66ECB2B-F2AC-43AF-BF52-BB5F5016C28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412432" y="152516"/>
          <a:ext cx="283634" cy="276425"/>
        </a:xfrm>
        <a:prstGeom prst="rect">
          <a:avLst/>
        </a:prstGeom>
      </xdr:spPr>
    </xdr:pic>
    <xdr:clientData/>
  </xdr:twoCellAnchor>
  <xdr:twoCellAnchor editAs="absolute">
    <xdr:from>
      <xdr:col>0</xdr:col>
      <xdr:colOff>0</xdr:colOff>
      <xdr:row>0</xdr:row>
      <xdr:rowOff>0</xdr:rowOff>
    </xdr:from>
    <xdr:to>
      <xdr:col>4</xdr:col>
      <xdr:colOff>104799</xdr:colOff>
      <xdr:row>0</xdr:row>
      <xdr:rowOff>561774</xdr:rowOff>
    </xdr:to>
    <xdr:sp macro="" textlink="">
      <xdr:nvSpPr>
        <xdr:cNvPr id="26" name="TextBox 25">
          <a:extLst>
            <a:ext uri="{FF2B5EF4-FFF2-40B4-BE49-F238E27FC236}">
              <a16:creationId xmlns:a16="http://schemas.microsoft.com/office/drawing/2014/main" id="{858BA92E-0A42-426F-AE8E-B2007E34FCA8}"/>
            </a:ext>
          </a:extLst>
        </xdr:cNvPr>
        <xdr:cNvSpPr txBox="1">
          <a:spLocks noChangeAspect="1"/>
        </xdr:cNvSpPr>
      </xdr:nvSpPr>
      <xdr:spPr>
        <a:xfrm>
          <a:off x="0" y="0"/>
          <a:ext cx="1664772"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14</xdr:col>
      <xdr:colOff>19050</xdr:colOff>
      <xdr:row>31</xdr:row>
      <xdr:rowOff>209550</xdr:rowOff>
    </xdr:from>
    <xdr:to>
      <xdr:col>14</xdr:col>
      <xdr:colOff>379440</xdr:colOff>
      <xdr:row>33</xdr:row>
      <xdr:rowOff>28250</xdr:rowOff>
    </xdr:to>
    <xdr:pic>
      <xdr:nvPicPr>
        <xdr:cNvPr id="8" name="All_Cash__Rental_Check">
          <a:extLst>
            <a:ext uri="{FF2B5EF4-FFF2-40B4-BE49-F238E27FC236}">
              <a16:creationId xmlns:a16="http://schemas.microsoft.com/office/drawing/2014/main" id="{34052DE6-8C8E-479E-A089-396A3EABDE6A}"/>
            </a:ext>
          </a:extLst>
        </xdr:cNvPr>
        <xdr:cNvPicPr>
          <a:picLocks noChangeAspect="1"/>
        </xdr:cNvPicPr>
      </xdr:nvPicPr>
      <xdr:blipFill>
        <a:blip xmlns:r="http://schemas.openxmlformats.org/officeDocument/2006/relationships" r:embed="rId1"/>
        <a:stretch>
          <a:fillRect/>
        </a:stretch>
      </xdr:blipFill>
      <xdr:spPr>
        <a:xfrm>
          <a:off x="5486400" y="9629775"/>
          <a:ext cx="360390" cy="369993"/>
        </a:xfrm>
        <a:prstGeom prst="rect">
          <a:avLst/>
        </a:prstGeom>
      </xdr:spPr>
    </xdr:pic>
    <xdr:clientData/>
  </xdr:twoCellAnchor>
  <xdr:twoCellAnchor editAs="oneCell">
    <xdr:from>
      <xdr:col>21</xdr:col>
      <xdr:colOff>19050</xdr:colOff>
      <xdr:row>31</xdr:row>
      <xdr:rowOff>209550</xdr:rowOff>
    </xdr:from>
    <xdr:to>
      <xdr:col>21</xdr:col>
      <xdr:colOff>379440</xdr:colOff>
      <xdr:row>33</xdr:row>
      <xdr:rowOff>27192</xdr:rowOff>
    </xdr:to>
    <xdr:pic>
      <xdr:nvPicPr>
        <xdr:cNvPr id="9" name="Funding__Rental_Check" hidden="1">
          <a:extLst>
            <a:ext uri="{FF2B5EF4-FFF2-40B4-BE49-F238E27FC236}">
              <a16:creationId xmlns:a16="http://schemas.microsoft.com/office/drawing/2014/main" id="{5D0D03D4-8341-4D9C-A22A-7375FE716234}"/>
            </a:ext>
          </a:extLst>
        </xdr:cNvPr>
        <xdr:cNvPicPr>
          <a:picLocks noChangeAspect="1"/>
        </xdr:cNvPicPr>
      </xdr:nvPicPr>
      <xdr:blipFill>
        <a:blip xmlns:r="http://schemas.openxmlformats.org/officeDocument/2006/relationships" r:embed="rId1"/>
        <a:stretch>
          <a:fillRect/>
        </a:stretch>
      </xdr:blipFill>
      <xdr:spPr>
        <a:xfrm>
          <a:off x="8220075" y="9629775"/>
          <a:ext cx="360390" cy="373168"/>
        </a:xfrm>
        <a:prstGeom prst="rect">
          <a:avLst/>
        </a:prstGeom>
      </xdr:spPr>
    </xdr:pic>
    <xdr:clientData/>
  </xdr:twoCellAnchor>
  <xdr:twoCellAnchor editAs="oneCell">
    <xdr:from>
      <xdr:col>14</xdr:col>
      <xdr:colOff>19050</xdr:colOff>
      <xdr:row>35</xdr:row>
      <xdr:rowOff>219075</xdr:rowOff>
    </xdr:from>
    <xdr:to>
      <xdr:col>14</xdr:col>
      <xdr:colOff>379440</xdr:colOff>
      <xdr:row>54</xdr:row>
      <xdr:rowOff>58843</xdr:rowOff>
    </xdr:to>
    <xdr:pic>
      <xdr:nvPicPr>
        <xdr:cNvPr id="10" name="Conventional_Loan_Rental_Check" hidden="1">
          <a:extLst>
            <a:ext uri="{FF2B5EF4-FFF2-40B4-BE49-F238E27FC236}">
              <a16:creationId xmlns:a16="http://schemas.microsoft.com/office/drawing/2014/main" id="{1CA2AB52-94DE-4557-8C51-ADB7F46FD1D3}"/>
            </a:ext>
          </a:extLst>
        </xdr:cNvPr>
        <xdr:cNvPicPr>
          <a:picLocks noChangeAspect="1"/>
        </xdr:cNvPicPr>
      </xdr:nvPicPr>
      <xdr:blipFill>
        <a:blip xmlns:r="http://schemas.openxmlformats.org/officeDocument/2006/relationships" r:embed="rId1"/>
        <a:stretch>
          <a:fillRect/>
        </a:stretch>
      </xdr:blipFill>
      <xdr:spPr>
        <a:xfrm>
          <a:off x="5486400" y="10706100"/>
          <a:ext cx="360390" cy="372110"/>
        </a:xfrm>
        <a:prstGeom prst="rect">
          <a:avLst/>
        </a:prstGeom>
      </xdr:spPr>
    </xdr:pic>
    <xdr:clientData/>
  </xdr:twoCellAnchor>
  <xdr:twoCellAnchor editAs="oneCell">
    <xdr:from>
      <xdr:col>21</xdr:col>
      <xdr:colOff>19050</xdr:colOff>
      <xdr:row>35</xdr:row>
      <xdr:rowOff>209550</xdr:rowOff>
    </xdr:from>
    <xdr:to>
      <xdr:col>21</xdr:col>
      <xdr:colOff>379440</xdr:colOff>
      <xdr:row>54</xdr:row>
      <xdr:rowOff>55711</xdr:rowOff>
    </xdr:to>
    <xdr:pic>
      <xdr:nvPicPr>
        <xdr:cNvPr id="11" name="Bridge_Loan_Rental_Check" hidden="1">
          <a:extLst>
            <a:ext uri="{FF2B5EF4-FFF2-40B4-BE49-F238E27FC236}">
              <a16:creationId xmlns:a16="http://schemas.microsoft.com/office/drawing/2014/main" id="{96FC63CD-C762-4752-8B96-A1810D5401A7}"/>
            </a:ext>
          </a:extLst>
        </xdr:cNvPr>
        <xdr:cNvPicPr>
          <a:picLocks noChangeAspect="1"/>
        </xdr:cNvPicPr>
      </xdr:nvPicPr>
      <xdr:blipFill>
        <a:blip xmlns:r="http://schemas.openxmlformats.org/officeDocument/2006/relationships" r:embed="rId1"/>
        <a:stretch>
          <a:fillRect/>
        </a:stretch>
      </xdr:blipFill>
      <xdr:spPr>
        <a:xfrm>
          <a:off x="8220075" y="10696575"/>
          <a:ext cx="360390" cy="371051"/>
        </a:xfrm>
        <a:prstGeom prst="rect">
          <a:avLst/>
        </a:prstGeom>
      </xdr:spPr>
    </xdr:pic>
    <xdr:clientData/>
  </xdr:twoCellAnchor>
  <xdr:twoCellAnchor>
    <xdr:from>
      <xdr:col>21</xdr:col>
      <xdr:colOff>28575</xdr:colOff>
      <xdr:row>32</xdr:row>
      <xdr:rowOff>0</xdr:rowOff>
    </xdr:from>
    <xdr:to>
      <xdr:col>21</xdr:col>
      <xdr:colOff>394335</xdr:colOff>
      <xdr:row>33</xdr:row>
      <xdr:rowOff>41910</xdr:rowOff>
    </xdr:to>
    <xdr:pic>
      <xdr:nvPicPr>
        <xdr:cNvPr id="20" name="Funding_Check" hidden="1">
          <a:extLst>
            <a:ext uri="{FF2B5EF4-FFF2-40B4-BE49-F238E27FC236}">
              <a16:creationId xmlns:a16="http://schemas.microsoft.com/office/drawing/2014/main" id="{E62445D6-DCB1-40B9-A5B3-8F572A15B7CC}"/>
            </a:ext>
          </a:extLst>
        </xdr:cNvPr>
        <xdr:cNvPicPr>
          <a:picLocks noChangeAspect="1"/>
        </xdr:cNvPicPr>
      </xdr:nvPicPr>
      <xdr:blipFill>
        <a:blip xmlns:r="http://schemas.openxmlformats.org/officeDocument/2006/relationships" r:embed="rId1"/>
        <a:stretch>
          <a:fillRect/>
        </a:stretch>
      </xdr:blipFill>
      <xdr:spPr>
        <a:xfrm>
          <a:off x="8228542" y="9648825"/>
          <a:ext cx="363643" cy="361527"/>
        </a:xfrm>
        <a:prstGeom prst="rect">
          <a:avLst/>
        </a:prstGeom>
      </xdr:spPr>
    </xdr:pic>
    <xdr:clientData/>
  </xdr:twoCellAnchor>
  <xdr:twoCellAnchor>
    <xdr:from>
      <xdr:col>21</xdr:col>
      <xdr:colOff>19050</xdr:colOff>
      <xdr:row>35</xdr:row>
      <xdr:rowOff>219075</xdr:rowOff>
    </xdr:from>
    <xdr:to>
      <xdr:col>21</xdr:col>
      <xdr:colOff>384810</xdr:colOff>
      <xdr:row>37</xdr:row>
      <xdr:rowOff>32385</xdr:rowOff>
    </xdr:to>
    <xdr:pic>
      <xdr:nvPicPr>
        <xdr:cNvPr id="21" name="Bridge_Loan_Check" hidden="1">
          <a:extLst>
            <a:ext uri="{FF2B5EF4-FFF2-40B4-BE49-F238E27FC236}">
              <a16:creationId xmlns:a16="http://schemas.microsoft.com/office/drawing/2014/main" id="{4DAD6240-6121-4CB3-B2A2-8FF840630149}"/>
            </a:ext>
          </a:extLst>
        </xdr:cNvPr>
        <xdr:cNvPicPr>
          <a:picLocks noChangeAspect="1"/>
        </xdr:cNvPicPr>
      </xdr:nvPicPr>
      <xdr:blipFill>
        <a:blip xmlns:r="http://schemas.openxmlformats.org/officeDocument/2006/relationships" r:embed="rId1"/>
        <a:stretch>
          <a:fillRect/>
        </a:stretch>
      </xdr:blipFill>
      <xdr:spPr>
        <a:xfrm>
          <a:off x="8217958" y="10172700"/>
          <a:ext cx="363644" cy="0"/>
        </a:xfrm>
        <a:prstGeom prst="rect">
          <a:avLst/>
        </a:prstGeom>
      </xdr:spPr>
    </xdr:pic>
    <xdr:clientData/>
  </xdr:twoCellAnchor>
  <xdr:twoCellAnchor>
    <xdr:from>
      <xdr:col>14</xdr:col>
      <xdr:colOff>9523</xdr:colOff>
      <xdr:row>32</xdr:row>
      <xdr:rowOff>10582</xdr:rowOff>
    </xdr:from>
    <xdr:to>
      <xdr:col>20</xdr:col>
      <xdr:colOff>21165</xdr:colOff>
      <xdr:row>33</xdr:row>
      <xdr:rowOff>9525</xdr:rowOff>
    </xdr:to>
    <xdr:sp macro="[0]!All_Cash_Rental" textlink="">
      <xdr:nvSpPr>
        <xdr:cNvPr id="2" name="Rectangle 1">
          <a:extLst>
            <a:ext uri="{FF2B5EF4-FFF2-40B4-BE49-F238E27FC236}">
              <a16:creationId xmlns:a16="http://schemas.microsoft.com/office/drawing/2014/main" id="{F8771469-B5E2-4A13-B91A-8BAB0D79C397}"/>
            </a:ext>
          </a:extLst>
        </xdr:cNvPr>
        <xdr:cNvSpPr/>
      </xdr:nvSpPr>
      <xdr:spPr>
        <a:xfrm>
          <a:off x="5476873" y="9659407"/>
          <a:ext cx="2354792" cy="322793"/>
        </a:xfrm>
        <a:prstGeom prst="rect">
          <a:avLst/>
        </a:prstGeom>
        <a:noFill/>
      </xdr:spPr>
      <xdr:txBody>
        <a:bodyPr wrap="square" lIns="91440" tIns="45720" rIns="91440" bIns="45720" rtlCol="0" anchor="ctr">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21</xdr:col>
      <xdr:colOff>20108</xdr:colOff>
      <xdr:row>31</xdr:row>
      <xdr:rowOff>220133</xdr:rowOff>
    </xdr:from>
    <xdr:to>
      <xdr:col>27</xdr:col>
      <xdr:colOff>28574</xdr:colOff>
      <xdr:row>33</xdr:row>
      <xdr:rowOff>2116</xdr:rowOff>
    </xdr:to>
    <xdr:sp macro="[0]!Funded_Rental" textlink="">
      <xdr:nvSpPr>
        <xdr:cNvPr id="5" name="Rectangle 4">
          <a:extLst>
            <a:ext uri="{FF2B5EF4-FFF2-40B4-BE49-F238E27FC236}">
              <a16:creationId xmlns:a16="http://schemas.microsoft.com/office/drawing/2014/main" id="{6C983B55-C513-430A-B762-6F6E03B025E6}"/>
            </a:ext>
          </a:extLst>
        </xdr:cNvPr>
        <xdr:cNvSpPr/>
      </xdr:nvSpPr>
      <xdr:spPr>
        <a:xfrm>
          <a:off x="8221133" y="9640358"/>
          <a:ext cx="2351616" cy="334433"/>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14</xdr:col>
      <xdr:colOff>0</xdr:colOff>
      <xdr:row>36</xdr:row>
      <xdr:rowOff>0</xdr:rowOff>
    </xdr:from>
    <xdr:to>
      <xdr:col>20</xdr:col>
      <xdr:colOff>9525</xdr:colOff>
      <xdr:row>37</xdr:row>
      <xdr:rowOff>11641</xdr:rowOff>
    </xdr:to>
    <xdr:sp macro="[0]!Conventional_Rental" textlink="">
      <xdr:nvSpPr>
        <xdr:cNvPr id="6" name="Rectangle 5">
          <a:extLst>
            <a:ext uri="{FF2B5EF4-FFF2-40B4-BE49-F238E27FC236}">
              <a16:creationId xmlns:a16="http://schemas.microsoft.com/office/drawing/2014/main" id="{FC5CD8C3-27AF-4426-8B3B-307E8632101E}"/>
            </a:ext>
          </a:extLst>
        </xdr:cNvPr>
        <xdr:cNvSpPr/>
      </xdr:nvSpPr>
      <xdr:spPr>
        <a:xfrm>
          <a:off x="5467350" y="10715625"/>
          <a:ext cx="2352675" cy="335491"/>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21</xdr:col>
      <xdr:colOff>0</xdr:colOff>
      <xdr:row>36</xdr:row>
      <xdr:rowOff>0</xdr:rowOff>
    </xdr:from>
    <xdr:to>
      <xdr:col>27</xdr:col>
      <xdr:colOff>9525</xdr:colOff>
      <xdr:row>37</xdr:row>
      <xdr:rowOff>11641</xdr:rowOff>
    </xdr:to>
    <xdr:sp macro="[0]!Bridge_Loan_Rental" textlink="">
      <xdr:nvSpPr>
        <xdr:cNvPr id="7" name="Rectangle 6">
          <a:extLst>
            <a:ext uri="{FF2B5EF4-FFF2-40B4-BE49-F238E27FC236}">
              <a16:creationId xmlns:a16="http://schemas.microsoft.com/office/drawing/2014/main" id="{86FC2A84-ACA8-4D59-A2D7-151F52A45C3F}"/>
            </a:ext>
          </a:extLst>
        </xdr:cNvPr>
        <xdr:cNvSpPr/>
      </xdr:nvSpPr>
      <xdr:spPr>
        <a:xfrm>
          <a:off x="8201025" y="10715625"/>
          <a:ext cx="2352675" cy="335491"/>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379941</xdr:colOff>
      <xdr:row>41</xdr:row>
      <xdr:rowOff>133350</xdr:rowOff>
    </xdr:from>
    <xdr:to>
      <xdr:col>23</xdr:col>
      <xdr:colOff>94190</xdr:colOff>
      <xdr:row>42</xdr:row>
      <xdr:rowOff>255903</xdr:rowOff>
    </xdr:to>
    <xdr:sp macro="[0]!Navigate_Rental_Financing" textlink="">
      <xdr:nvSpPr>
        <xdr:cNvPr id="12" name="Next_Button">
          <a:extLst>
            <a:ext uri="{FF2B5EF4-FFF2-40B4-BE49-F238E27FC236}">
              <a16:creationId xmlns:a16="http://schemas.microsoft.com/office/drawing/2014/main" id="{8887F648-2F03-4425-8DC1-3024CBE39941}"/>
            </a:ext>
          </a:extLst>
        </xdr:cNvPr>
        <xdr:cNvSpPr>
          <a:spLocks noChangeAspect="1"/>
        </xdr:cNvSpPr>
      </xdr:nvSpPr>
      <xdr:spPr>
        <a:xfrm>
          <a:off x="7018866" y="12220575"/>
          <a:ext cx="2057399" cy="455928"/>
        </a:xfrm>
        <a:prstGeom prst="roundRect">
          <a:avLst>
            <a:gd name="adj" fmla="val 14815"/>
          </a:avLst>
        </a:prstGeom>
        <a:solidFill>
          <a:srgbClr val="00B050"/>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300" b="0" i="0">
              <a:solidFill>
                <a:schemeClr val="bg1">
                  <a:lumMod val="95000"/>
                </a:schemeClr>
              </a:solidFill>
              <a:latin typeface="+mn-lt"/>
            </a:rPr>
            <a:t>Setup Long Term Loan</a:t>
          </a:r>
        </a:p>
      </xdr:txBody>
    </xdr:sp>
    <xdr:clientData/>
  </xdr:twoCellAnchor>
  <xdr:twoCellAnchor editAs="oneCell">
    <xdr:from>
      <xdr:col>31</xdr:col>
      <xdr:colOff>333375</xdr:colOff>
      <xdr:row>63</xdr:row>
      <xdr:rowOff>77258</xdr:rowOff>
    </xdr:from>
    <xdr:to>
      <xdr:col>37</xdr:col>
      <xdr:colOff>171457</xdr:colOff>
      <xdr:row>64</xdr:row>
      <xdr:rowOff>216976</xdr:rowOff>
    </xdr:to>
    <xdr:sp macro="[0]!Navigate_Rental_Analysis" textlink="">
      <xdr:nvSpPr>
        <xdr:cNvPr id="13" name="Next_Button">
          <a:extLst>
            <a:ext uri="{FF2B5EF4-FFF2-40B4-BE49-F238E27FC236}">
              <a16:creationId xmlns:a16="http://schemas.microsoft.com/office/drawing/2014/main" id="{4F738F25-7092-4A4E-A58C-231F92E8DAAE}"/>
            </a:ext>
          </a:extLst>
        </xdr:cNvPr>
        <xdr:cNvSpPr>
          <a:spLocks/>
        </xdr:cNvSpPr>
      </xdr:nvSpPr>
      <xdr:spPr>
        <a:xfrm>
          <a:off x="12439650" y="17288933"/>
          <a:ext cx="1960040" cy="455077"/>
        </a:xfrm>
        <a:prstGeom prst="roundRect">
          <a:avLst>
            <a:gd name="adj" fmla="val 14815"/>
          </a:avLst>
        </a:prstGeom>
        <a:solidFill>
          <a:srgbClr val="00B050"/>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2000" b="1" i="0">
              <a:solidFill>
                <a:schemeClr val="bg1">
                  <a:lumMod val="95000"/>
                </a:schemeClr>
              </a:solidFill>
              <a:latin typeface="+mn-lt"/>
            </a:rPr>
            <a:t>Back</a:t>
          </a:r>
        </a:p>
      </xdr:txBody>
    </xdr:sp>
    <xdr:clientData/>
  </xdr:twoCellAnchor>
  <xdr:twoCellAnchor editAs="absolute">
    <xdr:from>
      <xdr:col>31</xdr:col>
      <xdr:colOff>360424</xdr:colOff>
      <xdr:row>0</xdr:row>
      <xdr:rowOff>144032</xdr:rowOff>
    </xdr:from>
    <xdr:to>
      <xdr:col>32</xdr:col>
      <xdr:colOff>246894</xdr:colOff>
      <xdr:row>0</xdr:row>
      <xdr:rowOff>419524</xdr:rowOff>
    </xdr:to>
    <xdr:pic macro="[0]!Hide_Rental_Purchase_Setup">
      <xdr:nvPicPr>
        <xdr:cNvPr id="23" name="Picture 22">
          <a:extLst>
            <a:ext uri="{FF2B5EF4-FFF2-40B4-BE49-F238E27FC236}">
              <a16:creationId xmlns:a16="http://schemas.microsoft.com/office/drawing/2014/main" id="{1F81A2DE-32D6-45FB-95D5-F1D05503D708}"/>
            </a:ext>
          </a:extLst>
        </xdr:cNvPr>
        <xdr:cNvPicPr>
          <a:picLocks noChangeAspect="1"/>
        </xdr:cNvPicPr>
      </xdr:nvPicPr>
      <xdr:blipFill>
        <a:blip xmlns:r="http://schemas.openxmlformats.org/officeDocument/2006/relationships" r:embed="rId2"/>
        <a:stretch>
          <a:fillRect/>
        </a:stretch>
      </xdr:blipFill>
      <xdr:spPr>
        <a:xfrm>
          <a:off x="12468816" y="140855"/>
          <a:ext cx="276995" cy="278669"/>
        </a:xfrm>
        <a:prstGeom prst="rect">
          <a:avLst/>
        </a:prstGeom>
      </xdr:spPr>
    </xdr:pic>
    <xdr:clientData/>
  </xdr:twoCellAnchor>
  <xdr:twoCellAnchor>
    <xdr:from>
      <xdr:col>2</xdr:col>
      <xdr:colOff>371475</xdr:colOff>
      <xdr:row>3</xdr:row>
      <xdr:rowOff>64559</xdr:rowOff>
    </xdr:from>
    <xdr:to>
      <xdr:col>6</xdr:col>
      <xdr:colOff>371475</xdr:colOff>
      <xdr:row>3</xdr:row>
      <xdr:rowOff>64559</xdr:rowOff>
    </xdr:to>
    <xdr:cxnSp macro="">
      <xdr:nvCxnSpPr>
        <xdr:cNvPr id="25" name="Straight Connector 24">
          <a:extLst>
            <a:ext uri="{FF2B5EF4-FFF2-40B4-BE49-F238E27FC236}">
              <a16:creationId xmlns:a16="http://schemas.microsoft.com/office/drawing/2014/main" id="{3E6816DB-A4D5-4990-B8FE-7EC091731702}"/>
            </a:ext>
          </a:extLst>
        </xdr:cNvPr>
        <xdr:cNvCxnSpPr/>
      </xdr:nvCxnSpPr>
      <xdr:spPr>
        <a:xfrm>
          <a:off x="1152525" y="1007534"/>
          <a:ext cx="1562100"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354541</xdr:colOff>
      <xdr:row>1</xdr:row>
      <xdr:rowOff>19050</xdr:rowOff>
    </xdr:from>
    <xdr:to>
      <xdr:col>10</xdr:col>
      <xdr:colOff>354541</xdr:colOff>
      <xdr:row>3</xdr:row>
      <xdr:rowOff>56091</xdr:rowOff>
    </xdr:to>
    <xdr:sp macro="[0]!Navigate_Rental_Analysis" textlink="">
      <xdr:nvSpPr>
        <xdr:cNvPr id="28" name="Rectangle 27">
          <a:extLst>
            <a:ext uri="{FF2B5EF4-FFF2-40B4-BE49-F238E27FC236}">
              <a16:creationId xmlns:a16="http://schemas.microsoft.com/office/drawing/2014/main" id="{BB07257A-D357-4978-99EA-131D2483C987}"/>
            </a:ext>
          </a:extLst>
        </xdr:cNvPr>
        <xdr:cNvSpPr/>
      </xdr:nvSpPr>
      <xdr:spPr>
        <a:xfrm>
          <a:off x="2697691" y="590550"/>
          <a:ext cx="1562100" cy="408516"/>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xdr:col>
      <xdr:colOff>361950</xdr:colOff>
      <xdr:row>1</xdr:row>
      <xdr:rowOff>19050</xdr:rowOff>
    </xdr:from>
    <xdr:to>
      <xdr:col>6</xdr:col>
      <xdr:colOff>361950</xdr:colOff>
      <xdr:row>3</xdr:row>
      <xdr:rowOff>56091</xdr:rowOff>
    </xdr:to>
    <xdr:sp macro="[0]!Navigate_Rental_Purchase" textlink="">
      <xdr:nvSpPr>
        <xdr:cNvPr id="29" name="Rectangle 28">
          <a:extLst>
            <a:ext uri="{FF2B5EF4-FFF2-40B4-BE49-F238E27FC236}">
              <a16:creationId xmlns:a16="http://schemas.microsoft.com/office/drawing/2014/main" id="{5E91FE40-00E0-4088-A467-3ED8E84CA3F2}"/>
            </a:ext>
          </a:extLst>
        </xdr:cNvPr>
        <xdr:cNvSpPr/>
      </xdr:nvSpPr>
      <xdr:spPr>
        <a:xfrm>
          <a:off x="1143000" y="590550"/>
          <a:ext cx="1562100" cy="408516"/>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10</xdr:col>
      <xdr:colOff>354541</xdr:colOff>
      <xdr:row>1</xdr:row>
      <xdr:rowOff>19050</xdr:rowOff>
    </xdr:from>
    <xdr:to>
      <xdr:col>14</xdr:col>
      <xdr:colOff>354541</xdr:colOff>
      <xdr:row>3</xdr:row>
      <xdr:rowOff>56091</xdr:rowOff>
    </xdr:to>
    <xdr:sp macro="[0]!Navigate_Rental_Financing" textlink="">
      <xdr:nvSpPr>
        <xdr:cNvPr id="30" name="Rectangle 29">
          <a:extLst>
            <a:ext uri="{FF2B5EF4-FFF2-40B4-BE49-F238E27FC236}">
              <a16:creationId xmlns:a16="http://schemas.microsoft.com/office/drawing/2014/main" id="{99F1AD42-E154-4868-BBE7-9DF5093057D2}"/>
            </a:ext>
          </a:extLst>
        </xdr:cNvPr>
        <xdr:cNvSpPr/>
      </xdr:nvSpPr>
      <xdr:spPr>
        <a:xfrm>
          <a:off x="2694516" y="588433"/>
          <a:ext cx="1562100" cy="412750"/>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absolute">
    <xdr:from>
      <xdr:col>24</xdr:col>
      <xdr:colOff>86580</xdr:colOff>
      <xdr:row>0</xdr:row>
      <xdr:rowOff>0</xdr:rowOff>
    </xdr:from>
    <xdr:to>
      <xdr:col>28</xdr:col>
      <xdr:colOff>217173</xdr:colOff>
      <xdr:row>0</xdr:row>
      <xdr:rowOff>560919</xdr:rowOff>
    </xdr:to>
    <xdr:sp macro="[0]!Navigate_Reporting" textlink="">
      <xdr:nvSpPr>
        <xdr:cNvPr id="31" name="TextBox 30">
          <a:extLst>
            <a:ext uri="{FF2B5EF4-FFF2-40B4-BE49-F238E27FC236}">
              <a16:creationId xmlns:a16="http://schemas.microsoft.com/office/drawing/2014/main" id="{671B69EA-C188-44C7-BF2A-B17C5ED11B9D}"/>
            </a:ext>
          </a:extLst>
        </xdr:cNvPr>
        <xdr:cNvSpPr txBox="1">
          <a:spLocks noChangeAspect="1"/>
        </xdr:cNvSpPr>
      </xdr:nvSpPr>
      <xdr:spPr>
        <a:xfrm>
          <a:off x="9458124" y="0"/>
          <a:ext cx="169480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15</xdr:col>
      <xdr:colOff>172519</xdr:colOff>
      <xdr:row>0</xdr:row>
      <xdr:rowOff>1</xdr:rowOff>
    </xdr:from>
    <xdr:to>
      <xdr:col>19</xdr:col>
      <xdr:colOff>304165</xdr:colOff>
      <xdr:row>0</xdr:row>
      <xdr:rowOff>560919</xdr:rowOff>
    </xdr:to>
    <xdr:sp macro="[0]!Navigate_Rehab_Analyzer" textlink="">
      <xdr:nvSpPr>
        <xdr:cNvPr id="32" name="TextBox 31">
          <a:extLst>
            <a:ext uri="{FF2B5EF4-FFF2-40B4-BE49-F238E27FC236}">
              <a16:creationId xmlns:a16="http://schemas.microsoft.com/office/drawing/2014/main" id="{54EB38E2-8C64-4CAB-832C-A32A138DF87C}"/>
            </a:ext>
          </a:extLst>
        </xdr:cNvPr>
        <xdr:cNvSpPr txBox="1">
          <a:spLocks noChangeAspect="1"/>
        </xdr:cNvSpPr>
      </xdr:nvSpPr>
      <xdr:spPr>
        <a:xfrm>
          <a:off x="6028277" y="1"/>
          <a:ext cx="1695863" cy="561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19</xdr:col>
      <xdr:colOff>323426</xdr:colOff>
      <xdr:row>0</xdr:row>
      <xdr:rowOff>0</xdr:rowOff>
    </xdr:from>
    <xdr:to>
      <xdr:col>24</xdr:col>
      <xdr:colOff>58219</xdr:colOff>
      <xdr:row>0</xdr:row>
      <xdr:rowOff>560919</xdr:rowOff>
    </xdr:to>
    <xdr:sp macro="[0]!Navigate_Repair_Estimator" textlink="">
      <xdr:nvSpPr>
        <xdr:cNvPr id="33" name="TextBox 32">
          <a:extLst>
            <a:ext uri="{FF2B5EF4-FFF2-40B4-BE49-F238E27FC236}">
              <a16:creationId xmlns:a16="http://schemas.microsoft.com/office/drawing/2014/main" id="{9E429522-F04D-4A96-AC30-AF772090910B}"/>
            </a:ext>
          </a:extLst>
        </xdr:cNvPr>
        <xdr:cNvSpPr txBox="1">
          <a:spLocks noChangeAspect="1"/>
        </xdr:cNvSpPr>
      </xdr:nvSpPr>
      <xdr:spPr>
        <a:xfrm>
          <a:off x="7745518" y="0"/>
          <a:ext cx="1683184"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11</xdr:col>
      <xdr:colOff>37662</xdr:colOff>
      <xdr:row>0</xdr:row>
      <xdr:rowOff>0</xdr:rowOff>
    </xdr:from>
    <xdr:to>
      <xdr:col>15</xdr:col>
      <xdr:colOff>161498</xdr:colOff>
      <xdr:row>0</xdr:row>
      <xdr:rowOff>560919</xdr:rowOff>
    </xdr:to>
    <xdr:sp macro="[0]!Navigate_Home" textlink="">
      <xdr:nvSpPr>
        <xdr:cNvPr id="34" name="TextBox 33">
          <a:extLst>
            <a:ext uri="{FF2B5EF4-FFF2-40B4-BE49-F238E27FC236}">
              <a16:creationId xmlns:a16="http://schemas.microsoft.com/office/drawing/2014/main" id="{AF9B6D11-B8D4-430B-B995-772E39DA2206}"/>
            </a:ext>
          </a:extLst>
        </xdr:cNvPr>
        <xdr:cNvSpPr txBox="1">
          <a:spLocks noChangeAspect="1"/>
        </xdr:cNvSpPr>
      </xdr:nvSpPr>
      <xdr:spPr>
        <a:xfrm>
          <a:off x="4333437" y="0"/>
          <a:ext cx="168488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30</xdr:col>
      <xdr:colOff>247015</xdr:colOff>
      <xdr:row>0</xdr:row>
      <xdr:rowOff>153469</xdr:rowOff>
    </xdr:from>
    <xdr:to>
      <xdr:col>31</xdr:col>
      <xdr:colOff>122053</xdr:colOff>
      <xdr:row>0</xdr:row>
      <xdr:rowOff>429892</xdr:rowOff>
    </xdr:to>
    <xdr:pic>
      <xdr:nvPicPr>
        <xdr:cNvPr id="35" name="Picture 34" title="Help">
          <a:hlinkClick xmlns:r="http://schemas.openxmlformats.org/officeDocument/2006/relationships" r:id="rId3"/>
          <a:extLst>
            <a:ext uri="{FF2B5EF4-FFF2-40B4-BE49-F238E27FC236}">
              <a16:creationId xmlns:a16="http://schemas.microsoft.com/office/drawing/2014/main" id="{8842F5CF-F522-4B1F-94C0-781119994E3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964882" y="153469"/>
          <a:ext cx="266623" cy="275367"/>
        </a:xfrm>
        <a:prstGeom prst="rect">
          <a:avLst/>
        </a:prstGeom>
      </xdr:spPr>
    </xdr:pic>
    <xdr:clientData/>
  </xdr:twoCellAnchor>
  <xdr:twoCellAnchor editAs="absolute">
    <xdr:from>
      <xdr:col>29</xdr:col>
      <xdr:colOff>84030</xdr:colOff>
      <xdr:row>0</xdr:row>
      <xdr:rowOff>152516</xdr:rowOff>
    </xdr:from>
    <xdr:to>
      <xdr:col>29</xdr:col>
      <xdr:colOff>369785</xdr:colOff>
      <xdr:row>0</xdr:row>
      <xdr:rowOff>429997</xdr:rowOff>
    </xdr:to>
    <xdr:pic macro="[0]!Navigate_Info_Sheet">
      <xdr:nvPicPr>
        <xdr:cNvPr id="36" name="Picture 35">
          <a:extLst>
            <a:ext uri="{FF2B5EF4-FFF2-40B4-BE49-F238E27FC236}">
              <a16:creationId xmlns:a16="http://schemas.microsoft.com/office/drawing/2014/main" id="{D07E9FE8-0B5E-4120-B95A-AD60A728386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412432" y="152516"/>
          <a:ext cx="283634" cy="276425"/>
        </a:xfrm>
        <a:prstGeom prst="rect">
          <a:avLst/>
        </a:prstGeom>
      </xdr:spPr>
    </xdr:pic>
    <xdr:clientData/>
  </xdr:twoCellAnchor>
  <xdr:twoCellAnchor editAs="absolute">
    <xdr:from>
      <xdr:col>0</xdr:col>
      <xdr:colOff>0</xdr:colOff>
      <xdr:row>0</xdr:row>
      <xdr:rowOff>0</xdr:rowOff>
    </xdr:from>
    <xdr:to>
      <xdr:col>4</xdr:col>
      <xdr:colOff>105849</xdr:colOff>
      <xdr:row>0</xdr:row>
      <xdr:rowOff>562824</xdr:rowOff>
    </xdr:to>
    <xdr:sp macro="" textlink="">
      <xdr:nvSpPr>
        <xdr:cNvPr id="37" name="TextBox 36">
          <a:extLst>
            <a:ext uri="{FF2B5EF4-FFF2-40B4-BE49-F238E27FC236}">
              <a16:creationId xmlns:a16="http://schemas.microsoft.com/office/drawing/2014/main" id="{C7B60CA5-C326-4622-82A6-E7A319825C65}"/>
            </a:ext>
          </a:extLst>
        </xdr:cNvPr>
        <xdr:cNvSpPr txBox="1">
          <a:spLocks noChangeAspect="1"/>
        </xdr:cNvSpPr>
      </xdr:nvSpPr>
      <xdr:spPr>
        <a:xfrm>
          <a:off x="0" y="0"/>
          <a:ext cx="1664772"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31</xdr:col>
      <xdr:colOff>382677</xdr:colOff>
      <xdr:row>0</xdr:row>
      <xdr:rowOff>140831</xdr:rowOff>
    </xdr:from>
    <xdr:to>
      <xdr:col>33</xdr:col>
      <xdr:colOff>95581</xdr:colOff>
      <xdr:row>0</xdr:row>
      <xdr:rowOff>417407</xdr:rowOff>
    </xdr:to>
    <xdr:pic macro="[0]!Hide_Rental_Loan_Setup">
      <xdr:nvPicPr>
        <xdr:cNvPr id="9" name="Picture 8">
          <a:extLst>
            <a:ext uri="{FF2B5EF4-FFF2-40B4-BE49-F238E27FC236}">
              <a16:creationId xmlns:a16="http://schemas.microsoft.com/office/drawing/2014/main" id="{71603829-5736-4054-AB3E-359E6A72E812}"/>
            </a:ext>
          </a:extLst>
        </xdr:cNvPr>
        <xdr:cNvPicPr>
          <a:picLocks noChangeAspect="1"/>
        </xdr:cNvPicPr>
      </xdr:nvPicPr>
      <xdr:blipFill>
        <a:blip xmlns:r="http://schemas.openxmlformats.org/officeDocument/2006/relationships" r:embed="rId1"/>
        <a:stretch>
          <a:fillRect/>
        </a:stretch>
      </xdr:blipFill>
      <xdr:spPr>
        <a:xfrm>
          <a:off x="12488952" y="144002"/>
          <a:ext cx="272762" cy="273405"/>
        </a:xfrm>
        <a:prstGeom prst="rect">
          <a:avLst/>
        </a:prstGeom>
      </xdr:spPr>
    </xdr:pic>
    <xdr:clientData/>
  </xdr:twoCellAnchor>
  <xdr:twoCellAnchor editAs="oneCell">
    <xdr:from>
      <xdr:col>32</xdr:col>
      <xdr:colOff>55033</xdr:colOff>
      <xdr:row>19</xdr:row>
      <xdr:rowOff>133354</xdr:rowOff>
    </xdr:from>
    <xdr:to>
      <xdr:col>37</xdr:col>
      <xdr:colOff>286856</xdr:colOff>
      <xdr:row>20</xdr:row>
      <xdr:rowOff>266698</xdr:rowOff>
    </xdr:to>
    <xdr:sp macro="[0]!Navigate_Rental_Analysis" textlink="">
      <xdr:nvSpPr>
        <xdr:cNvPr id="11" name="Next_Button">
          <a:extLst>
            <a:ext uri="{FF2B5EF4-FFF2-40B4-BE49-F238E27FC236}">
              <a16:creationId xmlns:a16="http://schemas.microsoft.com/office/drawing/2014/main" id="{C29665C1-A7A8-437F-B04D-48778338FFBE}"/>
            </a:ext>
          </a:extLst>
        </xdr:cNvPr>
        <xdr:cNvSpPr>
          <a:spLocks/>
        </xdr:cNvSpPr>
      </xdr:nvSpPr>
      <xdr:spPr>
        <a:xfrm>
          <a:off x="12551833" y="5876929"/>
          <a:ext cx="1963256" cy="447669"/>
        </a:xfrm>
        <a:prstGeom prst="roundRect">
          <a:avLst>
            <a:gd name="adj" fmla="val 14815"/>
          </a:avLst>
        </a:prstGeom>
        <a:solidFill>
          <a:srgbClr val="00B050"/>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2000" b="1" i="0">
              <a:solidFill>
                <a:schemeClr val="bg1">
                  <a:lumMod val="95000"/>
                </a:schemeClr>
              </a:solidFill>
              <a:latin typeface="+mn-lt"/>
            </a:rPr>
            <a:t>Back</a:t>
          </a:r>
        </a:p>
      </xdr:txBody>
    </xdr:sp>
    <xdr:clientData/>
  </xdr:twoCellAnchor>
  <xdr:twoCellAnchor>
    <xdr:from>
      <xdr:col>6</xdr:col>
      <xdr:colOff>354541</xdr:colOff>
      <xdr:row>1</xdr:row>
      <xdr:rowOff>19050</xdr:rowOff>
    </xdr:from>
    <xdr:to>
      <xdr:col>10</xdr:col>
      <xdr:colOff>354541</xdr:colOff>
      <xdr:row>3</xdr:row>
      <xdr:rowOff>56091</xdr:rowOff>
    </xdr:to>
    <xdr:sp macro="[0]!Navigate_Rental_Analysis" textlink="">
      <xdr:nvSpPr>
        <xdr:cNvPr id="14" name="Rectangle 13">
          <a:extLst>
            <a:ext uri="{FF2B5EF4-FFF2-40B4-BE49-F238E27FC236}">
              <a16:creationId xmlns:a16="http://schemas.microsoft.com/office/drawing/2014/main" id="{614E2F1A-2149-4266-BC91-2AD45DBA8156}"/>
            </a:ext>
          </a:extLst>
        </xdr:cNvPr>
        <xdr:cNvSpPr/>
      </xdr:nvSpPr>
      <xdr:spPr>
        <a:xfrm>
          <a:off x="2694516" y="588433"/>
          <a:ext cx="1562100" cy="412750"/>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xdr:col>
      <xdr:colOff>361950</xdr:colOff>
      <xdr:row>1</xdr:row>
      <xdr:rowOff>19050</xdr:rowOff>
    </xdr:from>
    <xdr:to>
      <xdr:col>6</xdr:col>
      <xdr:colOff>361950</xdr:colOff>
      <xdr:row>3</xdr:row>
      <xdr:rowOff>56091</xdr:rowOff>
    </xdr:to>
    <xdr:sp macro="[0]!Navigate_Rental_Purchase" textlink="">
      <xdr:nvSpPr>
        <xdr:cNvPr id="15" name="Rectangle 14">
          <a:extLst>
            <a:ext uri="{FF2B5EF4-FFF2-40B4-BE49-F238E27FC236}">
              <a16:creationId xmlns:a16="http://schemas.microsoft.com/office/drawing/2014/main" id="{76DE4C72-B070-4F3D-AB66-D0E25A1B0875}"/>
            </a:ext>
          </a:extLst>
        </xdr:cNvPr>
        <xdr:cNvSpPr/>
      </xdr:nvSpPr>
      <xdr:spPr>
        <a:xfrm>
          <a:off x="1140883" y="588433"/>
          <a:ext cx="1562100" cy="412750"/>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10</xdr:col>
      <xdr:colOff>354541</xdr:colOff>
      <xdr:row>1</xdr:row>
      <xdr:rowOff>19050</xdr:rowOff>
    </xdr:from>
    <xdr:to>
      <xdr:col>14</xdr:col>
      <xdr:colOff>354541</xdr:colOff>
      <xdr:row>3</xdr:row>
      <xdr:rowOff>56091</xdr:rowOff>
    </xdr:to>
    <xdr:sp macro="[0]!Navigate_Rental_Financing" textlink="">
      <xdr:nvSpPr>
        <xdr:cNvPr id="16" name="Rectangle 15">
          <a:extLst>
            <a:ext uri="{FF2B5EF4-FFF2-40B4-BE49-F238E27FC236}">
              <a16:creationId xmlns:a16="http://schemas.microsoft.com/office/drawing/2014/main" id="{2133BB97-E12A-4594-AA89-059D26EA287C}"/>
            </a:ext>
          </a:extLst>
        </xdr:cNvPr>
        <xdr:cNvSpPr/>
      </xdr:nvSpPr>
      <xdr:spPr>
        <a:xfrm>
          <a:off x="2694516" y="588433"/>
          <a:ext cx="1562100" cy="412750"/>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11</xdr:col>
      <xdr:colOff>38100</xdr:colOff>
      <xdr:row>3</xdr:row>
      <xdr:rowOff>66675</xdr:rowOff>
    </xdr:from>
    <xdr:to>
      <xdr:col>14</xdr:col>
      <xdr:colOff>370417</xdr:colOff>
      <xdr:row>3</xdr:row>
      <xdr:rowOff>66675</xdr:rowOff>
    </xdr:to>
    <xdr:cxnSp macro="">
      <xdr:nvCxnSpPr>
        <xdr:cNvPr id="17" name="Straight Connector 16">
          <a:extLst>
            <a:ext uri="{FF2B5EF4-FFF2-40B4-BE49-F238E27FC236}">
              <a16:creationId xmlns:a16="http://schemas.microsoft.com/office/drawing/2014/main" id="{B16BCC70-23BD-441A-9690-050C4E47FB92}"/>
            </a:ext>
          </a:extLst>
        </xdr:cNvPr>
        <xdr:cNvCxnSpPr/>
      </xdr:nvCxnSpPr>
      <xdr:spPr>
        <a:xfrm>
          <a:off x="4333875" y="1009650"/>
          <a:ext cx="1503892"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24</xdr:col>
      <xdr:colOff>84462</xdr:colOff>
      <xdr:row>0</xdr:row>
      <xdr:rowOff>0</xdr:rowOff>
    </xdr:from>
    <xdr:to>
      <xdr:col>28</xdr:col>
      <xdr:colOff>219291</xdr:colOff>
      <xdr:row>0</xdr:row>
      <xdr:rowOff>563037</xdr:rowOff>
    </xdr:to>
    <xdr:sp macro="[0]!Navigate_Reporting" textlink="">
      <xdr:nvSpPr>
        <xdr:cNvPr id="18" name="TextBox 17">
          <a:extLst>
            <a:ext uri="{FF2B5EF4-FFF2-40B4-BE49-F238E27FC236}">
              <a16:creationId xmlns:a16="http://schemas.microsoft.com/office/drawing/2014/main" id="{6C58BF63-0E2F-4087-AF9B-366591AB1B18}"/>
            </a:ext>
          </a:extLst>
        </xdr:cNvPr>
        <xdr:cNvSpPr txBox="1">
          <a:spLocks noChangeAspect="1"/>
        </xdr:cNvSpPr>
      </xdr:nvSpPr>
      <xdr:spPr>
        <a:xfrm>
          <a:off x="9458124" y="0"/>
          <a:ext cx="169480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15</xdr:col>
      <xdr:colOff>172519</xdr:colOff>
      <xdr:row>0</xdr:row>
      <xdr:rowOff>1</xdr:rowOff>
    </xdr:from>
    <xdr:to>
      <xdr:col>19</xdr:col>
      <xdr:colOff>304165</xdr:colOff>
      <xdr:row>0</xdr:row>
      <xdr:rowOff>563037</xdr:rowOff>
    </xdr:to>
    <xdr:sp macro="[0]!Navigate_Rehab_Analyzer" textlink="">
      <xdr:nvSpPr>
        <xdr:cNvPr id="19" name="TextBox 18">
          <a:extLst>
            <a:ext uri="{FF2B5EF4-FFF2-40B4-BE49-F238E27FC236}">
              <a16:creationId xmlns:a16="http://schemas.microsoft.com/office/drawing/2014/main" id="{ACC2E5CF-4B95-4F1E-BDE5-8B4B5C7F4D85}"/>
            </a:ext>
          </a:extLst>
        </xdr:cNvPr>
        <xdr:cNvSpPr txBox="1">
          <a:spLocks noChangeAspect="1"/>
        </xdr:cNvSpPr>
      </xdr:nvSpPr>
      <xdr:spPr>
        <a:xfrm>
          <a:off x="6028277" y="1"/>
          <a:ext cx="1695863" cy="561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19</xdr:col>
      <xdr:colOff>323426</xdr:colOff>
      <xdr:row>0</xdr:row>
      <xdr:rowOff>0</xdr:rowOff>
    </xdr:from>
    <xdr:to>
      <xdr:col>24</xdr:col>
      <xdr:colOff>58219</xdr:colOff>
      <xdr:row>0</xdr:row>
      <xdr:rowOff>563037</xdr:rowOff>
    </xdr:to>
    <xdr:sp macro="[0]!Navigate_Repair_Estimator" textlink="">
      <xdr:nvSpPr>
        <xdr:cNvPr id="20" name="TextBox 19">
          <a:extLst>
            <a:ext uri="{FF2B5EF4-FFF2-40B4-BE49-F238E27FC236}">
              <a16:creationId xmlns:a16="http://schemas.microsoft.com/office/drawing/2014/main" id="{CA0A7F07-137D-421B-B639-5F6DA61889C9}"/>
            </a:ext>
          </a:extLst>
        </xdr:cNvPr>
        <xdr:cNvSpPr txBox="1">
          <a:spLocks noChangeAspect="1"/>
        </xdr:cNvSpPr>
      </xdr:nvSpPr>
      <xdr:spPr>
        <a:xfrm>
          <a:off x="7745518" y="0"/>
          <a:ext cx="1683184"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11</xdr:col>
      <xdr:colOff>37662</xdr:colOff>
      <xdr:row>0</xdr:row>
      <xdr:rowOff>0</xdr:rowOff>
    </xdr:from>
    <xdr:to>
      <xdr:col>15</xdr:col>
      <xdr:colOff>163613</xdr:colOff>
      <xdr:row>0</xdr:row>
      <xdr:rowOff>563037</xdr:rowOff>
    </xdr:to>
    <xdr:sp macro="[0]!Navigate_Home" textlink="">
      <xdr:nvSpPr>
        <xdr:cNvPr id="21" name="TextBox 20">
          <a:extLst>
            <a:ext uri="{FF2B5EF4-FFF2-40B4-BE49-F238E27FC236}">
              <a16:creationId xmlns:a16="http://schemas.microsoft.com/office/drawing/2014/main" id="{61CEA306-BB2F-4655-A0D9-C7192D025F25}"/>
            </a:ext>
          </a:extLst>
        </xdr:cNvPr>
        <xdr:cNvSpPr txBox="1">
          <a:spLocks noChangeAspect="1"/>
        </xdr:cNvSpPr>
      </xdr:nvSpPr>
      <xdr:spPr>
        <a:xfrm>
          <a:off x="4333437" y="0"/>
          <a:ext cx="168488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30</xdr:col>
      <xdr:colOff>247015</xdr:colOff>
      <xdr:row>0</xdr:row>
      <xdr:rowOff>153469</xdr:rowOff>
    </xdr:from>
    <xdr:to>
      <xdr:col>31</xdr:col>
      <xdr:colOff>124168</xdr:colOff>
      <xdr:row>0</xdr:row>
      <xdr:rowOff>427774</xdr:rowOff>
    </xdr:to>
    <xdr:pic>
      <xdr:nvPicPr>
        <xdr:cNvPr id="22" name="Picture 21" title="Help">
          <a:hlinkClick xmlns:r="http://schemas.openxmlformats.org/officeDocument/2006/relationships" r:id="rId2"/>
          <a:extLst>
            <a:ext uri="{FF2B5EF4-FFF2-40B4-BE49-F238E27FC236}">
              <a16:creationId xmlns:a16="http://schemas.microsoft.com/office/drawing/2014/main" id="{12662800-F91A-496E-AE72-03F635C07BD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964882" y="153469"/>
          <a:ext cx="266623" cy="275367"/>
        </a:xfrm>
        <a:prstGeom prst="rect">
          <a:avLst/>
        </a:prstGeom>
      </xdr:spPr>
    </xdr:pic>
    <xdr:clientData/>
  </xdr:twoCellAnchor>
  <xdr:twoCellAnchor editAs="absolute">
    <xdr:from>
      <xdr:col>29</xdr:col>
      <xdr:colOff>86145</xdr:colOff>
      <xdr:row>0</xdr:row>
      <xdr:rowOff>152516</xdr:rowOff>
    </xdr:from>
    <xdr:to>
      <xdr:col>29</xdr:col>
      <xdr:colOff>371903</xdr:colOff>
      <xdr:row>0</xdr:row>
      <xdr:rowOff>427879</xdr:rowOff>
    </xdr:to>
    <xdr:pic macro="[0]!Navigate_Info_Sheet">
      <xdr:nvPicPr>
        <xdr:cNvPr id="23" name="Picture 22">
          <a:extLst>
            <a:ext uri="{FF2B5EF4-FFF2-40B4-BE49-F238E27FC236}">
              <a16:creationId xmlns:a16="http://schemas.microsoft.com/office/drawing/2014/main" id="{62CF7060-47B4-4888-9156-4CB5E48BA67B}"/>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412432" y="152516"/>
          <a:ext cx="283634" cy="276425"/>
        </a:xfrm>
        <a:prstGeom prst="rect">
          <a:avLst/>
        </a:prstGeom>
      </xdr:spPr>
    </xdr:pic>
    <xdr:clientData/>
  </xdr:twoCellAnchor>
  <xdr:twoCellAnchor editAs="absolute">
    <xdr:from>
      <xdr:col>0</xdr:col>
      <xdr:colOff>0</xdr:colOff>
      <xdr:row>0</xdr:row>
      <xdr:rowOff>0</xdr:rowOff>
    </xdr:from>
    <xdr:to>
      <xdr:col>4</xdr:col>
      <xdr:colOff>103734</xdr:colOff>
      <xdr:row>0</xdr:row>
      <xdr:rowOff>560709</xdr:rowOff>
    </xdr:to>
    <xdr:sp macro="" textlink="">
      <xdr:nvSpPr>
        <xdr:cNvPr id="24" name="TextBox 23">
          <a:extLst>
            <a:ext uri="{FF2B5EF4-FFF2-40B4-BE49-F238E27FC236}">
              <a16:creationId xmlns:a16="http://schemas.microsoft.com/office/drawing/2014/main" id="{666D281C-68A4-4D28-B525-F523E8126559}"/>
            </a:ext>
          </a:extLst>
        </xdr:cNvPr>
        <xdr:cNvSpPr txBox="1">
          <a:spLocks noChangeAspect="1"/>
        </xdr:cNvSpPr>
      </xdr:nvSpPr>
      <xdr:spPr>
        <a:xfrm>
          <a:off x="0" y="0"/>
          <a:ext cx="1664772"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34</xdr:col>
      <xdr:colOff>152400</xdr:colOff>
      <xdr:row>19</xdr:row>
      <xdr:rowOff>62866</xdr:rowOff>
    </xdr:from>
    <xdr:to>
      <xdr:col>35</xdr:col>
      <xdr:colOff>162115</xdr:colOff>
      <xdr:row>20</xdr:row>
      <xdr:rowOff>150919</xdr:rowOff>
    </xdr:to>
    <xdr:pic>
      <xdr:nvPicPr>
        <xdr:cNvPr id="168" name="Picture 167">
          <a:hlinkClick xmlns:r="http://schemas.openxmlformats.org/officeDocument/2006/relationships" r:id="rId1"/>
          <a:extLst>
            <a:ext uri="{FF2B5EF4-FFF2-40B4-BE49-F238E27FC236}">
              <a16:creationId xmlns:a16="http://schemas.microsoft.com/office/drawing/2014/main" id="{00000000-0008-0000-2000-0000A8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2468225" y="15817216"/>
          <a:ext cx="274320" cy="274320"/>
        </a:xfrm>
        <a:prstGeom prst="rect">
          <a:avLst/>
        </a:prstGeom>
      </xdr:spPr>
    </xdr:pic>
    <xdr:clientData/>
  </xdr:twoCellAnchor>
  <xdr:twoCellAnchor>
    <xdr:from>
      <xdr:col>35</xdr:col>
      <xdr:colOff>88863</xdr:colOff>
      <xdr:row>19</xdr:row>
      <xdr:rowOff>9525</xdr:rowOff>
    </xdr:from>
    <xdr:to>
      <xdr:col>40</xdr:col>
      <xdr:colOff>102198</xdr:colOff>
      <xdr:row>21</xdr:row>
      <xdr:rowOff>13335</xdr:rowOff>
    </xdr:to>
    <xdr:sp macro="" textlink="">
      <xdr:nvSpPr>
        <xdr:cNvPr id="181" name="TextBox 180">
          <a:hlinkClick xmlns:r="http://schemas.openxmlformats.org/officeDocument/2006/relationships" r:id="rId1"/>
          <a:extLst>
            <a:ext uri="{FF2B5EF4-FFF2-40B4-BE49-F238E27FC236}">
              <a16:creationId xmlns:a16="http://schemas.microsoft.com/office/drawing/2014/main" id="{00000000-0008-0000-2000-0000B5000000}"/>
            </a:ext>
          </a:extLst>
        </xdr:cNvPr>
        <xdr:cNvSpPr txBox="1"/>
      </xdr:nvSpPr>
      <xdr:spPr>
        <a:xfrm>
          <a:off x="12671388" y="15763875"/>
          <a:ext cx="1080135"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rgbClr val="398CCC"/>
              </a:solidFill>
              <a:latin typeface="Calibri Light" panose="020F0302020204030204" pitchFamily="34" charset="0"/>
            </a:rPr>
            <a:t>Report</a:t>
          </a:r>
          <a:r>
            <a:rPr lang="en-US" sz="1200" b="0" i="1" baseline="0">
              <a:solidFill>
                <a:srgbClr val="398CCC"/>
              </a:solidFill>
              <a:latin typeface="Calibri Light" panose="020F0302020204030204" pitchFamily="34" charset="0"/>
            </a:rPr>
            <a:t> Piracy</a:t>
          </a:r>
          <a:endParaRPr lang="en-US" sz="1200" b="0" i="1">
            <a:solidFill>
              <a:srgbClr val="398CCC"/>
            </a:solidFill>
            <a:latin typeface="Calibri Light" panose="020F0302020204030204" pitchFamily="34" charset="0"/>
          </a:endParaRPr>
        </a:p>
      </xdr:txBody>
    </xdr:sp>
    <xdr:clientData/>
  </xdr:twoCellAnchor>
  <xdr:twoCellAnchor>
    <xdr:from>
      <xdr:col>3</xdr:col>
      <xdr:colOff>171450</xdr:colOff>
      <xdr:row>6</xdr:row>
      <xdr:rowOff>57150</xdr:rowOff>
    </xdr:from>
    <xdr:to>
      <xdr:col>12</xdr:col>
      <xdr:colOff>209550</xdr:colOff>
      <xdr:row>6</xdr:row>
      <xdr:rowOff>304800</xdr:rowOff>
    </xdr:to>
    <xdr:sp macro="[0]!Navigate_Inspection_Checklist" textlink="">
      <xdr:nvSpPr>
        <xdr:cNvPr id="43" name="Rectangle 42">
          <a:extLst>
            <a:ext uri="{FF2B5EF4-FFF2-40B4-BE49-F238E27FC236}">
              <a16:creationId xmlns:a16="http://schemas.microsoft.com/office/drawing/2014/main" id="{00000000-0008-0000-2000-00002B000000}"/>
            </a:ext>
          </a:extLst>
        </xdr:cNvPr>
        <xdr:cNvSpPr>
          <a:spLocks noChangeAspect="1"/>
        </xdr:cNvSpPr>
      </xdr:nvSpPr>
      <xdr:spPr>
        <a:xfrm>
          <a:off x="4486275" y="1790700"/>
          <a:ext cx="2438400" cy="247650"/>
        </a:xfrm>
        <a:prstGeom prst="rect">
          <a:avLst/>
        </a:prstGeom>
        <a:noFill/>
        <a:ln>
          <a:no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152400</xdr:colOff>
      <xdr:row>7</xdr:row>
      <xdr:rowOff>47625</xdr:rowOff>
    </xdr:from>
    <xdr:to>
      <xdr:col>12</xdr:col>
      <xdr:colOff>190500</xdr:colOff>
      <xdr:row>7</xdr:row>
      <xdr:rowOff>295275</xdr:rowOff>
    </xdr:to>
    <xdr:sp macro="[0]!Navigate_Repair_Estimate_Reports" textlink="">
      <xdr:nvSpPr>
        <xdr:cNvPr id="182" name="Rectangle 181">
          <a:extLst>
            <a:ext uri="{FF2B5EF4-FFF2-40B4-BE49-F238E27FC236}">
              <a16:creationId xmlns:a16="http://schemas.microsoft.com/office/drawing/2014/main" id="{00000000-0008-0000-2000-0000B6000000}"/>
            </a:ext>
          </a:extLst>
        </xdr:cNvPr>
        <xdr:cNvSpPr>
          <a:spLocks noChangeAspect="1"/>
        </xdr:cNvSpPr>
      </xdr:nvSpPr>
      <xdr:spPr>
        <a:xfrm>
          <a:off x="4467225" y="2114550"/>
          <a:ext cx="2438400" cy="247650"/>
        </a:xfrm>
        <a:prstGeom prst="rect">
          <a:avLst/>
        </a:prstGeom>
        <a:noFill/>
        <a:ln>
          <a:no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142875</xdr:colOff>
      <xdr:row>8</xdr:row>
      <xdr:rowOff>57150</xdr:rowOff>
    </xdr:from>
    <xdr:to>
      <xdr:col>12</xdr:col>
      <xdr:colOff>180975</xdr:colOff>
      <xdr:row>8</xdr:row>
      <xdr:rowOff>304800</xdr:rowOff>
    </xdr:to>
    <xdr:sp macro="[0]!Navigate_Investment_Reports" textlink="">
      <xdr:nvSpPr>
        <xdr:cNvPr id="185" name="Rectangle 184">
          <a:extLst>
            <a:ext uri="{FF2B5EF4-FFF2-40B4-BE49-F238E27FC236}">
              <a16:creationId xmlns:a16="http://schemas.microsoft.com/office/drawing/2014/main" id="{00000000-0008-0000-2000-0000B9000000}"/>
            </a:ext>
          </a:extLst>
        </xdr:cNvPr>
        <xdr:cNvSpPr>
          <a:spLocks noChangeAspect="1"/>
        </xdr:cNvSpPr>
      </xdr:nvSpPr>
      <xdr:spPr>
        <a:xfrm>
          <a:off x="4457700" y="2457450"/>
          <a:ext cx="2438400" cy="247650"/>
        </a:xfrm>
        <a:prstGeom prst="rect">
          <a:avLst/>
        </a:prstGeom>
        <a:noFill/>
        <a:ln>
          <a:no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114300</xdr:colOff>
      <xdr:row>14</xdr:row>
      <xdr:rowOff>47625</xdr:rowOff>
    </xdr:from>
    <xdr:to>
      <xdr:col>12</xdr:col>
      <xdr:colOff>152400</xdr:colOff>
      <xdr:row>14</xdr:row>
      <xdr:rowOff>295275</xdr:rowOff>
    </xdr:to>
    <xdr:sp macro="[0]!Navigate_Rental_Reports" textlink="">
      <xdr:nvSpPr>
        <xdr:cNvPr id="186" name="Rectangle 185">
          <a:extLst>
            <a:ext uri="{FF2B5EF4-FFF2-40B4-BE49-F238E27FC236}">
              <a16:creationId xmlns:a16="http://schemas.microsoft.com/office/drawing/2014/main" id="{00000000-0008-0000-2000-0000BA000000}"/>
            </a:ext>
          </a:extLst>
        </xdr:cNvPr>
        <xdr:cNvSpPr>
          <a:spLocks noChangeAspect="1"/>
        </xdr:cNvSpPr>
      </xdr:nvSpPr>
      <xdr:spPr>
        <a:xfrm>
          <a:off x="4429125" y="3781425"/>
          <a:ext cx="2438400" cy="247650"/>
        </a:xfrm>
        <a:prstGeom prst="rect">
          <a:avLst/>
        </a:prstGeom>
        <a:noFill/>
        <a:ln>
          <a:no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123825</xdr:colOff>
      <xdr:row>10</xdr:row>
      <xdr:rowOff>38100</xdr:rowOff>
    </xdr:from>
    <xdr:to>
      <xdr:col>12</xdr:col>
      <xdr:colOff>161925</xdr:colOff>
      <xdr:row>10</xdr:row>
      <xdr:rowOff>285750</xdr:rowOff>
    </xdr:to>
    <xdr:sp macro="[0]!Navigate_Funding_Reports" textlink="">
      <xdr:nvSpPr>
        <xdr:cNvPr id="187" name="Rectangle 186">
          <a:extLst>
            <a:ext uri="{FF2B5EF4-FFF2-40B4-BE49-F238E27FC236}">
              <a16:creationId xmlns:a16="http://schemas.microsoft.com/office/drawing/2014/main" id="{00000000-0008-0000-2000-0000BB000000}"/>
            </a:ext>
          </a:extLst>
        </xdr:cNvPr>
        <xdr:cNvSpPr>
          <a:spLocks noChangeAspect="1"/>
        </xdr:cNvSpPr>
      </xdr:nvSpPr>
      <xdr:spPr>
        <a:xfrm>
          <a:off x="4438650" y="2771775"/>
          <a:ext cx="2438400" cy="247650"/>
        </a:xfrm>
        <a:prstGeom prst="rect">
          <a:avLst/>
        </a:prstGeom>
        <a:noFill/>
        <a:ln>
          <a:no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76200</xdr:colOff>
      <xdr:row>16</xdr:row>
      <xdr:rowOff>47625</xdr:rowOff>
    </xdr:from>
    <xdr:to>
      <xdr:col>12</xdr:col>
      <xdr:colOff>114300</xdr:colOff>
      <xdr:row>16</xdr:row>
      <xdr:rowOff>295275</xdr:rowOff>
    </xdr:to>
    <xdr:sp macro="[0]!Navigate_Wholesale_Reports" textlink="">
      <xdr:nvSpPr>
        <xdr:cNvPr id="188" name="Rectangle 187">
          <a:extLst>
            <a:ext uri="{FF2B5EF4-FFF2-40B4-BE49-F238E27FC236}">
              <a16:creationId xmlns:a16="http://schemas.microsoft.com/office/drawing/2014/main" id="{00000000-0008-0000-2000-0000BC000000}"/>
            </a:ext>
          </a:extLst>
        </xdr:cNvPr>
        <xdr:cNvSpPr>
          <a:spLocks noChangeAspect="1"/>
        </xdr:cNvSpPr>
      </xdr:nvSpPr>
      <xdr:spPr>
        <a:xfrm>
          <a:off x="4391025" y="4448175"/>
          <a:ext cx="2438400" cy="247650"/>
        </a:xfrm>
        <a:prstGeom prst="rect">
          <a:avLst/>
        </a:prstGeom>
        <a:noFill/>
        <a:ln>
          <a:no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133350</xdr:colOff>
      <xdr:row>11</xdr:row>
      <xdr:rowOff>38100</xdr:rowOff>
    </xdr:from>
    <xdr:to>
      <xdr:col>12</xdr:col>
      <xdr:colOff>171450</xdr:colOff>
      <xdr:row>11</xdr:row>
      <xdr:rowOff>285750</xdr:rowOff>
    </xdr:to>
    <xdr:sp macro="[0]!Navigate_Homeowner_Offer_Report" textlink="">
      <xdr:nvSpPr>
        <xdr:cNvPr id="189" name="Rectangle 188">
          <a:extLst>
            <a:ext uri="{FF2B5EF4-FFF2-40B4-BE49-F238E27FC236}">
              <a16:creationId xmlns:a16="http://schemas.microsoft.com/office/drawing/2014/main" id="{00000000-0008-0000-2000-0000BD000000}"/>
            </a:ext>
          </a:extLst>
        </xdr:cNvPr>
        <xdr:cNvSpPr>
          <a:spLocks noChangeAspect="1"/>
        </xdr:cNvSpPr>
      </xdr:nvSpPr>
      <xdr:spPr>
        <a:xfrm>
          <a:off x="4448175" y="3105150"/>
          <a:ext cx="2438400" cy="247650"/>
        </a:xfrm>
        <a:prstGeom prst="rect">
          <a:avLst/>
        </a:prstGeom>
        <a:noFill/>
        <a:ln>
          <a:no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133350</xdr:colOff>
      <xdr:row>12</xdr:row>
      <xdr:rowOff>38100</xdr:rowOff>
    </xdr:from>
    <xdr:to>
      <xdr:col>12</xdr:col>
      <xdr:colOff>171450</xdr:colOff>
      <xdr:row>12</xdr:row>
      <xdr:rowOff>285750</xdr:rowOff>
    </xdr:to>
    <xdr:sp macro="[0]!Navigate_Comparables_Reports" textlink="">
      <xdr:nvSpPr>
        <xdr:cNvPr id="52" name="Rectangle 51">
          <a:extLst>
            <a:ext uri="{FF2B5EF4-FFF2-40B4-BE49-F238E27FC236}">
              <a16:creationId xmlns:a16="http://schemas.microsoft.com/office/drawing/2014/main" id="{CB861232-2DED-4B4A-9C82-EDA5DE59B779}"/>
            </a:ext>
          </a:extLst>
        </xdr:cNvPr>
        <xdr:cNvSpPr>
          <a:spLocks noChangeAspect="1"/>
        </xdr:cNvSpPr>
      </xdr:nvSpPr>
      <xdr:spPr>
        <a:xfrm>
          <a:off x="4448175" y="3105150"/>
          <a:ext cx="2438400" cy="247650"/>
        </a:xfrm>
        <a:prstGeom prst="rect">
          <a:avLst/>
        </a:prstGeom>
        <a:noFill/>
        <a:ln>
          <a:no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142875</xdr:colOff>
      <xdr:row>9</xdr:row>
      <xdr:rowOff>57150</xdr:rowOff>
    </xdr:from>
    <xdr:to>
      <xdr:col>12</xdr:col>
      <xdr:colOff>180975</xdr:colOff>
      <xdr:row>9</xdr:row>
      <xdr:rowOff>304800</xdr:rowOff>
    </xdr:to>
    <xdr:sp macro="[0]!Navigate_All_Project_Costs_Reports" textlink="">
      <xdr:nvSpPr>
        <xdr:cNvPr id="49" name="Rectangle 48">
          <a:extLst>
            <a:ext uri="{FF2B5EF4-FFF2-40B4-BE49-F238E27FC236}">
              <a16:creationId xmlns:a16="http://schemas.microsoft.com/office/drawing/2014/main" id="{14D434FC-5E10-4070-B8BA-02C72780C751}"/>
            </a:ext>
          </a:extLst>
        </xdr:cNvPr>
        <xdr:cNvSpPr>
          <a:spLocks noChangeAspect="1"/>
        </xdr:cNvSpPr>
      </xdr:nvSpPr>
      <xdr:spPr>
        <a:xfrm>
          <a:off x="4463973" y="2473248"/>
          <a:ext cx="2442581" cy="247650"/>
        </a:xfrm>
        <a:prstGeom prst="rect">
          <a:avLst/>
        </a:prstGeom>
        <a:noFill/>
        <a:ln>
          <a:no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absolute">
    <xdr:from>
      <xdr:col>22</xdr:col>
      <xdr:colOff>123624</xdr:colOff>
      <xdr:row>0</xdr:row>
      <xdr:rowOff>0</xdr:rowOff>
    </xdr:from>
    <xdr:to>
      <xdr:col>28</xdr:col>
      <xdr:colOff>218229</xdr:colOff>
      <xdr:row>0</xdr:row>
      <xdr:rowOff>561975</xdr:rowOff>
    </xdr:to>
    <xdr:sp macro="[0]!Navigate_Reporting" textlink="">
      <xdr:nvSpPr>
        <xdr:cNvPr id="51" name="TextBox 50">
          <a:extLst>
            <a:ext uri="{FF2B5EF4-FFF2-40B4-BE49-F238E27FC236}">
              <a16:creationId xmlns:a16="http://schemas.microsoft.com/office/drawing/2014/main" id="{EBA863E5-A42C-4838-902F-395784F51CFC}"/>
            </a:ext>
          </a:extLst>
        </xdr:cNvPr>
        <xdr:cNvSpPr txBox="1">
          <a:spLocks noChangeAspect="1"/>
        </xdr:cNvSpPr>
      </xdr:nvSpPr>
      <xdr:spPr>
        <a:xfrm>
          <a:off x="9458124" y="0"/>
          <a:ext cx="1694805" cy="561975"/>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Reporting</a:t>
          </a:r>
        </a:p>
      </xdr:txBody>
    </xdr:sp>
    <xdr:clientData/>
  </xdr:twoCellAnchor>
  <xdr:twoCellAnchor editAs="absolute">
    <xdr:from>
      <xdr:col>9</xdr:col>
      <xdr:colOff>160877</xdr:colOff>
      <xdr:row>0</xdr:row>
      <xdr:rowOff>1</xdr:rowOff>
    </xdr:from>
    <xdr:to>
      <xdr:col>15</xdr:col>
      <xdr:colOff>256540</xdr:colOff>
      <xdr:row>0</xdr:row>
      <xdr:rowOff>561975</xdr:rowOff>
    </xdr:to>
    <xdr:sp macro="[0]!Navigate_Rehab_Analyzer" textlink="">
      <xdr:nvSpPr>
        <xdr:cNvPr id="62" name="TextBox 61">
          <a:extLst>
            <a:ext uri="{FF2B5EF4-FFF2-40B4-BE49-F238E27FC236}">
              <a16:creationId xmlns:a16="http://schemas.microsoft.com/office/drawing/2014/main" id="{667C7E98-F491-483E-9D49-61C57C3C91EC}"/>
            </a:ext>
          </a:extLst>
        </xdr:cNvPr>
        <xdr:cNvSpPr txBox="1">
          <a:spLocks noChangeAspect="1"/>
        </xdr:cNvSpPr>
      </xdr:nvSpPr>
      <xdr:spPr>
        <a:xfrm>
          <a:off x="6028277" y="1"/>
          <a:ext cx="1695863" cy="561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16</xdr:col>
      <xdr:colOff>11218</xdr:colOff>
      <xdr:row>0</xdr:row>
      <xdr:rowOff>0</xdr:rowOff>
    </xdr:from>
    <xdr:to>
      <xdr:col>22</xdr:col>
      <xdr:colOff>94202</xdr:colOff>
      <xdr:row>0</xdr:row>
      <xdr:rowOff>561975</xdr:rowOff>
    </xdr:to>
    <xdr:sp macro="[0]!Navigate_Repair_Estimator" textlink="">
      <xdr:nvSpPr>
        <xdr:cNvPr id="64" name="TextBox 63">
          <a:extLst>
            <a:ext uri="{FF2B5EF4-FFF2-40B4-BE49-F238E27FC236}">
              <a16:creationId xmlns:a16="http://schemas.microsoft.com/office/drawing/2014/main" id="{CD6F71F1-1ADC-42AB-8A76-6C8027925D9A}"/>
            </a:ext>
          </a:extLst>
        </xdr:cNvPr>
        <xdr:cNvSpPr txBox="1">
          <a:spLocks noChangeAspect="1"/>
        </xdr:cNvSpPr>
      </xdr:nvSpPr>
      <xdr:spPr>
        <a:xfrm>
          <a:off x="7745518" y="0"/>
          <a:ext cx="1683184"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3</xdr:col>
      <xdr:colOff>66237</xdr:colOff>
      <xdr:row>0</xdr:row>
      <xdr:rowOff>0</xdr:rowOff>
    </xdr:from>
    <xdr:to>
      <xdr:col>9</xdr:col>
      <xdr:colOff>150917</xdr:colOff>
      <xdr:row>0</xdr:row>
      <xdr:rowOff>561975</xdr:rowOff>
    </xdr:to>
    <xdr:sp macro="[0]!Navigate_Home" textlink="">
      <xdr:nvSpPr>
        <xdr:cNvPr id="65" name="TextBox 64">
          <a:extLst>
            <a:ext uri="{FF2B5EF4-FFF2-40B4-BE49-F238E27FC236}">
              <a16:creationId xmlns:a16="http://schemas.microsoft.com/office/drawing/2014/main" id="{DB1386A5-F333-4877-B19A-3454D50BE3E6}"/>
            </a:ext>
          </a:extLst>
        </xdr:cNvPr>
        <xdr:cNvSpPr txBox="1">
          <a:spLocks noChangeAspect="1"/>
        </xdr:cNvSpPr>
      </xdr:nvSpPr>
      <xdr:spPr>
        <a:xfrm>
          <a:off x="4333437" y="0"/>
          <a:ext cx="168488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31</xdr:col>
      <xdr:colOff>230082</xdr:colOff>
      <xdr:row>0</xdr:row>
      <xdr:rowOff>153469</xdr:rowOff>
    </xdr:from>
    <xdr:to>
      <xdr:col>32</xdr:col>
      <xdr:colOff>230005</xdr:colOff>
      <xdr:row>0</xdr:row>
      <xdr:rowOff>428836</xdr:rowOff>
    </xdr:to>
    <xdr:pic>
      <xdr:nvPicPr>
        <xdr:cNvPr id="66" name="Picture 65" title="Help">
          <a:hlinkClick xmlns:r="http://schemas.openxmlformats.org/officeDocument/2006/relationships" r:id="rId3"/>
          <a:extLst>
            <a:ext uri="{FF2B5EF4-FFF2-40B4-BE49-F238E27FC236}">
              <a16:creationId xmlns:a16="http://schemas.microsoft.com/office/drawing/2014/main" id="{CD07D35D-0C4D-4AF3-B62D-4F260784AEC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964882" y="153469"/>
          <a:ext cx="266623" cy="275367"/>
        </a:xfrm>
        <a:prstGeom prst="rect">
          <a:avLst/>
        </a:prstGeom>
      </xdr:spPr>
    </xdr:pic>
    <xdr:clientData/>
  </xdr:twoCellAnchor>
  <xdr:twoCellAnchor editAs="absolute">
    <xdr:from>
      <xdr:col>29</xdr:col>
      <xdr:colOff>211032</xdr:colOff>
      <xdr:row>0</xdr:row>
      <xdr:rowOff>152516</xdr:rowOff>
    </xdr:from>
    <xdr:to>
      <xdr:col>30</xdr:col>
      <xdr:colOff>227966</xdr:colOff>
      <xdr:row>0</xdr:row>
      <xdr:rowOff>428941</xdr:rowOff>
    </xdr:to>
    <xdr:pic macro="[0]!Navigate_Info_Sheet">
      <xdr:nvPicPr>
        <xdr:cNvPr id="67" name="Picture 66">
          <a:extLst>
            <a:ext uri="{FF2B5EF4-FFF2-40B4-BE49-F238E27FC236}">
              <a16:creationId xmlns:a16="http://schemas.microsoft.com/office/drawing/2014/main" id="{23AAF755-72E4-471A-9F54-F9BD6DCCCAE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412432" y="152516"/>
          <a:ext cx="283634" cy="276425"/>
        </a:xfrm>
        <a:prstGeom prst="rect">
          <a:avLst/>
        </a:prstGeom>
      </xdr:spPr>
    </xdr:pic>
    <xdr:clientData/>
  </xdr:twoCellAnchor>
  <xdr:twoCellAnchor editAs="absolute">
    <xdr:from>
      <xdr:col>0</xdr:col>
      <xdr:colOff>0</xdr:colOff>
      <xdr:row>0</xdr:row>
      <xdr:rowOff>0</xdr:rowOff>
    </xdr:from>
    <xdr:to>
      <xdr:col>0</xdr:col>
      <xdr:colOff>1664772</xdr:colOff>
      <xdr:row>0</xdr:row>
      <xdr:rowOff>563880</xdr:rowOff>
    </xdr:to>
    <xdr:sp macro="" textlink="">
      <xdr:nvSpPr>
        <xdr:cNvPr id="68" name="TextBox 67">
          <a:extLst>
            <a:ext uri="{FF2B5EF4-FFF2-40B4-BE49-F238E27FC236}">
              <a16:creationId xmlns:a16="http://schemas.microsoft.com/office/drawing/2014/main" id="{BF48531E-FD36-4AEE-8159-A9CCD838D3D3}"/>
            </a:ext>
          </a:extLst>
        </xdr:cNvPr>
        <xdr:cNvSpPr txBox="1">
          <a:spLocks noChangeAspect="1"/>
        </xdr:cNvSpPr>
      </xdr:nvSpPr>
      <xdr:spPr>
        <a:xfrm>
          <a:off x="0" y="0"/>
          <a:ext cx="1664772"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171450</xdr:colOff>
      <xdr:row>1</xdr:row>
      <xdr:rowOff>142875</xdr:rowOff>
    </xdr:from>
    <xdr:to>
      <xdr:col>22</xdr:col>
      <xdr:colOff>40117</xdr:colOff>
      <xdr:row>1</xdr:row>
      <xdr:rowOff>414954</xdr:rowOff>
    </xdr:to>
    <xdr:sp macro="[0]!Inspection_Checklist_Report_Show_Hide_Page1" textlink="">
      <xdr:nvSpPr>
        <xdr:cNvPr id="37" name="Rectangle 36">
          <a:extLst>
            <a:ext uri="{FF2B5EF4-FFF2-40B4-BE49-F238E27FC236}">
              <a16:creationId xmlns:a16="http://schemas.microsoft.com/office/drawing/2014/main" id="{00000000-0008-0000-2100-000025000000}"/>
            </a:ext>
          </a:extLst>
        </xdr:cNvPr>
        <xdr:cNvSpPr/>
      </xdr:nvSpPr>
      <xdr:spPr>
        <a:xfrm>
          <a:off x="7110132" y="716616"/>
          <a:ext cx="263114" cy="272079"/>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20</xdr:col>
      <xdr:colOff>177949</xdr:colOff>
      <xdr:row>1</xdr:row>
      <xdr:rowOff>145677</xdr:rowOff>
    </xdr:from>
    <xdr:to>
      <xdr:col>22</xdr:col>
      <xdr:colOff>50000</xdr:colOff>
      <xdr:row>1</xdr:row>
      <xdr:rowOff>417756</xdr:rowOff>
    </xdr:to>
    <xdr:pic macro="[0]!Inspection_Checklist_Report_Show_Hide_Page1">
      <xdr:nvPicPr>
        <xdr:cNvPr id="52" name="Inspection_Page1_Check">
          <a:extLst>
            <a:ext uri="{FF2B5EF4-FFF2-40B4-BE49-F238E27FC236}">
              <a16:creationId xmlns:a16="http://schemas.microsoft.com/office/drawing/2014/main" id="{00000000-0008-0000-2100-00003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119769" y="717177"/>
          <a:ext cx="268291" cy="272079"/>
        </a:xfrm>
        <a:prstGeom prst="rect">
          <a:avLst/>
        </a:prstGeom>
      </xdr:spPr>
    </xdr:pic>
    <xdr:clientData/>
  </xdr:twoCellAnchor>
  <xdr:twoCellAnchor>
    <xdr:from>
      <xdr:col>28</xdr:col>
      <xdr:colOff>192181</xdr:colOff>
      <xdr:row>1</xdr:row>
      <xdr:rowOff>140634</xdr:rowOff>
    </xdr:from>
    <xdr:to>
      <xdr:col>30</xdr:col>
      <xdr:colOff>60848</xdr:colOff>
      <xdr:row>1</xdr:row>
      <xdr:rowOff>412713</xdr:rowOff>
    </xdr:to>
    <xdr:sp macro="[0]!Inspection_Checklist_Report_Show_Hide_Page2" textlink="">
      <xdr:nvSpPr>
        <xdr:cNvPr id="46" name="Rectangle 45">
          <a:extLst>
            <a:ext uri="{FF2B5EF4-FFF2-40B4-BE49-F238E27FC236}">
              <a16:creationId xmlns:a16="http://schemas.microsoft.com/office/drawing/2014/main" id="{00000000-0008-0000-2100-00002E000000}"/>
            </a:ext>
          </a:extLst>
        </xdr:cNvPr>
        <xdr:cNvSpPr/>
      </xdr:nvSpPr>
      <xdr:spPr>
        <a:xfrm>
          <a:off x="8708652" y="714375"/>
          <a:ext cx="263114" cy="272079"/>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137159</xdr:colOff>
      <xdr:row>14</xdr:row>
      <xdr:rowOff>154304</xdr:rowOff>
    </xdr:from>
    <xdr:to>
      <xdr:col>4</xdr:col>
      <xdr:colOff>371474</xdr:colOff>
      <xdr:row>19</xdr:row>
      <xdr:rowOff>99060</xdr:rowOff>
    </xdr:to>
    <xdr:sp macro="" textlink="">
      <xdr:nvSpPr>
        <xdr:cNvPr id="25" name="Line Callout 1 24">
          <a:extLst>
            <a:ext uri="{FF2B5EF4-FFF2-40B4-BE49-F238E27FC236}">
              <a16:creationId xmlns:a16="http://schemas.microsoft.com/office/drawing/2014/main" id="{00000000-0008-0000-2100-000019000000}"/>
            </a:ext>
          </a:extLst>
        </xdr:cNvPr>
        <xdr:cNvSpPr/>
      </xdr:nvSpPr>
      <xdr:spPr>
        <a:xfrm>
          <a:off x="1897379" y="3872864"/>
          <a:ext cx="1308735" cy="805816"/>
        </a:xfrm>
        <a:prstGeom prst="borderCallout1">
          <a:avLst>
            <a:gd name="adj1" fmla="val 46750"/>
            <a:gd name="adj2" fmla="val 107520"/>
            <a:gd name="adj3" fmla="val 32156"/>
            <a:gd name="adj4" fmla="val 167475"/>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latin typeface="Calibri Light" panose="020F0302020204030204" pitchFamily="34" charset="0"/>
            </a:rPr>
            <a:t>Property Info pulled</a:t>
          </a:r>
          <a:r>
            <a:rPr lang="en-US" sz="1100" baseline="0">
              <a:latin typeface="Calibri Light" panose="020F0302020204030204" pitchFamily="34" charset="0"/>
            </a:rPr>
            <a:t> from Info Sheet</a:t>
          </a:r>
          <a:endParaRPr lang="en-US" sz="1100">
            <a:latin typeface="Calibri Light" panose="020F0302020204030204" pitchFamily="34" charset="0"/>
          </a:endParaRPr>
        </a:p>
      </xdr:txBody>
    </xdr:sp>
    <xdr:clientData fPrintsWithSheet="0"/>
  </xdr:twoCellAnchor>
  <xdr:twoCellAnchor>
    <xdr:from>
      <xdr:col>2</xdr:col>
      <xdr:colOff>76200</xdr:colOff>
      <xdr:row>82</xdr:row>
      <xdr:rowOff>220980</xdr:rowOff>
    </xdr:from>
    <xdr:to>
      <xdr:col>4</xdr:col>
      <xdr:colOff>434340</xdr:colOff>
      <xdr:row>86</xdr:row>
      <xdr:rowOff>60960</xdr:rowOff>
    </xdr:to>
    <xdr:sp macro="" textlink="">
      <xdr:nvSpPr>
        <xdr:cNvPr id="29" name="Line Callout 1 28">
          <a:extLst>
            <a:ext uri="{FF2B5EF4-FFF2-40B4-BE49-F238E27FC236}">
              <a16:creationId xmlns:a16="http://schemas.microsoft.com/office/drawing/2014/main" id="{00000000-0008-0000-2100-00001D000000}"/>
            </a:ext>
          </a:extLst>
        </xdr:cNvPr>
        <xdr:cNvSpPr/>
      </xdr:nvSpPr>
      <xdr:spPr>
        <a:xfrm>
          <a:off x="1836420" y="17670780"/>
          <a:ext cx="1432560" cy="906780"/>
        </a:xfrm>
        <a:prstGeom prst="borderCallout1">
          <a:avLst>
            <a:gd name="adj1" fmla="val 46750"/>
            <a:gd name="adj2" fmla="val 107520"/>
            <a:gd name="adj3" fmla="val -3610"/>
            <a:gd name="adj4" fmla="val 350082"/>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latin typeface="Calibri Light" panose="020F0302020204030204" pitchFamily="34" charset="0"/>
            </a:rPr>
            <a:t>Preliminary Budget</a:t>
          </a:r>
          <a:r>
            <a:rPr lang="en-US" sz="1100" baseline="0">
              <a:latin typeface="Calibri Light" panose="020F0302020204030204" pitchFamily="34" charset="0"/>
            </a:rPr>
            <a:t> #s are pulled from Repair Cost Calculator</a:t>
          </a:r>
          <a:endParaRPr lang="en-US" sz="1100">
            <a:latin typeface="Calibri Light" panose="020F0302020204030204" pitchFamily="34" charset="0"/>
          </a:endParaRPr>
        </a:p>
      </xdr:txBody>
    </xdr:sp>
    <xdr:clientData fPrintsWithSheet="0"/>
  </xdr:twoCellAnchor>
  <xdr:twoCellAnchor>
    <xdr:from>
      <xdr:col>2</xdr:col>
      <xdr:colOff>190500</xdr:colOff>
      <xdr:row>110</xdr:row>
      <xdr:rowOff>129540</xdr:rowOff>
    </xdr:from>
    <xdr:to>
      <xdr:col>4</xdr:col>
      <xdr:colOff>487680</xdr:colOff>
      <xdr:row>114</xdr:row>
      <xdr:rowOff>38100</xdr:rowOff>
    </xdr:to>
    <xdr:sp macro="" textlink="">
      <xdr:nvSpPr>
        <xdr:cNvPr id="30" name="Line Callout 1 29">
          <a:extLst>
            <a:ext uri="{FF2B5EF4-FFF2-40B4-BE49-F238E27FC236}">
              <a16:creationId xmlns:a16="http://schemas.microsoft.com/office/drawing/2014/main" id="{00000000-0008-0000-2100-00001E000000}"/>
            </a:ext>
          </a:extLst>
        </xdr:cNvPr>
        <xdr:cNvSpPr/>
      </xdr:nvSpPr>
      <xdr:spPr>
        <a:xfrm>
          <a:off x="2171700" y="22989540"/>
          <a:ext cx="1363980" cy="822960"/>
        </a:xfrm>
        <a:prstGeom prst="borderCallout1">
          <a:avLst>
            <a:gd name="adj1" fmla="val 46750"/>
            <a:gd name="adj2" fmla="val 107520"/>
            <a:gd name="adj3" fmla="val 10049"/>
            <a:gd name="adj4" fmla="val 390936"/>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latin typeface="Calibri Light" panose="020F0302020204030204" pitchFamily="34" charset="0"/>
            </a:rPr>
            <a:t>Preliminary</a:t>
          </a:r>
          <a:r>
            <a:rPr lang="en-US" sz="1100" baseline="0">
              <a:latin typeface="Calibri Light" panose="020F0302020204030204" pitchFamily="34" charset="0"/>
            </a:rPr>
            <a:t> MPP Analysis info is pulled from Rehab Analyzer</a:t>
          </a:r>
          <a:endParaRPr lang="en-US" sz="1100">
            <a:latin typeface="Calibri Light" panose="020F0302020204030204" pitchFamily="34" charset="0"/>
          </a:endParaRPr>
        </a:p>
      </xdr:txBody>
    </xdr:sp>
    <xdr:clientData fPrintsWithSheet="0"/>
  </xdr:twoCellAnchor>
  <xdr:twoCellAnchor>
    <xdr:from>
      <xdr:col>2</xdr:col>
      <xdr:colOff>76200</xdr:colOff>
      <xdr:row>138</xdr:row>
      <xdr:rowOff>15240</xdr:rowOff>
    </xdr:from>
    <xdr:to>
      <xdr:col>4</xdr:col>
      <xdr:colOff>259080</xdr:colOff>
      <xdr:row>141</xdr:row>
      <xdr:rowOff>152400</xdr:rowOff>
    </xdr:to>
    <xdr:sp macro="" textlink="">
      <xdr:nvSpPr>
        <xdr:cNvPr id="36" name="Line Callout 1 35">
          <a:extLst>
            <a:ext uri="{FF2B5EF4-FFF2-40B4-BE49-F238E27FC236}">
              <a16:creationId xmlns:a16="http://schemas.microsoft.com/office/drawing/2014/main" id="{00000000-0008-0000-2100-000024000000}"/>
            </a:ext>
          </a:extLst>
        </xdr:cNvPr>
        <xdr:cNvSpPr/>
      </xdr:nvSpPr>
      <xdr:spPr>
        <a:xfrm>
          <a:off x="1836420" y="29908500"/>
          <a:ext cx="1257300" cy="777240"/>
        </a:xfrm>
        <a:prstGeom prst="borderCallout1">
          <a:avLst>
            <a:gd name="adj1" fmla="val 46750"/>
            <a:gd name="adj2" fmla="val 107520"/>
            <a:gd name="adj3" fmla="val 32716"/>
            <a:gd name="adj4" fmla="val 240326"/>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latin typeface="Calibri Light" panose="020F0302020204030204" pitchFamily="34" charset="0"/>
            </a:rPr>
            <a:t>Use</a:t>
          </a:r>
          <a:r>
            <a:rPr lang="en-US" sz="1100" baseline="0">
              <a:latin typeface="Calibri Light" panose="020F0302020204030204" pitchFamily="34" charset="0"/>
            </a:rPr>
            <a:t> the </a:t>
          </a:r>
          <a:r>
            <a:rPr lang="en-US" sz="1100">
              <a:latin typeface="Calibri Light" panose="020F0302020204030204" pitchFamily="34" charset="0"/>
            </a:rPr>
            <a:t>Grid Paper  for drawing floor</a:t>
          </a:r>
          <a:r>
            <a:rPr lang="en-US" sz="1100" baseline="0">
              <a:latin typeface="Calibri Light" panose="020F0302020204030204" pitchFamily="34" charset="0"/>
            </a:rPr>
            <a:t> plans/designs</a:t>
          </a:r>
          <a:endParaRPr lang="en-US" sz="1100">
            <a:latin typeface="Calibri Light" panose="020F0302020204030204" pitchFamily="34" charset="0"/>
          </a:endParaRPr>
        </a:p>
      </xdr:txBody>
    </xdr:sp>
    <xdr:clientData fPrintsWithSheet="0"/>
  </xdr:twoCellAnchor>
  <xdr:twoCellAnchor editAs="oneCell">
    <xdr:from>
      <xdr:col>48</xdr:col>
      <xdr:colOff>80010</xdr:colOff>
      <xdr:row>193</xdr:row>
      <xdr:rowOff>85726</xdr:rowOff>
    </xdr:from>
    <xdr:to>
      <xdr:col>49</xdr:col>
      <xdr:colOff>152400</xdr:colOff>
      <xdr:row>194</xdr:row>
      <xdr:rowOff>171663</xdr:rowOff>
    </xdr:to>
    <xdr:pic>
      <xdr:nvPicPr>
        <xdr:cNvPr id="33" name="Picture 32">
          <a:hlinkClick xmlns:r="http://schemas.openxmlformats.org/officeDocument/2006/relationships" r:id="rId2"/>
          <a:extLst>
            <a:ext uri="{FF2B5EF4-FFF2-40B4-BE49-F238E27FC236}">
              <a16:creationId xmlns:a16="http://schemas.microsoft.com/office/drawing/2014/main" id="{00000000-0008-0000-2100-00002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2569190" y="48533686"/>
          <a:ext cx="270510" cy="274320"/>
        </a:xfrm>
        <a:prstGeom prst="rect">
          <a:avLst/>
        </a:prstGeom>
      </xdr:spPr>
    </xdr:pic>
    <xdr:clientData/>
  </xdr:twoCellAnchor>
  <xdr:twoCellAnchor>
    <xdr:from>
      <xdr:col>49</xdr:col>
      <xdr:colOff>83148</xdr:colOff>
      <xdr:row>193</xdr:row>
      <xdr:rowOff>32385</xdr:rowOff>
    </xdr:from>
    <xdr:to>
      <xdr:col>55</xdr:col>
      <xdr:colOff>45720</xdr:colOff>
      <xdr:row>195</xdr:row>
      <xdr:rowOff>26670</xdr:rowOff>
    </xdr:to>
    <xdr:sp macro="" textlink="">
      <xdr:nvSpPr>
        <xdr:cNvPr id="34" name="TextBox 33">
          <a:hlinkClick xmlns:r="http://schemas.openxmlformats.org/officeDocument/2006/relationships" r:id="rId2"/>
          <a:extLst>
            <a:ext uri="{FF2B5EF4-FFF2-40B4-BE49-F238E27FC236}">
              <a16:creationId xmlns:a16="http://schemas.microsoft.com/office/drawing/2014/main" id="{00000000-0008-0000-2100-000022000000}"/>
            </a:ext>
          </a:extLst>
        </xdr:cNvPr>
        <xdr:cNvSpPr txBox="1"/>
      </xdr:nvSpPr>
      <xdr:spPr>
        <a:xfrm>
          <a:off x="12770448" y="48480345"/>
          <a:ext cx="1151292"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rgbClr val="398CCC"/>
              </a:solidFill>
              <a:latin typeface="Calibri Light" panose="020F0302020204030204" pitchFamily="34" charset="0"/>
            </a:rPr>
            <a:t>Report</a:t>
          </a:r>
          <a:r>
            <a:rPr lang="en-US" sz="1200" b="0" i="1" baseline="0">
              <a:solidFill>
                <a:srgbClr val="398CCC"/>
              </a:solidFill>
              <a:latin typeface="Calibri Light" panose="020F0302020204030204" pitchFamily="34" charset="0"/>
            </a:rPr>
            <a:t> Piracy</a:t>
          </a:r>
          <a:endParaRPr lang="en-US" sz="1200" b="0" i="1">
            <a:solidFill>
              <a:srgbClr val="398CCC"/>
            </a:solidFill>
            <a:latin typeface="Calibri Light" panose="020F0302020204030204" pitchFamily="34" charset="0"/>
          </a:endParaRPr>
        </a:p>
      </xdr:txBody>
    </xdr:sp>
    <xdr:clientData/>
  </xdr:twoCellAnchor>
  <xdr:twoCellAnchor>
    <xdr:from>
      <xdr:col>22</xdr:col>
      <xdr:colOff>87970</xdr:colOff>
      <xdr:row>1</xdr:row>
      <xdr:rowOff>99732</xdr:rowOff>
    </xdr:from>
    <xdr:to>
      <xdr:col>28</xdr:col>
      <xdr:colOff>114300</xdr:colOff>
      <xdr:row>1</xdr:row>
      <xdr:rowOff>489697</xdr:rowOff>
    </xdr:to>
    <xdr:sp macro="[0]!Inspection_Checklist_Report_Show_Hide_Page1" textlink="">
      <xdr:nvSpPr>
        <xdr:cNvPr id="27" name="TextBox 26">
          <a:extLst>
            <a:ext uri="{FF2B5EF4-FFF2-40B4-BE49-F238E27FC236}">
              <a16:creationId xmlns:a16="http://schemas.microsoft.com/office/drawing/2014/main" id="{00000000-0008-0000-2100-00001B000000}"/>
            </a:ext>
          </a:extLst>
        </xdr:cNvPr>
        <xdr:cNvSpPr txBox="1"/>
      </xdr:nvSpPr>
      <xdr:spPr>
        <a:xfrm>
          <a:off x="7546045" y="671232"/>
          <a:ext cx="1226480" cy="389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chemeClr val="tx1">
                  <a:lumMod val="75000"/>
                  <a:lumOff val="25000"/>
                </a:schemeClr>
              </a:solidFill>
              <a:latin typeface="Calibri Light" panose="020F0302020204030204" pitchFamily="34" charset="0"/>
            </a:rPr>
            <a:t>Scope</a:t>
          </a:r>
          <a:r>
            <a:rPr lang="en-US" sz="1200" b="0" i="1" baseline="0">
              <a:solidFill>
                <a:schemeClr val="tx1">
                  <a:lumMod val="75000"/>
                  <a:lumOff val="25000"/>
                </a:schemeClr>
              </a:solidFill>
              <a:latin typeface="Calibri Light" panose="020F0302020204030204" pitchFamily="34" charset="0"/>
            </a:rPr>
            <a:t> Checklist</a:t>
          </a:r>
          <a:endParaRPr lang="en-US" sz="1200" b="0" i="1">
            <a:solidFill>
              <a:schemeClr val="tx1">
                <a:lumMod val="75000"/>
                <a:lumOff val="25000"/>
              </a:schemeClr>
            </a:solidFill>
            <a:latin typeface="Calibri Light" panose="020F0302020204030204" pitchFamily="34" charset="0"/>
          </a:endParaRPr>
        </a:p>
      </xdr:txBody>
    </xdr:sp>
    <xdr:clientData/>
  </xdr:twoCellAnchor>
  <xdr:twoCellAnchor>
    <xdr:from>
      <xdr:col>9</xdr:col>
      <xdr:colOff>66675</xdr:colOff>
      <xdr:row>1</xdr:row>
      <xdr:rowOff>95250</xdr:rowOff>
    </xdr:from>
    <xdr:to>
      <xdr:col>19</xdr:col>
      <xdr:colOff>178173</xdr:colOff>
      <xdr:row>1</xdr:row>
      <xdr:rowOff>485215</xdr:rowOff>
    </xdr:to>
    <xdr:sp macro="" textlink="">
      <xdr:nvSpPr>
        <xdr:cNvPr id="28" name="TextBox 27">
          <a:extLst>
            <a:ext uri="{FF2B5EF4-FFF2-40B4-BE49-F238E27FC236}">
              <a16:creationId xmlns:a16="http://schemas.microsoft.com/office/drawing/2014/main" id="{00000000-0008-0000-2100-00001C000000}"/>
            </a:ext>
          </a:extLst>
        </xdr:cNvPr>
        <xdr:cNvSpPr txBox="1"/>
      </xdr:nvSpPr>
      <xdr:spPr>
        <a:xfrm>
          <a:off x="4924425" y="666750"/>
          <a:ext cx="2111748" cy="389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200" b="0" i="1">
              <a:solidFill>
                <a:schemeClr val="tx1">
                  <a:lumMod val="75000"/>
                  <a:lumOff val="25000"/>
                </a:schemeClr>
              </a:solidFill>
              <a:latin typeface="Calibri Light" panose="020F0302020204030204" pitchFamily="34" charset="0"/>
            </a:rPr>
            <a:t>Select the Pages</a:t>
          </a:r>
          <a:r>
            <a:rPr lang="en-US" sz="1200" b="0" i="1" baseline="0">
              <a:solidFill>
                <a:schemeClr val="tx1">
                  <a:lumMod val="75000"/>
                  <a:lumOff val="25000"/>
                </a:schemeClr>
              </a:solidFill>
              <a:latin typeface="Calibri Light" panose="020F0302020204030204" pitchFamily="34" charset="0"/>
            </a:rPr>
            <a:t> Shown:</a:t>
          </a:r>
          <a:endParaRPr lang="en-US" sz="1200" b="0" i="1">
            <a:solidFill>
              <a:schemeClr val="tx1">
                <a:lumMod val="75000"/>
                <a:lumOff val="25000"/>
              </a:schemeClr>
            </a:solidFill>
            <a:latin typeface="Calibri Light" panose="020F0302020204030204" pitchFamily="34" charset="0"/>
          </a:endParaRPr>
        </a:p>
      </xdr:txBody>
    </xdr:sp>
    <xdr:clientData/>
  </xdr:twoCellAnchor>
  <xdr:twoCellAnchor>
    <xdr:from>
      <xdr:col>30</xdr:col>
      <xdr:colOff>149598</xdr:colOff>
      <xdr:row>1</xdr:row>
      <xdr:rowOff>87967</xdr:rowOff>
    </xdr:from>
    <xdr:to>
      <xdr:col>36</xdr:col>
      <xdr:colOff>98612</xdr:colOff>
      <xdr:row>1</xdr:row>
      <xdr:rowOff>477932</xdr:rowOff>
    </xdr:to>
    <xdr:sp macro="[0]!Inspection_Checklist_Report_Show_Hide_Page2" textlink="">
      <xdr:nvSpPr>
        <xdr:cNvPr id="40" name="TextBox 39">
          <a:extLst>
            <a:ext uri="{FF2B5EF4-FFF2-40B4-BE49-F238E27FC236}">
              <a16:creationId xmlns:a16="http://schemas.microsoft.com/office/drawing/2014/main" id="{00000000-0008-0000-2100-000028000000}"/>
            </a:ext>
          </a:extLst>
        </xdr:cNvPr>
        <xdr:cNvSpPr txBox="1"/>
      </xdr:nvSpPr>
      <xdr:spPr>
        <a:xfrm>
          <a:off x="9060516" y="661708"/>
          <a:ext cx="1132355" cy="389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chemeClr val="tx1">
                  <a:lumMod val="75000"/>
                  <a:lumOff val="25000"/>
                </a:schemeClr>
              </a:solidFill>
              <a:latin typeface="Calibri Light" panose="020F0302020204030204" pitchFamily="34" charset="0"/>
            </a:rPr>
            <a:t>Deal</a:t>
          </a:r>
          <a:r>
            <a:rPr lang="en-US" sz="1200" b="0" i="1" baseline="0">
              <a:solidFill>
                <a:schemeClr val="tx1">
                  <a:lumMod val="75000"/>
                  <a:lumOff val="25000"/>
                </a:schemeClr>
              </a:solidFill>
              <a:latin typeface="Calibri Light" panose="020F0302020204030204" pitchFamily="34" charset="0"/>
            </a:rPr>
            <a:t> Analysis</a:t>
          </a:r>
          <a:endParaRPr lang="en-US" sz="1200" b="0" i="1">
            <a:solidFill>
              <a:schemeClr val="tx1">
                <a:lumMod val="75000"/>
                <a:lumOff val="25000"/>
              </a:schemeClr>
            </a:solidFill>
            <a:latin typeface="Calibri Light" panose="020F0302020204030204" pitchFamily="34" charset="0"/>
          </a:endParaRPr>
        </a:p>
      </xdr:txBody>
    </xdr:sp>
    <xdr:clientData/>
  </xdr:twoCellAnchor>
  <xdr:twoCellAnchor>
    <xdr:from>
      <xdr:col>28</xdr:col>
      <xdr:colOff>188258</xdr:colOff>
      <xdr:row>1</xdr:row>
      <xdr:rowOff>143436</xdr:rowOff>
    </xdr:from>
    <xdr:to>
      <xdr:col>30</xdr:col>
      <xdr:colOff>60309</xdr:colOff>
      <xdr:row>1</xdr:row>
      <xdr:rowOff>415515</xdr:rowOff>
    </xdr:to>
    <xdr:pic macro="[0]!Inspection_Checklist_Report_Show_Hide_Page2">
      <xdr:nvPicPr>
        <xdr:cNvPr id="45" name="Inspection_Page2_Check">
          <a:extLst>
            <a:ext uri="{FF2B5EF4-FFF2-40B4-BE49-F238E27FC236}">
              <a16:creationId xmlns:a16="http://schemas.microsoft.com/office/drawing/2014/main" id="{00000000-0008-0000-2100-00002D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704729" y="717177"/>
          <a:ext cx="266498" cy="272079"/>
        </a:xfrm>
        <a:prstGeom prst="rect">
          <a:avLst/>
        </a:prstGeom>
      </xdr:spPr>
    </xdr:pic>
    <xdr:clientData/>
  </xdr:twoCellAnchor>
  <xdr:twoCellAnchor>
    <xdr:from>
      <xdr:col>36</xdr:col>
      <xdr:colOff>179292</xdr:colOff>
      <xdr:row>1</xdr:row>
      <xdr:rowOff>152401</xdr:rowOff>
    </xdr:from>
    <xdr:to>
      <xdr:col>38</xdr:col>
      <xdr:colOff>51343</xdr:colOff>
      <xdr:row>1</xdr:row>
      <xdr:rowOff>424480</xdr:rowOff>
    </xdr:to>
    <xdr:pic>
      <xdr:nvPicPr>
        <xdr:cNvPr id="47" name="Inspection_Checklist_Page1_Check">
          <a:extLst>
            <a:ext uri="{FF2B5EF4-FFF2-40B4-BE49-F238E27FC236}">
              <a16:creationId xmlns:a16="http://schemas.microsoft.com/office/drawing/2014/main" id="{00000000-0008-0000-2100-00002F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273551" y="726142"/>
          <a:ext cx="266498" cy="272079"/>
        </a:xfrm>
        <a:prstGeom prst="rect">
          <a:avLst/>
        </a:prstGeom>
      </xdr:spPr>
    </xdr:pic>
    <xdr:clientData/>
  </xdr:twoCellAnchor>
  <xdr:twoCellAnchor>
    <xdr:from>
      <xdr:col>36</xdr:col>
      <xdr:colOff>125842</xdr:colOff>
      <xdr:row>1</xdr:row>
      <xdr:rowOff>140634</xdr:rowOff>
    </xdr:from>
    <xdr:to>
      <xdr:col>37</xdr:col>
      <xdr:colOff>192629</xdr:colOff>
      <xdr:row>1</xdr:row>
      <xdr:rowOff>412713</xdr:rowOff>
    </xdr:to>
    <xdr:sp macro="[0]!Inspection_Checklist_Report_Show_Hide_Sketch_Paper" textlink="">
      <xdr:nvSpPr>
        <xdr:cNvPr id="48" name="Rectangle 47">
          <a:extLst>
            <a:ext uri="{FF2B5EF4-FFF2-40B4-BE49-F238E27FC236}">
              <a16:creationId xmlns:a16="http://schemas.microsoft.com/office/drawing/2014/main" id="{00000000-0008-0000-2100-000030000000}"/>
            </a:ext>
          </a:extLst>
        </xdr:cNvPr>
        <xdr:cNvSpPr/>
      </xdr:nvSpPr>
      <xdr:spPr>
        <a:xfrm>
          <a:off x="10237582" y="712134"/>
          <a:ext cx="264907" cy="272079"/>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38</xdr:col>
      <xdr:colOff>73510</xdr:colOff>
      <xdr:row>1</xdr:row>
      <xdr:rowOff>98611</xdr:rowOff>
    </xdr:from>
    <xdr:to>
      <xdr:col>44</xdr:col>
      <xdr:colOff>22524</xdr:colOff>
      <xdr:row>1</xdr:row>
      <xdr:rowOff>488576</xdr:rowOff>
    </xdr:to>
    <xdr:sp macro="[0]!Inspection_Checklist_Report_Show_Hide_Sketch_Paper" textlink="">
      <xdr:nvSpPr>
        <xdr:cNvPr id="49" name="TextBox 48">
          <a:extLst>
            <a:ext uri="{FF2B5EF4-FFF2-40B4-BE49-F238E27FC236}">
              <a16:creationId xmlns:a16="http://schemas.microsoft.com/office/drawing/2014/main" id="{00000000-0008-0000-2100-000031000000}"/>
            </a:ext>
          </a:extLst>
        </xdr:cNvPr>
        <xdr:cNvSpPr txBox="1"/>
      </xdr:nvSpPr>
      <xdr:spPr>
        <a:xfrm>
          <a:off x="10581490" y="670111"/>
          <a:ext cx="1137734" cy="389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chemeClr val="tx1">
                  <a:lumMod val="75000"/>
                  <a:lumOff val="25000"/>
                </a:schemeClr>
              </a:solidFill>
              <a:latin typeface="Calibri Light" panose="020F0302020204030204" pitchFamily="34" charset="0"/>
            </a:rPr>
            <a:t>Sketch Pad</a:t>
          </a:r>
        </a:p>
      </xdr:txBody>
    </xdr:sp>
    <xdr:clientData/>
  </xdr:twoCellAnchor>
  <xdr:twoCellAnchor>
    <xdr:from>
      <xdr:col>36</xdr:col>
      <xdr:colOff>132229</xdr:colOff>
      <xdr:row>1</xdr:row>
      <xdr:rowOff>138057</xdr:rowOff>
    </xdr:from>
    <xdr:to>
      <xdr:col>38</xdr:col>
      <xdr:colOff>4280</xdr:colOff>
      <xdr:row>1</xdr:row>
      <xdr:rowOff>410136</xdr:rowOff>
    </xdr:to>
    <xdr:pic macro="[0]!Inspection_Checklist_Report_Show_Hide_Sketch_Paper">
      <xdr:nvPicPr>
        <xdr:cNvPr id="50" name="Inspection_Page3_Check">
          <a:extLst>
            <a:ext uri="{FF2B5EF4-FFF2-40B4-BE49-F238E27FC236}">
              <a16:creationId xmlns:a16="http://schemas.microsoft.com/office/drawing/2014/main" id="{00000000-0008-0000-2100-00003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243969" y="709557"/>
          <a:ext cx="268291" cy="272079"/>
        </a:xfrm>
        <a:prstGeom prst="rect">
          <a:avLst/>
        </a:prstGeom>
      </xdr:spPr>
    </xdr:pic>
    <xdr:clientData/>
  </xdr:twoCellAnchor>
  <xdr:twoCellAnchor>
    <xdr:from>
      <xdr:col>26</xdr:col>
      <xdr:colOff>196532</xdr:colOff>
      <xdr:row>6</xdr:row>
      <xdr:rowOff>122978</xdr:rowOff>
    </xdr:from>
    <xdr:to>
      <xdr:col>29</xdr:col>
      <xdr:colOff>53234</xdr:colOff>
      <xdr:row>8</xdr:row>
      <xdr:rowOff>122555</xdr:rowOff>
    </xdr:to>
    <xdr:pic>
      <xdr:nvPicPr>
        <xdr:cNvPr id="31" name="Picture 30">
          <a:extLst>
            <a:ext uri="{FF2B5EF4-FFF2-40B4-BE49-F238E27FC236}">
              <a16:creationId xmlns:a16="http://schemas.microsoft.com/office/drawing/2014/main" id="{00000000-0008-0000-2100-00001F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8178482" y="2151803"/>
          <a:ext cx="456777" cy="456777"/>
        </a:xfrm>
        <a:prstGeom prst="rect">
          <a:avLst/>
        </a:prstGeom>
      </xdr:spPr>
    </xdr:pic>
    <xdr:clientData/>
  </xdr:twoCellAnchor>
  <xdr:twoCellAnchor>
    <xdr:from>
      <xdr:col>29</xdr:col>
      <xdr:colOff>160020</xdr:colOff>
      <xdr:row>6</xdr:row>
      <xdr:rowOff>152400</xdr:rowOff>
    </xdr:from>
    <xdr:to>
      <xdr:col>39</xdr:col>
      <xdr:colOff>160020</xdr:colOff>
      <xdr:row>8</xdr:row>
      <xdr:rowOff>53340</xdr:rowOff>
    </xdr:to>
    <xdr:sp macro="" textlink="">
      <xdr:nvSpPr>
        <xdr:cNvPr id="2" name="Rectangle 1">
          <a:hlinkClick xmlns:r="http://schemas.openxmlformats.org/officeDocument/2006/relationships" r:id="rId5"/>
          <a:extLst>
            <a:ext uri="{FF2B5EF4-FFF2-40B4-BE49-F238E27FC236}">
              <a16:creationId xmlns:a16="http://schemas.microsoft.com/office/drawing/2014/main" id="{00000000-0008-0000-2100-000002000000}"/>
            </a:ext>
          </a:extLst>
        </xdr:cNvPr>
        <xdr:cNvSpPr/>
      </xdr:nvSpPr>
      <xdr:spPr>
        <a:xfrm>
          <a:off x="8884920" y="2202180"/>
          <a:ext cx="1981200" cy="37338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50</xdr:col>
      <xdr:colOff>106680</xdr:colOff>
      <xdr:row>3</xdr:row>
      <xdr:rowOff>7620</xdr:rowOff>
    </xdr:from>
    <xdr:to>
      <xdr:col>51</xdr:col>
      <xdr:colOff>182880</xdr:colOff>
      <xdr:row>4</xdr:row>
      <xdr:rowOff>45720</xdr:rowOff>
    </xdr:to>
    <xdr:pic macro="[0]!Hide_Inspection_Checklist_Help">
      <xdr:nvPicPr>
        <xdr:cNvPr id="38" name="Getting_Started_Close_Icon">
          <a:extLst>
            <a:ext uri="{FF2B5EF4-FFF2-40B4-BE49-F238E27FC236}">
              <a16:creationId xmlns:a16="http://schemas.microsoft.com/office/drawing/2014/main" id="{00000000-0008-0000-2100-000026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992100" y="1348740"/>
          <a:ext cx="274320" cy="274320"/>
        </a:xfrm>
        <a:prstGeom prst="rect">
          <a:avLst/>
        </a:prstGeom>
      </xdr:spPr>
    </xdr:pic>
    <xdr:clientData/>
  </xdr:twoCellAnchor>
  <xdr:twoCellAnchor editAs="absolute">
    <xdr:from>
      <xdr:col>48</xdr:col>
      <xdr:colOff>123825</xdr:colOff>
      <xdr:row>0</xdr:row>
      <xdr:rowOff>143086</xdr:rowOff>
    </xdr:from>
    <xdr:to>
      <xdr:col>50</xdr:col>
      <xdr:colOff>0</xdr:colOff>
      <xdr:row>0</xdr:row>
      <xdr:rowOff>419524</xdr:rowOff>
    </xdr:to>
    <xdr:pic macro="[0]!Hide_Inspection_Checklist">
      <xdr:nvPicPr>
        <xdr:cNvPr id="60" name="Picture 59">
          <a:extLst>
            <a:ext uri="{FF2B5EF4-FFF2-40B4-BE49-F238E27FC236}">
              <a16:creationId xmlns:a16="http://schemas.microsoft.com/office/drawing/2014/main" id="{031D44A8-3BD9-46B7-ACEE-5C39B3FAFADC}"/>
            </a:ext>
          </a:extLst>
        </xdr:cNvPr>
        <xdr:cNvPicPr>
          <a:picLocks noChangeAspect="1"/>
        </xdr:cNvPicPr>
      </xdr:nvPicPr>
      <xdr:blipFill>
        <a:blip xmlns:r="http://schemas.openxmlformats.org/officeDocument/2006/relationships" r:embed="rId7"/>
        <a:stretch>
          <a:fillRect/>
        </a:stretch>
      </xdr:blipFill>
      <xdr:spPr>
        <a:xfrm>
          <a:off x="12506325" y="143086"/>
          <a:ext cx="276225" cy="276438"/>
        </a:xfrm>
        <a:prstGeom prst="rect">
          <a:avLst/>
        </a:prstGeom>
      </xdr:spPr>
    </xdr:pic>
    <xdr:clientData/>
  </xdr:twoCellAnchor>
  <xdr:twoCellAnchor editAs="absolute">
    <xdr:from>
      <xdr:col>33</xdr:col>
      <xdr:colOff>77057</xdr:colOff>
      <xdr:row>0</xdr:row>
      <xdr:rowOff>0</xdr:rowOff>
    </xdr:from>
    <xdr:to>
      <xdr:col>41</xdr:col>
      <xdr:colOff>170604</xdr:colOff>
      <xdr:row>0</xdr:row>
      <xdr:rowOff>560918</xdr:rowOff>
    </xdr:to>
    <xdr:sp macro="[0]!Navigate_Reporting" textlink="">
      <xdr:nvSpPr>
        <xdr:cNvPr id="41" name="TextBox 40">
          <a:extLst>
            <a:ext uri="{FF2B5EF4-FFF2-40B4-BE49-F238E27FC236}">
              <a16:creationId xmlns:a16="http://schemas.microsoft.com/office/drawing/2014/main" id="{21521DB0-5165-4F00-87E5-8602DE30A7E2}"/>
            </a:ext>
          </a:extLst>
        </xdr:cNvPr>
        <xdr:cNvSpPr txBox="1">
          <a:spLocks noChangeAspect="1"/>
        </xdr:cNvSpPr>
      </xdr:nvSpPr>
      <xdr:spPr>
        <a:xfrm>
          <a:off x="9459182" y="0"/>
          <a:ext cx="1693747" cy="560918"/>
        </a:xfrm>
        <a:prstGeom prst="rect">
          <a:avLst/>
        </a:prstGeom>
        <a:solidFill>
          <a:srgbClr val="2F74A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16</xdr:col>
      <xdr:colOff>48694</xdr:colOff>
      <xdr:row>0</xdr:row>
      <xdr:rowOff>1</xdr:rowOff>
    </xdr:from>
    <xdr:to>
      <xdr:col>24</xdr:col>
      <xdr:colOff>144356</xdr:colOff>
      <xdr:row>0</xdr:row>
      <xdr:rowOff>560918</xdr:rowOff>
    </xdr:to>
    <xdr:sp macro="[0]!Navigate_Rehab_Analyzer" textlink="">
      <xdr:nvSpPr>
        <xdr:cNvPr id="42" name="TextBox 41">
          <a:extLst>
            <a:ext uri="{FF2B5EF4-FFF2-40B4-BE49-F238E27FC236}">
              <a16:creationId xmlns:a16="http://schemas.microsoft.com/office/drawing/2014/main" id="{B29D0C59-68C3-4BA5-AAFE-1676D1A3C32C}"/>
            </a:ext>
          </a:extLst>
        </xdr:cNvPr>
        <xdr:cNvSpPr txBox="1">
          <a:spLocks noChangeAspect="1"/>
        </xdr:cNvSpPr>
      </xdr:nvSpPr>
      <xdr:spPr>
        <a:xfrm>
          <a:off x="6030394" y="1"/>
          <a:ext cx="1695862"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24</xdr:col>
      <xdr:colOff>163619</xdr:colOff>
      <xdr:row>0</xdr:row>
      <xdr:rowOff>0</xdr:rowOff>
    </xdr:from>
    <xdr:to>
      <xdr:col>33</xdr:col>
      <xdr:colOff>47636</xdr:colOff>
      <xdr:row>0</xdr:row>
      <xdr:rowOff>560918</xdr:rowOff>
    </xdr:to>
    <xdr:sp macro="[0]!Navigate_Repair_Estimator" textlink="">
      <xdr:nvSpPr>
        <xdr:cNvPr id="51" name="TextBox 50">
          <a:extLst>
            <a:ext uri="{FF2B5EF4-FFF2-40B4-BE49-F238E27FC236}">
              <a16:creationId xmlns:a16="http://schemas.microsoft.com/office/drawing/2014/main" id="{8EC6D749-152D-490E-A9F9-B327733B45B9}"/>
            </a:ext>
          </a:extLst>
        </xdr:cNvPr>
        <xdr:cNvSpPr txBox="1">
          <a:spLocks noChangeAspect="1"/>
        </xdr:cNvSpPr>
      </xdr:nvSpPr>
      <xdr:spPr>
        <a:xfrm>
          <a:off x="7745519" y="0"/>
          <a:ext cx="1684242"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7</xdr:col>
      <xdr:colOff>150903</xdr:colOff>
      <xdr:row>0</xdr:row>
      <xdr:rowOff>0</xdr:rowOff>
    </xdr:from>
    <xdr:to>
      <xdr:col>16</xdr:col>
      <xdr:colOff>37675</xdr:colOff>
      <xdr:row>0</xdr:row>
      <xdr:rowOff>560918</xdr:rowOff>
    </xdr:to>
    <xdr:sp macro="[0]!Navigate_Home" textlink="">
      <xdr:nvSpPr>
        <xdr:cNvPr id="53" name="TextBox 52">
          <a:extLst>
            <a:ext uri="{FF2B5EF4-FFF2-40B4-BE49-F238E27FC236}">
              <a16:creationId xmlns:a16="http://schemas.microsoft.com/office/drawing/2014/main" id="{2482F60E-3ABC-41A1-9955-3BE370D739DC}"/>
            </a:ext>
          </a:extLst>
        </xdr:cNvPr>
        <xdr:cNvSpPr txBox="1">
          <a:spLocks noChangeAspect="1"/>
        </xdr:cNvSpPr>
      </xdr:nvSpPr>
      <xdr:spPr>
        <a:xfrm>
          <a:off x="4332378" y="0"/>
          <a:ext cx="1686997"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45</xdr:col>
      <xdr:colOff>182456</xdr:colOff>
      <xdr:row>0</xdr:row>
      <xdr:rowOff>153469</xdr:rowOff>
    </xdr:from>
    <xdr:to>
      <xdr:col>47</xdr:col>
      <xdr:colOff>47971</xdr:colOff>
      <xdr:row>0</xdr:row>
      <xdr:rowOff>429893</xdr:rowOff>
    </xdr:to>
    <xdr:pic>
      <xdr:nvPicPr>
        <xdr:cNvPr id="54" name="Picture 53" title="Help">
          <a:hlinkClick xmlns:r="http://schemas.openxmlformats.org/officeDocument/2006/relationships" r:id="rId8"/>
          <a:extLst>
            <a:ext uri="{FF2B5EF4-FFF2-40B4-BE49-F238E27FC236}">
              <a16:creationId xmlns:a16="http://schemas.microsoft.com/office/drawing/2014/main" id="{B37D4EA7-4672-45E4-8F08-586978C82AB1}"/>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1964881" y="153469"/>
          <a:ext cx="265565" cy="276424"/>
        </a:xfrm>
        <a:prstGeom prst="rect">
          <a:avLst/>
        </a:prstGeom>
      </xdr:spPr>
    </xdr:pic>
    <xdr:clientData/>
  </xdr:twoCellAnchor>
  <xdr:twoCellAnchor editAs="absolute">
    <xdr:from>
      <xdr:col>43</xdr:col>
      <xdr:colOff>27941</xdr:colOff>
      <xdr:row>0</xdr:row>
      <xdr:rowOff>152516</xdr:rowOff>
    </xdr:from>
    <xdr:to>
      <xdr:col>44</xdr:col>
      <xdr:colOff>113666</xdr:colOff>
      <xdr:row>0</xdr:row>
      <xdr:rowOff>429998</xdr:rowOff>
    </xdr:to>
    <xdr:pic macro="[0]!Navigate_Info_Sheet">
      <xdr:nvPicPr>
        <xdr:cNvPr id="58" name="Picture 57">
          <a:extLst>
            <a:ext uri="{FF2B5EF4-FFF2-40B4-BE49-F238E27FC236}">
              <a16:creationId xmlns:a16="http://schemas.microsoft.com/office/drawing/2014/main" id="{8A59C646-DF96-46E7-99F8-E42A384B4D3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410316" y="152516"/>
          <a:ext cx="285750" cy="277482"/>
        </a:xfrm>
        <a:prstGeom prst="rect">
          <a:avLst/>
        </a:prstGeom>
      </xdr:spPr>
    </xdr:pic>
    <xdr:clientData/>
  </xdr:twoCellAnchor>
  <xdr:twoCellAnchor editAs="absolute">
    <xdr:from>
      <xdr:col>0</xdr:col>
      <xdr:colOff>0</xdr:colOff>
      <xdr:row>0</xdr:row>
      <xdr:rowOff>0</xdr:rowOff>
    </xdr:from>
    <xdr:to>
      <xdr:col>1</xdr:col>
      <xdr:colOff>445573</xdr:colOff>
      <xdr:row>0</xdr:row>
      <xdr:rowOff>562823</xdr:rowOff>
    </xdr:to>
    <xdr:sp macro="" textlink="">
      <xdr:nvSpPr>
        <xdr:cNvPr id="61" name="TextBox 60">
          <a:extLst>
            <a:ext uri="{FF2B5EF4-FFF2-40B4-BE49-F238E27FC236}">
              <a16:creationId xmlns:a16="http://schemas.microsoft.com/office/drawing/2014/main" id="{8EE29EDF-B53C-43FD-927D-1E988C94E4BF}"/>
            </a:ext>
          </a:extLst>
        </xdr:cNvPr>
        <xdr:cNvSpPr txBox="1">
          <a:spLocks noChangeAspect="1"/>
        </xdr:cNvSpPr>
      </xdr:nvSpPr>
      <xdr:spPr>
        <a:xfrm>
          <a:off x="0" y="0"/>
          <a:ext cx="1664773" cy="562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21</xdr:col>
      <xdr:colOff>496432</xdr:colOff>
      <xdr:row>1</xdr:row>
      <xdr:rowOff>95897</xdr:rowOff>
    </xdr:from>
    <xdr:to>
      <xdr:col>23</xdr:col>
      <xdr:colOff>456216</xdr:colOff>
      <xdr:row>3</xdr:row>
      <xdr:rowOff>8131</xdr:rowOff>
    </xdr:to>
    <xdr:sp macro="[0]!Investment_Report_Show_Hide_Photos" textlink="">
      <xdr:nvSpPr>
        <xdr:cNvPr id="91" name="TextBox 90">
          <a:extLst>
            <a:ext uri="{FF2B5EF4-FFF2-40B4-BE49-F238E27FC236}">
              <a16:creationId xmlns:a16="http://schemas.microsoft.com/office/drawing/2014/main" id="{00000000-0008-0000-2300-00005B000000}"/>
            </a:ext>
          </a:extLst>
        </xdr:cNvPr>
        <xdr:cNvSpPr txBox="1"/>
      </xdr:nvSpPr>
      <xdr:spPr>
        <a:xfrm>
          <a:off x="11964532" y="667397"/>
          <a:ext cx="988484" cy="388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chemeClr val="tx1">
                  <a:lumMod val="75000"/>
                  <a:lumOff val="25000"/>
                </a:schemeClr>
              </a:solidFill>
              <a:latin typeface="Calibri Light" panose="020F0302020204030204" pitchFamily="34" charset="0"/>
            </a:rPr>
            <a:t>Photos</a:t>
          </a:r>
        </a:p>
      </xdr:txBody>
    </xdr:sp>
    <xdr:clientData/>
  </xdr:twoCellAnchor>
  <xdr:twoCellAnchor>
    <xdr:from>
      <xdr:col>19</xdr:col>
      <xdr:colOff>474669</xdr:colOff>
      <xdr:row>1</xdr:row>
      <xdr:rowOff>104652</xdr:rowOff>
    </xdr:from>
    <xdr:to>
      <xdr:col>21</xdr:col>
      <xdr:colOff>275539</xdr:colOff>
      <xdr:row>3</xdr:row>
      <xdr:rowOff>11591</xdr:rowOff>
    </xdr:to>
    <xdr:sp macro="[0]!Investment_Report_Show_Hide_Estimate_Page" textlink="">
      <xdr:nvSpPr>
        <xdr:cNvPr id="89" name="TextBox 88">
          <a:extLst>
            <a:ext uri="{FF2B5EF4-FFF2-40B4-BE49-F238E27FC236}">
              <a16:creationId xmlns:a16="http://schemas.microsoft.com/office/drawing/2014/main" id="{FF9B2FC2-D593-4228-9AE1-8BB3879E2BE8}"/>
            </a:ext>
          </a:extLst>
        </xdr:cNvPr>
        <xdr:cNvSpPr txBox="1"/>
      </xdr:nvSpPr>
      <xdr:spPr>
        <a:xfrm>
          <a:off x="10914069" y="676152"/>
          <a:ext cx="829570" cy="383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baseline="0">
              <a:solidFill>
                <a:schemeClr val="tx1">
                  <a:lumMod val="75000"/>
                  <a:lumOff val="25000"/>
                </a:schemeClr>
              </a:solidFill>
              <a:latin typeface="Calibri Light" panose="020F0302020204030204" pitchFamily="34" charset="0"/>
            </a:rPr>
            <a:t>Estimate</a:t>
          </a:r>
        </a:p>
      </xdr:txBody>
    </xdr:sp>
    <xdr:clientData/>
  </xdr:twoCellAnchor>
  <xdr:twoCellAnchor>
    <xdr:from>
      <xdr:col>15</xdr:col>
      <xdr:colOff>276225</xdr:colOff>
      <xdr:row>1</xdr:row>
      <xdr:rowOff>152400</xdr:rowOff>
    </xdr:from>
    <xdr:to>
      <xdr:col>16</xdr:col>
      <xdr:colOff>28476</xdr:colOff>
      <xdr:row>2</xdr:row>
      <xdr:rowOff>237154</xdr:rowOff>
    </xdr:to>
    <xdr:sp macro="[0]!Investment_Report_Show_Hide_Capital_Page" textlink="">
      <xdr:nvSpPr>
        <xdr:cNvPr id="109" name="Rectangle 108">
          <a:extLst>
            <a:ext uri="{FF2B5EF4-FFF2-40B4-BE49-F238E27FC236}">
              <a16:creationId xmlns:a16="http://schemas.microsoft.com/office/drawing/2014/main" id="{70FF77F4-A4E0-4D86-B4EE-DE43CB669685}"/>
            </a:ext>
          </a:extLst>
        </xdr:cNvPr>
        <xdr:cNvSpPr/>
      </xdr:nvSpPr>
      <xdr:spPr>
        <a:xfrm>
          <a:off x="8658225" y="723900"/>
          <a:ext cx="266601" cy="275254"/>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19</xdr:col>
      <xdr:colOff>180413</xdr:colOff>
      <xdr:row>1</xdr:row>
      <xdr:rowOff>151591</xdr:rowOff>
    </xdr:from>
    <xdr:to>
      <xdr:col>19</xdr:col>
      <xdr:colOff>445893</xdr:colOff>
      <xdr:row>2</xdr:row>
      <xdr:rowOff>239520</xdr:rowOff>
    </xdr:to>
    <xdr:sp macro="[0]!Investment_Report_Show_Hide_Estimate_Page" textlink="">
      <xdr:nvSpPr>
        <xdr:cNvPr id="97" name="Rectangle 96">
          <a:extLst>
            <a:ext uri="{FF2B5EF4-FFF2-40B4-BE49-F238E27FC236}">
              <a16:creationId xmlns:a16="http://schemas.microsoft.com/office/drawing/2014/main" id="{4EF9EFE1-37FB-41EA-A78D-AC164761C907}"/>
            </a:ext>
          </a:extLst>
        </xdr:cNvPr>
        <xdr:cNvSpPr/>
      </xdr:nvSpPr>
      <xdr:spPr>
        <a:xfrm>
          <a:off x="10619813" y="723091"/>
          <a:ext cx="265480" cy="278429"/>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17</xdr:col>
      <xdr:colOff>257362</xdr:colOff>
      <xdr:row>1</xdr:row>
      <xdr:rowOff>141817</xdr:rowOff>
    </xdr:from>
    <xdr:to>
      <xdr:col>18</xdr:col>
      <xdr:colOff>9613</xdr:colOff>
      <xdr:row>2</xdr:row>
      <xdr:rowOff>229746</xdr:rowOff>
    </xdr:to>
    <xdr:sp macro="[0]!Investment_Report_Show_Hide_Comps_Page" textlink="">
      <xdr:nvSpPr>
        <xdr:cNvPr id="86" name="Rectangle 85">
          <a:extLst>
            <a:ext uri="{FF2B5EF4-FFF2-40B4-BE49-F238E27FC236}">
              <a16:creationId xmlns:a16="http://schemas.microsoft.com/office/drawing/2014/main" id="{437D8C6D-D63A-4AE5-B1A1-03B3CA86A3DA}"/>
            </a:ext>
          </a:extLst>
        </xdr:cNvPr>
        <xdr:cNvSpPr/>
      </xdr:nvSpPr>
      <xdr:spPr>
        <a:xfrm>
          <a:off x="9668062" y="713317"/>
          <a:ext cx="266601" cy="278429"/>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428362</xdr:colOff>
      <xdr:row>1</xdr:row>
      <xdr:rowOff>86148</xdr:rowOff>
    </xdr:from>
    <xdr:to>
      <xdr:col>15</xdr:col>
      <xdr:colOff>247649</xdr:colOff>
      <xdr:row>3</xdr:row>
      <xdr:rowOff>498</xdr:rowOff>
    </xdr:to>
    <xdr:sp macro="[0]!Investment_Report_Show_Hide_Summary_Page" textlink="">
      <xdr:nvSpPr>
        <xdr:cNvPr id="88" name="TextBox 87">
          <a:extLst>
            <a:ext uri="{FF2B5EF4-FFF2-40B4-BE49-F238E27FC236}">
              <a16:creationId xmlns:a16="http://schemas.microsoft.com/office/drawing/2014/main" id="{00000000-0008-0000-2300-000058000000}"/>
            </a:ext>
          </a:extLst>
        </xdr:cNvPr>
        <xdr:cNvSpPr txBox="1"/>
      </xdr:nvSpPr>
      <xdr:spPr>
        <a:xfrm>
          <a:off x="7781662" y="657648"/>
          <a:ext cx="847987" cy="3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baseline="0">
              <a:solidFill>
                <a:schemeClr val="tx1">
                  <a:lumMod val="75000"/>
                  <a:lumOff val="25000"/>
                </a:schemeClr>
              </a:solidFill>
              <a:latin typeface="Calibri Light" panose="020F0302020204030204" pitchFamily="34" charset="0"/>
            </a:rPr>
            <a:t>Summary</a:t>
          </a:r>
          <a:endParaRPr lang="en-US" sz="1200" b="0" i="1">
            <a:solidFill>
              <a:schemeClr val="tx1">
                <a:lumMod val="75000"/>
                <a:lumOff val="25000"/>
              </a:schemeClr>
            </a:solidFill>
            <a:latin typeface="Calibri Light" panose="020F0302020204030204" pitchFamily="34" charset="0"/>
          </a:endParaRPr>
        </a:p>
      </xdr:txBody>
    </xdr:sp>
    <xdr:clientData/>
  </xdr:twoCellAnchor>
  <xdr:twoCellAnchor>
    <xdr:from>
      <xdr:col>12</xdr:col>
      <xdr:colOff>11619</xdr:colOff>
      <xdr:row>1</xdr:row>
      <xdr:rowOff>76624</xdr:rowOff>
    </xdr:from>
    <xdr:to>
      <xdr:col>13</xdr:col>
      <xdr:colOff>302558</xdr:colOff>
      <xdr:row>2</xdr:row>
      <xdr:rowOff>275664</xdr:rowOff>
    </xdr:to>
    <xdr:sp macro="[0]!Investment_Report_Show_Hide_Cover_Page" textlink="">
      <xdr:nvSpPr>
        <xdr:cNvPr id="83" name="TextBox 82">
          <a:extLst>
            <a:ext uri="{FF2B5EF4-FFF2-40B4-BE49-F238E27FC236}">
              <a16:creationId xmlns:a16="http://schemas.microsoft.com/office/drawing/2014/main" id="{00000000-0008-0000-2300-000053000000}"/>
            </a:ext>
          </a:extLst>
        </xdr:cNvPr>
        <xdr:cNvSpPr txBox="1"/>
      </xdr:nvSpPr>
      <xdr:spPr>
        <a:xfrm>
          <a:off x="6869619" y="648124"/>
          <a:ext cx="806410" cy="389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chemeClr val="tx1">
                  <a:lumMod val="75000"/>
                  <a:lumOff val="25000"/>
                </a:schemeClr>
              </a:solidFill>
              <a:latin typeface="Calibri Light" panose="020F0302020204030204" pitchFamily="34" charset="0"/>
            </a:rPr>
            <a:t>Cover</a:t>
          </a:r>
          <a:r>
            <a:rPr lang="en-US" sz="1200" b="0" i="1" baseline="0">
              <a:solidFill>
                <a:schemeClr val="tx1">
                  <a:lumMod val="75000"/>
                  <a:lumOff val="25000"/>
                </a:schemeClr>
              </a:solidFill>
              <a:latin typeface="Calibri Light" panose="020F0302020204030204" pitchFamily="34" charset="0"/>
            </a:rPr>
            <a:t> </a:t>
          </a:r>
          <a:endParaRPr lang="en-US" sz="1200" b="0" i="1">
            <a:solidFill>
              <a:schemeClr val="tx1">
                <a:lumMod val="75000"/>
                <a:lumOff val="25000"/>
              </a:schemeClr>
            </a:solidFill>
            <a:latin typeface="Calibri Light" panose="020F0302020204030204" pitchFamily="34" charset="0"/>
          </a:endParaRPr>
        </a:p>
      </xdr:txBody>
    </xdr:sp>
    <xdr:clientData/>
  </xdr:twoCellAnchor>
  <xdr:twoCellAnchor>
    <xdr:from>
      <xdr:col>11</xdr:col>
      <xdr:colOff>211666</xdr:colOff>
      <xdr:row>1</xdr:row>
      <xdr:rowOff>133774</xdr:rowOff>
    </xdr:from>
    <xdr:to>
      <xdr:col>11</xdr:col>
      <xdr:colOff>478267</xdr:colOff>
      <xdr:row>2</xdr:row>
      <xdr:rowOff>211119</xdr:rowOff>
    </xdr:to>
    <xdr:sp macro="[0]!Investment_Report_Show_Hide_Cover_Page" textlink="">
      <xdr:nvSpPr>
        <xdr:cNvPr id="93" name="Rectangle 92">
          <a:extLst>
            <a:ext uri="{FF2B5EF4-FFF2-40B4-BE49-F238E27FC236}">
              <a16:creationId xmlns:a16="http://schemas.microsoft.com/office/drawing/2014/main" id="{00000000-0008-0000-2300-00005D000000}"/>
            </a:ext>
          </a:extLst>
        </xdr:cNvPr>
        <xdr:cNvSpPr/>
      </xdr:nvSpPr>
      <xdr:spPr>
        <a:xfrm>
          <a:off x="6536266" y="705274"/>
          <a:ext cx="266601" cy="267845"/>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136637</xdr:colOff>
      <xdr:row>1</xdr:row>
      <xdr:rowOff>142664</xdr:rowOff>
    </xdr:from>
    <xdr:to>
      <xdr:col>13</xdr:col>
      <xdr:colOff>394197</xdr:colOff>
      <xdr:row>2</xdr:row>
      <xdr:rowOff>230592</xdr:rowOff>
    </xdr:to>
    <xdr:sp macro="[0]!Investment_Report_Show_Hide_Summary_Page" textlink="">
      <xdr:nvSpPr>
        <xdr:cNvPr id="94" name="Rectangle 93">
          <a:extLst>
            <a:ext uri="{FF2B5EF4-FFF2-40B4-BE49-F238E27FC236}">
              <a16:creationId xmlns:a16="http://schemas.microsoft.com/office/drawing/2014/main" id="{00000000-0008-0000-2300-00005E000000}"/>
            </a:ext>
          </a:extLst>
        </xdr:cNvPr>
        <xdr:cNvSpPr/>
      </xdr:nvSpPr>
      <xdr:spPr>
        <a:xfrm>
          <a:off x="7510108" y="714164"/>
          <a:ext cx="257560" cy="278428"/>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21</xdr:col>
      <xdr:colOff>219734</xdr:colOff>
      <xdr:row>1</xdr:row>
      <xdr:rowOff>151540</xdr:rowOff>
    </xdr:from>
    <xdr:to>
      <xdr:col>21</xdr:col>
      <xdr:colOff>477805</xdr:colOff>
      <xdr:row>2</xdr:row>
      <xdr:rowOff>238412</xdr:rowOff>
    </xdr:to>
    <xdr:sp macro="[0]!Investment_Report_Show_Hide_Photos" textlink="">
      <xdr:nvSpPr>
        <xdr:cNvPr id="95" name="Rectangle 94">
          <a:extLst>
            <a:ext uri="{FF2B5EF4-FFF2-40B4-BE49-F238E27FC236}">
              <a16:creationId xmlns:a16="http://schemas.microsoft.com/office/drawing/2014/main" id="{00000000-0008-0000-2300-00005F000000}"/>
            </a:ext>
          </a:extLst>
        </xdr:cNvPr>
        <xdr:cNvSpPr/>
      </xdr:nvSpPr>
      <xdr:spPr>
        <a:xfrm>
          <a:off x="11687834" y="723040"/>
          <a:ext cx="258071" cy="277372"/>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25</xdr:col>
      <xdr:colOff>19051</xdr:colOff>
      <xdr:row>245</xdr:row>
      <xdr:rowOff>70485</xdr:rowOff>
    </xdr:from>
    <xdr:to>
      <xdr:col>28</xdr:col>
      <xdr:colOff>104776</xdr:colOff>
      <xdr:row>248</xdr:row>
      <xdr:rowOff>93345</xdr:rowOff>
    </xdr:to>
    <xdr:sp macro="" textlink="">
      <xdr:nvSpPr>
        <xdr:cNvPr id="34" name="Line Callout 1 33">
          <a:extLst>
            <a:ext uri="{FF2B5EF4-FFF2-40B4-BE49-F238E27FC236}">
              <a16:creationId xmlns:a16="http://schemas.microsoft.com/office/drawing/2014/main" id="{00000000-0008-0000-2300-000022000000}"/>
            </a:ext>
          </a:extLst>
        </xdr:cNvPr>
        <xdr:cNvSpPr/>
      </xdr:nvSpPr>
      <xdr:spPr>
        <a:xfrm>
          <a:off x="13725526" y="33293685"/>
          <a:ext cx="1352550" cy="708660"/>
        </a:xfrm>
        <a:prstGeom prst="borderCallout1">
          <a:avLst>
            <a:gd name="adj1" fmla="val 52083"/>
            <a:gd name="adj2" fmla="val -7724"/>
            <a:gd name="adj3" fmla="val 48716"/>
            <a:gd name="adj4" fmla="val -55810"/>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050">
              <a:solidFill>
                <a:schemeClr val="dk1"/>
              </a:solidFill>
              <a:latin typeface="Calibri Light" panose="020F0302020204030204" pitchFamily="34" charset="0"/>
              <a:ea typeface="+mn-ea"/>
              <a:cs typeface="+mn-cs"/>
            </a:rPr>
            <a:t>Insert property photos here</a:t>
          </a:r>
        </a:p>
      </xdr:txBody>
    </xdr:sp>
    <xdr:clientData fPrintsWithSheet="0"/>
  </xdr:twoCellAnchor>
  <xdr:twoCellAnchor>
    <xdr:from>
      <xdr:col>25</xdr:col>
      <xdr:colOff>26669</xdr:colOff>
      <xdr:row>250</xdr:row>
      <xdr:rowOff>163830</xdr:rowOff>
    </xdr:from>
    <xdr:to>
      <xdr:col>28</xdr:col>
      <xdr:colOff>66675</xdr:colOff>
      <xdr:row>252</xdr:row>
      <xdr:rowOff>186690</xdr:rowOff>
    </xdr:to>
    <xdr:sp macro="" textlink="">
      <xdr:nvSpPr>
        <xdr:cNvPr id="37" name="Line Callout 1 36">
          <a:extLst>
            <a:ext uri="{FF2B5EF4-FFF2-40B4-BE49-F238E27FC236}">
              <a16:creationId xmlns:a16="http://schemas.microsoft.com/office/drawing/2014/main" id="{00000000-0008-0000-2300-000025000000}"/>
            </a:ext>
          </a:extLst>
        </xdr:cNvPr>
        <xdr:cNvSpPr/>
      </xdr:nvSpPr>
      <xdr:spPr>
        <a:xfrm>
          <a:off x="13733144" y="34530030"/>
          <a:ext cx="1306831" cy="708660"/>
        </a:xfrm>
        <a:prstGeom prst="borderCallout1">
          <a:avLst>
            <a:gd name="adj1" fmla="val 52083"/>
            <a:gd name="adj2" fmla="val -7724"/>
            <a:gd name="adj3" fmla="val 48716"/>
            <a:gd name="adj4" fmla="val -51661"/>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050">
              <a:solidFill>
                <a:schemeClr val="dk1"/>
              </a:solidFill>
              <a:latin typeface="Calibri Light" panose="020F0302020204030204" pitchFamily="34" charset="0"/>
              <a:ea typeface="+mn-ea"/>
              <a:cs typeface="+mn-cs"/>
            </a:rPr>
            <a:t>Input a brief caption for each photo</a:t>
          </a:r>
        </a:p>
      </xdr:txBody>
    </xdr:sp>
    <xdr:clientData fPrintsWithSheet="0"/>
  </xdr:twoCellAnchor>
  <xdr:twoCellAnchor>
    <xdr:from>
      <xdr:col>2</xdr:col>
      <xdr:colOff>365760</xdr:colOff>
      <xdr:row>25</xdr:row>
      <xdr:rowOff>68580</xdr:rowOff>
    </xdr:from>
    <xdr:to>
      <xdr:col>5</xdr:col>
      <xdr:colOff>243840</xdr:colOff>
      <xdr:row>28</xdr:row>
      <xdr:rowOff>114300</xdr:rowOff>
    </xdr:to>
    <xdr:sp macro="" textlink="">
      <xdr:nvSpPr>
        <xdr:cNvPr id="39" name="Line Callout 1 38">
          <a:extLst>
            <a:ext uri="{FF2B5EF4-FFF2-40B4-BE49-F238E27FC236}">
              <a16:creationId xmlns:a16="http://schemas.microsoft.com/office/drawing/2014/main" id="{00000000-0008-0000-2300-000027000000}"/>
            </a:ext>
          </a:extLst>
        </xdr:cNvPr>
        <xdr:cNvSpPr/>
      </xdr:nvSpPr>
      <xdr:spPr>
        <a:xfrm>
          <a:off x="1280160" y="3192780"/>
          <a:ext cx="1249680" cy="571500"/>
        </a:xfrm>
        <a:prstGeom prst="borderCallout1">
          <a:avLst>
            <a:gd name="adj1" fmla="val 46750"/>
            <a:gd name="adj2" fmla="val 107520"/>
            <a:gd name="adj3" fmla="val 40715"/>
            <a:gd name="adj4" fmla="val 213496"/>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050">
              <a:latin typeface="Calibri Light" panose="020F0302020204030204" pitchFamily="34" charset="0"/>
            </a:rPr>
            <a:t>Property Info pulled</a:t>
          </a:r>
          <a:r>
            <a:rPr lang="en-US" sz="1050" baseline="0">
              <a:latin typeface="Calibri Light" panose="020F0302020204030204" pitchFamily="34" charset="0"/>
            </a:rPr>
            <a:t> from Info Sheet</a:t>
          </a:r>
          <a:endParaRPr lang="en-US" sz="1050">
            <a:latin typeface="Calibri Light" panose="020F0302020204030204" pitchFamily="34" charset="0"/>
          </a:endParaRPr>
        </a:p>
      </xdr:txBody>
    </xdr:sp>
    <xdr:clientData fPrintsWithSheet="0"/>
  </xdr:twoCellAnchor>
  <xdr:twoCellAnchor>
    <xdr:from>
      <xdr:col>2</xdr:col>
      <xdr:colOff>388620</xdr:colOff>
      <xdr:row>39</xdr:row>
      <xdr:rowOff>190500</xdr:rowOff>
    </xdr:from>
    <xdr:to>
      <xdr:col>5</xdr:col>
      <xdr:colOff>266700</xdr:colOff>
      <xdr:row>43</xdr:row>
      <xdr:rowOff>15240</xdr:rowOff>
    </xdr:to>
    <xdr:sp macro="" textlink="">
      <xdr:nvSpPr>
        <xdr:cNvPr id="40" name="Line Callout 1 39">
          <a:extLst>
            <a:ext uri="{FF2B5EF4-FFF2-40B4-BE49-F238E27FC236}">
              <a16:creationId xmlns:a16="http://schemas.microsoft.com/office/drawing/2014/main" id="{00000000-0008-0000-2300-000028000000}"/>
            </a:ext>
          </a:extLst>
        </xdr:cNvPr>
        <xdr:cNvSpPr/>
      </xdr:nvSpPr>
      <xdr:spPr>
        <a:xfrm>
          <a:off x="2712720" y="7067550"/>
          <a:ext cx="1421130" cy="739140"/>
        </a:xfrm>
        <a:prstGeom prst="borderCallout1">
          <a:avLst>
            <a:gd name="adj1" fmla="val 46750"/>
            <a:gd name="adj2" fmla="val 107520"/>
            <a:gd name="adj3" fmla="val 40715"/>
            <a:gd name="adj4" fmla="val 213496"/>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050">
              <a:solidFill>
                <a:schemeClr val="dk1"/>
              </a:solidFill>
              <a:latin typeface="Calibri Light" panose="020F0302020204030204" pitchFamily="34" charset="0"/>
              <a:ea typeface="+mn-ea"/>
              <a:cs typeface="+mn-cs"/>
            </a:rPr>
            <a:t>Company Info pulled from Info Sheet</a:t>
          </a:r>
        </a:p>
      </xdr:txBody>
    </xdr:sp>
    <xdr:clientData fPrintsWithSheet="0"/>
  </xdr:twoCellAnchor>
  <xdr:twoCellAnchor>
    <xdr:from>
      <xdr:col>8</xdr:col>
      <xdr:colOff>352425</xdr:colOff>
      <xdr:row>1</xdr:row>
      <xdr:rowOff>125731</xdr:rowOff>
    </xdr:from>
    <xdr:to>
      <xdr:col>11</xdr:col>
      <xdr:colOff>179917</xdr:colOff>
      <xdr:row>2</xdr:row>
      <xdr:rowOff>264584</xdr:rowOff>
    </xdr:to>
    <xdr:sp macro="" textlink="">
      <xdr:nvSpPr>
        <xdr:cNvPr id="82" name="TextBox 81">
          <a:extLst>
            <a:ext uri="{FF2B5EF4-FFF2-40B4-BE49-F238E27FC236}">
              <a16:creationId xmlns:a16="http://schemas.microsoft.com/office/drawing/2014/main" id="{00000000-0008-0000-2300-000052000000}"/>
            </a:ext>
          </a:extLst>
        </xdr:cNvPr>
        <xdr:cNvSpPr txBox="1"/>
      </xdr:nvSpPr>
      <xdr:spPr>
        <a:xfrm>
          <a:off x="5133975" y="697231"/>
          <a:ext cx="1370542" cy="329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100" b="0" i="1" baseline="0">
              <a:solidFill>
                <a:schemeClr val="tx1">
                  <a:lumMod val="75000"/>
                  <a:lumOff val="25000"/>
                </a:schemeClr>
              </a:solidFill>
              <a:latin typeface="Calibri Light" panose="020F0302020204030204" pitchFamily="34" charset="0"/>
            </a:rPr>
            <a:t>Select Pages Shown:</a:t>
          </a:r>
          <a:endParaRPr lang="en-US" sz="1100" b="0" i="1">
            <a:solidFill>
              <a:schemeClr val="tx1">
                <a:lumMod val="75000"/>
                <a:lumOff val="25000"/>
              </a:schemeClr>
            </a:solidFill>
            <a:latin typeface="Calibri Light" panose="020F0302020204030204" pitchFamily="34" charset="0"/>
          </a:endParaRPr>
        </a:p>
      </xdr:txBody>
    </xdr:sp>
    <xdr:clientData/>
  </xdr:twoCellAnchor>
  <xdr:twoCellAnchor>
    <xdr:from>
      <xdr:col>11</xdr:col>
      <xdr:colOff>218016</xdr:colOff>
      <xdr:row>1</xdr:row>
      <xdr:rowOff>135044</xdr:rowOff>
    </xdr:from>
    <xdr:to>
      <xdr:col>11</xdr:col>
      <xdr:colOff>493293</xdr:colOff>
      <xdr:row>2</xdr:row>
      <xdr:rowOff>219800</xdr:rowOff>
    </xdr:to>
    <xdr:pic macro="[0]!Investment_Report_Show_Hide_Cover_Page">
      <xdr:nvPicPr>
        <xdr:cNvPr id="87" name="Investment_Report_Cover_Check">
          <a:extLst>
            <a:ext uri="{FF2B5EF4-FFF2-40B4-BE49-F238E27FC236}">
              <a16:creationId xmlns:a16="http://schemas.microsoft.com/office/drawing/2014/main" id="{00000000-0008-0000-2300-000057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542616" y="706544"/>
          <a:ext cx="275277" cy="275256"/>
        </a:xfrm>
        <a:prstGeom prst="rect">
          <a:avLst/>
        </a:prstGeom>
      </xdr:spPr>
    </xdr:pic>
    <xdr:clientData/>
  </xdr:twoCellAnchor>
  <xdr:twoCellAnchor>
    <xdr:from>
      <xdr:col>13</xdr:col>
      <xdr:colOff>135790</xdr:colOff>
      <xdr:row>1</xdr:row>
      <xdr:rowOff>162984</xdr:rowOff>
    </xdr:from>
    <xdr:to>
      <xdr:col>13</xdr:col>
      <xdr:colOff>413668</xdr:colOff>
      <xdr:row>2</xdr:row>
      <xdr:rowOff>236097</xdr:rowOff>
    </xdr:to>
    <xdr:pic macro="[0]!Investment_Report_Show_Hide_Summary_Page">
      <xdr:nvPicPr>
        <xdr:cNvPr id="90" name="Investment_Report_Summary_Check">
          <a:extLst>
            <a:ext uri="{FF2B5EF4-FFF2-40B4-BE49-F238E27FC236}">
              <a16:creationId xmlns:a16="http://schemas.microsoft.com/office/drawing/2014/main" id="{00000000-0008-0000-2300-00005A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509261" y="734484"/>
          <a:ext cx="277878" cy="263613"/>
        </a:xfrm>
        <a:prstGeom prst="rect">
          <a:avLst/>
        </a:prstGeom>
      </xdr:spPr>
    </xdr:pic>
    <xdr:clientData/>
  </xdr:twoCellAnchor>
  <xdr:twoCellAnchor>
    <xdr:from>
      <xdr:col>21</xdr:col>
      <xdr:colOff>219857</xdr:colOff>
      <xdr:row>1</xdr:row>
      <xdr:rowOff>151093</xdr:rowOff>
    </xdr:from>
    <xdr:to>
      <xdr:col>21</xdr:col>
      <xdr:colOff>496129</xdr:colOff>
      <xdr:row>2</xdr:row>
      <xdr:rowOff>249605</xdr:rowOff>
    </xdr:to>
    <xdr:pic macro="[0]!Investment_Report_Show_Hide_Photos">
      <xdr:nvPicPr>
        <xdr:cNvPr id="92" name="Investment_Report_Photos_Check">
          <a:extLst>
            <a:ext uri="{FF2B5EF4-FFF2-40B4-BE49-F238E27FC236}">
              <a16:creationId xmlns:a16="http://schemas.microsoft.com/office/drawing/2014/main" id="{00000000-0008-0000-2300-00005C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687957" y="722593"/>
          <a:ext cx="276272" cy="289012"/>
        </a:xfrm>
        <a:prstGeom prst="rect">
          <a:avLst/>
        </a:prstGeom>
      </xdr:spPr>
    </xdr:pic>
    <xdr:clientData/>
  </xdr:twoCellAnchor>
  <xdr:twoCellAnchor>
    <xdr:from>
      <xdr:col>13</xdr:col>
      <xdr:colOff>448522</xdr:colOff>
      <xdr:row>8</xdr:row>
      <xdr:rowOff>157586</xdr:rowOff>
    </xdr:from>
    <xdr:to>
      <xdr:col>14</xdr:col>
      <xdr:colOff>419523</xdr:colOff>
      <xdr:row>10</xdr:row>
      <xdr:rowOff>109537</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801822" y="2300711"/>
          <a:ext cx="485351" cy="485351"/>
        </a:xfrm>
        <a:prstGeom prst="rect">
          <a:avLst/>
        </a:prstGeom>
      </xdr:spPr>
    </xdr:pic>
    <xdr:clientData/>
  </xdr:twoCellAnchor>
  <xdr:twoCellAnchor>
    <xdr:from>
      <xdr:col>22</xdr:col>
      <xdr:colOff>236220</xdr:colOff>
      <xdr:row>5</xdr:row>
      <xdr:rowOff>0</xdr:rowOff>
    </xdr:from>
    <xdr:to>
      <xdr:col>23</xdr:col>
      <xdr:colOff>0</xdr:colOff>
      <xdr:row>6</xdr:row>
      <xdr:rowOff>45720</xdr:rowOff>
    </xdr:to>
    <xdr:pic macro="[0]!Hide_Investment_Report_Help">
      <xdr:nvPicPr>
        <xdr:cNvPr id="71" name="Getting_Started_Close_Icon">
          <a:extLst>
            <a:ext uri="{FF2B5EF4-FFF2-40B4-BE49-F238E27FC236}">
              <a16:creationId xmlns:a16="http://schemas.microsoft.com/office/drawing/2014/main" id="{00000000-0008-0000-2300-00004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2131040" y="1333500"/>
          <a:ext cx="274320" cy="274320"/>
        </a:xfrm>
        <a:prstGeom prst="rect">
          <a:avLst/>
        </a:prstGeom>
      </xdr:spPr>
    </xdr:pic>
    <xdr:clientData/>
  </xdr:twoCellAnchor>
  <xdr:twoCellAnchor>
    <xdr:from>
      <xdr:col>15</xdr:col>
      <xdr:colOff>22860</xdr:colOff>
      <xdr:row>8</xdr:row>
      <xdr:rowOff>205740</xdr:rowOff>
    </xdr:from>
    <xdr:to>
      <xdr:col>18</xdr:col>
      <xdr:colOff>243840</xdr:colOff>
      <xdr:row>10</xdr:row>
      <xdr:rowOff>30480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00000000-0008-0000-2300-000003000000}"/>
            </a:ext>
          </a:extLst>
        </xdr:cNvPr>
        <xdr:cNvSpPr/>
      </xdr:nvSpPr>
      <xdr:spPr>
        <a:xfrm>
          <a:off x="8343900" y="2225040"/>
          <a:ext cx="1752600" cy="28194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7</xdr:col>
      <xdr:colOff>78829</xdr:colOff>
      <xdr:row>242</xdr:row>
      <xdr:rowOff>78829</xdr:rowOff>
    </xdr:from>
    <xdr:to>
      <xdr:col>11</xdr:col>
      <xdr:colOff>445631</xdr:colOff>
      <xdr:row>250</xdr:row>
      <xdr:rowOff>148898</xdr:rowOff>
    </xdr:to>
    <xdr:pic>
      <xdr:nvPicPr>
        <xdr:cNvPr id="5" name="Picture 4">
          <a:extLst>
            <a:ext uri="{FF2B5EF4-FFF2-40B4-BE49-F238E27FC236}">
              <a16:creationId xmlns:a16="http://schemas.microsoft.com/office/drawing/2014/main" id="{76599D19-7B53-420D-AECD-112DB0E8A1A6}"/>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309243" y="32809795"/>
          <a:ext cx="2403990" cy="1891862"/>
        </a:xfrm>
        <a:prstGeom prst="rect">
          <a:avLst/>
        </a:prstGeom>
      </xdr:spPr>
    </xdr:pic>
    <xdr:clientData/>
  </xdr:twoCellAnchor>
  <xdr:twoCellAnchor>
    <xdr:from>
      <xdr:col>13</xdr:col>
      <xdr:colOff>78828</xdr:colOff>
      <xdr:row>242</xdr:row>
      <xdr:rowOff>78827</xdr:rowOff>
    </xdr:from>
    <xdr:to>
      <xdr:col>17</xdr:col>
      <xdr:colOff>445631</xdr:colOff>
      <xdr:row>250</xdr:row>
      <xdr:rowOff>148896</xdr:rowOff>
    </xdr:to>
    <xdr:pic>
      <xdr:nvPicPr>
        <xdr:cNvPr id="52" name="Picture 51">
          <a:extLst>
            <a:ext uri="{FF2B5EF4-FFF2-40B4-BE49-F238E27FC236}">
              <a16:creationId xmlns:a16="http://schemas.microsoft.com/office/drawing/2014/main" id="{9551536E-33B4-4DD6-A597-C4B95218EB7B}"/>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357242" y="32809793"/>
          <a:ext cx="2403990" cy="1891862"/>
        </a:xfrm>
        <a:prstGeom prst="rect">
          <a:avLst/>
        </a:prstGeom>
      </xdr:spPr>
    </xdr:pic>
    <xdr:clientData/>
  </xdr:twoCellAnchor>
  <xdr:twoCellAnchor>
    <xdr:from>
      <xdr:col>19</xdr:col>
      <xdr:colOff>61310</xdr:colOff>
      <xdr:row>242</xdr:row>
      <xdr:rowOff>70069</xdr:rowOff>
    </xdr:from>
    <xdr:to>
      <xdr:col>23</xdr:col>
      <xdr:colOff>430022</xdr:colOff>
      <xdr:row>250</xdr:row>
      <xdr:rowOff>148707</xdr:rowOff>
    </xdr:to>
    <xdr:pic>
      <xdr:nvPicPr>
        <xdr:cNvPr id="53" name="Picture 52">
          <a:extLst>
            <a:ext uri="{FF2B5EF4-FFF2-40B4-BE49-F238E27FC236}">
              <a16:creationId xmlns:a16="http://schemas.microsoft.com/office/drawing/2014/main" id="{B06AC940-97EF-4078-BE87-E690C6772C1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387724" y="32801035"/>
          <a:ext cx="2403990" cy="1891862"/>
        </a:xfrm>
        <a:prstGeom prst="rect">
          <a:avLst/>
        </a:prstGeom>
      </xdr:spPr>
    </xdr:pic>
    <xdr:clientData/>
  </xdr:twoCellAnchor>
  <xdr:twoCellAnchor>
    <xdr:from>
      <xdr:col>7</xdr:col>
      <xdr:colOff>52552</xdr:colOff>
      <xdr:row>254</xdr:row>
      <xdr:rowOff>61310</xdr:rowOff>
    </xdr:from>
    <xdr:to>
      <xdr:col>11</xdr:col>
      <xdr:colOff>420308</xdr:colOff>
      <xdr:row>262</xdr:row>
      <xdr:rowOff>135610</xdr:rowOff>
    </xdr:to>
    <xdr:pic>
      <xdr:nvPicPr>
        <xdr:cNvPr id="54" name="Picture 53">
          <a:extLst>
            <a:ext uri="{FF2B5EF4-FFF2-40B4-BE49-F238E27FC236}">
              <a16:creationId xmlns:a16="http://schemas.microsoft.com/office/drawing/2014/main" id="{0B0B99B3-9C1A-4F79-B7F5-D7538FF4032F}"/>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282966" y="35752689"/>
          <a:ext cx="2403990" cy="1891862"/>
        </a:xfrm>
        <a:prstGeom prst="rect">
          <a:avLst/>
        </a:prstGeom>
      </xdr:spPr>
    </xdr:pic>
    <xdr:clientData/>
  </xdr:twoCellAnchor>
  <xdr:twoCellAnchor>
    <xdr:from>
      <xdr:col>13</xdr:col>
      <xdr:colOff>70069</xdr:colOff>
      <xdr:row>254</xdr:row>
      <xdr:rowOff>52552</xdr:rowOff>
    </xdr:from>
    <xdr:to>
      <xdr:col>17</xdr:col>
      <xdr:colOff>439942</xdr:colOff>
      <xdr:row>262</xdr:row>
      <xdr:rowOff>124635</xdr:rowOff>
    </xdr:to>
    <xdr:pic>
      <xdr:nvPicPr>
        <xdr:cNvPr id="55" name="Picture 54">
          <a:extLst>
            <a:ext uri="{FF2B5EF4-FFF2-40B4-BE49-F238E27FC236}">
              <a16:creationId xmlns:a16="http://schemas.microsoft.com/office/drawing/2014/main" id="{55A04711-BEE7-4014-A1A5-B8D12F9BB822}"/>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348483" y="35743931"/>
          <a:ext cx="2403990" cy="1891862"/>
        </a:xfrm>
        <a:prstGeom prst="rect">
          <a:avLst/>
        </a:prstGeom>
      </xdr:spPr>
    </xdr:pic>
    <xdr:clientData/>
  </xdr:twoCellAnchor>
  <xdr:twoCellAnchor>
    <xdr:from>
      <xdr:col>19</xdr:col>
      <xdr:colOff>78827</xdr:colOff>
      <xdr:row>254</xdr:row>
      <xdr:rowOff>61310</xdr:rowOff>
    </xdr:from>
    <xdr:to>
      <xdr:col>23</xdr:col>
      <xdr:colOff>445631</xdr:colOff>
      <xdr:row>262</xdr:row>
      <xdr:rowOff>135610</xdr:rowOff>
    </xdr:to>
    <xdr:pic>
      <xdr:nvPicPr>
        <xdr:cNvPr id="56" name="Picture 55">
          <a:extLst>
            <a:ext uri="{FF2B5EF4-FFF2-40B4-BE49-F238E27FC236}">
              <a16:creationId xmlns:a16="http://schemas.microsoft.com/office/drawing/2014/main" id="{3CE09B93-ED81-455B-AB26-88A1454109B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405241" y="35752689"/>
          <a:ext cx="2403990" cy="1891862"/>
        </a:xfrm>
        <a:prstGeom prst="rect">
          <a:avLst/>
        </a:prstGeom>
      </xdr:spPr>
    </xdr:pic>
    <xdr:clientData/>
  </xdr:twoCellAnchor>
  <xdr:twoCellAnchor>
    <xdr:from>
      <xdr:col>7</xdr:col>
      <xdr:colOff>70069</xdr:colOff>
      <xdr:row>266</xdr:row>
      <xdr:rowOff>70069</xdr:rowOff>
    </xdr:from>
    <xdr:to>
      <xdr:col>11</xdr:col>
      <xdr:colOff>439941</xdr:colOff>
      <xdr:row>274</xdr:row>
      <xdr:rowOff>148706</xdr:rowOff>
    </xdr:to>
    <xdr:pic>
      <xdr:nvPicPr>
        <xdr:cNvPr id="57" name="Picture 56">
          <a:extLst>
            <a:ext uri="{FF2B5EF4-FFF2-40B4-BE49-F238E27FC236}">
              <a16:creationId xmlns:a16="http://schemas.microsoft.com/office/drawing/2014/main" id="{D903924D-2F1A-490A-9C08-FED9B1BE7AD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300483" y="38721862"/>
          <a:ext cx="2403990" cy="1891862"/>
        </a:xfrm>
        <a:prstGeom prst="rect">
          <a:avLst/>
        </a:prstGeom>
      </xdr:spPr>
    </xdr:pic>
    <xdr:clientData/>
  </xdr:twoCellAnchor>
  <xdr:twoCellAnchor>
    <xdr:from>
      <xdr:col>13</xdr:col>
      <xdr:colOff>87586</xdr:colOff>
      <xdr:row>266</xdr:row>
      <xdr:rowOff>61311</xdr:rowOff>
    </xdr:from>
    <xdr:to>
      <xdr:col>17</xdr:col>
      <xdr:colOff>455343</xdr:colOff>
      <xdr:row>274</xdr:row>
      <xdr:rowOff>135610</xdr:rowOff>
    </xdr:to>
    <xdr:pic>
      <xdr:nvPicPr>
        <xdr:cNvPr id="58" name="Picture 57">
          <a:extLst>
            <a:ext uri="{FF2B5EF4-FFF2-40B4-BE49-F238E27FC236}">
              <a16:creationId xmlns:a16="http://schemas.microsoft.com/office/drawing/2014/main" id="{C05CEFFD-C5E3-40C5-AC8D-C1B517CD65FB}"/>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366000" y="38713104"/>
          <a:ext cx="2403990" cy="1891862"/>
        </a:xfrm>
        <a:prstGeom prst="rect">
          <a:avLst/>
        </a:prstGeom>
      </xdr:spPr>
    </xdr:pic>
    <xdr:clientData/>
  </xdr:twoCellAnchor>
  <xdr:twoCellAnchor>
    <xdr:from>
      <xdr:col>19</xdr:col>
      <xdr:colOff>96344</xdr:colOff>
      <xdr:row>266</xdr:row>
      <xdr:rowOff>70069</xdr:rowOff>
    </xdr:from>
    <xdr:to>
      <xdr:col>23</xdr:col>
      <xdr:colOff>465056</xdr:colOff>
      <xdr:row>274</xdr:row>
      <xdr:rowOff>148706</xdr:rowOff>
    </xdr:to>
    <xdr:pic>
      <xdr:nvPicPr>
        <xdr:cNvPr id="59" name="Picture 58">
          <a:extLst>
            <a:ext uri="{FF2B5EF4-FFF2-40B4-BE49-F238E27FC236}">
              <a16:creationId xmlns:a16="http://schemas.microsoft.com/office/drawing/2014/main" id="{AA1DEAED-1D07-4C79-AE31-3E109963C5FF}"/>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422758" y="38721862"/>
          <a:ext cx="2403990" cy="1891862"/>
        </a:xfrm>
        <a:prstGeom prst="rect">
          <a:avLst/>
        </a:prstGeom>
      </xdr:spPr>
    </xdr:pic>
    <xdr:clientData/>
  </xdr:twoCellAnchor>
  <xdr:twoCellAnchor>
    <xdr:from>
      <xdr:col>6</xdr:col>
      <xdr:colOff>1905</xdr:colOff>
      <xdr:row>2</xdr:row>
      <xdr:rowOff>45509</xdr:rowOff>
    </xdr:from>
    <xdr:to>
      <xdr:col>8</xdr:col>
      <xdr:colOff>477143</xdr:colOff>
      <xdr:row>3</xdr:row>
      <xdr:rowOff>66676</xdr:rowOff>
    </xdr:to>
    <xdr:sp macro="[0]!Navigate_Rehab_Analyzer" textlink="">
      <xdr:nvSpPr>
        <xdr:cNvPr id="60" name="TextBox 59">
          <a:extLst>
            <a:ext uri="{FF2B5EF4-FFF2-40B4-BE49-F238E27FC236}">
              <a16:creationId xmlns:a16="http://schemas.microsoft.com/office/drawing/2014/main" id="{B58ACF0D-69D8-43C5-879F-F1AF043A5CF4}"/>
            </a:ext>
          </a:extLst>
        </xdr:cNvPr>
        <xdr:cNvSpPr txBox="1"/>
      </xdr:nvSpPr>
      <xdr:spPr>
        <a:xfrm>
          <a:off x="3811905" y="807509"/>
          <a:ext cx="1446788" cy="306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Analysis</a:t>
          </a:r>
          <a:endParaRPr lang="en-US" sz="1100" b="0" i="1" u="sng">
            <a:solidFill>
              <a:srgbClr val="289FE8"/>
            </a:solidFill>
            <a:latin typeface="Calibri Light" panose="020F0302020204030204" pitchFamily="34" charset="0"/>
          </a:endParaRPr>
        </a:p>
      </xdr:txBody>
    </xdr:sp>
    <xdr:clientData/>
  </xdr:twoCellAnchor>
  <xdr:twoCellAnchor>
    <xdr:from>
      <xdr:col>7</xdr:col>
      <xdr:colOff>123612</xdr:colOff>
      <xdr:row>1</xdr:row>
      <xdr:rowOff>18123</xdr:rowOff>
    </xdr:from>
    <xdr:to>
      <xdr:col>7</xdr:col>
      <xdr:colOff>401690</xdr:colOff>
      <xdr:row>2</xdr:row>
      <xdr:rowOff>105701</xdr:rowOff>
    </xdr:to>
    <xdr:pic macro="[0]!Navigate_Rehab_Analyzer">
      <xdr:nvPicPr>
        <xdr:cNvPr id="61" name="Picture 60">
          <a:extLst>
            <a:ext uri="{FF2B5EF4-FFF2-40B4-BE49-F238E27FC236}">
              <a16:creationId xmlns:a16="http://schemas.microsoft.com/office/drawing/2014/main" id="{6EFEB7CA-FFE8-4A92-AF41-CE553FD36993}"/>
            </a:ext>
          </a:extLst>
        </xdr:cNvPr>
        <xdr:cNvPicPr>
          <a:picLocks noChangeAspect="1"/>
        </xdr:cNvPicPr>
      </xdr:nvPicPr>
      <xdr:blipFill>
        <a:blip xmlns:r="http://schemas.openxmlformats.org/officeDocument/2006/relationships" r:embed="rId6"/>
        <a:stretch>
          <a:fillRect/>
        </a:stretch>
      </xdr:blipFill>
      <xdr:spPr>
        <a:xfrm>
          <a:off x="4390812" y="589623"/>
          <a:ext cx="278078" cy="278078"/>
        </a:xfrm>
        <a:prstGeom prst="rect">
          <a:avLst/>
        </a:prstGeom>
      </xdr:spPr>
    </xdr:pic>
    <xdr:clientData/>
  </xdr:twoCellAnchor>
  <xdr:twoCellAnchor editAs="absolute">
    <xdr:from>
      <xdr:col>23</xdr:col>
      <xdr:colOff>1715</xdr:colOff>
      <xdr:row>0</xdr:row>
      <xdr:rowOff>134459</xdr:rowOff>
    </xdr:from>
    <xdr:to>
      <xdr:col>23</xdr:col>
      <xdr:colOff>284077</xdr:colOff>
      <xdr:row>0</xdr:row>
      <xdr:rowOff>407882</xdr:rowOff>
    </xdr:to>
    <xdr:pic macro="[0]!Hide_Investment_Report">
      <xdr:nvPicPr>
        <xdr:cNvPr id="67" name="Picture 66">
          <a:extLst>
            <a:ext uri="{FF2B5EF4-FFF2-40B4-BE49-F238E27FC236}">
              <a16:creationId xmlns:a16="http://schemas.microsoft.com/office/drawing/2014/main" id="{B0329533-2DDF-4F2B-AF32-CDAD00224631}"/>
            </a:ext>
          </a:extLst>
        </xdr:cNvPr>
        <xdr:cNvPicPr>
          <a:picLocks noChangeAspect="1"/>
        </xdr:cNvPicPr>
      </xdr:nvPicPr>
      <xdr:blipFill>
        <a:blip xmlns:r="http://schemas.openxmlformats.org/officeDocument/2006/relationships" r:embed="rId7"/>
        <a:stretch>
          <a:fillRect/>
        </a:stretch>
      </xdr:blipFill>
      <xdr:spPr>
        <a:xfrm>
          <a:off x="12498515" y="134459"/>
          <a:ext cx="282362" cy="273423"/>
        </a:xfrm>
        <a:prstGeom prst="rect">
          <a:avLst/>
        </a:prstGeom>
      </xdr:spPr>
    </xdr:pic>
    <xdr:clientData/>
  </xdr:twoCellAnchor>
  <xdr:twoCellAnchor>
    <xdr:from>
      <xdr:col>7</xdr:col>
      <xdr:colOff>78829</xdr:colOff>
      <xdr:row>230</xdr:row>
      <xdr:rowOff>78829</xdr:rowOff>
    </xdr:from>
    <xdr:to>
      <xdr:col>11</xdr:col>
      <xdr:colOff>463519</xdr:colOff>
      <xdr:row>238</xdr:row>
      <xdr:rowOff>136199</xdr:rowOff>
    </xdr:to>
    <xdr:pic>
      <xdr:nvPicPr>
        <xdr:cNvPr id="44" name="Picture 43">
          <a:extLst>
            <a:ext uri="{FF2B5EF4-FFF2-40B4-BE49-F238E27FC236}">
              <a16:creationId xmlns:a16="http://schemas.microsoft.com/office/drawing/2014/main" id="{703BF8E4-84FF-4165-91AC-9C1C9C9170EA}"/>
            </a:ext>
          </a:extLst>
        </xdr:cNvPr>
        <xdr:cNvPicPr>
          <a:picLocks noChangeAspect="1"/>
        </xdr:cNvPicPr>
      </xdr:nvPicPr>
      <xdr:blipFill>
        <a:blip xmlns:r="http://schemas.openxmlformats.org/officeDocument/2006/relationships" r:embed="rId5"/>
        <a:stretch>
          <a:fillRect/>
        </a:stretch>
      </xdr:blipFill>
      <xdr:spPr>
        <a:xfrm>
          <a:off x="4365079" y="58710495"/>
          <a:ext cx="2446323" cy="1890403"/>
        </a:xfrm>
        <a:prstGeom prst="rect">
          <a:avLst/>
        </a:prstGeom>
      </xdr:spPr>
    </xdr:pic>
    <xdr:clientData/>
  </xdr:twoCellAnchor>
  <xdr:twoCellAnchor>
    <xdr:from>
      <xdr:col>13</xdr:col>
      <xdr:colOff>78828</xdr:colOff>
      <xdr:row>230</xdr:row>
      <xdr:rowOff>78827</xdr:rowOff>
    </xdr:from>
    <xdr:to>
      <xdr:col>17</xdr:col>
      <xdr:colOff>463519</xdr:colOff>
      <xdr:row>238</xdr:row>
      <xdr:rowOff>136197</xdr:rowOff>
    </xdr:to>
    <xdr:pic>
      <xdr:nvPicPr>
        <xdr:cNvPr id="45" name="Picture 44">
          <a:extLst>
            <a:ext uri="{FF2B5EF4-FFF2-40B4-BE49-F238E27FC236}">
              <a16:creationId xmlns:a16="http://schemas.microsoft.com/office/drawing/2014/main" id="{7637A6E0-854A-4733-83D9-6418278DBE46}"/>
            </a:ext>
          </a:extLst>
        </xdr:cNvPr>
        <xdr:cNvPicPr>
          <a:picLocks noChangeAspect="1"/>
        </xdr:cNvPicPr>
      </xdr:nvPicPr>
      <xdr:blipFill>
        <a:blip xmlns:r="http://schemas.openxmlformats.org/officeDocument/2006/relationships" r:embed="rId5"/>
        <a:stretch>
          <a:fillRect/>
        </a:stretch>
      </xdr:blipFill>
      <xdr:spPr>
        <a:xfrm>
          <a:off x="7476578" y="58710493"/>
          <a:ext cx="2446324" cy="1890403"/>
        </a:xfrm>
        <a:prstGeom prst="rect">
          <a:avLst/>
        </a:prstGeom>
      </xdr:spPr>
    </xdr:pic>
    <xdr:clientData/>
  </xdr:twoCellAnchor>
  <xdr:twoCellAnchor>
    <xdr:from>
      <xdr:col>19</xdr:col>
      <xdr:colOff>61310</xdr:colOff>
      <xdr:row>230</xdr:row>
      <xdr:rowOff>70069</xdr:rowOff>
    </xdr:from>
    <xdr:to>
      <xdr:col>23</xdr:col>
      <xdr:colOff>448118</xdr:colOff>
      <xdr:row>238</xdr:row>
      <xdr:rowOff>135905</xdr:rowOff>
    </xdr:to>
    <xdr:pic>
      <xdr:nvPicPr>
        <xdr:cNvPr id="49" name="Picture 48">
          <a:extLst>
            <a:ext uri="{FF2B5EF4-FFF2-40B4-BE49-F238E27FC236}">
              <a16:creationId xmlns:a16="http://schemas.microsoft.com/office/drawing/2014/main" id="{A594250A-3003-444A-9DDB-C2FEBD8A03B5}"/>
            </a:ext>
          </a:extLst>
        </xdr:cNvPr>
        <xdr:cNvPicPr>
          <a:picLocks noChangeAspect="1"/>
        </xdr:cNvPicPr>
      </xdr:nvPicPr>
      <xdr:blipFill>
        <a:blip xmlns:r="http://schemas.openxmlformats.org/officeDocument/2006/relationships" r:embed="rId5"/>
        <a:stretch>
          <a:fillRect/>
        </a:stretch>
      </xdr:blipFill>
      <xdr:spPr>
        <a:xfrm>
          <a:off x="10570560" y="58701735"/>
          <a:ext cx="2446325" cy="1890403"/>
        </a:xfrm>
        <a:prstGeom prst="rect">
          <a:avLst/>
        </a:prstGeom>
      </xdr:spPr>
    </xdr:pic>
    <xdr:clientData/>
  </xdr:twoCellAnchor>
  <xdr:twoCellAnchor>
    <xdr:from>
      <xdr:col>25</xdr:col>
      <xdr:colOff>19051</xdr:colOff>
      <xdr:row>301</xdr:row>
      <xdr:rowOff>70485</xdr:rowOff>
    </xdr:from>
    <xdr:to>
      <xdr:col>28</xdr:col>
      <xdr:colOff>104776</xdr:colOff>
      <xdr:row>304</xdr:row>
      <xdr:rowOff>93345</xdr:rowOff>
    </xdr:to>
    <xdr:sp macro="" textlink="">
      <xdr:nvSpPr>
        <xdr:cNvPr id="50" name="Line Callout 1 33">
          <a:extLst>
            <a:ext uri="{FF2B5EF4-FFF2-40B4-BE49-F238E27FC236}">
              <a16:creationId xmlns:a16="http://schemas.microsoft.com/office/drawing/2014/main" id="{0A1232AF-0413-445C-96BF-C28E9285A931}"/>
            </a:ext>
          </a:extLst>
        </xdr:cNvPr>
        <xdr:cNvSpPr/>
      </xdr:nvSpPr>
      <xdr:spPr>
        <a:xfrm>
          <a:off x="13581592" y="59384776"/>
          <a:ext cx="1334559" cy="705485"/>
        </a:xfrm>
        <a:prstGeom prst="borderCallout1">
          <a:avLst>
            <a:gd name="adj1" fmla="val 52083"/>
            <a:gd name="adj2" fmla="val -7724"/>
            <a:gd name="adj3" fmla="val 48716"/>
            <a:gd name="adj4" fmla="val -55810"/>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050">
              <a:solidFill>
                <a:schemeClr val="dk1"/>
              </a:solidFill>
              <a:latin typeface="Calibri Light" panose="020F0302020204030204" pitchFamily="34" charset="0"/>
              <a:ea typeface="+mn-ea"/>
              <a:cs typeface="+mn-cs"/>
            </a:rPr>
            <a:t>Insert property photos here</a:t>
          </a:r>
        </a:p>
      </xdr:txBody>
    </xdr:sp>
    <xdr:clientData fPrintsWithSheet="0"/>
  </xdr:twoCellAnchor>
  <xdr:twoCellAnchor>
    <xdr:from>
      <xdr:col>25</xdr:col>
      <xdr:colOff>29844</xdr:colOff>
      <xdr:row>306</xdr:row>
      <xdr:rowOff>160655</xdr:rowOff>
    </xdr:from>
    <xdr:to>
      <xdr:col>28</xdr:col>
      <xdr:colOff>65617</xdr:colOff>
      <xdr:row>310</xdr:row>
      <xdr:rowOff>123265</xdr:rowOff>
    </xdr:to>
    <xdr:sp macro="" textlink="">
      <xdr:nvSpPr>
        <xdr:cNvPr id="68" name="Line Callout 1 36">
          <a:extLst>
            <a:ext uri="{FF2B5EF4-FFF2-40B4-BE49-F238E27FC236}">
              <a16:creationId xmlns:a16="http://schemas.microsoft.com/office/drawing/2014/main" id="{FBF81160-5937-4605-9089-84A095023F7B}"/>
            </a:ext>
          </a:extLst>
        </xdr:cNvPr>
        <xdr:cNvSpPr/>
      </xdr:nvSpPr>
      <xdr:spPr>
        <a:xfrm>
          <a:off x="13532932" y="72281714"/>
          <a:ext cx="1279626" cy="859080"/>
        </a:xfrm>
        <a:prstGeom prst="borderCallout1">
          <a:avLst>
            <a:gd name="adj1" fmla="val 52083"/>
            <a:gd name="adj2" fmla="val -7724"/>
            <a:gd name="adj3" fmla="val 48716"/>
            <a:gd name="adj4" fmla="val -51661"/>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050">
              <a:solidFill>
                <a:schemeClr val="dk1"/>
              </a:solidFill>
              <a:latin typeface="Calibri Light" panose="020F0302020204030204" pitchFamily="34" charset="0"/>
              <a:ea typeface="+mn-ea"/>
              <a:cs typeface="+mn-cs"/>
            </a:rPr>
            <a:t>Input a brief caption for each photo</a:t>
          </a:r>
        </a:p>
      </xdr:txBody>
    </xdr:sp>
    <xdr:clientData fPrintsWithSheet="0"/>
  </xdr:twoCellAnchor>
  <xdr:twoCellAnchor>
    <xdr:from>
      <xdr:col>7</xdr:col>
      <xdr:colOff>78829</xdr:colOff>
      <xdr:row>298</xdr:row>
      <xdr:rowOff>78829</xdr:rowOff>
    </xdr:from>
    <xdr:to>
      <xdr:col>11</xdr:col>
      <xdr:colOff>459037</xdr:colOff>
      <xdr:row>306</xdr:row>
      <xdr:rowOff>172057</xdr:rowOff>
    </xdr:to>
    <xdr:pic>
      <xdr:nvPicPr>
        <xdr:cNvPr id="69" name="Picture 68">
          <a:extLst>
            <a:ext uri="{FF2B5EF4-FFF2-40B4-BE49-F238E27FC236}">
              <a16:creationId xmlns:a16="http://schemas.microsoft.com/office/drawing/2014/main" id="{A4AC47DF-36B2-4D74-A749-4A442C582615}"/>
            </a:ext>
          </a:extLst>
        </xdr:cNvPr>
        <xdr:cNvPicPr>
          <a:picLocks noChangeAspect="1"/>
        </xdr:cNvPicPr>
      </xdr:nvPicPr>
      <xdr:blipFill>
        <a:blip xmlns:r="http://schemas.openxmlformats.org/officeDocument/2006/relationships" r:embed="rId5"/>
        <a:stretch>
          <a:fillRect/>
        </a:stretch>
      </xdr:blipFill>
      <xdr:spPr>
        <a:xfrm>
          <a:off x="4365079" y="58710495"/>
          <a:ext cx="2446323" cy="1890403"/>
        </a:xfrm>
        <a:prstGeom prst="rect">
          <a:avLst/>
        </a:prstGeom>
      </xdr:spPr>
    </xdr:pic>
    <xdr:clientData/>
  </xdr:twoCellAnchor>
  <xdr:twoCellAnchor>
    <xdr:from>
      <xdr:col>13</xdr:col>
      <xdr:colOff>78828</xdr:colOff>
      <xdr:row>298</xdr:row>
      <xdr:rowOff>78827</xdr:rowOff>
    </xdr:from>
    <xdr:to>
      <xdr:col>17</xdr:col>
      <xdr:colOff>459037</xdr:colOff>
      <xdr:row>306</xdr:row>
      <xdr:rowOff>172055</xdr:rowOff>
    </xdr:to>
    <xdr:pic>
      <xdr:nvPicPr>
        <xdr:cNvPr id="70" name="Picture 69">
          <a:extLst>
            <a:ext uri="{FF2B5EF4-FFF2-40B4-BE49-F238E27FC236}">
              <a16:creationId xmlns:a16="http://schemas.microsoft.com/office/drawing/2014/main" id="{DDE2B744-8D1A-40DC-AF66-547D9DE1CC92}"/>
            </a:ext>
          </a:extLst>
        </xdr:cNvPr>
        <xdr:cNvPicPr>
          <a:picLocks noChangeAspect="1"/>
        </xdr:cNvPicPr>
      </xdr:nvPicPr>
      <xdr:blipFill>
        <a:blip xmlns:r="http://schemas.openxmlformats.org/officeDocument/2006/relationships" r:embed="rId5"/>
        <a:stretch>
          <a:fillRect/>
        </a:stretch>
      </xdr:blipFill>
      <xdr:spPr>
        <a:xfrm>
          <a:off x="7476578" y="58710493"/>
          <a:ext cx="2446324" cy="1890403"/>
        </a:xfrm>
        <a:prstGeom prst="rect">
          <a:avLst/>
        </a:prstGeom>
      </xdr:spPr>
    </xdr:pic>
    <xdr:clientData/>
  </xdr:twoCellAnchor>
  <xdr:twoCellAnchor>
    <xdr:from>
      <xdr:col>19</xdr:col>
      <xdr:colOff>61310</xdr:colOff>
      <xdr:row>298</xdr:row>
      <xdr:rowOff>70069</xdr:rowOff>
    </xdr:from>
    <xdr:to>
      <xdr:col>23</xdr:col>
      <xdr:colOff>443636</xdr:colOff>
      <xdr:row>306</xdr:row>
      <xdr:rowOff>171763</xdr:rowOff>
    </xdr:to>
    <xdr:pic>
      <xdr:nvPicPr>
        <xdr:cNvPr id="72" name="Picture 71">
          <a:extLst>
            <a:ext uri="{FF2B5EF4-FFF2-40B4-BE49-F238E27FC236}">
              <a16:creationId xmlns:a16="http://schemas.microsoft.com/office/drawing/2014/main" id="{2775578F-699D-4E00-BCDF-D37087802FFC}"/>
            </a:ext>
          </a:extLst>
        </xdr:cNvPr>
        <xdr:cNvPicPr>
          <a:picLocks noChangeAspect="1"/>
        </xdr:cNvPicPr>
      </xdr:nvPicPr>
      <xdr:blipFill>
        <a:blip xmlns:r="http://schemas.openxmlformats.org/officeDocument/2006/relationships" r:embed="rId5"/>
        <a:stretch>
          <a:fillRect/>
        </a:stretch>
      </xdr:blipFill>
      <xdr:spPr>
        <a:xfrm>
          <a:off x="10570560" y="58701735"/>
          <a:ext cx="2446325" cy="1890403"/>
        </a:xfrm>
        <a:prstGeom prst="rect">
          <a:avLst/>
        </a:prstGeom>
      </xdr:spPr>
    </xdr:pic>
    <xdr:clientData/>
  </xdr:twoCellAnchor>
  <xdr:twoCellAnchor>
    <xdr:from>
      <xdr:col>7</xdr:col>
      <xdr:colOff>52552</xdr:colOff>
      <xdr:row>310</xdr:row>
      <xdr:rowOff>61310</xdr:rowOff>
    </xdr:from>
    <xdr:to>
      <xdr:col>11</xdr:col>
      <xdr:colOff>433818</xdr:colOff>
      <xdr:row>318</xdr:row>
      <xdr:rowOff>156655</xdr:rowOff>
    </xdr:to>
    <xdr:pic>
      <xdr:nvPicPr>
        <xdr:cNvPr id="73" name="Picture 72">
          <a:extLst>
            <a:ext uri="{FF2B5EF4-FFF2-40B4-BE49-F238E27FC236}">
              <a16:creationId xmlns:a16="http://schemas.microsoft.com/office/drawing/2014/main" id="{4226121D-8AE1-481C-B41C-2B6288F3942B}"/>
            </a:ext>
          </a:extLst>
        </xdr:cNvPr>
        <xdr:cNvPicPr>
          <a:picLocks noChangeAspect="1"/>
        </xdr:cNvPicPr>
      </xdr:nvPicPr>
      <xdr:blipFill>
        <a:blip xmlns:r="http://schemas.openxmlformats.org/officeDocument/2006/relationships" r:embed="rId5"/>
        <a:stretch>
          <a:fillRect/>
        </a:stretch>
      </xdr:blipFill>
      <xdr:spPr>
        <a:xfrm>
          <a:off x="4338802" y="61423476"/>
          <a:ext cx="2446323" cy="1890403"/>
        </a:xfrm>
        <a:prstGeom prst="rect">
          <a:avLst/>
        </a:prstGeom>
      </xdr:spPr>
    </xdr:pic>
    <xdr:clientData/>
  </xdr:twoCellAnchor>
  <xdr:twoCellAnchor>
    <xdr:from>
      <xdr:col>13</xdr:col>
      <xdr:colOff>70069</xdr:colOff>
      <xdr:row>310</xdr:row>
      <xdr:rowOff>52552</xdr:rowOff>
    </xdr:from>
    <xdr:to>
      <xdr:col>17</xdr:col>
      <xdr:colOff>458744</xdr:colOff>
      <xdr:row>318</xdr:row>
      <xdr:rowOff>146839</xdr:rowOff>
    </xdr:to>
    <xdr:pic>
      <xdr:nvPicPr>
        <xdr:cNvPr id="74" name="Picture 73">
          <a:extLst>
            <a:ext uri="{FF2B5EF4-FFF2-40B4-BE49-F238E27FC236}">
              <a16:creationId xmlns:a16="http://schemas.microsoft.com/office/drawing/2014/main" id="{CB1D3338-B333-46CF-920D-B5A13BD65B0A}"/>
            </a:ext>
          </a:extLst>
        </xdr:cNvPr>
        <xdr:cNvPicPr>
          <a:picLocks noChangeAspect="1"/>
        </xdr:cNvPicPr>
      </xdr:nvPicPr>
      <xdr:blipFill>
        <a:blip xmlns:r="http://schemas.openxmlformats.org/officeDocument/2006/relationships" r:embed="rId5"/>
        <a:stretch>
          <a:fillRect/>
        </a:stretch>
      </xdr:blipFill>
      <xdr:spPr>
        <a:xfrm>
          <a:off x="7467819" y="61414718"/>
          <a:ext cx="2446324" cy="1890403"/>
        </a:xfrm>
        <a:prstGeom prst="rect">
          <a:avLst/>
        </a:prstGeom>
      </xdr:spPr>
    </xdr:pic>
    <xdr:clientData/>
  </xdr:twoCellAnchor>
  <xdr:twoCellAnchor>
    <xdr:from>
      <xdr:col>19</xdr:col>
      <xdr:colOff>78827</xdr:colOff>
      <xdr:row>310</xdr:row>
      <xdr:rowOff>61310</xdr:rowOff>
    </xdr:from>
    <xdr:to>
      <xdr:col>23</xdr:col>
      <xdr:colOff>459037</xdr:colOff>
      <xdr:row>318</xdr:row>
      <xdr:rowOff>156655</xdr:rowOff>
    </xdr:to>
    <xdr:pic>
      <xdr:nvPicPr>
        <xdr:cNvPr id="75" name="Picture 74">
          <a:extLst>
            <a:ext uri="{FF2B5EF4-FFF2-40B4-BE49-F238E27FC236}">
              <a16:creationId xmlns:a16="http://schemas.microsoft.com/office/drawing/2014/main" id="{723983A3-DE0F-4329-8E3B-4CE9F30A9F63}"/>
            </a:ext>
          </a:extLst>
        </xdr:cNvPr>
        <xdr:cNvPicPr>
          <a:picLocks noChangeAspect="1"/>
        </xdr:cNvPicPr>
      </xdr:nvPicPr>
      <xdr:blipFill>
        <a:blip xmlns:r="http://schemas.openxmlformats.org/officeDocument/2006/relationships" r:embed="rId5"/>
        <a:stretch>
          <a:fillRect/>
        </a:stretch>
      </xdr:blipFill>
      <xdr:spPr>
        <a:xfrm>
          <a:off x="10588077" y="61423476"/>
          <a:ext cx="2446325" cy="1890403"/>
        </a:xfrm>
        <a:prstGeom prst="rect">
          <a:avLst/>
        </a:prstGeom>
      </xdr:spPr>
    </xdr:pic>
    <xdr:clientData/>
  </xdr:twoCellAnchor>
  <xdr:twoCellAnchor>
    <xdr:from>
      <xdr:col>7</xdr:col>
      <xdr:colOff>70069</xdr:colOff>
      <xdr:row>322</xdr:row>
      <xdr:rowOff>70069</xdr:rowOff>
    </xdr:from>
    <xdr:to>
      <xdr:col>11</xdr:col>
      <xdr:colOff>458743</xdr:colOff>
      <xdr:row>330</xdr:row>
      <xdr:rowOff>171763</xdr:rowOff>
    </xdr:to>
    <xdr:pic>
      <xdr:nvPicPr>
        <xdr:cNvPr id="76" name="Picture 75">
          <a:extLst>
            <a:ext uri="{FF2B5EF4-FFF2-40B4-BE49-F238E27FC236}">
              <a16:creationId xmlns:a16="http://schemas.microsoft.com/office/drawing/2014/main" id="{8FE50679-2947-4C46-A4CD-20E553C6FA83}"/>
            </a:ext>
          </a:extLst>
        </xdr:cNvPr>
        <xdr:cNvPicPr>
          <a:picLocks noChangeAspect="1"/>
        </xdr:cNvPicPr>
      </xdr:nvPicPr>
      <xdr:blipFill>
        <a:blip xmlns:r="http://schemas.openxmlformats.org/officeDocument/2006/relationships" r:embed="rId5"/>
        <a:stretch>
          <a:fillRect/>
        </a:stretch>
      </xdr:blipFill>
      <xdr:spPr>
        <a:xfrm>
          <a:off x="4356319" y="64162735"/>
          <a:ext cx="2446323" cy="1890402"/>
        </a:xfrm>
        <a:prstGeom prst="rect">
          <a:avLst/>
        </a:prstGeom>
      </xdr:spPr>
    </xdr:pic>
    <xdr:clientData/>
  </xdr:twoCellAnchor>
  <xdr:twoCellAnchor>
    <xdr:from>
      <xdr:col>13</xdr:col>
      <xdr:colOff>87586</xdr:colOff>
      <xdr:row>322</xdr:row>
      <xdr:rowOff>61311</xdr:rowOff>
    </xdr:from>
    <xdr:to>
      <xdr:col>17</xdr:col>
      <xdr:colOff>468853</xdr:colOff>
      <xdr:row>330</xdr:row>
      <xdr:rowOff>156655</xdr:rowOff>
    </xdr:to>
    <xdr:pic>
      <xdr:nvPicPr>
        <xdr:cNvPr id="77" name="Picture 76">
          <a:extLst>
            <a:ext uri="{FF2B5EF4-FFF2-40B4-BE49-F238E27FC236}">
              <a16:creationId xmlns:a16="http://schemas.microsoft.com/office/drawing/2014/main" id="{7EEFDED2-63C3-4C2A-8291-D58412B846E6}"/>
            </a:ext>
          </a:extLst>
        </xdr:cNvPr>
        <xdr:cNvPicPr>
          <a:picLocks noChangeAspect="1"/>
        </xdr:cNvPicPr>
      </xdr:nvPicPr>
      <xdr:blipFill>
        <a:blip xmlns:r="http://schemas.openxmlformats.org/officeDocument/2006/relationships" r:embed="rId5"/>
        <a:stretch>
          <a:fillRect/>
        </a:stretch>
      </xdr:blipFill>
      <xdr:spPr>
        <a:xfrm>
          <a:off x="7485336" y="64153977"/>
          <a:ext cx="2446324" cy="1890402"/>
        </a:xfrm>
        <a:prstGeom prst="rect">
          <a:avLst/>
        </a:prstGeom>
      </xdr:spPr>
    </xdr:pic>
    <xdr:clientData/>
  </xdr:twoCellAnchor>
  <xdr:twoCellAnchor>
    <xdr:from>
      <xdr:col>19</xdr:col>
      <xdr:colOff>96344</xdr:colOff>
      <xdr:row>322</xdr:row>
      <xdr:rowOff>70069</xdr:rowOff>
    </xdr:from>
    <xdr:to>
      <xdr:col>23</xdr:col>
      <xdr:colOff>478670</xdr:colOff>
      <xdr:row>330</xdr:row>
      <xdr:rowOff>171763</xdr:rowOff>
    </xdr:to>
    <xdr:pic>
      <xdr:nvPicPr>
        <xdr:cNvPr id="78" name="Picture 77">
          <a:extLst>
            <a:ext uri="{FF2B5EF4-FFF2-40B4-BE49-F238E27FC236}">
              <a16:creationId xmlns:a16="http://schemas.microsoft.com/office/drawing/2014/main" id="{010A2989-0A94-460B-8AAF-1ABE3EE4B637}"/>
            </a:ext>
          </a:extLst>
        </xdr:cNvPr>
        <xdr:cNvPicPr>
          <a:picLocks noChangeAspect="1"/>
        </xdr:cNvPicPr>
      </xdr:nvPicPr>
      <xdr:blipFill>
        <a:blip xmlns:r="http://schemas.openxmlformats.org/officeDocument/2006/relationships" r:embed="rId5"/>
        <a:stretch>
          <a:fillRect/>
        </a:stretch>
      </xdr:blipFill>
      <xdr:spPr>
        <a:xfrm>
          <a:off x="10605594" y="64162735"/>
          <a:ext cx="2446325" cy="1890402"/>
        </a:xfrm>
        <a:prstGeom prst="rect">
          <a:avLst/>
        </a:prstGeom>
      </xdr:spPr>
    </xdr:pic>
    <xdr:clientData/>
  </xdr:twoCellAnchor>
  <xdr:twoCellAnchor>
    <xdr:from>
      <xdr:col>7</xdr:col>
      <xdr:colOff>78829</xdr:colOff>
      <xdr:row>286</xdr:row>
      <xdr:rowOff>78829</xdr:rowOff>
    </xdr:from>
    <xdr:to>
      <xdr:col>11</xdr:col>
      <xdr:colOff>459037</xdr:colOff>
      <xdr:row>294</xdr:row>
      <xdr:rowOff>172058</xdr:rowOff>
    </xdr:to>
    <xdr:pic>
      <xdr:nvPicPr>
        <xdr:cNvPr id="79" name="Picture 78">
          <a:extLst>
            <a:ext uri="{FF2B5EF4-FFF2-40B4-BE49-F238E27FC236}">
              <a16:creationId xmlns:a16="http://schemas.microsoft.com/office/drawing/2014/main" id="{B0377D11-3A99-43B6-AF7F-B70786B13DEB}"/>
            </a:ext>
          </a:extLst>
        </xdr:cNvPr>
        <xdr:cNvPicPr>
          <a:picLocks noChangeAspect="1"/>
        </xdr:cNvPicPr>
      </xdr:nvPicPr>
      <xdr:blipFill>
        <a:blip xmlns:r="http://schemas.openxmlformats.org/officeDocument/2006/relationships" r:embed="rId5"/>
        <a:stretch>
          <a:fillRect/>
        </a:stretch>
      </xdr:blipFill>
      <xdr:spPr>
        <a:xfrm>
          <a:off x="4365079" y="56027620"/>
          <a:ext cx="2446323" cy="1890403"/>
        </a:xfrm>
        <a:prstGeom prst="rect">
          <a:avLst/>
        </a:prstGeom>
      </xdr:spPr>
    </xdr:pic>
    <xdr:clientData/>
  </xdr:twoCellAnchor>
  <xdr:twoCellAnchor>
    <xdr:from>
      <xdr:col>13</xdr:col>
      <xdr:colOff>78828</xdr:colOff>
      <xdr:row>286</xdr:row>
      <xdr:rowOff>78827</xdr:rowOff>
    </xdr:from>
    <xdr:to>
      <xdr:col>17</xdr:col>
      <xdr:colOff>459037</xdr:colOff>
      <xdr:row>294</xdr:row>
      <xdr:rowOff>172056</xdr:rowOff>
    </xdr:to>
    <xdr:pic>
      <xdr:nvPicPr>
        <xdr:cNvPr id="80" name="Picture 79">
          <a:extLst>
            <a:ext uri="{FF2B5EF4-FFF2-40B4-BE49-F238E27FC236}">
              <a16:creationId xmlns:a16="http://schemas.microsoft.com/office/drawing/2014/main" id="{6A31D9E5-6A74-4972-A153-FC5E130ECCD8}"/>
            </a:ext>
          </a:extLst>
        </xdr:cNvPr>
        <xdr:cNvPicPr>
          <a:picLocks noChangeAspect="1"/>
        </xdr:cNvPicPr>
      </xdr:nvPicPr>
      <xdr:blipFill>
        <a:blip xmlns:r="http://schemas.openxmlformats.org/officeDocument/2006/relationships" r:embed="rId5"/>
        <a:stretch>
          <a:fillRect/>
        </a:stretch>
      </xdr:blipFill>
      <xdr:spPr>
        <a:xfrm>
          <a:off x="7476578" y="56027618"/>
          <a:ext cx="2446324" cy="1890403"/>
        </a:xfrm>
        <a:prstGeom prst="rect">
          <a:avLst/>
        </a:prstGeom>
      </xdr:spPr>
    </xdr:pic>
    <xdr:clientData/>
  </xdr:twoCellAnchor>
  <xdr:twoCellAnchor>
    <xdr:from>
      <xdr:col>19</xdr:col>
      <xdr:colOff>61310</xdr:colOff>
      <xdr:row>286</xdr:row>
      <xdr:rowOff>70069</xdr:rowOff>
    </xdr:from>
    <xdr:to>
      <xdr:col>23</xdr:col>
      <xdr:colOff>443636</xdr:colOff>
      <xdr:row>294</xdr:row>
      <xdr:rowOff>171764</xdr:rowOff>
    </xdr:to>
    <xdr:pic>
      <xdr:nvPicPr>
        <xdr:cNvPr id="81" name="Picture 80">
          <a:extLst>
            <a:ext uri="{FF2B5EF4-FFF2-40B4-BE49-F238E27FC236}">
              <a16:creationId xmlns:a16="http://schemas.microsoft.com/office/drawing/2014/main" id="{96F9D887-80B4-4A1F-B0AF-B926EBF0549C}"/>
            </a:ext>
          </a:extLst>
        </xdr:cNvPr>
        <xdr:cNvPicPr>
          <a:picLocks noChangeAspect="1"/>
        </xdr:cNvPicPr>
      </xdr:nvPicPr>
      <xdr:blipFill>
        <a:blip xmlns:r="http://schemas.openxmlformats.org/officeDocument/2006/relationships" r:embed="rId5"/>
        <a:stretch>
          <a:fillRect/>
        </a:stretch>
      </xdr:blipFill>
      <xdr:spPr>
        <a:xfrm>
          <a:off x="10570560" y="56018860"/>
          <a:ext cx="2446325" cy="1890403"/>
        </a:xfrm>
        <a:prstGeom prst="rect">
          <a:avLst/>
        </a:prstGeom>
      </xdr:spPr>
    </xdr:pic>
    <xdr:clientData/>
  </xdr:twoCellAnchor>
  <xdr:twoCellAnchor>
    <xdr:from>
      <xdr:col>18</xdr:col>
      <xdr:colOff>20146</xdr:colOff>
      <xdr:row>1</xdr:row>
      <xdr:rowOff>85725</xdr:rowOff>
    </xdr:from>
    <xdr:to>
      <xdr:col>19</xdr:col>
      <xdr:colOff>142438</xdr:colOff>
      <xdr:row>3</xdr:row>
      <xdr:rowOff>72</xdr:rowOff>
    </xdr:to>
    <xdr:sp macro="[0]!Investment_Report_Show_Hide_Comps_Page" textlink="">
      <xdr:nvSpPr>
        <xdr:cNvPr id="84" name="TextBox 83">
          <a:extLst>
            <a:ext uri="{FF2B5EF4-FFF2-40B4-BE49-F238E27FC236}">
              <a16:creationId xmlns:a16="http://schemas.microsoft.com/office/drawing/2014/main" id="{65DCBF99-0A6C-4896-BFAB-6AB0C629BF01}"/>
            </a:ext>
          </a:extLst>
        </xdr:cNvPr>
        <xdr:cNvSpPr txBox="1"/>
      </xdr:nvSpPr>
      <xdr:spPr>
        <a:xfrm>
          <a:off x="9945196" y="657225"/>
          <a:ext cx="636642" cy="3905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baseline="0">
              <a:solidFill>
                <a:schemeClr val="tx1">
                  <a:lumMod val="75000"/>
                  <a:lumOff val="25000"/>
                </a:schemeClr>
              </a:solidFill>
              <a:latin typeface="Calibri Light" panose="020F0302020204030204" pitchFamily="34" charset="0"/>
            </a:rPr>
            <a:t>Comps</a:t>
          </a:r>
        </a:p>
      </xdr:txBody>
    </xdr:sp>
    <xdr:clientData/>
  </xdr:twoCellAnchor>
  <xdr:twoCellAnchor>
    <xdr:from>
      <xdr:col>17</xdr:col>
      <xdr:colOff>257362</xdr:colOff>
      <xdr:row>1</xdr:row>
      <xdr:rowOff>153657</xdr:rowOff>
    </xdr:from>
    <xdr:to>
      <xdr:col>18</xdr:col>
      <xdr:colOff>17652</xdr:colOff>
      <xdr:row>2</xdr:row>
      <xdr:rowOff>228887</xdr:rowOff>
    </xdr:to>
    <xdr:pic macro="[0]!Investment_Report_Show_Hide_Comps_Page">
      <xdr:nvPicPr>
        <xdr:cNvPr id="85" name="Comps_Report_Check">
          <a:extLst>
            <a:ext uri="{FF2B5EF4-FFF2-40B4-BE49-F238E27FC236}">
              <a16:creationId xmlns:a16="http://schemas.microsoft.com/office/drawing/2014/main" id="{05DA1062-974C-4C46-835B-6976D826DD7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668062" y="725157"/>
          <a:ext cx="274640" cy="265730"/>
        </a:xfrm>
        <a:prstGeom prst="rect">
          <a:avLst/>
        </a:prstGeom>
      </xdr:spPr>
    </xdr:pic>
    <xdr:clientData/>
  </xdr:twoCellAnchor>
  <xdr:twoCellAnchor>
    <xdr:from>
      <xdr:col>19</xdr:col>
      <xdr:colOff>181472</xdr:colOff>
      <xdr:row>1</xdr:row>
      <xdr:rowOff>153347</xdr:rowOff>
    </xdr:from>
    <xdr:to>
      <xdr:col>19</xdr:col>
      <xdr:colOff>458230</xdr:colOff>
      <xdr:row>2</xdr:row>
      <xdr:rowOff>227518</xdr:rowOff>
    </xdr:to>
    <xdr:pic macro="[0]!Investment_Report_Show_Hide_Estimate_Page">
      <xdr:nvPicPr>
        <xdr:cNvPr id="96" name="Estimate_Report_Check">
          <a:extLst>
            <a:ext uri="{FF2B5EF4-FFF2-40B4-BE49-F238E27FC236}">
              <a16:creationId xmlns:a16="http://schemas.microsoft.com/office/drawing/2014/main" id="{326ECEB5-69AC-4D6B-AA62-96AFD95F819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620872" y="724847"/>
          <a:ext cx="276758" cy="264671"/>
        </a:xfrm>
        <a:prstGeom prst="rect">
          <a:avLst/>
        </a:prstGeom>
      </xdr:spPr>
    </xdr:pic>
    <xdr:clientData/>
  </xdr:twoCellAnchor>
  <xdr:twoCellAnchor>
    <xdr:from>
      <xdr:col>14</xdr:col>
      <xdr:colOff>411691</xdr:colOff>
      <xdr:row>59</xdr:row>
      <xdr:rowOff>304669</xdr:rowOff>
    </xdr:from>
    <xdr:to>
      <xdr:col>17</xdr:col>
      <xdr:colOff>315429</xdr:colOff>
      <xdr:row>60</xdr:row>
      <xdr:rowOff>297262</xdr:rowOff>
    </xdr:to>
    <xdr:sp macro="[0]!Navigate_Rehab_Analyzer" textlink="">
      <xdr:nvSpPr>
        <xdr:cNvPr id="98" name="TextBox 97">
          <a:extLst>
            <a:ext uri="{FF2B5EF4-FFF2-40B4-BE49-F238E27FC236}">
              <a16:creationId xmlns:a16="http://schemas.microsoft.com/office/drawing/2014/main" id="{921BCA6B-5D31-4B1E-BA70-DEBBF972140A}"/>
            </a:ext>
          </a:extLst>
        </xdr:cNvPr>
        <xdr:cNvSpPr txBox="1"/>
      </xdr:nvSpPr>
      <xdr:spPr>
        <a:xfrm>
          <a:off x="8279341" y="16897219"/>
          <a:ext cx="1446788" cy="306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Analysis</a:t>
          </a:r>
          <a:endParaRPr lang="en-US" sz="1100" b="0" i="1" u="sng">
            <a:solidFill>
              <a:srgbClr val="289FE8"/>
            </a:solidFill>
            <a:latin typeface="Calibri Light" panose="020F0302020204030204" pitchFamily="34" charset="0"/>
          </a:endParaRPr>
        </a:p>
      </xdr:txBody>
    </xdr:sp>
    <xdr:clientData fPrintsWithSheet="0"/>
  </xdr:twoCellAnchor>
  <xdr:twoCellAnchor>
    <xdr:from>
      <xdr:col>14</xdr:col>
      <xdr:colOff>392640</xdr:colOff>
      <xdr:row>60</xdr:row>
      <xdr:rowOff>0</xdr:rowOff>
    </xdr:from>
    <xdr:to>
      <xdr:col>15</xdr:col>
      <xdr:colOff>154251</xdr:colOff>
      <xdr:row>60</xdr:row>
      <xdr:rowOff>275961</xdr:rowOff>
    </xdr:to>
    <xdr:pic macro="[0]!Navigate_Rehab_Analyzer">
      <xdr:nvPicPr>
        <xdr:cNvPr id="99" name="Picture 98">
          <a:extLst>
            <a:ext uri="{FF2B5EF4-FFF2-40B4-BE49-F238E27FC236}">
              <a16:creationId xmlns:a16="http://schemas.microsoft.com/office/drawing/2014/main" id="{4EECF6F4-2D0B-4D66-8064-55F98354ACB9}"/>
            </a:ext>
          </a:extLst>
        </xdr:cNvPr>
        <xdr:cNvPicPr>
          <a:picLocks noChangeAspect="1"/>
        </xdr:cNvPicPr>
      </xdr:nvPicPr>
      <xdr:blipFill>
        <a:blip xmlns:r="http://schemas.openxmlformats.org/officeDocument/2006/relationships" r:embed="rId6"/>
        <a:stretch>
          <a:fillRect/>
        </a:stretch>
      </xdr:blipFill>
      <xdr:spPr>
        <a:xfrm>
          <a:off x="8260290" y="16906875"/>
          <a:ext cx="275961" cy="275961"/>
        </a:xfrm>
        <a:prstGeom prst="rect">
          <a:avLst/>
        </a:prstGeom>
      </xdr:spPr>
    </xdr:pic>
    <xdr:clientData fPrintsWithSheet="0"/>
  </xdr:twoCellAnchor>
  <xdr:twoCellAnchor>
    <xdr:from>
      <xdr:col>11</xdr:col>
      <xdr:colOff>495301</xdr:colOff>
      <xdr:row>144</xdr:row>
      <xdr:rowOff>28575</xdr:rowOff>
    </xdr:from>
    <xdr:to>
      <xdr:col>14</xdr:col>
      <xdr:colOff>401156</xdr:colOff>
      <xdr:row>145</xdr:row>
      <xdr:rowOff>20110</xdr:rowOff>
    </xdr:to>
    <xdr:sp macro="[0]!Navigate_Comparables" textlink="">
      <xdr:nvSpPr>
        <xdr:cNvPr id="100" name="TextBox 99">
          <a:extLst>
            <a:ext uri="{FF2B5EF4-FFF2-40B4-BE49-F238E27FC236}">
              <a16:creationId xmlns:a16="http://schemas.microsoft.com/office/drawing/2014/main" id="{B8F88567-F1AE-4958-8785-0B7545FF48E2}"/>
            </a:ext>
          </a:extLst>
        </xdr:cNvPr>
        <xdr:cNvSpPr txBox="1"/>
      </xdr:nvSpPr>
      <xdr:spPr>
        <a:xfrm>
          <a:off x="6819901" y="29794200"/>
          <a:ext cx="1448905" cy="305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Comps</a:t>
          </a:r>
          <a:endParaRPr lang="en-US" sz="1100" b="0" i="1" u="sng">
            <a:solidFill>
              <a:srgbClr val="289FE8"/>
            </a:solidFill>
            <a:latin typeface="Calibri Light" panose="020F0302020204030204" pitchFamily="34" charset="0"/>
          </a:endParaRPr>
        </a:p>
      </xdr:txBody>
    </xdr:sp>
    <xdr:clientData fPrintsWithSheet="0"/>
  </xdr:twoCellAnchor>
  <xdr:twoCellAnchor>
    <xdr:from>
      <xdr:col>11</xdr:col>
      <xdr:colOff>476250</xdr:colOff>
      <xdr:row>144</xdr:row>
      <xdr:rowOff>39289</xdr:rowOff>
    </xdr:from>
    <xdr:to>
      <xdr:col>12</xdr:col>
      <xdr:colOff>237861</xdr:colOff>
      <xdr:row>144</xdr:row>
      <xdr:rowOff>313133</xdr:rowOff>
    </xdr:to>
    <xdr:pic macro="[0]!Navigate_Comparables">
      <xdr:nvPicPr>
        <xdr:cNvPr id="101" name="Picture 100">
          <a:extLst>
            <a:ext uri="{FF2B5EF4-FFF2-40B4-BE49-F238E27FC236}">
              <a16:creationId xmlns:a16="http://schemas.microsoft.com/office/drawing/2014/main" id="{A132BD0E-E826-452A-8630-FF5FC523CE7A}"/>
            </a:ext>
          </a:extLst>
        </xdr:cNvPr>
        <xdr:cNvPicPr>
          <a:picLocks noChangeAspect="1"/>
        </xdr:cNvPicPr>
      </xdr:nvPicPr>
      <xdr:blipFill>
        <a:blip xmlns:r="http://schemas.openxmlformats.org/officeDocument/2006/relationships" r:embed="rId6"/>
        <a:stretch>
          <a:fillRect/>
        </a:stretch>
      </xdr:blipFill>
      <xdr:spPr>
        <a:xfrm>
          <a:off x="6800850" y="29804914"/>
          <a:ext cx="275961" cy="273844"/>
        </a:xfrm>
        <a:prstGeom prst="rect">
          <a:avLst/>
        </a:prstGeom>
      </xdr:spPr>
    </xdr:pic>
    <xdr:clientData fPrintsWithSheet="0"/>
  </xdr:twoCellAnchor>
  <xdr:twoCellAnchor>
    <xdr:from>
      <xdr:col>12</xdr:col>
      <xdr:colOff>57151</xdr:colOff>
      <xdr:row>185</xdr:row>
      <xdr:rowOff>19050</xdr:rowOff>
    </xdr:from>
    <xdr:to>
      <xdr:col>14</xdr:col>
      <xdr:colOff>475239</xdr:colOff>
      <xdr:row>186</xdr:row>
      <xdr:rowOff>9526</xdr:rowOff>
    </xdr:to>
    <xdr:sp macro="[0]!Navigate_Repair_Estimator" textlink="">
      <xdr:nvSpPr>
        <xdr:cNvPr id="102" name="TextBox 101">
          <a:extLst>
            <a:ext uri="{FF2B5EF4-FFF2-40B4-BE49-F238E27FC236}">
              <a16:creationId xmlns:a16="http://schemas.microsoft.com/office/drawing/2014/main" id="{815BE3BE-D9E2-4CC8-A51D-A95E1ED2210E}"/>
            </a:ext>
          </a:extLst>
        </xdr:cNvPr>
        <xdr:cNvSpPr txBox="1"/>
      </xdr:nvSpPr>
      <xdr:spPr>
        <a:xfrm>
          <a:off x="6896101" y="42957750"/>
          <a:ext cx="1446788" cy="304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Estimate</a:t>
          </a:r>
          <a:endParaRPr lang="en-US" sz="1100" b="0" i="1" u="sng">
            <a:solidFill>
              <a:srgbClr val="289FE8"/>
            </a:solidFill>
            <a:latin typeface="Calibri Light" panose="020F0302020204030204" pitchFamily="34" charset="0"/>
          </a:endParaRPr>
        </a:p>
      </xdr:txBody>
    </xdr:sp>
    <xdr:clientData fPrintsWithSheet="0"/>
  </xdr:twoCellAnchor>
  <xdr:twoCellAnchor>
    <xdr:from>
      <xdr:col>12</xdr:col>
      <xdr:colOff>38100</xdr:colOff>
      <xdr:row>185</xdr:row>
      <xdr:rowOff>27647</xdr:rowOff>
    </xdr:from>
    <xdr:to>
      <xdr:col>12</xdr:col>
      <xdr:colOff>314061</xdr:colOff>
      <xdr:row>185</xdr:row>
      <xdr:rowOff>303607</xdr:rowOff>
    </xdr:to>
    <xdr:pic macro="[0]!Navigate_Repair_Estimator">
      <xdr:nvPicPr>
        <xdr:cNvPr id="103" name="Picture 102">
          <a:extLst>
            <a:ext uri="{FF2B5EF4-FFF2-40B4-BE49-F238E27FC236}">
              <a16:creationId xmlns:a16="http://schemas.microsoft.com/office/drawing/2014/main" id="{CDFEC740-5898-4560-A2EF-A9737BA28CB8}"/>
            </a:ext>
          </a:extLst>
        </xdr:cNvPr>
        <xdr:cNvPicPr>
          <a:picLocks noChangeAspect="1"/>
        </xdr:cNvPicPr>
      </xdr:nvPicPr>
      <xdr:blipFill>
        <a:blip xmlns:r="http://schemas.openxmlformats.org/officeDocument/2006/relationships" r:embed="rId6"/>
        <a:stretch>
          <a:fillRect/>
        </a:stretch>
      </xdr:blipFill>
      <xdr:spPr>
        <a:xfrm>
          <a:off x="6877050" y="42966347"/>
          <a:ext cx="275961" cy="275960"/>
        </a:xfrm>
        <a:prstGeom prst="rect">
          <a:avLst/>
        </a:prstGeom>
      </xdr:spPr>
    </xdr:pic>
    <xdr:clientData fPrintsWithSheet="0"/>
  </xdr:twoCellAnchor>
  <xdr:twoCellAnchor>
    <xdr:from>
      <xdr:col>11</xdr:col>
      <xdr:colOff>495301</xdr:colOff>
      <xdr:row>101</xdr:row>
      <xdr:rowOff>28575</xdr:rowOff>
    </xdr:from>
    <xdr:to>
      <xdr:col>14</xdr:col>
      <xdr:colOff>401156</xdr:colOff>
      <xdr:row>102</xdr:row>
      <xdr:rowOff>20110</xdr:rowOff>
    </xdr:to>
    <xdr:sp macro="[0]!Navigate_Financing_Sheet" textlink="">
      <xdr:nvSpPr>
        <xdr:cNvPr id="104" name="TextBox 103">
          <a:extLst>
            <a:ext uri="{FF2B5EF4-FFF2-40B4-BE49-F238E27FC236}">
              <a16:creationId xmlns:a16="http://schemas.microsoft.com/office/drawing/2014/main" id="{D31469F9-EABE-4B8B-819A-07D93E864F8A}"/>
            </a:ext>
          </a:extLst>
        </xdr:cNvPr>
        <xdr:cNvSpPr txBox="1"/>
      </xdr:nvSpPr>
      <xdr:spPr>
        <a:xfrm>
          <a:off x="6819901" y="41508892"/>
          <a:ext cx="1446788" cy="304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Financing</a:t>
          </a:r>
          <a:endParaRPr lang="en-US" sz="1100" b="0" i="1" u="sng">
            <a:solidFill>
              <a:srgbClr val="289FE8"/>
            </a:solidFill>
            <a:latin typeface="Calibri Light" panose="020F0302020204030204" pitchFamily="34" charset="0"/>
          </a:endParaRPr>
        </a:p>
      </xdr:txBody>
    </xdr:sp>
    <xdr:clientData fPrintsWithSheet="0"/>
  </xdr:twoCellAnchor>
  <xdr:twoCellAnchor>
    <xdr:from>
      <xdr:col>11</xdr:col>
      <xdr:colOff>476250</xdr:colOff>
      <xdr:row>101</xdr:row>
      <xdr:rowOff>39289</xdr:rowOff>
    </xdr:from>
    <xdr:to>
      <xdr:col>12</xdr:col>
      <xdr:colOff>237861</xdr:colOff>
      <xdr:row>101</xdr:row>
      <xdr:rowOff>313133</xdr:rowOff>
    </xdr:to>
    <xdr:pic macro="[0]!Navigate_Financing_Sheet">
      <xdr:nvPicPr>
        <xdr:cNvPr id="105" name="Picture 104">
          <a:extLst>
            <a:ext uri="{FF2B5EF4-FFF2-40B4-BE49-F238E27FC236}">
              <a16:creationId xmlns:a16="http://schemas.microsoft.com/office/drawing/2014/main" id="{B4022AFE-88AA-4209-8962-BC4FD06EA3E3}"/>
            </a:ext>
          </a:extLst>
        </xdr:cNvPr>
        <xdr:cNvPicPr>
          <a:picLocks noChangeAspect="1"/>
        </xdr:cNvPicPr>
      </xdr:nvPicPr>
      <xdr:blipFill>
        <a:blip xmlns:r="http://schemas.openxmlformats.org/officeDocument/2006/relationships" r:embed="rId6"/>
        <a:stretch>
          <a:fillRect/>
        </a:stretch>
      </xdr:blipFill>
      <xdr:spPr>
        <a:xfrm>
          <a:off x="6798733" y="41520664"/>
          <a:ext cx="279136" cy="274902"/>
        </a:xfrm>
        <a:prstGeom prst="rect">
          <a:avLst/>
        </a:prstGeom>
      </xdr:spPr>
    </xdr:pic>
    <xdr:clientData fPrintsWithSheet="0"/>
  </xdr:twoCellAnchor>
  <xdr:twoCellAnchor>
    <xdr:from>
      <xdr:col>16</xdr:col>
      <xdr:colOff>48097</xdr:colOff>
      <xdr:row>1</xdr:row>
      <xdr:rowOff>86783</xdr:rowOff>
    </xdr:from>
    <xdr:to>
      <xdr:col>17</xdr:col>
      <xdr:colOff>257175</xdr:colOff>
      <xdr:row>3</xdr:row>
      <xdr:rowOff>76</xdr:rowOff>
    </xdr:to>
    <xdr:sp macro="[0]!Investment_Report_Show_Hide_Capital_Page" textlink="">
      <xdr:nvSpPr>
        <xdr:cNvPr id="106" name="TextBox 105">
          <a:extLst>
            <a:ext uri="{FF2B5EF4-FFF2-40B4-BE49-F238E27FC236}">
              <a16:creationId xmlns:a16="http://schemas.microsoft.com/office/drawing/2014/main" id="{A29AC47B-B59B-4175-8865-966EF78EF47E}"/>
            </a:ext>
          </a:extLst>
        </xdr:cNvPr>
        <xdr:cNvSpPr txBox="1"/>
      </xdr:nvSpPr>
      <xdr:spPr>
        <a:xfrm>
          <a:off x="8944447" y="658283"/>
          <a:ext cx="723428" cy="3895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baseline="0">
              <a:solidFill>
                <a:schemeClr val="tx1">
                  <a:lumMod val="75000"/>
                  <a:lumOff val="25000"/>
                </a:schemeClr>
              </a:solidFill>
              <a:latin typeface="Calibri Light" panose="020F0302020204030204" pitchFamily="34" charset="0"/>
            </a:rPr>
            <a:t>Capital</a:t>
          </a:r>
          <a:endParaRPr lang="en-US" sz="1200" b="0" i="1">
            <a:solidFill>
              <a:schemeClr val="tx1">
                <a:lumMod val="75000"/>
                <a:lumOff val="25000"/>
              </a:schemeClr>
            </a:solidFill>
            <a:latin typeface="Calibri Light" panose="020F0302020204030204" pitchFamily="34" charset="0"/>
          </a:endParaRPr>
        </a:p>
      </xdr:txBody>
    </xdr:sp>
    <xdr:clientData/>
  </xdr:twoCellAnchor>
  <xdr:twoCellAnchor>
    <xdr:from>
      <xdr:col>15</xdr:col>
      <xdr:colOff>266700</xdr:colOff>
      <xdr:row>1</xdr:row>
      <xdr:rowOff>162561</xdr:rowOff>
    </xdr:from>
    <xdr:to>
      <xdr:col>16</xdr:col>
      <xdr:colOff>38695</xdr:colOff>
      <xdr:row>2</xdr:row>
      <xdr:rowOff>237791</xdr:rowOff>
    </xdr:to>
    <xdr:pic macro="[0]!Investment_Report_Show_Hide_Capital_Page">
      <xdr:nvPicPr>
        <xdr:cNvPr id="107" name="Investment_Report_Capital_Check">
          <a:extLst>
            <a:ext uri="{FF2B5EF4-FFF2-40B4-BE49-F238E27FC236}">
              <a16:creationId xmlns:a16="http://schemas.microsoft.com/office/drawing/2014/main" id="{7B640CE5-AA75-4938-821D-3E82988EA92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648700" y="734061"/>
          <a:ext cx="286345" cy="265730"/>
        </a:xfrm>
        <a:prstGeom prst="rect">
          <a:avLst/>
        </a:prstGeom>
      </xdr:spPr>
    </xdr:pic>
    <xdr:clientData/>
  </xdr:twoCellAnchor>
  <xdr:twoCellAnchor editAs="absolute">
    <xdr:from>
      <xdr:col>17</xdr:col>
      <xdr:colOff>48482</xdr:colOff>
      <xdr:row>0</xdr:row>
      <xdr:rowOff>0</xdr:rowOff>
    </xdr:from>
    <xdr:to>
      <xdr:col>20</xdr:col>
      <xdr:colOff>199179</xdr:colOff>
      <xdr:row>0</xdr:row>
      <xdr:rowOff>560918</xdr:rowOff>
    </xdr:to>
    <xdr:sp macro="[0]!Navigate_Reporting" textlink="">
      <xdr:nvSpPr>
        <xdr:cNvPr id="108" name="TextBox 107">
          <a:extLst>
            <a:ext uri="{FF2B5EF4-FFF2-40B4-BE49-F238E27FC236}">
              <a16:creationId xmlns:a16="http://schemas.microsoft.com/office/drawing/2014/main" id="{4B34FB30-2B1C-4B51-A612-49ACA7B0E2FF}"/>
            </a:ext>
          </a:extLst>
        </xdr:cNvPr>
        <xdr:cNvSpPr txBox="1">
          <a:spLocks noChangeAspect="1"/>
        </xdr:cNvSpPr>
      </xdr:nvSpPr>
      <xdr:spPr>
        <a:xfrm>
          <a:off x="9459182" y="0"/>
          <a:ext cx="1693747" cy="560918"/>
        </a:xfrm>
        <a:prstGeom prst="rect">
          <a:avLst/>
        </a:prstGeom>
        <a:solidFill>
          <a:srgbClr val="2F74A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10</xdr:col>
      <xdr:colOff>220144</xdr:colOff>
      <xdr:row>0</xdr:row>
      <xdr:rowOff>1</xdr:rowOff>
    </xdr:from>
    <xdr:to>
      <xdr:col>13</xdr:col>
      <xdr:colOff>372956</xdr:colOff>
      <xdr:row>0</xdr:row>
      <xdr:rowOff>560918</xdr:rowOff>
    </xdr:to>
    <xdr:sp macro="[0]!Navigate_Rehab_Analyzer" textlink="">
      <xdr:nvSpPr>
        <xdr:cNvPr id="110" name="TextBox 109">
          <a:extLst>
            <a:ext uri="{FF2B5EF4-FFF2-40B4-BE49-F238E27FC236}">
              <a16:creationId xmlns:a16="http://schemas.microsoft.com/office/drawing/2014/main" id="{162BD7F4-7E54-4046-9AB9-91A9A265E143}"/>
            </a:ext>
          </a:extLst>
        </xdr:cNvPr>
        <xdr:cNvSpPr txBox="1">
          <a:spLocks noChangeAspect="1"/>
        </xdr:cNvSpPr>
      </xdr:nvSpPr>
      <xdr:spPr>
        <a:xfrm>
          <a:off x="6030394" y="1"/>
          <a:ext cx="1695862"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13</xdr:col>
      <xdr:colOff>392219</xdr:colOff>
      <xdr:row>0</xdr:row>
      <xdr:rowOff>0</xdr:rowOff>
    </xdr:from>
    <xdr:to>
      <xdr:col>17</xdr:col>
      <xdr:colOff>19061</xdr:colOff>
      <xdr:row>0</xdr:row>
      <xdr:rowOff>560918</xdr:rowOff>
    </xdr:to>
    <xdr:sp macro="[0]!Navigate_Repair_Estimator" textlink="">
      <xdr:nvSpPr>
        <xdr:cNvPr id="111" name="TextBox 110">
          <a:extLst>
            <a:ext uri="{FF2B5EF4-FFF2-40B4-BE49-F238E27FC236}">
              <a16:creationId xmlns:a16="http://schemas.microsoft.com/office/drawing/2014/main" id="{2A6D6B56-05D9-4AF4-BAEC-E21DDE4D91AB}"/>
            </a:ext>
          </a:extLst>
        </xdr:cNvPr>
        <xdr:cNvSpPr txBox="1">
          <a:spLocks noChangeAspect="1"/>
        </xdr:cNvSpPr>
      </xdr:nvSpPr>
      <xdr:spPr>
        <a:xfrm>
          <a:off x="7745519" y="0"/>
          <a:ext cx="1684242"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7</xdr:col>
      <xdr:colOff>65178</xdr:colOff>
      <xdr:row>0</xdr:row>
      <xdr:rowOff>0</xdr:rowOff>
    </xdr:from>
    <xdr:to>
      <xdr:col>10</xdr:col>
      <xdr:colOff>209125</xdr:colOff>
      <xdr:row>0</xdr:row>
      <xdr:rowOff>560918</xdr:rowOff>
    </xdr:to>
    <xdr:sp macro="[0]!Navigate_Home" textlink="">
      <xdr:nvSpPr>
        <xdr:cNvPr id="112" name="TextBox 111">
          <a:extLst>
            <a:ext uri="{FF2B5EF4-FFF2-40B4-BE49-F238E27FC236}">
              <a16:creationId xmlns:a16="http://schemas.microsoft.com/office/drawing/2014/main" id="{BF7089DE-DA04-4E3F-9A12-C93DC749EBF6}"/>
            </a:ext>
          </a:extLst>
        </xdr:cNvPr>
        <xdr:cNvSpPr txBox="1">
          <a:spLocks noChangeAspect="1"/>
        </xdr:cNvSpPr>
      </xdr:nvSpPr>
      <xdr:spPr>
        <a:xfrm>
          <a:off x="4332378" y="0"/>
          <a:ext cx="1686997"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21</xdr:col>
      <xdr:colOff>496781</xdr:colOff>
      <xdr:row>0</xdr:row>
      <xdr:rowOff>153469</xdr:rowOff>
    </xdr:from>
    <xdr:to>
      <xdr:col>22</xdr:col>
      <xdr:colOff>247996</xdr:colOff>
      <xdr:row>0</xdr:row>
      <xdr:rowOff>429893</xdr:rowOff>
    </xdr:to>
    <xdr:pic>
      <xdr:nvPicPr>
        <xdr:cNvPr id="113" name="Picture 112" title="Help">
          <a:hlinkClick xmlns:r="http://schemas.openxmlformats.org/officeDocument/2006/relationships" r:id="rId8"/>
          <a:extLst>
            <a:ext uri="{FF2B5EF4-FFF2-40B4-BE49-F238E27FC236}">
              <a16:creationId xmlns:a16="http://schemas.microsoft.com/office/drawing/2014/main" id="{F059AD52-C918-42B6-A0F0-14A4314FDDC4}"/>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1964881" y="153469"/>
          <a:ext cx="265565" cy="276424"/>
        </a:xfrm>
        <a:prstGeom prst="rect">
          <a:avLst/>
        </a:prstGeom>
      </xdr:spPr>
    </xdr:pic>
    <xdr:clientData/>
  </xdr:twoCellAnchor>
  <xdr:twoCellAnchor editAs="absolute">
    <xdr:from>
      <xdr:col>20</xdr:col>
      <xdr:colOff>456566</xdr:colOff>
      <xdr:row>0</xdr:row>
      <xdr:rowOff>152516</xdr:rowOff>
    </xdr:from>
    <xdr:to>
      <xdr:col>21</xdr:col>
      <xdr:colOff>227966</xdr:colOff>
      <xdr:row>0</xdr:row>
      <xdr:rowOff>429998</xdr:rowOff>
    </xdr:to>
    <xdr:pic macro="[0]!Navigate_Info_Sheet">
      <xdr:nvPicPr>
        <xdr:cNvPr id="114" name="Picture 113">
          <a:extLst>
            <a:ext uri="{FF2B5EF4-FFF2-40B4-BE49-F238E27FC236}">
              <a16:creationId xmlns:a16="http://schemas.microsoft.com/office/drawing/2014/main" id="{B3D10724-321F-4631-8A6B-704DF400EAF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410316" y="152516"/>
          <a:ext cx="285750" cy="277482"/>
        </a:xfrm>
        <a:prstGeom prst="rect">
          <a:avLst/>
        </a:prstGeom>
      </xdr:spPr>
    </xdr:pic>
    <xdr:clientData/>
  </xdr:twoCellAnchor>
  <xdr:twoCellAnchor editAs="absolute">
    <xdr:from>
      <xdr:col>0</xdr:col>
      <xdr:colOff>0</xdr:colOff>
      <xdr:row>0</xdr:row>
      <xdr:rowOff>0</xdr:rowOff>
    </xdr:from>
    <xdr:to>
      <xdr:col>1</xdr:col>
      <xdr:colOff>407473</xdr:colOff>
      <xdr:row>0</xdr:row>
      <xdr:rowOff>562823</xdr:rowOff>
    </xdr:to>
    <xdr:sp macro="" textlink="">
      <xdr:nvSpPr>
        <xdr:cNvPr id="115" name="TextBox 114">
          <a:extLst>
            <a:ext uri="{FF2B5EF4-FFF2-40B4-BE49-F238E27FC236}">
              <a16:creationId xmlns:a16="http://schemas.microsoft.com/office/drawing/2014/main" id="{37143D43-E15E-43D1-83A4-E7DF0061DB3C}"/>
            </a:ext>
          </a:extLst>
        </xdr:cNvPr>
        <xdr:cNvSpPr txBox="1">
          <a:spLocks noChangeAspect="1"/>
        </xdr:cNvSpPr>
      </xdr:nvSpPr>
      <xdr:spPr>
        <a:xfrm>
          <a:off x="0" y="0"/>
          <a:ext cx="1664773" cy="562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171451</xdr:colOff>
      <xdr:row>10</xdr:row>
      <xdr:rowOff>171450</xdr:rowOff>
    </xdr:from>
    <xdr:to>
      <xdr:col>18</xdr:col>
      <xdr:colOff>142876</xdr:colOff>
      <xdr:row>15</xdr:row>
      <xdr:rowOff>228600</xdr:rowOff>
    </xdr:to>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714376" y="3248025"/>
          <a:ext cx="2686050" cy="1485900"/>
        </a:xfrm>
        <a:prstGeom prst="rect">
          <a:avLst/>
        </a:prstGeom>
        <a:solidFill>
          <a:schemeClr val="accent5">
            <a:lumMod val="20000"/>
            <a:lumOff val="80000"/>
          </a:schemeClr>
        </a:solid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n-US" sz="1200" b="0" i="0">
              <a:solidFill>
                <a:schemeClr val="accent1"/>
              </a:solidFill>
              <a:latin typeface="Calibri Light" panose="020F0302020204030204" pitchFamily="34" charset="0"/>
            </a:rPr>
            <a:t>The</a:t>
          </a:r>
          <a:r>
            <a:rPr lang="en-US" sz="1200" b="0" i="0" baseline="0">
              <a:solidFill>
                <a:schemeClr val="accent1"/>
              </a:solidFill>
              <a:latin typeface="Calibri Light" panose="020F0302020204030204" pitchFamily="34" charset="0"/>
            </a:rPr>
            <a:t> Admin Module is used to setup passwords for each sheet inside the spreadsheet.</a:t>
          </a:r>
        </a:p>
        <a:p>
          <a:pPr lvl="0" algn="ctr"/>
          <a:endParaRPr lang="en-US" sz="1200" b="0" i="0" baseline="0">
            <a:solidFill>
              <a:schemeClr val="accent1"/>
            </a:solidFill>
            <a:latin typeface="Calibri Light" panose="020F0302020204030204" pitchFamily="34" charset="0"/>
          </a:endParaRPr>
        </a:p>
        <a:p>
          <a:pPr lvl="0" algn="ctr"/>
          <a:r>
            <a:rPr lang="en-US" sz="1200" b="0" i="0" baseline="0">
              <a:solidFill>
                <a:schemeClr val="accent1"/>
              </a:solidFill>
              <a:latin typeface="Calibri Light" panose="020F0302020204030204" pitchFamily="34" charset="0"/>
            </a:rPr>
            <a:t>You can password protect individual sheets to restrict access.</a:t>
          </a:r>
          <a:endParaRPr lang="en-US" sz="1200" b="0" i="0">
            <a:solidFill>
              <a:schemeClr val="accent1"/>
            </a:solidFill>
            <a:latin typeface="Calibri Light" panose="020F0302020204030204" pitchFamily="34" charset="0"/>
          </a:endParaRPr>
        </a:p>
      </xdr:txBody>
    </xdr:sp>
    <xdr:clientData/>
  </xdr:twoCellAnchor>
  <xdr:twoCellAnchor editAs="absolute">
    <xdr:from>
      <xdr:col>68</xdr:col>
      <xdr:colOff>122626</xdr:colOff>
      <xdr:row>0</xdr:row>
      <xdr:rowOff>141958</xdr:rowOff>
    </xdr:from>
    <xdr:to>
      <xdr:col>70</xdr:col>
      <xdr:colOff>46426</xdr:colOff>
      <xdr:row>0</xdr:row>
      <xdr:rowOff>419524</xdr:rowOff>
    </xdr:to>
    <xdr:pic macro="[0]!Hide_Admin">
      <xdr:nvPicPr>
        <xdr:cNvPr id="39" name="Picture 38">
          <a:extLst>
            <a:ext uri="{FF2B5EF4-FFF2-40B4-BE49-F238E27FC236}">
              <a16:creationId xmlns:a16="http://schemas.microsoft.com/office/drawing/2014/main" id="{A471DEBE-C3B1-4161-814D-F840D692909A}"/>
            </a:ext>
          </a:extLst>
        </xdr:cNvPr>
        <xdr:cNvPicPr>
          <a:picLocks noChangeAspect="1"/>
        </xdr:cNvPicPr>
      </xdr:nvPicPr>
      <xdr:blipFill>
        <a:blip xmlns:r="http://schemas.openxmlformats.org/officeDocument/2006/relationships" r:embed="rId1"/>
        <a:stretch>
          <a:fillRect/>
        </a:stretch>
      </xdr:blipFill>
      <xdr:spPr>
        <a:xfrm>
          <a:off x="12428926" y="141958"/>
          <a:ext cx="285750" cy="277566"/>
        </a:xfrm>
        <a:prstGeom prst="rect">
          <a:avLst/>
        </a:prstGeom>
      </xdr:spPr>
    </xdr:pic>
    <xdr:clientData/>
  </xdr:twoCellAnchor>
  <xdr:twoCellAnchor editAs="oneCell">
    <xdr:from>
      <xdr:col>10</xdr:col>
      <xdr:colOff>40216</xdr:colOff>
      <xdr:row>2</xdr:row>
      <xdr:rowOff>190499</xdr:rowOff>
    </xdr:from>
    <xdr:to>
      <xdr:col>12</xdr:col>
      <xdr:colOff>131297</xdr:colOff>
      <xdr:row>3</xdr:row>
      <xdr:rowOff>161934</xdr:rowOff>
    </xdr:to>
    <xdr:pic>
      <xdr:nvPicPr>
        <xdr:cNvPr id="3" name="Picture 2">
          <a:extLst>
            <a:ext uri="{FF2B5EF4-FFF2-40B4-BE49-F238E27FC236}">
              <a16:creationId xmlns:a16="http://schemas.microsoft.com/office/drawing/2014/main" id="{87CF1002-9035-4CD8-A63A-1ECF8C791B64}"/>
            </a:ext>
          </a:extLst>
        </xdr:cNvPr>
        <xdr:cNvPicPr>
          <a:picLocks noChangeAspect="1"/>
        </xdr:cNvPicPr>
      </xdr:nvPicPr>
      <xdr:blipFill>
        <a:blip xmlns:r="http://schemas.openxmlformats.org/officeDocument/2006/relationships" r:embed="rId2"/>
        <a:stretch>
          <a:fillRect/>
        </a:stretch>
      </xdr:blipFill>
      <xdr:spPr>
        <a:xfrm>
          <a:off x="1849966" y="962024"/>
          <a:ext cx="453031" cy="455148"/>
        </a:xfrm>
        <a:prstGeom prst="rect">
          <a:avLst/>
        </a:prstGeom>
      </xdr:spPr>
    </xdr:pic>
    <xdr:clientData/>
  </xdr:twoCellAnchor>
  <xdr:twoCellAnchor>
    <xdr:from>
      <xdr:col>5</xdr:col>
      <xdr:colOff>162983</xdr:colOff>
      <xdr:row>2</xdr:row>
      <xdr:rowOff>114299</xdr:rowOff>
    </xdr:from>
    <xdr:to>
      <xdr:col>16</xdr:col>
      <xdr:colOff>103717</xdr:colOff>
      <xdr:row>4</xdr:row>
      <xdr:rowOff>152399</xdr:rowOff>
    </xdr:to>
    <xdr:sp macro="[0]!UnEncrWbk" textlink="">
      <xdr:nvSpPr>
        <xdr:cNvPr id="4" name="Rectangle 3">
          <a:extLst>
            <a:ext uri="{FF2B5EF4-FFF2-40B4-BE49-F238E27FC236}">
              <a16:creationId xmlns:a16="http://schemas.microsoft.com/office/drawing/2014/main" id="{64198864-A492-4746-B25F-3FC0BD8B7ED7}"/>
            </a:ext>
          </a:extLst>
        </xdr:cNvPr>
        <xdr:cNvSpPr/>
      </xdr:nvSpPr>
      <xdr:spPr>
        <a:xfrm>
          <a:off x="1067858" y="885824"/>
          <a:ext cx="1931459" cy="809625"/>
        </a:xfrm>
        <a:prstGeom prst="rect">
          <a:avLst/>
        </a:prstGeom>
        <a:noFill/>
      </xdr:spPr>
      <xdr:txBody>
        <a:bodyPr wrap="square" lIns="91440" tIns="45720" rIns="91440" bIns="45720" rtlCol="0" anchor="ctr">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absolute">
    <xdr:from>
      <xdr:col>52</xdr:col>
      <xdr:colOff>47424</xdr:colOff>
      <xdr:row>0</xdr:row>
      <xdr:rowOff>0</xdr:rowOff>
    </xdr:from>
    <xdr:to>
      <xdr:col>61</xdr:col>
      <xdr:colOff>113454</xdr:colOff>
      <xdr:row>0</xdr:row>
      <xdr:rowOff>561975</xdr:rowOff>
    </xdr:to>
    <xdr:sp macro="[0]!Navigate_Reporting" textlink="">
      <xdr:nvSpPr>
        <xdr:cNvPr id="17" name="TextBox 16">
          <a:extLst>
            <a:ext uri="{FF2B5EF4-FFF2-40B4-BE49-F238E27FC236}">
              <a16:creationId xmlns:a16="http://schemas.microsoft.com/office/drawing/2014/main" id="{510922AB-1613-4C1D-AD50-0206D7127C5E}"/>
            </a:ext>
          </a:extLst>
        </xdr:cNvPr>
        <xdr:cNvSpPr txBox="1">
          <a:spLocks noChangeAspect="1"/>
        </xdr:cNvSpPr>
      </xdr:nvSpPr>
      <xdr:spPr>
        <a:xfrm>
          <a:off x="9458124" y="0"/>
          <a:ext cx="169480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33</xdr:col>
      <xdr:colOff>56102</xdr:colOff>
      <xdr:row>0</xdr:row>
      <xdr:rowOff>1</xdr:rowOff>
    </xdr:from>
    <xdr:to>
      <xdr:col>42</xdr:col>
      <xdr:colOff>123190</xdr:colOff>
      <xdr:row>0</xdr:row>
      <xdr:rowOff>561975</xdr:rowOff>
    </xdr:to>
    <xdr:sp macro="[0]!Navigate_Rehab_Analyzer" textlink="">
      <xdr:nvSpPr>
        <xdr:cNvPr id="19" name="TextBox 18">
          <a:extLst>
            <a:ext uri="{FF2B5EF4-FFF2-40B4-BE49-F238E27FC236}">
              <a16:creationId xmlns:a16="http://schemas.microsoft.com/office/drawing/2014/main" id="{5041C499-C160-4A31-B7BC-8E8B462A3ACC}"/>
            </a:ext>
          </a:extLst>
        </xdr:cNvPr>
        <xdr:cNvSpPr txBox="1">
          <a:spLocks noChangeAspect="1"/>
        </xdr:cNvSpPr>
      </xdr:nvSpPr>
      <xdr:spPr>
        <a:xfrm>
          <a:off x="6028277" y="1"/>
          <a:ext cx="1695863" cy="561974"/>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Analyze</a:t>
          </a:r>
        </a:p>
      </xdr:txBody>
    </xdr:sp>
    <xdr:clientData/>
  </xdr:twoCellAnchor>
  <xdr:twoCellAnchor editAs="absolute">
    <xdr:from>
      <xdr:col>42</xdr:col>
      <xdr:colOff>144568</xdr:colOff>
      <xdr:row>0</xdr:row>
      <xdr:rowOff>0</xdr:rowOff>
    </xdr:from>
    <xdr:to>
      <xdr:col>52</xdr:col>
      <xdr:colOff>18002</xdr:colOff>
      <xdr:row>0</xdr:row>
      <xdr:rowOff>561975</xdr:rowOff>
    </xdr:to>
    <xdr:sp macro="[0]!Navigate_Repair_Estimator" textlink="">
      <xdr:nvSpPr>
        <xdr:cNvPr id="20" name="TextBox 19">
          <a:extLst>
            <a:ext uri="{FF2B5EF4-FFF2-40B4-BE49-F238E27FC236}">
              <a16:creationId xmlns:a16="http://schemas.microsoft.com/office/drawing/2014/main" id="{30662CF0-3B3C-47A1-8E7D-8539F723A982}"/>
            </a:ext>
          </a:extLst>
        </xdr:cNvPr>
        <xdr:cNvSpPr txBox="1">
          <a:spLocks noChangeAspect="1"/>
        </xdr:cNvSpPr>
      </xdr:nvSpPr>
      <xdr:spPr>
        <a:xfrm>
          <a:off x="7745518" y="0"/>
          <a:ext cx="1683184"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23</xdr:col>
      <xdr:colOff>171012</xdr:colOff>
      <xdr:row>0</xdr:row>
      <xdr:rowOff>0</xdr:rowOff>
    </xdr:from>
    <xdr:to>
      <xdr:col>33</xdr:col>
      <xdr:colOff>46142</xdr:colOff>
      <xdr:row>0</xdr:row>
      <xdr:rowOff>561975</xdr:rowOff>
    </xdr:to>
    <xdr:sp macro="[0]!Navigate_Home" textlink="">
      <xdr:nvSpPr>
        <xdr:cNvPr id="21" name="TextBox 20">
          <a:extLst>
            <a:ext uri="{FF2B5EF4-FFF2-40B4-BE49-F238E27FC236}">
              <a16:creationId xmlns:a16="http://schemas.microsoft.com/office/drawing/2014/main" id="{C9B1D973-6C71-4446-BF0C-C1C8A86ACE87}"/>
            </a:ext>
          </a:extLst>
        </xdr:cNvPr>
        <xdr:cNvSpPr txBox="1">
          <a:spLocks noChangeAspect="1"/>
        </xdr:cNvSpPr>
      </xdr:nvSpPr>
      <xdr:spPr>
        <a:xfrm>
          <a:off x="4333437" y="0"/>
          <a:ext cx="168488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Home</a:t>
          </a:r>
        </a:p>
      </xdr:txBody>
    </xdr:sp>
    <xdr:clientData/>
  </xdr:twoCellAnchor>
  <xdr:twoCellAnchor editAs="absolute">
    <xdr:from>
      <xdr:col>66</xdr:col>
      <xdr:colOff>20532</xdr:colOff>
      <xdr:row>0</xdr:row>
      <xdr:rowOff>153469</xdr:rowOff>
    </xdr:from>
    <xdr:to>
      <xdr:col>67</xdr:col>
      <xdr:colOff>106180</xdr:colOff>
      <xdr:row>0</xdr:row>
      <xdr:rowOff>428836</xdr:rowOff>
    </xdr:to>
    <xdr:pic>
      <xdr:nvPicPr>
        <xdr:cNvPr id="22" name="Picture 21" title="Help">
          <a:hlinkClick xmlns:r="http://schemas.openxmlformats.org/officeDocument/2006/relationships" r:id="rId3"/>
          <a:extLst>
            <a:ext uri="{FF2B5EF4-FFF2-40B4-BE49-F238E27FC236}">
              <a16:creationId xmlns:a16="http://schemas.microsoft.com/office/drawing/2014/main" id="{3879E3D5-6FE1-4186-B017-805302BB973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964882" y="153469"/>
          <a:ext cx="266623" cy="275367"/>
        </a:xfrm>
        <a:prstGeom prst="rect">
          <a:avLst/>
        </a:prstGeom>
      </xdr:spPr>
    </xdr:pic>
    <xdr:clientData/>
  </xdr:twoCellAnchor>
  <xdr:twoCellAnchor editAs="absolute">
    <xdr:from>
      <xdr:col>63</xdr:col>
      <xdr:colOff>11007</xdr:colOff>
      <xdr:row>0</xdr:row>
      <xdr:rowOff>152516</xdr:rowOff>
    </xdr:from>
    <xdr:to>
      <xdr:col>64</xdr:col>
      <xdr:colOff>113666</xdr:colOff>
      <xdr:row>0</xdr:row>
      <xdr:rowOff>428941</xdr:rowOff>
    </xdr:to>
    <xdr:pic macro="[0]!Navigate_Info_Sheet">
      <xdr:nvPicPr>
        <xdr:cNvPr id="23" name="Picture 22">
          <a:extLst>
            <a:ext uri="{FF2B5EF4-FFF2-40B4-BE49-F238E27FC236}">
              <a16:creationId xmlns:a16="http://schemas.microsoft.com/office/drawing/2014/main" id="{300E7461-FA34-4576-B03D-D028940965B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412432" y="152516"/>
          <a:ext cx="283634" cy="276425"/>
        </a:xfrm>
        <a:prstGeom prst="rect">
          <a:avLst/>
        </a:prstGeom>
      </xdr:spPr>
    </xdr:pic>
    <xdr:clientData/>
  </xdr:twoCellAnchor>
  <xdr:twoCellAnchor editAs="absolute">
    <xdr:from>
      <xdr:col>0</xdr:col>
      <xdr:colOff>0</xdr:colOff>
      <xdr:row>0</xdr:row>
      <xdr:rowOff>0</xdr:rowOff>
    </xdr:from>
    <xdr:to>
      <xdr:col>9</xdr:col>
      <xdr:colOff>35997</xdr:colOff>
      <xdr:row>0</xdr:row>
      <xdr:rowOff>563880</xdr:rowOff>
    </xdr:to>
    <xdr:sp macro="" textlink="">
      <xdr:nvSpPr>
        <xdr:cNvPr id="24" name="TextBox 23">
          <a:extLst>
            <a:ext uri="{FF2B5EF4-FFF2-40B4-BE49-F238E27FC236}">
              <a16:creationId xmlns:a16="http://schemas.microsoft.com/office/drawing/2014/main" id="{A349F647-0207-4A1D-BFE4-E4CD44AF1D35}"/>
            </a:ext>
          </a:extLst>
        </xdr:cNvPr>
        <xdr:cNvSpPr txBox="1">
          <a:spLocks noChangeAspect="1"/>
        </xdr:cNvSpPr>
      </xdr:nvSpPr>
      <xdr:spPr>
        <a:xfrm>
          <a:off x="0" y="0"/>
          <a:ext cx="1664772"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266700</xdr:colOff>
      <xdr:row>1</xdr:row>
      <xdr:rowOff>190500</xdr:rowOff>
    </xdr:from>
    <xdr:to>
      <xdr:col>8</xdr:col>
      <xdr:colOff>531607</xdr:colOff>
      <xdr:row>2</xdr:row>
      <xdr:rowOff>188259</xdr:rowOff>
    </xdr:to>
    <xdr:sp macro="[0]!Estimate_Report_Show_Hide_Detailed" textlink="">
      <xdr:nvSpPr>
        <xdr:cNvPr id="38" name="Rectangle 37">
          <a:extLst>
            <a:ext uri="{FF2B5EF4-FFF2-40B4-BE49-F238E27FC236}">
              <a16:creationId xmlns:a16="http://schemas.microsoft.com/office/drawing/2014/main" id="{00000000-0008-0000-2200-000026000000}"/>
            </a:ext>
          </a:extLst>
        </xdr:cNvPr>
        <xdr:cNvSpPr/>
      </xdr:nvSpPr>
      <xdr:spPr>
        <a:xfrm>
          <a:off x="8359140" y="762000"/>
          <a:ext cx="264907" cy="272079"/>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266700</xdr:colOff>
      <xdr:row>1</xdr:row>
      <xdr:rowOff>190501</xdr:rowOff>
    </xdr:from>
    <xdr:to>
      <xdr:col>8</xdr:col>
      <xdr:colOff>534991</xdr:colOff>
      <xdr:row>2</xdr:row>
      <xdr:rowOff>188260</xdr:rowOff>
    </xdr:to>
    <xdr:pic macro="[0]!Estimate_Report_Show_Hide_Detailed">
      <xdr:nvPicPr>
        <xdr:cNvPr id="40" name="Estimate_Detail_Check">
          <a:extLst>
            <a:ext uri="{FF2B5EF4-FFF2-40B4-BE49-F238E27FC236}">
              <a16:creationId xmlns:a16="http://schemas.microsoft.com/office/drawing/2014/main" id="{00000000-0008-0000-2200-000028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359140" y="762001"/>
          <a:ext cx="268291" cy="272079"/>
        </a:xfrm>
        <a:prstGeom prst="rect">
          <a:avLst/>
        </a:prstGeom>
      </xdr:spPr>
    </xdr:pic>
    <xdr:clientData/>
  </xdr:twoCellAnchor>
  <xdr:twoCellAnchor>
    <xdr:from>
      <xdr:col>3</xdr:col>
      <xdr:colOff>312420</xdr:colOff>
      <xdr:row>1</xdr:row>
      <xdr:rowOff>167641</xdr:rowOff>
    </xdr:from>
    <xdr:to>
      <xdr:col>6</xdr:col>
      <xdr:colOff>83820</xdr:colOff>
      <xdr:row>2</xdr:row>
      <xdr:rowOff>224791</xdr:rowOff>
    </xdr:to>
    <xdr:sp macro="" textlink="">
      <xdr:nvSpPr>
        <xdr:cNvPr id="36" name="TextBox 35">
          <a:extLst>
            <a:ext uri="{FF2B5EF4-FFF2-40B4-BE49-F238E27FC236}">
              <a16:creationId xmlns:a16="http://schemas.microsoft.com/office/drawing/2014/main" id="{00000000-0008-0000-2200-000024000000}"/>
            </a:ext>
          </a:extLst>
        </xdr:cNvPr>
        <xdr:cNvSpPr txBox="1"/>
      </xdr:nvSpPr>
      <xdr:spPr>
        <a:xfrm>
          <a:off x="5234940" y="739141"/>
          <a:ext cx="1417320"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100" b="0" i="1" baseline="0">
              <a:solidFill>
                <a:schemeClr val="tx1">
                  <a:lumMod val="75000"/>
                  <a:lumOff val="25000"/>
                </a:schemeClr>
              </a:solidFill>
              <a:latin typeface="Calibri Light" panose="020F0302020204030204" pitchFamily="34" charset="0"/>
            </a:rPr>
            <a:t>Select Pages Shown:</a:t>
          </a:r>
          <a:endParaRPr lang="en-US" sz="1100" b="0" i="1">
            <a:solidFill>
              <a:schemeClr val="tx1">
                <a:lumMod val="75000"/>
                <a:lumOff val="25000"/>
              </a:schemeClr>
            </a:solidFill>
            <a:latin typeface="Calibri Light" panose="020F0302020204030204" pitchFamily="34" charset="0"/>
          </a:endParaRPr>
        </a:p>
      </xdr:txBody>
    </xdr:sp>
    <xdr:clientData/>
  </xdr:twoCellAnchor>
  <xdr:twoCellAnchor>
    <xdr:from>
      <xdr:col>6</xdr:col>
      <xdr:colOff>525335</xdr:colOff>
      <xdr:row>1</xdr:row>
      <xdr:rowOff>142875</xdr:rowOff>
    </xdr:from>
    <xdr:to>
      <xdr:col>8</xdr:col>
      <xdr:colOff>167640</xdr:colOff>
      <xdr:row>2</xdr:row>
      <xdr:rowOff>258520</xdr:rowOff>
    </xdr:to>
    <xdr:sp macro="[0]!Estimate_Report_Show_Hide_Summary" textlink="">
      <xdr:nvSpPr>
        <xdr:cNvPr id="25" name="TextBox 24">
          <a:extLst>
            <a:ext uri="{FF2B5EF4-FFF2-40B4-BE49-F238E27FC236}">
              <a16:creationId xmlns:a16="http://schemas.microsoft.com/office/drawing/2014/main" id="{00000000-0008-0000-2200-000019000000}"/>
            </a:ext>
          </a:extLst>
        </xdr:cNvPr>
        <xdr:cNvSpPr txBox="1"/>
      </xdr:nvSpPr>
      <xdr:spPr>
        <a:xfrm>
          <a:off x="7093775" y="714375"/>
          <a:ext cx="1166305" cy="389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chemeClr val="tx1">
                  <a:lumMod val="75000"/>
                  <a:lumOff val="25000"/>
                </a:schemeClr>
              </a:solidFill>
              <a:latin typeface="Calibri Light" panose="020F0302020204030204" pitchFamily="34" charset="0"/>
            </a:rPr>
            <a:t>Summary</a:t>
          </a:r>
        </a:p>
      </xdr:txBody>
    </xdr:sp>
    <xdr:clientData/>
  </xdr:twoCellAnchor>
  <xdr:twoCellAnchor>
    <xdr:from>
      <xdr:col>8</xdr:col>
      <xdr:colOff>594360</xdr:colOff>
      <xdr:row>1</xdr:row>
      <xdr:rowOff>144780</xdr:rowOff>
    </xdr:from>
    <xdr:to>
      <xdr:col>10</xdr:col>
      <xdr:colOff>419100</xdr:colOff>
      <xdr:row>2</xdr:row>
      <xdr:rowOff>260425</xdr:rowOff>
    </xdr:to>
    <xdr:sp macro="[0]!Estimate_Report_Show_Hide_Detailed" textlink="">
      <xdr:nvSpPr>
        <xdr:cNvPr id="39" name="TextBox 38">
          <a:extLst>
            <a:ext uri="{FF2B5EF4-FFF2-40B4-BE49-F238E27FC236}">
              <a16:creationId xmlns:a16="http://schemas.microsoft.com/office/drawing/2014/main" id="{00000000-0008-0000-2200-000027000000}"/>
            </a:ext>
          </a:extLst>
        </xdr:cNvPr>
        <xdr:cNvSpPr txBox="1"/>
      </xdr:nvSpPr>
      <xdr:spPr>
        <a:xfrm>
          <a:off x="8686800" y="716280"/>
          <a:ext cx="1394460" cy="389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chemeClr val="tx1">
                  <a:lumMod val="75000"/>
                  <a:lumOff val="25000"/>
                </a:schemeClr>
              </a:solidFill>
              <a:latin typeface="Calibri Light" panose="020F0302020204030204" pitchFamily="34" charset="0"/>
            </a:rPr>
            <a:t>Detailed Estimate</a:t>
          </a:r>
        </a:p>
      </xdr:txBody>
    </xdr:sp>
    <xdr:clientData/>
  </xdr:twoCellAnchor>
  <xdr:twoCellAnchor>
    <xdr:from>
      <xdr:col>11</xdr:col>
      <xdr:colOff>156211</xdr:colOff>
      <xdr:row>1</xdr:row>
      <xdr:rowOff>142875</xdr:rowOff>
    </xdr:from>
    <xdr:to>
      <xdr:col>12</xdr:col>
      <xdr:colOff>670561</xdr:colOff>
      <xdr:row>2</xdr:row>
      <xdr:rowOff>258520</xdr:rowOff>
    </xdr:to>
    <xdr:sp macro="[0]!Estimate_Allocate_Adders" textlink="">
      <xdr:nvSpPr>
        <xdr:cNvPr id="23" name="TextBox 22">
          <a:extLst>
            <a:ext uri="{FF2B5EF4-FFF2-40B4-BE49-F238E27FC236}">
              <a16:creationId xmlns:a16="http://schemas.microsoft.com/office/drawing/2014/main" id="{D7D85D5B-FD46-48AA-A7F9-CC2E97D2B582}"/>
            </a:ext>
          </a:extLst>
        </xdr:cNvPr>
        <xdr:cNvSpPr txBox="1"/>
      </xdr:nvSpPr>
      <xdr:spPr>
        <a:xfrm>
          <a:off x="10580371" y="714375"/>
          <a:ext cx="1276350" cy="389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chemeClr val="tx1">
                  <a:lumMod val="75000"/>
                  <a:lumOff val="25000"/>
                </a:schemeClr>
              </a:solidFill>
              <a:latin typeface="Calibri Light" panose="020F0302020204030204" pitchFamily="34" charset="0"/>
            </a:rPr>
            <a:t>Allocate Adders</a:t>
          </a:r>
        </a:p>
      </xdr:txBody>
    </xdr:sp>
    <xdr:clientData/>
  </xdr:twoCellAnchor>
  <xdr:twoCellAnchor>
    <xdr:from>
      <xdr:col>10</xdr:col>
      <xdr:colOff>569595</xdr:colOff>
      <xdr:row>1</xdr:row>
      <xdr:rowOff>205740</xdr:rowOff>
    </xdr:from>
    <xdr:to>
      <xdr:col>11</xdr:col>
      <xdr:colOff>53721</xdr:colOff>
      <xdr:row>2</xdr:row>
      <xdr:rowOff>203499</xdr:rowOff>
    </xdr:to>
    <xdr:sp macro="[0]!Estimate_Allocate_Adders" textlink="">
      <xdr:nvSpPr>
        <xdr:cNvPr id="26" name="Rectangle 25">
          <a:extLst>
            <a:ext uri="{FF2B5EF4-FFF2-40B4-BE49-F238E27FC236}">
              <a16:creationId xmlns:a16="http://schemas.microsoft.com/office/drawing/2014/main" id="{F3405906-75A6-4FDC-94EA-3BE409F168E1}"/>
            </a:ext>
          </a:extLst>
        </xdr:cNvPr>
        <xdr:cNvSpPr>
          <a:spLocks noChangeAspect="1"/>
        </xdr:cNvSpPr>
      </xdr:nvSpPr>
      <xdr:spPr>
        <a:xfrm>
          <a:off x="10342245" y="777240"/>
          <a:ext cx="265176" cy="264459"/>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175260</xdr:colOff>
      <xdr:row>1</xdr:row>
      <xdr:rowOff>198120</xdr:rowOff>
    </xdr:from>
    <xdr:to>
      <xdr:col>6</xdr:col>
      <xdr:colOff>440167</xdr:colOff>
      <xdr:row>2</xdr:row>
      <xdr:rowOff>195879</xdr:rowOff>
    </xdr:to>
    <xdr:sp macro="[0]!Estimate_Report_Show_Hide_Summary" textlink="">
      <xdr:nvSpPr>
        <xdr:cNvPr id="37" name="Rectangle 36">
          <a:extLst>
            <a:ext uri="{FF2B5EF4-FFF2-40B4-BE49-F238E27FC236}">
              <a16:creationId xmlns:a16="http://schemas.microsoft.com/office/drawing/2014/main" id="{00000000-0008-0000-2200-000025000000}"/>
            </a:ext>
          </a:extLst>
        </xdr:cNvPr>
        <xdr:cNvSpPr/>
      </xdr:nvSpPr>
      <xdr:spPr>
        <a:xfrm>
          <a:off x="6743700" y="769620"/>
          <a:ext cx="264907" cy="272079"/>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182880</xdr:colOff>
      <xdr:row>1</xdr:row>
      <xdr:rowOff>198121</xdr:rowOff>
    </xdr:from>
    <xdr:to>
      <xdr:col>6</xdr:col>
      <xdr:colOff>451171</xdr:colOff>
      <xdr:row>2</xdr:row>
      <xdr:rowOff>195880</xdr:rowOff>
    </xdr:to>
    <xdr:pic macro="[0]!Estimate_Report_Show_Hide_Summary">
      <xdr:nvPicPr>
        <xdr:cNvPr id="31" name="Estimate_Summary_Check">
          <a:extLst>
            <a:ext uri="{FF2B5EF4-FFF2-40B4-BE49-F238E27FC236}">
              <a16:creationId xmlns:a16="http://schemas.microsoft.com/office/drawing/2014/main" id="{00000000-0008-0000-2200-00001F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751320" y="769621"/>
          <a:ext cx="268291" cy="272079"/>
        </a:xfrm>
        <a:prstGeom prst="rect">
          <a:avLst/>
        </a:prstGeom>
      </xdr:spPr>
    </xdr:pic>
    <xdr:clientData/>
  </xdr:twoCellAnchor>
  <xdr:twoCellAnchor>
    <xdr:from>
      <xdr:col>10</xdr:col>
      <xdr:colOff>571500</xdr:colOff>
      <xdr:row>1</xdr:row>
      <xdr:rowOff>213361</xdr:rowOff>
    </xdr:from>
    <xdr:to>
      <xdr:col>11</xdr:col>
      <xdr:colOff>55626</xdr:colOff>
      <xdr:row>2</xdr:row>
      <xdr:rowOff>211120</xdr:rowOff>
    </xdr:to>
    <xdr:pic macro="[0]!Estimate_Allocate_Adders">
      <xdr:nvPicPr>
        <xdr:cNvPr id="24" name="Estimate_Adders_Check" hidden="1">
          <a:extLst>
            <a:ext uri="{FF2B5EF4-FFF2-40B4-BE49-F238E27FC236}">
              <a16:creationId xmlns:a16="http://schemas.microsoft.com/office/drawing/2014/main" id="{67ADC00E-5569-4FB3-9D09-3EEA2EF1E5B7}"/>
            </a:ext>
          </a:extLst>
        </xdr:cNvPr>
        <xdr:cNvPicPr>
          <a:picLocks/>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344150" y="784861"/>
          <a:ext cx="265176" cy="264459"/>
        </a:xfrm>
        <a:prstGeom prst="rect">
          <a:avLst/>
        </a:prstGeom>
      </xdr:spPr>
    </xdr:pic>
    <xdr:clientData/>
  </xdr:twoCellAnchor>
  <xdr:twoCellAnchor>
    <xdr:from>
      <xdr:col>1</xdr:col>
      <xdr:colOff>1868805</xdr:colOff>
      <xdr:row>2</xdr:row>
      <xdr:rowOff>22861</xdr:rowOff>
    </xdr:from>
    <xdr:to>
      <xdr:col>3</xdr:col>
      <xdr:colOff>595676</xdr:colOff>
      <xdr:row>3</xdr:row>
      <xdr:rowOff>41911</xdr:rowOff>
    </xdr:to>
    <xdr:sp macro="[0]!Navigate_Repair_Estimator" textlink="">
      <xdr:nvSpPr>
        <xdr:cNvPr id="27" name="TextBox 26">
          <a:extLst>
            <a:ext uri="{FF2B5EF4-FFF2-40B4-BE49-F238E27FC236}">
              <a16:creationId xmlns:a16="http://schemas.microsoft.com/office/drawing/2014/main" id="{85262DF6-6EA1-4368-863B-94C74662A470}"/>
            </a:ext>
          </a:extLst>
        </xdr:cNvPr>
        <xdr:cNvSpPr txBox="1"/>
      </xdr:nvSpPr>
      <xdr:spPr>
        <a:xfrm>
          <a:off x="4101465" y="868681"/>
          <a:ext cx="1416731" cy="300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Estimate</a:t>
          </a:r>
          <a:endParaRPr lang="en-US" sz="1100" b="0" i="1" u="sng">
            <a:solidFill>
              <a:srgbClr val="289FE8"/>
            </a:solidFill>
            <a:latin typeface="Calibri Light" panose="020F0302020204030204" pitchFamily="34" charset="0"/>
          </a:endParaRPr>
        </a:p>
      </xdr:txBody>
    </xdr:sp>
    <xdr:clientData/>
  </xdr:twoCellAnchor>
  <xdr:twoCellAnchor>
    <xdr:from>
      <xdr:col>2</xdr:col>
      <xdr:colOff>525117</xdr:colOff>
      <xdr:row>1</xdr:row>
      <xdr:rowOff>58843</xdr:rowOff>
    </xdr:from>
    <xdr:to>
      <xdr:col>3</xdr:col>
      <xdr:colOff>47809</xdr:colOff>
      <xdr:row>2</xdr:row>
      <xdr:rowOff>86360</xdr:rowOff>
    </xdr:to>
    <xdr:pic macro="[0]!Navigate_Repair_Estimator">
      <xdr:nvPicPr>
        <xdr:cNvPr id="28" name="Picture 27">
          <a:extLst>
            <a:ext uri="{FF2B5EF4-FFF2-40B4-BE49-F238E27FC236}">
              <a16:creationId xmlns:a16="http://schemas.microsoft.com/office/drawing/2014/main" id="{3C10D188-B18E-4FA8-8D26-FEF1D3505A1D}"/>
            </a:ext>
          </a:extLst>
        </xdr:cNvPr>
        <xdr:cNvPicPr>
          <a:picLocks noChangeAspect="1"/>
        </xdr:cNvPicPr>
      </xdr:nvPicPr>
      <xdr:blipFill>
        <a:blip xmlns:r="http://schemas.openxmlformats.org/officeDocument/2006/relationships" r:embed="rId2"/>
        <a:stretch>
          <a:fillRect/>
        </a:stretch>
      </xdr:blipFill>
      <xdr:spPr>
        <a:xfrm>
          <a:off x="4601817" y="630343"/>
          <a:ext cx="294217" cy="294217"/>
        </a:xfrm>
        <a:prstGeom prst="rect">
          <a:avLst/>
        </a:prstGeom>
      </xdr:spPr>
    </xdr:pic>
    <xdr:clientData/>
  </xdr:twoCellAnchor>
  <xdr:twoCellAnchor editAs="absolute">
    <xdr:from>
      <xdr:col>13</xdr:col>
      <xdr:colOff>523879</xdr:colOff>
      <xdr:row>0</xdr:row>
      <xdr:rowOff>152584</xdr:rowOff>
    </xdr:from>
    <xdr:to>
      <xdr:col>14</xdr:col>
      <xdr:colOff>29187</xdr:colOff>
      <xdr:row>0</xdr:row>
      <xdr:rowOff>429045</xdr:rowOff>
    </xdr:to>
    <xdr:pic macro="[0]!Hide_Repair_Estimate_Report">
      <xdr:nvPicPr>
        <xdr:cNvPr id="45" name="Picture 44">
          <a:extLst>
            <a:ext uri="{FF2B5EF4-FFF2-40B4-BE49-F238E27FC236}">
              <a16:creationId xmlns:a16="http://schemas.microsoft.com/office/drawing/2014/main" id="{973D0AF3-B72B-45A4-9273-908724AE1338}"/>
            </a:ext>
          </a:extLst>
        </xdr:cNvPr>
        <xdr:cNvPicPr>
          <a:picLocks noChangeAspect="1"/>
        </xdr:cNvPicPr>
      </xdr:nvPicPr>
      <xdr:blipFill>
        <a:blip xmlns:r="http://schemas.openxmlformats.org/officeDocument/2006/relationships" r:embed="rId3"/>
        <a:stretch>
          <a:fillRect/>
        </a:stretch>
      </xdr:blipFill>
      <xdr:spPr>
        <a:xfrm>
          <a:off x="12487275" y="152584"/>
          <a:ext cx="276833" cy="276465"/>
        </a:xfrm>
        <a:prstGeom prst="rect">
          <a:avLst/>
        </a:prstGeom>
      </xdr:spPr>
    </xdr:pic>
    <xdr:clientData/>
  </xdr:twoCellAnchor>
  <xdr:twoCellAnchor>
    <xdr:from>
      <xdr:col>8</xdr:col>
      <xdr:colOff>125306</xdr:colOff>
      <xdr:row>8</xdr:row>
      <xdr:rowOff>121920</xdr:rowOff>
    </xdr:from>
    <xdr:to>
      <xdr:col>8</xdr:col>
      <xdr:colOff>594783</xdr:colOff>
      <xdr:row>10</xdr:row>
      <xdr:rowOff>125730</xdr:rowOff>
    </xdr:to>
    <xdr:pic>
      <xdr:nvPicPr>
        <xdr:cNvPr id="46" name="Picture 45">
          <a:hlinkClick xmlns:r="http://schemas.openxmlformats.org/officeDocument/2006/relationships" r:id="rId4"/>
          <a:extLst>
            <a:ext uri="{FF2B5EF4-FFF2-40B4-BE49-F238E27FC236}">
              <a16:creationId xmlns:a16="http://schemas.microsoft.com/office/drawing/2014/main" id="{C1942CD0-289C-4FCF-8CB3-727497DB8E73}"/>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8181339" y="2230120"/>
          <a:ext cx="469477" cy="469477"/>
        </a:xfrm>
        <a:prstGeom prst="rect">
          <a:avLst/>
        </a:prstGeom>
      </xdr:spPr>
    </xdr:pic>
    <xdr:clientData/>
  </xdr:twoCellAnchor>
  <xdr:twoCellAnchor>
    <xdr:from>
      <xdr:col>8</xdr:col>
      <xdr:colOff>716280</xdr:colOff>
      <xdr:row>8</xdr:row>
      <xdr:rowOff>182880</xdr:rowOff>
    </xdr:from>
    <xdr:to>
      <xdr:col>11</xdr:col>
      <xdr:colOff>556260</xdr:colOff>
      <xdr:row>10</xdr:row>
      <xdr:rowOff>83820</xdr:rowOff>
    </xdr:to>
    <xdr:sp macro="" textlink="">
      <xdr:nvSpPr>
        <xdr:cNvPr id="47" name="Rectangle 46">
          <a:hlinkClick xmlns:r="http://schemas.openxmlformats.org/officeDocument/2006/relationships" r:id="rId6"/>
          <a:extLst>
            <a:ext uri="{FF2B5EF4-FFF2-40B4-BE49-F238E27FC236}">
              <a16:creationId xmlns:a16="http://schemas.microsoft.com/office/drawing/2014/main" id="{0086C9D3-3112-4DF8-BB55-33D753EE58F9}"/>
            </a:ext>
          </a:extLst>
        </xdr:cNvPr>
        <xdr:cNvSpPr/>
      </xdr:nvSpPr>
      <xdr:spPr>
        <a:xfrm>
          <a:off x="8686800" y="2301240"/>
          <a:ext cx="2171700" cy="37338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13</xdr:col>
      <xdr:colOff>472440</xdr:colOff>
      <xdr:row>5</xdr:row>
      <xdr:rowOff>7620</xdr:rowOff>
    </xdr:from>
    <xdr:to>
      <xdr:col>13</xdr:col>
      <xdr:colOff>746760</xdr:colOff>
      <xdr:row>6</xdr:row>
      <xdr:rowOff>45720</xdr:rowOff>
    </xdr:to>
    <xdr:pic macro="[0]!Hide_Repair_Estimate_Report_Help">
      <xdr:nvPicPr>
        <xdr:cNvPr id="48" name="Getting_Started_Close_Icon">
          <a:extLst>
            <a:ext uri="{FF2B5EF4-FFF2-40B4-BE49-F238E27FC236}">
              <a16:creationId xmlns:a16="http://schemas.microsoft.com/office/drawing/2014/main" id="{A965E71A-677B-4FE2-8E77-68E0A42B4E4C}"/>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2298680" y="1417320"/>
          <a:ext cx="274320" cy="274320"/>
        </a:xfrm>
        <a:prstGeom prst="rect">
          <a:avLst/>
        </a:prstGeom>
      </xdr:spPr>
    </xdr:pic>
    <xdr:clientData/>
  </xdr:twoCellAnchor>
  <xdr:twoCellAnchor editAs="absolute">
    <xdr:from>
      <xdr:col>9</xdr:col>
      <xdr:colOff>581878</xdr:colOff>
      <xdr:row>0</xdr:row>
      <xdr:rowOff>0</xdr:rowOff>
    </xdr:from>
    <xdr:to>
      <xdr:col>11</xdr:col>
      <xdr:colOff>732575</xdr:colOff>
      <xdr:row>0</xdr:row>
      <xdr:rowOff>560922</xdr:rowOff>
    </xdr:to>
    <xdr:sp macro="[0]!Navigate_Reporting" textlink="">
      <xdr:nvSpPr>
        <xdr:cNvPr id="49" name="TextBox 48">
          <a:extLst>
            <a:ext uri="{FF2B5EF4-FFF2-40B4-BE49-F238E27FC236}">
              <a16:creationId xmlns:a16="http://schemas.microsoft.com/office/drawing/2014/main" id="{B3FF2791-1752-4BD2-BDB5-B3B0631A953E}"/>
            </a:ext>
          </a:extLst>
        </xdr:cNvPr>
        <xdr:cNvSpPr txBox="1">
          <a:spLocks noChangeAspect="1"/>
        </xdr:cNvSpPr>
      </xdr:nvSpPr>
      <xdr:spPr>
        <a:xfrm>
          <a:off x="9459182" y="0"/>
          <a:ext cx="1693747" cy="560918"/>
        </a:xfrm>
        <a:prstGeom prst="rect">
          <a:avLst/>
        </a:prstGeom>
        <a:solidFill>
          <a:srgbClr val="2F74A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4</xdr:col>
      <xdr:colOff>410648</xdr:colOff>
      <xdr:row>0</xdr:row>
      <xdr:rowOff>1</xdr:rowOff>
    </xdr:from>
    <xdr:to>
      <xdr:col>7</xdr:col>
      <xdr:colOff>439631</xdr:colOff>
      <xdr:row>0</xdr:row>
      <xdr:rowOff>560922</xdr:rowOff>
    </xdr:to>
    <xdr:sp macro="[0]!Navigate_Rehab_Analyzer" textlink="">
      <xdr:nvSpPr>
        <xdr:cNvPr id="50" name="TextBox 49">
          <a:extLst>
            <a:ext uri="{FF2B5EF4-FFF2-40B4-BE49-F238E27FC236}">
              <a16:creationId xmlns:a16="http://schemas.microsoft.com/office/drawing/2014/main" id="{10E47C95-5722-46BF-A46A-445DEFFC3EB1}"/>
            </a:ext>
          </a:extLst>
        </xdr:cNvPr>
        <xdr:cNvSpPr txBox="1">
          <a:spLocks noChangeAspect="1"/>
        </xdr:cNvSpPr>
      </xdr:nvSpPr>
      <xdr:spPr>
        <a:xfrm>
          <a:off x="6030394" y="1"/>
          <a:ext cx="1695862"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7</xdr:col>
      <xdr:colOff>458894</xdr:colOff>
      <xdr:row>0</xdr:row>
      <xdr:rowOff>0</xdr:rowOff>
    </xdr:from>
    <xdr:to>
      <xdr:col>9</xdr:col>
      <xdr:colOff>552461</xdr:colOff>
      <xdr:row>0</xdr:row>
      <xdr:rowOff>560922</xdr:rowOff>
    </xdr:to>
    <xdr:sp macro="[0]!Navigate_Repair_Estimator" textlink="">
      <xdr:nvSpPr>
        <xdr:cNvPr id="52" name="TextBox 51">
          <a:extLst>
            <a:ext uri="{FF2B5EF4-FFF2-40B4-BE49-F238E27FC236}">
              <a16:creationId xmlns:a16="http://schemas.microsoft.com/office/drawing/2014/main" id="{8DEBAC9D-8050-47C7-9157-F205585A8901}"/>
            </a:ext>
          </a:extLst>
        </xdr:cNvPr>
        <xdr:cNvSpPr txBox="1">
          <a:spLocks noChangeAspect="1"/>
        </xdr:cNvSpPr>
      </xdr:nvSpPr>
      <xdr:spPr>
        <a:xfrm>
          <a:off x="7745519" y="0"/>
          <a:ext cx="1684242"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2</xdr:col>
      <xdr:colOff>255682</xdr:colOff>
      <xdr:row>0</xdr:row>
      <xdr:rowOff>0</xdr:rowOff>
    </xdr:from>
    <xdr:to>
      <xdr:col>4</xdr:col>
      <xdr:colOff>399625</xdr:colOff>
      <xdr:row>0</xdr:row>
      <xdr:rowOff>560922</xdr:rowOff>
    </xdr:to>
    <xdr:sp macro="[0]!Navigate_Home" textlink="">
      <xdr:nvSpPr>
        <xdr:cNvPr id="53" name="TextBox 52">
          <a:extLst>
            <a:ext uri="{FF2B5EF4-FFF2-40B4-BE49-F238E27FC236}">
              <a16:creationId xmlns:a16="http://schemas.microsoft.com/office/drawing/2014/main" id="{67DF3573-EF6D-4281-82F3-2DBBD31A1468}"/>
            </a:ext>
          </a:extLst>
        </xdr:cNvPr>
        <xdr:cNvSpPr txBox="1">
          <a:spLocks noChangeAspect="1"/>
        </xdr:cNvSpPr>
      </xdr:nvSpPr>
      <xdr:spPr>
        <a:xfrm>
          <a:off x="4332378" y="0"/>
          <a:ext cx="1686997"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13</xdr:col>
      <xdr:colOff>1481</xdr:colOff>
      <xdr:row>0</xdr:row>
      <xdr:rowOff>153469</xdr:rowOff>
    </xdr:from>
    <xdr:to>
      <xdr:col>13</xdr:col>
      <xdr:colOff>267046</xdr:colOff>
      <xdr:row>0</xdr:row>
      <xdr:rowOff>429889</xdr:rowOff>
    </xdr:to>
    <xdr:pic>
      <xdr:nvPicPr>
        <xdr:cNvPr id="54" name="Picture 53" title="Help">
          <a:hlinkClick xmlns:r="http://schemas.openxmlformats.org/officeDocument/2006/relationships" r:id="rId8"/>
          <a:extLst>
            <a:ext uri="{FF2B5EF4-FFF2-40B4-BE49-F238E27FC236}">
              <a16:creationId xmlns:a16="http://schemas.microsoft.com/office/drawing/2014/main" id="{77BCB5CB-28BA-4332-BD04-B09BAEA711C6}"/>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1964881" y="153469"/>
          <a:ext cx="265565" cy="276424"/>
        </a:xfrm>
        <a:prstGeom prst="rect">
          <a:avLst/>
        </a:prstGeom>
      </xdr:spPr>
    </xdr:pic>
    <xdr:clientData/>
  </xdr:twoCellAnchor>
  <xdr:twoCellAnchor editAs="absolute">
    <xdr:from>
      <xdr:col>12</xdr:col>
      <xdr:colOff>218445</xdr:colOff>
      <xdr:row>0</xdr:row>
      <xdr:rowOff>152516</xdr:rowOff>
    </xdr:from>
    <xdr:to>
      <xdr:col>12</xdr:col>
      <xdr:colOff>504187</xdr:colOff>
      <xdr:row>0</xdr:row>
      <xdr:rowOff>429994</xdr:rowOff>
    </xdr:to>
    <xdr:pic macro="[0]!Navigate_Info_Sheet">
      <xdr:nvPicPr>
        <xdr:cNvPr id="55" name="Picture 54">
          <a:extLst>
            <a:ext uri="{FF2B5EF4-FFF2-40B4-BE49-F238E27FC236}">
              <a16:creationId xmlns:a16="http://schemas.microsoft.com/office/drawing/2014/main" id="{5DD5EB16-6C11-4948-BDA1-AF68634303E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410316" y="152516"/>
          <a:ext cx="285750" cy="277482"/>
        </a:xfrm>
        <a:prstGeom prst="rect">
          <a:avLst/>
        </a:prstGeom>
      </xdr:spPr>
    </xdr:pic>
    <xdr:clientData/>
  </xdr:twoCellAnchor>
  <xdr:twoCellAnchor editAs="absolute">
    <xdr:from>
      <xdr:col>0</xdr:col>
      <xdr:colOff>0</xdr:colOff>
      <xdr:row>0</xdr:row>
      <xdr:rowOff>0</xdr:rowOff>
    </xdr:from>
    <xdr:to>
      <xdr:col>0</xdr:col>
      <xdr:colOff>1664777</xdr:colOff>
      <xdr:row>0</xdr:row>
      <xdr:rowOff>562827</xdr:rowOff>
    </xdr:to>
    <xdr:sp macro="" textlink="">
      <xdr:nvSpPr>
        <xdr:cNvPr id="56" name="TextBox 55">
          <a:extLst>
            <a:ext uri="{FF2B5EF4-FFF2-40B4-BE49-F238E27FC236}">
              <a16:creationId xmlns:a16="http://schemas.microsoft.com/office/drawing/2014/main" id="{1F5317D8-988B-4C0E-A8A0-6C95CA241982}"/>
            </a:ext>
          </a:extLst>
        </xdr:cNvPr>
        <xdr:cNvSpPr txBox="1">
          <a:spLocks noChangeAspect="1"/>
        </xdr:cNvSpPr>
      </xdr:nvSpPr>
      <xdr:spPr>
        <a:xfrm>
          <a:off x="0" y="0"/>
          <a:ext cx="1664773" cy="562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12</xdr:col>
      <xdr:colOff>408880</xdr:colOff>
      <xdr:row>0</xdr:row>
      <xdr:rowOff>150492</xdr:rowOff>
    </xdr:from>
    <xdr:to>
      <xdr:col>12</xdr:col>
      <xdr:colOff>676678</xdr:colOff>
      <xdr:row>0</xdr:row>
      <xdr:rowOff>426929</xdr:rowOff>
    </xdr:to>
    <xdr:pic macro="[0]!Hide_Project_Cost_Report">
      <xdr:nvPicPr>
        <xdr:cNvPr id="28" name="Picture 27">
          <a:extLst>
            <a:ext uri="{FF2B5EF4-FFF2-40B4-BE49-F238E27FC236}">
              <a16:creationId xmlns:a16="http://schemas.microsoft.com/office/drawing/2014/main" id="{C8B31766-7117-42C7-8197-98622AB3AAE1}"/>
            </a:ext>
          </a:extLst>
        </xdr:cNvPr>
        <xdr:cNvPicPr>
          <a:picLocks noChangeAspect="1"/>
        </xdr:cNvPicPr>
      </xdr:nvPicPr>
      <xdr:blipFill>
        <a:blip xmlns:r="http://schemas.openxmlformats.org/officeDocument/2006/relationships" r:embed="rId1"/>
        <a:stretch>
          <a:fillRect/>
        </a:stretch>
      </xdr:blipFill>
      <xdr:spPr>
        <a:xfrm>
          <a:off x="12545843" y="150492"/>
          <a:ext cx="263565" cy="278557"/>
        </a:xfrm>
        <a:prstGeom prst="rect">
          <a:avLst/>
        </a:prstGeom>
      </xdr:spPr>
    </xdr:pic>
    <xdr:clientData/>
  </xdr:twoCellAnchor>
  <xdr:twoCellAnchor>
    <xdr:from>
      <xdr:col>12</xdr:col>
      <xdr:colOff>507289</xdr:colOff>
      <xdr:row>4</xdr:row>
      <xdr:rowOff>181857</xdr:rowOff>
    </xdr:from>
    <xdr:to>
      <xdr:col>13</xdr:col>
      <xdr:colOff>3347</xdr:colOff>
      <xdr:row>6</xdr:row>
      <xdr:rowOff>34104</xdr:rowOff>
    </xdr:to>
    <xdr:pic macro="[0]!Hide_Project_Cost_Report_Help">
      <xdr:nvPicPr>
        <xdr:cNvPr id="31" name="Getting_Started_Close_Icon">
          <a:extLst>
            <a:ext uri="{FF2B5EF4-FFF2-40B4-BE49-F238E27FC236}">
              <a16:creationId xmlns:a16="http://schemas.microsoft.com/office/drawing/2014/main" id="{058D2EB7-B9CC-4D50-BEB5-997DA736F01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2796862" y="1331827"/>
          <a:ext cx="274320" cy="270417"/>
        </a:xfrm>
        <a:prstGeom prst="rect">
          <a:avLst/>
        </a:prstGeom>
      </xdr:spPr>
    </xdr:pic>
    <xdr:clientData/>
  </xdr:twoCellAnchor>
  <xdr:twoCellAnchor editAs="absolute">
    <xdr:from>
      <xdr:col>8</xdr:col>
      <xdr:colOff>408319</xdr:colOff>
      <xdr:row>0</xdr:row>
      <xdr:rowOff>0</xdr:rowOff>
    </xdr:from>
    <xdr:to>
      <xdr:col>10</xdr:col>
      <xdr:colOff>563249</xdr:colOff>
      <xdr:row>0</xdr:row>
      <xdr:rowOff>563038</xdr:rowOff>
    </xdr:to>
    <xdr:sp macro="[0]!Navigate_Reporting" textlink="">
      <xdr:nvSpPr>
        <xdr:cNvPr id="14" name="TextBox 13">
          <a:extLst>
            <a:ext uri="{FF2B5EF4-FFF2-40B4-BE49-F238E27FC236}">
              <a16:creationId xmlns:a16="http://schemas.microsoft.com/office/drawing/2014/main" id="{16F9A987-3550-494C-8430-2E32F23F5921}"/>
            </a:ext>
          </a:extLst>
        </xdr:cNvPr>
        <xdr:cNvSpPr txBox="1">
          <a:spLocks noChangeAspect="1"/>
        </xdr:cNvSpPr>
      </xdr:nvSpPr>
      <xdr:spPr>
        <a:xfrm>
          <a:off x="9459182" y="0"/>
          <a:ext cx="1693747" cy="560918"/>
        </a:xfrm>
        <a:prstGeom prst="rect">
          <a:avLst/>
        </a:prstGeom>
        <a:solidFill>
          <a:srgbClr val="2F74A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4</xdr:col>
      <xdr:colOff>237074</xdr:colOff>
      <xdr:row>0</xdr:row>
      <xdr:rowOff>1</xdr:rowOff>
    </xdr:from>
    <xdr:to>
      <xdr:col>6</xdr:col>
      <xdr:colOff>218443</xdr:colOff>
      <xdr:row>0</xdr:row>
      <xdr:rowOff>563038</xdr:rowOff>
    </xdr:to>
    <xdr:sp macro="[0]!Navigate_Rehab_Analyzer" textlink="">
      <xdr:nvSpPr>
        <xdr:cNvPr id="16" name="TextBox 15">
          <a:extLst>
            <a:ext uri="{FF2B5EF4-FFF2-40B4-BE49-F238E27FC236}">
              <a16:creationId xmlns:a16="http://schemas.microsoft.com/office/drawing/2014/main" id="{9EB9EF09-B7D6-4784-9646-36AD07210EFE}"/>
            </a:ext>
          </a:extLst>
        </xdr:cNvPr>
        <xdr:cNvSpPr txBox="1">
          <a:spLocks noChangeAspect="1"/>
        </xdr:cNvSpPr>
      </xdr:nvSpPr>
      <xdr:spPr>
        <a:xfrm>
          <a:off x="6030394" y="1"/>
          <a:ext cx="1695862"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6</xdr:col>
      <xdr:colOff>237699</xdr:colOff>
      <xdr:row>0</xdr:row>
      <xdr:rowOff>0</xdr:rowOff>
    </xdr:from>
    <xdr:to>
      <xdr:col>8</xdr:col>
      <xdr:colOff>381011</xdr:colOff>
      <xdr:row>0</xdr:row>
      <xdr:rowOff>563038</xdr:rowOff>
    </xdr:to>
    <xdr:sp macro="[0]!Navigate_Repair_Estimator" textlink="">
      <xdr:nvSpPr>
        <xdr:cNvPr id="17" name="TextBox 16">
          <a:extLst>
            <a:ext uri="{FF2B5EF4-FFF2-40B4-BE49-F238E27FC236}">
              <a16:creationId xmlns:a16="http://schemas.microsoft.com/office/drawing/2014/main" id="{23936E03-F06F-4590-989E-3754669F32C0}"/>
            </a:ext>
          </a:extLst>
        </xdr:cNvPr>
        <xdr:cNvSpPr txBox="1">
          <a:spLocks noChangeAspect="1"/>
        </xdr:cNvSpPr>
      </xdr:nvSpPr>
      <xdr:spPr>
        <a:xfrm>
          <a:off x="7745519" y="0"/>
          <a:ext cx="1684242"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2</xdr:col>
      <xdr:colOff>257798</xdr:colOff>
      <xdr:row>0</xdr:row>
      <xdr:rowOff>0</xdr:rowOff>
    </xdr:from>
    <xdr:to>
      <xdr:col>4</xdr:col>
      <xdr:colOff>228175</xdr:colOff>
      <xdr:row>0</xdr:row>
      <xdr:rowOff>563038</xdr:rowOff>
    </xdr:to>
    <xdr:sp macro="[0]!Navigate_Home" textlink="">
      <xdr:nvSpPr>
        <xdr:cNvPr id="18" name="TextBox 17">
          <a:extLst>
            <a:ext uri="{FF2B5EF4-FFF2-40B4-BE49-F238E27FC236}">
              <a16:creationId xmlns:a16="http://schemas.microsoft.com/office/drawing/2014/main" id="{DB757789-8E71-4D7D-B8C0-B1C9A995F934}"/>
            </a:ext>
          </a:extLst>
        </xdr:cNvPr>
        <xdr:cNvSpPr txBox="1">
          <a:spLocks noChangeAspect="1"/>
        </xdr:cNvSpPr>
      </xdr:nvSpPr>
      <xdr:spPr>
        <a:xfrm>
          <a:off x="4332378" y="0"/>
          <a:ext cx="1686997"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11</xdr:col>
      <xdr:colOff>599443</xdr:colOff>
      <xdr:row>0</xdr:row>
      <xdr:rowOff>153469</xdr:rowOff>
    </xdr:from>
    <xdr:to>
      <xdr:col>12</xdr:col>
      <xdr:colOff>95596</xdr:colOff>
      <xdr:row>0</xdr:row>
      <xdr:rowOff>427773</xdr:rowOff>
    </xdr:to>
    <xdr:pic>
      <xdr:nvPicPr>
        <xdr:cNvPr id="26" name="Picture 25" title="Help">
          <a:hlinkClick xmlns:r="http://schemas.openxmlformats.org/officeDocument/2006/relationships" r:id="rId3"/>
          <a:extLst>
            <a:ext uri="{FF2B5EF4-FFF2-40B4-BE49-F238E27FC236}">
              <a16:creationId xmlns:a16="http://schemas.microsoft.com/office/drawing/2014/main" id="{1039E381-5E1D-4E4B-8553-48497ABE25B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964881" y="153469"/>
          <a:ext cx="265565" cy="276424"/>
        </a:xfrm>
        <a:prstGeom prst="rect">
          <a:avLst/>
        </a:prstGeom>
      </xdr:spPr>
    </xdr:pic>
    <xdr:clientData/>
  </xdr:twoCellAnchor>
  <xdr:twoCellAnchor editAs="absolute">
    <xdr:from>
      <xdr:col>11</xdr:col>
      <xdr:colOff>49104</xdr:colOff>
      <xdr:row>0</xdr:row>
      <xdr:rowOff>152516</xdr:rowOff>
    </xdr:from>
    <xdr:to>
      <xdr:col>11</xdr:col>
      <xdr:colOff>334861</xdr:colOff>
      <xdr:row>0</xdr:row>
      <xdr:rowOff>427878</xdr:rowOff>
    </xdr:to>
    <xdr:pic macro="[0]!Navigate_Info_Sheet">
      <xdr:nvPicPr>
        <xdr:cNvPr id="29" name="Picture 28">
          <a:extLst>
            <a:ext uri="{FF2B5EF4-FFF2-40B4-BE49-F238E27FC236}">
              <a16:creationId xmlns:a16="http://schemas.microsoft.com/office/drawing/2014/main" id="{D32280CF-7CF0-41F1-89D3-658535DE242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410316" y="152516"/>
          <a:ext cx="285750" cy="277482"/>
        </a:xfrm>
        <a:prstGeom prst="rect">
          <a:avLst/>
        </a:prstGeom>
      </xdr:spPr>
    </xdr:pic>
    <xdr:clientData/>
  </xdr:twoCellAnchor>
  <xdr:twoCellAnchor editAs="absolute">
    <xdr:from>
      <xdr:col>0</xdr:col>
      <xdr:colOff>0</xdr:colOff>
      <xdr:row>0</xdr:row>
      <xdr:rowOff>0</xdr:rowOff>
    </xdr:from>
    <xdr:to>
      <xdr:col>0</xdr:col>
      <xdr:colOff>1666893</xdr:colOff>
      <xdr:row>0</xdr:row>
      <xdr:rowOff>560710</xdr:rowOff>
    </xdr:to>
    <xdr:sp macro="" textlink="">
      <xdr:nvSpPr>
        <xdr:cNvPr id="30" name="TextBox 29">
          <a:extLst>
            <a:ext uri="{FF2B5EF4-FFF2-40B4-BE49-F238E27FC236}">
              <a16:creationId xmlns:a16="http://schemas.microsoft.com/office/drawing/2014/main" id="{D54D1AC6-D70A-4482-9862-12E32C1A9020}"/>
            </a:ext>
          </a:extLst>
        </xdr:cNvPr>
        <xdr:cNvSpPr txBox="1">
          <a:spLocks noChangeAspect="1"/>
        </xdr:cNvSpPr>
      </xdr:nvSpPr>
      <xdr:spPr>
        <a:xfrm>
          <a:off x="0" y="0"/>
          <a:ext cx="1664773" cy="562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151379</xdr:colOff>
      <xdr:row>1</xdr:row>
      <xdr:rowOff>103718</xdr:rowOff>
    </xdr:from>
    <xdr:to>
      <xdr:col>16</xdr:col>
      <xdr:colOff>257175</xdr:colOff>
      <xdr:row>3</xdr:row>
      <xdr:rowOff>19122</xdr:rowOff>
    </xdr:to>
    <xdr:sp macro="[0]!Lender_Report_Show_Hide_Loan_Page" textlink="">
      <xdr:nvSpPr>
        <xdr:cNvPr id="59" name="TextBox 58">
          <a:extLst>
            <a:ext uri="{FF2B5EF4-FFF2-40B4-BE49-F238E27FC236}">
              <a16:creationId xmlns:a16="http://schemas.microsoft.com/office/drawing/2014/main" id="{E737CE21-FA72-4056-8801-0205FD3F2738}"/>
            </a:ext>
          </a:extLst>
        </xdr:cNvPr>
        <xdr:cNvSpPr txBox="1"/>
      </xdr:nvSpPr>
      <xdr:spPr>
        <a:xfrm>
          <a:off x="8533379" y="675218"/>
          <a:ext cx="620146" cy="391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baseline="0">
              <a:solidFill>
                <a:schemeClr val="tx1">
                  <a:lumMod val="75000"/>
                  <a:lumOff val="25000"/>
                </a:schemeClr>
              </a:solidFill>
              <a:latin typeface="Calibri Light" panose="020F0302020204030204" pitchFamily="34" charset="0"/>
            </a:rPr>
            <a:t>Loan</a:t>
          </a:r>
        </a:p>
      </xdr:txBody>
    </xdr:sp>
    <xdr:clientData/>
  </xdr:twoCellAnchor>
  <xdr:twoCellAnchor>
    <xdr:from>
      <xdr:col>11</xdr:col>
      <xdr:colOff>200025</xdr:colOff>
      <xdr:row>139</xdr:row>
      <xdr:rowOff>302683</xdr:rowOff>
    </xdr:from>
    <xdr:to>
      <xdr:col>14</xdr:col>
      <xdr:colOff>103762</xdr:colOff>
      <xdr:row>140</xdr:row>
      <xdr:rowOff>296333</xdr:rowOff>
    </xdr:to>
    <xdr:sp macro="[0]!Navigate_Financing_Sheet" textlink="">
      <xdr:nvSpPr>
        <xdr:cNvPr id="64" name="TextBox 63">
          <a:extLst>
            <a:ext uri="{FF2B5EF4-FFF2-40B4-BE49-F238E27FC236}">
              <a16:creationId xmlns:a16="http://schemas.microsoft.com/office/drawing/2014/main" id="{1D1DDD17-A613-417B-98DA-45B82BE4E9E0}"/>
            </a:ext>
          </a:extLst>
        </xdr:cNvPr>
        <xdr:cNvSpPr txBox="1"/>
      </xdr:nvSpPr>
      <xdr:spPr>
        <a:xfrm>
          <a:off x="6524625" y="42079333"/>
          <a:ext cx="1446787" cy="307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Financing</a:t>
          </a:r>
          <a:endParaRPr lang="en-US" sz="1100" b="0" i="1" u="sng">
            <a:solidFill>
              <a:srgbClr val="289FE8"/>
            </a:solidFill>
            <a:latin typeface="Calibri Light" panose="020F0302020204030204" pitchFamily="34" charset="0"/>
          </a:endParaRPr>
        </a:p>
      </xdr:txBody>
    </xdr:sp>
    <xdr:clientData fPrintsWithSheet="0"/>
  </xdr:twoCellAnchor>
  <xdr:twoCellAnchor>
    <xdr:from>
      <xdr:col>18</xdr:col>
      <xdr:colOff>247088</xdr:colOff>
      <xdr:row>1</xdr:row>
      <xdr:rowOff>160057</xdr:rowOff>
    </xdr:from>
    <xdr:to>
      <xdr:col>18</xdr:col>
      <xdr:colOff>512568</xdr:colOff>
      <xdr:row>2</xdr:row>
      <xdr:rowOff>245870</xdr:rowOff>
    </xdr:to>
    <xdr:sp macro="[0]!Lender_Report_Show_Hide_Comps_Page" textlink="">
      <xdr:nvSpPr>
        <xdr:cNvPr id="2" name="Rectangle 1">
          <a:extLst>
            <a:ext uri="{FF2B5EF4-FFF2-40B4-BE49-F238E27FC236}">
              <a16:creationId xmlns:a16="http://schemas.microsoft.com/office/drawing/2014/main" id="{3DDBC033-36C4-4762-A3B8-214DB1C9B80F}"/>
            </a:ext>
          </a:extLst>
        </xdr:cNvPr>
        <xdr:cNvSpPr/>
      </xdr:nvSpPr>
      <xdr:spPr>
        <a:xfrm>
          <a:off x="10172138" y="731557"/>
          <a:ext cx="265480" cy="276313"/>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14</xdr:col>
      <xdr:colOff>363195</xdr:colOff>
      <xdr:row>1</xdr:row>
      <xdr:rowOff>161925</xdr:rowOff>
    </xdr:from>
    <xdr:to>
      <xdr:col>15</xdr:col>
      <xdr:colOff>115446</xdr:colOff>
      <xdr:row>2</xdr:row>
      <xdr:rowOff>248796</xdr:rowOff>
    </xdr:to>
    <xdr:sp macro="[0]!Lender_Report_Show_Hide_Equity_Page" textlink="">
      <xdr:nvSpPr>
        <xdr:cNvPr id="3" name="Rectangle 2">
          <a:extLst>
            <a:ext uri="{FF2B5EF4-FFF2-40B4-BE49-F238E27FC236}">
              <a16:creationId xmlns:a16="http://schemas.microsoft.com/office/drawing/2014/main" id="{74FFC071-5966-4DCA-B055-77C802E4C3BF}"/>
            </a:ext>
          </a:extLst>
        </xdr:cNvPr>
        <xdr:cNvSpPr/>
      </xdr:nvSpPr>
      <xdr:spPr>
        <a:xfrm>
          <a:off x="8230845" y="733425"/>
          <a:ext cx="266601" cy="277371"/>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76995</xdr:colOff>
      <xdr:row>1</xdr:row>
      <xdr:rowOff>94614</xdr:rowOff>
    </xdr:from>
    <xdr:to>
      <xdr:col>14</xdr:col>
      <xdr:colOff>352425</xdr:colOff>
      <xdr:row>3</xdr:row>
      <xdr:rowOff>11081</xdr:rowOff>
    </xdr:to>
    <xdr:sp macro="[0]!Lender_Report_Show_Hide_Summary_Page" textlink="">
      <xdr:nvSpPr>
        <xdr:cNvPr id="4" name="TextBox 3">
          <a:extLst>
            <a:ext uri="{FF2B5EF4-FFF2-40B4-BE49-F238E27FC236}">
              <a16:creationId xmlns:a16="http://schemas.microsoft.com/office/drawing/2014/main" id="{642B5262-7C2A-4FC2-9329-6926F0C6348C}"/>
            </a:ext>
          </a:extLst>
        </xdr:cNvPr>
        <xdr:cNvSpPr txBox="1"/>
      </xdr:nvSpPr>
      <xdr:spPr>
        <a:xfrm>
          <a:off x="7430295" y="666114"/>
          <a:ext cx="789780" cy="392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baseline="0">
              <a:solidFill>
                <a:schemeClr val="tx1">
                  <a:lumMod val="75000"/>
                  <a:lumOff val="25000"/>
                </a:schemeClr>
              </a:solidFill>
              <a:latin typeface="Calibri Light" panose="020F0302020204030204" pitchFamily="34" charset="0"/>
            </a:rPr>
            <a:t>Summary</a:t>
          </a:r>
          <a:endParaRPr lang="en-US" sz="1200" b="0" i="1">
            <a:solidFill>
              <a:schemeClr val="tx1">
                <a:lumMod val="75000"/>
                <a:lumOff val="25000"/>
              </a:schemeClr>
            </a:solidFill>
            <a:latin typeface="Calibri Light" panose="020F0302020204030204" pitchFamily="34" charset="0"/>
          </a:endParaRPr>
        </a:p>
      </xdr:txBody>
    </xdr:sp>
    <xdr:clientData/>
  </xdr:twoCellAnchor>
  <xdr:twoCellAnchor>
    <xdr:from>
      <xdr:col>11</xdr:col>
      <xdr:colOff>219052</xdr:colOff>
      <xdr:row>1</xdr:row>
      <xdr:rowOff>95674</xdr:rowOff>
    </xdr:from>
    <xdr:to>
      <xdr:col>12</xdr:col>
      <xdr:colOff>313267</xdr:colOff>
      <xdr:row>3</xdr:row>
      <xdr:rowOff>11080</xdr:rowOff>
    </xdr:to>
    <xdr:sp macro="[0]!Lender_Report_Show_Hide_Cover_Page" textlink="">
      <xdr:nvSpPr>
        <xdr:cNvPr id="5" name="TextBox 4">
          <a:extLst>
            <a:ext uri="{FF2B5EF4-FFF2-40B4-BE49-F238E27FC236}">
              <a16:creationId xmlns:a16="http://schemas.microsoft.com/office/drawing/2014/main" id="{732F9A9C-B8F6-4B8D-9E39-C45924718C7A}"/>
            </a:ext>
          </a:extLst>
        </xdr:cNvPr>
        <xdr:cNvSpPr txBox="1"/>
      </xdr:nvSpPr>
      <xdr:spPr>
        <a:xfrm>
          <a:off x="6543652" y="667174"/>
          <a:ext cx="608565" cy="391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chemeClr val="tx1">
                  <a:lumMod val="75000"/>
                  <a:lumOff val="25000"/>
                </a:schemeClr>
              </a:solidFill>
              <a:latin typeface="Calibri Light" panose="020F0302020204030204" pitchFamily="34" charset="0"/>
            </a:rPr>
            <a:t>Cover</a:t>
          </a:r>
          <a:r>
            <a:rPr lang="en-US" sz="1200" b="0" i="1" baseline="0">
              <a:solidFill>
                <a:schemeClr val="tx1">
                  <a:lumMod val="75000"/>
                  <a:lumOff val="25000"/>
                </a:schemeClr>
              </a:solidFill>
              <a:latin typeface="Calibri Light" panose="020F0302020204030204" pitchFamily="34" charset="0"/>
            </a:rPr>
            <a:t> </a:t>
          </a:r>
          <a:endParaRPr lang="en-US" sz="1200" b="0" i="1">
            <a:solidFill>
              <a:schemeClr val="tx1">
                <a:lumMod val="75000"/>
                <a:lumOff val="25000"/>
              </a:schemeClr>
            </a:solidFill>
            <a:latin typeface="Calibri Light" panose="020F0302020204030204" pitchFamily="34" charset="0"/>
          </a:endParaRPr>
        </a:p>
      </xdr:txBody>
    </xdr:sp>
    <xdr:clientData/>
  </xdr:twoCellAnchor>
  <xdr:twoCellAnchor>
    <xdr:from>
      <xdr:col>10</xdr:col>
      <xdr:colOff>486833</xdr:colOff>
      <xdr:row>1</xdr:row>
      <xdr:rowOff>152824</xdr:rowOff>
    </xdr:from>
    <xdr:to>
      <xdr:col>11</xdr:col>
      <xdr:colOff>236967</xdr:colOff>
      <xdr:row>2</xdr:row>
      <xdr:rowOff>230169</xdr:rowOff>
    </xdr:to>
    <xdr:sp macro="[0]!Lender_Report_Show_Hide_Cover_Page" textlink="">
      <xdr:nvSpPr>
        <xdr:cNvPr id="6" name="Rectangle 5">
          <a:extLst>
            <a:ext uri="{FF2B5EF4-FFF2-40B4-BE49-F238E27FC236}">
              <a16:creationId xmlns:a16="http://schemas.microsoft.com/office/drawing/2014/main" id="{C62F49CF-D3D8-4A12-BA01-FDA12C642E0C}"/>
            </a:ext>
          </a:extLst>
        </xdr:cNvPr>
        <xdr:cNvSpPr/>
      </xdr:nvSpPr>
      <xdr:spPr>
        <a:xfrm>
          <a:off x="6297083" y="724324"/>
          <a:ext cx="264484" cy="267845"/>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12</xdr:col>
      <xdr:colOff>296445</xdr:colOff>
      <xdr:row>1</xdr:row>
      <xdr:rowOff>160656</xdr:rowOff>
    </xdr:from>
    <xdr:to>
      <xdr:col>13</xdr:col>
      <xdr:colOff>38597</xdr:colOff>
      <xdr:row>2</xdr:row>
      <xdr:rowOff>249642</xdr:rowOff>
    </xdr:to>
    <xdr:sp macro="[0]!Lender_Report_Show_Hide_Summary_Page" textlink="">
      <xdr:nvSpPr>
        <xdr:cNvPr id="7" name="Rectangle 6">
          <a:extLst>
            <a:ext uri="{FF2B5EF4-FFF2-40B4-BE49-F238E27FC236}">
              <a16:creationId xmlns:a16="http://schemas.microsoft.com/office/drawing/2014/main" id="{9470BA1B-30D5-441D-8582-261EC35C6BA3}"/>
            </a:ext>
          </a:extLst>
        </xdr:cNvPr>
        <xdr:cNvSpPr/>
      </xdr:nvSpPr>
      <xdr:spPr>
        <a:xfrm>
          <a:off x="7135395" y="732156"/>
          <a:ext cx="256502" cy="279486"/>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22</xdr:col>
      <xdr:colOff>332976</xdr:colOff>
      <xdr:row>1</xdr:row>
      <xdr:rowOff>152599</xdr:rowOff>
    </xdr:from>
    <xdr:to>
      <xdr:col>23</xdr:col>
      <xdr:colOff>75639</xdr:colOff>
      <xdr:row>2</xdr:row>
      <xdr:rowOff>238413</xdr:rowOff>
    </xdr:to>
    <xdr:sp macro="[0]!Lender_Report_Show_Hide_Photos" textlink="">
      <xdr:nvSpPr>
        <xdr:cNvPr id="8" name="Rectangle 7">
          <a:extLst>
            <a:ext uri="{FF2B5EF4-FFF2-40B4-BE49-F238E27FC236}">
              <a16:creationId xmlns:a16="http://schemas.microsoft.com/office/drawing/2014/main" id="{74381290-F0E9-41AE-BBFF-4143DF53B4CB}"/>
            </a:ext>
          </a:extLst>
        </xdr:cNvPr>
        <xdr:cNvSpPr/>
      </xdr:nvSpPr>
      <xdr:spPr>
        <a:xfrm>
          <a:off x="12315426" y="724099"/>
          <a:ext cx="257013" cy="276314"/>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25</xdr:col>
      <xdr:colOff>19051</xdr:colOff>
      <xdr:row>283</xdr:row>
      <xdr:rowOff>70485</xdr:rowOff>
    </xdr:from>
    <xdr:to>
      <xdr:col>28</xdr:col>
      <xdr:colOff>104776</xdr:colOff>
      <xdr:row>286</xdr:row>
      <xdr:rowOff>93345</xdr:rowOff>
    </xdr:to>
    <xdr:sp macro="" textlink="">
      <xdr:nvSpPr>
        <xdr:cNvPr id="9" name="Line Callout 1 33">
          <a:extLst>
            <a:ext uri="{FF2B5EF4-FFF2-40B4-BE49-F238E27FC236}">
              <a16:creationId xmlns:a16="http://schemas.microsoft.com/office/drawing/2014/main" id="{FD13A84E-162F-4376-A2E4-3EA9F49EF568}"/>
            </a:ext>
          </a:extLst>
        </xdr:cNvPr>
        <xdr:cNvSpPr/>
      </xdr:nvSpPr>
      <xdr:spPr>
        <a:xfrm>
          <a:off x="13485284" y="59253543"/>
          <a:ext cx="1334559" cy="706544"/>
        </a:xfrm>
        <a:prstGeom prst="borderCallout1">
          <a:avLst>
            <a:gd name="adj1" fmla="val 52083"/>
            <a:gd name="adj2" fmla="val -7724"/>
            <a:gd name="adj3" fmla="val 48716"/>
            <a:gd name="adj4" fmla="val -55810"/>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050">
              <a:solidFill>
                <a:schemeClr val="dk1"/>
              </a:solidFill>
              <a:latin typeface="Calibri Light" panose="020F0302020204030204" pitchFamily="34" charset="0"/>
              <a:ea typeface="+mn-ea"/>
              <a:cs typeface="+mn-cs"/>
            </a:rPr>
            <a:t>Insert property photos here</a:t>
          </a:r>
        </a:p>
      </xdr:txBody>
    </xdr:sp>
    <xdr:clientData fPrintsWithSheet="0"/>
  </xdr:twoCellAnchor>
  <xdr:twoCellAnchor>
    <xdr:from>
      <xdr:col>25</xdr:col>
      <xdr:colOff>26669</xdr:colOff>
      <xdr:row>288</xdr:row>
      <xdr:rowOff>163830</xdr:rowOff>
    </xdr:from>
    <xdr:to>
      <xdr:col>28</xdr:col>
      <xdr:colOff>66675</xdr:colOff>
      <xdr:row>290</xdr:row>
      <xdr:rowOff>186690</xdr:rowOff>
    </xdr:to>
    <xdr:sp macro="" textlink="">
      <xdr:nvSpPr>
        <xdr:cNvPr id="10" name="Line Callout 1 36">
          <a:extLst>
            <a:ext uri="{FF2B5EF4-FFF2-40B4-BE49-F238E27FC236}">
              <a16:creationId xmlns:a16="http://schemas.microsoft.com/office/drawing/2014/main" id="{D9FEB52E-87E4-4EA5-8949-E8DCA4603F7C}"/>
            </a:ext>
          </a:extLst>
        </xdr:cNvPr>
        <xdr:cNvSpPr/>
      </xdr:nvSpPr>
      <xdr:spPr>
        <a:xfrm>
          <a:off x="13498194" y="60482480"/>
          <a:ext cx="1283548" cy="487468"/>
        </a:xfrm>
        <a:prstGeom prst="borderCallout1">
          <a:avLst>
            <a:gd name="adj1" fmla="val 52083"/>
            <a:gd name="adj2" fmla="val -7724"/>
            <a:gd name="adj3" fmla="val 48716"/>
            <a:gd name="adj4" fmla="val -51661"/>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050">
              <a:solidFill>
                <a:schemeClr val="dk1"/>
              </a:solidFill>
              <a:latin typeface="Calibri Light" panose="020F0302020204030204" pitchFamily="34" charset="0"/>
              <a:ea typeface="+mn-ea"/>
              <a:cs typeface="+mn-cs"/>
            </a:rPr>
            <a:t>Input a brief caption for each photo</a:t>
          </a:r>
        </a:p>
      </xdr:txBody>
    </xdr:sp>
    <xdr:clientData fPrintsWithSheet="0"/>
  </xdr:twoCellAnchor>
  <xdr:twoCellAnchor>
    <xdr:from>
      <xdr:col>2</xdr:col>
      <xdr:colOff>365760</xdr:colOff>
      <xdr:row>23</xdr:row>
      <xdr:rowOff>68580</xdr:rowOff>
    </xdr:from>
    <xdr:to>
      <xdr:col>5</xdr:col>
      <xdr:colOff>243840</xdr:colOff>
      <xdr:row>26</xdr:row>
      <xdr:rowOff>114300</xdr:rowOff>
    </xdr:to>
    <xdr:sp macro="" textlink="">
      <xdr:nvSpPr>
        <xdr:cNvPr id="11" name="Line Callout 1 38">
          <a:extLst>
            <a:ext uri="{FF2B5EF4-FFF2-40B4-BE49-F238E27FC236}">
              <a16:creationId xmlns:a16="http://schemas.microsoft.com/office/drawing/2014/main" id="{049B259D-0FF2-418E-BD51-13190890EAEE}"/>
            </a:ext>
          </a:extLst>
        </xdr:cNvPr>
        <xdr:cNvSpPr/>
      </xdr:nvSpPr>
      <xdr:spPr>
        <a:xfrm>
          <a:off x="2201968" y="6915997"/>
          <a:ext cx="1396789" cy="904028"/>
        </a:xfrm>
        <a:prstGeom prst="borderCallout1">
          <a:avLst>
            <a:gd name="adj1" fmla="val 46750"/>
            <a:gd name="adj2" fmla="val 107520"/>
            <a:gd name="adj3" fmla="val 40715"/>
            <a:gd name="adj4" fmla="val 213496"/>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050">
              <a:latin typeface="Calibri Light" panose="020F0302020204030204" pitchFamily="34" charset="0"/>
            </a:rPr>
            <a:t>Property Info pulled</a:t>
          </a:r>
          <a:r>
            <a:rPr lang="en-US" sz="1050" baseline="0">
              <a:latin typeface="Calibri Light" panose="020F0302020204030204" pitchFamily="34" charset="0"/>
            </a:rPr>
            <a:t> from Info Sheet</a:t>
          </a:r>
          <a:endParaRPr lang="en-US" sz="1050">
            <a:latin typeface="Calibri Light" panose="020F0302020204030204" pitchFamily="34" charset="0"/>
          </a:endParaRPr>
        </a:p>
      </xdr:txBody>
    </xdr:sp>
    <xdr:clientData fPrintsWithSheet="0"/>
  </xdr:twoCellAnchor>
  <xdr:twoCellAnchor>
    <xdr:from>
      <xdr:col>2</xdr:col>
      <xdr:colOff>388620</xdr:colOff>
      <xdr:row>37</xdr:row>
      <xdr:rowOff>190500</xdr:rowOff>
    </xdr:from>
    <xdr:to>
      <xdr:col>5</xdr:col>
      <xdr:colOff>266700</xdr:colOff>
      <xdr:row>41</xdr:row>
      <xdr:rowOff>15240</xdr:rowOff>
    </xdr:to>
    <xdr:sp macro="" textlink="">
      <xdr:nvSpPr>
        <xdr:cNvPr id="12" name="Line Callout 1 39">
          <a:extLst>
            <a:ext uri="{FF2B5EF4-FFF2-40B4-BE49-F238E27FC236}">
              <a16:creationId xmlns:a16="http://schemas.microsoft.com/office/drawing/2014/main" id="{314C3B21-14D3-4AA8-84D5-AF2321764708}"/>
            </a:ext>
          </a:extLst>
        </xdr:cNvPr>
        <xdr:cNvSpPr/>
      </xdr:nvSpPr>
      <xdr:spPr>
        <a:xfrm>
          <a:off x="2228003" y="11039475"/>
          <a:ext cx="1391497" cy="969857"/>
        </a:xfrm>
        <a:prstGeom prst="borderCallout1">
          <a:avLst>
            <a:gd name="adj1" fmla="val 46750"/>
            <a:gd name="adj2" fmla="val 107520"/>
            <a:gd name="adj3" fmla="val 40715"/>
            <a:gd name="adj4" fmla="val 213496"/>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050">
              <a:solidFill>
                <a:schemeClr val="dk1"/>
              </a:solidFill>
              <a:latin typeface="Calibri Light" panose="020F0302020204030204" pitchFamily="34" charset="0"/>
              <a:ea typeface="+mn-ea"/>
              <a:cs typeface="+mn-cs"/>
            </a:rPr>
            <a:t>Company Info pulled from Info Sheet</a:t>
          </a:r>
        </a:p>
      </xdr:txBody>
    </xdr:sp>
    <xdr:clientData fPrintsWithSheet="0"/>
  </xdr:twoCellAnchor>
  <xdr:twoCellAnchor>
    <xdr:from>
      <xdr:col>8</xdr:col>
      <xdr:colOff>190500</xdr:colOff>
      <xdr:row>1</xdr:row>
      <xdr:rowOff>134198</xdr:rowOff>
    </xdr:from>
    <xdr:to>
      <xdr:col>10</xdr:col>
      <xdr:colOff>486834</xdr:colOff>
      <xdr:row>2</xdr:row>
      <xdr:rowOff>275167</xdr:rowOff>
    </xdr:to>
    <xdr:sp macro="" textlink="">
      <xdr:nvSpPr>
        <xdr:cNvPr id="13" name="TextBox 12">
          <a:extLst>
            <a:ext uri="{FF2B5EF4-FFF2-40B4-BE49-F238E27FC236}">
              <a16:creationId xmlns:a16="http://schemas.microsoft.com/office/drawing/2014/main" id="{B744D720-52B7-4856-BC41-1342EA1254CF}"/>
            </a:ext>
          </a:extLst>
        </xdr:cNvPr>
        <xdr:cNvSpPr txBox="1"/>
      </xdr:nvSpPr>
      <xdr:spPr>
        <a:xfrm>
          <a:off x="4972050" y="705698"/>
          <a:ext cx="1325034" cy="331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100" b="0" i="1" baseline="0">
              <a:solidFill>
                <a:schemeClr val="tx1">
                  <a:lumMod val="75000"/>
                  <a:lumOff val="25000"/>
                </a:schemeClr>
              </a:solidFill>
              <a:latin typeface="Calibri Light" panose="020F0302020204030204" pitchFamily="34" charset="0"/>
            </a:rPr>
            <a:t>Select Pages Shown:</a:t>
          </a:r>
          <a:endParaRPr lang="en-US" sz="1100" b="0" i="1">
            <a:solidFill>
              <a:schemeClr val="tx1">
                <a:lumMod val="75000"/>
                <a:lumOff val="25000"/>
              </a:schemeClr>
            </a:solidFill>
            <a:latin typeface="Calibri Light" panose="020F0302020204030204" pitchFamily="34" charset="0"/>
          </a:endParaRPr>
        </a:p>
      </xdr:txBody>
    </xdr:sp>
    <xdr:clientData/>
  </xdr:twoCellAnchor>
  <xdr:twoCellAnchor>
    <xdr:from>
      <xdr:col>10</xdr:col>
      <xdr:colOff>477308</xdr:colOff>
      <xdr:row>1</xdr:row>
      <xdr:rowOff>161502</xdr:rowOff>
    </xdr:from>
    <xdr:to>
      <xdr:col>11</xdr:col>
      <xdr:colOff>237176</xdr:colOff>
      <xdr:row>2</xdr:row>
      <xdr:rowOff>249432</xdr:rowOff>
    </xdr:to>
    <xdr:pic macro="[0]!Lender_Report_Show_Hide_Cover_Page">
      <xdr:nvPicPr>
        <xdr:cNvPr id="14" name="Lender_Report_Cover_Check">
          <a:extLst>
            <a:ext uri="{FF2B5EF4-FFF2-40B4-BE49-F238E27FC236}">
              <a16:creationId xmlns:a16="http://schemas.microsoft.com/office/drawing/2014/main" id="{683FBCAF-1635-4277-8BDC-A5EE66C561A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287558" y="733002"/>
          <a:ext cx="274218" cy="278430"/>
        </a:xfrm>
        <a:prstGeom prst="rect">
          <a:avLst/>
        </a:prstGeom>
      </xdr:spPr>
    </xdr:pic>
    <xdr:clientData/>
  </xdr:twoCellAnchor>
  <xdr:twoCellAnchor>
    <xdr:from>
      <xdr:col>12</xdr:col>
      <xdr:colOff>295598</xdr:colOff>
      <xdr:row>1</xdr:row>
      <xdr:rowOff>169334</xdr:rowOff>
    </xdr:from>
    <xdr:to>
      <xdr:col>13</xdr:col>
      <xdr:colOff>65476</xdr:colOff>
      <xdr:row>2</xdr:row>
      <xdr:rowOff>246680</xdr:rowOff>
    </xdr:to>
    <xdr:pic macro="[0]!Lender_Report_Show_Hide_Summary_Page">
      <xdr:nvPicPr>
        <xdr:cNvPr id="15" name="Lender_Report_Summary_Check">
          <a:extLst>
            <a:ext uri="{FF2B5EF4-FFF2-40B4-BE49-F238E27FC236}">
              <a16:creationId xmlns:a16="http://schemas.microsoft.com/office/drawing/2014/main" id="{B739479F-6024-46D2-B400-10556318515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134548" y="740834"/>
          <a:ext cx="284228" cy="267846"/>
        </a:xfrm>
        <a:prstGeom prst="rect">
          <a:avLst/>
        </a:prstGeom>
      </xdr:spPr>
    </xdr:pic>
    <xdr:clientData/>
  </xdr:twoCellAnchor>
  <xdr:twoCellAnchor>
    <xdr:from>
      <xdr:col>23</xdr:col>
      <xdr:colOff>96382</xdr:colOff>
      <xdr:row>1</xdr:row>
      <xdr:rowOff>95897</xdr:rowOff>
    </xdr:from>
    <xdr:to>
      <xdr:col>24</xdr:col>
      <xdr:colOff>409575</xdr:colOff>
      <xdr:row>3</xdr:row>
      <xdr:rowOff>8131</xdr:rowOff>
    </xdr:to>
    <xdr:sp macro="[0]!Lender_Report_Show_Hide_Photos" textlink="">
      <xdr:nvSpPr>
        <xdr:cNvPr id="16" name="TextBox 15">
          <a:extLst>
            <a:ext uri="{FF2B5EF4-FFF2-40B4-BE49-F238E27FC236}">
              <a16:creationId xmlns:a16="http://schemas.microsoft.com/office/drawing/2014/main" id="{25142573-F6D3-4645-B6BE-62909A6A0188}"/>
            </a:ext>
          </a:extLst>
        </xdr:cNvPr>
        <xdr:cNvSpPr txBox="1"/>
      </xdr:nvSpPr>
      <xdr:spPr>
        <a:xfrm>
          <a:off x="12593182" y="667397"/>
          <a:ext cx="827543" cy="388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chemeClr val="tx1">
                  <a:lumMod val="75000"/>
                  <a:lumOff val="25000"/>
                </a:schemeClr>
              </a:solidFill>
              <a:latin typeface="Calibri Light" panose="020F0302020204030204" pitchFamily="34" charset="0"/>
            </a:rPr>
            <a:t>Photos</a:t>
          </a:r>
        </a:p>
      </xdr:txBody>
    </xdr:sp>
    <xdr:clientData/>
  </xdr:twoCellAnchor>
  <xdr:twoCellAnchor>
    <xdr:from>
      <xdr:col>19</xdr:col>
      <xdr:colOff>461157</xdr:colOff>
      <xdr:row>1</xdr:row>
      <xdr:rowOff>174377</xdr:rowOff>
    </xdr:from>
    <xdr:to>
      <xdr:col>20</xdr:col>
      <xdr:colOff>222020</xdr:colOff>
      <xdr:row>2</xdr:row>
      <xdr:rowOff>262305</xdr:rowOff>
    </xdr:to>
    <xdr:pic macro="[0]!Investment_Report_Show_Hide_Photos">
      <xdr:nvPicPr>
        <xdr:cNvPr id="17" name="Investment_Report_Photos_Check" hidden="1">
          <a:extLst>
            <a:ext uri="{FF2B5EF4-FFF2-40B4-BE49-F238E27FC236}">
              <a16:creationId xmlns:a16="http://schemas.microsoft.com/office/drawing/2014/main" id="{8302D6C3-52B1-4D91-9D64-7D377AC5C87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896324" y="743760"/>
          <a:ext cx="278388" cy="284778"/>
        </a:xfrm>
        <a:prstGeom prst="rect">
          <a:avLst/>
        </a:prstGeom>
      </xdr:spPr>
    </xdr:pic>
    <xdr:clientData/>
  </xdr:twoCellAnchor>
  <xdr:twoCellAnchor>
    <xdr:from>
      <xdr:col>22</xdr:col>
      <xdr:colOff>236220</xdr:colOff>
      <xdr:row>5</xdr:row>
      <xdr:rowOff>0</xdr:rowOff>
    </xdr:from>
    <xdr:to>
      <xdr:col>23</xdr:col>
      <xdr:colOff>0</xdr:colOff>
      <xdr:row>6</xdr:row>
      <xdr:rowOff>45720</xdr:rowOff>
    </xdr:to>
    <xdr:pic macro="[0]!Hide_Investment_Report_Help">
      <xdr:nvPicPr>
        <xdr:cNvPr id="19" name="Getting_Started_Close_Icon">
          <a:extLst>
            <a:ext uri="{FF2B5EF4-FFF2-40B4-BE49-F238E27FC236}">
              <a16:creationId xmlns:a16="http://schemas.microsoft.com/office/drawing/2014/main" id="{5726AD83-AD6E-4412-8F62-BA77878D869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2219728" y="1343025"/>
          <a:ext cx="277072" cy="313478"/>
        </a:xfrm>
        <a:prstGeom prst="rect">
          <a:avLst/>
        </a:prstGeom>
      </xdr:spPr>
    </xdr:pic>
    <xdr:clientData/>
  </xdr:twoCellAnchor>
  <xdr:twoCellAnchor>
    <xdr:from>
      <xdr:col>6</xdr:col>
      <xdr:colOff>1905</xdr:colOff>
      <xdr:row>2</xdr:row>
      <xdr:rowOff>67734</xdr:rowOff>
    </xdr:from>
    <xdr:to>
      <xdr:col>8</xdr:col>
      <xdr:colOff>477143</xdr:colOff>
      <xdr:row>3</xdr:row>
      <xdr:rowOff>84668</xdr:rowOff>
    </xdr:to>
    <xdr:sp macro="[0]!Navigate_Rehab_Analyzer" textlink="">
      <xdr:nvSpPr>
        <xdr:cNvPr id="30" name="TextBox 29">
          <a:extLst>
            <a:ext uri="{FF2B5EF4-FFF2-40B4-BE49-F238E27FC236}">
              <a16:creationId xmlns:a16="http://schemas.microsoft.com/office/drawing/2014/main" id="{E1C56DF8-5A38-4466-9FF9-25317FA90546}"/>
            </a:ext>
          </a:extLst>
        </xdr:cNvPr>
        <xdr:cNvSpPr txBox="1"/>
      </xdr:nvSpPr>
      <xdr:spPr>
        <a:xfrm>
          <a:off x="3811905" y="829734"/>
          <a:ext cx="1446788" cy="302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Analysis</a:t>
          </a:r>
          <a:endParaRPr lang="en-US" sz="1100" b="0" i="1" u="sng">
            <a:solidFill>
              <a:srgbClr val="289FE8"/>
            </a:solidFill>
            <a:latin typeface="Calibri Light" panose="020F0302020204030204" pitchFamily="34" charset="0"/>
          </a:endParaRPr>
        </a:p>
      </xdr:txBody>
    </xdr:sp>
    <xdr:clientData/>
  </xdr:twoCellAnchor>
  <xdr:twoCellAnchor>
    <xdr:from>
      <xdr:col>7</xdr:col>
      <xdr:colOff>125728</xdr:colOff>
      <xdr:row>1</xdr:row>
      <xdr:rowOff>38232</xdr:rowOff>
    </xdr:from>
    <xdr:to>
      <xdr:col>7</xdr:col>
      <xdr:colOff>401690</xdr:colOff>
      <xdr:row>2</xdr:row>
      <xdr:rowOff>123693</xdr:rowOff>
    </xdr:to>
    <xdr:pic macro="[0]!Navigate_Rehab_Analyzer">
      <xdr:nvPicPr>
        <xdr:cNvPr id="31" name="Picture 30">
          <a:extLst>
            <a:ext uri="{FF2B5EF4-FFF2-40B4-BE49-F238E27FC236}">
              <a16:creationId xmlns:a16="http://schemas.microsoft.com/office/drawing/2014/main" id="{19A4ED57-6B4B-4288-AE8A-1711209ED7E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392928" y="609732"/>
          <a:ext cx="275962" cy="275961"/>
        </a:xfrm>
        <a:prstGeom prst="rect">
          <a:avLst/>
        </a:prstGeom>
      </xdr:spPr>
    </xdr:pic>
    <xdr:clientData/>
  </xdr:twoCellAnchor>
  <xdr:twoCellAnchor editAs="absolute">
    <xdr:from>
      <xdr:col>22</xdr:col>
      <xdr:colOff>503327</xdr:colOff>
      <xdr:row>0</xdr:row>
      <xdr:rowOff>141772</xdr:rowOff>
    </xdr:from>
    <xdr:to>
      <xdr:col>23</xdr:col>
      <xdr:colOff>275649</xdr:colOff>
      <xdr:row>0</xdr:row>
      <xdr:rowOff>417407</xdr:rowOff>
    </xdr:to>
    <xdr:pic macro="[0]!Hide_Lender_Report">
      <xdr:nvPicPr>
        <xdr:cNvPr id="40" name="Picture 39">
          <a:extLst>
            <a:ext uri="{FF2B5EF4-FFF2-40B4-BE49-F238E27FC236}">
              <a16:creationId xmlns:a16="http://schemas.microsoft.com/office/drawing/2014/main" id="{54E8211F-AC5D-4AFA-BC02-0B3388C73917}"/>
            </a:ext>
          </a:extLst>
        </xdr:cNvPr>
        <xdr:cNvPicPr>
          <a:picLocks noChangeAspect="1"/>
        </xdr:cNvPicPr>
      </xdr:nvPicPr>
      <xdr:blipFill>
        <a:blip xmlns:r="http://schemas.openxmlformats.org/officeDocument/2006/relationships" r:embed="rId4"/>
        <a:stretch>
          <a:fillRect/>
        </a:stretch>
      </xdr:blipFill>
      <xdr:spPr>
        <a:xfrm>
          <a:off x="12485777" y="141772"/>
          <a:ext cx="286672" cy="275635"/>
        </a:xfrm>
        <a:prstGeom prst="rect">
          <a:avLst/>
        </a:prstGeom>
      </xdr:spPr>
    </xdr:pic>
    <xdr:clientData/>
  </xdr:twoCellAnchor>
  <xdr:twoCellAnchor>
    <xdr:from>
      <xdr:col>7</xdr:col>
      <xdr:colOff>78829</xdr:colOff>
      <xdr:row>268</xdr:row>
      <xdr:rowOff>78829</xdr:rowOff>
    </xdr:from>
    <xdr:to>
      <xdr:col>11</xdr:col>
      <xdr:colOff>463519</xdr:colOff>
      <xdr:row>276</xdr:row>
      <xdr:rowOff>136199</xdr:rowOff>
    </xdr:to>
    <xdr:pic>
      <xdr:nvPicPr>
        <xdr:cNvPr id="42" name="Picture 41">
          <a:extLst>
            <a:ext uri="{FF2B5EF4-FFF2-40B4-BE49-F238E27FC236}">
              <a16:creationId xmlns:a16="http://schemas.microsoft.com/office/drawing/2014/main" id="{EDEE5A21-A290-4006-A8E3-B8FFF2096CE6}"/>
            </a:ext>
          </a:extLst>
        </xdr:cNvPr>
        <xdr:cNvPicPr>
          <a:picLocks noChangeAspect="1"/>
        </xdr:cNvPicPr>
      </xdr:nvPicPr>
      <xdr:blipFill>
        <a:blip xmlns:r="http://schemas.openxmlformats.org/officeDocument/2006/relationships" r:embed="rId5"/>
        <a:stretch>
          <a:fillRect/>
        </a:stretch>
      </xdr:blipFill>
      <xdr:spPr>
        <a:xfrm>
          <a:off x="4341796" y="55929196"/>
          <a:ext cx="2446323" cy="1890403"/>
        </a:xfrm>
        <a:prstGeom prst="rect">
          <a:avLst/>
        </a:prstGeom>
      </xdr:spPr>
    </xdr:pic>
    <xdr:clientData/>
  </xdr:twoCellAnchor>
  <xdr:twoCellAnchor>
    <xdr:from>
      <xdr:col>13</xdr:col>
      <xdr:colOff>78828</xdr:colOff>
      <xdr:row>268</xdr:row>
      <xdr:rowOff>78827</xdr:rowOff>
    </xdr:from>
    <xdr:to>
      <xdr:col>17</xdr:col>
      <xdr:colOff>463519</xdr:colOff>
      <xdr:row>276</xdr:row>
      <xdr:rowOff>136197</xdr:rowOff>
    </xdr:to>
    <xdr:pic>
      <xdr:nvPicPr>
        <xdr:cNvPr id="43" name="Picture 42">
          <a:extLst>
            <a:ext uri="{FF2B5EF4-FFF2-40B4-BE49-F238E27FC236}">
              <a16:creationId xmlns:a16="http://schemas.microsoft.com/office/drawing/2014/main" id="{B0493C7F-01D1-4760-8733-EFC8424F64FE}"/>
            </a:ext>
          </a:extLst>
        </xdr:cNvPr>
        <xdr:cNvPicPr>
          <a:picLocks noChangeAspect="1"/>
        </xdr:cNvPicPr>
      </xdr:nvPicPr>
      <xdr:blipFill>
        <a:blip xmlns:r="http://schemas.openxmlformats.org/officeDocument/2006/relationships" r:embed="rId5"/>
        <a:stretch>
          <a:fillRect/>
        </a:stretch>
      </xdr:blipFill>
      <xdr:spPr>
        <a:xfrm>
          <a:off x="7427895" y="55929194"/>
          <a:ext cx="2446324" cy="1890403"/>
        </a:xfrm>
        <a:prstGeom prst="rect">
          <a:avLst/>
        </a:prstGeom>
      </xdr:spPr>
    </xdr:pic>
    <xdr:clientData/>
  </xdr:twoCellAnchor>
  <xdr:twoCellAnchor>
    <xdr:from>
      <xdr:col>19</xdr:col>
      <xdr:colOff>61310</xdr:colOff>
      <xdr:row>268</xdr:row>
      <xdr:rowOff>70069</xdr:rowOff>
    </xdr:from>
    <xdr:to>
      <xdr:col>23</xdr:col>
      <xdr:colOff>448118</xdr:colOff>
      <xdr:row>276</xdr:row>
      <xdr:rowOff>135905</xdr:rowOff>
    </xdr:to>
    <xdr:pic>
      <xdr:nvPicPr>
        <xdr:cNvPr id="44" name="Picture 43">
          <a:extLst>
            <a:ext uri="{FF2B5EF4-FFF2-40B4-BE49-F238E27FC236}">
              <a16:creationId xmlns:a16="http://schemas.microsoft.com/office/drawing/2014/main" id="{2C4CD3E2-CE82-4FD3-8F36-D4DCA6FF1706}"/>
            </a:ext>
          </a:extLst>
        </xdr:cNvPr>
        <xdr:cNvPicPr>
          <a:picLocks noChangeAspect="1"/>
        </xdr:cNvPicPr>
      </xdr:nvPicPr>
      <xdr:blipFill>
        <a:blip xmlns:r="http://schemas.openxmlformats.org/officeDocument/2006/relationships" r:embed="rId5"/>
        <a:stretch>
          <a:fillRect/>
        </a:stretch>
      </xdr:blipFill>
      <xdr:spPr>
        <a:xfrm>
          <a:off x="10498593" y="55928902"/>
          <a:ext cx="2446325" cy="1890403"/>
        </a:xfrm>
        <a:prstGeom prst="rect">
          <a:avLst/>
        </a:prstGeom>
      </xdr:spPr>
    </xdr:pic>
    <xdr:clientData/>
  </xdr:twoCellAnchor>
  <xdr:twoCellAnchor>
    <xdr:from>
      <xdr:col>25</xdr:col>
      <xdr:colOff>19051</xdr:colOff>
      <xdr:row>339</xdr:row>
      <xdr:rowOff>70485</xdr:rowOff>
    </xdr:from>
    <xdr:to>
      <xdr:col>28</xdr:col>
      <xdr:colOff>104776</xdr:colOff>
      <xdr:row>342</xdr:row>
      <xdr:rowOff>93345</xdr:rowOff>
    </xdr:to>
    <xdr:sp macro="" textlink="">
      <xdr:nvSpPr>
        <xdr:cNvPr id="45" name="Line Callout 1 33">
          <a:extLst>
            <a:ext uri="{FF2B5EF4-FFF2-40B4-BE49-F238E27FC236}">
              <a16:creationId xmlns:a16="http://schemas.microsoft.com/office/drawing/2014/main" id="{ADEEF472-95A3-481A-9B92-D6650041513A}"/>
            </a:ext>
          </a:extLst>
        </xdr:cNvPr>
        <xdr:cNvSpPr/>
      </xdr:nvSpPr>
      <xdr:spPr>
        <a:xfrm>
          <a:off x="13485284" y="71159793"/>
          <a:ext cx="1334559" cy="706544"/>
        </a:xfrm>
        <a:prstGeom prst="borderCallout1">
          <a:avLst>
            <a:gd name="adj1" fmla="val 52083"/>
            <a:gd name="adj2" fmla="val -7724"/>
            <a:gd name="adj3" fmla="val 48716"/>
            <a:gd name="adj4" fmla="val -55810"/>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050">
              <a:solidFill>
                <a:schemeClr val="dk1"/>
              </a:solidFill>
              <a:latin typeface="Calibri Light" panose="020F0302020204030204" pitchFamily="34" charset="0"/>
              <a:ea typeface="+mn-ea"/>
              <a:cs typeface="+mn-cs"/>
            </a:rPr>
            <a:t>Insert property photos here</a:t>
          </a:r>
        </a:p>
      </xdr:txBody>
    </xdr:sp>
    <xdr:clientData fPrintsWithSheet="0"/>
  </xdr:twoCellAnchor>
  <xdr:twoCellAnchor>
    <xdr:from>
      <xdr:col>25</xdr:col>
      <xdr:colOff>29844</xdr:colOff>
      <xdr:row>344</xdr:row>
      <xdr:rowOff>160655</xdr:rowOff>
    </xdr:from>
    <xdr:to>
      <xdr:col>28</xdr:col>
      <xdr:colOff>65617</xdr:colOff>
      <xdr:row>348</xdr:row>
      <xdr:rowOff>123265</xdr:rowOff>
    </xdr:to>
    <xdr:sp macro="" textlink="">
      <xdr:nvSpPr>
        <xdr:cNvPr id="46" name="Line Callout 1 36">
          <a:extLst>
            <a:ext uri="{FF2B5EF4-FFF2-40B4-BE49-F238E27FC236}">
              <a16:creationId xmlns:a16="http://schemas.microsoft.com/office/drawing/2014/main" id="{35B0EF87-481C-4F52-8F77-ACACEAE03DC9}"/>
            </a:ext>
          </a:extLst>
        </xdr:cNvPr>
        <xdr:cNvSpPr/>
      </xdr:nvSpPr>
      <xdr:spPr>
        <a:xfrm>
          <a:off x="13497136" y="72389788"/>
          <a:ext cx="1283548" cy="877010"/>
        </a:xfrm>
        <a:prstGeom prst="borderCallout1">
          <a:avLst>
            <a:gd name="adj1" fmla="val 52083"/>
            <a:gd name="adj2" fmla="val -7724"/>
            <a:gd name="adj3" fmla="val 48716"/>
            <a:gd name="adj4" fmla="val -51661"/>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050">
              <a:solidFill>
                <a:schemeClr val="dk1"/>
              </a:solidFill>
              <a:latin typeface="Calibri Light" panose="020F0302020204030204" pitchFamily="34" charset="0"/>
              <a:ea typeface="+mn-ea"/>
              <a:cs typeface="+mn-cs"/>
            </a:rPr>
            <a:t>Input a brief caption for each photo</a:t>
          </a:r>
        </a:p>
      </xdr:txBody>
    </xdr:sp>
    <xdr:clientData fPrintsWithSheet="0"/>
  </xdr:twoCellAnchor>
  <xdr:twoCellAnchor>
    <xdr:from>
      <xdr:col>7</xdr:col>
      <xdr:colOff>78829</xdr:colOff>
      <xdr:row>336</xdr:row>
      <xdr:rowOff>78829</xdr:rowOff>
    </xdr:from>
    <xdr:to>
      <xdr:col>11</xdr:col>
      <xdr:colOff>459037</xdr:colOff>
      <xdr:row>344</xdr:row>
      <xdr:rowOff>172057</xdr:rowOff>
    </xdr:to>
    <xdr:pic>
      <xdr:nvPicPr>
        <xdr:cNvPr id="47" name="Picture 46">
          <a:extLst>
            <a:ext uri="{FF2B5EF4-FFF2-40B4-BE49-F238E27FC236}">
              <a16:creationId xmlns:a16="http://schemas.microsoft.com/office/drawing/2014/main" id="{3151E895-3D48-4C2D-B023-5F26B23A3E96}"/>
            </a:ext>
          </a:extLst>
        </xdr:cNvPr>
        <xdr:cNvPicPr>
          <a:picLocks noChangeAspect="1"/>
        </xdr:cNvPicPr>
      </xdr:nvPicPr>
      <xdr:blipFill>
        <a:blip xmlns:r="http://schemas.openxmlformats.org/officeDocument/2006/relationships" r:embed="rId5"/>
        <a:stretch>
          <a:fillRect/>
        </a:stretch>
      </xdr:blipFill>
      <xdr:spPr>
        <a:xfrm>
          <a:off x="4341796" y="70473871"/>
          <a:ext cx="2441841" cy="1924144"/>
        </a:xfrm>
        <a:prstGeom prst="rect">
          <a:avLst/>
        </a:prstGeom>
      </xdr:spPr>
    </xdr:pic>
    <xdr:clientData/>
  </xdr:twoCellAnchor>
  <xdr:twoCellAnchor>
    <xdr:from>
      <xdr:col>13</xdr:col>
      <xdr:colOff>78828</xdr:colOff>
      <xdr:row>336</xdr:row>
      <xdr:rowOff>78827</xdr:rowOff>
    </xdr:from>
    <xdr:to>
      <xdr:col>17</xdr:col>
      <xdr:colOff>459037</xdr:colOff>
      <xdr:row>344</xdr:row>
      <xdr:rowOff>172055</xdr:rowOff>
    </xdr:to>
    <xdr:pic>
      <xdr:nvPicPr>
        <xdr:cNvPr id="48" name="Picture 47">
          <a:extLst>
            <a:ext uri="{FF2B5EF4-FFF2-40B4-BE49-F238E27FC236}">
              <a16:creationId xmlns:a16="http://schemas.microsoft.com/office/drawing/2014/main" id="{7E9DA760-2AFD-451C-90A6-32E85B208AB3}"/>
            </a:ext>
          </a:extLst>
        </xdr:cNvPr>
        <xdr:cNvPicPr>
          <a:picLocks noChangeAspect="1"/>
        </xdr:cNvPicPr>
      </xdr:nvPicPr>
      <xdr:blipFill>
        <a:blip xmlns:r="http://schemas.openxmlformats.org/officeDocument/2006/relationships" r:embed="rId5"/>
        <a:stretch>
          <a:fillRect/>
        </a:stretch>
      </xdr:blipFill>
      <xdr:spPr>
        <a:xfrm>
          <a:off x="7427895" y="70473869"/>
          <a:ext cx="2441842" cy="1924144"/>
        </a:xfrm>
        <a:prstGeom prst="rect">
          <a:avLst/>
        </a:prstGeom>
      </xdr:spPr>
    </xdr:pic>
    <xdr:clientData/>
  </xdr:twoCellAnchor>
  <xdr:twoCellAnchor>
    <xdr:from>
      <xdr:col>19</xdr:col>
      <xdr:colOff>61310</xdr:colOff>
      <xdr:row>336</xdr:row>
      <xdr:rowOff>70069</xdr:rowOff>
    </xdr:from>
    <xdr:to>
      <xdr:col>23</xdr:col>
      <xdr:colOff>443636</xdr:colOff>
      <xdr:row>344</xdr:row>
      <xdr:rowOff>171763</xdr:rowOff>
    </xdr:to>
    <xdr:pic>
      <xdr:nvPicPr>
        <xdr:cNvPr id="49" name="Picture 48">
          <a:extLst>
            <a:ext uri="{FF2B5EF4-FFF2-40B4-BE49-F238E27FC236}">
              <a16:creationId xmlns:a16="http://schemas.microsoft.com/office/drawing/2014/main" id="{CCC9E13B-310C-444E-80FD-44580458AD2E}"/>
            </a:ext>
          </a:extLst>
        </xdr:cNvPr>
        <xdr:cNvPicPr>
          <a:picLocks noChangeAspect="1"/>
        </xdr:cNvPicPr>
      </xdr:nvPicPr>
      <xdr:blipFill>
        <a:blip xmlns:r="http://schemas.openxmlformats.org/officeDocument/2006/relationships" r:embed="rId5"/>
        <a:stretch>
          <a:fillRect/>
        </a:stretch>
      </xdr:blipFill>
      <xdr:spPr>
        <a:xfrm>
          <a:off x="10498593" y="70473577"/>
          <a:ext cx="2445018" cy="1924144"/>
        </a:xfrm>
        <a:prstGeom prst="rect">
          <a:avLst/>
        </a:prstGeom>
      </xdr:spPr>
    </xdr:pic>
    <xdr:clientData/>
  </xdr:twoCellAnchor>
  <xdr:twoCellAnchor>
    <xdr:from>
      <xdr:col>7</xdr:col>
      <xdr:colOff>52552</xdr:colOff>
      <xdr:row>348</xdr:row>
      <xdr:rowOff>61310</xdr:rowOff>
    </xdr:from>
    <xdr:to>
      <xdr:col>11</xdr:col>
      <xdr:colOff>433818</xdr:colOff>
      <xdr:row>356</xdr:row>
      <xdr:rowOff>156655</xdr:rowOff>
    </xdr:to>
    <xdr:pic>
      <xdr:nvPicPr>
        <xdr:cNvPr id="50" name="Picture 49">
          <a:extLst>
            <a:ext uri="{FF2B5EF4-FFF2-40B4-BE49-F238E27FC236}">
              <a16:creationId xmlns:a16="http://schemas.microsoft.com/office/drawing/2014/main" id="{A4679E55-C71E-4DFA-AD12-06BB009FEE32}"/>
            </a:ext>
          </a:extLst>
        </xdr:cNvPr>
        <xdr:cNvPicPr>
          <a:picLocks noChangeAspect="1"/>
        </xdr:cNvPicPr>
      </xdr:nvPicPr>
      <xdr:blipFill>
        <a:blip xmlns:r="http://schemas.openxmlformats.org/officeDocument/2006/relationships" r:embed="rId5"/>
        <a:stretch>
          <a:fillRect/>
        </a:stretch>
      </xdr:blipFill>
      <xdr:spPr>
        <a:xfrm>
          <a:off x="4316577" y="73201668"/>
          <a:ext cx="2438666" cy="1922029"/>
        </a:xfrm>
        <a:prstGeom prst="rect">
          <a:avLst/>
        </a:prstGeom>
      </xdr:spPr>
    </xdr:pic>
    <xdr:clientData/>
  </xdr:twoCellAnchor>
  <xdr:twoCellAnchor>
    <xdr:from>
      <xdr:col>13</xdr:col>
      <xdr:colOff>70069</xdr:colOff>
      <xdr:row>348</xdr:row>
      <xdr:rowOff>52552</xdr:rowOff>
    </xdr:from>
    <xdr:to>
      <xdr:col>17</xdr:col>
      <xdr:colOff>458744</xdr:colOff>
      <xdr:row>356</xdr:row>
      <xdr:rowOff>146839</xdr:rowOff>
    </xdr:to>
    <xdr:pic>
      <xdr:nvPicPr>
        <xdr:cNvPr id="51" name="Picture 50">
          <a:extLst>
            <a:ext uri="{FF2B5EF4-FFF2-40B4-BE49-F238E27FC236}">
              <a16:creationId xmlns:a16="http://schemas.microsoft.com/office/drawing/2014/main" id="{44846560-1A32-4E09-A1D6-3C786065F74C}"/>
            </a:ext>
          </a:extLst>
        </xdr:cNvPr>
        <xdr:cNvPicPr>
          <a:picLocks noChangeAspect="1"/>
        </xdr:cNvPicPr>
      </xdr:nvPicPr>
      <xdr:blipFill>
        <a:blip xmlns:r="http://schemas.openxmlformats.org/officeDocument/2006/relationships" r:embed="rId5"/>
        <a:stretch>
          <a:fillRect/>
        </a:stretch>
      </xdr:blipFill>
      <xdr:spPr>
        <a:xfrm>
          <a:off x="7427602" y="73191852"/>
          <a:ext cx="2441842" cy="1930495"/>
        </a:xfrm>
        <a:prstGeom prst="rect">
          <a:avLst/>
        </a:prstGeom>
      </xdr:spPr>
    </xdr:pic>
    <xdr:clientData/>
  </xdr:twoCellAnchor>
  <xdr:twoCellAnchor>
    <xdr:from>
      <xdr:col>19</xdr:col>
      <xdr:colOff>78827</xdr:colOff>
      <xdr:row>348</xdr:row>
      <xdr:rowOff>61310</xdr:rowOff>
    </xdr:from>
    <xdr:to>
      <xdr:col>23</xdr:col>
      <xdr:colOff>459037</xdr:colOff>
      <xdr:row>356</xdr:row>
      <xdr:rowOff>156655</xdr:rowOff>
    </xdr:to>
    <xdr:pic>
      <xdr:nvPicPr>
        <xdr:cNvPr id="52" name="Picture 51">
          <a:extLst>
            <a:ext uri="{FF2B5EF4-FFF2-40B4-BE49-F238E27FC236}">
              <a16:creationId xmlns:a16="http://schemas.microsoft.com/office/drawing/2014/main" id="{124CCA48-AD71-410B-80BC-0262E1A50B73}"/>
            </a:ext>
          </a:extLst>
        </xdr:cNvPr>
        <xdr:cNvPicPr>
          <a:picLocks noChangeAspect="1"/>
        </xdr:cNvPicPr>
      </xdr:nvPicPr>
      <xdr:blipFill>
        <a:blip xmlns:r="http://schemas.openxmlformats.org/officeDocument/2006/relationships" r:embed="rId5"/>
        <a:stretch>
          <a:fillRect/>
        </a:stretch>
      </xdr:blipFill>
      <xdr:spPr>
        <a:xfrm>
          <a:off x="10513994" y="73201668"/>
          <a:ext cx="2441843" cy="1922029"/>
        </a:xfrm>
        <a:prstGeom prst="rect">
          <a:avLst/>
        </a:prstGeom>
      </xdr:spPr>
    </xdr:pic>
    <xdr:clientData/>
  </xdr:twoCellAnchor>
  <xdr:twoCellAnchor>
    <xdr:from>
      <xdr:col>7</xdr:col>
      <xdr:colOff>70069</xdr:colOff>
      <xdr:row>360</xdr:row>
      <xdr:rowOff>70069</xdr:rowOff>
    </xdr:from>
    <xdr:to>
      <xdr:col>11</xdr:col>
      <xdr:colOff>458743</xdr:colOff>
      <xdr:row>368</xdr:row>
      <xdr:rowOff>171763</xdr:rowOff>
    </xdr:to>
    <xdr:pic>
      <xdr:nvPicPr>
        <xdr:cNvPr id="53" name="Picture 52">
          <a:extLst>
            <a:ext uri="{FF2B5EF4-FFF2-40B4-BE49-F238E27FC236}">
              <a16:creationId xmlns:a16="http://schemas.microsoft.com/office/drawing/2014/main" id="{4F06B17F-77CF-4DF0-AEDF-C05AB7AC3E65}"/>
            </a:ext>
          </a:extLst>
        </xdr:cNvPr>
        <xdr:cNvPicPr>
          <a:picLocks noChangeAspect="1"/>
        </xdr:cNvPicPr>
      </xdr:nvPicPr>
      <xdr:blipFill>
        <a:blip xmlns:r="http://schemas.openxmlformats.org/officeDocument/2006/relationships" r:embed="rId5"/>
        <a:stretch>
          <a:fillRect/>
        </a:stretch>
      </xdr:blipFill>
      <xdr:spPr>
        <a:xfrm>
          <a:off x="4341502" y="75959977"/>
          <a:ext cx="2441841" cy="1924144"/>
        </a:xfrm>
        <a:prstGeom prst="rect">
          <a:avLst/>
        </a:prstGeom>
      </xdr:spPr>
    </xdr:pic>
    <xdr:clientData/>
  </xdr:twoCellAnchor>
  <xdr:twoCellAnchor>
    <xdr:from>
      <xdr:col>13</xdr:col>
      <xdr:colOff>87586</xdr:colOff>
      <xdr:row>360</xdr:row>
      <xdr:rowOff>61311</xdr:rowOff>
    </xdr:from>
    <xdr:to>
      <xdr:col>17</xdr:col>
      <xdr:colOff>468853</xdr:colOff>
      <xdr:row>368</xdr:row>
      <xdr:rowOff>156655</xdr:rowOff>
    </xdr:to>
    <xdr:pic>
      <xdr:nvPicPr>
        <xdr:cNvPr id="54" name="Picture 53">
          <a:extLst>
            <a:ext uri="{FF2B5EF4-FFF2-40B4-BE49-F238E27FC236}">
              <a16:creationId xmlns:a16="http://schemas.microsoft.com/office/drawing/2014/main" id="{A2FCAFFA-2ADD-4119-B716-118EC91CEBDD}"/>
            </a:ext>
          </a:extLst>
        </xdr:cNvPr>
        <xdr:cNvPicPr>
          <a:picLocks noChangeAspect="1"/>
        </xdr:cNvPicPr>
      </xdr:nvPicPr>
      <xdr:blipFill>
        <a:blip xmlns:r="http://schemas.openxmlformats.org/officeDocument/2006/relationships" r:embed="rId5"/>
        <a:stretch>
          <a:fillRect/>
        </a:stretch>
      </xdr:blipFill>
      <xdr:spPr>
        <a:xfrm>
          <a:off x="7437711" y="75944869"/>
          <a:ext cx="2438667" cy="1922028"/>
        </a:xfrm>
        <a:prstGeom prst="rect">
          <a:avLst/>
        </a:prstGeom>
      </xdr:spPr>
    </xdr:pic>
    <xdr:clientData/>
  </xdr:twoCellAnchor>
  <xdr:twoCellAnchor>
    <xdr:from>
      <xdr:col>19</xdr:col>
      <xdr:colOff>96344</xdr:colOff>
      <xdr:row>360</xdr:row>
      <xdr:rowOff>70069</xdr:rowOff>
    </xdr:from>
    <xdr:to>
      <xdr:col>23</xdr:col>
      <xdr:colOff>478670</xdr:colOff>
      <xdr:row>368</xdr:row>
      <xdr:rowOff>171763</xdr:rowOff>
    </xdr:to>
    <xdr:pic>
      <xdr:nvPicPr>
        <xdr:cNvPr id="55" name="Picture 54">
          <a:extLst>
            <a:ext uri="{FF2B5EF4-FFF2-40B4-BE49-F238E27FC236}">
              <a16:creationId xmlns:a16="http://schemas.microsoft.com/office/drawing/2014/main" id="{64905263-3E3B-4A78-B4B4-E06D2107C1BE}"/>
            </a:ext>
          </a:extLst>
        </xdr:cNvPr>
        <xdr:cNvPicPr>
          <a:picLocks noChangeAspect="1"/>
        </xdr:cNvPicPr>
      </xdr:nvPicPr>
      <xdr:blipFill>
        <a:blip xmlns:r="http://schemas.openxmlformats.org/officeDocument/2006/relationships" r:embed="rId5"/>
        <a:stretch>
          <a:fillRect/>
        </a:stretch>
      </xdr:blipFill>
      <xdr:spPr>
        <a:xfrm>
          <a:off x="10533627" y="75959977"/>
          <a:ext cx="2439726" cy="1924144"/>
        </a:xfrm>
        <a:prstGeom prst="rect">
          <a:avLst/>
        </a:prstGeom>
      </xdr:spPr>
    </xdr:pic>
    <xdr:clientData/>
  </xdr:twoCellAnchor>
  <xdr:twoCellAnchor>
    <xdr:from>
      <xdr:col>7</xdr:col>
      <xdr:colOff>78829</xdr:colOff>
      <xdr:row>324</xdr:row>
      <xdr:rowOff>78829</xdr:rowOff>
    </xdr:from>
    <xdr:to>
      <xdr:col>11</xdr:col>
      <xdr:colOff>459037</xdr:colOff>
      <xdr:row>332</xdr:row>
      <xdr:rowOff>172058</xdr:rowOff>
    </xdr:to>
    <xdr:pic>
      <xdr:nvPicPr>
        <xdr:cNvPr id="56" name="Picture 55">
          <a:extLst>
            <a:ext uri="{FF2B5EF4-FFF2-40B4-BE49-F238E27FC236}">
              <a16:creationId xmlns:a16="http://schemas.microsoft.com/office/drawing/2014/main" id="{68D6EA20-7492-4DB8-90E6-E44C3F22C487}"/>
            </a:ext>
          </a:extLst>
        </xdr:cNvPr>
        <xdr:cNvPicPr>
          <a:picLocks noChangeAspect="1"/>
        </xdr:cNvPicPr>
      </xdr:nvPicPr>
      <xdr:blipFill>
        <a:blip xmlns:r="http://schemas.openxmlformats.org/officeDocument/2006/relationships" r:embed="rId5"/>
        <a:stretch>
          <a:fillRect/>
        </a:stretch>
      </xdr:blipFill>
      <xdr:spPr>
        <a:xfrm>
          <a:off x="4341796" y="67835446"/>
          <a:ext cx="2441841" cy="1924145"/>
        </a:xfrm>
        <a:prstGeom prst="rect">
          <a:avLst/>
        </a:prstGeom>
      </xdr:spPr>
    </xdr:pic>
    <xdr:clientData/>
  </xdr:twoCellAnchor>
  <xdr:twoCellAnchor>
    <xdr:from>
      <xdr:col>13</xdr:col>
      <xdr:colOff>78828</xdr:colOff>
      <xdr:row>324</xdr:row>
      <xdr:rowOff>78827</xdr:rowOff>
    </xdr:from>
    <xdr:to>
      <xdr:col>17</xdr:col>
      <xdr:colOff>459037</xdr:colOff>
      <xdr:row>332</xdr:row>
      <xdr:rowOff>172056</xdr:rowOff>
    </xdr:to>
    <xdr:pic>
      <xdr:nvPicPr>
        <xdr:cNvPr id="57" name="Picture 56">
          <a:extLst>
            <a:ext uri="{FF2B5EF4-FFF2-40B4-BE49-F238E27FC236}">
              <a16:creationId xmlns:a16="http://schemas.microsoft.com/office/drawing/2014/main" id="{59A618D1-BE1D-4746-987F-33988416BCDD}"/>
            </a:ext>
          </a:extLst>
        </xdr:cNvPr>
        <xdr:cNvPicPr>
          <a:picLocks noChangeAspect="1"/>
        </xdr:cNvPicPr>
      </xdr:nvPicPr>
      <xdr:blipFill>
        <a:blip xmlns:r="http://schemas.openxmlformats.org/officeDocument/2006/relationships" r:embed="rId5"/>
        <a:stretch>
          <a:fillRect/>
        </a:stretch>
      </xdr:blipFill>
      <xdr:spPr>
        <a:xfrm>
          <a:off x="7427895" y="67835444"/>
          <a:ext cx="2441842" cy="1924145"/>
        </a:xfrm>
        <a:prstGeom prst="rect">
          <a:avLst/>
        </a:prstGeom>
      </xdr:spPr>
    </xdr:pic>
    <xdr:clientData/>
  </xdr:twoCellAnchor>
  <xdr:twoCellAnchor>
    <xdr:from>
      <xdr:col>19</xdr:col>
      <xdr:colOff>61310</xdr:colOff>
      <xdr:row>324</xdr:row>
      <xdr:rowOff>70069</xdr:rowOff>
    </xdr:from>
    <xdr:to>
      <xdr:col>23</xdr:col>
      <xdr:colOff>443636</xdr:colOff>
      <xdr:row>332</xdr:row>
      <xdr:rowOff>171764</xdr:rowOff>
    </xdr:to>
    <xdr:pic>
      <xdr:nvPicPr>
        <xdr:cNvPr id="58" name="Picture 57">
          <a:extLst>
            <a:ext uri="{FF2B5EF4-FFF2-40B4-BE49-F238E27FC236}">
              <a16:creationId xmlns:a16="http://schemas.microsoft.com/office/drawing/2014/main" id="{0CC15A50-E379-4ADC-BDC5-CA42791D91AB}"/>
            </a:ext>
          </a:extLst>
        </xdr:cNvPr>
        <xdr:cNvPicPr>
          <a:picLocks noChangeAspect="1"/>
        </xdr:cNvPicPr>
      </xdr:nvPicPr>
      <xdr:blipFill>
        <a:blip xmlns:r="http://schemas.openxmlformats.org/officeDocument/2006/relationships" r:embed="rId5"/>
        <a:stretch>
          <a:fillRect/>
        </a:stretch>
      </xdr:blipFill>
      <xdr:spPr>
        <a:xfrm>
          <a:off x="10498593" y="67835152"/>
          <a:ext cx="2445018" cy="1924145"/>
        </a:xfrm>
        <a:prstGeom prst="rect">
          <a:avLst/>
        </a:prstGeom>
      </xdr:spPr>
    </xdr:pic>
    <xdr:clientData/>
  </xdr:twoCellAnchor>
  <xdr:twoCellAnchor>
    <xdr:from>
      <xdr:col>14</xdr:col>
      <xdr:colOff>372720</xdr:colOff>
      <xdr:row>1</xdr:row>
      <xdr:rowOff>171649</xdr:rowOff>
    </xdr:from>
    <xdr:to>
      <xdr:col>15</xdr:col>
      <xdr:colOff>133011</xdr:colOff>
      <xdr:row>2</xdr:row>
      <xdr:rowOff>246879</xdr:rowOff>
    </xdr:to>
    <xdr:pic macro="[0]!Lender_Report_Show_Hide_Loan_Page">
      <xdr:nvPicPr>
        <xdr:cNvPr id="60" name="Lender_Report_Loan_Check">
          <a:extLst>
            <a:ext uri="{FF2B5EF4-FFF2-40B4-BE49-F238E27FC236}">
              <a16:creationId xmlns:a16="http://schemas.microsoft.com/office/drawing/2014/main" id="{75BFC52C-A4EE-488D-B1DA-9C89CFC3D31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240370" y="743149"/>
          <a:ext cx="274641" cy="265730"/>
        </a:xfrm>
        <a:prstGeom prst="rect">
          <a:avLst/>
        </a:prstGeom>
      </xdr:spPr>
    </xdr:pic>
    <xdr:clientData/>
  </xdr:twoCellAnchor>
  <xdr:twoCellAnchor>
    <xdr:from>
      <xdr:col>21</xdr:col>
      <xdr:colOff>47102</xdr:colOff>
      <xdr:row>1</xdr:row>
      <xdr:rowOff>116293</xdr:rowOff>
    </xdr:from>
    <xdr:to>
      <xdr:col>22</xdr:col>
      <xdr:colOff>304800</xdr:colOff>
      <xdr:row>3</xdr:row>
      <xdr:rowOff>21117</xdr:rowOff>
    </xdr:to>
    <xdr:sp macro="[0]!Lender_Report_Show_Hide_Estimate_Page" textlink="">
      <xdr:nvSpPr>
        <xdr:cNvPr id="61" name="TextBox 60">
          <a:extLst>
            <a:ext uri="{FF2B5EF4-FFF2-40B4-BE49-F238E27FC236}">
              <a16:creationId xmlns:a16="http://schemas.microsoft.com/office/drawing/2014/main" id="{E789DE99-D939-4575-A3B6-9392BEF6B865}"/>
            </a:ext>
          </a:extLst>
        </xdr:cNvPr>
        <xdr:cNvSpPr txBox="1"/>
      </xdr:nvSpPr>
      <xdr:spPr>
        <a:xfrm>
          <a:off x="11515202" y="687793"/>
          <a:ext cx="772048" cy="381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baseline="0">
              <a:solidFill>
                <a:schemeClr val="tx1">
                  <a:lumMod val="75000"/>
                  <a:lumOff val="25000"/>
                </a:schemeClr>
              </a:solidFill>
              <a:latin typeface="Calibri Light" panose="020F0302020204030204" pitchFamily="34" charset="0"/>
            </a:rPr>
            <a:t>Estimate</a:t>
          </a:r>
        </a:p>
      </xdr:txBody>
    </xdr:sp>
    <xdr:clientData/>
  </xdr:twoCellAnchor>
  <xdr:twoCellAnchor>
    <xdr:from>
      <xdr:col>11</xdr:col>
      <xdr:colOff>178858</xdr:colOff>
      <xdr:row>139</xdr:row>
      <xdr:rowOff>313267</xdr:rowOff>
    </xdr:from>
    <xdr:to>
      <xdr:col>11</xdr:col>
      <xdr:colOff>455878</xdr:colOff>
      <xdr:row>140</xdr:row>
      <xdr:rowOff>278077</xdr:rowOff>
    </xdr:to>
    <xdr:pic macro="[0]!Navigate_Financing_Sheet">
      <xdr:nvPicPr>
        <xdr:cNvPr id="63" name="Picture 62">
          <a:extLst>
            <a:ext uri="{FF2B5EF4-FFF2-40B4-BE49-F238E27FC236}">
              <a16:creationId xmlns:a16="http://schemas.microsoft.com/office/drawing/2014/main" id="{EFA85389-0262-44C9-90B9-58EDE9F82F0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503458" y="42089917"/>
          <a:ext cx="277020" cy="279135"/>
        </a:xfrm>
        <a:prstGeom prst="rect">
          <a:avLst/>
        </a:prstGeom>
      </xdr:spPr>
    </xdr:pic>
    <xdr:clientData fPrintsWithSheet="0"/>
  </xdr:twoCellAnchor>
  <xdr:twoCellAnchor>
    <xdr:from>
      <xdr:col>11</xdr:col>
      <xdr:colOff>247650</xdr:colOff>
      <xdr:row>99</xdr:row>
      <xdr:rowOff>9525</xdr:rowOff>
    </xdr:from>
    <xdr:to>
      <xdr:col>14</xdr:col>
      <xdr:colOff>151387</xdr:colOff>
      <xdr:row>99</xdr:row>
      <xdr:rowOff>313267</xdr:rowOff>
    </xdr:to>
    <xdr:sp macro="[0]!Navigate_Financing_Sheet" textlink="">
      <xdr:nvSpPr>
        <xdr:cNvPr id="65" name="TextBox 64">
          <a:extLst>
            <a:ext uri="{FF2B5EF4-FFF2-40B4-BE49-F238E27FC236}">
              <a16:creationId xmlns:a16="http://schemas.microsoft.com/office/drawing/2014/main" id="{8BBAE817-08E1-44E7-B9F0-77C27AA3F4FD}"/>
            </a:ext>
          </a:extLst>
        </xdr:cNvPr>
        <xdr:cNvSpPr txBox="1"/>
      </xdr:nvSpPr>
      <xdr:spPr>
        <a:xfrm>
          <a:off x="6572250" y="29241750"/>
          <a:ext cx="1446787" cy="303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Financing</a:t>
          </a:r>
          <a:endParaRPr lang="en-US" sz="1100" b="0" i="1" u="sng">
            <a:solidFill>
              <a:srgbClr val="289FE8"/>
            </a:solidFill>
            <a:latin typeface="Calibri Light" panose="020F0302020204030204" pitchFamily="34" charset="0"/>
          </a:endParaRPr>
        </a:p>
      </xdr:txBody>
    </xdr:sp>
    <xdr:clientData fPrintsWithSheet="0"/>
  </xdr:twoCellAnchor>
  <xdr:twoCellAnchor>
    <xdr:from>
      <xdr:col>11</xdr:col>
      <xdr:colOff>228600</xdr:colOff>
      <xdr:row>99</xdr:row>
      <xdr:rowOff>16934</xdr:rowOff>
    </xdr:from>
    <xdr:to>
      <xdr:col>11</xdr:col>
      <xdr:colOff>506678</xdr:colOff>
      <xdr:row>99</xdr:row>
      <xdr:rowOff>297127</xdr:rowOff>
    </xdr:to>
    <xdr:pic macro="[0]!Navigate_Financing_Sheet">
      <xdr:nvPicPr>
        <xdr:cNvPr id="66" name="Picture 65">
          <a:extLst>
            <a:ext uri="{FF2B5EF4-FFF2-40B4-BE49-F238E27FC236}">
              <a16:creationId xmlns:a16="http://schemas.microsoft.com/office/drawing/2014/main" id="{064D617C-6235-4AAA-A2BF-85790FE61D3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553200" y="29249159"/>
          <a:ext cx="278078" cy="280193"/>
        </a:xfrm>
        <a:prstGeom prst="rect">
          <a:avLst/>
        </a:prstGeom>
      </xdr:spPr>
    </xdr:pic>
    <xdr:clientData fPrintsWithSheet="0"/>
  </xdr:twoCellAnchor>
  <xdr:twoCellAnchor>
    <xdr:from>
      <xdr:col>14</xdr:col>
      <xdr:colOff>353483</xdr:colOff>
      <xdr:row>58</xdr:row>
      <xdr:rowOff>21036</xdr:rowOff>
    </xdr:from>
    <xdr:to>
      <xdr:col>17</xdr:col>
      <xdr:colOff>255104</xdr:colOff>
      <xdr:row>59</xdr:row>
      <xdr:rowOff>9394</xdr:rowOff>
    </xdr:to>
    <xdr:sp macro="[0]!Navigate_Rehab_Analyzer" textlink="">
      <xdr:nvSpPr>
        <xdr:cNvPr id="67" name="TextBox 66">
          <a:extLst>
            <a:ext uri="{FF2B5EF4-FFF2-40B4-BE49-F238E27FC236}">
              <a16:creationId xmlns:a16="http://schemas.microsoft.com/office/drawing/2014/main" id="{1912DFB5-D0D3-45BA-BC45-14AC1F5E4DA3}"/>
            </a:ext>
          </a:extLst>
        </xdr:cNvPr>
        <xdr:cNvSpPr txBox="1"/>
      </xdr:nvSpPr>
      <xdr:spPr>
        <a:xfrm>
          <a:off x="8221133" y="16394511"/>
          <a:ext cx="1444671"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Analysis</a:t>
          </a:r>
          <a:endParaRPr lang="en-US" sz="1100" b="0" i="1" u="sng">
            <a:solidFill>
              <a:srgbClr val="289FE8"/>
            </a:solidFill>
            <a:latin typeface="Calibri Light" panose="020F0302020204030204" pitchFamily="34" charset="0"/>
          </a:endParaRPr>
        </a:p>
      </xdr:txBody>
    </xdr:sp>
    <xdr:clientData fPrintsWithSheet="0"/>
  </xdr:twoCellAnchor>
  <xdr:twoCellAnchor>
    <xdr:from>
      <xdr:col>14</xdr:col>
      <xdr:colOff>333373</xdr:colOff>
      <xdr:row>58</xdr:row>
      <xdr:rowOff>28575</xdr:rowOff>
    </xdr:from>
    <xdr:to>
      <xdr:col>15</xdr:col>
      <xdr:colOff>97101</xdr:colOff>
      <xdr:row>58</xdr:row>
      <xdr:rowOff>306652</xdr:rowOff>
    </xdr:to>
    <xdr:pic macro="[0]!Navigate_Rehab_Analyzer">
      <xdr:nvPicPr>
        <xdr:cNvPr id="68" name="Picture 67">
          <a:extLst>
            <a:ext uri="{FF2B5EF4-FFF2-40B4-BE49-F238E27FC236}">
              <a16:creationId xmlns:a16="http://schemas.microsoft.com/office/drawing/2014/main" id="{C03E4F5C-A0AA-438F-B2B8-009065DAE5E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8201023" y="16402050"/>
          <a:ext cx="278078" cy="278077"/>
        </a:xfrm>
        <a:prstGeom prst="rect">
          <a:avLst/>
        </a:prstGeom>
      </xdr:spPr>
    </xdr:pic>
    <xdr:clientData fPrintsWithSheet="0"/>
  </xdr:twoCellAnchor>
  <xdr:twoCellAnchor>
    <xdr:from>
      <xdr:col>12</xdr:col>
      <xdr:colOff>21167</xdr:colOff>
      <xdr:row>181</xdr:row>
      <xdr:rowOff>0</xdr:rowOff>
    </xdr:from>
    <xdr:to>
      <xdr:col>14</xdr:col>
      <xdr:colOff>439254</xdr:colOff>
      <xdr:row>181</xdr:row>
      <xdr:rowOff>307975</xdr:rowOff>
    </xdr:to>
    <xdr:sp macro="[0]!Navigate_Comparables" textlink="">
      <xdr:nvSpPr>
        <xdr:cNvPr id="69" name="TextBox 68">
          <a:extLst>
            <a:ext uri="{FF2B5EF4-FFF2-40B4-BE49-F238E27FC236}">
              <a16:creationId xmlns:a16="http://schemas.microsoft.com/office/drawing/2014/main" id="{20D11312-F97E-4631-8309-E033032A5D89}"/>
            </a:ext>
          </a:extLst>
        </xdr:cNvPr>
        <xdr:cNvSpPr txBox="1"/>
      </xdr:nvSpPr>
      <xdr:spPr>
        <a:xfrm>
          <a:off x="6860117" y="55264050"/>
          <a:ext cx="1446787" cy="307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Comps</a:t>
          </a:r>
          <a:endParaRPr lang="en-US" sz="1100" b="0" i="1" u="sng">
            <a:solidFill>
              <a:srgbClr val="289FE8"/>
            </a:solidFill>
            <a:latin typeface="Calibri Light" panose="020F0302020204030204" pitchFamily="34" charset="0"/>
          </a:endParaRPr>
        </a:p>
      </xdr:txBody>
    </xdr:sp>
    <xdr:clientData fPrintsWithSheet="0"/>
  </xdr:twoCellAnchor>
  <xdr:twoCellAnchor>
    <xdr:from>
      <xdr:col>12</xdr:col>
      <xdr:colOff>0</xdr:colOff>
      <xdr:row>181</xdr:row>
      <xdr:rowOff>10584</xdr:rowOff>
    </xdr:from>
    <xdr:to>
      <xdr:col>12</xdr:col>
      <xdr:colOff>277020</xdr:colOff>
      <xdr:row>181</xdr:row>
      <xdr:rowOff>289719</xdr:rowOff>
    </xdr:to>
    <xdr:pic macro="[0]!Navigate_Comparables">
      <xdr:nvPicPr>
        <xdr:cNvPr id="70" name="Picture 69">
          <a:extLst>
            <a:ext uri="{FF2B5EF4-FFF2-40B4-BE49-F238E27FC236}">
              <a16:creationId xmlns:a16="http://schemas.microsoft.com/office/drawing/2014/main" id="{74C5C0E8-D332-40B4-BCA6-925D35498ADD}"/>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838950" y="55274634"/>
          <a:ext cx="277020" cy="279135"/>
        </a:xfrm>
        <a:prstGeom prst="rect">
          <a:avLst/>
        </a:prstGeom>
      </xdr:spPr>
    </xdr:pic>
    <xdr:clientData fPrintsWithSheet="0"/>
  </xdr:twoCellAnchor>
  <xdr:twoCellAnchor>
    <xdr:from>
      <xdr:col>12</xdr:col>
      <xdr:colOff>19050</xdr:colOff>
      <xdr:row>222</xdr:row>
      <xdr:rowOff>0</xdr:rowOff>
    </xdr:from>
    <xdr:to>
      <xdr:col>14</xdr:col>
      <xdr:colOff>437137</xdr:colOff>
      <xdr:row>222</xdr:row>
      <xdr:rowOff>303742</xdr:rowOff>
    </xdr:to>
    <xdr:sp macro="[0]!Navigate_Repair_Estimator" textlink="">
      <xdr:nvSpPr>
        <xdr:cNvPr id="71" name="TextBox 70">
          <a:extLst>
            <a:ext uri="{FF2B5EF4-FFF2-40B4-BE49-F238E27FC236}">
              <a16:creationId xmlns:a16="http://schemas.microsoft.com/office/drawing/2014/main" id="{5F687F69-0123-4F74-BAF2-BF94055A828B}"/>
            </a:ext>
          </a:extLst>
        </xdr:cNvPr>
        <xdr:cNvSpPr txBox="1"/>
      </xdr:nvSpPr>
      <xdr:spPr>
        <a:xfrm>
          <a:off x="6858000" y="68437125"/>
          <a:ext cx="1446787" cy="303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Estimate</a:t>
          </a:r>
          <a:endParaRPr lang="en-US" sz="1100" b="0" i="1" u="sng">
            <a:solidFill>
              <a:srgbClr val="289FE8"/>
            </a:solidFill>
            <a:latin typeface="Calibri Light" panose="020F0302020204030204" pitchFamily="34" charset="0"/>
          </a:endParaRPr>
        </a:p>
      </xdr:txBody>
    </xdr:sp>
    <xdr:clientData fPrintsWithSheet="0"/>
  </xdr:twoCellAnchor>
  <xdr:twoCellAnchor>
    <xdr:from>
      <xdr:col>12</xdr:col>
      <xdr:colOff>0</xdr:colOff>
      <xdr:row>222</xdr:row>
      <xdr:rowOff>7409</xdr:rowOff>
    </xdr:from>
    <xdr:to>
      <xdr:col>12</xdr:col>
      <xdr:colOff>278078</xdr:colOff>
      <xdr:row>222</xdr:row>
      <xdr:rowOff>287602</xdr:rowOff>
    </xdr:to>
    <xdr:pic macro="[0]!Navigate_Repair_Estimator">
      <xdr:nvPicPr>
        <xdr:cNvPr id="72" name="Picture 71">
          <a:extLst>
            <a:ext uri="{FF2B5EF4-FFF2-40B4-BE49-F238E27FC236}">
              <a16:creationId xmlns:a16="http://schemas.microsoft.com/office/drawing/2014/main" id="{D598B5C8-3512-425F-9A6E-62C4A45B607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838950" y="68444534"/>
          <a:ext cx="278078" cy="280193"/>
        </a:xfrm>
        <a:prstGeom prst="rect">
          <a:avLst/>
        </a:prstGeom>
      </xdr:spPr>
    </xdr:pic>
    <xdr:clientData fPrintsWithSheet="0"/>
  </xdr:twoCellAnchor>
  <xdr:twoCellAnchor>
    <xdr:from>
      <xdr:col>17</xdr:col>
      <xdr:colOff>59119</xdr:colOff>
      <xdr:row>1</xdr:row>
      <xdr:rowOff>103717</xdr:rowOff>
    </xdr:from>
    <xdr:to>
      <xdr:col>18</xdr:col>
      <xdr:colOff>209551</xdr:colOff>
      <xdr:row>3</xdr:row>
      <xdr:rowOff>18062</xdr:rowOff>
    </xdr:to>
    <xdr:sp macro="[0]!Lender_Report_Show_Hide_Equity_Page" textlink="">
      <xdr:nvSpPr>
        <xdr:cNvPr id="73" name="TextBox 72">
          <a:extLst>
            <a:ext uri="{FF2B5EF4-FFF2-40B4-BE49-F238E27FC236}">
              <a16:creationId xmlns:a16="http://schemas.microsoft.com/office/drawing/2014/main" id="{ECA9E216-6FB3-446F-92E1-A397F20E3D54}"/>
            </a:ext>
          </a:extLst>
        </xdr:cNvPr>
        <xdr:cNvSpPr txBox="1"/>
      </xdr:nvSpPr>
      <xdr:spPr>
        <a:xfrm>
          <a:off x="9469819" y="675217"/>
          <a:ext cx="664782" cy="390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baseline="0">
              <a:solidFill>
                <a:schemeClr val="tx1">
                  <a:lumMod val="75000"/>
                  <a:lumOff val="25000"/>
                </a:schemeClr>
              </a:solidFill>
              <a:latin typeface="Calibri Light" panose="020F0302020204030204" pitchFamily="34" charset="0"/>
            </a:rPr>
            <a:t>Equity</a:t>
          </a:r>
        </a:p>
      </xdr:txBody>
    </xdr:sp>
    <xdr:clientData/>
  </xdr:twoCellAnchor>
  <xdr:twoCellAnchor>
    <xdr:from>
      <xdr:col>16</xdr:col>
      <xdr:colOff>266700</xdr:colOff>
      <xdr:row>1</xdr:row>
      <xdr:rowOff>161923</xdr:rowOff>
    </xdr:from>
    <xdr:to>
      <xdr:col>17</xdr:col>
      <xdr:colOff>21068</xdr:colOff>
      <xdr:row>2</xdr:row>
      <xdr:rowOff>248794</xdr:rowOff>
    </xdr:to>
    <xdr:sp macro="[0]!Lender_Report_Show_Hide_Equity_Page" textlink="">
      <xdr:nvSpPr>
        <xdr:cNvPr id="74" name="Rectangle 73">
          <a:extLst>
            <a:ext uri="{FF2B5EF4-FFF2-40B4-BE49-F238E27FC236}">
              <a16:creationId xmlns:a16="http://schemas.microsoft.com/office/drawing/2014/main" id="{219E8DE6-7F4C-4B76-8E7C-D53411FFF46A}"/>
            </a:ext>
          </a:extLst>
        </xdr:cNvPr>
        <xdr:cNvSpPr/>
      </xdr:nvSpPr>
      <xdr:spPr>
        <a:xfrm>
          <a:off x="9163050" y="733423"/>
          <a:ext cx="268718" cy="277371"/>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16</xdr:col>
      <xdr:colOff>266700</xdr:colOff>
      <xdr:row>1</xdr:row>
      <xdr:rowOff>180975</xdr:rowOff>
    </xdr:from>
    <xdr:to>
      <xdr:col>17</xdr:col>
      <xdr:colOff>26991</xdr:colOff>
      <xdr:row>2</xdr:row>
      <xdr:rowOff>256206</xdr:rowOff>
    </xdr:to>
    <xdr:pic macro="[0]!Lender_Report_Show_Hide_Equity_Page">
      <xdr:nvPicPr>
        <xdr:cNvPr id="75" name="Lender_Report_Equity_Check">
          <a:extLst>
            <a:ext uri="{FF2B5EF4-FFF2-40B4-BE49-F238E27FC236}">
              <a16:creationId xmlns:a16="http://schemas.microsoft.com/office/drawing/2014/main" id="{14A6843E-BF2C-4DD5-8E14-AD4452C37FF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163050" y="752475"/>
          <a:ext cx="274641" cy="265731"/>
        </a:xfrm>
        <a:prstGeom prst="rect">
          <a:avLst/>
        </a:prstGeom>
      </xdr:spPr>
    </xdr:pic>
    <xdr:clientData/>
  </xdr:twoCellAnchor>
  <xdr:twoCellAnchor>
    <xdr:from>
      <xdr:col>19</xdr:col>
      <xdr:colOff>47625</xdr:colOff>
      <xdr:row>1</xdr:row>
      <xdr:rowOff>104775</xdr:rowOff>
    </xdr:from>
    <xdr:to>
      <xdr:col>20</xdr:col>
      <xdr:colOff>198057</xdr:colOff>
      <xdr:row>3</xdr:row>
      <xdr:rowOff>19120</xdr:rowOff>
    </xdr:to>
    <xdr:sp macro="[0]!Lender_Report_Show_Hide_Comps_Page" textlink="">
      <xdr:nvSpPr>
        <xdr:cNvPr id="76" name="TextBox 75">
          <a:extLst>
            <a:ext uri="{FF2B5EF4-FFF2-40B4-BE49-F238E27FC236}">
              <a16:creationId xmlns:a16="http://schemas.microsoft.com/office/drawing/2014/main" id="{B3D1AC1F-CA3F-4C5E-BC01-B24407E6EEEC}"/>
            </a:ext>
          </a:extLst>
        </xdr:cNvPr>
        <xdr:cNvSpPr txBox="1"/>
      </xdr:nvSpPr>
      <xdr:spPr>
        <a:xfrm>
          <a:off x="10487025" y="676275"/>
          <a:ext cx="664782" cy="390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baseline="0">
              <a:solidFill>
                <a:schemeClr val="tx1">
                  <a:lumMod val="75000"/>
                  <a:lumOff val="25000"/>
                </a:schemeClr>
              </a:solidFill>
              <a:latin typeface="Calibri Light" panose="020F0302020204030204" pitchFamily="34" charset="0"/>
            </a:rPr>
            <a:t>Comps</a:t>
          </a:r>
        </a:p>
      </xdr:txBody>
    </xdr:sp>
    <xdr:clientData/>
  </xdr:twoCellAnchor>
  <xdr:twoCellAnchor>
    <xdr:from>
      <xdr:col>18</xdr:col>
      <xdr:colOff>247650</xdr:colOff>
      <xdr:row>1</xdr:row>
      <xdr:rowOff>170392</xdr:rowOff>
    </xdr:from>
    <xdr:to>
      <xdr:col>19</xdr:col>
      <xdr:colOff>11116</xdr:colOff>
      <xdr:row>2</xdr:row>
      <xdr:rowOff>245623</xdr:rowOff>
    </xdr:to>
    <xdr:pic macro="[0]!Lender_Report_Show_Hide_Comps_Page">
      <xdr:nvPicPr>
        <xdr:cNvPr id="77" name="Comps_Report_Check">
          <a:extLst>
            <a:ext uri="{FF2B5EF4-FFF2-40B4-BE49-F238E27FC236}">
              <a16:creationId xmlns:a16="http://schemas.microsoft.com/office/drawing/2014/main" id="{1B826CE4-39FF-4236-8E9D-3676B43A987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172700" y="741892"/>
          <a:ext cx="277816" cy="265731"/>
        </a:xfrm>
        <a:prstGeom prst="rect">
          <a:avLst/>
        </a:prstGeom>
      </xdr:spPr>
    </xdr:pic>
    <xdr:clientData/>
  </xdr:twoCellAnchor>
  <xdr:twoCellAnchor>
    <xdr:from>
      <xdr:col>20</xdr:col>
      <xdr:colOff>247650</xdr:colOff>
      <xdr:row>1</xdr:row>
      <xdr:rowOff>161925</xdr:rowOff>
    </xdr:from>
    <xdr:to>
      <xdr:col>20</xdr:col>
      <xdr:colOff>513130</xdr:colOff>
      <xdr:row>2</xdr:row>
      <xdr:rowOff>245622</xdr:rowOff>
    </xdr:to>
    <xdr:sp macro="[0]!Lender_Report_Show_Hide_Estimate_Page" textlink="">
      <xdr:nvSpPr>
        <xdr:cNvPr id="78" name="Rectangle 77">
          <a:extLst>
            <a:ext uri="{FF2B5EF4-FFF2-40B4-BE49-F238E27FC236}">
              <a16:creationId xmlns:a16="http://schemas.microsoft.com/office/drawing/2014/main" id="{C708148C-6C08-41BF-945F-C9424D9DF131}"/>
            </a:ext>
          </a:extLst>
        </xdr:cNvPr>
        <xdr:cNvSpPr/>
      </xdr:nvSpPr>
      <xdr:spPr>
        <a:xfrm>
          <a:off x="11201400" y="733425"/>
          <a:ext cx="265480" cy="274197"/>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20</xdr:col>
      <xdr:colOff>255556</xdr:colOff>
      <xdr:row>1</xdr:row>
      <xdr:rowOff>170280</xdr:rowOff>
    </xdr:from>
    <xdr:to>
      <xdr:col>21</xdr:col>
      <xdr:colOff>10615</xdr:colOff>
      <xdr:row>2</xdr:row>
      <xdr:rowOff>249189</xdr:rowOff>
    </xdr:to>
    <xdr:pic macro="[0]!Lender_Report_Show_Hide_Estimate_Page">
      <xdr:nvPicPr>
        <xdr:cNvPr id="62" name="Estimate_Report_Check">
          <a:extLst>
            <a:ext uri="{FF2B5EF4-FFF2-40B4-BE49-F238E27FC236}">
              <a16:creationId xmlns:a16="http://schemas.microsoft.com/office/drawing/2014/main" id="{D3DF93EB-6984-40DD-9FE5-201930E87903}"/>
            </a:ext>
          </a:extLst>
        </xdr:cNvPr>
        <xdr:cNvPicPr>
          <a:picLocks/>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209306" y="741780"/>
          <a:ext cx="269409" cy="269409"/>
        </a:xfrm>
        <a:prstGeom prst="rect">
          <a:avLst/>
        </a:prstGeom>
      </xdr:spPr>
    </xdr:pic>
    <xdr:clientData/>
  </xdr:twoCellAnchor>
  <xdr:twoCellAnchor>
    <xdr:from>
      <xdr:col>22</xdr:col>
      <xdr:colOff>342900</xdr:colOff>
      <xdr:row>1</xdr:row>
      <xdr:rowOff>159808</xdr:rowOff>
    </xdr:from>
    <xdr:to>
      <xdr:col>23</xdr:col>
      <xdr:colOff>93725</xdr:colOff>
      <xdr:row>2</xdr:row>
      <xdr:rowOff>238717</xdr:rowOff>
    </xdr:to>
    <xdr:pic macro="[0]!Lender_Report_Show_Hide_Photos">
      <xdr:nvPicPr>
        <xdr:cNvPr id="80" name="Lender_Report_Photos_Check">
          <a:extLst>
            <a:ext uri="{FF2B5EF4-FFF2-40B4-BE49-F238E27FC236}">
              <a16:creationId xmlns:a16="http://schemas.microsoft.com/office/drawing/2014/main" id="{D6BF1601-EEA8-40A2-8F82-6D64244E2627}"/>
            </a:ext>
          </a:extLst>
        </xdr:cNvPr>
        <xdr:cNvPicPr>
          <a:picLocks/>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325350" y="731308"/>
          <a:ext cx="265175" cy="269409"/>
        </a:xfrm>
        <a:prstGeom prst="rect">
          <a:avLst/>
        </a:prstGeom>
      </xdr:spPr>
    </xdr:pic>
    <xdr:clientData/>
  </xdr:twoCellAnchor>
  <xdr:twoCellAnchor>
    <xdr:from>
      <xdr:col>7</xdr:col>
      <xdr:colOff>95250</xdr:colOff>
      <xdr:row>280</xdr:row>
      <xdr:rowOff>47919</xdr:rowOff>
    </xdr:from>
    <xdr:to>
      <xdr:col>11</xdr:col>
      <xdr:colOff>475707</xdr:colOff>
      <xdr:row>288</xdr:row>
      <xdr:rowOff>105288</xdr:rowOff>
    </xdr:to>
    <xdr:pic>
      <xdr:nvPicPr>
        <xdr:cNvPr id="81" name="Picture 80">
          <a:extLst>
            <a:ext uri="{FF2B5EF4-FFF2-40B4-BE49-F238E27FC236}">
              <a16:creationId xmlns:a16="http://schemas.microsoft.com/office/drawing/2014/main" id="{236E60D8-D21D-4393-A850-4CFDF3AAC291}"/>
            </a:ext>
          </a:extLst>
        </xdr:cNvPr>
        <xdr:cNvPicPr>
          <a:picLocks noChangeAspect="1"/>
        </xdr:cNvPicPr>
      </xdr:nvPicPr>
      <xdr:blipFill>
        <a:blip xmlns:r="http://schemas.openxmlformats.org/officeDocument/2006/relationships" r:embed="rId5"/>
        <a:stretch>
          <a:fillRect/>
        </a:stretch>
      </xdr:blipFill>
      <xdr:spPr>
        <a:xfrm>
          <a:off x="4362450" y="18831219"/>
          <a:ext cx="2437857" cy="1886169"/>
        </a:xfrm>
        <a:prstGeom prst="rect">
          <a:avLst/>
        </a:prstGeom>
      </xdr:spPr>
    </xdr:pic>
    <xdr:clientData/>
  </xdr:twoCellAnchor>
  <xdr:twoCellAnchor>
    <xdr:from>
      <xdr:col>13</xdr:col>
      <xdr:colOff>97366</xdr:colOff>
      <xdr:row>280</xdr:row>
      <xdr:rowOff>47917</xdr:rowOff>
    </xdr:from>
    <xdr:to>
      <xdr:col>17</xdr:col>
      <xdr:colOff>475707</xdr:colOff>
      <xdr:row>288</xdr:row>
      <xdr:rowOff>105286</xdr:rowOff>
    </xdr:to>
    <xdr:pic>
      <xdr:nvPicPr>
        <xdr:cNvPr id="82" name="Picture 81">
          <a:extLst>
            <a:ext uri="{FF2B5EF4-FFF2-40B4-BE49-F238E27FC236}">
              <a16:creationId xmlns:a16="http://schemas.microsoft.com/office/drawing/2014/main" id="{4924CDD5-33E0-4031-99C8-57BF81A50723}"/>
            </a:ext>
          </a:extLst>
        </xdr:cNvPr>
        <xdr:cNvPicPr>
          <a:picLocks noChangeAspect="1"/>
        </xdr:cNvPicPr>
      </xdr:nvPicPr>
      <xdr:blipFill>
        <a:blip xmlns:r="http://schemas.openxmlformats.org/officeDocument/2006/relationships" r:embed="rId5"/>
        <a:stretch>
          <a:fillRect/>
        </a:stretch>
      </xdr:blipFill>
      <xdr:spPr>
        <a:xfrm>
          <a:off x="7450666" y="18831217"/>
          <a:ext cx="2435741" cy="1886169"/>
        </a:xfrm>
        <a:prstGeom prst="rect">
          <a:avLst/>
        </a:prstGeom>
      </xdr:spPr>
    </xdr:pic>
    <xdr:clientData/>
  </xdr:twoCellAnchor>
  <xdr:twoCellAnchor>
    <xdr:from>
      <xdr:col>19</xdr:col>
      <xdr:colOff>75614</xdr:colOff>
      <xdr:row>280</xdr:row>
      <xdr:rowOff>47625</xdr:rowOff>
    </xdr:from>
    <xdr:to>
      <xdr:col>23</xdr:col>
      <xdr:colOff>466656</xdr:colOff>
      <xdr:row>288</xdr:row>
      <xdr:rowOff>104994</xdr:rowOff>
    </xdr:to>
    <xdr:pic>
      <xdr:nvPicPr>
        <xdr:cNvPr id="83" name="Picture 82">
          <a:extLst>
            <a:ext uri="{FF2B5EF4-FFF2-40B4-BE49-F238E27FC236}">
              <a16:creationId xmlns:a16="http://schemas.microsoft.com/office/drawing/2014/main" id="{23F00602-F6AF-48E9-B225-E7E89462A334}"/>
            </a:ext>
          </a:extLst>
        </xdr:cNvPr>
        <xdr:cNvPicPr>
          <a:picLocks noChangeAspect="1"/>
        </xdr:cNvPicPr>
      </xdr:nvPicPr>
      <xdr:blipFill>
        <a:blip xmlns:r="http://schemas.openxmlformats.org/officeDocument/2006/relationships" r:embed="rId5"/>
        <a:stretch>
          <a:fillRect/>
        </a:stretch>
      </xdr:blipFill>
      <xdr:spPr>
        <a:xfrm>
          <a:off x="10515014" y="18830925"/>
          <a:ext cx="2448442" cy="1886169"/>
        </a:xfrm>
        <a:prstGeom prst="rect">
          <a:avLst/>
        </a:prstGeom>
      </xdr:spPr>
    </xdr:pic>
    <xdr:clientData/>
  </xdr:twoCellAnchor>
  <xdr:twoCellAnchor>
    <xdr:from>
      <xdr:col>7</xdr:col>
      <xdr:colOff>75142</xdr:colOff>
      <xdr:row>292</xdr:row>
      <xdr:rowOff>46861</xdr:rowOff>
    </xdr:from>
    <xdr:to>
      <xdr:col>11</xdr:col>
      <xdr:colOff>455599</xdr:colOff>
      <xdr:row>300</xdr:row>
      <xdr:rowOff>106346</xdr:rowOff>
    </xdr:to>
    <xdr:pic>
      <xdr:nvPicPr>
        <xdr:cNvPr id="84" name="Picture 83">
          <a:extLst>
            <a:ext uri="{FF2B5EF4-FFF2-40B4-BE49-F238E27FC236}">
              <a16:creationId xmlns:a16="http://schemas.microsoft.com/office/drawing/2014/main" id="{EEF1E652-3269-4010-AD2E-2006700EAF02}"/>
            </a:ext>
          </a:extLst>
        </xdr:cNvPr>
        <xdr:cNvPicPr>
          <a:picLocks noChangeAspect="1"/>
        </xdr:cNvPicPr>
      </xdr:nvPicPr>
      <xdr:blipFill>
        <a:blip xmlns:r="http://schemas.openxmlformats.org/officeDocument/2006/relationships" r:embed="rId5"/>
        <a:stretch>
          <a:fillRect/>
        </a:stretch>
      </xdr:blipFill>
      <xdr:spPr>
        <a:xfrm>
          <a:off x="4342342" y="21573361"/>
          <a:ext cx="2437857" cy="1888285"/>
        </a:xfrm>
        <a:prstGeom prst="rect">
          <a:avLst/>
        </a:prstGeom>
      </xdr:spPr>
    </xdr:pic>
    <xdr:clientData/>
  </xdr:twoCellAnchor>
  <xdr:twoCellAnchor>
    <xdr:from>
      <xdr:col>13</xdr:col>
      <xdr:colOff>77258</xdr:colOff>
      <xdr:row>292</xdr:row>
      <xdr:rowOff>46859</xdr:rowOff>
    </xdr:from>
    <xdr:to>
      <xdr:col>17</xdr:col>
      <xdr:colOff>455599</xdr:colOff>
      <xdr:row>300</xdr:row>
      <xdr:rowOff>106344</xdr:rowOff>
    </xdr:to>
    <xdr:pic>
      <xdr:nvPicPr>
        <xdr:cNvPr id="85" name="Picture 84">
          <a:extLst>
            <a:ext uri="{FF2B5EF4-FFF2-40B4-BE49-F238E27FC236}">
              <a16:creationId xmlns:a16="http://schemas.microsoft.com/office/drawing/2014/main" id="{DBE6311E-6098-4529-A867-45C0B27FAF70}"/>
            </a:ext>
          </a:extLst>
        </xdr:cNvPr>
        <xdr:cNvPicPr>
          <a:picLocks noChangeAspect="1"/>
        </xdr:cNvPicPr>
      </xdr:nvPicPr>
      <xdr:blipFill>
        <a:blip xmlns:r="http://schemas.openxmlformats.org/officeDocument/2006/relationships" r:embed="rId5"/>
        <a:stretch>
          <a:fillRect/>
        </a:stretch>
      </xdr:blipFill>
      <xdr:spPr>
        <a:xfrm>
          <a:off x="7430558" y="21573359"/>
          <a:ext cx="2435741" cy="1888285"/>
        </a:xfrm>
        <a:prstGeom prst="rect">
          <a:avLst/>
        </a:prstGeom>
      </xdr:spPr>
    </xdr:pic>
    <xdr:clientData/>
  </xdr:twoCellAnchor>
  <xdr:twoCellAnchor>
    <xdr:from>
      <xdr:col>19</xdr:col>
      <xdr:colOff>57622</xdr:colOff>
      <xdr:row>292</xdr:row>
      <xdr:rowOff>46567</xdr:rowOff>
    </xdr:from>
    <xdr:to>
      <xdr:col>23</xdr:col>
      <xdr:colOff>449723</xdr:colOff>
      <xdr:row>300</xdr:row>
      <xdr:rowOff>106052</xdr:rowOff>
    </xdr:to>
    <xdr:pic>
      <xdr:nvPicPr>
        <xdr:cNvPr id="86" name="Picture 85">
          <a:extLst>
            <a:ext uri="{FF2B5EF4-FFF2-40B4-BE49-F238E27FC236}">
              <a16:creationId xmlns:a16="http://schemas.microsoft.com/office/drawing/2014/main" id="{96A8E981-4482-41C4-AE70-86C9E6F49AA3}"/>
            </a:ext>
          </a:extLst>
        </xdr:cNvPr>
        <xdr:cNvPicPr>
          <a:picLocks noChangeAspect="1"/>
        </xdr:cNvPicPr>
      </xdr:nvPicPr>
      <xdr:blipFill>
        <a:blip xmlns:r="http://schemas.openxmlformats.org/officeDocument/2006/relationships" r:embed="rId5"/>
        <a:stretch>
          <a:fillRect/>
        </a:stretch>
      </xdr:blipFill>
      <xdr:spPr>
        <a:xfrm>
          <a:off x="10497022" y="21573067"/>
          <a:ext cx="2449501" cy="1888285"/>
        </a:xfrm>
        <a:prstGeom prst="rect">
          <a:avLst/>
        </a:prstGeom>
      </xdr:spPr>
    </xdr:pic>
    <xdr:clientData/>
  </xdr:twoCellAnchor>
  <xdr:twoCellAnchor>
    <xdr:from>
      <xdr:col>7</xdr:col>
      <xdr:colOff>56091</xdr:colOff>
      <xdr:row>304</xdr:row>
      <xdr:rowOff>76494</xdr:rowOff>
    </xdr:from>
    <xdr:to>
      <xdr:col>11</xdr:col>
      <xdr:colOff>436549</xdr:colOff>
      <xdr:row>312</xdr:row>
      <xdr:rowOff>133863</xdr:rowOff>
    </xdr:to>
    <xdr:pic>
      <xdr:nvPicPr>
        <xdr:cNvPr id="87" name="Picture 86">
          <a:extLst>
            <a:ext uri="{FF2B5EF4-FFF2-40B4-BE49-F238E27FC236}">
              <a16:creationId xmlns:a16="http://schemas.microsoft.com/office/drawing/2014/main" id="{CC628567-98CD-4C7C-9B79-3E49B6A2D49C}"/>
            </a:ext>
          </a:extLst>
        </xdr:cNvPr>
        <xdr:cNvPicPr>
          <a:picLocks noChangeAspect="1"/>
        </xdr:cNvPicPr>
      </xdr:nvPicPr>
      <xdr:blipFill>
        <a:blip xmlns:r="http://schemas.openxmlformats.org/officeDocument/2006/relationships" r:embed="rId5"/>
        <a:stretch>
          <a:fillRect/>
        </a:stretch>
      </xdr:blipFill>
      <xdr:spPr>
        <a:xfrm>
          <a:off x="4323291" y="24346194"/>
          <a:ext cx="2437858" cy="1886169"/>
        </a:xfrm>
        <a:prstGeom prst="rect">
          <a:avLst/>
        </a:prstGeom>
      </xdr:spPr>
    </xdr:pic>
    <xdr:clientData/>
  </xdr:twoCellAnchor>
  <xdr:twoCellAnchor>
    <xdr:from>
      <xdr:col>13</xdr:col>
      <xdr:colOff>58207</xdr:colOff>
      <xdr:row>304</xdr:row>
      <xdr:rowOff>76492</xdr:rowOff>
    </xdr:from>
    <xdr:to>
      <xdr:col>17</xdr:col>
      <xdr:colOff>436549</xdr:colOff>
      <xdr:row>312</xdr:row>
      <xdr:rowOff>133861</xdr:rowOff>
    </xdr:to>
    <xdr:pic>
      <xdr:nvPicPr>
        <xdr:cNvPr id="88" name="Picture 87">
          <a:extLst>
            <a:ext uri="{FF2B5EF4-FFF2-40B4-BE49-F238E27FC236}">
              <a16:creationId xmlns:a16="http://schemas.microsoft.com/office/drawing/2014/main" id="{068EC6BB-5C9D-4450-BC41-BD69002F0F9D}"/>
            </a:ext>
          </a:extLst>
        </xdr:cNvPr>
        <xdr:cNvPicPr>
          <a:picLocks noChangeAspect="1"/>
        </xdr:cNvPicPr>
      </xdr:nvPicPr>
      <xdr:blipFill>
        <a:blip xmlns:r="http://schemas.openxmlformats.org/officeDocument/2006/relationships" r:embed="rId5"/>
        <a:stretch>
          <a:fillRect/>
        </a:stretch>
      </xdr:blipFill>
      <xdr:spPr>
        <a:xfrm>
          <a:off x="7411507" y="24346192"/>
          <a:ext cx="2435742" cy="1886169"/>
        </a:xfrm>
        <a:prstGeom prst="rect">
          <a:avLst/>
        </a:prstGeom>
      </xdr:spPr>
    </xdr:pic>
    <xdr:clientData/>
  </xdr:twoCellAnchor>
  <xdr:twoCellAnchor>
    <xdr:from>
      <xdr:col>19</xdr:col>
      <xdr:colOff>36456</xdr:colOff>
      <xdr:row>304</xdr:row>
      <xdr:rowOff>76200</xdr:rowOff>
    </xdr:from>
    <xdr:to>
      <xdr:col>23</xdr:col>
      <xdr:colOff>429614</xdr:colOff>
      <xdr:row>312</xdr:row>
      <xdr:rowOff>133569</xdr:rowOff>
    </xdr:to>
    <xdr:pic>
      <xdr:nvPicPr>
        <xdr:cNvPr id="89" name="Picture 88">
          <a:extLst>
            <a:ext uri="{FF2B5EF4-FFF2-40B4-BE49-F238E27FC236}">
              <a16:creationId xmlns:a16="http://schemas.microsoft.com/office/drawing/2014/main" id="{F81FB48F-82F7-481D-9DBB-B5B3B2BECA4E}"/>
            </a:ext>
          </a:extLst>
        </xdr:cNvPr>
        <xdr:cNvPicPr>
          <a:picLocks noChangeAspect="1"/>
        </xdr:cNvPicPr>
      </xdr:nvPicPr>
      <xdr:blipFill>
        <a:blip xmlns:r="http://schemas.openxmlformats.org/officeDocument/2006/relationships" r:embed="rId5"/>
        <a:stretch>
          <a:fillRect/>
        </a:stretch>
      </xdr:blipFill>
      <xdr:spPr>
        <a:xfrm>
          <a:off x="10475856" y="24345900"/>
          <a:ext cx="2450558" cy="1886169"/>
        </a:xfrm>
        <a:prstGeom prst="rect">
          <a:avLst/>
        </a:prstGeom>
      </xdr:spPr>
    </xdr:pic>
    <xdr:clientData/>
  </xdr:twoCellAnchor>
  <xdr:twoCellAnchor editAs="absolute">
    <xdr:from>
      <xdr:col>17</xdr:col>
      <xdr:colOff>48482</xdr:colOff>
      <xdr:row>0</xdr:row>
      <xdr:rowOff>0</xdr:rowOff>
    </xdr:from>
    <xdr:to>
      <xdr:col>20</xdr:col>
      <xdr:colOff>199179</xdr:colOff>
      <xdr:row>0</xdr:row>
      <xdr:rowOff>560918</xdr:rowOff>
    </xdr:to>
    <xdr:sp macro="[0]!Navigate_Reporting" textlink="">
      <xdr:nvSpPr>
        <xdr:cNvPr id="90" name="TextBox 89">
          <a:extLst>
            <a:ext uri="{FF2B5EF4-FFF2-40B4-BE49-F238E27FC236}">
              <a16:creationId xmlns:a16="http://schemas.microsoft.com/office/drawing/2014/main" id="{2B8DCE6A-EF80-4E2A-AEFA-A4735B95C2BD}"/>
            </a:ext>
          </a:extLst>
        </xdr:cNvPr>
        <xdr:cNvSpPr txBox="1">
          <a:spLocks noChangeAspect="1"/>
        </xdr:cNvSpPr>
      </xdr:nvSpPr>
      <xdr:spPr>
        <a:xfrm>
          <a:off x="9459182" y="0"/>
          <a:ext cx="1693747" cy="560918"/>
        </a:xfrm>
        <a:prstGeom prst="rect">
          <a:avLst/>
        </a:prstGeom>
        <a:solidFill>
          <a:srgbClr val="2F74A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10</xdr:col>
      <xdr:colOff>220144</xdr:colOff>
      <xdr:row>0</xdr:row>
      <xdr:rowOff>1</xdr:rowOff>
    </xdr:from>
    <xdr:to>
      <xdr:col>13</xdr:col>
      <xdr:colOff>372956</xdr:colOff>
      <xdr:row>0</xdr:row>
      <xdr:rowOff>560918</xdr:rowOff>
    </xdr:to>
    <xdr:sp macro="[0]!Navigate_Rehab_Analyzer" textlink="">
      <xdr:nvSpPr>
        <xdr:cNvPr id="91" name="TextBox 90">
          <a:extLst>
            <a:ext uri="{FF2B5EF4-FFF2-40B4-BE49-F238E27FC236}">
              <a16:creationId xmlns:a16="http://schemas.microsoft.com/office/drawing/2014/main" id="{C3399542-3556-48EF-AECF-DB56437CF4BC}"/>
            </a:ext>
          </a:extLst>
        </xdr:cNvPr>
        <xdr:cNvSpPr txBox="1">
          <a:spLocks noChangeAspect="1"/>
        </xdr:cNvSpPr>
      </xdr:nvSpPr>
      <xdr:spPr>
        <a:xfrm>
          <a:off x="6030394" y="1"/>
          <a:ext cx="1695862"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13</xdr:col>
      <xdr:colOff>392219</xdr:colOff>
      <xdr:row>0</xdr:row>
      <xdr:rowOff>0</xdr:rowOff>
    </xdr:from>
    <xdr:to>
      <xdr:col>17</xdr:col>
      <xdr:colOff>19061</xdr:colOff>
      <xdr:row>0</xdr:row>
      <xdr:rowOff>560918</xdr:rowOff>
    </xdr:to>
    <xdr:sp macro="[0]!Navigate_Repair_Estimator" textlink="">
      <xdr:nvSpPr>
        <xdr:cNvPr id="92" name="TextBox 91">
          <a:extLst>
            <a:ext uri="{FF2B5EF4-FFF2-40B4-BE49-F238E27FC236}">
              <a16:creationId xmlns:a16="http://schemas.microsoft.com/office/drawing/2014/main" id="{F23A6384-7CCE-4593-8BCD-B1B21AE5CCA6}"/>
            </a:ext>
          </a:extLst>
        </xdr:cNvPr>
        <xdr:cNvSpPr txBox="1">
          <a:spLocks noChangeAspect="1"/>
        </xdr:cNvSpPr>
      </xdr:nvSpPr>
      <xdr:spPr>
        <a:xfrm>
          <a:off x="7745519" y="0"/>
          <a:ext cx="1684242"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7</xdr:col>
      <xdr:colOff>65178</xdr:colOff>
      <xdr:row>0</xdr:row>
      <xdr:rowOff>0</xdr:rowOff>
    </xdr:from>
    <xdr:to>
      <xdr:col>10</xdr:col>
      <xdr:colOff>209125</xdr:colOff>
      <xdr:row>0</xdr:row>
      <xdr:rowOff>560918</xdr:rowOff>
    </xdr:to>
    <xdr:sp macro="[0]!Navigate_Home" textlink="">
      <xdr:nvSpPr>
        <xdr:cNvPr id="93" name="TextBox 92">
          <a:extLst>
            <a:ext uri="{FF2B5EF4-FFF2-40B4-BE49-F238E27FC236}">
              <a16:creationId xmlns:a16="http://schemas.microsoft.com/office/drawing/2014/main" id="{E108B1A2-6A9E-4E74-AA76-529A799D8BC4}"/>
            </a:ext>
          </a:extLst>
        </xdr:cNvPr>
        <xdr:cNvSpPr txBox="1">
          <a:spLocks noChangeAspect="1"/>
        </xdr:cNvSpPr>
      </xdr:nvSpPr>
      <xdr:spPr>
        <a:xfrm>
          <a:off x="4332378" y="0"/>
          <a:ext cx="1686997"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21</xdr:col>
      <xdr:colOff>496781</xdr:colOff>
      <xdr:row>0</xdr:row>
      <xdr:rowOff>153469</xdr:rowOff>
    </xdr:from>
    <xdr:to>
      <xdr:col>22</xdr:col>
      <xdr:colOff>247996</xdr:colOff>
      <xdr:row>0</xdr:row>
      <xdr:rowOff>429893</xdr:rowOff>
    </xdr:to>
    <xdr:pic>
      <xdr:nvPicPr>
        <xdr:cNvPr id="94" name="Picture 93" title="Help">
          <a:hlinkClick xmlns:r="http://schemas.openxmlformats.org/officeDocument/2006/relationships" r:id="rId6"/>
          <a:extLst>
            <a:ext uri="{FF2B5EF4-FFF2-40B4-BE49-F238E27FC236}">
              <a16:creationId xmlns:a16="http://schemas.microsoft.com/office/drawing/2014/main" id="{87A5A57F-DD28-4EDC-B9FF-C4F8FD6E2304}"/>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1964881" y="153469"/>
          <a:ext cx="265565" cy="276424"/>
        </a:xfrm>
        <a:prstGeom prst="rect">
          <a:avLst/>
        </a:prstGeom>
      </xdr:spPr>
    </xdr:pic>
    <xdr:clientData/>
  </xdr:twoCellAnchor>
  <xdr:twoCellAnchor editAs="absolute">
    <xdr:from>
      <xdr:col>20</xdr:col>
      <xdr:colOff>456566</xdr:colOff>
      <xdr:row>0</xdr:row>
      <xdr:rowOff>152516</xdr:rowOff>
    </xdr:from>
    <xdr:to>
      <xdr:col>21</xdr:col>
      <xdr:colOff>227966</xdr:colOff>
      <xdr:row>0</xdr:row>
      <xdr:rowOff>429998</xdr:rowOff>
    </xdr:to>
    <xdr:pic macro="[0]!Navigate_Info_Sheet">
      <xdr:nvPicPr>
        <xdr:cNvPr id="95" name="Picture 94">
          <a:extLst>
            <a:ext uri="{FF2B5EF4-FFF2-40B4-BE49-F238E27FC236}">
              <a16:creationId xmlns:a16="http://schemas.microsoft.com/office/drawing/2014/main" id="{E376F50B-1EA2-4E3A-BFA3-FD0AFF9023D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1410316" y="152516"/>
          <a:ext cx="285750" cy="277482"/>
        </a:xfrm>
        <a:prstGeom prst="rect">
          <a:avLst/>
        </a:prstGeom>
      </xdr:spPr>
    </xdr:pic>
    <xdr:clientData/>
  </xdr:twoCellAnchor>
  <xdr:twoCellAnchor editAs="absolute">
    <xdr:from>
      <xdr:col>0</xdr:col>
      <xdr:colOff>0</xdr:colOff>
      <xdr:row>0</xdr:row>
      <xdr:rowOff>0</xdr:rowOff>
    </xdr:from>
    <xdr:to>
      <xdr:col>1</xdr:col>
      <xdr:colOff>407473</xdr:colOff>
      <xdr:row>0</xdr:row>
      <xdr:rowOff>562823</xdr:rowOff>
    </xdr:to>
    <xdr:sp macro="" textlink="">
      <xdr:nvSpPr>
        <xdr:cNvPr id="96" name="TextBox 95">
          <a:extLst>
            <a:ext uri="{FF2B5EF4-FFF2-40B4-BE49-F238E27FC236}">
              <a16:creationId xmlns:a16="http://schemas.microsoft.com/office/drawing/2014/main" id="{8E5CE516-D994-4FDE-9E64-0CCC7A964ABA}"/>
            </a:ext>
          </a:extLst>
        </xdr:cNvPr>
        <xdr:cNvSpPr txBox="1">
          <a:spLocks noChangeAspect="1"/>
        </xdr:cNvSpPr>
      </xdr:nvSpPr>
      <xdr:spPr>
        <a:xfrm>
          <a:off x="0" y="0"/>
          <a:ext cx="1664773" cy="562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32385</xdr:colOff>
      <xdr:row>22</xdr:row>
      <xdr:rowOff>129540</xdr:rowOff>
    </xdr:from>
    <xdr:to>
      <xdr:col>6</xdr:col>
      <xdr:colOff>396240</xdr:colOff>
      <xdr:row>25</xdr:row>
      <xdr:rowOff>198120</xdr:rowOff>
    </xdr:to>
    <xdr:sp macro="" textlink="">
      <xdr:nvSpPr>
        <xdr:cNvPr id="3" name="Line Callout 1 2">
          <a:extLst>
            <a:ext uri="{FF2B5EF4-FFF2-40B4-BE49-F238E27FC236}">
              <a16:creationId xmlns:a16="http://schemas.microsoft.com/office/drawing/2014/main" id="{00000000-0008-0000-2700-000003000000}"/>
            </a:ext>
          </a:extLst>
        </xdr:cNvPr>
        <xdr:cNvSpPr/>
      </xdr:nvSpPr>
      <xdr:spPr>
        <a:xfrm>
          <a:off x="2556510" y="5130165"/>
          <a:ext cx="1421130" cy="754380"/>
        </a:xfrm>
        <a:prstGeom prst="borderCallout1">
          <a:avLst>
            <a:gd name="adj1" fmla="val 46750"/>
            <a:gd name="adj2" fmla="val 107520"/>
            <a:gd name="adj3" fmla="val 47170"/>
            <a:gd name="adj4" fmla="val 151885"/>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050">
              <a:latin typeface="Calibri Light" panose="020F0302020204030204" pitchFamily="34" charset="0"/>
            </a:rPr>
            <a:t>The</a:t>
          </a:r>
          <a:r>
            <a:rPr lang="en-US" sz="1050" baseline="0">
              <a:latin typeface="Calibri Light" panose="020F0302020204030204" pitchFamily="34" charset="0"/>
            </a:rPr>
            <a:t> Comparable Sales Sheet</a:t>
          </a:r>
          <a:endParaRPr lang="en-US" sz="1050">
            <a:latin typeface="Calibri Light" panose="020F0302020204030204" pitchFamily="34" charset="0"/>
          </a:endParaRPr>
        </a:p>
      </xdr:txBody>
    </xdr:sp>
    <xdr:clientData fPrintsWithSheet="0"/>
  </xdr:twoCellAnchor>
  <xdr:twoCellAnchor>
    <xdr:from>
      <xdr:col>3</xdr:col>
      <xdr:colOff>427144</xdr:colOff>
      <xdr:row>36</xdr:row>
      <xdr:rowOff>67946</xdr:rowOff>
    </xdr:from>
    <xdr:to>
      <xdr:col>5</xdr:col>
      <xdr:colOff>933027</xdr:colOff>
      <xdr:row>40</xdr:row>
      <xdr:rowOff>133138</xdr:rowOff>
    </xdr:to>
    <xdr:sp macro="" textlink="">
      <xdr:nvSpPr>
        <xdr:cNvPr id="4" name="Line Callout 1 3">
          <a:extLst>
            <a:ext uri="{FF2B5EF4-FFF2-40B4-BE49-F238E27FC236}">
              <a16:creationId xmlns:a16="http://schemas.microsoft.com/office/drawing/2014/main" id="{00000000-0008-0000-2700-000004000000}"/>
            </a:ext>
          </a:extLst>
        </xdr:cNvPr>
        <xdr:cNvSpPr/>
      </xdr:nvSpPr>
      <xdr:spPr>
        <a:xfrm>
          <a:off x="1884469" y="8649971"/>
          <a:ext cx="1563158" cy="979592"/>
        </a:xfrm>
        <a:prstGeom prst="borderCallout1">
          <a:avLst>
            <a:gd name="adj1" fmla="val 52512"/>
            <a:gd name="adj2" fmla="val 102077"/>
            <a:gd name="adj3" fmla="val 41073"/>
            <a:gd name="adj4" fmla="val 181214"/>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050">
              <a:solidFill>
                <a:schemeClr val="dk1"/>
              </a:solidFill>
              <a:latin typeface="Calibri Light" panose="020F0302020204030204" pitchFamily="34" charset="0"/>
              <a:ea typeface="+mn-ea"/>
              <a:cs typeface="+mn-cs"/>
            </a:rPr>
            <a:t>The Repair Costs are pulled from the Repair Cost Estimator</a:t>
          </a:r>
        </a:p>
        <a:p>
          <a:pPr marL="0" indent="0" algn="ctr"/>
          <a:r>
            <a:rPr lang="en-US" sz="1050">
              <a:solidFill>
                <a:schemeClr val="dk1"/>
              </a:solidFill>
              <a:latin typeface="Calibri Light" panose="020F0302020204030204" pitchFamily="34" charset="0"/>
              <a:ea typeface="+mn-ea"/>
              <a:cs typeface="+mn-cs"/>
            </a:rPr>
            <a:t>Note:  Adders are allocated</a:t>
          </a:r>
        </a:p>
      </xdr:txBody>
    </xdr:sp>
    <xdr:clientData fPrintsWithSheet="0"/>
  </xdr:twoCellAnchor>
  <xdr:twoCellAnchor>
    <xdr:from>
      <xdr:col>27</xdr:col>
      <xdr:colOff>192405</xdr:colOff>
      <xdr:row>67</xdr:row>
      <xdr:rowOff>143933</xdr:rowOff>
    </xdr:from>
    <xdr:to>
      <xdr:col>29</xdr:col>
      <xdr:colOff>512445</xdr:colOff>
      <xdr:row>70</xdr:row>
      <xdr:rowOff>132926</xdr:rowOff>
    </xdr:to>
    <xdr:sp macro="" textlink="">
      <xdr:nvSpPr>
        <xdr:cNvPr id="7" name="Line Callout 1 6">
          <a:extLst>
            <a:ext uri="{FF2B5EF4-FFF2-40B4-BE49-F238E27FC236}">
              <a16:creationId xmlns:a16="http://schemas.microsoft.com/office/drawing/2014/main" id="{00000000-0008-0000-2700-000007000000}"/>
            </a:ext>
          </a:extLst>
        </xdr:cNvPr>
        <xdr:cNvSpPr/>
      </xdr:nvSpPr>
      <xdr:spPr>
        <a:xfrm>
          <a:off x="14241780" y="15736358"/>
          <a:ext cx="1463040" cy="789093"/>
        </a:xfrm>
        <a:prstGeom prst="borderCallout1">
          <a:avLst>
            <a:gd name="adj1" fmla="val 40719"/>
            <a:gd name="adj2" fmla="val -89612"/>
            <a:gd name="adj3" fmla="val 50007"/>
            <a:gd name="adj4" fmla="val -8548"/>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050">
              <a:solidFill>
                <a:schemeClr val="dk1"/>
              </a:solidFill>
              <a:latin typeface="Calibri Light" panose="020F0302020204030204" pitchFamily="34" charset="0"/>
              <a:ea typeface="+mn-ea"/>
              <a:cs typeface="+mn-cs"/>
            </a:rPr>
            <a:t>Property Price Opinion is pulled from Rehab Analyzer</a:t>
          </a:r>
        </a:p>
      </xdr:txBody>
    </xdr:sp>
    <xdr:clientData fPrintsWithSheet="0"/>
  </xdr:twoCellAnchor>
  <xdr:twoCellAnchor>
    <xdr:from>
      <xdr:col>5</xdr:col>
      <xdr:colOff>933027</xdr:colOff>
      <xdr:row>38</xdr:row>
      <xdr:rowOff>93663</xdr:rowOff>
    </xdr:from>
    <xdr:to>
      <xdr:col>8</xdr:col>
      <xdr:colOff>180552</xdr:colOff>
      <xdr:row>43</xdr:row>
      <xdr:rowOff>114088</xdr:rowOff>
    </xdr:to>
    <xdr:cxnSp macro="">
      <xdr:nvCxnSpPr>
        <xdr:cNvPr id="8" name="Straight Connector 7">
          <a:extLst>
            <a:ext uri="{FF2B5EF4-FFF2-40B4-BE49-F238E27FC236}">
              <a16:creationId xmlns:a16="http://schemas.microsoft.com/office/drawing/2014/main" id="{00000000-0008-0000-2700-000008000000}"/>
            </a:ext>
          </a:extLst>
        </xdr:cNvPr>
        <xdr:cNvCxnSpPr>
          <a:stCxn id="4" idx="0"/>
        </xdr:cNvCxnSpPr>
      </xdr:nvCxnSpPr>
      <xdr:spPr>
        <a:xfrm>
          <a:off x="3447627" y="9132888"/>
          <a:ext cx="1323975" cy="1163425"/>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editAs="oneCell">
    <xdr:from>
      <xdr:col>6</xdr:col>
      <xdr:colOff>389890</xdr:colOff>
      <xdr:row>111</xdr:row>
      <xdr:rowOff>19050</xdr:rowOff>
    </xdr:from>
    <xdr:to>
      <xdr:col>27</xdr:col>
      <xdr:colOff>65682</xdr:colOff>
      <xdr:row>128</xdr:row>
      <xdr:rowOff>94629</xdr:rowOff>
    </xdr:to>
    <xdr:sp macro="" textlink="">
      <xdr:nvSpPr>
        <xdr:cNvPr id="38" name="TextBox 37">
          <a:extLst>
            <a:ext uri="{FF2B5EF4-FFF2-40B4-BE49-F238E27FC236}">
              <a16:creationId xmlns:a16="http://schemas.microsoft.com/office/drawing/2014/main" id="{00000000-0008-0000-2700-000026000000}"/>
            </a:ext>
          </a:extLst>
        </xdr:cNvPr>
        <xdr:cNvSpPr txBox="1"/>
      </xdr:nvSpPr>
      <xdr:spPr>
        <a:xfrm>
          <a:off x="3952240" y="16897350"/>
          <a:ext cx="10163869" cy="3316196"/>
        </a:xfrm>
        <a:prstGeom prst="rect">
          <a:avLst/>
        </a:prstGeom>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gn="l"/>
          <a:endParaRPr lang="en-US" sz="1600" b="1" i="0">
            <a:solidFill>
              <a:schemeClr val="accent1"/>
            </a:solidFill>
            <a:latin typeface="Calibri Light" panose="020F0302020204030204" pitchFamily="34" charset="0"/>
            <a:ea typeface="+mn-ea"/>
            <a:cs typeface="+mn-cs"/>
          </a:endParaRPr>
        </a:p>
        <a:p>
          <a:pPr algn="l"/>
          <a:r>
            <a:rPr lang="en-US" sz="1600" b="1" i="0">
              <a:solidFill>
                <a:schemeClr val="accent1"/>
              </a:solidFill>
              <a:latin typeface="+mn-lt"/>
              <a:ea typeface="+mn-ea"/>
              <a:cs typeface="+mn-cs"/>
            </a:rPr>
            <a:t>Homeowner Offer Report</a:t>
          </a:r>
        </a:p>
        <a:p>
          <a:pPr algn="l"/>
          <a:endParaRPr lang="en-US" sz="1400" b="1" i="0">
            <a:solidFill>
              <a:schemeClr val="accent1"/>
            </a:solidFill>
            <a:latin typeface="Calibri Light" panose="020F0302020204030204" pitchFamily="34" charset="0"/>
            <a:ea typeface="+mn-ea"/>
            <a:cs typeface="+mn-cs"/>
          </a:endParaRPr>
        </a:p>
        <a:p>
          <a:r>
            <a:rPr lang="en-US" sz="1200" b="1" i="0">
              <a:solidFill>
                <a:schemeClr val="dk1"/>
              </a:solidFill>
              <a:effectLst/>
              <a:latin typeface="Calibri Light" panose="020F0302020204030204" pitchFamily="34" charset="0"/>
              <a:ea typeface="+mn-ea"/>
              <a:cs typeface="+mn-cs"/>
            </a:rPr>
            <a:t>What is the homeowner offer report?</a:t>
          </a:r>
        </a:p>
        <a:p>
          <a:r>
            <a:rPr lang="en-US" sz="1200" i="0">
              <a:solidFill>
                <a:schemeClr val="dk1"/>
              </a:solidFill>
              <a:effectLst/>
              <a:latin typeface="Calibri Light" panose="020F0302020204030204" pitchFamily="34" charset="0"/>
              <a:ea typeface="+mn-ea"/>
              <a:cs typeface="+mn-cs"/>
            </a:rPr>
            <a:t>The home</a:t>
          </a:r>
          <a:r>
            <a:rPr lang="en-US" sz="1200" i="0" baseline="0">
              <a:solidFill>
                <a:schemeClr val="dk1"/>
              </a:solidFill>
              <a:effectLst/>
              <a:latin typeface="Calibri Light" panose="020F0302020204030204" pitchFamily="34" charset="0"/>
              <a:ea typeface="+mn-ea"/>
              <a:cs typeface="+mn-cs"/>
            </a:rPr>
            <a:t>owner offer report is a 1-page report that can be given to home sellers that breaks down your offer and valuation of their property.  The report gives a detailed analysis of comparable sales, repair costs, fixed costs that can be given to a seller to show that your offer is backed by market research and due diligence.</a:t>
          </a:r>
        </a:p>
        <a:p>
          <a:endParaRPr lang="en-US" sz="1200" i="0">
            <a:solidFill>
              <a:schemeClr val="dk1"/>
            </a:solidFill>
            <a:effectLst/>
            <a:latin typeface="Calibri Light" panose="020F0302020204030204" pitchFamily="34" charset="0"/>
            <a:ea typeface="+mn-ea"/>
            <a:cs typeface="+mn-cs"/>
          </a:endParaRPr>
        </a:p>
        <a:p>
          <a:r>
            <a:rPr lang="en-US" sz="1200" b="1" i="0">
              <a:solidFill>
                <a:schemeClr val="dk1"/>
              </a:solidFill>
              <a:effectLst/>
              <a:latin typeface="Calibri Light" panose="020F0302020204030204" pitchFamily="34" charset="0"/>
              <a:ea typeface="+mn-ea"/>
              <a:cs typeface="+mn-cs"/>
            </a:rPr>
            <a:t>How does the homeowner offer report work?</a:t>
          </a:r>
        </a:p>
        <a:p>
          <a:r>
            <a:rPr lang="en-US" sz="1200" i="0">
              <a:solidFill>
                <a:schemeClr val="dk1"/>
              </a:solidFill>
              <a:effectLst/>
              <a:latin typeface="Calibri Light" panose="020F0302020204030204" pitchFamily="34" charset="0"/>
              <a:ea typeface="+mn-ea"/>
              <a:cs typeface="+mn-cs"/>
            </a:rPr>
            <a:t>The information</a:t>
          </a:r>
          <a:r>
            <a:rPr lang="en-US" sz="1200" i="0" baseline="0">
              <a:solidFill>
                <a:schemeClr val="dk1"/>
              </a:solidFill>
              <a:effectLst/>
              <a:latin typeface="Calibri Light" panose="020F0302020204030204" pitchFamily="34" charset="0"/>
              <a:ea typeface="+mn-ea"/>
              <a:cs typeface="+mn-cs"/>
            </a:rPr>
            <a:t> on the homeowner offer report pulls from the info sheet, repair estimator and the rehab analyzer.</a:t>
          </a:r>
        </a:p>
        <a:p>
          <a:endParaRPr lang="en-US" sz="1200" b="1" i="0" baseline="0">
            <a:solidFill>
              <a:schemeClr val="dk1"/>
            </a:solidFill>
            <a:effectLst/>
            <a:latin typeface="Calibri Light" panose="020F0302020204030204" pitchFamily="34" charset="0"/>
            <a:ea typeface="+mn-ea"/>
            <a:cs typeface="+mn-cs"/>
          </a:endParaRPr>
        </a:p>
        <a:p>
          <a:r>
            <a:rPr lang="en-US" sz="1200" b="1" i="0" baseline="0">
              <a:solidFill>
                <a:schemeClr val="dk1"/>
              </a:solidFill>
              <a:effectLst/>
              <a:latin typeface="Calibri Light" panose="020F0302020204030204" pitchFamily="34" charset="0"/>
              <a:ea typeface="+mn-ea"/>
              <a:cs typeface="+mn-cs"/>
            </a:rPr>
            <a:t>How do I hide my profit from the seller?</a:t>
          </a:r>
        </a:p>
        <a:p>
          <a:r>
            <a:rPr lang="en-US" sz="1200" b="0" i="0" baseline="0">
              <a:solidFill>
                <a:schemeClr val="dk1"/>
              </a:solidFill>
              <a:effectLst/>
              <a:latin typeface="Calibri Light" panose="020F0302020204030204" pitchFamily="34" charset="0"/>
              <a:ea typeface="+mn-ea"/>
              <a:cs typeface="+mn-cs"/>
            </a:rPr>
            <a:t>You can hide a portion of the profit or 100% of the profit by selecting the checkbox and input the % of profit you want to hide from the seller.  The report will automatically allocate the hidden portion of profits evenly across the repair costs &amp; fixed costs items.  If you allocate 100% of the profit, the profit line item will be hidden completely from the report.</a:t>
          </a:r>
          <a:endParaRPr lang="en-US" sz="1400" b="0" i="0">
            <a:solidFill>
              <a:schemeClr val="accent1"/>
            </a:solidFill>
            <a:latin typeface="Calibri Light" panose="020F0302020204030204" pitchFamily="34" charset="0"/>
            <a:ea typeface="+mn-ea"/>
            <a:cs typeface="+mn-cs"/>
          </a:endParaRPr>
        </a:p>
      </xdr:txBody>
    </xdr:sp>
    <xdr:clientData/>
  </xdr:twoCellAnchor>
  <xdr:twoCellAnchor>
    <xdr:from>
      <xdr:col>12</xdr:col>
      <xdr:colOff>388620</xdr:colOff>
      <xdr:row>1</xdr:row>
      <xdr:rowOff>137160</xdr:rowOff>
    </xdr:from>
    <xdr:to>
      <xdr:col>15</xdr:col>
      <xdr:colOff>297180</xdr:colOff>
      <xdr:row>3</xdr:row>
      <xdr:rowOff>0</xdr:rowOff>
    </xdr:to>
    <xdr:sp macro="[0]!Homeowner_Offer_Allocate_Unallocate_Fixed_Costs" textlink="">
      <xdr:nvSpPr>
        <xdr:cNvPr id="42" name="TextBox 41">
          <a:extLst>
            <a:ext uri="{FF2B5EF4-FFF2-40B4-BE49-F238E27FC236}">
              <a16:creationId xmlns:a16="http://schemas.microsoft.com/office/drawing/2014/main" id="{00000000-0008-0000-2700-00002A000000}"/>
            </a:ext>
          </a:extLst>
        </xdr:cNvPr>
        <xdr:cNvSpPr txBox="1"/>
      </xdr:nvSpPr>
      <xdr:spPr>
        <a:xfrm>
          <a:off x="6957060" y="708660"/>
          <a:ext cx="144018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0" i="1">
              <a:solidFill>
                <a:schemeClr val="tx1">
                  <a:lumMod val="75000"/>
                  <a:lumOff val="25000"/>
                </a:schemeClr>
              </a:solidFill>
              <a:latin typeface="Calibri Light" panose="020F0302020204030204" pitchFamily="34" charset="0"/>
            </a:rPr>
            <a:t>Allocate</a:t>
          </a:r>
          <a:r>
            <a:rPr lang="en-US" sz="1100" b="0" i="1" baseline="0">
              <a:solidFill>
                <a:schemeClr val="tx1">
                  <a:lumMod val="75000"/>
                  <a:lumOff val="25000"/>
                </a:schemeClr>
              </a:solidFill>
              <a:latin typeface="Calibri Light" panose="020F0302020204030204" pitchFamily="34" charset="0"/>
            </a:rPr>
            <a:t> Fixed Costs</a:t>
          </a:r>
          <a:endParaRPr lang="en-US" sz="1100" b="0" i="1">
            <a:solidFill>
              <a:schemeClr val="tx1">
                <a:lumMod val="75000"/>
                <a:lumOff val="25000"/>
              </a:schemeClr>
            </a:solidFill>
            <a:latin typeface="Calibri Light" panose="020F0302020204030204" pitchFamily="34" charset="0"/>
          </a:endParaRPr>
        </a:p>
      </xdr:txBody>
    </xdr:sp>
    <xdr:clientData/>
  </xdr:twoCellAnchor>
  <xdr:twoCellAnchor>
    <xdr:from>
      <xdr:col>15</xdr:col>
      <xdr:colOff>377931</xdr:colOff>
      <xdr:row>8</xdr:row>
      <xdr:rowOff>152400</xdr:rowOff>
    </xdr:from>
    <xdr:to>
      <xdr:col>16</xdr:col>
      <xdr:colOff>337714</xdr:colOff>
      <xdr:row>10</xdr:row>
      <xdr:rowOff>93133</xdr:rowOff>
    </xdr:to>
    <xdr:pic>
      <xdr:nvPicPr>
        <xdr:cNvPr id="24" name="Picture 23">
          <a:extLst>
            <a:ext uri="{FF2B5EF4-FFF2-40B4-BE49-F238E27FC236}">
              <a16:creationId xmlns:a16="http://schemas.microsoft.com/office/drawing/2014/main" id="{00000000-0008-0000-2700-000018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569431" y="2286000"/>
          <a:ext cx="474133" cy="474133"/>
        </a:xfrm>
        <a:prstGeom prst="rect">
          <a:avLst/>
        </a:prstGeom>
      </xdr:spPr>
    </xdr:pic>
    <xdr:clientData/>
  </xdr:twoCellAnchor>
  <xdr:twoCellAnchor>
    <xdr:from>
      <xdr:col>16</xdr:col>
      <xdr:colOff>457200</xdr:colOff>
      <xdr:row>8</xdr:row>
      <xdr:rowOff>198120</xdr:rowOff>
    </xdr:from>
    <xdr:to>
      <xdr:col>21</xdr:col>
      <xdr:colOff>243840</xdr:colOff>
      <xdr:row>10</xdr:row>
      <xdr:rowOff>38100</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2700-000006000000}"/>
            </a:ext>
          </a:extLst>
        </xdr:cNvPr>
        <xdr:cNvSpPr/>
      </xdr:nvSpPr>
      <xdr:spPr>
        <a:xfrm>
          <a:off x="9067800" y="2324100"/>
          <a:ext cx="2339340" cy="37338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22</xdr:col>
      <xdr:colOff>243840</xdr:colOff>
      <xdr:row>5</xdr:row>
      <xdr:rowOff>0</xdr:rowOff>
    </xdr:from>
    <xdr:to>
      <xdr:col>23</xdr:col>
      <xdr:colOff>7620</xdr:colOff>
      <xdr:row>6</xdr:row>
      <xdr:rowOff>7620</xdr:rowOff>
    </xdr:to>
    <xdr:pic macro="[0]!Hide_Homeowner_Offer_Report_Help">
      <xdr:nvPicPr>
        <xdr:cNvPr id="26" name="Getting_Started_Close_Icon">
          <a:extLst>
            <a:ext uri="{FF2B5EF4-FFF2-40B4-BE49-F238E27FC236}">
              <a16:creationId xmlns:a16="http://schemas.microsoft.com/office/drawing/2014/main" id="{00000000-0008-0000-2700-00001A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1917680" y="1325880"/>
          <a:ext cx="274320" cy="274320"/>
        </a:xfrm>
        <a:prstGeom prst="rect">
          <a:avLst/>
        </a:prstGeom>
      </xdr:spPr>
    </xdr:pic>
    <xdr:clientData/>
  </xdr:twoCellAnchor>
  <xdr:twoCellAnchor>
    <xdr:from>
      <xdr:col>12</xdr:col>
      <xdr:colOff>30480</xdr:colOff>
      <xdr:row>1</xdr:row>
      <xdr:rowOff>152399</xdr:rowOff>
    </xdr:from>
    <xdr:to>
      <xdr:col>12</xdr:col>
      <xdr:colOff>295387</xdr:colOff>
      <xdr:row>2</xdr:row>
      <xdr:rowOff>233978</xdr:rowOff>
    </xdr:to>
    <xdr:sp macro="[0]!Homeowner_Offer_Allocate_Unallocate_Fixed_Costs" textlink="">
      <xdr:nvSpPr>
        <xdr:cNvPr id="30" name="Rectangle 29">
          <a:extLst>
            <a:ext uri="{FF2B5EF4-FFF2-40B4-BE49-F238E27FC236}">
              <a16:creationId xmlns:a16="http://schemas.microsoft.com/office/drawing/2014/main" id="{00000000-0008-0000-2700-00001E000000}"/>
            </a:ext>
          </a:extLst>
        </xdr:cNvPr>
        <xdr:cNvSpPr/>
      </xdr:nvSpPr>
      <xdr:spPr>
        <a:xfrm>
          <a:off x="6598920" y="723899"/>
          <a:ext cx="264907" cy="272079"/>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12</xdr:col>
      <xdr:colOff>38100</xdr:colOff>
      <xdr:row>1</xdr:row>
      <xdr:rowOff>160020</xdr:rowOff>
    </xdr:from>
    <xdr:to>
      <xdr:col>12</xdr:col>
      <xdr:colOff>300831</xdr:colOff>
      <xdr:row>2</xdr:row>
      <xdr:rowOff>241599</xdr:rowOff>
    </xdr:to>
    <xdr:pic macro="[0]!Homeowner_Offer_Allocate_Unallocate_Fixed_Costs">
      <xdr:nvPicPr>
        <xdr:cNvPr id="32" name="Homeowner_Fixed_Costs_Check" hidden="1">
          <a:extLst>
            <a:ext uri="{FF2B5EF4-FFF2-40B4-BE49-F238E27FC236}">
              <a16:creationId xmlns:a16="http://schemas.microsoft.com/office/drawing/2014/main" id="{00000000-0008-0000-2700-000020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606540" y="731520"/>
          <a:ext cx="262731" cy="272079"/>
        </a:xfrm>
        <a:prstGeom prst="rect">
          <a:avLst/>
        </a:prstGeom>
      </xdr:spPr>
    </xdr:pic>
    <xdr:clientData/>
  </xdr:twoCellAnchor>
  <xdr:twoCellAnchor>
    <xdr:from>
      <xdr:col>8</xdr:col>
      <xdr:colOff>152400</xdr:colOff>
      <xdr:row>2</xdr:row>
      <xdr:rowOff>57151</xdr:rowOff>
    </xdr:from>
    <xdr:to>
      <xdr:col>11</xdr:col>
      <xdr:colOff>60371</xdr:colOff>
      <xdr:row>3</xdr:row>
      <xdr:rowOff>76201</xdr:rowOff>
    </xdr:to>
    <xdr:sp macro="[0]!Navigate_Rehab_Analyzer" textlink="">
      <xdr:nvSpPr>
        <xdr:cNvPr id="28" name="TextBox 27">
          <a:extLst>
            <a:ext uri="{FF2B5EF4-FFF2-40B4-BE49-F238E27FC236}">
              <a16:creationId xmlns:a16="http://schemas.microsoft.com/office/drawing/2014/main" id="{08C5A79A-E035-4A83-9487-1885765FC1E3}"/>
            </a:ext>
          </a:extLst>
        </xdr:cNvPr>
        <xdr:cNvSpPr txBox="1"/>
      </xdr:nvSpPr>
      <xdr:spPr>
        <a:xfrm>
          <a:off x="4781550" y="819151"/>
          <a:ext cx="1479596"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1" u="sng">
              <a:solidFill>
                <a:srgbClr val="289FE8"/>
              </a:solidFill>
              <a:latin typeface="Calibri Light" panose="020F0302020204030204" pitchFamily="34" charset="0"/>
            </a:rPr>
            <a:t>Edit</a:t>
          </a:r>
          <a:r>
            <a:rPr lang="en-US" sz="1200" b="0" i="1" u="sng" baseline="0">
              <a:solidFill>
                <a:srgbClr val="289FE8"/>
              </a:solidFill>
              <a:latin typeface="Calibri Light" panose="020F0302020204030204" pitchFamily="34" charset="0"/>
            </a:rPr>
            <a:t> Analysis</a:t>
          </a:r>
          <a:endParaRPr lang="en-US" sz="1200" b="0" i="1" u="sng">
            <a:solidFill>
              <a:srgbClr val="289FE8"/>
            </a:solidFill>
            <a:latin typeface="Calibri Light" panose="020F0302020204030204" pitchFamily="34" charset="0"/>
          </a:endParaRPr>
        </a:p>
      </xdr:txBody>
    </xdr:sp>
    <xdr:clientData/>
  </xdr:twoCellAnchor>
  <xdr:twoCellAnchor>
    <xdr:from>
      <xdr:col>9</xdr:col>
      <xdr:colOff>218016</xdr:colOff>
      <xdr:row>1</xdr:row>
      <xdr:rowOff>23415</xdr:rowOff>
    </xdr:from>
    <xdr:to>
      <xdr:col>9</xdr:col>
      <xdr:colOff>503501</xdr:colOff>
      <xdr:row>2</xdr:row>
      <xdr:rowOff>118400</xdr:rowOff>
    </xdr:to>
    <xdr:pic macro="[0]!Navigate_Rehab_Analyzer">
      <xdr:nvPicPr>
        <xdr:cNvPr id="29" name="Picture 28">
          <a:extLst>
            <a:ext uri="{FF2B5EF4-FFF2-40B4-BE49-F238E27FC236}">
              <a16:creationId xmlns:a16="http://schemas.microsoft.com/office/drawing/2014/main" id="{9A12D3A0-AEB3-4D7C-B298-ADC7950DC245}"/>
            </a:ext>
          </a:extLst>
        </xdr:cNvPr>
        <xdr:cNvPicPr>
          <a:picLocks noChangeAspect="1"/>
        </xdr:cNvPicPr>
      </xdr:nvPicPr>
      <xdr:blipFill>
        <a:blip xmlns:r="http://schemas.openxmlformats.org/officeDocument/2006/relationships" r:embed="rId5"/>
        <a:stretch>
          <a:fillRect/>
        </a:stretch>
      </xdr:blipFill>
      <xdr:spPr>
        <a:xfrm>
          <a:off x="5323416" y="594915"/>
          <a:ext cx="285485" cy="285485"/>
        </a:xfrm>
        <a:prstGeom prst="rect">
          <a:avLst/>
        </a:prstGeom>
      </xdr:spPr>
    </xdr:pic>
    <xdr:clientData/>
  </xdr:twoCellAnchor>
  <xdr:twoCellAnchor editAs="absolute">
    <xdr:from>
      <xdr:col>23</xdr:col>
      <xdr:colOff>173143</xdr:colOff>
      <xdr:row>0</xdr:row>
      <xdr:rowOff>150384</xdr:rowOff>
    </xdr:from>
    <xdr:to>
      <xdr:col>23</xdr:col>
      <xdr:colOff>446517</xdr:colOff>
      <xdr:row>0</xdr:row>
      <xdr:rowOff>427990</xdr:rowOff>
    </xdr:to>
    <xdr:pic macro="[0]!Hide_Homeowner_Offer_Report">
      <xdr:nvPicPr>
        <xdr:cNvPr id="46" name="Picture 45">
          <a:extLst>
            <a:ext uri="{FF2B5EF4-FFF2-40B4-BE49-F238E27FC236}">
              <a16:creationId xmlns:a16="http://schemas.microsoft.com/office/drawing/2014/main" id="{537F5FDF-A85A-4D34-B06C-84E173B38BDE}"/>
            </a:ext>
          </a:extLst>
        </xdr:cNvPr>
        <xdr:cNvPicPr>
          <a:picLocks noChangeAspect="1"/>
        </xdr:cNvPicPr>
      </xdr:nvPicPr>
      <xdr:blipFill>
        <a:blip xmlns:r="http://schemas.openxmlformats.org/officeDocument/2006/relationships" r:embed="rId6"/>
        <a:stretch>
          <a:fillRect/>
        </a:stretch>
      </xdr:blipFill>
      <xdr:spPr>
        <a:xfrm>
          <a:off x="12477326" y="150384"/>
          <a:ext cx="278665" cy="278665"/>
        </a:xfrm>
        <a:prstGeom prst="rect">
          <a:avLst/>
        </a:prstGeom>
      </xdr:spPr>
    </xdr:pic>
    <xdr:clientData/>
  </xdr:twoCellAnchor>
  <xdr:twoCellAnchor editAs="absolute">
    <xdr:from>
      <xdr:col>17</xdr:col>
      <xdr:colOff>237923</xdr:colOff>
      <xdr:row>0</xdr:row>
      <xdr:rowOff>0</xdr:rowOff>
    </xdr:from>
    <xdr:to>
      <xdr:col>20</xdr:col>
      <xdr:colOff>388620</xdr:colOff>
      <xdr:row>0</xdr:row>
      <xdr:rowOff>561977</xdr:rowOff>
    </xdr:to>
    <xdr:sp macro="[0]!Navigate_Reporting" textlink="">
      <xdr:nvSpPr>
        <xdr:cNvPr id="25" name="TextBox 24">
          <a:extLst>
            <a:ext uri="{FF2B5EF4-FFF2-40B4-BE49-F238E27FC236}">
              <a16:creationId xmlns:a16="http://schemas.microsoft.com/office/drawing/2014/main" id="{FDE02243-F630-44DA-A75C-33322E697A3D}"/>
            </a:ext>
          </a:extLst>
        </xdr:cNvPr>
        <xdr:cNvSpPr txBox="1">
          <a:spLocks noChangeAspect="1"/>
        </xdr:cNvSpPr>
      </xdr:nvSpPr>
      <xdr:spPr>
        <a:xfrm>
          <a:off x="9459182" y="0"/>
          <a:ext cx="1693747" cy="560918"/>
        </a:xfrm>
        <a:prstGeom prst="rect">
          <a:avLst/>
        </a:prstGeom>
        <a:solidFill>
          <a:srgbClr val="2F74A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10</xdr:col>
      <xdr:colOff>407470</xdr:colOff>
      <xdr:row>0</xdr:row>
      <xdr:rowOff>1</xdr:rowOff>
    </xdr:from>
    <xdr:to>
      <xdr:col>14</xdr:col>
      <xdr:colOff>48047</xdr:colOff>
      <xdr:row>0</xdr:row>
      <xdr:rowOff>561977</xdr:rowOff>
    </xdr:to>
    <xdr:sp macro="[0]!Navigate_Rehab_Analyzer" textlink="">
      <xdr:nvSpPr>
        <xdr:cNvPr id="27" name="TextBox 26">
          <a:extLst>
            <a:ext uri="{FF2B5EF4-FFF2-40B4-BE49-F238E27FC236}">
              <a16:creationId xmlns:a16="http://schemas.microsoft.com/office/drawing/2014/main" id="{28754B79-877C-42FA-8EA9-5D7F58263FFE}"/>
            </a:ext>
          </a:extLst>
        </xdr:cNvPr>
        <xdr:cNvSpPr txBox="1">
          <a:spLocks noChangeAspect="1"/>
        </xdr:cNvSpPr>
      </xdr:nvSpPr>
      <xdr:spPr>
        <a:xfrm>
          <a:off x="6030394" y="1"/>
          <a:ext cx="1695862"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14</xdr:col>
      <xdr:colOff>65195</xdr:colOff>
      <xdr:row>0</xdr:row>
      <xdr:rowOff>0</xdr:rowOff>
    </xdr:from>
    <xdr:to>
      <xdr:col>17</xdr:col>
      <xdr:colOff>207444</xdr:colOff>
      <xdr:row>0</xdr:row>
      <xdr:rowOff>561977</xdr:rowOff>
    </xdr:to>
    <xdr:sp macro="[0]!Navigate_Repair_Estimator" textlink="">
      <xdr:nvSpPr>
        <xdr:cNvPr id="33" name="TextBox 32">
          <a:extLst>
            <a:ext uri="{FF2B5EF4-FFF2-40B4-BE49-F238E27FC236}">
              <a16:creationId xmlns:a16="http://schemas.microsoft.com/office/drawing/2014/main" id="{68F3BDF1-FE3C-48A1-96A3-310AD4BE1CF0}"/>
            </a:ext>
          </a:extLst>
        </xdr:cNvPr>
        <xdr:cNvSpPr txBox="1">
          <a:spLocks noChangeAspect="1"/>
        </xdr:cNvSpPr>
      </xdr:nvSpPr>
      <xdr:spPr>
        <a:xfrm>
          <a:off x="7745519" y="0"/>
          <a:ext cx="1684242"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7</xdr:col>
      <xdr:colOff>256737</xdr:colOff>
      <xdr:row>0</xdr:row>
      <xdr:rowOff>0</xdr:rowOff>
    </xdr:from>
    <xdr:to>
      <xdr:col>10</xdr:col>
      <xdr:colOff>401742</xdr:colOff>
      <xdr:row>0</xdr:row>
      <xdr:rowOff>561977</xdr:rowOff>
    </xdr:to>
    <xdr:sp macro="[0]!Navigate_Home" textlink="">
      <xdr:nvSpPr>
        <xdr:cNvPr id="35" name="TextBox 34">
          <a:extLst>
            <a:ext uri="{FF2B5EF4-FFF2-40B4-BE49-F238E27FC236}">
              <a16:creationId xmlns:a16="http://schemas.microsoft.com/office/drawing/2014/main" id="{CAB38AA5-33AC-4F80-98DF-17485116D62F}"/>
            </a:ext>
          </a:extLst>
        </xdr:cNvPr>
        <xdr:cNvSpPr txBox="1">
          <a:spLocks noChangeAspect="1"/>
        </xdr:cNvSpPr>
      </xdr:nvSpPr>
      <xdr:spPr>
        <a:xfrm>
          <a:off x="4332378" y="0"/>
          <a:ext cx="1686997"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22</xdr:col>
      <xdr:colOff>170814</xdr:colOff>
      <xdr:row>0</xdr:row>
      <xdr:rowOff>153469</xdr:rowOff>
    </xdr:from>
    <xdr:to>
      <xdr:col>22</xdr:col>
      <xdr:colOff>436379</xdr:colOff>
      <xdr:row>0</xdr:row>
      <xdr:rowOff>428834</xdr:rowOff>
    </xdr:to>
    <xdr:pic>
      <xdr:nvPicPr>
        <xdr:cNvPr id="36" name="Picture 35" title="Help">
          <a:hlinkClick xmlns:r="http://schemas.openxmlformats.org/officeDocument/2006/relationships" r:id="rId7"/>
          <a:extLst>
            <a:ext uri="{FF2B5EF4-FFF2-40B4-BE49-F238E27FC236}">
              <a16:creationId xmlns:a16="http://schemas.microsoft.com/office/drawing/2014/main" id="{BD12DE87-4EFA-4A97-8D67-654C238D9484}"/>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1964881" y="153469"/>
          <a:ext cx="265565" cy="276424"/>
        </a:xfrm>
        <a:prstGeom prst="rect">
          <a:avLst/>
        </a:prstGeom>
      </xdr:spPr>
    </xdr:pic>
    <xdr:clientData/>
  </xdr:twoCellAnchor>
  <xdr:twoCellAnchor editAs="absolute">
    <xdr:from>
      <xdr:col>21</xdr:col>
      <xdr:colOff>134833</xdr:colOff>
      <xdr:row>0</xdr:row>
      <xdr:rowOff>152516</xdr:rowOff>
    </xdr:from>
    <xdr:to>
      <xdr:col>21</xdr:col>
      <xdr:colOff>418466</xdr:colOff>
      <xdr:row>0</xdr:row>
      <xdr:rowOff>428939</xdr:rowOff>
    </xdr:to>
    <xdr:pic macro="[0]!Navigate_Info_Sheet">
      <xdr:nvPicPr>
        <xdr:cNvPr id="44" name="Picture 43">
          <a:extLst>
            <a:ext uri="{FF2B5EF4-FFF2-40B4-BE49-F238E27FC236}">
              <a16:creationId xmlns:a16="http://schemas.microsoft.com/office/drawing/2014/main" id="{3E424EB5-FBB6-4FEE-B4D1-65159FEC2D6E}"/>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1410316" y="152516"/>
          <a:ext cx="285750" cy="277482"/>
        </a:xfrm>
        <a:prstGeom prst="rect">
          <a:avLst/>
        </a:prstGeom>
      </xdr:spPr>
    </xdr:pic>
    <xdr:clientData/>
  </xdr:twoCellAnchor>
  <xdr:twoCellAnchor editAs="absolute">
    <xdr:from>
      <xdr:col>0</xdr:col>
      <xdr:colOff>0</xdr:colOff>
      <xdr:row>0</xdr:row>
      <xdr:rowOff>0</xdr:rowOff>
    </xdr:from>
    <xdr:to>
      <xdr:col>3</xdr:col>
      <xdr:colOff>209565</xdr:colOff>
      <xdr:row>0</xdr:row>
      <xdr:rowOff>563882</xdr:rowOff>
    </xdr:to>
    <xdr:sp macro="" textlink="">
      <xdr:nvSpPr>
        <xdr:cNvPr id="47" name="TextBox 46">
          <a:extLst>
            <a:ext uri="{FF2B5EF4-FFF2-40B4-BE49-F238E27FC236}">
              <a16:creationId xmlns:a16="http://schemas.microsoft.com/office/drawing/2014/main" id="{4F5E218E-C310-416D-A1AC-25D39BDAEEBE}"/>
            </a:ext>
          </a:extLst>
        </xdr:cNvPr>
        <xdr:cNvSpPr txBox="1">
          <a:spLocks noChangeAspect="1"/>
        </xdr:cNvSpPr>
      </xdr:nvSpPr>
      <xdr:spPr>
        <a:xfrm>
          <a:off x="0" y="0"/>
          <a:ext cx="1664773" cy="562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561975</xdr:colOff>
      <xdr:row>1</xdr:row>
      <xdr:rowOff>142875</xdr:rowOff>
    </xdr:from>
    <xdr:to>
      <xdr:col>18</xdr:col>
      <xdr:colOff>255382</xdr:colOff>
      <xdr:row>2</xdr:row>
      <xdr:rowOff>219807</xdr:rowOff>
    </xdr:to>
    <xdr:sp macro="[0]!Comps_Map_Show_Hide" textlink="">
      <xdr:nvSpPr>
        <xdr:cNvPr id="62" name="Rectangle 61">
          <a:extLst>
            <a:ext uri="{FF2B5EF4-FFF2-40B4-BE49-F238E27FC236}">
              <a16:creationId xmlns:a16="http://schemas.microsoft.com/office/drawing/2014/main" id="{AC0965FE-4582-43A8-BBB2-42FEBACE8901}"/>
            </a:ext>
          </a:extLst>
        </xdr:cNvPr>
        <xdr:cNvSpPr/>
      </xdr:nvSpPr>
      <xdr:spPr>
        <a:xfrm>
          <a:off x="11706225" y="723900"/>
          <a:ext cx="264907" cy="267432"/>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14</xdr:col>
      <xdr:colOff>257175</xdr:colOff>
      <xdr:row>1</xdr:row>
      <xdr:rowOff>152400</xdr:rowOff>
    </xdr:from>
    <xdr:to>
      <xdr:col>14</xdr:col>
      <xdr:colOff>522082</xdr:colOff>
      <xdr:row>2</xdr:row>
      <xdr:rowOff>229332</xdr:rowOff>
    </xdr:to>
    <xdr:sp macro="[0]!Comps_Detailed_Show_Hide" textlink="">
      <xdr:nvSpPr>
        <xdr:cNvPr id="61" name="Rectangle 60">
          <a:extLst>
            <a:ext uri="{FF2B5EF4-FFF2-40B4-BE49-F238E27FC236}">
              <a16:creationId xmlns:a16="http://schemas.microsoft.com/office/drawing/2014/main" id="{8B78471B-5626-4DD7-8927-42E8FB87A86D}"/>
            </a:ext>
          </a:extLst>
        </xdr:cNvPr>
        <xdr:cNvSpPr/>
      </xdr:nvSpPr>
      <xdr:spPr>
        <a:xfrm>
          <a:off x="9525000" y="733425"/>
          <a:ext cx="264907" cy="267432"/>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10</xdr:col>
      <xdr:colOff>647700</xdr:colOff>
      <xdr:row>1</xdr:row>
      <xdr:rowOff>133350</xdr:rowOff>
    </xdr:from>
    <xdr:to>
      <xdr:col>11</xdr:col>
      <xdr:colOff>169657</xdr:colOff>
      <xdr:row>2</xdr:row>
      <xdr:rowOff>210282</xdr:rowOff>
    </xdr:to>
    <xdr:sp macro="[0]!Comparables_Summary_Show_Hide" textlink="">
      <xdr:nvSpPr>
        <xdr:cNvPr id="60" name="Rectangle 59">
          <a:extLst>
            <a:ext uri="{FF2B5EF4-FFF2-40B4-BE49-F238E27FC236}">
              <a16:creationId xmlns:a16="http://schemas.microsoft.com/office/drawing/2014/main" id="{FAE59E0E-5BF4-4760-8F7D-94CDBE2E2263}"/>
            </a:ext>
          </a:extLst>
        </xdr:cNvPr>
        <xdr:cNvSpPr/>
      </xdr:nvSpPr>
      <xdr:spPr>
        <a:xfrm>
          <a:off x="7458075" y="714375"/>
          <a:ext cx="264907" cy="267432"/>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54057</xdr:colOff>
      <xdr:row>96</xdr:row>
      <xdr:rowOff>116985</xdr:rowOff>
    </xdr:from>
    <xdr:to>
      <xdr:col>19</xdr:col>
      <xdr:colOff>204107</xdr:colOff>
      <xdr:row>116</xdr:row>
      <xdr:rowOff>134591</xdr:rowOff>
    </xdr:to>
    <xdr:pic>
      <xdr:nvPicPr>
        <xdr:cNvPr id="2" name="Picture 1">
          <a:extLst>
            <a:ext uri="{FF2B5EF4-FFF2-40B4-BE49-F238E27FC236}">
              <a16:creationId xmlns:a16="http://schemas.microsoft.com/office/drawing/2014/main" id="{3277D8D5-1440-45E2-8DFD-A2877FF3BB3A}"/>
            </a:ext>
          </a:extLst>
        </xdr:cNvPr>
        <xdr:cNvPicPr>
          <a:picLocks noChangeAspect="1"/>
        </xdr:cNvPicPr>
      </xdr:nvPicPr>
      <xdr:blipFill>
        <a:blip xmlns:r="http://schemas.openxmlformats.org/officeDocument/2006/relationships" r:embed="rId1"/>
        <a:stretch>
          <a:fillRect/>
        </a:stretch>
      </xdr:blipFill>
      <xdr:spPr>
        <a:xfrm>
          <a:off x="5714628" y="20650164"/>
          <a:ext cx="6953622" cy="4603213"/>
        </a:xfrm>
        <a:prstGeom prst="rect">
          <a:avLst/>
        </a:prstGeom>
      </xdr:spPr>
    </xdr:pic>
    <xdr:clientData/>
  </xdr:twoCellAnchor>
  <xdr:twoCellAnchor>
    <xdr:from>
      <xdr:col>14</xdr:col>
      <xdr:colOff>587752</xdr:colOff>
      <xdr:row>1</xdr:row>
      <xdr:rowOff>76201</xdr:rowOff>
    </xdr:from>
    <xdr:to>
      <xdr:col>18</xdr:col>
      <xdr:colOff>5043</xdr:colOff>
      <xdr:row>3</xdr:row>
      <xdr:rowOff>8966</xdr:rowOff>
    </xdr:to>
    <xdr:sp macro="[0]!Comps_Detailed_Show_Hide" textlink="">
      <xdr:nvSpPr>
        <xdr:cNvPr id="3" name="TextBox 2">
          <a:extLst>
            <a:ext uri="{FF2B5EF4-FFF2-40B4-BE49-F238E27FC236}">
              <a16:creationId xmlns:a16="http://schemas.microsoft.com/office/drawing/2014/main" id="{695F7164-0440-4AE5-994B-16562B0DD801}"/>
            </a:ext>
          </a:extLst>
        </xdr:cNvPr>
        <xdr:cNvSpPr txBox="1"/>
      </xdr:nvSpPr>
      <xdr:spPr>
        <a:xfrm>
          <a:off x="9617452" y="655321"/>
          <a:ext cx="1802351" cy="389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chemeClr val="tx1">
                  <a:lumMod val="75000"/>
                  <a:lumOff val="25000"/>
                </a:schemeClr>
              </a:solidFill>
              <a:latin typeface="Calibri Light" panose="020F0302020204030204" pitchFamily="34" charset="0"/>
            </a:rPr>
            <a:t>Detailed</a:t>
          </a:r>
          <a:r>
            <a:rPr lang="en-US" sz="1200" b="0" i="1" baseline="0">
              <a:solidFill>
                <a:schemeClr val="tx1">
                  <a:lumMod val="75000"/>
                  <a:lumOff val="25000"/>
                </a:schemeClr>
              </a:solidFill>
              <a:latin typeface="Calibri Light" panose="020F0302020204030204" pitchFamily="34" charset="0"/>
            </a:rPr>
            <a:t> Comps</a:t>
          </a:r>
          <a:endParaRPr lang="en-US" sz="1200" b="0" i="1">
            <a:solidFill>
              <a:schemeClr val="tx1">
                <a:lumMod val="75000"/>
                <a:lumOff val="25000"/>
              </a:schemeClr>
            </a:solidFill>
            <a:latin typeface="Calibri Light" panose="020F0302020204030204" pitchFamily="34" charset="0"/>
          </a:endParaRPr>
        </a:p>
      </xdr:txBody>
    </xdr:sp>
    <xdr:clientData/>
  </xdr:twoCellAnchor>
  <xdr:twoCellAnchor>
    <xdr:from>
      <xdr:col>11</xdr:col>
      <xdr:colOff>242756</xdr:colOff>
      <xdr:row>1</xdr:row>
      <xdr:rowOff>64995</xdr:rowOff>
    </xdr:from>
    <xdr:to>
      <xdr:col>14</xdr:col>
      <xdr:colOff>262922</xdr:colOff>
      <xdr:row>2</xdr:row>
      <xdr:rowOff>264460</xdr:rowOff>
    </xdr:to>
    <xdr:sp macro="[0]!Comparables_Summary_Show_Hide" textlink="">
      <xdr:nvSpPr>
        <xdr:cNvPr id="4" name="TextBox 3">
          <a:extLst>
            <a:ext uri="{FF2B5EF4-FFF2-40B4-BE49-F238E27FC236}">
              <a16:creationId xmlns:a16="http://schemas.microsoft.com/office/drawing/2014/main" id="{864DB563-30C5-4B79-A6B8-701E79282B05}"/>
            </a:ext>
          </a:extLst>
        </xdr:cNvPr>
        <xdr:cNvSpPr txBox="1"/>
      </xdr:nvSpPr>
      <xdr:spPr>
        <a:xfrm>
          <a:off x="7796081" y="646020"/>
          <a:ext cx="1734666" cy="389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chemeClr val="tx1">
                  <a:lumMod val="75000"/>
                  <a:lumOff val="25000"/>
                </a:schemeClr>
              </a:solidFill>
              <a:latin typeface="Calibri Light" panose="020F0302020204030204" pitchFamily="34" charset="0"/>
            </a:rPr>
            <a:t>Summary</a:t>
          </a:r>
        </a:p>
      </xdr:txBody>
    </xdr:sp>
    <xdr:clientData/>
  </xdr:twoCellAnchor>
  <xdr:twoCellAnchor>
    <xdr:from>
      <xdr:col>6</xdr:col>
      <xdr:colOff>561975</xdr:colOff>
      <xdr:row>1</xdr:row>
      <xdr:rowOff>72840</xdr:rowOff>
    </xdr:from>
    <xdr:to>
      <xdr:col>10</xdr:col>
      <xdr:colOff>422602</xdr:colOff>
      <xdr:row>3</xdr:row>
      <xdr:rowOff>5605</xdr:rowOff>
    </xdr:to>
    <xdr:sp macro="" textlink="">
      <xdr:nvSpPr>
        <xdr:cNvPr id="6" name="TextBox 5">
          <a:extLst>
            <a:ext uri="{FF2B5EF4-FFF2-40B4-BE49-F238E27FC236}">
              <a16:creationId xmlns:a16="http://schemas.microsoft.com/office/drawing/2014/main" id="{D0650571-E071-4024-BE5C-109CE1A85558}"/>
            </a:ext>
          </a:extLst>
        </xdr:cNvPr>
        <xdr:cNvSpPr txBox="1"/>
      </xdr:nvSpPr>
      <xdr:spPr>
        <a:xfrm>
          <a:off x="5000625" y="653865"/>
          <a:ext cx="2232352" cy="389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200" b="0" i="1">
              <a:solidFill>
                <a:schemeClr val="tx1">
                  <a:lumMod val="75000"/>
                  <a:lumOff val="25000"/>
                </a:schemeClr>
              </a:solidFill>
              <a:latin typeface="Calibri Light" panose="020F0302020204030204" pitchFamily="34" charset="0"/>
            </a:rPr>
            <a:t>Select the Pages</a:t>
          </a:r>
          <a:r>
            <a:rPr lang="en-US" sz="1200" b="0" i="1" baseline="0">
              <a:solidFill>
                <a:schemeClr val="tx1">
                  <a:lumMod val="75000"/>
                  <a:lumOff val="25000"/>
                </a:schemeClr>
              </a:solidFill>
              <a:latin typeface="Calibri Light" panose="020F0302020204030204" pitchFamily="34" charset="0"/>
            </a:rPr>
            <a:t> Shown:</a:t>
          </a:r>
          <a:endParaRPr lang="en-US" sz="1200" b="0" i="1">
            <a:solidFill>
              <a:schemeClr val="tx1">
                <a:lumMod val="75000"/>
                <a:lumOff val="25000"/>
              </a:schemeClr>
            </a:solidFill>
            <a:latin typeface="Calibri Light" panose="020F0302020204030204" pitchFamily="34" charset="0"/>
          </a:endParaRPr>
        </a:p>
      </xdr:txBody>
    </xdr:sp>
    <xdr:clientData/>
  </xdr:twoCellAnchor>
  <xdr:twoCellAnchor>
    <xdr:from>
      <xdr:col>18</xdr:col>
      <xdr:colOff>302140</xdr:colOff>
      <xdr:row>1</xdr:row>
      <xdr:rowOff>76201</xdr:rowOff>
    </xdr:from>
    <xdr:to>
      <xdr:col>21</xdr:col>
      <xdr:colOff>438151</xdr:colOff>
      <xdr:row>3</xdr:row>
      <xdr:rowOff>8966</xdr:rowOff>
    </xdr:to>
    <xdr:sp macro="[0]!Comps_Map_Show_Hide" textlink="">
      <xdr:nvSpPr>
        <xdr:cNvPr id="7" name="TextBox 6">
          <a:extLst>
            <a:ext uri="{FF2B5EF4-FFF2-40B4-BE49-F238E27FC236}">
              <a16:creationId xmlns:a16="http://schemas.microsoft.com/office/drawing/2014/main" id="{CF199A1C-BBF2-49C7-982C-8564CCAECDD3}"/>
            </a:ext>
          </a:extLst>
        </xdr:cNvPr>
        <xdr:cNvSpPr txBox="1"/>
      </xdr:nvSpPr>
      <xdr:spPr>
        <a:xfrm>
          <a:off x="11716900" y="655321"/>
          <a:ext cx="1972431" cy="389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chemeClr val="tx1">
                  <a:lumMod val="75000"/>
                  <a:lumOff val="25000"/>
                </a:schemeClr>
              </a:solidFill>
              <a:latin typeface="Calibri Light" panose="020F0302020204030204" pitchFamily="34" charset="0"/>
            </a:rPr>
            <a:t>Comparables Map</a:t>
          </a:r>
        </a:p>
      </xdr:txBody>
    </xdr:sp>
    <xdr:clientData/>
  </xdr:twoCellAnchor>
  <xdr:twoCellAnchor>
    <xdr:from>
      <xdr:col>25</xdr:col>
      <xdr:colOff>192901</xdr:colOff>
      <xdr:row>109</xdr:row>
      <xdr:rowOff>44825</xdr:rowOff>
    </xdr:from>
    <xdr:to>
      <xdr:col>25</xdr:col>
      <xdr:colOff>560108</xdr:colOff>
      <xdr:row>110</xdr:row>
      <xdr:rowOff>177752</xdr:rowOff>
    </xdr:to>
    <xdr:pic>
      <xdr:nvPicPr>
        <xdr:cNvPr id="33" name="Picture 32">
          <a:extLst>
            <a:ext uri="{FF2B5EF4-FFF2-40B4-BE49-F238E27FC236}">
              <a16:creationId xmlns:a16="http://schemas.microsoft.com/office/drawing/2014/main" id="{B609D101-D8AD-41FA-AE30-DF8C3C76CA7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5842476" y="43802675"/>
          <a:ext cx="367207" cy="361527"/>
        </a:xfrm>
        <a:prstGeom prst="rect">
          <a:avLst/>
        </a:prstGeom>
      </xdr:spPr>
    </xdr:pic>
    <xdr:clientData/>
  </xdr:twoCellAnchor>
  <xdr:twoCellAnchor>
    <xdr:from>
      <xdr:col>6</xdr:col>
      <xdr:colOff>485260</xdr:colOff>
      <xdr:row>119</xdr:row>
      <xdr:rowOff>57049</xdr:rowOff>
    </xdr:from>
    <xdr:to>
      <xdr:col>7</xdr:col>
      <xdr:colOff>65324</xdr:colOff>
      <xdr:row>119</xdr:row>
      <xdr:rowOff>238024</xdr:rowOff>
    </xdr:to>
    <xdr:pic>
      <xdr:nvPicPr>
        <xdr:cNvPr id="34" name="Picture 33">
          <a:extLst>
            <a:ext uri="{FF2B5EF4-FFF2-40B4-BE49-F238E27FC236}">
              <a16:creationId xmlns:a16="http://schemas.microsoft.com/office/drawing/2014/main" id="{ABED5FC6-4278-46A9-BBF1-4FAA64E960D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723885" y="27965299"/>
          <a:ext cx="234908" cy="180975"/>
        </a:xfrm>
        <a:prstGeom prst="rect">
          <a:avLst/>
        </a:prstGeom>
      </xdr:spPr>
    </xdr:pic>
    <xdr:clientData/>
  </xdr:twoCellAnchor>
  <xdr:twoCellAnchor>
    <xdr:from>
      <xdr:col>25</xdr:col>
      <xdr:colOff>694306</xdr:colOff>
      <xdr:row>109</xdr:row>
      <xdr:rowOff>67235</xdr:rowOff>
    </xdr:from>
    <xdr:to>
      <xdr:col>26</xdr:col>
      <xdr:colOff>272726</xdr:colOff>
      <xdr:row>110</xdr:row>
      <xdr:rowOff>200162</xdr:rowOff>
    </xdr:to>
    <xdr:pic>
      <xdr:nvPicPr>
        <xdr:cNvPr id="35" name="Picture 34">
          <a:extLst>
            <a:ext uri="{FF2B5EF4-FFF2-40B4-BE49-F238E27FC236}">
              <a16:creationId xmlns:a16="http://schemas.microsoft.com/office/drawing/2014/main" id="{B8F3E60B-819F-4036-BBE8-29DEAE0519EB}"/>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5041337" y="23939266"/>
          <a:ext cx="352327" cy="359146"/>
        </a:xfrm>
        <a:prstGeom prst="rect">
          <a:avLst/>
        </a:prstGeom>
      </xdr:spPr>
    </xdr:pic>
    <xdr:clientData/>
  </xdr:twoCellAnchor>
  <xdr:twoCellAnchor>
    <xdr:from>
      <xdr:col>26</xdr:col>
      <xdr:colOff>537311</xdr:colOff>
      <xdr:row>109</xdr:row>
      <xdr:rowOff>60352</xdr:rowOff>
    </xdr:from>
    <xdr:to>
      <xdr:col>27</xdr:col>
      <xdr:colOff>117055</xdr:colOff>
      <xdr:row>110</xdr:row>
      <xdr:rowOff>193279</xdr:rowOff>
    </xdr:to>
    <xdr:pic>
      <xdr:nvPicPr>
        <xdr:cNvPr id="36" name="Picture 35">
          <a:extLst>
            <a:ext uri="{FF2B5EF4-FFF2-40B4-BE49-F238E27FC236}">
              <a16:creationId xmlns:a16="http://schemas.microsoft.com/office/drawing/2014/main" id="{7D1EFECA-83FA-44D9-AEE2-03D872A50BDF}"/>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5658249" y="23932383"/>
          <a:ext cx="353650" cy="359146"/>
        </a:xfrm>
        <a:prstGeom prst="rect">
          <a:avLst/>
        </a:prstGeom>
      </xdr:spPr>
    </xdr:pic>
    <xdr:clientData/>
  </xdr:twoCellAnchor>
  <xdr:twoCellAnchor>
    <xdr:from>
      <xdr:col>27</xdr:col>
      <xdr:colOff>394092</xdr:colOff>
      <xdr:row>109</xdr:row>
      <xdr:rowOff>64676</xdr:rowOff>
    </xdr:from>
    <xdr:to>
      <xdr:col>27</xdr:col>
      <xdr:colOff>747741</xdr:colOff>
      <xdr:row>110</xdr:row>
      <xdr:rowOff>197603</xdr:rowOff>
    </xdr:to>
    <xdr:pic>
      <xdr:nvPicPr>
        <xdr:cNvPr id="37" name="Picture 36">
          <a:extLst>
            <a:ext uri="{FF2B5EF4-FFF2-40B4-BE49-F238E27FC236}">
              <a16:creationId xmlns:a16="http://schemas.microsoft.com/office/drawing/2014/main" id="{712F8D25-BA4C-4D71-8DAE-79340D1E9D4B}"/>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6288936" y="23936707"/>
          <a:ext cx="353649" cy="359146"/>
        </a:xfrm>
        <a:prstGeom prst="rect">
          <a:avLst/>
        </a:prstGeom>
      </xdr:spPr>
    </xdr:pic>
    <xdr:clientData/>
  </xdr:twoCellAnchor>
  <xdr:twoCellAnchor>
    <xdr:from>
      <xdr:col>28</xdr:col>
      <xdr:colOff>252117</xdr:colOff>
      <xdr:row>109</xdr:row>
      <xdr:rowOff>68998</xdr:rowOff>
    </xdr:from>
    <xdr:to>
      <xdr:col>28</xdr:col>
      <xdr:colOff>604444</xdr:colOff>
      <xdr:row>110</xdr:row>
      <xdr:rowOff>201925</xdr:rowOff>
    </xdr:to>
    <xdr:pic>
      <xdr:nvPicPr>
        <xdr:cNvPr id="38" name="Picture 37">
          <a:extLst>
            <a:ext uri="{FF2B5EF4-FFF2-40B4-BE49-F238E27FC236}">
              <a16:creationId xmlns:a16="http://schemas.microsoft.com/office/drawing/2014/main" id="{A33A72D0-FF29-42FE-B900-4A4EEC20EFA2}"/>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6920867" y="23941029"/>
          <a:ext cx="352327" cy="359146"/>
        </a:xfrm>
        <a:prstGeom prst="rect">
          <a:avLst/>
        </a:prstGeom>
      </xdr:spPr>
    </xdr:pic>
    <xdr:clientData/>
  </xdr:twoCellAnchor>
  <xdr:twoCellAnchor>
    <xdr:from>
      <xdr:col>6</xdr:col>
      <xdr:colOff>462943</xdr:colOff>
      <xdr:row>120</xdr:row>
      <xdr:rowOff>74820</xdr:rowOff>
    </xdr:from>
    <xdr:to>
      <xdr:col>7</xdr:col>
      <xdr:colOff>36699</xdr:colOff>
      <xdr:row>121</xdr:row>
      <xdr:rowOff>65295</xdr:rowOff>
    </xdr:to>
    <xdr:pic>
      <xdr:nvPicPr>
        <xdr:cNvPr id="39" name="Picture 38">
          <a:extLst>
            <a:ext uri="{FF2B5EF4-FFF2-40B4-BE49-F238E27FC236}">
              <a16:creationId xmlns:a16="http://schemas.microsoft.com/office/drawing/2014/main" id="{2613704B-1995-48C9-9A2F-AE6136F9D12C}"/>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701568" y="28221195"/>
          <a:ext cx="228600" cy="228600"/>
        </a:xfrm>
        <a:prstGeom prst="rect">
          <a:avLst/>
        </a:prstGeom>
      </xdr:spPr>
    </xdr:pic>
    <xdr:clientData/>
  </xdr:twoCellAnchor>
  <xdr:twoCellAnchor>
    <xdr:from>
      <xdr:col>6</xdr:col>
      <xdr:colOff>467966</xdr:colOff>
      <xdr:row>121</xdr:row>
      <xdr:rowOff>78442</xdr:rowOff>
    </xdr:from>
    <xdr:to>
      <xdr:col>7</xdr:col>
      <xdr:colOff>41722</xdr:colOff>
      <xdr:row>122</xdr:row>
      <xdr:rowOff>68917</xdr:rowOff>
    </xdr:to>
    <xdr:pic>
      <xdr:nvPicPr>
        <xdr:cNvPr id="40" name="Picture 39">
          <a:extLst>
            <a:ext uri="{FF2B5EF4-FFF2-40B4-BE49-F238E27FC236}">
              <a16:creationId xmlns:a16="http://schemas.microsoft.com/office/drawing/2014/main" id="{DF88C2D0-EE66-4F9A-A30F-710B7F0AB50B}"/>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706591" y="28462942"/>
          <a:ext cx="228600" cy="228600"/>
        </a:xfrm>
        <a:prstGeom prst="rect">
          <a:avLst/>
        </a:prstGeom>
      </xdr:spPr>
    </xdr:pic>
    <xdr:clientData/>
  </xdr:twoCellAnchor>
  <xdr:twoCellAnchor>
    <xdr:from>
      <xdr:col>6</xdr:col>
      <xdr:colOff>472290</xdr:colOff>
      <xdr:row>122</xdr:row>
      <xdr:rowOff>71559</xdr:rowOff>
    </xdr:from>
    <xdr:to>
      <xdr:col>7</xdr:col>
      <xdr:colOff>46046</xdr:colOff>
      <xdr:row>123</xdr:row>
      <xdr:rowOff>62034</xdr:rowOff>
    </xdr:to>
    <xdr:pic>
      <xdr:nvPicPr>
        <xdr:cNvPr id="41" name="Picture 40">
          <a:extLst>
            <a:ext uri="{FF2B5EF4-FFF2-40B4-BE49-F238E27FC236}">
              <a16:creationId xmlns:a16="http://schemas.microsoft.com/office/drawing/2014/main" id="{8AA5B63B-C7D8-4CDB-8DB7-3CEFC077AB58}"/>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710915" y="28694184"/>
          <a:ext cx="228600" cy="228600"/>
        </a:xfrm>
        <a:prstGeom prst="rect">
          <a:avLst/>
        </a:prstGeom>
      </xdr:spPr>
    </xdr:pic>
    <xdr:clientData/>
  </xdr:twoCellAnchor>
  <xdr:twoCellAnchor>
    <xdr:from>
      <xdr:col>5</xdr:col>
      <xdr:colOff>217395</xdr:colOff>
      <xdr:row>2</xdr:row>
      <xdr:rowOff>84297</xdr:rowOff>
    </xdr:from>
    <xdr:to>
      <xdr:col>7</xdr:col>
      <xdr:colOff>382541</xdr:colOff>
      <xdr:row>3</xdr:row>
      <xdr:rowOff>103347</xdr:rowOff>
    </xdr:to>
    <xdr:sp macro="[0]!Navigate_Comparables" textlink="">
      <xdr:nvSpPr>
        <xdr:cNvPr id="44" name="TextBox 43">
          <a:extLst>
            <a:ext uri="{FF2B5EF4-FFF2-40B4-BE49-F238E27FC236}">
              <a16:creationId xmlns:a16="http://schemas.microsoft.com/office/drawing/2014/main" id="{2C828FA7-16FE-4C65-8F1B-B17B20B7F1A5}"/>
            </a:ext>
          </a:extLst>
        </xdr:cNvPr>
        <xdr:cNvSpPr txBox="1"/>
      </xdr:nvSpPr>
      <xdr:spPr>
        <a:xfrm>
          <a:off x="3905475" y="853917"/>
          <a:ext cx="1445306"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Comps</a:t>
          </a:r>
          <a:endParaRPr lang="en-US" sz="1100" b="0" i="1" u="sng">
            <a:solidFill>
              <a:srgbClr val="289FE8"/>
            </a:solidFill>
            <a:latin typeface="Calibri Light" panose="020F0302020204030204" pitchFamily="34" charset="0"/>
          </a:endParaRPr>
        </a:p>
      </xdr:txBody>
    </xdr:sp>
    <xdr:clientData/>
  </xdr:twoCellAnchor>
  <xdr:twoCellAnchor>
    <xdr:from>
      <xdr:col>6</xdr:col>
      <xdr:colOff>150719</xdr:colOff>
      <xdr:row>1</xdr:row>
      <xdr:rowOff>43153</xdr:rowOff>
    </xdr:from>
    <xdr:to>
      <xdr:col>6</xdr:col>
      <xdr:colOff>436205</xdr:colOff>
      <xdr:row>2</xdr:row>
      <xdr:rowOff>138139</xdr:rowOff>
    </xdr:to>
    <xdr:pic macro="[0]!Navigate_Comparables">
      <xdr:nvPicPr>
        <xdr:cNvPr id="45" name="Picture 44">
          <a:extLst>
            <a:ext uri="{FF2B5EF4-FFF2-40B4-BE49-F238E27FC236}">
              <a16:creationId xmlns:a16="http://schemas.microsoft.com/office/drawing/2014/main" id="{561427B2-5F40-4D04-818A-EDE27EE23C19}"/>
            </a:ext>
          </a:extLst>
        </xdr:cNvPr>
        <xdr:cNvPicPr>
          <a:picLocks noChangeAspect="1"/>
        </xdr:cNvPicPr>
      </xdr:nvPicPr>
      <xdr:blipFill>
        <a:blip xmlns:r="http://schemas.openxmlformats.org/officeDocument/2006/relationships" r:embed="rId11"/>
        <a:stretch>
          <a:fillRect/>
        </a:stretch>
      </xdr:blipFill>
      <xdr:spPr>
        <a:xfrm>
          <a:off x="4532219" y="624178"/>
          <a:ext cx="285486" cy="285486"/>
        </a:xfrm>
        <a:prstGeom prst="rect">
          <a:avLst/>
        </a:prstGeom>
      </xdr:spPr>
    </xdr:pic>
    <xdr:clientData/>
  </xdr:twoCellAnchor>
  <xdr:twoCellAnchor>
    <xdr:from>
      <xdr:col>18</xdr:col>
      <xdr:colOff>163165</xdr:colOff>
      <xdr:row>49</xdr:row>
      <xdr:rowOff>90727</xdr:rowOff>
    </xdr:from>
    <xdr:to>
      <xdr:col>22</xdr:col>
      <xdr:colOff>408213</xdr:colOff>
      <xdr:row>63</xdr:row>
      <xdr:rowOff>148519</xdr:rowOff>
    </xdr:to>
    <xdr:pic>
      <xdr:nvPicPr>
        <xdr:cNvPr id="31" name="Picture 30">
          <a:extLst>
            <a:ext uri="{FF2B5EF4-FFF2-40B4-BE49-F238E27FC236}">
              <a16:creationId xmlns:a16="http://schemas.microsoft.com/office/drawing/2014/main" id="{46ED55AF-AB6B-4A2B-91EE-80E140B907CC}"/>
            </a:ext>
          </a:extLst>
        </xdr:cNvPr>
        <xdr:cNvPicPr>
          <a:picLocks noChangeAspect="1"/>
        </xdr:cNvPicPr>
      </xdr:nvPicPr>
      <xdr:blipFill>
        <a:blip xmlns:r="http://schemas.openxmlformats.org/officeDocument/2006/relationships" r:embed="rId12"/>
        <a:stretch>
          <a:fillRect/>
        </a:stretch>
      </xdr:blipFill>
      <xdr:spPr>
        <a:xfrm>
          <a:off x="11878915" y="11234977"/>
          <a:ext cx="2702498" cy="2705742"/>
        </a:xfrm>
        <a:prstGeom prst="rect">
          <a:avLst/>
        </a:prstGeom>
      </xdr:spPr>
    </xdr:pic>
    <xdr:clientData/>
  </xdr:twoCellAnchor>
  <xdr:twoCellAnchor>
    <xdr:from>
      <xdr:col>18</xdr:col>
      <xdr:colOff>138672</xdr:colOff>
      <xdr:row>64</xdr:row>
      <xdr:rowOff>94810</xdr:rowOff>
    </xdr:from>
    <xdr:to>
      <xdr:col>22</xdr:col>
      <xdr:colOff>383720</xdr:colOff>
      <xdr:row>78</xdr:row>
      <xdr:rowOff>117222</xdr:rowOff>
    </xdr:to>
    <xdr:pic>
      <xdr:nvPicPr>
        <xdr:cNvPr id="53" name="Picture 52">
          <a:extLst>
            <a:ext uri="{FF2B5EF4-FFF2-40B4-BE49-F238E27FC236}">
              <a16:creationId xmlns:a16="http://schemas.microsoft.com/office/drawing/2014/main" id="{168638FB-1D42-4CCA-8B05-8B97CE349FB2}"/>
            </a:ext>
          </a:extLst>
        </xdr:cNvPr>
        <xdr:cNvPicPr>
          <a:picLocks noChangeAspect="1"/>
        </xdr:cNvPicPr>
      </xdr:nvPicPr>
      <xdr:blipFill>
        <a:blip xmlns:r="http://schemas.openxmlformats.org/officeDocument/2006/relationships" r:embed="rId12"/>
        <a:stretch>
          <a:fillRect/>
        </a:stretch>
      </xdr:blipFill>
      <xdr:spPr>
        <a:xfrm>
          <a:off x="11854422" y="14137381"/>
          <a:ext cx="2707941" cy="2703020"/>
        </a:xfrm>
        <a:prstGeom prst="rect">
          <a:avLst/>
        </a:prstGeom>
      </xdr:spPr>
    </xdr:pic>
    <xdr:clientData/>
  </xdr:twoCellAnchor>
  <xdr:twoCellAnchor>
    <xdr:from>
      <xdr:col>18</xdr:col>
      <xdr:colOff>111458</xdr:colOff>
      <xdr:row>80</xdr:row>
      <xdr:rowOff>52627</xdr:rowOff>
    </xdr:from>
    <xdr:to>
      <xdr:col>22</xdr:col>
      <xdr:colOff>356506</xdr:colOff>
      <xdr:row>93</xdr:row>
      <xdr:rowOff>51908</xdr:rowOff>
    </xdr:to>
    <xdr:pic>
      <xdr:nvPicPr>
        <xdr:cNvPr id="55" name="Picture 54">
          <a:extLst>
            <a:ext uri="{FF2B5EF4-FFF2-40B4-BE49-F238E27FC236}">
              <a16:creationId xmlns:a16="http://schemas.microsoft.com/office/drawing/2014/main" id="{DAE39FEA-4E09-4258-97AA-3307052903A3}"/>
            </a:ext>
          </a:extLst>
        </xdr:cNvPr>
        <xdr:cNvPicPr>
          <a:picLocks noChangeAspect="1"/>
        </xdr:cNvPicPr>
      </xdr:nvPicPr>
      <xdr:blipFill>
        <a:blip xmlns:r="http://schemas.openxmlformats.org/officeDocument/2006/relationships" r:embed="rId12"/>
        <a:stretch>
          <a:fillRect/>
        </a:stretch>
      </xdr:blipFill>
      <xdr:spPr>
        <a:xfrm>
          <a:off x="11827208" y="17178577"/>
          <a:ext cx="2702498" cy="2761531"/>
        </a:xfrm>
        <a:prstGeom prst="rect">
          <a:avLst/>
        </a:prstGeom>
      </xdr:spPr>
    </xdr:pic>
    <xdr:clientData/>
  </xdr:twoCellAnchor>
  <xdr:twoCellAnchor>
    <xdr:from>
      <xdr:col>10</xdr:col>
      <xdr:colOff>657225</xdr:colOff>
      <xdr:row>1</xdr:row>
      <xdr:rowOff>133350</xdr:rowOff>
    </xdr:from>
    <xdr:to>
      <xdr:col>11</xdr:col>
      <xdr:colOff>182566</xdr:colOff>
      <xdr:row>2</xdr:row>
      <xdr:rowOff>207309</xdr:rowOff>
    </xdr:to>
    <xdr:pic macro="[0]!Comparables_Summary_Show_Hide">
      <xdr:nvPicPr>
        <xdr:cNvPr id="57" name="Comparables_Summary_Check1">
          <a:extLst>
            <a:ext uri="{FF2B5EF4-FFF2-40B4-BE49-F238E27FC236}">
              <a16:creationId xmlns:a16="http://schemas.microsoft.com/office/drawing/2014/main" id="{1A012AC7-8F30-4730-89B2-90959C09456B}"/>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7467600" y="714375"/>
          <a:ext cx="268291" cy="264459"/>
        </a:xfrm>
        <a:prstGeom prst="rect">
          <a:avLst/>
        </a:prstGeom>
      </xdr:spPr>
    </xdr:pic>
    <xdr:clientData/>
  </xdr:twoCellAnchor>
  <xdr:twoCellAnchor>
    <xdr:from>
      <xdr:col>14</xdr:col>
      <xdr:colOff>260985</xdr:colOff>
      <xdr:row>1</xdr:row>
      <xdr:rowOff>158115</xdr:rowOff>
    </xdr:from>
    <xdr:to>
      <xdr:col>14</xdr:col>
      <xdr:colOff>529276</xdr:colOff>
      <xdr:row>2</xdr:row>
      <xdr:rowOff>232074</xdr:rowOff>
    </xdr:to>
    <xdr:pic macro="[0]!Comps_Detailed_Show_Hide">
      <xdr:nvPicPr>
        <xdr:cNvPr id="58" name="Comps_Detail_Check1">
          <a:extLst>
            <a:ext uri="{FF2B5EF4-FFF2-40B4-BE49-F238E27FC236}">
              <a16:creationId xmlns:a16="http://schemas.microsoft.com/office/drawing/2014/main" id="{6053E4C3-ACA5-4835-8583-69CB5CA127B8}"/>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290685" y="737235"/>
          <a:ext cx="268291" cy="264459"/>
        </a:xfrm>
        <a:prstGeom prst="rect">
          <a:avLst/>
        </a:prstGeom>
      </xdr:spPr>
    </xdr:pic>
    <xdr:clientData/>
  </xdr:twoCellAnchor>
  <xdr:twoCellAnchor>
    <xdr:from>
      <xdr:col>17</xdr:col>
      <xdr:colOff>565785</xdr:colOff>
      <xdr:row>1</xdr:row>
      <xdr:rowOff>142875</xdr:rowOff>
    </xdr:from>
    <xdr:to>
      <xdr:col>18</xdr:col>
      <xdr:colOff>262576</xdr:colOff>
      <xdr:row>2</xdr:row>
      <xdr:rowOff>216834</xdr:rowOff>
    </xdr:to>
    <xdr:pic macro="[0]!Comps_Map_Show_Hide">
      <xdr:nvPicPr>
        <xdr:cNvPr id="59" name="Comps_Map_Check1">
          <a:extLst>
            <a:ext uri="{FF2B5EF4-FFF2-40B4-BE49-F238E27FC236}">
              <a16:creationId xmlns:a16="http://schemas.microsoft.com/office/drawing/2014/main" id="{604DAE20-6FAA-4E2A-906A-F8650BA68F6A}"/>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1710035" y="723900"/>
          <a:ext cx="268291" cy="264459"/>
        </a:xfrm>
        <a:prstGeom prst="rect">
          <a:avLst/>
        </a:prstGeom>
      </xdr:spPr>
    </xdr:pic>
    <xdr:clientData/>
  </xdr:twoCellAnchor>
  <xdr:twoCellAnchor editAs="oneCell">
    <xdr:from>
      <xdr:col>12</xdr:col>
      <xdr:colOff>235585</xdr:colOff>
      <xdr:row>50</xdr:row>
      <xdr:rowOff>0</xdr:rowOff>
    </xdr:from>
    <xdr:to>
      <xdr:col>18</xdr:col>
      <xdr:colOff>110299</xdr:colOff>
      <xdr:row>63</xdr:row>
      <xdr:rowOff>133350</xdr:rowOff>
    </xdr:to>
    <xdr:pic>
      <xdr:nvPicPr>
        <xdr:cNvPr id="63" name="Picture 62">
          <a:extLst>
            <a:ext uri="{FF2B5EF4-FFF2-40B4-BE49-F238E27FC236}">
              <a16:creationId xmlns:a16="http://schemas.microsoft.com/office/drawing/2014/main" id="{86690537-9EC5-4C45-9894-C523D55031BD}"/>
            </a:ext>
          </a:extLst>
        </xdr:cNvPr>
        <xdr:cNvPicPr>
          <a:picLocks noChangeAspect="1"/>
        </xdr:cNvPicPr>
      </xdr:nvPicPr>
      <xdr:blipFill>
        <a:blip xmlns:r="http://schemas.openxmlformats.org/officeDocument/2006/relationships" r:embed="rId14"/>
        <a:stretch>
          <a:fillRect/>
        </a:stretch>
      </xdr:blipFill>
      <xdr:spPr>
        <a:xfrm>
          <a:off x="8360410" y="11258550"/>
          <a:ext cx="3465639" cy="2667000"/>
        </a:xfrm>
        <a:prstGeom prst="rect">
          <a:avLst/>
        </a:prstGeom>
        <a:ln>
          <a:solidFill>
            <a:srgbClr val="398CCC"/>
          </a:solidFill>
        </a:ln>
      </xdr:spPr>
    </xdr:pic>
    <xdr:clientData/>
  </xdr:twoCellAnchor>
  <xdr:twoCellAnchor editAs="oneCell">
    <xdr:from>
      <xdr:col>12</xdr:col>
      <xdr:colOff>197485</xdr:colOff>
      <xdr:row>64</xdr:row>
      <xdr:rowOff>152400</xdr:rowOff>
    </xdr:from>
    <xdr:to>
      <xdr:col>18</xdr:col>
      <xdr:colOff>72199</xdr:colOff>
      <xdr:row>78</xdr:row>
      <xdr:rowOff>85725</xdr:rowOff>
    </xdr:to>
    <xdr:pic>
      <xdr:nvPicPr>
        <xdr:cNvPr id="64" name="Picture 63">
          <a:extLst>
            <a:ext uri="{FF2B5EF4-FFF2-40B4-BE49-F238E27FC236}">
              <a16:creationId xmlns:a16="http://schemas.microsoft.com/office/drawing/2014/main" id="{02370AF3-AB3F-47B7-AD14-6CED3C3A9F7C}"/>
            </a:ext>
          </a:extLst>
        </xdr:cNvPr>
        <xdr:cNvPicPr>
          <a:picLocks noChangeAspect="1"/>
        </xdr:cNvPicPr>
      </xdr:nvPicPr>
      <xdr:blipFill>
        <a:blip xmlns:r="http://schemas.openxmlformats.org/officeDocument/2006/relationships" r:embed="rId14"/>
        <a:stretch>
          <a:fillRect/>
        </a:stretch>
      </xdr:blipFill>
      <xdr:spPr>
        <a:xfrm>
          <a:off x="8322310" y="14144625"/>
          <a:ext cx="3465639" cy="2667000"/>
        </a:xfrm>
        <a:prstGeom prst="rect">
          <a:avLst/>
        </a:prstGeom>
        <a:ln>
          <a:solidFill>
            <a:srgbClr val="398CCC"/>
          </a:solidFill>
        </a:ln>
      </xdr:spPr>
    </xdr:pic>
    <xdr:clientData/>
  </xdr:twoCellAnchor>
  <xdr:twoCellAnchor editAs="oneCell">
    <xdr:from>
      <xdr:col>12</xdr:col>
      <xdr:colOff>180975</xdr:colOff>
      <xdr:row>80</xdr:row>
      <xdr:rowOff>104775</xdr:rowOff>
    </xdr:from>
    <xdr:to>
      <xdr:col>18</xdr:col>
      <xdr:colOff>55689</xdr:colOff>
      <xdr:row>93</xdr:row>
      <xdr:rowOff>9525</xdr:rowOff>
    </xdr:to>
    <xdr:pic>
      <xdr:nvPicPr>
        <xdr:cNvPr id="65" name="Picture 64">
          <a:extLst>
            <a:ext uri="{FF2B5EF4-FFF2-40B4-BE49-F238E27FC236}">
              <a16:creationId xmlns:a16="http://schemas.microsoft.com/office/drawing/2014/main" id="{448178B3-5CA1-4D01-A8DE-93C766EF7F61}"/>
            </a:ext>
          </a:extLst>
        </xdr:cNvPr>
        <xdr:cNvPicPr>
          <a:picLocks noChangeAspect="1"/>
        </xdr:cNvPicPr>
      </xdr:nvPicPr>
      <xdr:blipFill>
        <a:blip xmlns:r="http://schemas.openxmlformats.org/officeDocument/2006/relationships" r:embed="rId14"/>
        <a:stretch>
          <a:fillRect/>
        </a:stretch>
      </xdr:blipFill>
      <xdr:spPr>
        <a:xfrm>
          <a:off x="8305800" y="17230725"/>
          <a:ext cx="3465639" cy="2667000"/>
        </a:xfrm>
        <a:prstGeom prst="rect">
          <a:avLst/>
        </a:prstGeom>
        <a:ln>
          <a:solidFill>
            <a:srgbClr val="398CCC"/>
          </a:solidFill>
        </a:ln>
      </xdr:spPr>
    </xdr:pic>
    <xdr:clientData/>
  </xdr:twoCellAnchor>
  <xdr:twoCellAnchor editAs="absolute">
    <xdr:from>
      <xdr:col>19</xdr:col>
      <xdr:colOff>211243</xdr:colOff>
      <xdr:row>0</xdr:row>
      <xdr:rowOff>142028</xdr:rowOff>
    </xdr:from>
    <xdr:to>
      <xdr:col>19</xdr:col>
      <xdr:colOff>486622</xdr:colOff>
      <xdr:row>0</xdr:row>
      <xdr:rowOff>417407</xdr:rowOff>
    </xdr:to>
    <xdr:pic macro="[0]!Hide_Comparables_Report">
      <xdr:nvPicPr>
        <xdr:cNvPr id="54" name="Picture 53">
          <a:extLst>
            <a:ext uri="{FF2B5EF4-FFF2-40B4-BE49-F238E27FC236}">
              <a16:creationId xmlns:a16="http://schemas.microsoft.com/office/drawing/2014/main" id="{1CEAB749-6062-4906-8300-875EFF6732BD}"/>
            </a:ext>
          </a:extLst>
        </xdr:cNvPr>
        <xdr:cNvPicPr>
          <a:picLocks noChangeAspect="1"/>
        </xdr:cNvPicPr>
      </xdr:nvPicPr>
      <xdr:blipFill>
        <a:blip xmlns:r="http://schemas.openxmlformats.org/officeDocument/2006/relationships" r:embed="rId15"/>
        <a:stretch>
          <a:fillRect/>
        </a:stretch>
      </xdr:blipFill>
      <xdr:spPr>
        <a:xfrm>
          <a:off x="12488968" y="142028"/>
          <a:ext cx="275379" cy="275379"/>
        </a:xfrm>
        <a:prstGeom prst="rect">
          <a:avLst/>
        </a:prstGeom>
      </xdr:spPr>
    </xdr:pic>
    <xdr:clientData/>
  </xdr:twoCellAnchor>
  <xdr:twoCellAnchor editAs="absolute">
    <xdr:from>
      <xdr:col>14</xdr:col>
      <xdr:colOff>324707</xdr:colOff>
      <xdr:row>0</xdr:row>
      <xdr:rowOff>0</xdr:rowOff>
    </xdr:from>
    <xdr:to>
      <xdr:col>17</xdr:col>
      <xdr:colOff>170604</xdr:colOff>
      <xdr:row>0</xdr:row>
      <xdr:rowOff>560918</xdr:rowOff>
    </xdr:to>
    <xdr:sp macro="[0]!Navigate_Reporting" textlink="">
      <xdr:nvSpPr>
        <xdr:cNvPr id="56" name="TextBox 55">
          <a:extLst>
            <a:ext uri="{FF2B5EF4-FFF2-40B4-BE49-F238E27FC236}">
              <a16:creationId xmlns:a16="http://schemas.microsoft.com/office/drawing/2014/main" id="{92CFC1EC-363F-4536-B20C-04AC588CCC1E}"/>
            </a:ext>
          </a:extLst>
        </xdr:cNvPr>
        <xdr:cNvSpPr txBox="1">
          <a:spLocks noChangeAspect="1"/>
        </xdr:cNvSpPr>
      </xdr:nvSpPr>
      <xdr:spPr>
        <a:xfrm>
          <a:off x="9459182" y="0"/>
          <a:ext cx="1693747" cy="560918"/>
        </a:xfrm>
        <a:prstGeom prst="rect">
          <a:avLst/>
        </a:prstGeom>
        <a:solidFill>
          <a:srgbClr val="2F74A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8</xdr:col>
      <xdr:colOff>439219</xdr:colOff>
      <xdr:row>0</xdr:row>
      <xdr:rowOff>1</xdr:rowOff>
    </xdr:from>
    <xdr:to>
      <xdr:col>11</xdr:col>
      <xdr:colOff>277706</xdr:colOff>
      <xdr:row>0</xdr:row>
      <xdr:rowOff>560918</xdr:rowOff>
    </xdr:to>
    <xdr:sp macro="[0]!Navigate_Rehab_Analyzer" textlink="">
      <xdr:nvSpPr>
        <xdr:cNvPr id="66" name="TextBox 65">
          <a:extLst>
            <a:ext uri="{FF2B5EF4-FFF2-40B4-BE49-F238E27FC236}">
              <a16:creationId xmlns:a16="http://schemas.microsoft.com/office/drawing/2014/main" id="{169C617E-AAB5-4925-83DD-3E0A26E0C710}"/>
            </a:ext>
          </a:extLst>
        </xdr:cNvPr>
        <xdr:cNvSpPr txBox="1">
          <a:spLocks noChangeAspect="1"/>
        </xdr:cNvSpPr>
      </xdr:nvSpPr>
      <xdr:spPr>
        <a:xfrm>
          <a:off x="6030394" y="1"/>
          <a:ext cx="1695862"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11</xdr:col>
      <xdr:colOff>296969</xdr:colOff>
      <xdr:row>0</xdr:row>
      <xdr:rowOff>0</xdr:rowOff>
    </xdr:from>
    <xdr:to>
      <xdr:col>14</xdr:col>
      <xdr:colOff>295286</xdr:colOff>
      <xdr:row>0</xdr:row>
      <xdr:rowOff>560918</xdr:rowOff>
    </xdr:to>
    <xdr:sp macro="[0]!Navigate_Repair_Estimator" textlink="">
      <xdr:nvSpPr>
        <xdr:cNvPr id="67" name="TextBox 66">
          <a:extLst>
            <a:ext uri="{FF2B5EF4-FFF2-40B4-BE49-F238E27FC236}">
              <a16:creationId xmlns:a16="http://schemas.microsoft.com/office/drawing/2014/main" id="{C72AB208-667E-44A2-9DD8-F2722B7E2469}"/>
            </a:ext>
          </a:extLst>
        </xdr:cNvPr>
        <xdr:cNvSpPr txBox="1">
          <a:spLocks noChangeAspect="1"/>
        </xdr:cNvSpPr>
      </xdr:nvSpPr>
      <xdr:spPr>
        <a:xfrm>
          <a:off x="7745519" y="0"/>
          <a:ext cx="1684242"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5</xdr:col>
      <xdr:colOff>598578</xdr:colOff>
      <xdr:row>0</xdr:row>
      <xdr:rowOff>0</xdr:rowOff>
    </xdr:from>
    <xdr:to>
      <xdr:col>8</xdr:col>
      <xdr:colOff>428200</xdr:colOff>
      <xdr:row>0</xdr:row>
      <xdr:rowOff>560918</xdr:rowOff>
    </xdr:to>
    <xdr:sp macro="[0]!Navigate_Home" textlink="">
      <xdr:nvSpPr>
        <xdr:cNvPr id="68" name="TextBox 67">
          <a:extLst>
            <a:ext uri="{FF2B5EF4-FFF2-40B4-BE49-F238E27FC236}">
              <a16:creationId xmlns:a16="http://schemas.microsoft.com/office/drawing/2014/main" id="{950FB276-BD06-4443-AD12-71EE4F6DDCF9}"/>
            </a:ext>
          </a:extLst>
        </xdr:cNvPr>
        <xdr:cNvSpPr txBox="1">
          <a:spLocks noChangeAspect="1"/>
        </xdr:cNvSpPr>
      </xdr:nvSpPr>
      <xdr:spPr>
        <a:xfrm>
          <a:off x="4332378" y="0"/>
          <a:ext cx="1686997"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18</xdr:col>
      <xdr:colOff>420581</xdr:colOff>
      <xdr:row>0</xdr:row>
      <xdr:rowOff>153469</xdr:rowOff>
    </xdr:from>
    <xdr:to>
      <xdr:col>18</xdr:col>
      <xdr:colOff>686146</xdr:colOff>
      <xdr:row>0</xdr:row>
      <xdr:rowOff>429893</xdr:rowOff>
    </xdr:to>
    <xdr:pic>
      <xdr:nvPicPr>
        <xdr:cNvPr id="69" name="Picture 68" title="Help">
          <a:hlinkClick xmlns:r="http://schemas.openxmlformats.org/officeDocument/2006/relationships" r:id="rId16"/>
          <a:extLst>
            <a:ext uri="{FF2B5EF4-FFF2-40B4-BE49-F238E27FC236}">
              <a16:creationId xmlns:a16="http://schemas.microsoft.com/office/drawing/2014/main" id="{4BF9BED2-6B17-48C0-ABDA-897D2E779502}"/>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1964881" y="153469"/>
          <a:ext cx="265565" cy="276424"/>
        </a:xfrm>
        <a:prstGeom prst="rect">
          <a:avLst/>
        </a:prstGeom>
      </xdr:spPr>
    </xdr:pic>
    <xdr:clientData/>
  </xdr:twoCellAnchor>
  <xdr:twoCellAnchor editAs="absolute">
    <xdr:from>
      <xdr:col>17</xdr:col>
      <xdr:colOff>427991</xdr:colOff>
      <xdr:row>0</xdr:row>
      <xdr:rowOff>152516</xdr:rowOff>
    </xdr:from>
    <xdr:to>
      <xdr:col>18</xdr:col>
      <xdr:colOff>151766</xdr:colOff>
      <xdr:row>0</xdr:row>
      <xdr:rowOff>429998</xdr:rowOff>
    </xdr:to>
    <xdr:pic macro="[0]!Navigate_Info_Sheet">
      <xdr:nvPicPr>
        <xdr:cNvPr id="70" name="Picture 69">
          <a:extLst>
            <a:ext uri="{FF2B5EF4-FFF2-40B4-BE49-F238E27FC236}">
              <a16:creationId xmlns:a16="http://schemas.microsoft.com/office/drawing/2014/main" id="{4B067B86-79BD-4C60-A20B-F6EF21D584D5}"/>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1410316" y="152516"/>
          <a:ext cx="285750" cy="277482"/>
        </a:xfrm>
        <a:prstGeom prst="rect">
          <a:avLst/>
        </a:prstGeom>
      </xdr:spPr>
    </xdr:pic>
    <xdr:clientData/>
  </xdr:twoCellAnchor>
  <xdr:twoCellAnchor editAs="absolute">
    <xdr:from>
      <xdr:col>0</xdr:col>
      <xdr:colOff>0</xdr:colOff>
      <xdr:row>0</xdr:row>
      <xdr:rowOff>0</xdr:rowOff>
    </xdr:from>
    <xdr:to>
      <xdr:col>1</xdr:col>
      <xdr:colOff>674173</xdr:colOff>
      <xdr:row>0</xdr:row>
      <xdr:rowOff>562823</xdr:rowOff>
    </xdr:to>
    <xdr:sp macro="" textlink="">
      <xdr:nvSpPr>
        <xdr:cNvPr id="71" name="TextBox 70">
          <a:extLst>
            <a:ext uri="{FF2B5EF4-FFF2-40B4-BE49-F238E27FC236}">
              <a16:creationId xmlns:a16="http://schemas.microsoft.com/office/drawing/2014/main" id="{26E8DB6E-6209-480C-8A19-74122171BDF1}"/>
            </a:ext>
          </a:extLst>
        </xdr:cNvPr>
        <xdr:cNvSpPr txBox="1">
          <a:spLocks noChangeAspect="1"/>
        </xdr:cNvSpPr>
      </xdr:nvSpPr>
      <xdr:spPr>
        <a:xfrm>
          <a:off x="0" y="0"/>
          <a:ext cx="1664773" cy="562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absolute">
    <xdr:from>
      <xdr:col>17</xdr:col>
      <xdr:colOff>506892</xdr:colOff>
      <xdr:row>1</xdr:row>
      <xdr:rowOff>35992</xdr:rowOff>
    </xdr:from>
    <xdr:to>
      <xdr:col>20</xdr:col>
      <xdr:colOff>477308</xdr:colOff>
      <xdr:row>3</xdr:row>
      <xdr:rowOff>74092</xdr:rowOff>
    </xdr:to>
    <xdr:sp macro="[0]!Navigate_Rental_Analysis" textlink="">
      <xdr:nvSpPr>
        <xdr:cNvPr id="13" name="Shape 103">
          <a:extLst>
            <a:ext uri="{FF2B5EF4-FFF2-40B4-BE49-F238E27FC236}">
              <a16:creationId xmlns:a16="http://schemas.microsoft.com/office/drawing/2014/main" id="{46E3B29A-A080-442F-817A-0A839521D2AA}"/>
            </a:ext>
          </a:extLst>
        </xdr:cNvPr>
        <xdr:cNvSpPr txBox="1"/>
      </xdr:nvSpPr>
      <xdr:spPr>
        <a:xfrm>
          <a:off x="11820517" y="626542"/>
          <a:ext cx="1858441" cy="419100"/>
        </a:xfrm>
        <a:prstGeom prst="rect">
          <a:avLst/>
        </a:prstGeom>
        <a:noFill/>
        <a:ln>
          <a:noFill/>
        </a:ln>
      </xdr:spPr>
      <xdr:txBody>
        <a:bodyPr wrap="square" lIns="91425" tIns="91425" rIns="91425" bIns="91425" anchor="ctr" anchorCtr="0">
          <a:noAutofit/>
        </a:bodyPr>
        <a:lstStyle/>
        <a:p>
          <a:pPr marL="0" lvl="0" indent="0" algn="ctr" rtl="0">
            <a:spcBef>
              <a:spcPts val="0"/>
            </a:spcBef>
            <a:buNone/>
          </a:pPr>
          <a:endParaRPr sz="1100" b="0">
            <a:latin typeface="+mn-lt"/>
            <a:ea typeface="+mn-ea"/>
            <a:cs typeface="+mn-cs"/>
          </a:endParaRPr>
        </a:p>
      </xdr:txBody>
    </xdr:sp>
    <xdr:clientData fLocksWithSheet="0"/>
  </xdr:twoCellAnchor>
  <xdr:twoCellAnchor>
    <xdr:from>
      <xdr:col>18</xdr:col>
      <xdr:colOff>0</xdr:colOff>
      <xdr:row>2</xdr:row>
      <xdr:rowOff>5291</xdr:rowOff>
    </xdr:from>
    <xdr:to>
      <xdr:col>18</xdr:col>
      <xdr:colOff>266700</xdr:colOff>
      <xdr:row>2</xdr:row>
      <xdr:rowOff>271991</xdr:rowOff>
    </xdr:to>
    <xdr:pic>
      <xdr:nvPicPr>
        <xdr:cNvPr id="3" name="image141.png">
          <a:extLst>
            <a:ext uri="{FF2B5EF4-FFF2-40B4-BE49-F238E27FC236}">
              <a16:creationId xmlns:a16="http://schemas.microsoft.com/office/drawing/2014/main" id="{5F1D0E13-4D2C-429F-B5B4-14030BFF6EBC}"/>
            </a:ext>
          </a:extLst>
        </xdr:cNvPr>
        <xdr:cNvPicPr preferRelativeResize="0"/>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944350" y="691091"/>
          <a:ext cx="266700" cy="266700"/>
        </a:xfrm>
        <a:prstGeom prst="rect">
          <a:avLst/>
        </a:prstGeom>
        <a:noFill/>
      </xdr:spPr>
    </xdr:pic>
    <xdr:clientData fLocksWithSheet="0"/>
  </xdr:twoCellAnchor>
  <xdr:twoCellAnchor editAs="oneCell">
    <xdr:from>
      <xdr:col>6</xdr:col>
      <xdr:colOff>104775</xdr:colOff>
      <xdr:row>243</xdr:row>
      <xdr:rowOff>57150</xdr:rowOff>
    </xdr:from>
    <xdr:to>
      <xdr:col>10</xdr:col>
      <xdr:colOff>475884</xdr:colOff>
      <xdr:row>251</xdr:row>
      <xdr:rowOff>190255</xdr:rowOff>
    </xdr:to>
    <xdr:pic>
      <xdr:nvPicPr>
        <xdr:cNvPr id="14" name="Picture 13">
          <a:extLst>
            <a:ext uri="{FF2B5EF4-FFF2-40B4-BE49-F238E27FC236}">
              <a16:creationId xmlns:a16="http://schemas.microsoft.com/office/drawing/2014/main" id="{E9386F66-0060-4B3A-9A95-135488EA33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504267" y="54728533"/>
          <a:ext cx="2888884" cy="1964022"/>
        </a:xfrm>
        <a:prstGeom prst="rect">
          <a:avLst/>
        </a:prstGeom>
      </xdr:spPr>
    </xdr:pic>
    <xdr:clientData/>
  </xdr:twoCellAnchor>
  <xdr:twoCellAnchor editAs="oneCell">
    <xdr:from>
      <xdr:col>11</xdr:col>
      <xdr:colOff>152400</xdr:colOff>
      <xdr:row>243</xdr:row>
      <xdr:rowOff>57150</xdr:rowOff>
    </xdr:from>
    <xdr:to>
      <xdr:col>15</xdr:col>
      <xdr:colOff>525675</xdr:colOff>
      <xdr:row>251</xdr:row>
      <xdr:rowOff>190255</xdr:rowOff>
    </xdr:to>
    <xdr:pic>
      <xdr:nvPicPr>
        <xdr:cNvPr id="15" name="Picture 14">
          <a:extLst>
            <a:ext uri="{FF2B5EF4-FFF2-40B4-BE49-F238E27FC236}">
              <a16:creationId xmlns:a16="http://schemas.microsoft.com/office/drawing/2014/main" id="{EE9D6933-9237-45B1-8FF8-AFE1BFB417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7696200" y="54728533"/>
          <a:ext cx="2886768" cy="1964022"/>
        </a:xfrm>
        <a:prstGeom prst="rect">
          <a:avLst/>
        </a:prstGeom>
      </xdr:spPr>
    </xdr:pic>
    <xdr:clientData/>
  </xdr:twoCellAnchor>
  <xdr:twoCellAnchor editAs="oneCell">
    <xdr:from>
      <xdr:col>16</xdr:col>
      <xdr:colOff>123825</xdr:colOff>
      <xdr:row>243</xdr:row>
      <xdr:rowOff>76200</xdr:rowOff>
    </xdr:from>
    <xdr:to>
      <xdr:col>20</xdr:col>
      <xdr:colOff>494934</xdr:colOff>
      <xdr:row>251</xdr:row>
      <xdr:rowOff>209305</xdr:rowOff>
    </xdr:to>
    <xdr:pic>
      <xdr:nvPicPr>
        <xdr:cNvPr id="16" name="Picture 15">
          <a:extLst>
            <a:ext uri="{FF2B5EF4-FFF2-40B4-BE49-F238E27FC236}">
              <a16:creationId xmlns:a16="http://schemas.microsoft.com/office/drawing/2014/main" id="{1710E1D1-253B-47B4-832C-422196CDB6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0811933" y="54749700"/>
          <a:ext cx="2884651" cy="1964022"/>
        </a:xfrm>
        <a:prstGeom prst="rect">
          <a:avLst/>
        </a:prstGeom>
      </xdr:spPr>
    </xdr:pic>
    <xdr:clientData/>
  </xdr:twoCellAnchor>
  <xdr:twoCellAnchor editAs="oneCell">
    <xdr:from>
      <xdr:col>6</xdr:col>
      <xdr:colOff>47625</xdr:colOff>
      <xdr:row>256</xdr:row>
      <xdr:rowOff>47625</xdr:rowOff>
    </xdr:from>
    <xdr:to>
      <xdr:col>10</xdr:col>
      <xdr:colOff>418734</xdr:colOff>
      <xdr:row>264</xdr:row>
      <xdr:rowOff>182896</xdr:rowOff>
    </xdr:to>
    <xdr:pic>
      <xdr:nvPicPr>
        <xdr:cNvPr id="17" name="Picture 16">
          <a:extLst>
            <a:ext uri="{FF2B5EF4-FFF2-40B4-BE49-F238E27FC236}">
              <a16:creationId xmlns:a16="http://schemas.microsoft.com/office/drawing/2014/main" id="{C34A5F01-2360-4C0F-8B5F-DF0E51D293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449233" y="57693983"/>
          <a:ext cx="2884651" cy="1961906"/>
        </a:xfrm>
        <a:prstGeom prst="rect">
          <a:avLst/>
        </a:prstGeom>
      </xdr:spPr>
    </xdr:pic>
    <xdr:clientData/>
  </xdr:twoCellAnchor>
  <xdr:twoCellAnchor editAs="oneCell">
    <xdr:from>
      <xdr:col>11</xdr:col>
      <xdr:colOff>95250</xdr:colOff>
      <xdr:row>256</xdr:row>
      <xdr:rowOff>47625</xdr:rowOff>
    </xdr:from>
    <xdr:to>
      <xdr:col>15</xdr:col>
      <xdr:colOff>468426</xdr:colOff>
      <xdr:row>264</xdr:row>
      <xdr:rowOff>182896</xdr:rowOff>
    </xdr:to>
    <xdr:pic>
      <xdr:nvPicPr>
        <xdr:cNvPr id="18" name="Picture 17">
          <a:extLst>
            <a:ext uri="{FF2B5EF4-FFF2-40B4-BE49-F238E27FC236}">
              <a16:creationId xmlns:a16="http://schemas.microsoft.com/office/drawing/2014/main" id="{F633AFA8-2727-4DB3-B6FE-CF9F2BD14D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7636933" y="57693983"/>
          <a:ext cx="2886767" cy="1961906"/>
        </a:xfrm>
        <a:prstGeom prst="rect">
          <a:avLst/>
        </a:prstGeom>
      </xdr:spPr>
    </xdr:pic>
    <xdr:clientData/>
  </xdr:twoCellAnchor>
  <xdr:twoCellAnchor editAs="oneCell">
    <xdr:from>
      <xdr:col>16</xdr:col>
      <xdr:colOff>66675</xdr:colOff>
      <xdr:row>256</xdr:row>
      <xdr:rowOff>66675</xdr:rowOff>
    </xdr:from>
    <xdr:to>
      <xdr:col>20</xdr:col>
      <xdr:colOff>437784</xdr:colOff>
      <xdr:row>264</xdr:row>
      <xdr:rowOff>201847</xdr:rowOff>
    </xdr:to>
    <xdr:pic>
      <xdr:nvPicPr>
        <xdr:cNvPr id="19" name="Picture 18">
          <a:extLst>
            <a:ext uri="{FF2B5EF4-FFF2-40B4-BE49-F238E27FC236}">
              <a16:creationId xmlns:a16="http://schemas.microsoft.com/office/drawing/2014/main" id="{75FA7090-2F45-4BED-A8DE-B4945D16E4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0752667" y="57710917"/>
          <a:ext cx="2888884" cy="1961904"/>
        </a:xfrm>
        <a:prstGeom prst="rect">
          <a:avLst/>
        </a:prstGeom>
      </xdr:spPr>
    </xdr:pic>
    <xdr:clientData/>
  </xdr:twoCellAnchor>
  <xdr:twoCellAnchor editAs="oneCell">
    <xdr:from>
      <xdr:col>6</xdr:col>
      <xdr:colOff>95250</xdr:colOff>
      <xdr:row>269</xdr:row>
      <xdr:rowOff>47625</xdr:rowOff>
    </xdr:from>
    <xdr:to>
      <xdr:col>10</xdr:col>
      <xdr:colOff>468426</xdr:colOff>
      <xdr:row>277</xdr:row>
      <xdr:rowOff>182896</xdr:rowOff>
    </xdr:to>
    <xdr:pic>
      <xdr:nvPicPr>
        <xdr:cNvPr id="20" name="Picture 19">
          <a:extLst>
            <a:ext uri="{FF2B5EF4-FFF2-40B4-BE49-F238E27FC236}">
              <a16:creationId xmlns:a16="http://schemas.microsoft.com/office/drawing/2014/main" id="{63C68920-EA7D-47A4-8BBE-FC27013E86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493683" y="60665783"/>
          <a:ext cx="2886767" cy="1961906"/>
        </a:xfrm>
        <a:prstGeom prst="rect">
          <a:avLst/>
        </a:prstGeom>
      </xdr:spPr>
    </xdr:pic>
    <xdr:clientData/>
  </xdr:twoCellAnchor>
  <xdr:twoCellAnchor editAs="oneCell">
    <xdr:from>
      <xdr:col>11</xdr:col>
      <xdr:colOff>142875</xdr:colOff>
      <xdr:row>269</xdr:row>
      <xdr:rowOff>47625</xdr:rowOff>
    </xdr:from>
    <xdr:to>
      <xdr:col>15</xdr:col>
      <xdr:colOff>513984</xdr:colOff>
      <xdr:row>277</xdr:row>
      <xdr:rowOff>182896</xdr:rowOff>
    </xdr:to>
    <xdr:pic>
      <xdr:nvPicPr>
        <xdr:cNvPr id="21" name="Picture 20">
          <a:extLst>
            <a:ext uri="{FF2B5EF4-FFF2-40B4-BE49-F238E27FC236}">
              <a16:creationId xmlns:a16="http://schemas.microsoft.com/office/drawing/2014/main" id="{698CCB45-F9CE-4E00-9885-381CB0467B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7685617" y="60665783"/>
          <a:ext cx="2888884" cy="1961906"/>
        </a:xfrm>
        <a:prstGeom prst="rect">
          <a:avLst/>
        </a:prstGeom>
      </xdr:spPr>
    </xdr:pic>
    <xdr:clientData/>
  </xdr:twoCellAnchor>
  <xdr:twoCellAnchor editAs="oneCell">
    <xdr:from>
      <xdr:col>16</xdr:col>
      <xdr:colOff>114300</xdr:colOff>
      <xdr:row>269</xdr:row>
      <xdr:rowOff>66675</xdr:rowOff>
    </xdr:from>
    <xdr:to>
      <xdr:col>20</xdr:col>
      <xdr:colOff>487575</xdr:colOff>
      <xdr:row>277</xdr:row>
      <xdr:rowOff>201847</xdr:rowOff>
    </xdr:to>
    <xdr:pic>
      <xdr:nvPicPr>
        <xdr:cNvPr id="22" name="Picture 21">
          <a:extLst>
            <a:ext uri="{FF2B5EF4-FFF2-40B4-BE49-F238E27FC236}">
              <a16:creationId xmlns:a16="http://schemas.microsoft.com/office/drawing/2014/main" id="{944C1968-02BF-443F-BFE6-E051A1BE84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0801350" y="60682717"/>
          <a:ext cx="2886768" cy="1961904"/>
        </a:xfrm>
        <a:prstGeom prst="rect">
          <a:avLst/>
        </a:prstGeom>
      </xdr:spPr>
    </xdr:pic>
    <xdr:clientData/>
  </xdr:twoCellAnchor>
  <xdr:twoCellAnchor editAs="oneCell">
    <xdr:from>
      <xdr:col>6</xdr:col>
      <xdr:colOff>133350</xdr:colOff>
      <xdr:row>282</xdr:row>
      <xdr:rowOff>85725</xdr:rowOff>
    </xdr:from>
    <xdr:to>
      <xdr:col>10</xdr:col>
      <xdr:colOff>506526</xdr:colOff>
      <xdr:row>290</xdr:row>
      <xdr:rowOff>220996</xdr:rowOff>
    </xdr:to>
    <xdr:pic>
      <xdr:nvPicPr>
        <xdr:cNvPr id="23" name="Picture 22">
          <a:extLst>
            <a:ext uri="{FF2B5EF4-FFF2-40B4-BE49-F238E27FC236}">
              <a16:creationId xmlns:a16="http://schemas.microsoft.com/office/drawing/2014/main" id="{710655B6-B688-4190-BE93-73A3B6343F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531783" y="63675683"/>
          <a:ext cx="2886767" cy="1961906"/>
        </a:xfrm>
        <a:prstGeom prst="rect">
          <a:avLst/>
        </a:prstGeom>
      </xdr:spPr>
    </xdr:pic>
    <xdr:clientData/>
  </xdr:twoCellAnchor>
  <xdr:twoCellAnchor editAs="oneCell">
    <xdr:from>
      <xdr:col>11</xdr:col>
      <xdr:colOff>180975</xdr:colOff>
      <xdr:row>282</xdr:row>
      <xdr:rowOff>85725</xdr:rowOff>
    </xdr:from>
    <xdr:to>
      <xdr:col>15</xdr:col>
      <xdr:colOff>552084</xdr:colOff>
      <xdr:row>290</xdr:row>
      <xdr:rowOff>220996</xdr:rowOff>
    </xdr:to>
    <xdr:pic>
      <xdr:nvPicPr>
        <xdr:cNvPr id="24" name="Picture 23">
          <a:extLst>
            <a:ext uri="{FF2B5EF4-FFF2-40B4-BE49-F238E27FC236}">
              <a16:creationId xmlns:a16="http://schemas.microsoft.com/office/drawing/2014/main" id="{A205E47F-5871-443B-8D12-46312817B1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7723717" y="63675683"/>
          <a:ext cx="2888884" cy="1961906"/>
        </a:xfrm>
        <a:prstGeom prst="rect">
          <a:avLst/>
        </a:prstGeom>
      </xdr:spPr>
    </xdr:pic>
    <xdr:clientData/>
  </xdr:twoCellAnchor>
  <xdr:twoCellAnchor editAs="oneCell">
    <xdr:from>
      <xdr:col>16</xdr:col>
      <xdr:colOff>152400</xdr:colOff>
      <xdr:row>282</xdr:row>
      <xdr:rowOff>104775</xdr:rowOff>
    </xdr:from>
    <xdr:to>
      <xdr:col>20</xdr:col>
      <xdr:colOff>525675</xdr:colOff>
      <xdr:row>291</xdr:row>
      <xdr:rowOff>11347</xdr:rowOff>
    </xdr:to>
    <xdr:pic>
      <xdr:nvPicPr>
        <xdr:cNvPr id="25" name="Picture 24">
          <a:extLst>
            <a:ext uri="{FF2B5EF4-FFF2-40B4-BE49-F238E27FC236}">
              <a16:creationId xmlns:a16="http://schemas.microsoft.com/office/drawing/2014/main" id="{F7116641-E73B-475A-B335-B4118B8953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0839450" y="63692617"/>
          <a:ext cx="2886768" cy="1961904"/>
        </a:xfrm>
        <a:prstGeom prst="rect">
          <a:avLst/>
        </a:prstGeom>
      </xdr:spPr>
    </xdr:pic>
    <xdr:clientData/>
  </xdr:twoCellAnchor>
  <xdr:twoCellAnchor editAs="absolute">
    <xdr:from>
      <xdr:col>18</xdr:col>
      <xdr:colOff>535115</xdr:colOff>
      <xdr:row>0</xdr:row>
      <xdr:rowOff>140786</xdr:rowOff>
    </xdr:from>
    <xdr:to>
      <xdr:col>19</xdr:col>
      <xdr:colOff>190944</xdr:colOff>
      <xdr:row>0</xdr:row>
      <xdr:rowOff>419524</xdr:rowOff>
    </xdr:to>
    <xdr:pic macro="[0]!Hide_Rental_Packet">
      <xdr:nvPicPr>
        <xdr:cNvPr id="33" name="Picture 32">
          <a:extLst>
            <a:ext uri="{FF2B5EF4-FFF2-40B4-BE49-F238E27FC236}">
              <a16:creationId xmlns:a16="http://schemas.microsoft.com/office/drawing/2014/main" id="{01A78BF6-6DD6-47C0-B3CC-9E325B7F7D0B}"/>
            </a:ext>
          </a:extLst>
        </xdr:cNvPr>
        <xdr:cNvPicPr>
          <a:picLocks noChangeAspect="1"/>
        </xdr:cNvPicPr>
      </xdr:nvPicPr>
      <xdr:blipFill>
        <a:blip xmlns:r="http://schemas.openxmlformats.org/officeDocument/2006/relationships" r:embed="rId3"/>
        <a:stretch>
          <a:fillRect/>
        </a:stretch>
      </xdr:blipFill>
      <xdr:spPr>
        <a:xfrm>
          <a:off x="12479465" y="140786"/>
          <a:ext cx="284479" cy="278738"/>
        </a:xfrm>
        <a:prstGeom prst="rect">
          <a:avLst/>
        </a:prstGeom>
      </xdr:spPr>
    </xdr:pic>
    <xdr:clientData/>
  </xdr:twoCellAnchor>
  <xdr:twoCellAnchor editAs="absolute">
    <xdr:from>
      <xdr:col>14</xdr:col>
      <xdr:colOff>29432</xdr:colOff>
      <xdr:row>0</xdr:row>
      <xdr:rowOff>0</xdr:rowOff>
    </xdr:from>
    <xdr:to>
      <xdr:col>16</xdr:col>
      <xdr:colOff>465879</xdr:colOff>
      <xdr:row>0</xdr:row>
      <xdr:rowOff>560918</xdr:rowOff>
    </xdr:to>
    <xdr:sp macro="[0]!Navigate_Reporting" textlink="">
      <xdr:nvSpPr>
        <xdr:cNvPr id="35" name="TextBox 34">
          <a:extLst>
            <a:ext uri="{FF2B5EF4-FFF2-40B4-BE49-F238E27FC236}">
              <a16:creationId xmlns:a16="http://schemas.microsoft.com/office/drawing/2014/main" id="{59F00618-4AE1-4687-BDC4-41B8D67DB94E}"/>
            </a:ext>
          </a:extLst>
        </xdr:cNvPr>
        <xdr:cNvSpPr txBox="1">
          <a:spLocks noChangeAspect="1"/>
        </xdr:cNvSpPr>
      </xdr:nvSpPr>
      <xdr:spPr>
        <a:xfrm>
          <a:off x="9459182" y="0"/>
          <a:ext cx="1693747" cy="560918"/>
        </a:xfrm>
        <a:prstGeom prst="rect">
          <a:avLst/>
        </a:prstGeom>
        <a:solidFill>
          <a:srgbClr val="2F74A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8</xdr:col>
      <xdr:colOff>372544</xdr:colOff>
      <xdr:row>0</xdr:row>
      <xdr:rowOff>1</xdr:rowOff>
    </xdr:from>
    <xdr:to>
      <xdr:col>11</xdr:col>
      <xdr:colOff>182456</xdr:colOff>
      <xdr:row>0</xdr:row>
      <xdr:rowOff>560918</xdr:rowOff>
    </xdr:to>
    <xdr:sp macro="[0]!Navigate_Rehab_Analyzer" textlink="">
      <xdr:nvSpPr>
        <xdr:cNvPr id="36" name="TextBox 35">
          <a:extLst>
            <a:ext uri="{FF2B5EF4-FFF2-40B4-BE49-F238E27FC236}">
              <a16:creationId xmlns:a16="http://schemas.microsoft.com/office/drawing/2014/main" id="{602447EE-85D1-4BB8-8587-3B9CEA8A3482}"/>
            </a:ext>
          </a:extLst>
        </xdr:cNvPr>
        <xdr:cNvSpPr txBox="1">
          <a:spLocks noChangeAspect="1"/>
        </xdr:cNvSpPr>
      </xdr:nvSpPr>
      <xdr:spPr>
        <a:xfrm>
          <a:off x="6030394" y="1"/>
          <a:ext cx="1695862"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11</xdr:col>
      <xdr:colOff>201719</xdr:colOff>
      <xdr:row>0</xdr:row>
      <xdr:rowOff>0</xdr:rowOff>
    </xdr:from>
    <xdr:to>
      <xdr:col>14</xdr:col>
      <xdr:colOff>11</xdr:colOff>
      <xdr:row>0</xdr:row>
      <xdr:rowOff>560918</xdr:rowOff>
    </xdr:to>
    <xdr:sp macro="[0]!Navigate_Repair_Estimator" textlink="">
      <xdr:nvSpPr>
        <xdr:cNvPr id="37" name="TextBox 36">
          <a:extLst>
            <a:ext uri="{FF2B5EF4-FFF2-40B4-BE49-F238E27FC236}">
              <a16:creationId xmlns:a16="http://schemas.microsoft.com/office/drawing/2014/main" id="{B0B7686C-6194-470E-BAD0-8563E562CC1E}"/>
            </a:ext>
          </a:extLst>
        </xdr:cNvPr>
        <xdr:cNvSpPr txBox="1">
          <a:spLocks noChangeAspect="1"/>
        </xdr:cNvSpPr>
      </xdr:nvSpPr>
      <xdr:spPr>
        <a:xfrm>
          <a:off x="7745519" y="0"/>
          <a:ext cx="1684242"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5</xdr:col>
      <xdr:colOff>446178</xdr:colOff>
      <xdr:row>0</xdr:row>
      <xdr:rowOff>0</xdr:rowOff>
    </xdr:from>
    <xdr:to>
      <xdr:col>8</xdr:col>
      <xdr:colOff>361525</xdr:colOff>
      <xdr:row>0</xdr:row>
      <xdr:rowOff>560918</xdr:rowOff>
    </xdr:to>
    <xdr:sp macro="[0]!Navigate_Home" textlink="">
      <xdr:nvSpPr>
        <xdr:cNvPr id="38" name="TextBox 37">
          <a:extLst>
            <a:ext uri="{FF2B5EF4-FFF2-40B4-BE49-F238E27FC236}">
              <a16:creationId xmlns:a16="http://schemas.microsoft.com/office/drawing/2014/main" id="{CD8617A9-EBFC-432E-A034-BBF73D4D0F65}"/>
            </a:ext>
          </a:extLst>
        </xdr:cNvPr>
        <xdr:cNvSpPr txBox="1">
          <a:spLocks noChangeAspect="1"/>
        </xdr:cNvSpPr>
      </xdr:nvSpPr>
      <xdr:spPr>
        <a:xfrm>
          <a:off x="4332378" y="0"/>
          <a:ext cx="1686997"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18</xdr:col>
      <xdr:colOff>20531</xdr:colOff>
      <xdr:row>0</xdr:row>
      <xdr:rowOff>153469</xdr:rowOff>
    </xdr:from>
    <xdr:to>
      <xdr:col>18</xdr:col>
      <xdr:colOff>286096</xdr:colOff>
      <xdr:row>0</xdr:row>
      <xdr:rowOff>429893</xdr:rowOff>
    </xdr:to>
    <xdr:pic>
      <xdr:nvPicPr>
        <xdr:cNvPr id="39" name="Picture 38" title="Help">
          <a:hlinkClick xmlns:r="http://schemas.openxmlformats.org/officeDocument/2006/relationships" r:id="rId4"/>
          <a:extLst>
            <a:ext uri="{FF2B5EF4-FFF2-40B4-BE49-F238E27FC236}">
              <a16:creationId xmlns:a16="http://schemas.microsoft.com/office/drawing/2014/main" id="{8050B77F-DF26-480C-92D3-2D22C6D933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964881" y="153469"/>
          <a:ext cx="265565" cy="276424"/>
        </a:xfrm>
        <a:prstGeom prst="rect">
          <a:avLst/>
        </a:prstGeom>
      </xdr:spPr>
    </xdr:pic>
    <xdr:clientData/>
  </xdr:twoCellAnchor>
  <xdr:twoCellAnchor editAs="absolute">
    <xdr:from>
      <xdr:col>17</xdr:col>
      <xdr:colOff>94616</xdr:colOff>
      <xdr:row>0</xdr:row>
      <xdr:rowOff>152516</xdr:rowOff>
    </xdr:from>
    <xdr:to>
      <xdr:col>17</xdr:col>
      <xdr:colOff>380366</xdr:colOff>
      <xdr:row>0</xdr:row>
      <xdr:rowOff>429998</xdr:rowOff>
    </xdr:to>
    <xdr:pic macro="[0]!Navigate_Info_Sheet">
      <xdr:nvPicPr>
        <xdr:cNvPr id="40" name="Picture 39">
          <a:extLst>
            <a:ext uri="{FF2B5EF4-FFF2-40B4-BE49-F238E27FC236}">
              <a16:creationId xmlns:a16="http://schemas.microsoft.com/office/drawing/2014/main" id="{B611D4DF-BEDF-4A8A-A196-0F00DAADB658}"/>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410316" y="152516"/>
          <a:ext cx="285750" cy="277482"/>
        </a:xfrm>
        <a:prstGeom prst="rect">
          <a:avLst/>
        </a:prstGeom>
      </xdr:spPr>
    </xdr:pic>
    <xdr:clientData/>
  </xdr:twoCellAnchor>
  <xdr:twoCellAnchor editAs="absolute">
    <xdr:from>
      <xdr:col>0</xdr:col>
      <xdr:colOff>0</xdr:colOff>
      <xdr:row>0</xdr:row>
      <xdr:rowOff>0</xdr:rowOff>
    </xdr:from>
    <xdr:to>
      <xdr:col>0</xdr:col>
      <xdr:colOff>1664773</xdr:colOff>
      <xdr:row>0</xdr:row>
      <xdr:rowOff>562823</xdr:rowOff>
    </xdr:to>
    <xdr:sp macro="" textlink="">
      <xdr:nvSpPr>
        <xdr:cNvPr id="41" name="TextBox 40">
          <a:extLst>
            <a:ext uri="{FF2B5EF4-FFF2-40B4-BE49-F238E27FC236}">
              <a16:creationId xmlns:a16="http://schemas.microsoft.com/office/drawing/2014/main" id="{EA5BDEA8-FFFD-44AA-A934-4E9C674C5529}"/>
            </a:ext>
          </a:extLst>
        </xdr:cNvPr>
        <xdr:cNvSpPr txBox="1">
          <a:spLocks noChangeAspect="1"/>
        </xdr:cNvSpPr>
      </xdr:nvSpPr>
      <xdr:spPr>
        <a:xfrm>
          <a:off x="0" y="0"/>
          <a:ext cx="1664773" cy="562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17</xdr:col>
      <xdr:colOff>314822</xdr:colOff>
      <xdr:row>1</xdr:row>
      <xdr:rowOff>152649</xdr:rowOff>
    </xdr:from>
    <xdr:to>
      <xdr:col>18</xdr:col>
      <xdr:colOff>68068</xdr:colOff>
      <xdr:row>2</xdr:row>
      <xdr:rowOff>238462</xdr:rowOff>
    </xdr:to>
    <xdr:sp macro="[0]!Investment_Report_Show_Hide_Estimate_Page" textlink="">
      <xdr:nvSpPr>
        <xdr:cNvPr id="2" name="Rectangle 1">
          <a:extLst>
            <a:ext uri="{FF2B5EF4-FFF2-40B4-BE49-F238E27FC236}">
              <a16:creationId xmlns:a16="http://schemas.microsoft.com/office/drawing/2014/main" id="{0D87BE9D-9997-48F4-B34E-5E731B33BE8D}"/>
            </a:ext>
          </a:extLst>
        </xdr:cNvPr>
        <xdr:cNvSpPr/>
      </xdr:nvSpPr>
      <xdr:spPr>
        <a:xfrm>
          <a:off x="9726580" y="724149"/>
          <a:ext cx="265480" cy="277371"/>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289112</xdr:colOff>
      <xdr:row>1</xdr:row>
      <xdr:rowOff>152400</xdr:rowOff>
    </xdr:from>
    <xdr:to>
      <xdr:col>16</xdr:col>
      <xdr:colOff>43479</xdr:colOff>
      <xdr:row>2</xdr:row>
      <xdr:rowOff>238213</xdr:rowOff>
    </xdr:to>
    <xdr:sp macro="[0]!Investment_Report_Show_Hide_Comps_Page" textlink="">
      <xdr:nvSpPr>
        <xdr:cNvPr id="3" name="Rectangle 2">
          <a:extLst>
            <a:ext uri="{FF2B5EF4-FFF2-40B4-BE49-F238E27FC236}">
              <a16:creationId xmlns:a16="http://schemas.microsoft.com/office/drawing/2014/main" id="{60CC484A-3B95-47BF-9B82-EF9ADCA7AA14}"/>
            </a:ext>
          </a:extLst>
        </xdr:cNvPr>
        <xdr:cNvSpPr/>
      </xdr:nvSpPr>
      <xdr:spPr>
        <a:xfrm>
          <a:off x="8668995" y="723900"/>
          <a:ext cx="266601" cy="277371"/>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428362</xdr:colOff>
      <xdr:row>1</xdr:row>
      <xdr:rowOff>86148</xdr:rowOff>
    </xdr:from>
    <xdr:to>
      <xdr:col>15</xdr:col>
      <xdr:colOff>247649</xdr:colOff>
      <xdr:row>3</xdr:row>
      <xdr:rowOff>498</xdr:rowOff>
    </xdr:to>
    <xdr:sp macro="[0]!Investment_Report_Show_Hide_Summary_Page" textlink="">
      <xdr:nvSpPr>
        <xdr:cNvPr id="4" name="TextBox 3">
          <a:extLst>
            <a:ext uri="{FF2B5EF4-FFF2-40B4-BE49-F238E27FC236}">
              <a16:creationId xmlns:a16="http://schemas.microsoft.com/office/drawing/2014/main" id="{C4B9A372-EE32-41A6-9D90-CDED5DD55462}"/>
            </a:ext>
          </a:extLst>
        </xdr:cNvPr>
        <xdr:cNvSpPr txBox="1"/>
      </xdr:nvSpPr>
      <xdr:spPr>
        <a:xfrm>
          <a:off x="7782720" y="658706"/>
          <a:ext cx="849046" cy="3895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baseline="0">
              <a:solidFill>
                <a:schemeClr val="tx1">
                  <a:lumMod val="75000"/>
                  <a:lumOff val="25000"/>
                </a:schemeClr>
              </a:solidFill>
              <a:latin typeface="Calibri Light" panose="020F0302020204030204" pitchFamily="34" charset="0"/>
            </a:rPr>
            <a:t>Summary</a:t>
          </a:r>
          <a:endParaRPr lang="en-US" sz="1200" b="0" i="1">
            <a:solidFill>
              <a:schemeClr val="tx1">
                <a:lumMod val="75000"/>
                <a:lumOff val="25000"/>
              </a:schemeClr>
            </a:solidFill>
            <a:latin typeface="Calibri Light" panose="020F0302020204030204" pitchFamily="34" charset="0"/>
          </a:endParaRPr>
        </a:p>
      </xdr:txBody>
    </xdr:sp>
    <xdr:clientData/>
  </xdr:twoCellAnchor>
  <xdr:twoCellAnchor>
    <xdr:from>
      <xdr:col>12</xdr:col>
      <xdr:colOff>11619</xdr:colOff>
      <xdr:row>1</xdr:row>
      <xdr:rowOff>76624</xdr:rowOff>
    </xdr:from>
    <xdr:to>
      <xdr:col>13</xdr:col>
      <xdr:colOff>302558</xdr:colOff>
      <xdr:row>2</xdr:row>
      <xdr:rowOff>275664</xdr:rowOff>
    </xdr:to>
    <xdr:sp macro="[0]!Investment_Report_Show_Hide_Cover_Page" textlink="">
      <xdr:nvSpPr>
        <xdr:cNvPr id="5" name="TextBox 4">
          <a:extLst>
            <a:ext uri="{FF2B5EF4-FFF2-40B4-BE49-F238E27FC236}">
              <a16:creationId xmlns:a16="http://schemas.microsoft.com/office/drawing/2014/main" id="{868891CF-7542-46A6-A89A-B140D8C45177}"/>
            </a:ext>
          </a:extLst>
        </xdr:cNvPr>
        <xdr:cNvSpPr txBox="1"/>
      </xdr:nvSpPr>
      <xdr:spPr>
        <a:xfrm>
          <a:off x="6847394" y="648124"/>
          <a:ext cx="812697" cy="390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chemeClr val="tx1">
                  <a:lumMod val="75000"/>
                  <a:lumOff val="25000"/>
                </a:schemeClr>
              </a:solidFill>
              <a:latin typeface="Calibri Light" panose="020F0302020204030204" pitchFamily="34" charset="0"/>
            </a:rPr>
            <a:t>Cover</a:t>
          </a:r>
          <a:r>
            <a:rPr lang="en-US" sz="1200" b="0" i="1" baseline="0">
              <a:solidFill>
                <a:schemeClr val="tx1">
                  <a:lumMod val="75000"/>
                  <a:lumOff val="25000"/>
                </a:schemeClr>
              </a:solidFill>
              <a:latin typeface="Calibri Light" panose="020F0302020204030204" pitchFamily="34" charset="0"/>
            </a:rPr>
            <a:t> </a:t>
          </a:r>
          <a:endParaRPr lang="en-US" sz="1200" b="0" i="1">
            <a:solidFill>
              <a:schemeClr val="tx1">
                <a:lumMod val="75000"/>
                <a:lumOff val="25000"/>
              </a:schemeClr>
            </a:solidFill>
            <a:latin typeface="Calibri Light" panose="020F0302020204030204" pitchFamily="34" charset="0"/>
          </a:endParaRPr>
        </a:p>
      </xdr:txBody>
    </xdr:sp>
    <xdr:clientData/>
  </xdr:twoCellAnchor>
  <xdr:twoCellAnchor>
    <xdr:from>
      <xdr:col>11</xdr:col>
      <xdr:colOff>211666</xdr:colOff>
      <xdr:row>1</xdr:row>
      <xdr:rowOff>133774</xdr:rowOff>
    </xdr:from>
    <xdr:to>
      <xdr:col>11</xdr:col>
      <xdr:colOff>478267</xdr:colOff>
      <xdr:row>2</xdr:row>
      <xdr:rowOff>211119</xdr:rowOff>
    </xdr:to>
    <xdr:sp macro="[0]!Investment_Report_Show_Hide_Cover_Page" textlink="">
      <xdr:nvSpPr>
        <xdr:cNvPr id="6" name="Rectangle 5">
          <a:extLst>
            <a:ext uri="{FF2B5EF4-FFF2-40B4-BE49-F238E27FC236}">
              <a16:creationId xmlns:a16="http://schemas.microsoft.com/office/drawing/2014/main" id="{EDF6A3F8-0D07-4D6C-8944-C84433DC9141}"/>
            </a:ext>
          </a:extLst>
        </xdr:cNvPr>
        <xdr:cNvSpPr/>
      </xdr:nvSpPr>
      <xdr:spPr>
        <a:xfrm>
          <a:off x="6534149" y="703157"/>
          <a:ext cx="266601" cy="267845"/>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136637</xdr:colOff>
      <xdr:row>1</xdr:row>
      <xdr:rowOff>142664</xdr:rowOff>
    </xdr:from>
    <xdr:to>
      <xdr:col>13</xdr:col>
      <xdr:colOff>394197</xdr:colOff>
      <xdr:row>2</xdr:row>
      <xdr:rowOff>230592</xdr:rowOff>
    </xdr:to>
    <xdr:sp macro="[0]!Investment_Report_Show_Hide_Summary_Page" textlink="">
      <xdr:nvSpPr>
        <xdr:cNvPr id="7" name="Rectangle 6">
          <a:extLst>
            <a:ext uri="{FF2B5EF4-FFF2-40B4-BE49-F238E27FC236}">
              <a16:creationId xmlns:a16="http://schemas.microsoft.com/office/drawing/2014/main" id="{B1153BF3-32DC-4968-802B-B6D74ED41FA1}"/>
            </a:ext>
          </a:extLst>
        </xdr:cNvPr>
        <xdr:cNvSpPr/>
      </xdr:nvSpPr>
      <xdr:spPr>
        <a:xfrm>
          <a:off x="7487820" y="713106"/>
          <a:ext cx="256502" cy="279486"/>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19</xdr:col>
      <xdr:colOff>452568</xdr:colOff>
      <xdr:row>1</xdr:row>
      <xdr:rowOff>171649</xdr:rowOff>
    </xdr:from>
    <xdr:to>
      <xdr:col>20</xdr:col>
      <xdr:colOff>203697</xdr:colOff>
      <xdr:row>2</xdr:row>
      <xdr:rowOff>259579</xdr:rowOff>
    </xdr:to>
    <xdr:sp macro="[0]!Investment_Report_Show_Hide_Photos" textlink="">
      <xdr:nvSpPr>
        <xdr:cNvPr id="8" name="Rectangle 7">
          <a:extLst>
            <a:ext uri="{FF2B5EF4-FFF2-40B4-BE49-F238E27FC236}">
              <a16:creationId xmlns:a16="http://schemas.microsoft.com/office/drawing/2014/main" id="{3A14ACA3-82CE-44B6-834C-98B920EDB988}"/>
            </a:ext>
          </a:extLst>
        </xdr:cNvPr>
        <xdr:cNvSpPr/>
      </xdr:nvSpPr>
      <xdr:spPr>
        <a:xfrm>
          <a:off x="10896201" y="741032"/>
          <a:ext cx="258071" cy="279489"/>
        </a:xfrm>
        <a:prstGeom prst="rect">
          <a:avLst/>
        </a:prstGeom>
        <a:solidFill>
          <a:srgbClr val="FFFFFF"/>
        </a:solidFill>
        <a:ln>
          <a:solidFill>
            <a:schemeClr val="tx1">
              <a:lumMod val="50000"/>
              <a:lumOff val="50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25</xdr:col>
      <xdr:colOff>19051</xdr:colOff>
      <xdr:row>199</xdr:row>
      <xdr:rowOff>70485</xdr:rowOff>
    </xdr:from>
    <xdr:to>
      <xdr:col>28</xdr:col>
      <xdr:colOff>104776</xdr:colOff>
      <xdr:row>202</xdr:row>
      <xdr:rowOff>93345</xdr:rowOff>
    </xdr:to>
    <xdr:sp macro="" textlink="">
      <xdr:nvSpPr>
        <xdr:cNvPr id="9" name="Line Callout 1 33">
          <a:extLst>
            <a:ext uri="{FF2B5EF4-FFF2-40B4-BE49-F238E27FC236}">
              <a16:creationId xmlns:a16="http://schemas.microsoft.com/office/drawing/2014/main" id="{583DFD72-FC6A-42E6-A9A7-D3212511A83A}"/>
            </a:ext>
          </a:extLst>
        </xdr:cNvPr>
        <xdr:cNvSpPr/>
      </xdr:nvSpPr>
      <xdr:spPr>
        <a:xfrm>
          <a:off x="13485284" y="59148768"/>
          <a:ext cx="1334559" cy="706544"/>
        </a:xfrm>
        <a:prstGeom prst="borderCallout1">
          <a:avLst>
            <a:gd name="adj1" fmla="val 52083"/>
            <a:gd name="adj2" fmla="val -7724"/>
            <a:gd name="adj3" fmla="val 48716"/>
            <a:gd name="adj4" fmla="val -55810"/>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050">
              <a:solidFill>
                <a:schemeClr val="dk1"/>
              </a:solidFill>
              <a:latin typeface="Calibri Light" panose="020F0302020204030204" pitchFamily="34" charset="0"/>
              <a:ea typeface="+mn-ea"/>
              <a:cs typeface="+mn-cs"/>
            </a:rPr>
            <a:t>Insert property photos here</a:t>
          </a:r>
        </a:p>
      </xdr:txBody>
    </xdr:sp>
    <xdr:clientData fPrintsWithSheet="0"/>
  </xdr:twoCellAnchor>
  <xdr:twoCellAnchor>
    <xdr:from>
      <xdr:col>25</xdr:col>
      <xdr:colOff>26669</xdr:colOff>
      <xdr:row>204</xdr:row>
      <xdr:rowOff>163830</xdr:rowOff>
    </xdr:from>
    <xdr:to>
      <xdr:col>28</xdr:col>
      <xdr:colOff>66675</xdr:colOff>
      <xdr:row>206</xdr:row>
      <xdr:rowOff>186690</xdr:rowOff>
    </xdr:to>
    <xdr:sp macro="" textlink="">
      <xdr:nvSpPr>
        <xdr:cNvPr id="10" name="Line Callout 1 36">
          <a:extLst>
            <a:ext uri="{FF2B5EF4-FFF2-40B4-BE49-F238E27FC236}">
              <a16:creationId xmlns:a16="http://schemas.microsoft.com/office/drawing/2014/main" id="{87A7B8DD-DB74-4528-9747-5739986FBE4D}"/>
            </a:ext>
          </a:extLst>
        </xdr:cNvPr>
        <xdr:cNvSpPr/>
      </xdr:nvSpPr>
      <xdr:spPr>
        <a:xfrm>
          <a:off x="13498194" y="60377705"/>
          <a:ext cx="1283548" cy="487468"/>
        </a:xfrm>
        <a:prstGeom prst="borderCallout1">
          <a:avLst>
            <a:gd name="adj1" fmla="val 52083"/>
            <a:gd name="adj2" fmla="val -7724"/>
            <a:gd name="adj3" fmla="val 48716"/>
            <a:gd name="adj4" fmla="val -51661"/>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050">
              <a:solidFill>
                <a:schemeClr val="dk1"/>
              </a:solidFill>
              <a:latin typeface="Calibri Light" panose="020F0302020204030204" pitchFamily="34" charset="0"/>
              <a:ea typeface="+mn-ea"/>
              <a:cs typeface="+mn-cs"/>
            </a:rPr>
            <a:t>Input a brief caption for each photo</a:t>
          </a:r>
        </a:p>
      </xdr:txBody>
    </xdr:sp>
    <xdr:clientData fPrintsWithSheet="0"/>
  </xdr:twoCellAnchor>
  <xdr:twoCellAnchor>
    <xdr:from>
      <xdr:col>2</xdr:col>
      <xdr:colOff>365760</xdr:colOff>
      <xdr:row>25</xdr:row>
      <xdr:rowOff>68580</xdr:rowOff>
    </xdr:from>
    <xdr:to>
      <xdr:col>5</xdr:col>
      <xdr:colOff>243840</xdr:colOff>
      <xdr:row>28</xdr:row>
      <xdr:rowOff>114300</xdr:rowOff>
    </xdr:to>
    <xdr:sp macro="" textlink="">
      <xdr:nvSpPr>
        <xdr:cNvPr id="11" name="Line Callout 1 38">
          <a:extLst>
            <a:ext uri="{FF2B5EF4-FFF2-40B4-BE49-F238E27FC236}">
              <a16:creationId xmlns:a16="http://schemas.microsoft.com/office/drawing/2014/main" id="{39CECF30-A6F8-4110-9706-F6CC2A469DC2}"/>
            </a:ext>
          </a:extLst>
        </xdr:cNvPr>
        <xdr:cNvSpPr/>
      </xdr:nvSpPr>
      <xdr:spPr>
        <a:xfrm>
          <a:off x="2201968" y="6915997"/>
          <a:ext cx="1396789" cy="904028"/>
        </a:xfrm>
        <a:prstGeom prst="borderCallout1">
          <a:avLst>
            <a:gd name="adj1" fmla="val 46750"/>
            <a:gd name="adj2" fmla="val 107520"/>
            <a:gd name="adj3" fmla="val 40715"/>
            <a:gd name="adj4" fmla="val 213496"/>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050">
              <a:latin typeface="Calibri Light" panose="020F0302020204030204" pitchFamily="34" charset="0"/>
            </a:rPr>
            <a:t>Property Info pulled</a:t>
          </a:r>
          <a:r>
            <a:rPr lang="en-US" sz="1050" baseline="0">
              <a:latin typeface="Calibri Light" panose="020F0302020204030204" pitchFamily="34" charset="0"/>
            </a:rPr>
            <a:t> from Info Sheet</a:t>
          </a:r>
          <a:endParaRPr lang="en-US" sz="1050">
            <a:latin typeface="Calibri Light" panose="020F0302020204030204" pitchFamily="34" charset="0"/>
          </a:endParaRPr>
        </a:p>
      </xdr:txBody>
    </xdr:sp>
    <xdr:clientData fPrintsWithSheet="0"/>
  </xdr:twoCellAnchor>
  <xdr:twoCellAnchor>
    <xdr:from>
      <xdr:col>2</xdr:col>
      <xdr:colOff>388620</xdr:colOff>
      <xdr:row>39</xdr:row>
      <xdr:rowOff>190500</xdr:rowOff>
    </xdr:from>
    <xdr:to>
      <xdr:col>5</xdr:col>
      <xdr:colOff>266700</xdr:colOff>
      <xdr:row>43</xdr:row>
      <xdr:rowOff>15240</xdr:rowOff>
    </xdr:to>
    <xdr:sp macro="" textlink="">
      <xdr:nvSpPr>
        <xdr:cNvPr id="12" name="Line Callout 1 39">
          <a:extLst>
            <a:ext uri="{FF2B5EF4-FFF2-40B4-BE49-F238E27FC236}">
              <a16:creationId xmlns:a16="http://schemas.microsoft.com/office/drawing/2014/main" id="{5C2D3D83-541A-4E58-8B70-4CB01932ACB4}"/>
            </a:ext>
          </a:extLst>
        </xdr:cNvPr>
        <xdr:cNvSpPr/>
      </xdr:nvSpPr>
      <xdr:spPr>
        <a:xfrm>
          <a:off x="2228003" y="11039475"/>
          <a:ext cx="1391497" cy="969857"/>
        </a:xfrm>
        <a:prstGeom prst="borderCallout1">
          <a:avLst>
            <a:gd name="adj1" fmla="val 46750"/>
            <a:gd name="adj2" fmla="val 107520"/>
            <a:gd name="adj3" fmla="val 40715"/>
            <a:gd name="adj4" fmla="val 213496"/>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050">
              <a:solidFill>
                <a:schemeClr val="dk1"/>
              </a:solidFill>
              <a:latin typeface="Calibri Light" panose="020F0302020204030204" pitchFamily="34" charset="0"/>
              <a:ea typeface="+mn-ea"/>
              <a:cs typeface="+mn-cs"/>
            </a:rPr>
            <a:t>Company Info pulled from Info Sheet</a:t>
          </a:r>
        </a:p>
      </xdr:txBody>
    </xdr:sp>
    <xdr:clientData fPrintsWithSheet="0"/>
  </xdr:twoCellAnchor>
  <xdr:twoCellAnchor>
    <xdr:from>
      <xdr:col>8</xdr:col>
      <xdr:colOff>352425</xdr:colOff>
      <xdr:row>1</xdr:row>
      <xdr:rowOff>125731</xdr:rowOff>
    </xdr:from>
    <xdr:to>
      <xdr:col>11</xdr:col>
      <xdr:colOff>179917</xdr:colOff>
      <xdr:row>2</xdr:row>
      <xdr:rowOff>264584</xdr:rowOff>
    </xdr:to>
    <xdr:sp macro="" textlink="">
      <xdr:nvSpPr>
        <xdr:cNvPr id="13" name="TextBox 12">
          <a:extLst>
            <a:ext uri="{FF2B5EF4-FFF2-40B4-BE49-F238E27FC236}">
              <a16:creationId xmlns:a16="http://schemas.microsoft.com/office/drawing/2014/main" id="{AB08D656-F4D1-4960-B0BF-DD066DEDDC67}"/>
            </a:ext>
          </a:extLst>
        </xdr:cNvPr>
        <xdr:cNvSpPr txBox="1"/>
      </xdr:nvSpPr>
      <xdr:spPr>
        <a:xfrm>
          <a:off x="5135033" y="694056"/>
          <a:ext cx="1368426" cy="332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100" b="0" i="1" baseline="0">
              <a:solidFill>
                <a:schemeClr val="tx1">
                  <a:lumMod val="75000"/>
                  <a:lumOff val="25000"/>
                </a:schemeClr>
              </a:solidFill>
              <a:latin typeface="Calibri Light" panose="020F0302020204030204" pitchFamily="34" charset="0"/>
            </a:rPr>
            <a:t>Select Pages Shown:</a:t>
          </a:r>
          <a:endParaRPr lang="en-US" sz="1100" b="0" i="1">
            <a:solidFill>
              <a:schemeClr val="tx1">
                <a:lumMod val="75000"/>
                <a:lumOff val="25000"/>
              </a:schemeClr>
            </a:solidFill>
            <a:latin typeface="Calibri Light" panose="020F0302020204030204" pitchFamily="34" charset="0"/>
          </a:endParaRPr>
        </a:p>
      </xdr:txBody>
    </xdr:sp>
    <xdr:clientData/>
  </xdr:twoCellAnchor>
  <xdr:twoCellAnchor>
    <xdr:from>
      <xdr:col>11</xdr:col>
      <xdr:colOff>218016</xdr:colOff>
      <xdr:row>1</xdr:row>
      <xdr:rowOff>135044</xdr:rowOff>
    </xdr:from>
    <xdr:to>
      <xdr:col>11</xdr:col>
      <xdr:colOff>493293</xdr:colOff>
      <xdr:row>2</xdr:row>
      <xdr:rowOff>219800</xdr:rowOff>
    </xdr:to>
    <xdr:pic macro="[0]!Investment_Report_Show_Hide_Cover_Page">
      <xdr:nvPicPr>
        <xdr:cNvPr id="14" name="Investment_Report_Cover_Check">
          <a:extLst>
            <a:ext uri="{FF2B5EF4-FFF2-40B4-BE49-F238E27FC236}">
              <a16:creationId xmlns:a16="http://schemas.microsoft.com/office/drawing/2014/main" id="{434CDBF5-FEE7-4099-857C-4D33C13E61E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545791" y="704427"/>
          <a:ext cx="272102" cy="276315"/>
        </a:xfrm>
        <a:prstGeom prst="rect">
          <a:avLst/>
        </a:prstGeom>
      </xdr:spPr>
    </xdr:pic>
    <xdr:clientData/>
  </xdr:twoCellAnchor>
  <xdr:twoCellAnchor>
    <xdr:from>
      <xdr:col>13</xdr:col>
      <xdr:colOff>135790</xdr:colOff>
      <xdr:row>1</xdr:row>
      <xdr:rowOff>162984</xdr:rowOff>
    </xdr:from>
    <xdr:to>
      <xdr:col>13</xdr:col>
      <xdr:colOff>413668</xdr:colOff>
      <xdr:row>2</xdr:row>
      <xdr:rowOff>236097</xdr:rowOff>
    </xdr:to>
    <xdr:pic macro="[0]!Investment_Report_Show_Hide_Summary_Page">
      <xdr:nvPicPr>
        <xdr:cNvPr id="15" name="Investment_Report_Summary_Check">
          <a:extLst>
            <a:ext uri="{FF2B5EF4-FFF2-40B4-BE49-F238E27FC236}">
              <a16:creationId xmlns:a16="http://schemas.microsoft.com/office/drawing/2014/main" id="{640684F1-7D43-4FC9-8713-36503A5B925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486973" y="731309"/>
          <a:ext cx="284228" cy="267846"/>
        </a:xfrm>
        <a:prstGeom prst="rect">
          <a:avLst/>
        </a:prstGeom>
      </xdr:spPr>
    </xdr:pic>
    <xdr:clientData/>
  </xdr:twoCellAnchor>
  <xdr:twoCellAnchor>
    <xdr:from>
      <xdr:col>20</xdr:col>
      <xdr:colOff>218090</xdr:colOff>
      <xdr:row>1</xdr:row>
      <xdr:rowOff>112830</xdr:rowOff>
    </xdr:from>
    <xdr:to>
      <xdr:col>22</xdr:col>
      <xdr:colOff>179990</xdr:colOff>
      <xdr:row>3</xdr:row>
      <xdr:rowOff>28239</xdr:rowOff>
    </xdr:to>
    <xdr:sp macro="[0]!Investment_Report_Show_Hide_Photos" textlink="">
      <xdr:nvSpPr>
        <xdr:cNvPr id="16" name="TextBox 15">
          <a:extLst>
            <a:ext uri="{FF2B5EF4-FFF2-40B4-BE49-F238E27FC236}">
              <a16:creationId xmlns:a16="http://schemas.microsoft.com/office/drawing/2014/main" id="{F337DC9C-87B6-4843-B1FD-CDC225F0F6B0}"/>
            </a:ext>
          </a:extLst>
        </xdr:cNvPr>
        <xdr:cNvSpPr txBox="1"/>
      </xdr:nvSpPr>
      <xdr:spPr>
        <a:xfrm>
          <a:off x="11170782" y="684330"/>
          <a:ext cx="990600" cy="390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chemeClr val="tx1">
                  <a:lumMod val="75000"/>
                  <a:lumOff val="25000"/>
                </a:schemeClr>
              </a:solidFill>
              <a:latin typeface="Calibri Light" panose="020F0302020204030204" pitchFamily="34" charset="0"/>
            </a:rPr>
            <a:t>Photos</a:t>
          </a:r>
        </a:p>
      </xdr:txBody>
    </xdr:sp>
    <xdr:clientData/>
  </xdr:twoCellAnchor>
  <xdr:twoCellAnchor>
    <xdr:from>
      <xdr:col>19</xdr:col>
      <xdr:colOff>461157</xdr:colOff>
      <xdr:row>1</xdr:row>
      <xdr:rowOff>174377</xdr:rowOff>
    </xdr:from>
    <xdr:to>
      <xdr:col>20</xdr:col>
      <xdr:colOff>222020</xdr:colOff>
      <xdr:row>2</xdr:row>
      <xdr:rowOff>262305</xdr:rowOff>
    </xdr:to>
    <xdr:pic macro="[0]!Investment_Report_Show_Hide_Photos">
      <xdr:nvPicPr>
        <xdr:cNvPr id="17" name="Investment_Report_Photos_Check">
          <a:extLst>
            <a:ext uri="{FF2B5EF4-FFF2-40B4-BE49-F238E27FC236}">
              <a16:creationId xmlns:a16="http://schemas.microsoft.com/office/drawing/2014/main" id="{F2F79CA1-336A-4A1F-AC00-2763123A808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896324" y="743760"/>
          <a:ext cx="278388" cy="284778"/>
        </a:xfrm>
        <a:prstGeom prst="rect">
          <a:avLst/>
        </a:prstGeom>
      </xdr:spPr>
    </xdr:pic>
    <xdr:clientData/>
  </xdr:twoCellAnchor>
  <xdr:twoCellAnchor>
    <xdr:from>
      <xdr:col>13</xdr:col>
      <xdr:colOff>448522</xdr:colOff>
      <xdr:row>8</xdr:row>
      <xdr:rowOff>157586</xdr:rowOff>
    </xdr:from>
    <xdr:to>
      <xdr:col>14</xdr:col>
      <xdr:colOff>419523</xdr:colOff>
      <xdr:row>10</xdr:row>
      <xdr:rowOff>109537</xdr:rowOff>
    </xdr:to>
    <xdr:pic>
      <xdr:nvPicPr>
        <xdr:cNvPr id="18" name="Picture 17">
          <a:hlinkClick xmlns:r="http://schemas.openxmlformats.org/officeDocument/2006/relationships" r:id="rId2"/>
          <a:extLst>
            <a:ext uri="{FF2B5EF4-FFF2-40B4-BE49-F238E27FC236}">
              <a16:creationId xmlns:a16="http://schemas.microsoft.com/office/drawing/2014/main" id="{ABD196B2-F2FE-4A53-B942-D04462CB2E8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800764" y="2296478"/>
          <a:ext cx="486409" cy="493817"/>
        </a:xfrm>
        <a:prstGeom prst="rect">
          <a:avLst/>
        </a:prstGeom>
      </xdr:spPr>
    </xdr:pic>
    <xdr:clientData/>
  </xdr:twoCellAnchor>
  <xdr:twoCellAnchor>
    <xdr:from>
      <xdr:col>22</xdr:col>
      <xdr:colOff>236220</xdr:colOff>
      <xdr:row>5</xdr:row>
      <xdr:rowOff>0</xdr:rowOff>
    </xdr:from>
    <xdr:to>
      <xdr:col>23</xdr:col>
      <xdr:colOff>0</xdr:colOff>
      <xdr:row>6</xdr:row>
      <xdr:rowOff>45720</xdr:rowOff>
    </xdr:to>
    <xdr:pic macro="[0]!Hide_Investment_Report_Help">
      <xdr:nvPicPr>
        <xdr:cNvPr id="19" name="Getting_Started_Close_Icon">
          <a:extLst>
            <a:ext uri="{FF2B5EF4-FFF2-40B4-BE49-F238E27FC236}">
              <a16:creationId xmlns:a16="http://schemas.microsoft.com/office/drawing/2014/main" id="{950E9171-E4DD-45AF-A86C-5799C922857D}"/>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2219728" y="1343025"/>
          <a:ext cx="277072" cy="313478"/>
        </a:xfrm>
        <a:prstGeom prst="rect">
          <a:avLst/>
        </a:prstGeom>
      </xdr:spPr>
    </xdr:pic>
    <xdr:clientData/>
  </xdr:twoCellAnchor>
  <xdr:twoCellAnchor>
    <xdr:from>
      <xdr:col>15</xdr:col>
      <xdr:colOff>22860</xdr:colOff>
      <xdr:row>8</xdr:row>
      <xdr:rowOff>205740</xdr:rowOff>
    </xdr:from>
    <xdr:to>
      <xdr:col>18</xdr:col>
      <xdr:colOff>243840</xdr:colOff>
      <xdr:row>10</xdr:row>
      <xdr:rowOff>30480</xdr:rowOff>
    </xdr:to>
    <xdr:sp macro="" textlink="">
      <xdr:nvSpPr>
        <xdr:cNvPr id="20" name="Rectangle 19">
          <a:hlinkClick xmlns:r="http://schemas.openxmlformats.org/officeDocument/2006/relationships" r:id="rId2"/>
          <a:extLst>
            <a:ext uri="{FF2B5EF4-FFF2-40B4-BE49-F238E27FC236}">
              <a16:creationId xmlns:a16="http://schemas.microsoft.com/office/drawing/2014/main" id="{BC49B8FA-07B1-43AC-BEEB-308E9E260CB1}"/>
            </a:ext>
          </a:extLst>
        </xdr:cNvPr>
        <xdr:cNvSpPr/>
      </xdr:nvSpPr>
      <xdr:spPr>
        <a:xfrm>
          <a:off x="8402743" y="2350982"/>
          <a:ext cx="1768264" cy="35496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7</xdr:col>
      <xdr:colOff>78829</xdr:colOff>
      <xdr:row>196</xdr:row>
      <xdr:rowOff>78829</xdr:rowOff>
    </xdr:from>
    <xdr:to>
      <xdr:col>11</xdr:col>
      <xdr:colOff>445631</xdr:colOff>
      <xdr:row>204</xdr:row>
      <xdr:rowOff>148898</xdr:rowOff>
    </xdr:to>
    <xdr:pic>
      <xdr:nvPicPr>
        <xdr:cNvPr id="21" name="Picture 20">
          <a:extLst>
            <a:ext uri="{FF2B5EF4-FFF2-40B4-BE49-F238E27FC236}">
              <a16:creationId xmlns:a16="http://schemas.microsoft.com/office/drawing/2014/main" id="{07078A54-77DE-4945-8B28-2AD6F47E08AF}"/>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341796" y="58462846"/>
          <a:ext cx="2431610" cy="1907335"/>
        </a:xfrm>
        <a:prstGeom prst="rect">
          <a:avLst/>
        </a:prstGeom>
      </xdr:spPr>
    </xdr:pic>
    <xdr:clientData/>
  </xdr:twoCellAnchor>
  <xdr:twoCellAnchor>
    <xdr:from>
      <xdr:col>13</xdr:col>
      <xdr:colOff>78828</xdr:colOff>
      <xdr:row>196</xdr:row>
      <xdr:rowOff>78827</xdr:rowOff>
    </xdr:from>
    <xdr:to>
      <xdr:col>17</xdr:col>
      <xdr:colOff>445631</xdr:colOff>
      <xdr:row>204</xdr:row>
      <xdr:rowOff>148896</xdr:rowOff>
    </xdr:to>
    <xdr:pic>
      <xdr:nvPicPr>
        <xdr:cNvPr id="22" name="Picture 21">
          <a:extLst>
            <a:ext uri="{FF2B5EF4-FFF2-40B4-BE49-F238E27FC236}">
              <a16:creationId xmlns:a16="http://schemas.microsoft.com/office/drawing/2014/main" id="{875224D2-5099-41AB-B461-8A284900106C}"/>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427895" y="58462844"/>
          <a:ext cx="2431611" cy="1907335"/>
        </a:xfrm>
        <a:prstGeom prst="rect">
          <a:avLst/>
        </a:prstGeom>
      </xdr:spPr>
    </xdr:pic>
    <xdr:clientData/>
  </xdr:twoCellAnchor>
  <xdr:twoCellAnchor>
    <xdr:from>
      <xdr:col>19</xdr:col>
      <xdr:colOff>61310</xdr:colOff>
      <xdr:row>196</xdr:row>
      <xdr:rowOff>70069</xdr:rowOff>
    </xdr:from>
    <xdr:to>
      <xdr:col>23</xdr:col>
      <xdr:colOff>430022</xdr:colOff>
      <xdr:row>204</xdr:row>
      <xdr:rowOff>148707</xdr:rowOff>
    </xdr:to>
    <xdr:pic>
      <xdr:nvPicPr>
        <xdr:cNvPr id="23" name="Picture 22">
          <a:extLst>
            <a:ext uri="{FF2B5EF4-FFF2-40B4-BE49-F238E27FC236}">
              <a16:creationId xmlns:a16="http://schemas.microsoft.com/office/drawing/2014/main" id="{D387ABAA-90D4-4D16-B1FC-F6E135D021B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498593" y="58462552"/>
          <a:ext cx="2425054" cy="1907438"/>
        </a:xfrm>
        <a:prstGeom prst="rect">
          <a:avLst/>
        </a:prstGeom>
      </xdr:spPr>
    </xdr:pic>
    <xdr:clientData/>
  </xdr:twoCellAnchor>
  <xdr:twoCellAnchor>
    <xdr:from>
      <xdr:col>7</xdr:col>
      <xdr:colOff>52552</xdr:colOff>
      <xdr:row>208</xdr:row>
      <xdr:rowOff>61310</xdr:rowOff>
    </xdr:from>
    <xdr:to>
      <xdr:col>11</xdr:col>
      <xdr:colOff>420308</xdr:colOff>
      <xdr:row>216</xdr:row>
      <xdr:rowOff>135610</xdr:rowOff>
    </xdr:to>
    <xdr:pic>
      <xdr:nvPicPr>
        <xdr:cNvPr id="24" name="Picture 23">
          <a:extLst>
            <a:ext uri="{FF2B5EF4-FFF2-40B4-BE49-F238E27FC236}">
              <a16:creationId xmlns:a16="http://schemas.microsoft.com/office/drawing/2014/main" id="{0B5D4160-F293-46BC-9F3C-605445AF3CE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316577" y="61190643"/>
          <a:ext cx="2428331" cy="1903100"/>
        </a:xfrm>
        <a:prstGeom prst="rect">
          <a:avLst/>
        </a:prstGeom>
      </xdr:spPr>
    </xdr:pic>
    <xdr:clientData/>
  </xdr:twoCellAnchor>
  <xdr:twoCellAnchor>
    <xdr:from>
      <xdr:col>13</xdr:col>
      <xdr:colOff>70069</xdr:colOff>
      <xdr:row>208</xdr:row>
      <xdr:rowOff>52552</xdr:rowOff>
    </xdr:from>
    <xdr:to>
      <xdr:col>17</xdr:col>
      <xdr:colOff>439942</xdr:colOff>
      <xdr:row>216</xdr:row>
      <xdr:rowOff>124635</xdr:rowOff>
    </xdr:to>
    <xdr:pic>
      <xdr:nvPicPr>
        <xdr:cNvPr id="25" name="Picture 24">
          <a:extLst>
            <a:ext uri="{FF2B5EF4-FFF2-40B4-BE49-F238E27FC236}">
              <a16:creationId xmlns:a16="http://schemas.microsoft.com/office/drawing/2014/main" id="{C9A40D34-0C93-4072-9E23-8CC54A64AE04}"/>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427602" y="61180827"/>
          <a:ext cx="2420923" cy="1905116"/>
        </a:xfrm>
        <a:prstGeom prst="rect">
          <a:avLst/>
        </a:prstGeom>
      </xdr:spPr>
    </xdr:pic>
    <xdr:clientData/>
  </xdr:twoCellAnchor>
  <xdr:twoCellAnchor>
    <xdr:from>
      <xdr:col>19</xdr:col>
      <xdr:colOff>78827</xdr:colOff>
      <xdr:row>208</xdr:row>
      <xdr:rowOff>61310</xdr:rowOff>
    </xdr:from>
    <xdr:to>
      <xdr:col>23</xdr:col>
      <xdr:colOff>445631</xdr:colOff>
      <xdr:row>216</xdr:row>
      <xdr:rowOff>135610</xdr:rowOff>
    </xdr:to>
    <xdr:pic>
      <xdr:nvPicPr>
        <xdr:cNvPr id="26" name="Picture 25">
          <a:extLst>
            <a:ext uri="{FF2B5EF4-FFF2-40B4-BE49-F238E27FC236}">
              <a16:creationId xmlns:a16="http://schemas.microsoft.com/office/drawing/2014/main" id="{97DDB7C8-95CC-4114-AE06-6D379A096767}"/>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513994" y="61190643"/>
          <a:ext cx="2431612" cy="1903100"/>
        </a:xfrm>
        <a:prstGeom prst="rect">
          <a:avLst/>
        </a:prstGeom>
      </xdr:spPr>
    </xdr:pic>
    <xdr:clientData/>
  </xdr:twoCellAnchor>
  <xdr:twoCellAnchor>
    <xdr:from>
      <xdr:col>7</xdr:col>
      <xdr:colOff>70069</xdr:colOff>
      <xdr:row>220</xdr:row>
      <xdr:rowOff>70069</xdr:rowOff>
    </xdr:from>
    <xdr:to>
      <xdr:col>11</xdr:col>
      <xdr:colOff>439941</xdr:colOff>
      <xdr:row>228</xdr:row>
      <xdr:rowOff>148706</xdr:rowOff>
    </xdr:to>
    <xdr:pic>
      <xdr:nvPicPr>
        <xdr:cNvPr id="27" name="Picture 26">
          <a:extLst>
            <a:ext uri="{FF2B5EF4-FFF2-40B4-BE49-F238E27FC236}">
              <a16:creationId xmlns:a16="http://schemas.microsoft.com/office/drawing/2014/main" id="{3D5402D5-08A9-478F-86B7-EA3BC6E6468B}"/>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341502" y="63948952"/>
          <a:ext cx="2420922" cy="1907437"/>
        </a:xfrm>
        <a:prstGeom prst="rect">
          <a:avLst/>
        </a:prstGeom>
      </xdr:spPr>
    </xdr:pic>
    <xdr:clientData/>
  </xdr:twoCellAnchor>
  <xdr:twoCellAnchor>
    <xdr:from>
      <xdr:col>13</xdr:col>
      <xdr:colOff>87586</xdr:colOff>
      <xdr:row>220</xdr:row>
      <xdr:rowOff>61311</xdr:rowOff>
    </xdr:from>
    <xdr:to>
      <xdr:col>17</xdr:col>
      <xdr:colOff>455343</xdr:colOff>
      <xdr:row>228</xdr:row>
      <xdr:rowOff>135610</xdr:rowOff>
    </xdr:to>
    <xdr:pic>
      <xdr:nvPicPr>
        <xdr:cNvPr id="28" name="Picture 27">
          <a:extLst>
            <a:ext uri="{FF2B5EF4-FFF2-40B4-BE49-F238E27FC236}">
              <a16:creationId xmlns:a16="http://schemas.microsoft.com/office/drawing/2014/main" id="{13124E6F-3C40-4130-98EE-ABB2FBEB94C6}"/>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437711" y="63933844"/>
          <a:ext cx="2428332" cy="1903099"/>
        </a:xfrm>
        <a:prstGeom prst="rect">
          <a:avLst/>
        </a:prstGeom>
      </xdr:spPr>
    </xdr:pic>
    <xdr:clientData/>
  </xdr:twoCellAnchor>
  <xdr:twoCellAnchor>
    <xdr:from>
      <xdr:col>19</xdr:col>
      <xdr:colOff>96344</xdr:colOff>
      <xdr:row>220</xdr:row>
      <xdr:rowOff>70069</xdr:rowOff>
    </xdr:from>
    <xdr:to>
      <xdr:col>23</xdr:col>
      <xdr:colOff>465056</xdr:colOff>
      <xdr:row>228</xdr:row>
      <xdr:rowOff>148706</xdr:rowOff>
    </xdr:to>
    <xdr:pic>
      <xdr:nvPicPr>
        <xdr:cNvPr id="29" name="Picture 28">
          <a:extLst>
            <a:ext uri="{FF2B5EF4-FFF2-40B4-BE49-F238E27FC236}">
              <a16:creationId xmlns:a16="http://schemas.microsoft.com/office/drawing/2014/main" id="{5551E23C-2FB4-40C5-BF44-E07FC8356B37}"/>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533627" y="63948952"/>
          <a:ext cx="2429287" cy="1907437"/>
        </a:xfrm>
        <a:prstGeom prst="rect">
          <a:avLst/>
        </a:prstGeom>
      </xdr:spPr>
    </xdr:pic>
    <xdr:clientData/>
  </xdr:twoCellAnchor>
  <xdr:twoCellAnchor>
    <xdr:from>
      <xdr:col>6</xdr:col>
      <xdr:colOff>1905</xdr:colOff>
      <xdr:row>2</xdr:row>
      <xdr:rowOff>45509</xdr:rowOff>
    </xdr:from>
    <xdr:to>
      <xdr:col>8</xdr:col>
      <xdr:colOff>477143</xdr:colOff>
      <xdr:row>3</xdr:row>
      <xdr:rowOff>66676</xdr:rowOff>
    </xdr:to>
    <xdr:sp macro="[0]!Navigate_Wholesale_Calculator" textlink="">
      <xdr:nvSpPr>
        <xdr:cNvPr id="30" name="TextBox 29">
          <a:extLst>
            <a:ext uri="{FF2B5EF4-FFF2-40B4-BE49-F238E27FC236}">
              <a16:creationId xmlns:a16="http://schemas.microsoft.com/office/drawing/2014/main" id="{B0A38FE1-2C4E-4191-878B-916E5E31C78F}"/>
            </a:ext>
          </a:extLst>
        </xdr:cNvPr>
        <xdr:cNvSpPr txBox="1"/>
      </xdr:nvSpPr>
      <xdr:spPr>
        <a:xfrm>
          <a:off x="3811905" y="808567"/>
          <a:ext cx="1444671" cy="304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Analysis</a:t>
          </a:r>
          <a:endParaRPr lang="en-US" sz="1100" b="0" i="1" u="sng">
            <a:solidFill>
              <a:srgbClr val="289FE8"/>
            </a:solidFill>
            <a:latin typeface="Calibri Light" panose="020F0302020204030204" pitchFamily="34" charset="0"/>
          </a:endParaRPr>
        </a:p>
      </xdr:txBody>
    </xdr:sp>
    <xdr:clientData/>
  </xdr:twoCellAnchor>
  <xdr:twoCellAnchor>
    <xdr:from>
      <xdr:col>7</xdr:col>
      <xdr:colOff>123612</xdr:colOff>
      <xdr:row>1</xdr:row>
      <xdr:rowOff>18123</xdr:rowOff>
    </xdr:from>
    <xdr:to>
      <xdr:col>7</xdr:col>
      <xdr:colOff>401690</xdr:colOff>
      <xdr:row>2</xdr:row>
      <xdr:rowOff>105701</xdr:rowOff>
    </xdr:to>
    <xdr:pic macro="[0]!Navigate_Wholesale_Calculator">
      <xdr:nvPicPr>
        <xdr:cNvPr id="31" name="Picture 30">
          <a:extLst>
            <a:ext uri="{FF2B5EF4-FFF2-40B4-BE49-F238E27FC236}">
              <a16:creationId xmlns:a16="http://schemas.microsoft.com/office/drawing/2014/main" id="{DE879785-E1CA-48B4-A98C-5F151CA422E8}"/>
            </a:ext>
          </a:extLst>
        </xdr:cNvPr>
        <xdr:cNvPicPr>
          <a:picLocks noChangeAspect="1"/>
        </xdr:cNvPicPr>
      </xdr:nvPicPr>
      <xdr:blipFill>
        <a:blip xmlns:r="http://schemas.openxmlformats.org/officeDocument/2006/relationships" r:embed="rId6"/>
        <a:stretch>
          <a:fillRect/>
        </a:stretch>
      </xdr:blipFill>
      <xdr:spPr>
        <a:xfrm>
          <a:off x="4391870" y="591740"/>
          <a:ext cx="274903" cy="274903"/>
        </a:xfrm>
        <a:prstGeom prst="rect">
          <a:avLst/>
        </a:prstGeom>
      </xdr:spPr>
    </xdr:pic>
    <xdr:clientData/>
  </xdr:twoCellAnchor>
  <xdr:twoCellAnchor editAs="absolute">
    <xdr:from>
      <xdr:col>23</xdr:col>
      <xdr:colOff>11240</xdr:colOff>
      <xdr:row>0</xdr:row>
      <xdr:rowOff>140799</xdr:rowOff>
    </xdr:from>
    <xdr:to>
      <xdr:col>23</xdr:col>
      <xdr:colOff>293602</xdr:colOff>
      <xdr:row>0</xdr:row>
      <xdr:rowOff>419524</xdr:rowOff>
    </xdr:to>
    <xdr:pic macro="[0]!Hide_Wholesale_Packet">
      <xdr:nvPicPr>
        <xdr:cNvPr id="40" name="Picture 39">
          <a:extLst>
            <a:ext uri="{FF2B5EF4-FFF2-40B4-BE49-F238E27FC236}">
              <a16:creationId xmlns:a16="http://schemas.microsoft.com/office/drawing/2014/main" id="{E368F94B-76E4-4DC3-B36C-A76DE4F19513}"/>
            </a:ext>
          </a:extLst>
        </xdr:cNvPr>
        <xdr:cNvPicPr>
          <a:picLocks noChangeAspect="1"/>
        </xdr:cNvPicPr>
      </xdr:nvPicPr>
      <xdr:blipFill>
        <a:blip xmlns:r="http://schemas.openxmlformats.org/officeDocument/2006/relationships" r:embed="rId7"/>
        <a:stretch>
          <a:fillRect/>
        </a:stretch>
      </xdr:blipFill>
      <xdr:spPr>
        <a:xfrm>
          <a:off x="12508040" y="140799"/>
          <a:ext cx="282362" cy="278725"/>
        </a:xfrm>
        <a:prstGeom prst="rect">
          <a:avLst/>
        </a:prstGeom>
      </xdr:spPr>
    </xdr:pic>
    <xdr:clientData/>
  </xdr:twoCellAnchor>
  <xdr:twoCellAnchor>
    <xdr:from>
      <xdr:col>7</xdr:col>
      <xdr:colOff>78829</xdr:colOff>
      <xdr:row>184</xdr:row>
      <xdr:rowOff>78829</xdr:rowOff>
    </xdr:from>
    <xdr:to>
      <xdr:col>11</xdr:col>
      <xdr:colOff>463519</xdr:colOff>
      <xdr:row>192</xdr:row>
      <xdr:rowOff>136199</xdr:rowOff>
    </xdr:to>
    <xdr:pic>
      <xdr:nvPicPr>
        <xdr:cNvPr id="42" name="Picture 41">
          <a:extLst>
            <a:ext uri="{FF2B5EF4-FFF2-40B4-BE49-F238E27FC236}">
              <a16:creationId xmlns:a16="http://schemas.microsoft.com/office/drawing/2014/main" id="{2C03E4E7-0AD8-4861-A428-211E1995638F}"/>
            </a:ext>
          </a:extLst>
        </xdr:cNvPr>
        <xdr:cNvPicPr>
          <a:picLocks noChangeAspect="1"/>
        </xdr:cNvPicPr>
      </xdr:nvPicPr>
      <xdr:blipFill>
        <a:blip xmlns:r="http://schemas.openxmlformats.org/officeDocument/2006/relationships" r:embed="rId5"/>
        <a:stretch>
          <a:fillRect/>
        </a:stretch>
      </xdr:blipFill>
      <xdr:spPr>
        <a:xfrm>
          <a:off x="4341796" y="55824421"/>
          <a:ext cx="2442090" cy="1888286"/>
        </a:xfrm>
        <a:prstGeom prst="rect">
          <a:avLst/>
        </a:prstGeom>
      </xdr:spPr>
    </xdr:pic>
    <xdr:clientData/>
  </xdr:twoCellAnchor>
  <xdr:twoCellAnchor>
    <xdr:from>
      <xdr:col>13</xdr:col>
      <xdr:colOff>78828</xdr:colOff>
      <xdr:row>184</xdr:row>
      <xdr:rowOff>78827</xdr:rowOff>
    </xdr:from>
    <xdr:to>
      <xdr:col>17</xdr:col>
      <xdr:colOff>463519</xdr:colOff>
      <xdr:row>192</xdr:row>
      <xdr:rowOff>136197</xdr:rowOff>
    </xdr:to>
    <xdr:pic>
      <xdr:nvPicPr>
        <xdr:cNvPr id="43" name="Picture 42">
          <a:extLst>
            <a:ext uri="{FF2B5EF4-FFF2-40B4-BE49-F238E27FC236}">
              <a16:creationId xmlns:a16="http://schemas.microsoft.com/office/drawing/2014/main" id="{CE323997-3E97-437A-A627-C03928866E3B}"/>
            </a:ext>
          </a:extLst>
        </xdr:cNvPr>
        <xdr:cNvPicPr>
          <a:picLocks noChangeAspect="1"/>
        </xdr:cNvPicPr>
      </xdr:nvPicPr>
      <xdr:blipFill>
        <a:blip xmlns:r="http://schemas.openxmlformats.org/officeDocument/2006/relationships" r:embed="rId5"/>
        <a:stretch>
          <a:fillRect/>
        </a:stretch>
      </xdr:blipFill>
      <xdr:spPr>
        <a:xfrm>
          <a:off x="7427895" y="55824419"/>
          <a:ext cx="2442091" cy="1888286"/>
        </a:xfrm>
        <a:prstGeom prst="rect">
          <a:avLst/>
        </a:prstGeom>
      </xdr:spPr>
    </xdr:pic>
    <xdr:clientData/>
  </xdr:twoCellAnchor>
  <xdr:twoCellAnchor>
    <xdr:from>
      <xdr:col>19</xdr:col>
      <xdr:colOff>61310</xdr:colOff>
      <xdr:row>184</xdr:row>
      <xdr:rowOff>70069</xdr:rowOff>
    </xdr:from>
    <xdr:to>
      <xdr:col>23</xdr:col>
      <xdr:colOff>448118</xdr:colOff>
      <xdr:row>192</xdr:row>
      <xdr:rowOff>135905</xdr:rowOff>
    </xdr:to>
    <xdr:pic>
      <xdr:nvPicPr>
        <xdr:cNvPr id="44" name="Picture 43">
          <a:extLst>
            <a:ext uri="{FF2B5EF4-FFF2-40B4-BE49-F238E27FC236}">
              <a16:creationId xmlns:a16="http://schemas.microsoft.com/office/drawing/2014/main" id="{CF39CB90-6A7D-47A9-8014-E504125B4C1A}"/>
            </a:ext>
          </a:extLst>
        </xdr:cNvPr>
        <xdr:cNvPicPr>
          <a:picLocks noChangeAspect="1"/>
        </xdr:cNvPicPr>
      </xdr:nvPicPr>
      <xdr:blipFill>
        <a:blip xmlns:r="http://schemas.openxmlformats.org/officeDocument/2006/relationships" r:embed="rId5"/>
        <a:stretch>
          <a:fillRect/>
        </a:stretch>
      </xdr:blipFill>
      <xdr:spPr>
        <a:xfrm>
          <a:off x="10498593" y="55824127"/>
          <a:ext cx="2445267" cy="1888286"/>
        </a:xfrm>
        <a:prstGeom prst="rect">
          <a:avLst/>
        </a:prstGeom>
      </xdr:spPr>
    </xdr:pic>
    <xdr:clientData/>
  </xdr:twoCellAnchor>
  <xdr:twoCellAnchor>
    <xdr:from>
      <xdr:col>25</xdr:col>
      <xdr:colOff>19051</xdr:colOff>
      <xdr:row>251</xdr:row>
      <xdr:rowOff>70485</xdr:rowOff>
    </xdr:from>
    <xdr:to>
      <xdr:col>28</xdr:col>
      <xdr:colOff>104776</xdr:colOff>
      <xdr:row>254</xdr:row>
      <xdr:rowOff>93345</xdr:rowOff>
    </xdr:to>
    <xdr:sp macro="" textlink="">
      <xdr:nvSpPr>
        <xdr:cNvPr id="45" name="Line Callout 1 33">
          <a:extLst>
            <a:ext uri="{FF2B5EF4-FFF2-40B4-BE49-F238E27FC236}">
              <a16:creationId xmlns:a16="http://schemas.microsoft.com/office/drawing/2014/main" id="{02548C8E-E078-4DBD-8B27-F4018456B673}"/>
            </a:ext>
          </a:extLst>
        </xdr:cNvPr>
        <xdr:cNvSpPr/>
      </xdr:nvSpPr>
      <xdr:spPr>
        <a:xfrm>
          <a:off x="13485284" y="71055018"/>
          <a:ext cx="1334559" cy="706544"/>
        </a:xfrm>
        <a:prstGeom prst="borderCallout1">
          <a:avLst>
            <a:gd name="adj1" fmla="val 52083"/>
            <a:gd name="adj2" fmla="val -7724"/>
            <a:gd name="adj3" fmla="val 48716"/>
            <a:gd name="adj4" fmla="val -55810"/>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050">
              <a:solidFill>
                <a:schemeClr val="dk1"/>
              </a:solidFill>
              <a:latin typeface="Calibri Light" panose="020F0302020204030204" pitchFamily="34" charset="0"/>
              <a:ea typeface="+mn-ea"/>
              <a:cs typeface="+mn-cs"/>
            </a:rPr>
            <a:t>Insert property photos here</a:t>
          </a:r>
        </a:p>
      </xdr:txBody>
    </xdr:sp>
    <xdr:clientData fPrintsWithSheet="0"/>
  </xdr:twoCellAnchor>
  <xdr:twoCellAnchor>
    <xdr:from>
      <xdr:col>25</xdr:col>
      <xdr:colOff>29844</xdr:colOff>
      <xdr:row>256</xdr:row>
      <xdr:rowOff>160655</xdr:rowOff>
    </xdr:from>
    <xdr:to>
      <xdr:col>28</xdr:col>
      <xdr:colOff>65617</xdr:colOff>
      <xdr:row>260</xdr:row>
      <xdr:rowOff>123265</xdr:rowOff>
    </xdr:to>
    <xdr:sp macro="" textlink="">
      <xdr:nvSpPr>
        <xdr:cNvPr id="46" name="Line Callout 1 36">
          <a:extLst>
            <a:ext uri="{FF2B5EF4-FFF2-40B4-BE49-F238E27FC236}">
              <a16:creationId xmlns:a16="http://schemas.microsoft.com/office/drawing/2014/main" id="{F6225D40-84F5-4783-A496-23DCDFBA0FB3}"/>
            </a:ext>
          </a:extLst>
        </xdr:cNvPr>
        <xdr:cNvSpPr/>
      </xdr:nvSpPr>
      <xdr:spPr>
        <a:xfrm>
          <a:off x="13497136" y="72285013"/>
          <a:ext cx="1283548" cy="877010"/>
        </a:xfrm>
        <a:prstGeom prst="borderCallout1">
          <a:avLst>
            <a:gd name="adj1" fmla="val 52083"/>
            <a:gd name="adj2" fmla="val -7724"/>
            <a:gd name="adj3" fmla="val 48716"/>
            <a:gd name="adj4" fmla="val -51661"/>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050">
              <a:solidFill>
                <a:schemeClr val="dk1"/>
              </a:solidFill>
              <a:latin typeface="Calibri Light" panose="020F0302020204030204" pitchFamily="34" charset="0"/>
              <a:ea typeface="+mn-ea"/>
              <a:cs typeface="+mn-cs"/>
            </a:rPr>
            <a:t>Input a brief caption for each photo</a:t>
          </a:r>
        </a:p>
      </xdr:txBody>
    </xdr:sp>
    <xdr:clientData fPrintsWithSheet="0"/>
  </xdr:twoCellAnchor>
  <xdr:twoCellAnchor>
    <xdr:from>
      <xdr:col>7</xdr:col>
      <xdr:colOff>78829</xdr:colOff>
      <xdr:row>248</xdr:row>
      <xdr:rowOff>78829</xdr:rowOff>
    </xdr:from>
    <xdr:to>
      <xdr:col>11</xdr:col>
      <xdr:colOff>459037</xdr:colOff>
      <xdr:row>256</xdr:row>
      <xdr:rowOff>172057</xdr:rowOff>
    </xdr:to>
    <xdr:pic>
      <xdr:nvPicPr>
        <xdr:cNvPr id="47" name="Picture 46">
          <a:extLst>
            <a:ext uri="{FF2B5EF4-FFF2-40B4-BE49-F238E27FC236}">
              <a16:creationId xmlns:a16="http://schemas.microsoft.com/office/drawing/2014/main" id="{34565886-C4A5-4850-A690-F3FCC4713A98}"/>
            </a:ext>
          </a:extLst>
        </xdr:cNvPr>
        <xdr:cNvPicPr>
          <a:picLocks noChangeAspect="1"/>
        </xdr:cNvPicPr>
      </xdr:nvPicPr>
      <xdr:blipFill>
        <a:blip xmlns:r="http://schemas.openxmlformats.org/officeDocument/2006/relationships" r:embed="rId5"/>
        <a:stretch>
          <a:fillRect/>
        </a:stretch>
      </xdr:blipFill>
      <xdr:spPr>
        <a:xfrm>
          <a:off x="4341796" y="70369096"/>
          <a:ext cx="2441841" cy="1924144"/>
        </a:xfrm>
        <a:prstGeom prst="rect">
          <a:avLst/>
        </a:prstGeom>
      </xdr:spPr>
    </xdr:pic>
    <xdr:clientData/>
  </xdr:twoCellAnchor>
  <xdr:twoCellAnchor>
    <xdr:from>
      <xdr:col>13</xdr:col>
      <xdr:colOff>78828</xdr:colOff>
      <xdr:row>248</xdr:row>
      <xdr:rowOff>78827</xdr:rowOff>
    </xdr:from>
    <xdr:to>
      <xdr:col>17</xdr:col>
      <xdr:colOff>459037</xdr:colOff>
      <xdr:row>256</xdr:row>
      <xdr:rowOff>172055</xdr:rowOff>
    </xdr:to>
    <xdr:pic>
      <xdr:nvPicPr>
        <xdr:cNvPr id="48" name="Picture 47">
          <a:extLst>
            <a:ext uri="{FF2B5EF4-FFF2-40B4-BE49-F238E27FC236}">
              <a16:creationId xmlns:a16="http://schemas.microsoft.com/office/drawing/2014/main" id="{0524F341-2B12-430B-9CE7-3B4C24D1AF12}"/>
            </a:ext>
          </a:extLst>
        </xdr:cNvPr>
        <xdr:cNvPicPr>
          <a:picLocks noChangeAspect="1"/>
        </xdr:cNvPicPr>
      </xdr:nvPicPr>
      <xdr:blipFill>
        <a:blip xmlns:r="http://schemas.openxmlformats.org/officeDocument/2006/relationships" r:embed="rId5"/>
        <a:stretch>
          <a:fillRect/>
        </a:stretch>
      </xdr:blipFill>
      <xdr:spPr>
        <a:xfrm>
          <a:off x="7427895" y="70369094"/>
          <a:ext cx="2441842" cy="1924144"/>
        </a:xfrm>
        <a:prstGeom prst="rect">
          <a:avLst/>
        </a:prstGeom>
      </xdr:spPr>
    </xdr:pic>
    <xdr:clientData/>
  </xdr:twoCellAnchor>
  <xdr:twoCellAnchor>
    <xdr:from>
      <xdr:col>19</xdr:col>
      <xdr:colOff>61310</xdr:colOff>
      <xdr:row>248</xdr:row>
      <xdr:rowOff>70069</xdr:rowOff>
    </xdr:from>
    <xdr:to>
      <xdr:col>23</xdr:col>
      <xdr:colOff>443636</xdr:colOff>
      <xdr:row>256</xdr:row>
      <xdr:rowOff>171763</xdr:rowOff>
    </xdr:to>
    <xdr:pic>
      <xdr:nvPicPr>
        <xdr:cNvPr id="49" name="Picture 48">
          <a:extLst>
            <a:ext uri="{FF2B5EF4-FFF2-40B4-BE49-F238E27FC236}">
              <a16:creationId xmlns:a16="http://schemas.microsoft.com/office/drawing/2014/main" id="{5E10181E-A60A-4FB7-8DDE-8223316FC46C}"/>
            </a:ext>
          </a:extLst>
        </xdr:cNvPr>
        <xdr:cNvPicPr>
          <a:picLocks noChangeAspect="1"/>
        </xdr:cNvPicPr>
      </xdr:nvPicPr>
      <xdr:blipFill>
        <a:blip xmlns:r="http://schemas.openxmlformats.org/officeDocument/2006/relationships" r:embed="rId5"/>
        <a:stretch>
          <a:fillRect/>
        </a:stretch>
      </xdr:blipFill>
      <xdr:spPr>
        <a:xfrm>
          <a:off x="10498593" y="70368802"/>
          <a:ext cx="2445018" cy="1924144"/>
        </a:xfrm>
        <a:prstGeom prst="rect">
          <a:avLst/>
        </a:prstGeom>
      </xdr:spPr>
    </xdr:pic>
    <xdr:clientData/>
  </xdr:twoCellAnchor>
  <xdr:twoCellAnchor>
    <xdr:from>
      <xdr:col>7</xdr:col>
      <xdr:colOff>52552</xdr:colOff>
      <xdr:row>260</xdr:row>
      <xdr:rowOff>61310</xdr:rowOff>
    </xdr:from>
    <xdr:to>
      <xdr:col>11</xdr:col>
      <xdr:colOff>433818</xdr:colOff>
      <xdr:row>268</xdr:row>
      <xdr:rowOff>156655</xdr:rowOff>
    </xdr:to>
    <xdr:pic>
      <xdr:nvPicPr>
        <xdr:cNvPr id="50" name="Picture 49">
          <a:extLst>
            <a:ext uri="{FF2B5EF4-FFF2-40B4-BE49-F238E27FC236}">
              <a16:creationId xmlns:a16="http://schemas.microsoft.com/office/drawing/2014/main" id="{F1FF7E20-F42E-45BC-8C64-8129651AF780}"/>
            </a:ext>
          </a:extLst>
        </xdr:cNvPr>
        <xdr:cNvPicPr>
          <a:picLocks noChangeAspect="1"/>
        </xdr:cNvPicPr>
      </xdr:nvPicPr>
      <xdr:blipFill>
        <a:blip xmlns:r="http://schemas.openxmlformats.org/officeDocument/2006/relationships" r:embed="rId5"/>
        <a:stretch>
          <a:fillRect/>
        </a:stretch>
      </xdr:blipFill>
      <xdr:spPr>
        <a:xfrm>
          <a:off x="4316577" y="73096893"/>
          <a:ext cx="2438666" cy="1922029"/>
        </a:xfrm>
        <a:prstGeom prst="rect">
          <a:avLst/>
        </a:prstGeom>
      </xdr:spPr>
    </xdr:pic>
    <xdr:clientData/>
  </xdr:twoCellAnchor>
  <xdr:twoCellAnchor>
    <xdr:from>
      <xdr:col>13</xdr:col>
      <xdr:colOff>70069</xdr:colOff>
      <xdr:row>260</xdr:row>
      <xdr:rowOff>52552</xdr:rowOff>
    </xdr:from>
    <xdr:to>
      <xdr:col>17</xdr:col>
      <xdr:colOff>458744</xdr:colOff>
      <xdr:row>268</xdr:row>
      <xdr:rowOff>146839</xdr:rowOff>
    </xdr:to>
    <xdr:pic>
      <xdr:nvPicPr>
        <xdr:cNvPr id="51" name="Picture 50">
          <a:extLst>
            <a:ext uri="{FF2B5EF4-FFF2-40B4-BE49-F238E27FC236}">
              <a16:creationId xmlns:a16="http://schemas.microsoft.com/office/drawing/2014/main" id="{0ACA8725-A241-42CF-804E-2B2E13D428DA}"/>
            </a:ext>
          </a:extLst>
        </xdr:cNvPr>
        <xdr:cNvPicPr>
          <a:picLocks noChangeAspect="1"/>
        </xdr:cNvPicPr>
      </xdr:nvPicPr>
      <xdr:blipFill>
        <a:blip xmlns:r="http://schemas.openxmlformats.org/officeDocument/2006/relationships" r:embed="rId5"/>
        <a:stretch>
          <a:fillRect/>
        </a:stretch>
      </xdr:blipFill>
      <xdr:spPr>
        <a:xfrm>
          <a:off x="7427602" y="73087077"/>
          <a:ext cx="2441842" cy="1930495"/>
        </a:xfrm>
        <a:prstGeom prst="rect">
          <a:avLst/>
        </a:prstGeom>
      </xdr:spPr>
    </xdr:pic>
    <xdr:clientData/>
  </xdr:twoCellAnchor>
  <xdr:twoCellAnchor>
    <xdr:from>
      <xdr:col>19</xdr:col>
      <xdr:colOff>78827</xdr:colOff>
      <xdr:row>260</xdr:row>
      <xdr:rowOff>61310</xdr:rowOff>
    </xdr:from>
    <xdr:to>
      <xdr:col>23</xdr:col>
      <xdr:colOff>459037</xdr:colOff>
      <xdr:row>268</xdr:row>
      <xdr:rowOff>156655</xdr:rowOff>
    </xdr:to>
    <xdr:pic>
      <xdr:nvPicPr>
        <xdr:cNvPr id="52" name="Picture 51">
          <a:extLst>
            <a:ext uri="{FF2B5EF4-FFF2-40B4-BE49-F238E27FC236}">
              <a16:creationId xmlns:a16="http://schemas.microsoft.com/office/drawing/2014/main" id="{D2799748-98DC-46DF-A837-E283266B8241}"/>
            </a:ext>
          </a:extLst>
        </xdr:cNvPr>
        <xdr:cNvPicPr>
          <a:picLocks noChangeAspect="1"/>
        </xdr:cNvPicPr>
      </xdr:nvPicPr>
      <xdr:blipFill>
        <a:blip xmlns:r="http://schemas.openxmlformats.org/officeDocument/2006/relationships" r:embed="rId5"/>
        <a:stretch>
          <a:fillRect/>
        </a:stretch>
      </xdr:blipFill>
      <xdr:spPr>
        <a:xfrm>
          <a:off x="10513994" y="73096893"/>
          <a:ext cx="2441843" cy="1922029"/>
        </a:xfrm>
        <a:prstGeom prst="rect">
          <a:avLst/>
        </a:prstGeom>
      </xdr:spPr>
    </xdr:pic>
    <xdr:clientData/>
  </xdr:twoCellAnchor>
  <xdr:twoCellAnchor>
    <xdr:from>
      <xdr:col>7</xdr:col>
      <xdr:colOff>70069</xdr:colOff>
      <xdr:row>272</xdr:row>
      <xdr:rowOff>70069</xdr:rowOff>
    </xdr:from>
    <xdr:to>
      <xdr:col>11</xdr:col>
      <xdr:colOff>458743</xdr:colOff>
      <xdr:row>280</xdr:row>
      <xdr:rowOff>171763</xdr:rowOff>
    </xdr:to>
    <xdr:pic>
      <xdr:nvPicPr>
        <xdr:cNvPr id="53" name="Picture 52">
          <a:extLst>
            <a:ext uri="{FF2B5EF4-FFF2-40B4-BE49-F238E27FC236}">
              <a16:creationId xmlns:a16="http://schemas.microsoft.com/office/drawing/2014/main" id="{7D145290-98F6-4252-824B-2E235044B0CF}"/>
            </a:ext>
          </a:extLst>
        </xdr:cNvPr>
        <xdr:cNvPicPr>
          <a:picLocks noChangeAspect="1"/>
        </xdr:cNvPicPr>
      </xdr:nvPicPr>
      <xdr:blipFill>
        <a:blip xmlns:r="http://schemas.openxmlformats.org/officeDocument/2006/relationships" r:embed="rId5"/>
        <a:stretch>
          <a:fillRect/>
        </a:stretch>
      </xdr:blipFill>
      <xdr:spPr>
        <a:xfrm>
          <a:off x="4341502" y="75855202"/>
          <a:ext cx="2441841" cy="1924144"/>
        </a:xfrm>
        <a:prstGeom prst="rect">
          <a:avLst/>
        </a:prstGeom>
      </xdr:spPr>
    </xdr:pic>
    <xdr:clientData/>
  </xdr:twoCellAnchor>
  <xdr:twoCellAnchor>
    <xdr:from>
      <xdr:col>13</xdr:col>
      <xdr:colOff>87586</xdr:colOff>
      <xdr:row>272</xdr:row>
      <xdr:rowOff>61311</xdr:rowOff>
    </xdr:from>
    <xdr:to>
      <xdr:col>17</xdr:col>
      <xdr:colOff>468853</xdr:colOff>
      <xdr:row>280</xdr:row>
      <xdr:rowOff>156655</xdr:rowOff>
    </xdr:to>
    <xdr:pic>
      <xdr:nvPicPr>
        <xdr:cNvPr id="54" name="Picture 53">
          <a:extLst>
            <a:ext uri="{FF2B5EF4-FFF2-40B4-BE49-F238E27FC236}">
              <a16:creationId xmlns:a16="http://schemas.microsoft.com/office/drawing/2014/main" id="{17710664-C9F2-4FEF-9FD7-F60FFB77A9B3}"/>
            </a:ext>
          </a:extLst>
        </xdr:cNvPr>
        <xdr:cNvPicPr>
          <a:picLocks noChangeAspect="1"/>
        </xdr:cNvPicPr>
      </xdr:nvPicPr>
      <xdr:blipFill>
        <a:blip xmlns:r="http://schemas.openxmlformats.org/officeDocument/2006/relationships" r:embed="rId5"/>
        <a:stretch>
          <a:fillRect/>
        </a:stretch>
      </xdr:blipFill>
      <xdr:spPr>
        <a:xfrm>
          <a:off x="7437711" y="75840094"/>
          <a:ext cx="2438667" cy="1922028"/>
        </a:xfrm>
        <a:prstGeom prst="rect">
          <a:avLst/>
        </a:prstGeom>
      </xdr:spPr>
    </xdr:pic>
    <xdr:clientData/>
  </xdr:twoCellAnchor>
  <xdr:twoCellAnchor>
    <xdr:from>
      <xdr:col>19</xdr:col>
      <xdr:colOff>96344</xdr:colOff>
      <xdr:row>272</xdr:row>
      <xdr:rowOff>70069</xdr:rowOff>
    </xdr:from>
    <xdr:to>
      <xdr:col>23</xdr:col>
      <xdr:colOff>478670</xdr:colOff>
      <xdr:row>280</xdr:row>
      <xdr:rowOff>171763</xdr:rowOff>
    </xdr:to>
    <xdr:pic>
      <xdr:nvPicPr>
        <xdr:cNvPr id="55" name="Picture 54">
          <a:extLst>
            <a:ext uri="{FF2B5EF4-FFF2-40B4-BE49-F238E27FC236}">
              <a16:creationId xmlns:a16="http://schemas.microsoft.com/office/drawing/2014/main" id="{F6EF81D6-7263-4E0B-B2D1-07378378D790}"/>
            </a:ext>
          </a:extLst>
        </xdr:cNvPr>
        <xdr:cNvPicPr>
          <a:picLocks noChangeAspect="1"/>
        </xdr:cNvPicPr>
      </xdr:nvPicPr>
      <xdr:blipFill>
        <a:blip xmlns:r="http://schemas.openxmlformats.org/officeDocument/2006/relationships" r:embed="rId5"/>
        <a:stretch>
          <a:fillRect/>
        </a:stretch>
      </xdr:blipFill>
      <xdr:spPr>
        <a:xfrm>
          <a:off x="10533627" y="75855202"/>
          <a:ext cx="2439726" cy="1924144"/>
        </a:xfrm>
        <a:prstGeom prst="rect">
          <a:avLst/>
        </a:prstGeom>
      </xdr:spPr>
    </xdr:pic>
    <xdr:clientData/>
  </xdr:twoCellAnchor>
  <xdr:twoCellAnchor>
    <xdr:from>
      <xdr:col>7</xdr:col>
      <xdr:colOff>78829</xdr:colOff>
      <xdr:row>236</xdr:row>
      <xdr:rowOff>78829</xdr:rowOff>
    </xdr:from>
    <xdr:to>
      <xdr:col>11</xdr:col>
      <xdr:colOff>459037</xdr:colOff>
      <xdr:row>244</xdr:row>
      <xdr:rowOff>172058</xdr:rowOff>
    </xdr:to>
    <xdr:pic>
      <xdr:nvPicPr>
        <xdr:cNvPr id="56" name="Picture 55">
          <a:extLst>
            <a:ext uri="{FF2B5EF4-FFF2-40B4-BE49-F238E27FC236}">
              <a16:creationId xmlns:a16="http://schemas.microsoft.com/office/drawing/2014/main" id="{82546038-D047-4E61-804E-2DD1881A3B43}"/>
            </a:ext>
          </a:extLst>
        </xdr:cNvPr>
        <xdr:cNvPicPr>
          <a:picLocks noChangeAspect="1"/>
        </xdr:cNvPicPr>
      </xdr:nvPicPr>
      <xdr:blipFill>
        <a:blip xmlns:r="http://schemas.openxmlformats.org/officeDocument/2006/relationships" r:embed="rId5"/>
        <a:stretch>
          <a:fillRect/>
        </a:stretch>
      </xdr:blipFill>
      <xdr:spPr>
        <a:xfrm>
          <a:off x="4341796" y="67730671"/>
          <a:ext cx="2441841" cy="1924145"/>
        </a:xfrm>
        <a:prstGeom prst="rect">
          <a:avLst/>
        </a:prstGeom>
      </xdr:spPr>
    </xdr:pic>
    <xdr:clientData/>
  </xdr:twoCellAnchor>
  <xdr:twoCellAnchor>
    <xdr:from>
      <xdr:col>13</xdr:col>
      <xdr:colOff>78828</xdr:colOff>
      <xdr:row>236</xdr:row>
      <xdr:rowOff>78827</xdr:rowOff>
    </xdr:from>
    <xdr:to>
      <xdr:col>17</xdr:col>
      <xdr:colOff>459037</xdr:colOff>
      <xdr:row>244</xdr:row>
      <xdr:rowOff>172056</xdr:rowOff>
    </xdr:to>
    <xdr:pic>
      <xdr:nvPicPr>
        <xdr:cNvPr id="57" name="Picture 56">
          <a:extLst>
            <a:ext uri="{FF2B5EF4-FFF2-40B4-BE49-F238E27FC236}">
              <a16:creationId xmlns:a16="http://schemas.microsoft.com/office/drawing/2014/main" id="{6C78EB11-F993-4314-A8F2-6EC8FD5B0F38}"/>
            </a:ext>
          </a:extLst>
        </xdr:cNvPr>
        <xdr:cNvPicPr>
          <a:picLocks noChangeAspect="1"/>
        </xdr:cNvPicPr>
      </xdr:nvPicPr>
      <xdr:blipFill>
        <a:blip xmlns:r="http://schemas.openxmlformats.org/officeDocument/2006/relationships" r:embed="rId5"/>
        <a:stretch>
          <a:fillRect/>
        </a:stretch>
      </xdr:blipFill>
      <xdr:spPr>
        <a:xfrm>
          <a:off x="7427895" y="67730669"/>
          <a:ext cx="2441842" cy="1924145"/>
        </a:xfrm>
        <a:prstGeom prst="rect">
          <a:avLst/>
        </a:prstGeom>
      </xdr:spPr>
    </xdr:pic>
    <xdr:clientData/>
  </xdr:twoCellAnchor>
  <xdr:twoCellAnchor>
    <xdr:from>
      <xdr:col>19</xdr:col>
      <xdr:colOff>61310</xdr:colOff>
      <xdr:row>236</xdr:row>
      <xdr:rowOff>70069</xdr:rowOff>
    </xdr:from>
    <xdr:to>
      <xdr:col>23</xdr:col>
      <xdr:colOff>443636</xdr:colOff>
      <xdr:row>244</xdr:row>
      <xdr:rowOff>171764</xdr:rowOff>
    </xdr:to>
    <xdr:pic>
      <xdr:nvPicPr>
        <xdr:cNvPr id="58" name="Picture 57">
          <a:extLst>
            <a:ext uri="{FF2B5EF4-FFF2-40B4-BE49-F238E27FC236}">
              <a16:creationId xmlns:a16="http://schemas.microsoft.com/office/drawing/2014/main" id="{E25A2C0B-81C4-43D5-803F-3A37A2A50B6C}"/>
            </a:ext>
          </a:extLst>
        </xdr:cNvPr>
        <xdr:cNvPicPr>
          <a:picLocks noChangeAspect="1"/>
        </xdr:cNvPicPr>
      </xdr:nvPicPr>
      <xdr:blipFill>
        <a:blip xmlns:r="http://schemas.openxmlformats.org/officeDocument/2006/relationships" r:embed="rId5"/>
        <a:stretch>
          <a:fillRect/>
        </a:stretch>
      </xdr:blipFill>
      <xdr:spPr>
        <a:xfrm>
          <a:off x="10498593" y="67730377"/>
          <a:ext cx="2445018" cy="1924145"/>
        </a:xfrm>
        <a:prstGeom prst="rect">
          <a:avLst/>
        </a:prstGeom>
      </xdr:spPr>
    </xdr:pic>
    <xdr:clientData/>
  </xdr:twoCellAnchor>
  <xdr:twoCellAnchor>
    <xdr:from>
      <xdr:col>16</xdr:col>
      <xdr:colOff>79412</xdr:colOff>
      <xdr:row>1</xdr:row>
      <xdr:rowOff>94192</xdr:rowOff>
    </xdr:from>
    <xdr:to>
      <xdr:col>17</xdr:col>
      <xdr:colOff>203822</xdr:colOff>
      <xdr:row>3</xdr:row>
      <xdr:rowOff>8539</xdr:rowOff>
    </xdr:to>
    <xdr:sp macro="[0]!Investment_Report_Show_Hide_Comps_Page" textlink="">
      <xdr:nvSpPr>
        <xdr:cNvPr id="59" name="TextBox 58">
          <a:extLst>
            <a:ext uri="{FF2B5EF4-FFF2-40B4-BE49-F238E27FC236}">
              <a16:creationId xmlns:a16="http://schemas.microsoft.com/office/drawing/2014/main" id="{E2C87A92-1009-484C-A2CF-23CBD9D4F154}"/>
            </a:ext>
          </a:extLst>
        </xdr:cNvPr>
        <xdr:cNvSpPr txBox="1"/>
      </xdr:nvSpPr>
      <xdr:spPr>
        <a:xfrm>
          <a:off x="8971529" y="667809"/>
          <a:ext cx="639818" cy="389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baseline="0">
              <a:solidFill>
                <a:schemeClr val="tx1">
                  <a:lumMod val="75000"/>
                  <a:lumOff val="25000"/>
                </a:schemeClr>
              </a:solidFill>
              <a:latin typeface="Calibri Light" panose="020F0302020204030204" pitchFamily="34" charset="0"/>
            </a:rPr>
            <a:t>Comps</a:t>
          </a:r>
        </a:p>
      </xdr:txBody>
    </xdr:sp>
    <xdr:clientData/>
  </xdr:twoCellAnchor>
  <xdr:twoCellAnchor>
    <xdr:from>
      <xdr:col>15</xdr:col>
      <xdr:colOff>297578</xdr:colOff>
      <xdr:row>1</xdr:row>
      <xdr:rowOff>161066</xdr:rowOff>
    </xdr:from>
    <xdr:to>
      <xdr:col>16</xdr:col>
      <xdr:colOff>58928</xdr:colOff>
      <xdr:row>2</xdr:row>
      <xdr:rowOff>236296</xdr:rowOff>
    </xdr:to>
    <xdr:pic macro="[0]!Investment_Report_Show_Hide_Comps_Page">
      <xdr:nvPicPr>
        <xdr:cNvPr id="60" name="Comps_Report_Check">
          <a:extLst>
            <a:ext uri="{FF2B5EF4-FFF2-40B4-BE49-F238E27FC236}">
              <a16:creationId xmlns:a16="http://schemas.microsoft.com/office/drawing/2014/main" id="{19DA6CA3-E731-403F-BBA5-8611548B36E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678520" y="733624"/>
          <a:ext cx="274641" cy="265730"/>
        </a:xfrm>
        <a:prstGeom prst="rect">
          <a:avLst/>
        </a:prstGeom>
      </xdr:spPr>
    </xdr:pic>
    <xdr:clientData/>
  </xdr:twoCellAnchor>
  <xdr:twoCellAnchor>
    <xdr:from>
      <xdr:col>18</xdr:col>
      <xdr:colOff>113777</xdr:colOff>
      <xdr:row>1</xdr:row>
      <xdr:rowOff>116293</xdr:rowOff>
    </xdr:from>
    <xdr:to>
      <xdr:col>19</xdr:col>
      <xdr:colOff>432173</xdr:colOff>
      <xdr:row>3</xdr:row>
      <xdr:rowOff>21117</xdr:rowOff>
    </xdr:to>
    <xdr:sp macro="[0]!Investment_Report_Show_Hide_Estimate_Page" textlink="">
      <xdr:nvSpPr>
        <xdr:cNvPr id="61" name="TextBox 60">
          <a:extLst>
            <a:ext uri="{FF2B5EF4-FFF2-40B4-BE49-F238E27FC236}">
              <a16:creationId xmlns:a16="http://schemas.microsoft.com/office/drawing/2014/main" id="{B63B421B-80F3-45C9-89BB-ECFD5488132B}"/>
            </a:ext>
          </a:extLst>
        </xdr:cNvPr>
        <xdr:cNvSpPr txBox="1"/>
      </xdr:nvSpPr>
      <xdr:spPr>
        <a:xfrm>
          <a:off x="10038827" y="687793"/>
          <a:ext cx="829571" cy="378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baseline="0">
              <a:solidFill>
                <a:schemeClr val="tx1">
                  <a:lumMod val="75000"/>
                  <a:lumOff val="25000"/>
                </a:schemeClr>
              </a:solidFill>
              <a:latin typeface="Calibri Light" panose="020F0302020204030204" pitchFamily="34" charset="0"/>
            </a:rPr>
            <a:t>Estimate</a:t>
          </a:r>
        </a:p>
      </xdr:txBody>
    </xdr:sp>
    <xdr:clientData/>
  </xdr:twoCellAnchor>
  <xdr:twoCellAnchor>
    <xdr:from>
      <xdr:col>17</xdr:col>
      <xdr:colOff>314823</xdr:colOff>
      <xdr:row>1</xdr:row>
      <xdr:rowOff>161814</xdr:rowOff>
    </xdr:from>
    <xdr:to>
      <xdr:col>18</xdr:col>
      <xdr:colOff>77230</xdr:colOff>
      <xdr:row>2</xdr:row>
      <xdr:rowOff>235985</xdr:rowOff>
    </xdr:to>
    <xdr:pic macro="[0]!Investment_Report_Show_Hide_Estimate_Page">
      <xdr:nvPicPr>
        <xdr:cNvPr id="62" name="Estimate_Report_Check">
          <a:extLst>
            <a:ext uri="{FF2B5EF4-FFF2-40B4-BE49-F238E27FC236}">
              <a16:creationId xmlns:a16="http://schemas.microsoft.com/office/drawing/2014/main" id="{59C7FCA3-B600-4649-96FB-8BD1841C2CA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726581" y="734372"/>
          <a:ext cx="275699" cy="264671"/>
        </a:xfrm>
        <a:prstGeom prst="rect">
          <a:avLst/>
        </a:prstGeom>
      </xdr:spPr>
    </xdr:pic>
    <xdr:clientData/>
  </xdr:twoCellAnchor>
  <xdr:twoCellAnchor>
    <xdr:from>
      <xdr:col>14</xdr:col>
      <xdr:colOff>411691</xdr:colOff>
      <xdr:row>59</xdr:row>
      <xdr:rowOff>304669</xdr:rowOff>
    </xdr:from>
    <xdr:to>
      <xdr:col>17</xdr:col>
      <xdr:colOff>315429</xdr:colOff>
      <xdr:row>60</xdr:row>
      <xdr:rowOff>297262</xdr:rowOff>
    </xdr:to>
    <xdr:sp macro="[0]!Navigate_Wholesale_Calculator" textlink="">
      <xdr:nvSpPr>
        <xdr:cNvPr id="63" name="TextBox 62">
          <a:extLst>
            <a:ext uri="{FF2B5EF4-FFF2-40B4-BE49-F238E27FC236}">
              <a16:creationId xmlns:a16="http://schemas.microsoft.com/office/drawing/2014/main" id="{3631BE01-31F4-4EE0-AE5F-4B4938644887}"/>
            </a:ext>
          </a:extLst>
        </xdr:cNvPr>
        <xdr:cNvSpPr txBox="1"/>
      </xdr:nvSpPr>
      <xdr:spPr>
        <a:xfrm>
          <a:off x="8278283" y="16897219"/>
          <a:ext cx="1444671" cy="305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Analysis</a:t>
          </a:r>
          <a:endParaRPr lang="en-US" sz="1100" b="0" i="1" u="sng">
            <a:solidFill>
              <a:srgbClr val="289FE8"/>
            </a:solidFill>
            <a:latin typeface="Calibri Light" panose="020F0302020204030204" pitchFamily="34" charset="0"/>
          </a:endParaRPr>
        </a:p>
      </xdr:txBody>
    </xdr:sp>
    <xdr:clientData fPrintsWithSheet="0"/>
  </xdr:twoCellAnchor>
  <xdr:twoCellAnchor>
    <xdr:from>
      <xdr:col>14</xdr:col>
      <xdr:colOff>392640</xdr:colOff>
      <xdr:row>60</xdr:row>
      <xdr:rowOff>0</xdr:rowOff>
    </xdr:from>
    <xdr:to>
      <xdr:col>15</xdr:col>
      <xdr:colOff>154251</xdr:colOff>
      <xdr:row>60</xdr:row>
      <xdr:rowOff>275961</xdr:rowOff>
    </xdr:to>
    <xdr:pic macro="[0]!Navigate_Wholesale_Calculator">
      <xdr:nvPicPr>
        <xdr:cNvPr id="64" name="Picture 63">
          <a:extLst>
            <a:ext uri="{FF2B5EF4-FFF2-40B4-BE49-F238E27FC236}">
              <a16:creationId xmlns:a16="http://schemas.microsoft.com/office/drawing/2014/main" id="{444D766C-EB82-4529-9F6C-5DEC9DFDF34D}"/>
            </a:ext>
          </a:extLst>
        </xdr:cNvPr>
        <xdr:cNvPicPr>
          <a:picLocks noChangeAspect="1"/>
        </xdr:cNvPicPr>
      </xdr:nvPicPr>
      <xdr:blipFill>
        <a:blip xmlns:r="http://schemas.openxmlformats.org/officeDocument/2006/relationships" r:embed="rId6"/>
        <a:stretch>
          <a:fillRect/>
        </a:stretch>
      </xdr:blipFill>
      <xdr:spPr>
        <a:xfrm>
          <a:off x="8257115" y="16906875"/>
          <a:ext cx="279136" cy="277019"/>
        </a:xfrm>
        <a:prstGeom prst="rect">
          <a:avLst/>
        </a:prstGeom>
      </xdr:spPr>
    </xdr:pic>
    <xdr:clientData fPrintsWithSheet="0"/>
  </xdr:twoCellAnchor>
  <xdr:twoCellAnchor>
    <xdr:from>
      <xdr:col>11</xdr:col>
      <xdr:colOff>495301</xdr:colOff>
      <xdr:row>101</xdr:row>
      <xdr:rowOff>28575</xdr:rowOff>
    </xdr:from>
    <xdr:to>
      <xdr:col>14</xdr:col>
      <xdr:colOff>401156</xdr:colOff>
      <xdr:row>102</xdr:row>
      <xdr:rowOff>20110</xdr:rowOff>
    </xdr:to>
    <xdr:sp macro="[0]!Navigate_Comparables" textlink="">
      <xdr:nvSpPr>
        <xdr:cNvPr id="65" name="TextBox 64">
          <a:extLst>
            <a:ext uri="{FF2B5EF4-FFF2-40B4-BE49-F238E27FC236}">
              <a16:creationId xmlns:a16="http://schemas.microsoft.com/office/drawing/2014/main" id="{66B613F1-9AC1-4E8A-B659-B784581D7ECC}"/>
            </a:ext>
          </a:extLst>
        </xdr:cNvPr>
        <xdr:cNvSpPr txBox="1"/>
      </xdr:nvSpPr>
      <xdr:spPr>
        <a:xfrm>
          <a:off x="6819901" y="29793142"/>
          <a:ext cx="1446788" cy="304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Comps</a:t>
          </a:r>
          <a:endParaRPr lang="en-US" sz="1100" b="0" i="1" u="sng">
            <a:solidFill>
              <a:srgbClr val="289FE8"/>
            </a:solidFill>
            <a:latin typeface="Calibri Light" panose="020F0302020204030204" pitchFamily="34" charset="0"/>
          </a:endParaRPr>
        </a:p>
      </xdr:txBody>
    </xdr:sp>
    <xdr:clientData fPrintsWithSheet="0"/>
  </xdr:twoCellAnchor>
  <xdr:twoCellAnchor>
    <xdr:from>
      <xdr:col>11</xdr:col>
      <xdr:colOff>476250</xdr:colOff>
      <xdr:row>101</xdr:row>
      <xdr:rowOff>39289</xdr:rowOff>
    </xdr:from>
    <xdr:to>
      <xdr:col>12</xdr:col>
      <xdr:colOff>237861</xdr:colOff>
      <xdr:row>101</xdr:row>
      <xdr:rowOff>313133</xdr:rowOff>
    </xdr:to>
    <xdr:pic macro="[0]!Navigate_Comparables">
      <xdr:nvPicPr>
        <xdr:cNvPr id="66" name="Picture 65">
          <a:extLst>
            <a:ext uri="{FF2B5EF4-FFF2-40B4-BE49-F238E27FC236}">
              <a16:creationId xmlns:a16="http://schemas.microsoft.com/office/drawing/2014/main" id="{910CF0E3-929A-4C67-A2F9-439F8110DCCB}"/>
            </a:ext>
          </a:extLst>
        </xdr:cNvPr>
        <xdr:cNvPicPr>
          <a:picLocks noChangeAspect="1"/>
        </xdr:cNvPicPr>
      </xdr:nvPicPr>
      <xdr:blipFill>
        <a:blip xmlns:r="http://schemas.openxmlformats.org/officeDocument/2006/relationships" r:embed="rId6"/>
        <a:stretch>
          <a:fillRect/>
        </a:stretch>
      </xdr:blipFill>
      <xdr:spPr>
        <a:xfrm>
          <a:off x="6798733" y="29804914"/>
          <a:ext cx="279136" cy="274902"/>
        </a:xfrm>
        <a:prstGeom prst="rect">
          <a:avLst/>
        </a:prstGeom>
      </xdr:spPr>
    </xdr:pic>
    <xdr:clientData fPrintsWithSheet="0"/>
  </xdr:twoCellAnchor>
  <xdr:twoCellAnchor>
    <xdr:from>
      <xdr:col>12</xdr:col>
      <xdr:colOff>57151</xdr:colOff>
      <xdr:row>142</xdr:row>
      <xdr:rowOff>19050</xdr:rowOff>
    </xdr:from>
    <xdr:to>
      <xdr:col>14</xdr:col>
      <xdr:colOff>475239</xdr:colOff>
      <xdr:row>143</xdr:row>
      <xdr:rowOff>9526</xdr:rowOff>
    </xdr:to>
    <xdr:sp macro="[0]!Navigate_Repair_Estimator" textlink="">
      <xdr:nvSpPr>
        <xdr:cNvPr id="67" name="TextBox 66">
          <a:extLst>
            <a:ext uri="{FF2B5EF4-FFF2-40B4-BE49-F238E27FC236}">
              <a16:creationId xmlns:a16="http://schemas.microsoft.com/office/drawing/2014/main" id="{F387257F-0A8D-41DF-8663-0677F841BED4}"/>
            </a:ext>
          </a:extLst>
        </xdr:cNvPr>
        <xdr:cNvSpPr txBox="1"/>
      </xdr:nvSpPr>
      <xdr:spPr>
        <a:xfrm>
          <a:off x="6893984" y="42850858"/>
          <a:ext cx="1451022" cy="307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Estimate</a:t>
          </a:r>
          <a:endParaRPr lang="en-US" sz="1100" b="0" i="1" u="sng">
            <a:solidFill>
              <a:srgbClr val="289FE8"/>
            </a:solidFill>
            <a:latin typeface="Calibri Light" panose="020F0302020204030204" pitchFamily="34" charset="0"/>
          </a:endParaRPr>
        </a:p>
      </xdr:txBody>
    </xdr:sp>
    <xdr:clientData fPrintsWithSheet="0"/>
  </xdr:twoCellAnchor>
  <xdr:twoCellAnchor>
    <xdr:from>
      <xdr:col>12</xdr:col>
      <xdr:colOff>38100</xdr:colOff>
      <xdr:row>142</xdr:row>
      <xdr:rowOff>27647</xdr:rowOff>
    </xdr:from>
    <xdr:to>
      <xdr:col>12</xdr:col>
      <xdr:colOff>314061</xdr:colOff>
      <xdr:row>142</xdr:row>
      <xdr:rowOff>303607</xdr:rowOff>
    </xdr:to>
    <xdr:pic macro="[0]!Navigate_Repair_Estimator">
      <xdr:nvPicPr>
        <xdr:cNvPr id="68" name="Picture 67">
          <a:extLst>
            <a:ext uri="{FF2B5EF4-FFF2-40B4-BE49-F238E27FC236}">
              <a16:creationId xmlns:a16="http://schemas.microsoft.com/office/drawing/2014/main" id="{E01D298D-4EAA-4702-BA07-D972BF303007}"/>
            </a:ext>
          </a:extLst>
        </xdr:cNvPr>
        <xdr:cNvPicPr>
          <a:picLocks noChangeAspect="1"/>
        </xdr:cNvPicPr>
      </xdr:nvPicPr>
      <xdr:blipFill>
        <a:blip xmlns:r="http://schemas.openxmlformats.org/officeDocument/2006/relationships" r:embed="rId6"/>
        <a:stretch>
          <a:fillRect/>
        </a:stretch>
      </xdr:blipFill>
      <xdr:spPr>
        <a:xfrm>
          <a:off x="6877050" y="42860514"/>
          <a:ext cx="277019" cy="277018"/>
        </a:xfrm>
        <a:prstGeom prst="rect">
          <a:avLst/>
        </a:prstGeom>
      </xdr:spPr>
    </xdr:pic>
    <xdr:clientData fPrintsWithSheet="0"/>
  </xdr:twoCellAnchor>
  <xdr:twoCellAnchor>
    <xdr:from>
      <xdr:col>8</xdr:col>
      <xdr:colOff>474133</xdr:colOff>
      <xdr:row>61</xdr:row>
      <xdr:rowOff>248708</xdr:rowOff>
    </xdr:from>
    <xdr:to>
      <xdr:col>15</xdr:col>
      <xdr:colOff>287296</xdr:colOff>
      <xdr:row>70</xdr:row>
      <xdr:rowOff>96525</xdr:rowOff>
    </xdr:to>
    <xdr:pic>
      <xdr:nvPicPr>
        <xdr:cNvPr id="70" name="Picture 69">
          <a:extLst>
            <a:ext uri="{FF2B5EF4-FFF2-40B4-BE49-F238E27FC236}">
              <a16:creationId xmlns:a16="http://schemas.microsoft.com/office/drawing/2014/main" id="{BCC6C209-439D-4BFF-96CD-2B76622247E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255683" y="17469908"/>
          <a:ext cx="3413613" cy="2676742"/>
        </a:xfrm>
        <a:prstGeom prst="rect">
          <a:avLst/>
        </a:prstGeom>
        <a:ln>
          <a:solidFill>
            <a:schemeClr val="bg1">
              <a:lumMod val="85000"/>
            </a:schemeClr>
          </a:solidFill>
        </a:ln>
      </xdr:spPr>
    </xdr:pic>
    <xdr:clientData/>
  </xdr:twoCellAnchor>
  <xdr:twoCellAnchor editAs="absolute">
    <xdr:from>
      <xdr:col>17</xdr:col>
      <xdr:colOff>48482</xdr:colOff>
      <xdr:row>0</xdr:row>
      <xdr:rowOff>0</xdr:rowOff>
    </xdr:from>
    <xdr:to>
      <xdr:col>20</xdr:col>
      <xdr:colOff>199179</xdr:colOff>
      <xdr:row>0</xdr:row>
      <xdr:rowOff>560918</xdr:rowOff>
    </xdr:to>
    <xdr:sp macro="[0]!Navigate_Reporting" textlink="">
      <xdr:nvSpPr>
        <xdr:cNvPr id="71" name="TextBox 70">
          <a:extLst>
            <a:ext uri="{FF2B5EF4-FFF2-40B4-BE49-F238E27FC236}">
              <a16:creationId xmlns:a16="http://schemas.microsoft.com/office/drawing/2014/main" id="{1BD69ADD-13A9-49E1-BACC-750840056AFC}"/>
            </a:ext>
          </a:extLst>
        </xdr:cNvPr>
        <xdr:cNvSpPr txBox="1">
          <a:spLocks noChangeAspect="1"/>
        </xdr:cNvSpPr>
      </xdr:nvSpPr>
      <xdr:spPr>
        <a:xfrm>
          <a:off x="9459182" y="0"/>
          <a:ext cx="1693747" cy="560918"/>
        </a:xfrm>
        <a:prstGeom prst="rect">
          <a:avLst/>
        </a:prstGeom>
        <a:solidFill>
          <a:srgbClr val="2F74A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10</xdr:col>
      <xdr:colOff>220144</xdr:colOff>
      <xdr:row>0</xdr:row>
      <xdr:rowOff>1</xdr:rowOff>
    </xdr:from>
    <xdr:to>
      <xdr:col>13</xdr:col>
      <xdr:colOff>372956</xdr:colOff>
      <xdr:row>0</xdr:row>
      <xdr:rowOff>560918</xdr:rowOff>
    </xdr:to>
    <xdr:sp macro="[0]!Navigate_Rehab_Analyzer" textlink="">
      <xdr:nvSpPr>
        <xdr:cNvPr id="72" name="TextBox 71">
          <a:extLst>
            <a:ext uri="{FF2B5EF4-FFF2-40B4-BE49-F238E27FC236}">
              <a16:creationId xmlns:a16="http://schemas.microsoft.com/office/drawing/2014/main" id="{A53E9D23-1619-47A4-B756-2612041BA4D5}"/>
            </a:ext>
          </a:extLst>
        </xdr:cNvPr>
        <xdr:cNvSpPr txBox="1">
          <a:spLocks noChangeAspect="1"/>
        </xdr:cNvSpPr>
      </xdr:nvSpPr>
      <xdr:spPr>
        <a:xfrm>
          <a:off x="6030394" y="1"/>
          <a:ext cx="1695862"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13</xdr:col>
      <xdr:colOff>392219</xdr:colOff>
      <xdr:row>0</xdr:row>
      <xdr:rowOff>0</xdr:rowOff>
    </xdr:from>
    <xdr:to>
      <xdr:col>17</xdr:col>
      <xdr:colOff>19061</xdr:colOff>
      <xdr:row>0</xdr:row>
      <xdr:rowOff>560918</xdr:rowOff>
    </xdr:to>
    <xdr:sp macro="[0]!Navigate_Repair_Estimator" textlink="">
      <xdr:nvSpPr>
        <xdr:cNvPr id="73" name="TextBox 72">
          <a:extLst>
            <a:ext uri="{FF2B5EF4-FFF2-40B4-BE49-F238E27FC236}">
              <a16:creationId xmlns:a16="http://schemas.microsoft.com/office/drawing/2014/main" id="{4D32FE6E-DAB9-47D3-9C12-EADA59DDF9D5}"/>
            </a:ext>
          </a:extLst>
        </xdr:cNvPr>
        <xdr:cNvSpPr txBox="1">
          <a:spLocks noChangeAspect="1"/>
        </xdr:cNvSpPr>
      </xdr:nvSpPr>
      <xdr:spPr>
        <a:xfrm>
          <a:off x="7745519" y="0"/>
          <a:ext cx="1684242"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7</xdr:col>
      <xdr:colOff>65178</xdr:colOff>
      <xdr:row>0</xdr:row>
      <xdr:rowOff>0</xdr:rowOff>
    </xdr:from>
    <xdr:to>
      <xdr:col>10</xdr:col>
      <xdr:colOff>209125</xdr:colOff>
      <xdr:row>0</xdr:row>
      <xdr:rowOff>560918</xdr:rowOff>
    </xdr:to>
    <xdr:sp macro="[0]!Navigate_Home" textlink="">
      <xdr:nvSpPr>
        <xdr:cNvPr id="74" name="TextBox 73">
          <a:extLst>
            <a:ext uri="{FF2B5EF4-FFF2-40B4-BE49-F238E27FC236}">
              <a16:creationId xmlns:a16="http://schemas.microsoft.com/office/drawing/2014/main" id="{42F2FA2E-EEBC-48A7-9101-42A490FA8095}"/>
            </a:ext>
          </a:extLst>
        </xdr:cNvPr>
        <xdr:cNvSpPr txBox="1">
          <a:spLocks noChangeAspect="1"/>
        </xdr:cNvSpPr>
      </xdr:nvSpPr>
      <xdr:spPr>
        <a:xfrm>
          <a:off x="4332378" y="0"/>
          <a:ext cx="1686997" cy="56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21</xdr:col>
      <xdr:colOff>496781</xdr:colOff>
      <xdr:row>0</xdr:row>
      <xdr:rowOff>153469</xdr:rowOff>
    </xdr:from>
    <xdr:to>
      <xdr:col>22</xdr:col>
      <xdr:colOff>247996</xdr:colOff>
      <xdr:row>0</xdr:row>
      <xdr:rowOff>429893</xdr:rowOff>
    </xdr:to>
    <xdr:pic>
      <xdr:nvPicPr>
        <xdr:cNvPr id="75" name="Picture 74" title="Help">
          <a:hlinkClick xmlns:r="http://schemas.openxmlformats.org/officeDocument/2006/relationships" r:id="rId8"/>
          <a:extLst>
            <a:ext uri="{FF2B5EF4-FFF2-40B4-BE49-F238E27FC236}">
              <a16:creationId xmlns:a16="http://schemas.microsoft.com/office/drawing/2014/main" id="{DE696F70-2375-40C0-96E0-07E782B9A8C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1964881" y="153469"/>
          <a:ext cx="265565" cy="276424"/>
        </a:xfrm>
        <a:prstGeom prst="rect">
          <a:avLst/>
        </a:prstGeom>
      </xdr:spPr>
    </xdr:pic>
    <xdr:clientData/>
  </xdr:twoCellAnchor>
  <xdr:twoCellAnchor editAs="absolute">
    <xdr:from>
      <xdr:col>20</xdr:col>
      <xdr:colOff>456566</xdr:colOff>
      <xdr:row>0</xdr:row>
      <xdr:rowOff>152516</xdr:rowOff>
    </xdr:from>
    <xdr:to>
      <xdr:col>21</xdr:col>
      <xdr:colOff>227966</xdr:colOff>
      <xdr:row>0</xdr:row>
      <xdr:rowOff>429998</xdr:rowOff>
    </xdr:to>
    <xdr:pic macro="[0]!Navigate_Info_Sheet">
      <xdr:nvPicPr>
        <xdr:cNvPr id="76" name="Picture 75">
          <a:extLst>
            <a:ext uri="{FF2B5EF4-FFF2-40B4-BE49-F238E27FC236}">
              <a16:creationId xmlns:a16="http://schemas.microsoft.com/office/drawing/2014/main" id="{089EC362-B6DB-4891-90D9-33BBBB6DC50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410316" y="152516"/>
          <a:ext cx="285750" cy="277482"/>
        </a:xfrm>
        <a:prstGeom prst="rect">
          <a:avLst/>
        </a:prstGeom>
      </xdr:spPr>
    </xdr:pic>
    <xdr:clientData/>
  </xdr:twoCellAnchor>
  <xdr:twoCellAnchor editAs="absolute">
    <xdr:from>
      <xdr:col>0</xdr:col>
      <xdr:colOff>0</xdr:colOff>
      <xdr:row>0</xdr:row>
      <xdr:rowOff>0</xdr:rowOff>
    </xdr:from>
    <xdr:to>
      <xdr:col>1</xdr:col>
      <xdr:colOff>407473</xdr:colOff>
      <xdr:row>0</xdr:row>
      <xdr:rowOff>562823</xdr:rowOff>
    </xdr:to>
    <xdr:sp macro="" textlink="">
      <xdr:nvSpPr>
        <xdr:cNvPr id="77" name="TextBox 76">
          <a:extLst>
            <a:ext uri="{FF2B5EF4-FFF2-40B4-BE49-F238E27FC236}">
              <a16:creationId xmlns:a16="http://schemas.microsoft.com/office/drawing/2014/main" id="{38F0D790-5AC7-4C18-A2C6-424107C26766}"/>
            </a:ext>
          </a:extLst>
        </xdr:cNvPr>
        <xdr:cNvSpPr txBox="1">
          <a:spLocks noChangeAspect="1"/>
        </xdr:cNvSpPr>
      </xdr:nvSpPr>
      <xdr:spPr>
        <a:xfrm>
          <a:off x="0" y="0"/>
          <a:ext cx="1664773" cy="562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21</xdr:col>
      <xdr:colOff>53340</xdr:colOff>
      <xdr:row>13</xdr:row>
      <xdr:rowOff>251460</xdr:rowOff>
    </xdr:from>
    <xdr:to>
      <xdr:col>21</xdr:col>
      <xdr:colOff>321631</xdr:colOff>
      <xdr:row>14</xdr:row>
      <xdr:rowOff>256839</xdr:rowOff>
    </xdr:to>
    <xdr:pic macro="[0]!Hide_Blank_Rows">
      <xdr:nvPicPr>
        <xdr:cNvPr id="48" name="Scope_Blank_Rows_Check" hidden="1">
          <a:extLst>
            <a:ext uri="{FF2B5EF4-FFF2-40B4-BE49-F238E27FC236}">
              <a16:creationId xmlns:a16="http://schemas.microsoft.com/office/drawing/2014/main" id="{C5EA8462-16EB-4D86-A9C8-5256A787815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521565" y="2156460"/>
          <a:ext cx="268291" cy="272079"/>
        </a:xfrm>
        <a:prstGeom prst="rect">
          <a:avLst/>
        </a:prstGeom>
      </xdr:spPr>
    </xdr:pic>
    <xdr:clientData/>
  </xdr:twoCellAnchor>
  <xdr:twoCellAnchor>
    <xdr:from>
      <xdr:col>13</xdr:col>
      <xdr:colOff>30480</xdr:colOff>
      <xdr:row>13</xdr:row>
      <xdr:rowOff>23470</xdr:rowOff>
    </xdr:from>
    <xdr:to>
      <xdr:col>13</xdr:col>
      <xdr:colOff>236220</xdr:colOff>
      <xdr:row>13</xdr:row>
      <xdr:rowOff>237440</xdr:rowOff>
    </xdr:to>
    <xdr:sp macro="[0]!Scope_of_Work_Report_Scope19_Show" textlink="">
      <xdr:nvSpPr>
        <xdr:cNvPr id="66" name="Rectangle 65">
          <a:extLst>
            <a:ext uri="{FF2B5EF4-FFF2-40B4-BE49-F238E27FC236}">
              <a16:creationId xmlns:a16="http://schemas.microsoft.com/office/drawing/2014/main" id="{E708EB16-E947-4E4F-A942-8162595D6DA2}"/>
            </a:ext>
          </a:extLst>
        </xdr:cNvPr>
        <xdr:cNvSpPr/>
      </xdr:nvSpPr>
      <xdr:spPr>
        <a:xfrm>
          <a:off x="8481060" y="396301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13</xdr:col>
      <xdr:colOff>30480</xdr:colOff>
      <xdr:row>14</xdr:row>
      <xdr:rowOff>31090</xdr:rowOff>
    </xdr:from>
    <xdr:to>
      <xdr:col>13</xdr:col>
      <xdr:colOff>236220</xdr:colOff>
      <xdr:row>14</xdr:row>
      <xdr:rowOff>245060</xdr:rowOff>
    </xdr:to>
    <xdr:sp macro="[0]!Scope_of_Work_Report_Scope20_Show" textlink="">
      <xdr:nvSpPr>
        <xdr:cNvPr id="67" name="Rectangle 66">
          <a:extLst>
            <a:ext uri="{FF2B5EF4-FFF2-40B4-BE49-F238E27FC236}">
              <a16:creationId xmlns:a16="http://schemas.microsoft.com/office/drawing/2014/main" id="{A543AF64-113E-4158-B425-A89A926AF7AF}"/>
            </a:ext>
          </a:extLst>
        </xdr:cNvPr>
        <xdr:cNvSpPr/>
      </xdr:nvSpPr>
      <xdr:spPr>
        <a:xfrm>
          <a:off x="8481060" y="423733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13</xdr:col>
      <xdr:colOff>30480</xdr:colOff>
      <xdr:row>15</xdr:row>
      <xdr:rowOff>31090</xdr:rowOff>
    </xdr:from>
    <xdr:to>
      <xdr:col>13</xdr:col>
      <xdr:colOff>236220</xdr:colOff>
      <xdr:row>15</xdr:row>
      <xdr:rowOff>245060</xdr:rowOff>
    </xdr:to>
    <xdr:sp macro="[0]!Scope_of_Work_Report_Scope21_Show" textlink="">
      <xdr:nvSpPr>
        <xdr:cNvPr id="68" name="Rectangle 67">
          <a:extLst>
            <a:ext uri="{FF2B5EF4-FFF2-40B4-BE49-F238E27FC236}">
              <a16:creationId xmlns:a16="http://schemas.microsoft.com/office/drawing/2014/main" id="{7F9C93A9-D3D9-4F67-8949-756F2D906864}"/>
            </a:ext>
          </a:extLst>
        </xdr:cNvPr>
        <xdr:cNvSpPr/>
      </xdr:nvSpPr>
      <xdr:spPr>
        <a:xfrm>
          <a:off x="8481060" y="450403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13</xdr:col>
      <xdr:colOff>30480</xdr:colOff>
      <xdr:row>16</xdr:row>
      <xdr:rowOff>31090</xdr:rowOff>
    </xdr:from>
    <xdr:to>
      <xdr:col>13</xdr:col>
      <xdr:colOff>236220</xdr:colOff>
      <xdr:row>16</xdr:row>
      <xdr:rowOff>245060</xdr:rowOff>
    </xdr:to>
    <xdr:sp macro="[0]!Scope_of_Work_Report_Scope22_Show" textlink="">
      <xdr:nvSpPr>
        <xdr:cNvPr id="69" name="Rectangle 68">
          <a:extLst>
            <a:ext uri="{FF2B5EF4-FFF2-40B4-BE49-F238E27FC236}">
              <a16:creationId xmlns:a16="http://schemas.microsoft.com/office/drawing/2014/main" id="{68A5EAC1-4923-458F-A4A8-6F2144141867}"/>
            </a:ext>
          </a:extLst>
        </xdr:cNvPr>
        <xdr:cNvSpPr/>
      </xdr:nvSpPr>
      <xdr:spPr>
        <a:xfrm>
          <a:off x="8481060" y="477073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13</xdr:col>
      <xdr:colOff>7620</xdr:colOff>
      <xdr:row>16</xdr:row>
      <xdr:rowOff>0</xdr:rowOff>
    </xdr:from>
    <xdr:to>
      <xdr:col>14</xdr:col>
      <xdr:colOff>1591</xdr:colOff>
      <xdr:row>17</xdr:row>
      <xdr:rowOff>5379</xdr:rowOff>
    </xdr:to>
    <xdr:pic macro="[0]!Scope_of_Work_Report_Scope22_Hide">
      <xdr:nvPicPr>
        <xdr:cNvPr id="44" name="Scope_Check22">
          <a:extLst>
            <a:ext uri="{FF2B5EF4-FFF2-40B4-BE49-F238E27FC236}">
              <a16:creationId xmlns:a16="http://schemas.microsoft.com/office/drawing/2014/main" id="{E01340ED-7983-4B81-A74E-95AEBE21C82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458200" y="4739640"/>
          <a:ext cx="268291" cy="272079"/>
        </a:xfrm>
        <a:prstGeom prst="rect">
          <a:avLst/>
        </a:prstGeom>
      </xdr:spPr>
    </xdr:pic>
    <xdr:clientData/>
  </xdr:twoCellAnchor>
  <xdr:twoCellAnchor>
    <xdr:from>
      <xdr:col>13</xdr:col>
      <xdr:colOff>38100</xdr:colOff>
      <xdr:row>11</xdr:row>
      <xdr:rowOff>30480</xdr:rowOff>
    </xdr:from>
    <xdr:to>
      <xdr:col>13</xdr:col>
      <xdr:colOff>243840</xdr:colOff>
      <xdr:row>11</xdr:row>
      <xdr:rowOff>244450</xdr:rowOff>
    </xdr:to>
    <xdr:sp macro="[0]!Scope_of_Work_Report_Scope17_Show" textlink="">
      <xdr:nvSpPr>
        <xdr:cNvPr id="64" name="Rectangle 63">
          <a:extLst>
            <a:ext uri="{FF2B5EF4-FFF2-40B4-BE49-F238E27FC236}">
              <a16:creationId xmlns:a16="http://schemas.microsoft.com/office/drawing/2014/main" id="{3765A33A-7C9D-4834-B87C-4E4861708649}"/>
            </a:ext>
          </a:extLst>
        </xdr:cNvPr>
        <xdr:cNvSpPr/>
      </xdr:nvSpPr>
      <xdr:spPr>
        <a:xfrm>
          <a:off x="8488680" y="343662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13</xdr:col>
      <xdr:colOff>30480</xdr:colOff>
      <xdr:row>12</xdr:row>
      <xdr:rowOff>31090</xdr:rowOff>
    </xdr:from>
    <xdr:to>
      <xdr:col>13</xdr:col>
      <xdr:colOff>236220</xdr:colOff>
      <xdr:row>12</xdr:row>
      <xdr:rowOff>245060</xdr:rowOff>
    </xdr:to>
    <xdr:sp macro="[0]!Scope_of_Work_Report_Scope18_Show" textlink="">
      <xdr:nvSpPr>
        <xdr:cNvPr id="65" name="Rectangle 64">
          <a:extLst>
            <a:ext uri="{FF2B5EF4-FFF2-40B4-BE49-F238E27FC236}">
              <a16:creationId xmlns:a16="http://schemas.microsoft.com/office/drawing/2014/main" id="{488B7C4B-9372-4242-B183-871EB7FA6704}"/>
            </a:ext>
          </a:extLst>
        </xdr:cNvPr>
        <xdr:cNvSpPr/>
      </xdr:nvSpPr>
      <xdr:spPr>
        <a:xfrm>
          <a:off x="8481060" y="370393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13</xdr:col>
      <xdr:colOff>30480</xdr:colOff>
      <xdr:row>17</xdr:row>
      <xdr:rowOff>31090</xdr:rowOff>
    </xdr:from>
    <xdr:to>
      <xdr:col>13</xdr:col>
      <xdr:colOff>236220</xdr:colOff>
      <xdr:row>17</xdr:row>
      <xdr:rowOff>245060</xdr:rowOff>
    </xdr:to>
    <xdr:sp macro="[0]!Scope_of_Work_Report_Scope23_Show" textlink="">
      <xdr:nvSpPr>
        <xdr:cNvPr id="70" name="Rectangle 69">
          <a:extLst>
            <a:ext uri="{FF2B5EF4-FFF2-40B4-BE49-F238E27FC236}">
              <a16:creationId xmlns:a16="http://schemas.microsoft.com/office/drawing/2014/main" id="{DC7D643C-FB2F-4B29-A3E5-F2B1D60318E8}"/>
            </a:ext>
          </a:extLst>
        </xdr:cNvPr>
        <xdr:cNvSpPr/>
      </xdr:nvSpPr>
      <xdr:spPr>
        <a:xfrm>
          <a:off x="8481060" y="503743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13</xdr:col>
      <xdr:colOff>30480</xdr:colOff>
      <xdr:row>18</xdr:row>
      <xdr:rowOff>31090</xdr:rowOff>
    </xdr:from>
    <xdr:to>
      <xdr:col>13</xdr:col>
      <xdr:colOff>236220</xdr:colOff>
      <xdr:row>18</xdr:row>
      <xdr:rowOff>245060</xdr:rowOff>
    </xdr:to>
    <xdr:sp macro="[0]!Scope_of_Work_Report_Scope24_Show" textlink="">
      <xdr:nvSpPr>
        <xdr:cNvPr id="71" name="Rectangle 70">
          <a:extLst>
            <a:ext uri="{FF2B5EF4-FFF2-40B4-BE49-F238E27FC236}">
              <a16:creationId xmlns:a16="http://schemas.microsoft.com/office/drawing/2014/main" id="{75BA8217-597E-45AE-9744-3821A695B726}"/>
            </a:ext>
          </a:extLst>
        </xdr:cNvPr>
        <xdr:cNvSpPr/>
      </xdr:nvSpPr>
      <xdr:spPr>
        <a:xfrm>
          <a:off x="8481060" y="530413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8</xdr:col>
      <xdr:colOff>30480</xdr:colOff>
      <xdr:row>16</xdr:row>
      <xdr:rowOff>31090</xdr:rowOff>
    </xdr:from>
    <xdr:to>
      <xdr:col>8</xdr:col>
      <xdr:colOff>236220</xdr:colOff>
      <xdr:row>16</xdr:row>
      <xdr:rowOff>245060</xdr:rowOff>
    </xdr:to>
    <xdr:sp macro="[0]!Scope_of_Work_Report_Scope14_Show" textlink="">
      <xdr:nvSpPr>
        <xdr:cNvPr id="77" name="Rectangle 76">
          <a:extLst>
            <a:ext uri="{FF2B5EF4-FFF2-40B4-BE49-F238E27FC236}">
              <a16:creationId xmlns:a16="http://schemas.microsoft.com/office/drawing/2014/main" id="{80064CCA-97EE-4BA4-9C73-1A27BE1C53B1}"/>
            </a:ext>
          </a:extLst>
        </xdr:cNvPr>
        <xdr:cNvSpPr/>
      </xdr:nvSpPr>
      <xdr:spPr>
        <a:xfrm>
          <a:off x="6073140" y="477073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8</xdr:col>
      <xdr:colOff>30480</xdr:colOff>
      <xdr:row>17</xdr:row>
      <xdr:rowOff>31090</xdr:rowOff>
    </xdr:from>
    <xdr:to>
      <xdr:col>8</xdr:col>
      <xdr:colOff>236220</xdr:colOff>
      <xdr:row>17</xdr:row>
      <xdr:rowOff>245060</xdr:rowOff>
    </xdr:to>
    <xdr:sp macro="[0]!Scope_of_Work_Report_Scope15_Show" textlink="">
      <xdr:nvSpPr>
        <xdr:cNvPr id="78" name="Rectangle 77">
          <a:extLst>
            <a:ext uri="{FF2B5EF4-FFF2-40B4-BE49-F238E27FC236}">
              <a16:creationId xmlns:a16="http://schemas.microsoft.com/office/drawing/2014/main" id="{261B282A-CA57-4A53-992B-D62375815D46}"/>
            </a:ext>
          </a:extLst>
        </xdr:cNvPr>
        <xdr:cNvSpPr/>
      </xdr:nvSpPr>
      <xdr:spPr>
        <a:xfrm>
          <a:off x="6073140" y="503743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8</xdr:col>
      <xdr:colOff>30480</xdr:colOff>
      <xdr:row>18</xdr:row>
      <xdr:rowOff>31090</xdr:rowOff>
    </xdr:from>
    <xdr:to>
      <xdr:col>8</xdr:col>
      <xdr:colOff>236220</xdr:colOff>
      <xdr:row>18</xdr:row>
      <xdr:rowOff>245060</xdr:rowOff>
    </xdr:to>
    <xdr:sp macro="[0]!Scope_of_Work_Report_Scope16_Show" textlink="">
      <xdr:nvSpPr>
        <xdr:cNvPr id="79" name="Rectangle 78">
          <a:extLst>
            <a:ext uri="{FF2B5EF4-FFF2-40B4-BE49-F238E27FC236}">
              <a16:creationId xmlns:a16="http://schemas.microsoft.com/office/drawing/2014/main" id="{C1E1016A-E34F-469E-9E3D-71A656C6DE91}"/>
            </a:ext>
          </a:extLst>
        </xdr:cNvPr>
        <xdr:cNvSpPr/>
      </xdr:nvSpPr>
      <xdr:spPr>
        <a:xfrm>
          <a:off x="6073140" y="530413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8</xdr:col>
      <xdr:colOff>38100</xdr:colOff>
      <xdr:row>11</xdr:row>
      <xdr:rowOff>30480</xdr:rowOff>
    </xdr:from>
    <xdr:to>
      <xdr:col>8</xdr:col>
      <xdr:colOff>243840</xdr:colOff>
      <xdr:row>11</xdr:row>
      <xdr:rowOff>244450</xdr:rowOff>
    </xdr:to>
    <xdr:sp macro="[0]!Scope_of_Work_Report_Scope9_Show" textlink="">
      <xdr:nvSpPr>
        <xdr:cNvPr id="72" name="Rectangle 71">
          <a:extLst>
            <a:ext uri="{FF2B5EF4-FFF2-40B4-BE49-F238E27FC236}">
              <a16:creationId xmlns:a16="http://schemas.microsoft.com/office/drawing/2014/main" id="{458BA510-B64A-49F9-BBA4-FA78B72AD060}"/>
            </a:ext>
          </a:extLst>
        </xdr:cNvPr>
        <xdr:cNvSpPr/>
      </xdr:nvSpPr>
      <xdr:spPr>
        <a:xfrm>
          <a:off x="6080760" y="343662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8</xdr:col>
      <xdr:colOff>30480</xdr:colOff>
      <xdr:row>12</xdr:row>
      <xdr:rowOff>31090</xdr:rowOff>
    </xdr:from>
    <xdr:to>
      <xdr:col>8</xdr:col>
      <xdr:colOff>236220</xdr:colOff>
      <xdr:row>12</xdr:row>
      <xdr:rowOff>245060</xdr:rowOff>
    </xdr:to>
    <xdr:sp macro="[0]!Scope_of_Work_Report_Scope10_Show" textlink="">
      <xdr:nvSpPr>
        <xdr:cNvPr id="73" name="Rectangle 72">
          <a:extLst>
            <a:ext uri="{FF2B5EF4-FFF2-40B4-BE49-F238E27FC236}">
              <a16:creationId xmlns:a16="http://schemas.microsoft.com/office/drawing/2014/main" id="{81814CE0-6818-4C42-B572-6F91950B4BC9}"/>
            </a:ext>
          </a:extLst>
        </xdr:cNvPr>
        <xdr:cNvSpPr/>
      </xdr:nvSpPr>
      <xdr:spPr>
        <a:xfrm>
          <a:off x="6073140" y="370393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8</xdr:col>
      <xdr:colOff>30480</xdr:colOff>
      <xdr:row>13</xdr:row>
      <xdr:rowOff>23470</xdr:rowOff>
    </xdr:from>
    <xdr:to>
      <xdr:col>8</xdr:col>
      <xdr:colOff>236220</xdr:colOff>
      <xdr:row>13</xdr:row>
      <xdr:rowOff>237440</xdr:rowOff>
    </xdr:to>
    <xdr:sp macro="[0]!Scope_of_Work_Report_Scope11_Show" textlink="">
      <xdr:nvSpPr>
        <xdr:cNvPr id="74" name="Rectangle 73">
          <a:extLst>
            <a:ext uri="{FF2B5EF4-FFF2-40B4-BE49-F238E27FC236}">
              <a16:creationId xmlns:a16="http://schemas.microsoft.com/office/drawing/2014/main" id="{0834C0D0-A420-4D0D-9BAB-DBF8EF0ED886}"/>
            </a:ext>
          </a:extLst>
        </xdr:cNvPr>
        <xdr:cNvSpPr/>
      </xdr:nvSpPr>
      <xdr:spPr>
        <a:xfrm>
          <a:off x="6073140" y="396301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8</xdr:col>
      <xdr:colOff>30480</xdr:colOff>
      <xdr:row>14</xdr:row>
      <xdr:rowOff>31090</xdr:rowOff>
    </xdr:from>
    <xdr:to>
      <xdr:col>8</xdr:col>
      <xdr:colOff>236220</xdr:colOff>
      <xdr:row>14</xdr:row>
      <xdr:rowOff>245060</xdr:rowOff>
    </xdr:to>
    <xdr:sp macro="[0]!Scope_of_Work_Report_Scope12_Show" textlink="">
      <xdr:nvSpPr>
        <xdr:cNvPr id="75" name="Rectangle 74">
          <a:extLst>
            <a:ext uri="{FF2B5EF4-FFF2-40B4-BE49-F238E27FC236}">
              <a16:creationId xmlns:a16="http://schemas.microsoft.com/office/drawing/2014/main" id="{9954C1F4-1364-436E-84A6-3A7AC4C9DCAB}"/>
            </a:ext>
          </a:extLst>
        </xdr:cNvPr>
        <xdr:cNvSpPr/>
      </xdr:nvSpPr>
      <xdr:spPr>
        <a:xfrm>
          <a:off x="6073140" y="423733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8</xdr:col>
      <xdr:colOff>30480</xdr:colOff>
      <xdr:row>15</xdr:row>
      <xdr:rowOff>31090</xdr:rowOff>
    </xdr:from>
    <xdr:to>
      <xdr:col>8</xdr:col>
      <xdr:colOff>236220</xdr:colOff>
      <xdr:row>15</xdr:row>
      <xdr:rowOff>245060</xdr:rowOff>
    </xdr:to>
    <xdr:sp macro="[0]!Scope_of_Work_Report_Scope13_Show" textlink="">
      <xdr:nvSpPr>
        <xdr:cNvPr id="76" name="Rectangle 75">
          <a:extLst>
            <a:ext uri="{FF2B5EF4-FFF2-40B4-BE49-F238E27FC236}">
              <a16:creationId xmlns:a16="http://schemas.microsoft.com/office/drawing/2014/main" id="{29B553B1-31A3-4863-8F85-E4530E5DDFCB}"/>
            </a:ext>
          </a:extLst>
        </xdr:cNvPr>
        <xdr:cNvSpPr/>
      </xdr:nvSpPr>
      <xdr:spPr>
        <a:xfrm>
          <a:off x="6073140" y="450403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8</xdr:col>
      <xdr:colOff>7620</xdr:colOff>
      <xdr:row>14</xdr:row>
      <xdr:rowOff>0</xdr:rowOff>
    </xdr:from>
    <xdr:to>
      <xdr:col>9</xdr:col>
      <xdr:colOff>1591</xdr:colOff>
      <xdr:row>15</xdr:row>
      <xdr:rowOff>5379</xdr:rowOff>
    </xdr:to>
    <xdr:pic macro="[0]!Scope_of_Work_Report_Scope12_Hide">
      <xdr:nvPicPr>
        <xdr:cNvPr id="34" name="Scope_Check12">
          <a:extLst>
            <a:ext uri="{FF2B5EF4-FFF2-40B4-BE49-F238E27FC236}">
              <a16:creationId xmlns:a16="http://schemas.microsoft.com/office/drawing/2014/main" id="{A99AD0E7-582D-4A83-92A5-4F5D62FC260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50280" y="4206240"/>
          <a:ext cx="268291" cy="272079"/>
        </a:xfrm>
        <a:prstGeom prst="rect">
          <a:avLst/>
        </a:prstGeom>
      </xdr:spPr>
    </xdr:pic>
    <xdr:clientData/>
  </xdr:twoCellAnchor>
  <xdr:twoCellAnchor>
    <xdr:from>
      <xdr:col>3</xdr:col>
      <xdr:colOff>30480</xdr:colOff>
      <xdr:row>12</xdr:row>
      <xdr:rowOff>30480</xdr:rowOff>
    </xdr:from>
    <xdr:to>
      <xdr:col>3</xdr:col>
      <xdr:colOff>236220</xdr:colOff>
      <xdr:row>12</xdr:row>
      <xdr:rowOff>244450</xdr:rowOff>
    </xdr:to>
    <xdr:sp macro="[0]!Scope_of_Work_Report_Scope2_Show" textlink="">
      <xdr:nvSpPr>
        <xdr:cNvPr id="49" name="Rectangle 48">
          <a:extLst>
            <a:ext uri="{FF2B5EF4-FFF2-40B4-BE49-F238E27FC236}">
              <a16:creationId xmlns:a16="http://schemas.microsoft.com/office/drawing/2014/main" id="{8075D26D-099A-442A-9705-4E221A6DCD62}"/>
            </a:ext>
          </a:extLst>
        </xdr:cNvPr>
        <xdr:cNvSpPr/>
      </xdr:nvSpPr>
      <xdr:spPr>
        <a:xfrm>
          <a:off x="3665220" y="370332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38100</xdr:colOff>
      <xdr:row>11</xdr:row>
      <xdr:rowOff>29870</xdr:rowOff>
    </xdr:from>
    <xdr:to>
      <xdr:col>3</xdr:col>
      <xdr:colOff>243840</xdr:colOff>
      <xdr:row>11</xdr:row>
      <xdr:rowOff>243840</xdr:rowOff>
    </xdr:to>
    <xdr:sp macro="[0]!Scope_of_Work_Report_Scope1_Show" textlink="">
      <xdr:nvSpPr>
        <xdr:cNvPr id="5" name="Rectangle 4">
          <a:extLst>
            <a:ext uri="{FF2B5EF4-FFF2-40B4-BE49-F238E27FC236}">
              <a16:creationId xmlns:a16="http://schemas.microsoft.com/office/drawing/2014/main" id="{41F958E1-FBD0-41B1-9FC4-72148C4A8124}"/>
            </a:ext>
          </a:extLst>
        </xdr:cNvPr>
        <xdr:cNvSpPr/>
      </xdr:nvSpPr>
      <xdr:spPr>
        <a:xfrm>
          <a:off x="3672840" y="343601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7620</xdr:colOff>
      <xdr:row>12</xdr:row>
      <xdr:rowOff>0</xdr:rowOff>
    </xdr:from>
    <xdr:to>
      <xdr:col>4</xdr:col>
      <xdr:colOff>1591</xdr:colOff>
      <xdr:row>13</xdr:row>
      <xdr:rowOff>5379</xdr:rowOff>
    </xdr:to>
    <xdr:pic macro="[0]!Scope_of_Work_Report_Scope2_Hide">
      <xdr:nvPicPr>
        <xdr:cNvPr id="24" name="Scope_Check2">
          <a:extLst>
            <a:ext uri="{FF2B5EF4-FFF2-40B4-BE49-F238E27FC236}">
              <a16:creationId xmlns:a16="http://schemas.microsoft.com/office/drawing/2014/main" id="{BF490258-21FA-46CD-838F-CEF32084004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642360" y="3672840"/>
          <a:ext cx="268291" cy="272079"/>
        </a:xfrm>
        <a:prstGeom prst="rect">
          <a:avLst/>
        </a:prstGeom>
      </xdr:spPr>
    </xdr:pic>
    <xdr:clientData/>
  </xdr:twoCellAnchor>
  <xdr:twoCellAnchor>
    <xdr:from>
      <xdr:col>3</xdr:col>
      <xdr:colOff>15240</xdr:colOff>
      <xdr:row>11</xdr:row>
      <xdr:rowOff>0</xdr:rowOff>
    </xdr:from>
    <xdr:to>
      <xdr:col>4</xdr:col>
      <xdr:colOff>9211</xdr:colOff>
      <xdr:row>11</xdr:row>
      <xdr:rowOff>264459</xdr:rowOff>
    </xdr:to>
    <xdr:pic macro="[0]!Scope_of_Work_Report_Scope1_Hide">
      <xdr:nvPicPr>
        <xdr:cNvPr id="23" name="Scope_Check1">
          <a:extLst>
            <a:ext uri="{FF2B5EF4-FFF2-40B4-BE49-F238E27FC236}">
              <a16:creationId xmlns:a16="http://schemas.microsoft.com/office/drawing/2014/main" id="{94EA96A6-5A0B-47D1-8C15-7304BF652F4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649980" y="3421380"/>
          <a:ext cx="268291" cy="264459"/>
        </a:xfrm>
        <a:prstGeom prst="rect">
          <a:avLst/>
        </a:prstGeom>
      </xdr:spPr>
    </xdr:pic>
    <xdr:clientData/>
  </xdr:twoCellAnchor>
  <xdr:twoCellAnchor>
    <xdr:from>
      <xdr:col>3</xdr:col>
      <xdr:colOff>30480</xdr:colOff>
      <xdr:row>13</xdr:row>
      <xdr:rowOff>22860</xdr:rowOff>
    </xdr:from>
    <xdr:to>
      <xdr:col>3</xdr:col>
      <xdr:colOff>236220</xdr:colOff>
      <xdr:row>13</xdr:row>
      <xdr:rowOff>236830</xdr:rowOff>
    </xdr:to>
    <xdr:sp macro="[0]!Scope_of_Work_Report_Scope3_Show" textlink="">
      <xdr:nvSpPr>
        <xdr:cNvPr id="50" name="Rectangle 49">
          <a:extLst>
            <a:ext uri="{FF2B5EF4-FFF2-40B4-BE49-F238E27FC236}">
              <a16:creationId xmlns:a16="http://schemas.microsoft.com/office/drawing/2014/main" id="{F345BFA0-3FC8-4D36-822B-10FF058A8A57}"/>
            </a:ext>
          </a:extLst>
        </xdr:cNvPr>
        <xdr:cNvSpPr/>
      </xdr:nvSpPr>
      <xdr:spPr>
        <a:xfrm>
          <a:off x="3665220" y="396240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30480</xdr:colOff>
      <xdr:row>14</xdr:row>
      <xdr:rowOff>30480</xdr:rowOff>
    </xdr:from>
    <xdr:to>
      <xdr:col>3</xdr:col>
      <xdr:colOff>236220</xdr:colOff>
      <xdr:row>14</xdr:row>
      <xdr:rowOff>244450</xdr:rowOff>
    </xdr:to>
    <xdr:sp macro="[0]!Scope_of_Work_Report_Scope4_Show" textlink="">
      <xdr:nvSpPr>
        <xdr:cNvPr id="51" name="Rectangle 50">
          <a:extLst>
            <a:ext uri="{FF2B5EF4-FFF2-40B4-BE49-F238E27FC236}">
              <a16:creationId xmlns:a16="http://schemas.microsoft.com/office/drawing/2014/main" id="{1C512FEF-B63D-4EF9-8C81-A2D71C6E1560}"/>
            </a:ext>
          </a:extLst>
        </xdr:cNvPr>
        <xdr:cNvSpPr/>
      </xdr:nvSpPr>
      <xdr:spPr>
        <a:xfrm>
          <a:off x="3665220" y="423672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30480</xdr:colOff>
      <xdr:row>15</xdr:row>
      <xdr:rowOff>30480</xdr:rowOff>
    </xdr:from>
    <xdr:to>
      <xdr:col>3</xdr:col>
      <xdr:colOff>236220</xdr:colOff>
      <xdr:row>15</xdr:row>
      <xdr:rowOff>244450</xdr:rowOff>
    </xdr:to>
    <xdr:sp macro="[0]!Scope_of_Work_Report_Scope5_Show" textlink="">
      <xdr:nvSpPr>
        <xdr:cNvPr id="52" name="Rectangle 51">
          <a:extLst>
            <a:ext uri="{FF2B5EF4-FFF2-40B4-BE49-F238E27FC236}">
              <a16:creationId xmlns:a16="http://schemas.microsoft.com/office/drawing/2014/main" id="{86F15020-4E18-4B8F-9E7D-D65BDD6AE901}"/>
            </a:ext>
          </a:extLst>
        </xdr:cNvPr>
        <xdr:cNvSpPr/>
      </xdr:nvSpPr>
      <xdr:spPr>
        <a:xfrm>
          <a:off x="3665220" y="450342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30480</xdr:colOff>
      <xdr:row>16</xdr:row>
      <xdr:rowOff>30480</xdr:rowOff>
    </xdr:from>
    <xdr:to>
      <xdr:col>3</xdr:col>
      <xdr:colOff>236220</xdr:colOff>
      <xdr:row>16</xdr:row>
      <xdr:rowOff>244450</xdr:rowOff>
    </xdr:to>
    <xdr:sp macro="[0]!Scope_of_Work_Report_Scope6_Show" textlink="">
      <xdr:nvSpPr>
        <xdr:cNvPr id="53" name="Rectangle 52">
          <a:extLst>
            <a:ext uri="{FF2B5EF4-FFF2-40B4-BE49-F238E27FC236}">
              <a16:creationId xmlns:a16="http://schemas.microsoft.com/office/drawing/2014/main" id="{B7856718-5A45-4446-8D84-91A7F77EE566}"/>
            </a:ext>
          </a:extLst>
        </xdr:cNvPr>
        <xdr:cNvSpPr/>
      </xdr:nvSpPr>
      <xdr:spPr>
        <a:xfrm>
          <a:off x="3665220" y="477012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30480</xdr:colOff>
      <xdr:row>17</xdr:row>
      <xdr:rowOff>30480</xdr:rowOff>
    </xdr:from>
    <xdr:to>
      <xdr:col>3</xdr:col>
      <xdr:colOff>236220</xdr:colOff>
      <xdr:row>17</xdr:row>
      <xdr:rowOff>244450</xdr:rowOff>
    </xdr:to>
    <xdr:sp macro="[0]!Scope_of_Work_Report_Scope7_Show" textlink="">
      <xdr:nvSpPr>
        <xdr:cNvPr id="54" name="Rectangle 53">
          <a:extLst>
            <a:ext uri="{FF2B5EF4-FFF2-40B4-BE49-F238E27FC236}">
              <a16:creationId xmlns:a16="http://schemas.microsoft.com/office/drawing/2014/main" id="{E3412690-C5B9-426E-BB47-3E6D2A0B08B3}"/>
            </a:ext>
          </a:extLst>
        </xdr:cNvPr>
        <xdr:cNvSpPr/>
      </xdr:nvSpPr>
      <xdr:spPr>
        <a:xfrm>
          <a:off x="3665220" y="503682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30480</xdr:colOff>
      <xdr:row>18</xdr:row>
      <xdr:rowOff>30480</xdr:rowOff>
    </xdr:from>
    <xdr:to>
      <xdr:col>3</xdr:col>
      <xdr:colOff>236220</xdr:colOff>
      <xdr:row>18</xdr:row>
      <xdr:rowOff>244450</xdr:rowOff>
    </xdr:to>
    <xdr:sp macro="[0]!Scope_of_Work_Report_Scope8_Show" textlink="">
      <xdr:nvSpPr>
        <xdr:cNvPr id="55" name="Rectangle 54">
          <a:extLst>
            <a:ext uri="{FF2B5EF4-FFF2-40B4-BE49-F238E27FC236}">
              <a16:creationId xmlns:a16="http://schemas.microsoft.com/office/drawing/2014/main" id="{1CCF5BB1-1DCA-4F57-BCE5-B701BEF640F8}"/>
            </a:ext>
          </a:extLst>
        </xdr:cNvPr>
        <xdr:cNvSpPr/>
      </xdr:nvSpPr>
      <xdr:spPr>
        <a:xfrm>
          <a:off x="3665220" y="5303520"/>
          <a:ext cx="205740" cy="21397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78105</xdr:colOff>
      <xdr:row>23</xdr:row>
      <xdr:rowOff>30480</xdr:rowOff>
    </xdr:from>
    <xdr:to>
      <xdr:col>21</xdr:col>
      <xdr:colOff>468086</xdr:colOff>
      <xdr:row>40</xdr:row>
      <xdr:rowOff>41910</xdr:rowOff>
    </xdr:to>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3926205" y="2362200"/>
          <a:ext cx="9213941" cy="4697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i="0">
              <a:solidFill>
                <a:schemeClr val="dk1"/>
              </a:solidFill>
              <a:effectLst/>
              <a:latin typeface="Garamond" panose="02020404030301010803" pitchFamily="18" charset="0"/>
              <a:ea typeface="+mn-ea"/>
              <a:cs typeface="+mn-cs"/>
            </a:rPr>
            <a:t>The Scope of Work shall include, but not be limited to all labor, materials, tools, equipment, incidentals, insurance, overhead and profit to perform the work as outlined below:</a:t>
          </a:r>
          <a:endParaRPr lang="en-US" sz="1200" i="1">
            <a:solidFill>
              <a:schemeClr val="dk1"/>
            </a:solidFill>
            <a:effectLst/>
            <a:latin typeface="Garamond" panose="02020404030301010803" pitchFamily="18" charset="0"/>
            <a:ea typeface="+mn-ea"/>
            <a:cs typeface="+mn-cs"/>
          </a:endParaRPr>
        </a:p>
        <a:p>
          <a:r>
            <a:rPr lang="en-US" sz="1200" b="1">
              <a:solidFill>
                <a:schemeClr val="dk1"/>
              </a:solidFill>
              <a:effectLst/>
              <a:latin typeface="Garamond" panose="02020404030301010803" pitchFamily="18" charset="0"/>
              <a:ea typeface="+mn-ea"/>
              <a:cs typeface="+mn-cs"/>
            </a:rPr>
            <a:t> 	</a:t>
          </a:r>
          <a:endParaRPr lang="en-US" sz="1600">
            <a:solidFill>
              <a:schemeClr val="dk1"/>
            </a:solidFill>
            <a:effectLst/>
            <a:latin typeface="Garamond" panose="02020404030301010803" pitchFamily="18" charset="0"/>
            <a:ea typeface="+mn-ea"/>
            <a:cs typeface="+mn-cs"/>
          </a:endParaRPr>
        </a:p>
        <a:p>
          <a:r>
            <a:rPr lang="en-US" sz="1200" b="1" u="sng">
              <a:solidFill>
                <a:schemeClr val="dk1"/>
              </a:solidFill>
              <a:effectLst/>
              <a:latin typeface="Garamond" panose="02020404030301010803" pitchFamily="18" charset="0"/>
              <a:ea typeface="+mn-ea"/>
              <a:cs typeface="+mn-cs"/>
            </a:rPr>
            <a:t>GENERAL NOTES:</a:t>
          </a:r>
          <a:endParaRPr lang="en-US" sz="1600">
            <a:solidFill>
              <a:schemeClr val="dk1"/>
            </a:solidFill>
            <a:effectLst/>
            <a:latin typeface="Garamond" panose="02020404030301010803" pitchFamily="18" charset="0"/>
            <a:ea typeface="+mn-ea"/>
            <a:cs typeface="+mn-cs"/>
          </a:endParaRPr>
        </a:p>
        <a:p>
          <a:r>
            <a:rPr lang="en-US" sz="1200">
              <a:solidFill>
                <a:schemeClr val="dk1"/>
              </a:solidFill>
              <a:effectLst/>
              <a:latin typeface="Garamond" panose="02020404030301010803" pitchFamily="18" charset="0"/>
              <a:ea typeface="+mn-ea"/>
              <a:cs typeface="+mn-cs"/>
            </a:rPr>
            <a:t> </a:t>
          </a:r>
          <a:endParaRPr lang="en-US" sz="1600">
            <a:solidFill>
              <a:schemeClr val="dk1"/>
            </a:solidFill>
            <a:effectLst/>
            <a:latin typeface="Garamond" panose="02020404030301010803" pitchFamily="18" charset="0"/>
            <a:ea typeface="+mn-ea"/>
            <a:cs typeface="+mn-cs"/>
          </a:endParaRPr>
        </a:p>
        <a:p>
          <a:pPr lvl="1"/>
          <a:r>
            <a:rPr lang="en-US" sz="1200" b="1">
              <a:solidFill>
                <a:schemeClr val="dk1"/>
              </a:solidFill>
              <a:effectLst/>
              <a:latin typeface="Garamond" panose="02020404030301010803" pitchFamily="18" charset="0"/>
              <a:ea typeface="+mn-ea"/>
              <a:cs typeface="+mn-cs"/>
            </a:rPr>
            <a:t>Scope Verification.</a:t>
          </a:r>
          <a:r>
            <a:rPr lang="en-US" sz="1200">
              <a:solidFill>
                <a:schemeClr val="dk1"/>
              </a:solidFill>
              <a:effectLst/>
              <a:latin typeface="Garamond" panose="02020404030301010803" pitchFamily="18" charset="0"/>
              <a:ea typeface="+mn-ea"/>
              <a:cs typeface="+mn-cs"/>
            </a:rPr>
            <a:t>  Contractor shall field verify locations, sizes and quantities of work required for the project.  Any quantities provided by the Owner need to be field verified for accuracy and exact installation requirements.</a:t>
          </a:r>
          <a:endParaRPr lang="en-US" sz="1800">
            <a:solidFill>
              <a:schemeClr val="dk1"/>
            </a:solidFill>
            <a:effectLst/>
            <a:latin typeface="Garamond" panose="02020404030301010803" pitchFamily="18" charset="0"/>
            <a:ea typeface="+mn-ea"/>
            <a:cs typeface="+mn-cs"/>
          </a:endParaRPr>
        </a:p>
        <a:p>
          <a:pPr lvl="1"/>
          <a:r>
            <a:rPr lang="en-US" sz="1200" b="1">
              <a:solidFill>
                <a:schemeClr val="dk1"/>
              </a:solidFill>
              <a:effectLst/>
              <a:latin typeface="Garamond" panose="02020404030301010803" pitchFamily="18" charset="0"/>
              <a:ea typeface="+mn-ea"/>
              <a:cs typeface="+mn-cs"/>
            </a:rPr>
            <a:t>Tools, Material and Equipment. </a:t>
          </a:r>
          <a:r>
            <a:rPr lang="en-US" sz="1200">
              <a:solidFill>
                <a:schemeClr val="dk1"/>
              </a:solidFill>
              <a:effectLst/>
              <a:latin typeface="Garamond" panose="02020404030301010803" pitchFamily="18" charset="0"/>
              <a:ea typeface="+mn-ea"/>
              <a:cs typeface="+mn-cs"/>
            </a:rPr>
            <a:t>Contractor will supply all tools, material and equipment required to perform the Scope of Work, unless otherwise specified.</a:t>
          </a:r>
          <a:endParaRPr lang="en-US" sz="1800">
            <a:solidFill>
              <a:schemeClr val="dk1"/>
            </a:solidFill>
            <a:effectLst/>
            <a:latin typeface="Garamond" panose="02020404030301010803" pitchFamily="18" charset="0"/>
            <a:ea typeface="+mn-ea"/>
            <a:cs typeface="+mn-cs"/>
          </a:endParaRPr>
        </a:p>
        <a:p>
          <a:pPr lvl="1"/>
          <a:r>
            <a:rPr lang="en-US" sz="1200" b="1">
              <a:solidFill>
                <a:schemeClr val="dk1"/>
              </a:solidFill>
              <a:effectLst/>
              <a:latin typeface="Garamond" panose="02020404030301010803" pitchFamily="18" charset="0"/>
              <a:ea typeface="+mn-ea"/>
              <a:cs typeface="+mn-cs"/>
            </a:rPr>
            <a:t>Building Permits &amp; Inspections.</a:t>
          </a:r>
          <a:r>
            <a:rPr lang="en-US" sz="1200">
              <a:solidFill>
                <a:schemeClr val="dk1"/>
              </a:solidFill>
              <a:effectLst/>
              <a:latin typeface="Garamond" panose="02020404030301010803" pitchFamily="18" charset="0"/>
              <a:ea typeface="+mn-ea"/>
              <a:cs typeface="+mn-cs"/>
            </a:rPr>
            <a:t>  Contractors and Subcontractors shall be responsible for all building permits, building inspections, fees and licensing as pertaining to the law, ordinances and regulations and as required to complete their respective Scopes of Work in this Agreement.  Contractor shall pay for the entire cost of any remedial work resulting from a failed inspection.</a:t>
          </a:r>
          <a:endParaRPr lang="en-US" sz="1800">
            <a:solidFill>
              <a:schemeClr val="dk1"/>
            </a:solidFill>
            <a:effectLst/>
            <a:latin typeface="Garamond" panose="02020404030301010803" pitchFamily="18" charset="0"/>
            <a:ea typeface="+mn-ea"/>
            <a:cs typeface="+mn-cs"/>
          </a:endParaRPr>
        </a:p>
        <a:p>
          <a:pPr lvl="1"/>
          <a:r>
            <a:rPr lang="en-US" sz="1200" b="1">
              <a:solidFill>
                <a:schemeClr val="dk1"/>
              </a:solidFill>
              <a:effectLst/>
              <a:latin typeface="Garamond" panose="02020404030301010803" pitchFamily="18" charset="0"/>
              <a:ea typeface="+mn-ea"/>
              <a:cs typeface="+mn-cs"/>
            </a:rPr>
            <a:t>Taxes.</a:t>
          </a:r>
          <a:r>
            <a:rPr lang="en-US" sz="1200">
              <a:solidFill>
                <a:schemeClr val="dk1"/>
              </a:solidFill>
              <a:effectLst/>
              <a:latin typeface="Garamond" panose="02020404030301010803" pitchFamily="18" charset="0"/>
              <a:ea typeface="+mn-ea"/>
              <a:cs typeface="+mn-cs"/>
            </a:rPr>
            <a:t>  Contractor shall be responsible for all federal, state and local taxes imposed directly or indirectly for its Services required to fill this Agreement.</a:t>
          </a:r>
          <a:endParaRPr lang="en-US" sz="1800">
            <a:solidFill>
              <a:schemeClr val="dk1"/>
            </a:solidFill>
            <a:effectLst/>
            <a:latin typeface="Garamond" panose="02020404030301010803" pitchFamily="18" charset="0"/>
            <a:ea typeface="+mn-ea"/>
            <a:cs typeface="+mn-cs"/>
          </a:endParaRPr>
        </a:p>
        <a:p>
          <a:pPr lvl="1"/>
          <a:r>
            <a:rPr lang="en-US" sz="1200" b="1">
              <a:solidFill>
                <a:schemeClr val="dk1"/>
              </a:solidFill>
              <a:effectLst/>
              <a:latin typeface="Garamond" panose="02020404030301010803" pitchFamily="18" charset="0"/>
              <a:ea typeface="+mn-ea"/>
              <a:cs typeface="+mn-cs"/>
            </a:rPr>
            <a:t>Insurance.</a:t>
          </a:r>
          <a:r>
            <a:rPr lang="en-US" sz="1200">
              <a:solidFill>
                <a:schemeClr val="dk1"/>
              </a:solidFill>
              <a:effectLst/>
              <a:latin typeface="Garamond" panose="02020404030301010803" pitchFamily="18" charset="0"/>
              <a:ea typeface="+mn-ea"/>
              <a:cs typeface="+mn-cs"/>
            </a:rPr>
            <a:t>  Contractor shall provide and maintain General Liability and Worker’s Compensation insurance throughout the Term of this Agreement and Project duration.  Contractor shall provide certificates of insurance or other acceptable evidence of insurance upon execution of this Agreement</a:t>
          </a:r>
          <a:endParaRPr lang="en-US" sz="1800">
            <a:solidFill>
              <a:schemeClr val="dk1"/>
            </a:solidFill>
            <a:effectLst/>
            <a:latin typeface="Garamond" panose="02020404030301010803" pitchFamily="18" charset="0"/>
            <a:ea typeface="+mn-ea"/>
            <a:cs typeface="+mn-cs"/>
          </a:endParaRPr>
        </a:p>
        <a:p>
          <a:pPr lvl="1"/>
          <a:r>
            <a:rPr lang="en-US" sz="1200" b="1">
              <a:solidFill>
                <a:schemeClr val="dk1"/>
              </a:solidFill>
              <a:effectLst/>
              <a:latin typeface="Garamond" panose="02020404030301010803" pitchFamily="18" charset="0"/>
              <a:ea typeface="+mn-ea"/>
              <a:cs typeface="+mn-cs"/>
            </a:rPr>
            <a:t>Clean-Up.</a:t>
          </a:r>
          <a:r>
            <a:rPr lang="en-US" sz="1200">
              <a:solidFill>
                <a:schemeClr val="dk1"/>
              </a:solidFill>
              <a:effectLst/>
              <a:latin typeface="Garamond" panose="02020404030301010803" pitchFamily="18" charset="0"/>
              <a:ea typeface="+mn-ea"/>
              <a:cs typeface="+mn-cs"/>
            </a:rPr>
            <a:t>  Contractor is responsible for daily cleanup of all areas where work is performed and disposal of debris to Owner provided dumpster.  </a:t>
          </a:r>
          <a:endParaRPr lang="en-US" sz="1800">
            <a:solidFill>
              <a:schemeClr val="dk1"/>
            </a:solidFill>
            <a:effectLst/>
            <a:latin typeface="Garamond" panose="02020404030301010803" pitchFamily="18" charset="0"/>
            <a:ea typeface="+mn-ea"/>
            <a:cs typeface="+mn-cs"/>
          </a:endParaRPr>
        </a:p>
        <a:p>
          <a:pPr lvl="1"/>
          <a:r>
            <a:rPr lang="en-US" sz="1200" b="1">
              <a:solidFill>
                <a:schemeClr val="dk1"/>
              </a:solidFill>
              <a:effectLst/>
              <a:latin typeface="Garamond" panose="02020404030301010803" pitchFamily="18" charset="0"/>
              <a:ea typeface="+mn-ea"/>
              <a:cs typeface="+mn-cs"/>
            </a:rPr>
            <a:t>Dumpsters</a:t>
          </a:r>
          <a:r>
            <a:rPr lang="en-US" sz="1200">
              <a:solidFill>
                <a:schemeClr val="dk1"/>
              </a:solidFill>
              <a:effectLst/>
              <a:latin typeface="Garamond" panose="02020404030301010803" pitchFamily="18" charset="0"/>
              <a:ea typeface="+mn-ea"/>
              <a:cs typeface="+mn-cs"/>
            </a:rPr>
            <a:t>. Jobsite dumpsters will be </a:t>
          </a:r>
          <a:r>
            <a:rPr lang="en-US" sz="1200" b="1">
              <a:solidFill>
                <a:schemeClr val="dk1"/>
              </a:solidFill>
              <a:effectLst/>
              <a:latin typeface="Garamond" panose="02020404030301010803" pitchFamily="18" charset="0"/>
              <a:ea typeface="+mn-ea"/>
              <a:cs typeface="+mn-cs"/>
            </a:rPr>
            <a:t>Owner-Furnished.</a:t>
          </a:r>
          <a:endParaRPr lang="en-US" sz="1800">
            <a:solidFill>
              <a:schemeClr val="dk1"/>
            </a:solidFill>
            <a:effectLst/>
            <a:latin typeface="Garamond" panose="02020404030301010803" pitchFamily="18" charset="0"/>
            <a:ea typeface="+mn-ea"/>
            <a:cs typeface="+mn-cs"/>
          </a:endParaRPr>
        </a:p>
        <a:p>
          <a:r>
            <a:rPr lang="en-US" sz="1200">
              <a:solidFill>
                <a:schemeClr val="dk1"/>
              </a:solidFill>
              <a:effectLst/>
              <a:latin typeface="Garamond" panose="02020404030301010803" pitchFamily="18" charset="0"/>
              <a:ea typeface="+mn-ea"/>
              <a:cs typeface="+mn-cs"/>
            </a:rPr>
            <a:t> </a:t>
          </a:r>
          <a:endParaRPr lang="en-US" sz="1800">
            <a:solidFill>
              <a:schemeClr val="dk1"/>
            </a:solidFill>
            <a:effectLst/>
            <a:latin typeface="Garamond" panose="02020404030301010803" pitchFamily="18" charset="0"/>
            <a:ea typeface="+mn-ea"/>
            <a:cs typeface="+mn-cs"/>
          </a:endParaRPr>
        </a:p>
        <a:p>
          <a:r>
            <a:rPr lang="en-US" sz="1200" b="1" u="sng">
              <a:solidFill>
                <a:schemeClr val="dk1"/>
              </a:solidFill>
              <a:effectLst/>
              <a:latin typeface="Garamond" panose="02020404030301010803" pitchFamily="18" charset="0"/>
              <a:ea typeface="+mn-ea"/>
              <a:cs typeface="+mn-cs"/>
            </a:rPr>
            <a:t>Owner Furnished vs. Contractor Furnished Material Designation</a:t>
          </a:r>
          <a:endParaRPr lang="en-US" sz="1800">
            <a:solidFill>
              <a:schemeClr val="dk1"/>
            </a:solidFill>
            <a:effectLst/>
            <a:latin typeface="Garamond" panose="02020404030301010803" pitchFamily="18" charset="0"/>
            <a:ea typeface="+mn-ea"/>
            <a:cs typeface="+mn-cs"/>
          </a:endParaRPr>
        </a:p>
        <a:p>
          <a:r>
            <a:rPr lang="en-US" sz="1200">
              <a:solidFill>
                <a:schemeClr val="dk1"/>
              </a:solidFill>
              <a:effectLst/>
              <a:latin typeface="Garamond" panose="02020404030301010803" pitchFamily="18" charset="0"/>
              <a:ea typeface="+mn-ea"/>
              <a:cs typeface="+mn-cs"/>
            </a:rPr>
            <a:t>Throughout this agreement the acronyms below will be used to designate the responsibility of materials procurement responsibilities:</a:t>
          </a:r>
          <a:endParaRPr lang="en-US" sz="1800">
            <a:solidFill>
              <a:schemeClr val="dk1"/>
            </a:solidFill>
            <a:effectLst/>
            <a:latin typeface="Garamond" panose="02020404030301010803" pitchFamily="18" charset="0"/>
            <a:ea typeface="+mn-ea"/>
            <a:cs typeface="+mn-cs"/>
          </a:endParaRPr>
        </a:p>
        <a:p>
          <a:r>
            <a:rPr lang="en-US" sz="1200">
              <a:solidFill>
                <a:schemeClr val="dk1"/>
              </a:solidFill>
              <a:effectLst/>
              <a:latin typeface="Garamond" panose="02020404030301010803" pitchFamily="18" charset="0"/>
              <a:ea typeface="+mn-ea"/>
              <a:cs typeface="+mn-cs"/>
            </a:rPr>
            <a:t> </a:t>
          </a:r>
          <a:endParaRPr lang="en-US" sz="1800">
            <a:solidFill>
              <a:schemeClr val="dk1"/>
            </a:solidFill>
            <a:effectLst/>
            <a:latin typeface="Garamond" panose="02020404030301010803" pitchFamily="18" charset="0"/>
            <a:ea typeface="+mn-ea"/>
            <a:cs typeface="+mn-cs"/>
          </a:endParaRPr>
        </a:p>
        <a:p>
          <a:pPr lvl="1"/>
          <a:r>
            <a:rPr lang="en-US" sz="1200" b="1">
              <a:solidFill>
                <a:schemeClr val="dk1"/>
              </a:solidFill>
              <a:effectLst/>
              <a:latin typeface="Garamond" panose="02020404030301010803" pitchFamily="18" charset="0"/>
              <a:ea typeface="+mn-ea"/>
              <a:cs typeface="+mn-cs"/>
            </a:rPr>
            <a:t>	OFCI</a:t>
          </a:r>
          <a:r>
            <a:rPr lang="en-US" sz="1200">
              <a:solidFill>
                <a:schemeClr val="dk1"/>
              </a:solidFill>
              <a:effectLst/>
              <a:latin typeface="Garamond" panose="02020404030301010803" pitchFamily="18" charset="0"/>
              <a:ea typeface="+mn-ea"/>
              <a:cs typeface="+mn-cs"/>
            </a:rPr>
            <a:t> – Owner Furnished, Contractor Installed.</a:t>
          </a:r>
          <a:endParaRPr lang="en-US" sz="1800">
            <a:solidFill>
              <a:schemeClr val="dk1"/>
            </a:solidFill>
            <a:effectLst/>
            <a:latin typeface="Garamond" panose="02020404030301010803" pitchFamily="18" charset="0"/>
            <a:ea typeface="+mn-ea"/>
            <a:cs typeface="+mn-cs"/>
          </a:endParaRPr>
        </a:p>
        <a:p>
          <a:pPr lvl="0"/>
          <a:r>
            <a:rPr lang="en-US" sz="1200" b="1">
              <a:solidFill>
                <a:schemeClr val="dk1"/>
              </a:solidFill>
              <a:effectLst/>
              <a:latin typeface="Garamond" panose="02020404030301010803" pitchFamily="18" charset="0"/>
              <a:ea typeface="+mn-ea"/>
              <a:cs typeface="+mn-cs"/>
            </a:rPr>
            <a:t>	CFCI</a:t>
          </a:r>
          <a:r>
            <a:rPr lang="en-US" sz="1200">
              <a:solidFill>
                <a:schemeClr val="dk1"/>
              </a:solidFill>
              <a:effectLst/>
              <a:latin typeface="Garamond" panose="02020404030301010803" pitchFamily="18" charset="0"/>
              <a:ea typeface="+mn-ea"/>
              <a:cs typeface="+mn-cs"/>
            </a:rPr>
            <a:t> – Contractor Furnished, Contractor Installed.</a:t>
          </a:r>
          <a:endParaRPr lang="en-US" sz="1800">
            <a:solidFill>
              <a:schemeClr val="dk1"/>
            </a:solidFill>
            <a:effectLst/>
            <a:latin typeface="Garamond" panose="02020404030301010803" pitchFamily="18" charset="0"/>
            <a:ea typeface="+mn-ea"/>
            <a:cs typeface="+mn-cs"/>
          </a:endParaRPr>
        </a:p>
        <a:p>
          <a:pPr algn="ctr"/>
          <a:endParaRPr lang="en-US" sz="1600" b="1">
            <a:solidFill>
              <a:schemeClr val="accent1"/>
            </a:solidFill>
            <a:latin typeface="Garamond" panose="02020404030301010803" pitchFamily="18" charset="0"/>
          </a:endParaRPr>
        </a:p>
      </xdr:txBody>
    </xdr:sp>
    <xdr:clientData/>
  </xdr:twoCellAnchor>
  <xdr:twoCellAnchor>
    <xdr:from>
      <xdr:col>5</xdr:col>
      <xdr:colOff>32657</xdr:colOff>
      <xdr:row>3</xdr:row>
      <xdr:rowOff>68580</xdr:rowOff>
    </xdr:from>
    <xdr:to>
      <xdr:col>20</xdr:col>
      <xdr:colOff>457200</xdr:colOff>
      <xdr:row>8</xdr:row>
      <xdr:rowOff>217715</xdr:rowOff>
    </xdr:to>
    <xdr:sp macro="" textlink="">
      <xdr:nvSpPr>
        <xdr:cNvPr id="3" name="TextBox 2">
          <a:extLst>
            <a:ext uri="{FF2B5EF4-FFF2-40B4-BE49-F238E27FC236}">
              <a16:creationId xmlns:a16="http://schemas.microsoft.com/office/drawing/2014/main" id="{00000000-0008-0000-2B00-000003000000}"/>
            </a:ext>
          </a:extLst>
        </xdr:cNvPr>
        <xdr:cNvSpPr txBox="1"/>
      </xdr:nvSpPr>
      <xdr:spPr>
        <a:xfrm>
          <a:off x="4475117" y="1318260"/>
          <a:ext cx="7907383" cy="1292135"/>
        </a:xfrm>
        <a:prstGeom prst="rect">
          <a:avLst/>
        </a:prstGeom>
        <a:solidFill>
          <a:schemeClr val="accent5">
            <a:lumMod val="20000"/>
            <a:lumOff val="80000"/>
          </a:schemeClr>
        </a:solidFill>
        <a:ln w="28575" cmpd="sng">
          <a:solidFill>
            <a:srgbClr val="398CCC"/>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US" sz="1200" b="0" i="0">
              <a:solidFill>
                <a:schemeClr val="tx1">
                  <a:lumMod val="75000"/>
                  <a:lumOff val="25000"/>
                </a:schemeClr>
              </a:solidFill>
              <a:latin typeface="Calibri Light" panose="020F0302020204030204" pitchFamily="34" charset="0"/>
              <a:cs typeface="Calibri Light" panose="020F0302020204030204" pitchFamily="34" charset="0"/>
            </a:rPr>
            <a:t>The Scope of Work</a:t>
          </a:r>
          <a:r>
            <a:rPr lang="en-US" sz="1200" b="0" i="0" baseline="0">
              <a:solidFill>
                <a:schemeClr val="tx1">
                  <a:lumMod val="75000"/>
                  <a:lumOff val="25000"/>
                </a:schemeClr>
              </a:solidFill>
              <a:latin typeface="Calibri Light" panose="020F0302020204030204" pitchFamily="34" charset="0"/>
              <a:cs typeface="Calibri Light" panose="020F0302020204030204" pitchFamily="34" charset="0"/>
            </a:rPr>
            <a:t> report creates a detailed Scope of Work that you can use to solicit Contractor Proposals for your project.  The Scope of Work report feeds directly from your Repair Cost Bugdet so you can quickly create a basic Scope of Work and solicit Contractor Proposals for the project.</a:t>
          </a:r>
        </a:p>
        <a:p>
          <a:pPr lvl="0" algn="l"/>
          <a:endParaRPr lang="en-US" sz="1200" b="0" i="0" baseline="0">
            <a:solidFill>
              <a:schemeClr val="tx1">
                <a:lumMod val="75000"/>
                <a:lumOff val="25000"/>
              </a:schemeClr>
            </a:solidFill>
            <a:latin typeface="Calibri Light" panose="020F0302020204030204" pitchFamily="34" charset="0"/>
            <a:cs typeface="Calibri Light" panose="020F0302020204030204" pitchFamily="34" charset="0"/>
          </a:endParaRPr>
        </a:p>
        <a:p>
          <a:pPr lvl="0" algn="l"/>
          <a:endParaRPr lang="en-US" sz="1200" b="0" i="0">
            <a:solidFill>
              <a:schemeClr val="tx1">
                <a:lumMod val="75000"/>
                <a:lumOff val="25000"/>
              </a:schemeClr>
            </a:solidFill>
            <a:latin typeface="Calibri Light" panose="020F0302020204030204" pitchFamily="34" charset="0"/>
            <a:cs typeface="Calibri Light" panose="020F0302020204030204" pitchFamily="34" charset="0"/>
          </a:endParaRPr>
        </a:p>
      </xdr:txBody>
    </xdr:sp>
    <xdr:clientData/>
  </xdr:twoCellAnchor>
  <xdr:twoCellAnchor>
    <xdr:from>
      <xdr:col>20</xdr:col>
      <xdr:colOff>183151</xdr:colOff>
      <xdr:row>3</xdr:row>
      <xdr:rowOff>78380</xdr:rowOff>
    </xdr:from>
    <xdr:to>
      <xdr:col>20</xdr:col>
      <xdr:colOff>457471</xdr:colOff>
      <xdr:row>4</xdr:row>
      <xdr:rowOff>86000</xdr:rowOff>
    </xdr:to>
    <xdr:pic macro="[0]!Hide_Scope_of_Work_Help">
      <xdr:nvPicPr>
        <xdr:cNvPr id="18" name="Getting_Started_Close_Icon">
          <a:extLst>
            <a:ext uri="{FF2B5EF4-FFF2-40B4-BE49-F238E27FC236}">
              <a16:creationId xmlns:a16="http://schemas.microsoft.com/office/drawing/2014/main" id="{00000000-0008-0000-2B00-000012000000}"/>
            </a:ext>
          </a:extLst>
        </xdr:cNvPr>
        <xdr:cNvPicPr>
          <a:picLocks/>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2108451" y="1328060"/>
          <a:ext cx="274320" cy="236220"/>
        </a:xfrm>
        <a:prstGeom prst="rect">
          <a:avLst/>
        </a:prstGeom>
      </xdr:spPr>
    </xdr:pic>
    <xdr:clientData/>
  </xdr:twoCellAnchor>
  <xdr:twoCellAnchor>
    <xdr:from>
      <xdr:col>11</xdr:col>
      <xdr:colOff>432740</xdr:colOff>
      <xdr:row>6</xdr:row>
      <xdr:rowOff>148586</xdr:rowOff>
    </xdr:from>
    <xdr:to>
      <xdr:col>12</xdr:col>
      <xdr:colOff>356540</xdr:colOff>
      <xdr:row>8</xdr:row>
      <xdr:rowOff>61501</xdr:rowOff>
    </xdr:to>
    <xdr:pic>
      <xdr:nvPicPr>
        <xdr:cNvPr id="20" name="Picture 19">
          <a:hlinkClick xmlns:r="http://schemas.openxmlformats.org/officeDocument/2006/relationships" r:id="rId3"/>
          <a:extLst>
            <a:ext uri="{FF2B5EF4-FFF2-40B4-BE49-F238E27FC236}">
              <a16:creationId xmlns:a16="http://schemas.microsoft.com/office/drawing/2014/main" id="{00000000-0008-0000-2B00-000014000000}"/>
            </a:ext>
          </a:extLst>
        </xdr:cNvPr>
        <xdr:cNvPicPr>
          <a:picLocks/>
        </xdr:cNvPicPr>
      </xdr:nvPicPr>
      <xdr:blipFill>
        <a:blip xmlns:r="http://schemas.openxmlformats.org/officeDocument/2006/relationships" r:embed="rId4"/>
        <a:stretch>
          <a:fillRect/>
        </a:stretch>
      </xdr:blipFill>
      <xdr:spPr>
        <a:xfrm>
          <a:off x="7816520" y="2084066"/>
          <a:ext cx="457200" cy="370115"/>
        </a:xfrm>
        <a:prstGeom prst="rect">
          <a:avLst/>
        </a:prstGeom>
      </xdr:spPr>
    </xdr:pic>
    <xdr:clientData/>
  </xdr:twoCellAnchor>
  <xdr:twoCellAnchor>
    <xdr:from>
      <xdr:col>12</xdr:col>
      <xdr:colOff>461314</xdr:colOff>
      <xdr:row>6</xdr:row>
      <xdr:rowOff>192945</xdr:rowOff>
    </xdr:from>
    <xdr:to>
      <xdr:col>17</xdr:col>
      <xdr:colOff>271599</xdr:colOff>
      <xdr:row>7</xdr:row>
      <xdr:rowOff>206451</xdr:rowOff>
    </xdr:to>
    <xdr:sp macro="" textlink="">
      <xdr:nvSpPr>
        <xdr:cNvPr id="22" name="Rectangle 21">
          <a:hlinkClick xmlns:r="http://schemas.openxmlformats.org/officeDocument/2006/relationships" r:id="rId3"/>
          <a:extLst>
            <a:ext uri="{FF2B5EF4-FFF2-40B4-BE49-F238E27FC236}">
              <a16:creationId xmlns:a16="http://schemas.microsoft.com/office/drawing/2014/main" id="{00000000-0008-0000-2B00-000016000000}"/>
            </a:ext>
          </a:extLst>
        </xdr:cNvPr>
        <xdr:cNvSpPr/>
      </xdr:nvSpPr>
      <xdr:spPr>
        <a:xfrm>
          <a:off x="8364343" y="2228574"/>
          <a:ext cx="2216027" cy="285648"/>
        </a:xfrm>
        <a:prstGeom prst="rect">
          <a:avLst/>
        </a:prstGeom>
        <a:noFill/>
        <a:ln>
          <a:noFill/>
        </a:ln>
        <a:effectLst/>
      </xdr:spPr>
      <xdr:txBody>
        <a:bodyPr vertOverflow="clip" horzOverflow="clip" wrap="square" lIns="91440" tIns="45720" rIns="91440" bIns="45720" rtlCol="0" anchor="t">
          <a:spAutoFit/>
        </a:bodyPr>
        <a:lstStyle/>
        <a:p>
          <a:pPr algn="l"/>
          <a:r>
            <a:rPr lang="en-US" sz="1200" b="0" i="1" u="sng" cap="none" spc="0">
              <a:ln w="0">
                <a:noFill/>
              </a:ln>
              <a:solidFill>
                <a:srgbClr val="398CCC"/>
              </a:solidFill>
              <a:effectLst/>
              <a:latin typeface="Calibri Light" panose="020F0302020204030204" pitchFamily="34" charset="0"/>
              <a:cs typeface="Calibri Light" panose="020F0302020204030204" pitchFamily="34" charset="0"/>
            </a:rPr>
            <a:t>Scope of Work Report Tutorial</a:t>
          </a:r>
        </a:p>
      </xdr:txBody>
    </xdr:sp>
    <xdr:clientData/>
  </xdr:twoCellAnchor>
  <xdr:twoCellAnchor editAs="absolute">
    <xdr:from>
      <xdr:col>20</xdr:col>
      <xdr:colOff>343540</xdr:colOff>
      <xdr:row>0</xdr:row>
      <xdr:rowOff>143944</xdr:rowOff>
    </xdr:from>
    <xdr:to>
      <xdr:col>21</xdr:col>
      <xdr:colOff>77986</xdr:colOff>
      <xdr:row>0</xdr:row>
      <xdr:rowOff>417407</xdr:rowOff>
    </xdr:to>
    <xdr:pic macro="[0]!Hide_Scope_of_Work_Builder">
      <xdr:nvPicPr>
        <xdr:cNvPr id="19" name="Picture 18">
          <a:extLst>
            <a:ext uri="{FF2B5EF4-FFF2-40B4-BE49-F238E27FC236}">
              <a16:creationId xmlns:a16="http://schemas.microsoft.com/office/drawing/2014/main" id="{409F8B54-BCEE-4F7C-9D49-2EF5D367E399}"/>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2487915" y="141826"/>
          <a:ext cx="267846" cy="275581"/>
        </a:xfrm>
        <a:prstGeom prst="rect">
          <a:avLst/>
        </a:prstGeom>
      </xdr:spPr>
    </xdr:pic>
    <xdr:clientData/>
  </xdr:twoCellAnchor>
  <xdr:twoCellAnchor>
    <xdr:from>
      <xdr:col>21</xdr:col>
      <xdr:colOff>44821</xdr:colOff>
      <xdr:row>13</xdr:row>
      <xdr:rowOff>188705</xdr:rowOff>
    </xdr:from>
    <xdr:to>
      <xdr:col>21</xdr:col>
      <xdr:colOff>319141</xdr:colOff>
      <xdr:row>15</xdr:row>
      <xdr:rowOff>5825</xdr:rowOff>
    </xdr:to>
    <xdr:sp macro="[0]!Hide_Blank_Rows" textlink="">
      <xdr:nvSpPr>
        <xdr:cNvPr id="4" name="Rectangle 3">
          <a:extLst>
            <a:ext uri="{FF2B5EF4-FFF2-40B4-BE49-F238E27FC236}">
              <a16:creationId xmlns:a16="http://schemas.microsoft.com/office/drawing/2014/main" id="{D6B107E6-A525-444A-9E60-A38AF384749C}"/>
            </a:ext>
          </a:extLst>
        </xdr:cNvPr>
        <xdr:cNvSpPr>
          <a:spLocks noChangeAspect="1"/>
        </xdr:cNvSpPr>
      </xdr:nvSpPr>
      <xdr:spPr>
        <a:xfrm>
          <a:off x="12503521" y="3732005"/>
          <a:ext cx="274320" cy="274320"/>
        </a:xfrm>
        <a:prstGeom prst="rect">
          <a:avLst/>
        </a:prstGeom>
        <a:noFill/>
        <a:ln>
          <a:solidFill>
            <a:schemeClr val="bg1">
              <a:lumMod val="75000"/>
            </a:schemeClr>
          </a:solid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21</xdr:col>
      <xdr:colOff>44822</xdr:colOff>
      <xdr:row>11</xdr:row>
      <xdr:rowOff>214256</xdr:rowOff>
    </xdr:from>
    <xdr:to>
      <xdr:col>21</xdr:col>
      <xdr:colOff>319142</xdr:colOff>
      <xdr:row>13</xdr:row>
      <xdr:rowOff>31376</xdr:rowOff>
    </xdr:to>
    <xdr:sp macro="[0]!Show_All_Scope_of_Work_Rows" textlink="">
      <xdr:nvSpPr>
        <xdr:cNvPr id="21" name="Rectangle 20">
          <a:extLst>
            <a:ext uri="{FF2B5EF4-FFF2-40B4-BE49-F238E27FC236}">
              <a16:creationId xmlns:a16="http://schemas.microsoft.com/office/drawing/2014/main" id="{2F5FDBDB-C407-46FC-AC69-15B2934FDD9E}"/>
            </a:ext>
          </a:extLst>
        </xdr:cNvPr>
        <xdr:cNvSpPr>
          <a:spLocks noChangeAspect="1"/>
        </xdr:cNvSpPr>
      </xdr:nvSpPr>
      <xdr:spPr>
        <a:xfrm>
          <a:off x="12503522" y="3300356"/>
          <a:ext cx="274320" cy="274320"/>
        </a:xfrm>
        <a:prstGeom prst="rect">
          <a:avLst/>
        </a:prstGeom>
        <a:noFill/>
        <a:ln>
          <a:solidFill>
            <a:schemeClr val="bg1">
              <a:lumMod val="75000"/>
            </a:schemeClr>
          </a:solidFill>
        </a:ln>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7620</xdr:colOff>
      <xdr:row>13</xdr:row>
      <xdr:rowOff>0</xdr:rowOff>
    </xdr:from>
    <xdr:to>
      <xdr:col>4</xdr:col>
      <xdr:colOff>1591</xdr:colOff>
      <xdr:row>14</xdr:row>
      <xdr:rowOff>5379</xdr:rowOff>
    </xdr:to>
    <xdr:pic macro="[0]!Scope_of_Work_Report_Scope3_Hide">
      <xdr:nvPicPr>
        <xdr:cNvPr id="25" name="Scope_Check3">
          <a:extLst>
            <a:ext uri="{FF2B5EF4-FFF2-40B4-BE49-F238E27FC236}">
              <a16:creationId xmlns:a16="http://schemas.microsoft.com/office/drawing/2014/main" id="{0501FFE3-2B48-4F0F-981B-212E5F67CDD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642360" y="3939540"/>
          <a:ext cx="268291" cy="272079"/>
        </a:xfrm>
        <a:prstGeom prst="rect">
          <a:avLst/>
        </a:prstGeom>
      </xdr:spPr>
    </xdr:pic>
    <xdr:clientData/>
  </xdr:twoCellAnchor>
  <xdr:twoCellAnchor>
    <xdr:from>
      <xdr:col>3</xdr:col>
      <xdr:colOff>7620</xdr:colOff>
      <xdr:row>14</xdr:row>
      <xdr:rowOff>0</xdr:rowOff>
    </xdr:from>
    <xdr:to>
      <xdr:col>4</xdr:col>
      <xdr:colOff>1591</xdr:colOff>
      <xdr:row>15</xdr:row>
      <xdr:rowOff>5379</xdr:rowOff>
    </xdr:to>
    <xdr:pic macro="[0]!Scope_of_Work_Report_Scope4_Hide">
      <xdr:nvPicPr>
        <xdr:cNvPr id="26" name="Scope_Check4">
          <a:extLst>
            <a:ext uri="{FF2B5EF4-FFF2-40B4-BE49-F238E27FC236}">
              <a16:creationId xmlns:a16="http://schemas.microsoft.com/office/drawing/2014/main" id="{4E60428A-BE0B-45A6-AF3C-0F3FFBFD8BA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642360" y="4206240"/>
          <a:ext cx="268291" cy="272079"/>
        </a:xfrm>
        <a:prstGeom prst="rect">
          <a:avLst/>
        </a:prstGeom>
      </xdr:spPr>
    </xdr:pic>
    <xdr:clientData/>
  </xdr:twoCellAnchor>
  <xdr:twoCellAnchor>
    <xdr:from>
      <xdr:col>3</xdr:col>
      <xdr:colOff>7620</xdr:colOff>
      <xdr:row>15</xdr:row>
      <xdr:rowOff>0</xdr:rowOff>
    </xdr:from>
    <xdr:to>
      <xdr:col>4</xdr:col>
      <xdr:colOff>1591</xdr:colOff>
      <xdr:row>16</xdr:row>
      <xdr:rowOff>5379</xdr:rowOff>
    </xdr:to>
    <xdr:pic macro="[0]!Scope_of_Work_Report_Scope5_Hide">
      <xdr:nvPicPr>
        <xdr:cNvPr id="27" name="Scope_Check5">
          <a:extLst>
            <a:ext uri="{FF2B5EF4-FFF2-40B4-BE49-F238E27FC236}">
              <a16:creationId xmlns:a16="http://schemas.microsoft.com/office/drawing/2014/main" id="{3DF5E9D8-AB06-407D-B54A-617A20252AB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642360" y="4472940"/>
          <a:ext cx="268291" cy="272079"/>
        </a:xfrm>
        <a:prstGeom prst="rect">
          <a:avLst/>
        </a:prstGeom>
      </xdr:spPr>
    </xdr:pic>
    <xdr:clientData/>
  </xdr:twoCellAnchor>
  <xdr:twoCellAnchor>
    <xdr:from>
      <xdr:col>3</xdr:col>
      <xdr:colOff>7620</xdr:colOff>
      <xdr:row>16</xdr:row>
      <xdr:rowOff>0</xdr:rowOff>
    </xdr:from>
    <xdr:to>
      <xdr:col>4</xdr:col>
      <xdr:colOff>1591</xdr:colOff>
      <xdr:row>17</xdr:row>
      <xdr:rowOff>5379</xdr:rowOff>
    </xdr:to>
    <xdr:pic macro="[0]!Scope_of_Work_Report_Scope6_Hide">
      <xdr:nvPicPr>
        <xdr:cNvPr id="28" name="Scope_Check6">
          <a:extLst>
            <a:ext uri="{FF2B5EF4-FFF2-40B4-BE49-F238E27FC236}">
              <a16:creationId xmlns:a16="http://schemas.microsoft.com/office/drawing/2014/main" id="{0B1DF242-A449-464A-BF0A-3FEA019B2C2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642360" y="4739640"/>
          <a:ext cx="268291" cy="272079"/>
        </a:xfrm>
        <a:prstGeom prst="rect">
          <a:avLst/>
        </a:prstGeom>
      </xdr:spPr>
    </xdr:pic>
    <xdr:clientData/>
  </xdr:twoCellAnchor>
  <xdr:twoCellAnchor>
    <xdr:from>
      <xdr:col>3</xdr:col>
      <xdr:colOff>7620</xdr:colOff>
      <xdr:row>17</xdr:row>
      <xdr:rowOff>0</xdr:rowOff>
    </xdr:from>
    <xdr:to>
      <xdr:col>4</xdr:col>
      <xdr:colOff>1591</xdr:colOff>
      <xdr:row>18</xdr:row>
      <xdr:rowOff>5379</xdr:rowOff>
    </xdr:to>
    <xdr:pic macro="[0]!Scope_of_Work_Report_Scope7_Hide">
      <xdr:nvPicPr>
        <xdr:cNvPr id="29" name="Scope_Check7">
          <a:extLst>
            <a:ext uri="{FF2B5EF4-FFF2-40B4-BE49-F238E27FC236}">
              <a16:creationId xmlns:a16="http://schemas.microsoft.com/office/drawing/2014/main" id="{CBB65685-8CF3-44C2-9640-8CF8F239098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642360" y="5006340"/>
          <a:ext cx="268291" cy="272079"/>
        </a:xfrm>
        <a:prstGeom prst="rect">
          <a:avLst/>
        </a:prstGeom>
      </xdr:spPr>
    </xdr:pic>
    <xdr:clientData/>
  </xdr:twoCellAnchor>
  <xdr:twoCellAnchor>
    <xdr:from>
      <xdr:col>3</xdr:col>
      <xdr:colOff>7620</xdr:colOff>
      <xdr:row>18</xdr:row>
      <xdr:rowOff>0</xdr:rowOff>
    </xdr:from>
    <xdr:to>
      <xdr:col>4</xdr:col>
      <xdr:colOff>1591</xdr:colOff>
      <xdr:row>19</xdr:row>
      <xdr:rowOff>5379</xdr:rowOff>
    </xdr:to>
    <xdr:pic macro="[0]!Scope_of_Work_Report_Scope8_Hide">
      <xdr:nvPicPr>
        <xdr:cNvPr id="30" name="Scope_Check8">
          <a:extLst>
            <a:ext uri="{FF2B5EF4-FFF2-40B4-BE49-F238E27FC236}">
              <a16:creationId xmlns:a16="http://schemas.microsoft.com/office/drawing/2014/main" id="{E61C5F8F-9003-43AF-99CC-7D9DA68CB2F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642360" y="5273040"/>
          <a:ext cx="268291" cy="272079"/>
        </a:xfrm>
        <a:prstGeom prst="rect">
          <a:avLst/>
        </a:prstGeom>
      </xdr:spPr>
    </xdr:pic>
    <xdr:clientData/>
  </xdr:twoCellAnchor>
  <xdr:twoCellAnchor>
    <xdr:from>
      <xdr:col>8</xdr:col>
      <xdr:colOff>7620</xdr:colOff>
      <xdr:row>11</xdr:row>
      <xdr:rowOff>0</xdr:rowOff>
    </xdr:from>
    <xdr:to>
      <xdr:col>9</xdr:col>
      <xdr:colOff>1591</xdr:colOff>
      <xdr:row>12</xdr:row>
      <xdr:rowOff>5379</xdr:rowOff>
    </xdr:to>
    <xdr:pic macro="[0]!Scope_of_Work_Report_Scope9_Hide">
      <xdr:nvPicPr>
        <xdr:cNvPr id="31" name="Scope_Check9">
          <a:extLst>
            <a:ext uri="{FF2B5EF4-FFF2-40B4-BE49-F238E27FC236}">
              <a16:creationId xmlns:a16="http://schemas.microsoft.com/office/drawing/2014/main" id="{57BC7071-4996-4FF1-B7D4-3AD36363DDF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50280" y="3406140"/>
          <a:ext cx="268291" cy="272079"/>
        </a:xfrm>
        <a:prstGeom prst="rect">
          <a:avLst/>
        </a:prstGeom>
      </xdr:spPr>
    </xdr:pic>
    <xdr:clientData/>
  </xdr:twoCellAnchor>
  <xdr:twoCellAnchor>
    <xdr:from>
      <xdr:col>8</xdr:col>
      <xdr:colOff>7620</xdr:colOff>
      <xdr:row>12</xdr:row>
      <xdr:rowOff>0</xdr:rowOff>
    </xdr:from>
    <xdr:to>
      <xdr:col>9</xdr:col>
      <xdr:colOff>1591</xdr:colOff>
      <xdr:row>13</xdr:row>
      <xdr:rowOff>5379</xdr:rowOff>
    </xdr:to>
    <xdr:pic macro="[0]!Scope_of_Work_Report_Scope10_Hide">
      <xdr:nvPicPr>
        <xdr:cNvPr id="32" name="Scope_Check10">
          <a:extLst>
            <a:ext uri="{FF2B5EF4-FFF2-40B4-BE49-F238E27FC236}">
              <a16:creationId xmlns:a16="http://schemas.microsoft.com/office/drawing/2014/main" id="{9F7BF362-4A74-48C7-AEBF-D2F64525F9A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50280" y="3672840"/>
          <a:ext cx="268291" cy="272079"/>
        </a:xfrm>
        <a:prstGeom prst="rect">
          <a:avLst/>
        </a:prstGeom>
      </xdr:spPr>
    </xdr:pic>
    <xdr:clientData/>
  </xdr:twoCellAnchor>
  <xdr:twoCellAnchor>
    <xdr:from>
      <xdr:col>8</xdr:col>
      <xdr:colOff>7620</xdr:colOff>
      <xdr:row>13</xdr:row>
      <xdr:rowOff>0</xdr:rowOff>
    </xdr:from>
    <xdr:to>
      <xdr:col>9</xdr:col>
      <xdr:colOff>1591</xdr:colOff>
      <xdr:row>14</xdr:row>
      <xdr:rowOff>5379</xdr:rowOff>
    </xdr:to>
    <xdr:pic macro="[0]!Scope_of_Work_Report_Scope11_Hide">
      <xdr:nvPicPr>
        <xdr:cNvPr id="33" name="Scope_Check11">
          <a:extLst>
            <a:ext uri="{FF2B5EF4-FFF2-40B4-BE49-F238E27FC236}">
              <a16:creationId xmlns:a16="http://schemas.microsoft.com/office/drawing/2014/main" id="{8673BBD4-71D9-400D-9C28-6A3F73C636D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50280" y="3939540"/>
          <a:ext cx="268291" cy="272079"/>
        </a:xfrm>
        <a:prstGeom prst="rect">
          <a:avLst/>
        </a:prstGeom>
      </xdr:spPr>
    </xdr:pic>
    <xdr:clientData/>
  </xdr:twoCellAnchor>
  <xdr:twoCellAnchor>
    <xdr:from>
      <xdr:col>8</xdr:col>
      <xdr:colOff>7620</xdr:colOff>
      <xdr:row>15</xdr:row>
      <xdr:rowOff>0</xdr:rowOff>
    </xdr:from>
    <xdr:to>
      <xdr:col>9</xdr:col>
      <xdr:colOff>1591</xdr:colOff>
      <xdr:row>16</xdr:row>
      <xdr:rowOff>5379</xdr:rowOff>
    </xdr:to>
    <xdr:pic macro="[0]!Scope_of_Work_Report_Scope13_Hide">
      <xdr:nvPicPr>
        <xdr:cNvPr id="35" name="Scope_Check13">
          <a:extLst>
            <a:ext uri="{FF2B5EF4-FFF2-40B4-BE49-F238E27FC236}">
              <a16:creationId xmlns:a16="http://schemas.microsoft.com/office/drawing/2014/main" id="{C1A05948-F3F7-44DA-AC52-E79D3551A94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50280" y="4472940"/>
          <a:ext cx="268291" cy="272079"/>
        </a:xfrm>
        <a:prstGeom prst="rect">
          <a:avLst/>
        </a:prstGeom>
      </xdr:spPr>
    </xdr:pic>
    <xdr:clientData/>
  </xdr:twoCellAnchor>
  <xdr:twoCellAnchor>
    <xdr:from>
      <xdr:col>8</xdr:col>
      <xdr:colOff>7620</xdr:colOff>
      <xdr:row>16</xdr:row>
      <xdr:rowOff>0</xdr:rowOff>
    </xdr:from>
    <xdr:to>
      <xdr:col>9</xdr:col>
      <xdr:colOff>1591</xdr:colOff>
      <xdr:row>17</xdr:row>
      <xdr:rowOff>5379</xdr:rowOff>
    </xdr:to>
    <xdr:pic macro="[0]!Scope_of_Work_Report_Scope14_Hide">
      <xdr:nvPicPr>
        <xdr:cNvPr id="36" name="Scope_Check14">
          <a:extLst>
            <a:ext uri="{FF2B5EF4-FFF2-40B4-BE49-F238E27FC236}">
              <a16:creationId xmlns:a16="http://schemas.microsoft.com/office/drawing/2014/main" id="{A1DE67F3-1D10-4721-A053-1086DDBD928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50280" y="4739640"/>
          <a:ext cx="268291" cy="272079"/>
        </a:xfrm>
        <a:prstGeom prst="rect">
          <a:avLst/>
        </a:prstGeom>
      </xdr:spPr>
    </xdr:pic>
    <xdr:clientData/>
  </xdr:twoCellAnchor>
  <xdr:twoCellAnchor>
    <xdr:from>
      <xdr:col>8</xdr:col>
      <xdr:colOff>7620</xdr:colOff>
      <xdr:row>17</xdr:row>
      <xdr:rowOff>0</xdr:rowOff>
    </xdr:from>
    <xdr:to>
      <xdr:col>9</xdr:col>
      <xdr:colOff>1591</xdr:colOff>
      <xdr:row>18</xdr:row>
      <xdr:rowOff>5379</xdr:rowOff>
    </xdr:to>
    <xdr:pic macro="[0]!Scope_of_Work_Report_Scope15_Hide">
      <xdr:nvPicPr>
        <xdr:cNvPr id="37" name="Scope_Check15">
          <a:extLst>
            <a:ext uri="{FF2B5EF4-FFF2-40B4-BE49-F238E27FC236}">
              <a16:creationId xmlns:a16="http://schemas.microsoft.com/office/drawing/2014/main" id="{30D1F2EE-D71E-477A-8AEE-9059E82A99D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50280" y="5006340"/>
          <a:ext cx="268291" cy="272079"/>
        </a:xfrm>
        <a:prstGeom prst="rect">
          <a:avLst/>
        </a:prstGeom>
      </xdr:spPr>
    </xdr:pic>
    <xdr:clientData/>
  </xdr:twoCellAnchor>
  <xdr:twoCellAnchor>
    <xdr:from>
      <xdr:col>8</xdr:col>
      <xdr:colOff>7620</xdr:colOff>
      <xdr:row>18</xdr:row>
      <xdr:rowOff>0</xdr:rowOff>
    </xdr:from>
    <xdr:to>
      <xdr:col>9</xdr:col>
      <xdr:colOff>1591</xdr:colOff>
      <xdr:row>19</xdr:row>
      <xdr:rowOff>5379</xdr:rowOff>
    </xdr:to>
    <xdr:pic macro="[0]!Scope_of_Work_Report_Scope16_Hide">
      <xdr:nvPicPr>
        <xdr:cNvPr id="38" name="Scope_Check16">
          <a:extLst>
            <a:ext uri="{FF2B5EF4-FFF2-40B4-BE49-F238E27FC236}">
              <a16:creationId xmlns:a16="http://schemas.microsoft.com/office/drawing/2014/main" id="{72077219-4EE0-415E-9D45-FF66B5A12DE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50280" y="5273040"/>
          <a:ext cx="268291" cy="272079"/>
        </a:xfrm>
        <a:prstGeom prst="rect">
          <a:avLst/>
        </a:prstGeom>
      </xdr:spPr>
    </xdr:pic>
    <xdr:clientData/>
  </xdr:twoCellAnchor>
  <xdr:twoCellAnchor>
    <xdr:from>
      <xdr:col>13</xdr:col>
      <xdr:colOff>7620</xdr:colOff>
      <xdr:row>11</xdr:row>
      <xdr:rowOff>0</xdr:rowOff>
    </xdr:from>
    <xdr:to>
      <xdr:col>14</xdr:col>
      <xdr:colOff>1591</xdr:colOff>
      <xdr:row>12</xdr:row>
      <xdr:rowOff>5379</xdr:rowOff>
    </xdr:to>
    <xdr:pic macro="[0]!Scope_of_Work_Report_Scope17_Hide">
      <xdr:nvPicPr>
        <xdr:cNvPr id="39" name="Scope_Check17">
          <a:extLst>
            <a:ext uri="{FF2B5EF4-FFF2-40B4-BE49-F238E27FC236}">
              <a16:creationId xmlns:a16="http://schemas.microsoft.com/office/drawing/2014/main" id="{BE22CB9D-98D3-483A-B116-AB5BA6CB51A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458200" y="3406140"/>
          <a:ext cx="268291" cy="272079"/>
        </a:xfrm>
        <a:prstGeom prst="rect">
          <a:avLst/>
        </a:prstGeom>
      </xdr:spPr>
    </xdr:pic>
    <xdr:clientData/>
  </xdr:twoCellAnchor>
  <xdr:twoCellAnchor>
    <xdr:from>
      <xdr:col>13</xdr:col>
      <xdr:colOff>7620</xdr:colOff>
      <xdr:row>12</xdr:row>
      <xdr:rowOff>0</xdr:rowOff>
    </xdr:from>
    <xdr:to>
      <xdr:col>14</xdr:col>
      <xdr:colOff>1591</xdr:colOff>
      <xdr:row>13</xdr:row>
      <xdr:rowOff>5379</xdr:rowOff>
    </xdr:to>
    <xdr:pic macro="[0]!Scope_of_Work_Report_Scope18_Hide">
      <xdr:nvPicPr>
        <xdr:cNvPr id="40" name="Scope_Check18">
          <a:extLst>
            <a:ext uri="{FF2B5EF4-FFF2-40B4-BE49-F238E27FC236}">
              <a16:creationId xmlns:a16="http://schemas.microsoft.com/office/drawing/2014/main" id="{C9B5C6F8-06F0-4A4A-847C-F87C4D6B60A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458200" y="3672840"/>
          <a:ext cx="268291" cy="272079"/>
        </a:xfrm>
        <a:prstGeom prst="rect">
          <a:avLst/>
        </a:prstGeom>
      </xdr:spPr>
    </xdr:pic>
    <xdr:clientData/>
  </xdr:twoCellAnchor>
  <xdr:twoCellAnchor>
    <xdr:from>
      <xdr:col>13</xdr:col>
      <xdr:colOff>7620</xdr:colOff>
      <xdr:row>13</xdr:row>
      <xdr:rowOff>0</xdr:rowOff>
    </xdr:from>
    <xdr:to>
      <xdr:col>14</xdr:col>
      <xdr:colOff>1591</xdr:colOff>
      <xdr:row>14</xdr:row>
      <xdr:rowOff>5379</xdr:rowOff>
    </xdr:to>
    <xdr:pic macro="[0]!Scope_of_Work_Report_Scope19_Hide">
      <xdr:nvPicPr>
        <xdr:cNvPr id="41" name="Scope_Check19">
          <a:extLst>
            <a:ext uri="{FF2B5EF4-FFF2-40B4-BE49-F238E27FC236}">
              <a16:creationId xmlns:a16="http://schemas.microsoft.com/office/drawing/2014/main" id="{6ABA376E-5166-453B-A252-120DC161036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458200" y="3939540"/>
          <a:ext cx="268291" cy="272079"/>
        </a:xfrm>
        <a:prstGeom prst="rect">
          <a:avLst/>
        </a:prstGeom>
      </xdr:spPr>
    </xdr:pic>
    <xdr:clientData/>
  </xdr:twoCellAnchor>
  <xdr:twoCellAnchor>
    <xdr:from>
      <xdr:col>13</xdr:col>
      <xdr:colOff>7620</xdr:colOff>
      <xdr:row>14</xdr:row>
      <xdr:rowOff>0</xdr:rowOff>
    </xdr:from>
    <xdr:to>
      <xdr:col>14</xdr:col>
      <xdr:colOff>1591</xdr:colOff>
      <xdr:row>15</xdr:row>
      <xdr:rowOff>5379</xdr:rowOff>
    </xdr:to>
    <xdr:pic macro="[0]!Scope_of_Work_Report_Scope20_Hide">
      <xdr:nvPicPr>
        <xdr:cNvPr id="42" name="Scope_Check20">
          <a:extLst>
            <a:ext uri="{FF2B5EF4-FFF2-40B4-BE49-F238E27FC236}">
              <a16:creationId xmlns:a16="http://schemas.microsoft.com/office/drawing/2014/main" id="{A177E372-33C6-4128-8601-45DF9043563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458200" y="4206240"/>
          <a:ext cx="268291" cy="272079"/>
        </a:xfrm>
        <a:prstGeom prst="rect">
          <a:avLst/>
        </a:prstGeom>
      </xdr:spPr>
    </xdr:pic>
    <xdr:clientData/>
  </xdr:twoCellAnchor>
  <xdr:twoCellAnchor>
    <xdr:from>
      <xdr:col>13</xdr:col>
      <xdr:colOff>7620</xdr:colOff>
      <xdr:row>15</xdr:row>
      <xdr:rowOff>0</xdr:rowOff>
    </xdr:from>
    <xdr:to>
      <xdr:col>14</xdr:col>
      <xdr:colOff>1591</xdr:colOff>
      <xdr:row>16</xdr:row>
      <xdr:rowOff>5379</xdr:rowOff>
    </xdr:to>
    <xdr:pic macro="[0]!Scope_of_Work_Report_Scope21_Hide">
      <xdr:nvPicPr>
        <xdr:cNvPr id="43" name="Scope_Check21">
          <a:extLst>
            <a:ext uri="{FF2B5EF4-FFF2-40B4-BE49-F238E27FC236}">
              <a16:creationId xmlns:a16="http://schemas.microsoft.com/office/drawing/2014/main" id="{E991D10C-22D3-46C6-B06F-09FB028CCCB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458200" y="4472940"/>
          <a:ext cx="268291" cy="272079"/>
        </a:xfrm>
        <a:prstGeom prst="rect">
          <a:avLst/>
        </a:prstGeom>
      </xdr:spPr>
    </xdr:pic>
    <xdr:clientData/>
  </xdr:twoCellAnchor>
  <xdr:twoCellAnchor>
    <xdr:from>
      <xdr:col>13</xdr:col>
      <xdr:colOff>7620</xdr:colOff>
      <xdr:row>17</xdr:row>
      <xdr:rowOff>0</xdr:rowOff>
    </xdr:from>
    <xdr:to>
      <xdr:col>14</xdr:col>
      <xdr:colOff>1591</xdr:colOff>
      <xdr:row>18</xdr:row>
      <xdr:rowOff>5379</xdr:rowOff>
    </xdr:to>
    <xdr:pic macro="[0]!Scope_of_Work_Report_Scope23_Hide">
      <xdr:nvPicPr>
        <xdr:cNvPr id="45" name="Scope_Check23">
          <a:extLst>
            <a:ext uri="{FF2B5EF4-FFF2-40B4-BE49-F238E27FC236}">
              <a16:creationId xmlns:a16="http://schemas.microsoft.com/office/drawing/2014/main" id="{E747E053-F256-4662-A92B-A5573C71B03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458200" y="5006340"/>
          <a:ext cx="268291" cy="272079"/>
        </a:xfrm>
        <a:prstGeom prst="rect">
          <a:avLst/>
        </a:prstGeom>
      </xdr:spPr>
    </xdr:pic>
    <xdr:clientData/>
  </xdr:twoCellAnchor>
  <xdr:twoCellAnchor>
    <xdr:from>
      <xdr:col>13</xdr:col>
      <xdr:colOff>7620</xdr:colOff>
      <xdr:row>18</xdr:row>
      <xdr:rowOff>0</xdr:rowOff>
    </xdr:from>
    <xdr:to>
      <xdr:col>14</xdr:col>
      <xdr:colOff>1591</xdr:colOff>
      <xdr:row>19</xdr:row>
      <xdr:rowOff>5379</xdr:rowOff>
    </xdr:to>
    <xdr:pic macro="[0]!Scope_of_Work_Report_Scope24_Hide">
      <xdr:nvPicPr>
        <xdr:cNvPr id="46" name="Scope_Check24">
          <a:extLst>
            <a:ext uri="{FF2B5EF4-FFF2-40B4-BE49-F238E27FC236}">
              <a16:creationId xmlns:a16="http://schemas.microsoft.com/office/drawing/2014/main" id="{EC8B5B93-753F-4980-A0F5-290ED872EBF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458200" y="5273040"/>
          <a:ext cx="268291" cy="272079"/>
        </a:xfrm>
        <a:prstGeom prst="rect">
          <a:avLst/>
        </a:prstGeom>
      </xdr:spPr>
    </xdr:pic>
    <xdr:clientData/>
  </xdr:twoCellAnchor>
  <xdr:twoCellAnchor>
    <xdr:from>
      <xdr:col>21</xdr:col>
      <xdr:colOff>53340</xdr:colOff>
      <xdr:row>12</xdr:row>
      <xdr:rowOff>0</xdr:rowOff>
    </xdr:from>
    <xdr:to>
      <xdr:col>21</xdr:col>
      <xdr:colOff>321631</xdr:colOff>
      <xdr:row>13</xdr:row>
      <xdr:rowOff>5379</xdr:rowOff>
    </xdr:to>
    <xdr:pic macro="[0]!Show_All_Scope_of_Work_Rows">
      <xdr:nvPicPr>
        <xdr:cNvPr id="47" name="Scope_All_Rows_Check">
          <a:extLst>
            <a:ext uri="{FF2B5EF4-FFF2-40B4-BE49-F238E27FC236}">
              <a16:creationId xmlns:a16="http://schemas.microsoft.com/office/drawing/2014/main" id="{4B0133AC-579E-4C81-A125-091184E0FEC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512040" y="3672840"/>
          <a:ext cx="268291" cy="272079"/>
        </a:xfrm>
        <a:prstGeom prst="rect">
          <a:avLst/>
        </a:prstGeom>
      </xdr:spPr>
    </xdr:pic>
    <xdr:clientData/>
  </xdr:twoCellAnchor>
  <xdr:twoCellAnchor>
    <xdr:from>
      <xdr:col>4</xdr:col>
      <xdr:colOff>312420</xdr:colOff>
      <xdr:row>10</xdr:row>
      <xdr:rowOff>22860</xdr:rowOff>
    </xdr:from>
    <xdr:to>
      <xdr:col>7</xdr:col>
      <xdr:colOff>205740</xdr:colOff>
      <xdr:row>10</xdr:row>
      <xdr:rowOff>243840</xdr:rowOff>
    </xdr:to>
    <xdr:sp macro="[0]!Scope_of_Work_Show_All_Scopes" textlink="">
      <xdr:nvSpPr>
        <xdr:cNvPr id="7" name="TextBox 6">
          <a:extLst>
            <a:ext uri="{FF2B5EF4-FFF2-40B4-BE49-F238E27FC236}">
              <a16:creationId xmlns:a16="http://schemas.microsoft.com/office/drawing/2014/main" id="{E39D715B-9592-4E88-A82B-1F3557A257EE}"/>
            </a:ext>
          </a:extLst>
        </xdr:cNvPr>
        <xdr:cNvSpPr txBox="1"/>
      </xdr:nvSpPr>
      <xdr:spPr>
        <a:xfrm>
          <a:off x="4221480" y="2880360"/>
          <a:ext cx="1493520"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u="sng">
              <a:solidFill>
                <a:srgbClr val="398CCC"/>
              </a:solidFill>
              <a:latin typeface="Calibri Light" panose="020F0302020204030204" pitchFamily="34" charset="0"/>
              <a:cs typeface="Calibri Light" panose="020F0302020204030204" pitchFamily="34" charset="0"/>
            </a:rPr>
            <a:t>Show</a:t>
          </a:r>
          <a:r>
            <a:rPr lang="en-US" sz="1200" b="0" u="sng" baseline="0">
              <a:solidFill>
                <a:srgbClr val="398CCC"/>
              </a:solidFill>
              <a:latin typeface="Calibri Light" panose="020F0302020204030204" pitchFamily="34" charset="0"/>
              <a:cs typeface="Calibri Light" panose="020F0302020204030204" pitchFamily="34" charset="0"/>
            </a:rPr>
            <a:t> All Scopes</a:t>
          </a:r>
          <a:endParaRPr lang="en-US" sz="1200" b="0" u="sng">
            <a:solidFill>
              <a:srgbClr val="398CCC"/>
            </a:solidFill>
            <a:latin typeface="Calibri Light" panose="020F0302020204030204" pitchFamily="34" charset="0"/>
            <a:cs typeface="Calibri Light" panose="020F0302020204030204" pitchFamily="34" charset="0"/>
          </a:endParaRPr>
        </a:p>
      </xdr:txBody>
    </xdr:sp>
    <xdr:clientData/>
  </xdr:twoCellAnchor>
  <xdr:twoCellAnchor>
    <xdr:from>
      <xdr:col>0</xdr:col>
      <xdr:colOff>342900</xdr:colOff>
      <xdr:row>1</xdr:row>
      <xdr:rowOff>4974</xdr:rowOff>
    </xdr:from>
    <xdr:to>
      <xdr:col>0</xdr:col>
      <xdr:colOff>647700</xdr:colOff>
      <xdr:row>1</xdr:row>
      <xdr:rowOff>309774</xdr:rowOff>
    </xdr:to>
    <xdr:pic macro="[0]!Hide_SOW_Header">
      <xdr:nvPicPr>
        <xdr:cNvPr id="81" name="SOW_Hidden_Icon">
          <a:extLst>
            <a:ext uri="{FF2B5EF4-FFF2-40B4-BE49-F238E27FC236}">
              <a16:creationId xmlns:a16="http://schemas.microsoft.com/office/drawing/2014/main" id="{36894A58-1022-4256-A638-F7D345ECCB25}"/>
            </a:ext>
          </a:extLst>
        </xdr:cNvPr>
        <xdr:cNvPicPr>
          <a:picLocks noChangeAspect="1"/>
        </xdr:cNvPicPr>
      </xdr:nvPicPr>
      <xdr:blipFill>
        <a:blip xmlns:r="http://schemas.openxmlformats.org/officeDocument/2006/relationships" r:embed="rId6"/>
        <a:stretch>
          <a:fillRect/>
        </a:stretch>
      </xdr:blipFill>
      <xdr:spPr>
        <a:xfrm>
          <a:off x="342900" y="576474"/>
          <a:ext cx="304800" cy="304800"/>
        </a:xfrm>
        <a:prstGeom prst="rect">
          <a:avLst/>
        </a:prstGeom>
      </xdr:spPr>
    </xdr:pic>
    <xdr:clientData/>
  </xdr:twoCellAnchor>
  <xdr:twoCellAnchor>
    <xdr:from>
      <xdr:col>0</xdr:col>
      <xdr:colOff>129540</xdr:colOff>
      <xdr:row>1</xdr:row>
      <xdr:rowOff>244918</xdr:rowOff>
    </xdr:from>
    <xdr:to>
      <xdr:col>0</xdr:col>
      <xdr:colOff>853440</xdr:colOff>
      <xdr:row>1</xdr:row>
      <xdr:rowOff>440055</xdr:rowOff>
    </xdr:to>
    <xdr:sp macro="[0]!Hide_SOW_Header" textlink="">
      <xdr:nvSpPr>
        <xdr:cNvPr id="82" name="TextBox 81">
          <a:extLst>
            <a:ext uri="{FF2B5EF4-FFF2-40B4-BE49-F238E27FC236}">
              <a16:creationId xmlns:a16="http://schemas.microsoft.com/office/drawing/2014/main" id="{AAEAF736-75D1-48D0-B20E-1E18378AD3BF}"/>
            </a:ext>
          </a:extLst>
        </xdr:cNvPr>
        <xdr:cNvSpPr txBox="1"/>
      </xdr:nvSpPr>
      <xdr:spPr>
        <a:xfrm>
          <a:off x="129540" y="816418"/>
          <a:ext cx="723900" cy="195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0">
              <a:solidFill>
                <a:schemeClr val="accent1"/>
              </a:solidFill>
              <a:latin typeface="Calibri Light" panose="020F0302020204030204" pitchFamily="34" charset="0"/>
            </a:rPr>
            <a:t>HIDE/SHOW</a:t>
          </a:r>
        </a:p>
      </xdr:txBody>
    </xdr:sp>
    <xdr:clientData/>
  </xdr:twoCellAnchor>
  <xdr:twoCellAnchor>
    <xdr:from>
      <xdr:col>0</xdr:col>
      <xdr:colOff>342900</xdr:colOff>
      <xdr:row>1</xdr:row>
      <xdr:rowOff>9640</xdr:rowOff>
    </xdr:from>
    <xdr:to>
      <xdr:col>0</xdr:col>
      <xdr:colOff>637436</xdr:colOff>
      <xdr:row>1</xdr:row>
      <xdr:rowOff>304176</xdr:rowOff>
    </xdr:to>
    <xdr:pic macro="[0]!Hide_SOW_Header">
      <xdr:nvPicPr>
        <xdr:cNvPr id="83" name="SOW_Visible_Icon" hidden="1">
          <a:extLst>
            <a:ext uri="{FF2B5EF4-FFF2-40B4-BE49-F238E27FC236}">
              <a16:creationId xmlns:a16="http://schemas.microsoft.com/office/drawing/2014/main" id="{3D1A4529-BD49-46DA-8B28-9D118A678D1E}"/>
            </a:ext>
          </a:extLst>
        </xdr:cNvPr>
        <xdr:cNvPicPr>
          <a:picLocks noChangeAspect="1"/>
        </xdr:cNvPicPr>
      </xdr:nvPicPr>
      <xdr:blipFill>
        <a:blip xmlns:r="http://schemas.openxmlformats.org/officeDocument/2006/relationships" r:embed="rId7"/>
        <a:stretch>
          <a:fillRect/>
        </a:stretch>
      </xdr:blipFill>
      <xdr:spPr>
        <a:xfrm>
          <a:off x="342900" y="581140"/>
          <a:ext cx="294536" cy="294536"/>
        </a:xfrm>
        <a:prstGeom prst="rect">
          <a:avLst/>
        </a:prstGeom>
      </xdr:spPr>
    </xdr:pic>
    <xdr:clientData/>
  </xdr:twoCellAnchor>
  <xdr:twoCellAnchor>
    <xdr:from>
      <xdr:col>3</xdr:col>
      <xdr:colOff>131445</xdr:colOff>
      <xdr:row>1</xdr:row>
      <xdr:rowOff>297181</xdr:rowOff>
    </xdr:from>
    <xdr:to>
      <xdr:col>6</xdr:col>
      <xdr:colOff>207056</xdr:colOff>
      <xdr:row>1</xdr:row>
      <xdr:rowOff>510540</xdr:rowOff>
    </xdr:to>
    <xdr:sp macro="[0]!Navigate_Repair_Estimator" textlink="">
      <xdr:nvSpPr>
        <xdr:cNvPr id="84" name="TextBox 83">
          <a:extLst>
            <a:ext uri="{FF2B5EF4-FFF2-40B4-BE49-F238E27FC236}">
              <a16:creationId xmlns:a16="http://schemas.microsoft.com/office/drawing/2014/main" id="{B35C2E6B-4880-495C-954F-AC6A143B5662}"/>
            </a:ext>
          </a:extLst>
        </xdr:cNvPr>
        <xdr:cNvSpPr txBox="1"/>
      </xdr:nvSpPr>
      <xdr:spPr>
        <a:xfrm>
          <a:off x="3979545" y="868681"/>
          <a:ext cx="1416731" cy="213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1" u="sng">
              <a:solidFill>
                <a:srgbClr val="289FE8"/>
              </a:solidFill>
              <a:latin typeface="Calibri Light" panose="020F0302020204030204" pitchFamily="34" charset="0"/>
            </a:rPr>
            <a:t>Edit</a:t>
          </a:r>
          <a:r>
            <a:rPr lang="en-US" sz="1100" b="0" i="1" u="sng" baseline="0">
              <a:solidFill>
                <a:srgbClr val="289FE8"/>
              </a:solidFill>
              <a:latin typeface="Calibri Light" panose="020F0302020204030204" pitchFamily="34" charset="0"/>
            </a:rPr>
            <a:t> SOW</a:t>
          </a:r>
          <a:endParaRPr lang="en-US" sz="1100" b="0" i="1" u="sng">
            <a:solidFill>
              <a:srgbClr val="289FE8"/>
            </a:solidFill>
            <a:latin typeface="Calibri Light" panose="020F0302020204030204" pitchFamily="34" charset="0"/>
          </a:endParaRPr>
        </a:p>
      </xdr:txBody>
    </xdr:sp>
    <xdr:clientData/>
  </xdr:twoCellAnchor>
  <xdr:twoCellAnchor>
    <xdr:from>
      <xdr:col>4</xdr:col>
      <xdr:colOff>439842</xdr:colOff>
      <xdr:row>1</xdr:row>
      <xdr:rowOff>29447</xdr:rowOff>
    </xdr:from>
    <xdr:to>
      <xdr:col>5</xdr:col>
      <xdr:colOff>191928</xdr:colOff>
      <xdr:row>1</xdr:row>
      <xdr:rowOff>314933</xdr:rowOff>
    </xdr:to>
    <xdr:pic macro="[0]!Navigate_Repair_Estimator">
      <xdr:nvPicPr>
        <xdr:cNvPr id="85" name="Picture 84">
          <a:extLst>
            <a:ext uri="{FF2B5EF4-FFF2-40B4-BE49-F238E27FC236}">
              <a16:creationId xmlns:a16="http://schemas.microsoft.com/office/drawing/2014/main" id="{F7181E47-121D-4C4B-8C16-1F2C75D7DDE7}"/>
            </a:ext>
          </a:extLst>
        </xdr:cNvPr>
        <xdr:cNvPicPr>
          <a:picLocks noChangeAspect="1"/>
        </xdr:cNvPicPr>
      </xdr:nvPicPr>
      <xdr:blipFill>
        <a:blip xmlns:r="http://schemas.openxmlformats.org/officeDocument/2006/relationships" r:embed="rId8"/>
        <a:stretch>
          <a:fillRect/>
        </a:stretch>
      </xdr:blipFill>
      <xdr:spPr>
        <a:xfrm>
          <a:off x="4583217" y="600947"/>
          <a:ext cx="285486" cy="285486"/>
        </a:xfrm>
        <a:prstGeom prst="rect">
          <a:avLst/>
        </a:prstGeom>
      </xdr:spPr>
    </xdr:pic>
    <xdr:clientData/>
  </xdr:twoCellAnchor>
  <xdr:twoCellAnchor editAs="absolute">
    <xdr:from>
      <xdr:col>14</xdr:col>
      <xdr:colOff>513090</xdr:colOff>
      <xdr:row>0</xdr:row>
      <xdr:rowOff>0</xdr:rowOff>
    </xdr:from>
    <xdr:to>
      <xdr:col>18</xdr:col>
      <xdr:colOff>75354</xdr:colOff>
      <xdr:row>0</xdr:row>
      <xdr:rowOff>561977</xdr:rowOff>
    </xdr:to>
    <xdr:sp macro="[0]!Navigate_Reporting" textlink="">
      <xdr:nvSpPr>
        <xdr:cNvPr id="80" name="TextBox 79">
          <a:extLst>
            <a:ext uri="{FF2B5EF4-FFF2-40B4-BE49-F238E27FC236}">
              <a16:creationId xmlns:a16="http://schemas.microsoft.com/office/drawing/2014/main" id="{5E963DC0-A88D-4444-B9B4-608E557C142D}"/>
            </a:ext>
          </a:extLst>
        </xdr:cNvPr>
        <xdr:cNvSpPr txBox="1">
          <a:spLocks noChangeAspect="1"/>
        </xdr:cNvSpPr>
      </xdr:nvSpPr>
      <xdr:spPr>
        <a:xfrm>
          <a:off x="9457065" y="0"/>
          <a:ext cx="1695864" cy="559859"/>
        </a:xfrm>
        <a:prstGeom prst="rect">
          <a:avLst/>
        </a:prstGeom>
        <a:solidFill>
          <a:srgbClr val="2F74A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7</xdr:col>
      <xdr:colOff>284702</xdr:colOff>
      <xdr:row>0</xdr:row>
      <xdr:rowOff>1</xdr:rowOff>
    </xdr:from>
    <xdr:to>
      <xdr:col>11</xdr:col>
      <xdr:colOff>115781</xdr:colOff>
      <xdr:row>0</xdr:row>
      <xdr:rowOff>561977</xdr:rowOff>
    </xdr:to>
    <xdr:sp macro="[0]!Navigate_Rehab_Analyzer" textlink="">
      <xdr:nvSpPr>
        <xdr:cNvPr id="88" name="TextBox 87">
          <a:extLst>
            <a:ext uri="{FF2B5EF4-FFF2-40B4-BE49-F238E27FC236}">
              <a16:creationId xmlns:a16="http://schemas.microsoft.com/office/drawing/2014/main" id="{36412D5C-2E14-4792-8EBC-5B81E77979BA}"/>
            </a:ext>
          </a:extLst>
        </xdr:cNvPr>
        <xdr:cNvSpPr txBox="1">
          <a:spLocks noChangeAspect="1"/>
        </xdr:cNvSpPr>
      </xdr:nvSpPr>
      <xdr:spPr>
        <a:xfrm>
          <a:off x="6028277" y="1"/>
          <a:ext cx="1697979" cy="559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11</xdr:col>
      <xdr:colOff>132927</xdr:colOff>
      <xdr:row>0</xdr:row>
      <xdr:rowOff>0</xdr:rowOff>
    </xdr:from>
    <xdr:to>
      <xdr:col>14</xdr:col>
      <xdr:colOff>486845</xdr:colOff>
      <xdr:row>0</xdr:row>
      <xdr:rowOff>561977</xdr:rowOff>
    </xdr:to>
    <xdr:sp macro="[0]!Navigate_Repair_Estimator" textlink="">
      <xdr:nvSpPr>
        <xdr:cNvPr id="89" name="TextBox 88">
          <a:extLst>
            <a:ext uri="{FF2B5EF4-FFF2-40B4-BE49-F238E27FC236}">
              <a16:creationId xmlns:a16="http://schemas.microsoft.com/office/drawing/2014/main" id="{88538137-8E15-459E-B0D7-2E945F637F33}"/>
            </a:ext>
          </a:extLst>
        </xdr:cNvPr>
        <xdr:cNvSpPr txBox="1">
          <a:spLocks noChangeAspect="1"/>
        </xdr:cNvSpPr>
      </xdr:nvSpPr>
      <xdr:spPr>
        <a:xfrm>
          <a:off x="7743402" y="0"/>
          <a:ext cx="1685300" cy="559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4</xdr:col>
      <xdr:colOff>189003</xdr:colOff>
      <xdr:row>0</xdr:row>
      <xdr:rowOff>0</xdr:rowOff>
    </xdr:from>
    <xdr:to>
      <xdr:col>7</xdr:col>
      <xdr:colOff>274741</xdr:colOff>
      <xdr:row>0</xdr:row>
      <xdr:rowOff>561977</xdr:rowOff>
    </xdr:to>
    <xdr:sp macro="[0]!Navigate_Home" textlink="">
      <xdr:nvSpPr>
        <xdr:cNvPr id="90" name="TextBox 89">
          <a:extLst>
            <a:ext uri="{FF2B5EF4-FFF2-40B4-BE49-F238E27FC236}">
              <a16:creationId xmlns:a16="http://schemas.microsoft.com/office/drawing/2014/main" id="{A0A3F22B-7619-4028-A24F-923BB311BB86}"/>
            </a:ext>
          </a:extLst>
        </xdr:cNvPr>
        <xdr:cNvSpPr txBox="1">
          <a:spLocks noChangeAspect="1"/>
        </xdr:cNvSpPr>
      </xdr:nvSpPr>
      <xdr:spPr>
        <a:xfrm>
          <a:off x="4332378" y="0"/>
          <a:ext cx="1688056" cy="559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19</xdr:col>
      <xdr:colOff>352847</xdr:colOff>
      <xdr:row>0</xdr:row>
      <xdr:rowOff>153469</xdr:rowOff>
    </xdr:from>
    <xdr:to>
      <xdr:col>20</xdr:col>
      <xdr:colOff>85012</xdr:colOff>
      <xdr:row>0</xdr:row>
      <xdr:rowOff>428834</xdr:rowOff>
    </xdr:to>
    <xdr:pic>
      <xdr:nvPicPr>
        <xdr:cNvPr id="91" name="Picture 90" title="Help">
          <a:hlinkClick xmlns:r="http://schemas.openxmlformats.org/officeDocument/2006/relationships" r:id="rId9"/>
          <a:extLst>
            <a:ext uri="{FF2B5EF4-FFF2-40B4-BE49-F238E27FC236}">
              <a16:creationId xmlns:a16="http://schemas.microsoft.com/office/drawing/2014/main" id="{CCE6B360-8CE4-46EE-B1FE-D266A96ACA1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961707" y="153469"/>
          <a:ext cx="269798" cy="273250"/>
        </a:xfrm>
        <a:prstGeom prst="rect">
          <a:avLst/>
        </a:prstGeom>
      </xdr:spPr>
    </xdr:pic>
    <xdr:clientData/>
  </xdr:twoCellAnchor>
  <xdr:twoCellAnchor editAs="absolute">
    <xdr:from>
      <xdr:col>18</xdr:col>
      <xdr:colOff>333800</xdr:colOff>
      <xdr:row>0</xdr:row>
      <xdr:rowOff>152516</xdr:rowOff>
    </xdr:from>
    <xdr:to>
      <xdr:col>19</xdr:col>
      <xdr:colOff>84032</xdr:colOff>
      <xdr:row>0</xdr:row>
      <xdr:rowOff>428939</xdr:rowOff>
    </xdr:to>
    <xdr:pic macro="[0]!Navigate_Info_Sheet">
      <xdr:nvPicPr>
        <xdr:cNvPr id="92" name="Picture 91">
          <a:extLst>
            <a:ext uri="{FF2B5EF4-FFF2-40B4-BE49-F238E27FC236}">
              <a16:creationId xmlns:a16="http://schemas.microsoft.com/office/drawing/2014/main" id="{4C61C948-E7F3-4983-AD49-ABDFEF921448}"/>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1409257" y="152516"/>
          <a:ext cx="287868" cy="274308"/>
        </a:xfrm>
        <a:prstGeom prst="rect">
          <a:avLst/>
        </a:prstGeom>
      </xdr:spPr>
    </xdr:pic>
    <xdr:clientData/>
  </xdr:twoCellAnchor>
  <xdr:twoCellAnchor editAs="absolute">
    <xdr:from>
      <xdr:col>0</xdr:col>
      <xdr:colOff>0</xdr:colOff>
      <xdr:row>0</xdr:row>
      <xdr:rowOff>0</xdr:rowOff>
    </xdr:from>
    <xdr:to>
      <xdr:col>0</xdr:col>
      <xdr:colOff>1665832</xdr:colOff>
      <xdr:row>0</xdr:row>
      <xdr:rowOff>563882</xdr:rowOff>
    </xdr:to>
    <xdr:sp macro="" textlink="">
      <xdr:nvSpPr>
        <xdr:cNvPr id="93" name="TextBox 92">
          <a:extLst>
            <a:ext uri="{FF2B5EF4-FFF2-40B4-BE49-F238E27FC236}">
              <a16:creationId xmlns:a16="http://schemas.microsoft.com/office/drawing/2014/main" id="{7A98AF60-96EF-438C-9F80-CF3257E0A117}"/>
            </a:ext>
          </a:extLst>
        </xdr:cNvPr>
        <xdr:cNvSpPr txBox="1">
          <a:spLocks noChangeAspect="1"/>
        </xdr:cNvSpPr>
      </xdr:nvSpPr>
      <xdr:spPr>
        <a:xfrm>
          <a:off x="0" y="0"/>
          <a:ext cx="1667947" cy="561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54</xdr:col>
      <xdr:colOff>96123</xdr:colOff>
      <xdr:row>0</xdr:row>
      <xdr:rowOff>0</xdr:rowOff>
    </xdr:from>
    <xdr:to>
      <xdr:col>65</xdr:col>
      <xdr:colOff>86782</xdr:colOff>
      <xdr:row>0</xdr:row>
      <xdr:rowOff>562002</xdr:rowOff>
    </xdr:to>
    <xdr:sp macro="[0]!Navigate_Reporting" textlink="">
      <xdr:nvSpPr>
        <xdr:cNvPr id="10" name="TextBox 9">
          <a:extLst>
            <a:ext uri="{FF2B5EF4-FFF2-40B4-BE49-F238E27FC236}">
              <a16:creationId xmlns:a16="http://schemas.microsoft.com/office/drawing/2014/main" id="{00000000-0008-0000-0800-00000A000000}"/>
            </a:ext>
          </a:extLst>
        </xdr:cNvPr>
        <xdr:cNvSpPr txBox="1"/>
      </xdr:nvSpPr>
      <xdr:spPr>
        <a:xfrm>
          <a:off x="9858375" y="0"/>
          <a:ext cx="198882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twoCellAnchor>
    <xdr:from>
      <xdr:col>92</xdr:col>
      <xdr:colOff>0</xdr:colOff>
      <xdr:row>3</xdr:row>
      <xdr:rowOff>133350</xdr:rowOff>
    </xdr:from>
    <xdr:to>
      <xdr:col>93</xdr:col>
      <xdr:colOff>114300</xdr:colOff>
      <xdr:row>5</xdr:row>
      <xdr:rowOff>0</xdr:rowOff>
    </xdr:to>
    <xdr:sp macro="[0]!Show_Analyze_Help" textlink="">
      <xdr:nvSpPr>
        <xdr:cNvPr id="65" name="Analyze_Show_Help" hidden="1">
          <a:extLst>
            <a:ext uri="{FF2B5EF4-FFF2-40B4-BE49-F238E27FC236}">
              <a16:creationId xmlns:a16="http://schemas.microsoft.com/office/drawing/2014/main" id="{00000000-0008-0000-0800-000041000000}"/>
            </a:ext>
          </a:extLst>
        </xdr:cNvPr>
        <xdr:cNvSpPr txBox="1"/>
      </xdr:nvSpPr>
      <xdr:spPr>
        <a:xfrm>
          <a:off x="12658725" y="895350"/>
          <a:ext cx="14001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b="0" u="sng">
              <a:solidFill>
                <a:srgbClr val="398CCC"/>
              </a:solidFill>
              <a:latin typeface="Calibri Light" panose="020F0302020204030204" pitchFamily="34" charset="0"/>
              <a:cs typeface="Calibri Light" panose="020F0302020204030204" pitchFamily="34" charset="0"/>
            </a:rPr>
            <a:t>show</a:t>
          </a:r>
          <a:r>
            <a:rPr lang="en-US" sz="1400" b="0" u="sng">
              <a:solidFill>
                <a:srgbClr val="398CCC"/>
              </a:solidFill>
              <a:latin typeface="Calibri Light" panose="020F0302020204030204" pitchFamily="34" charset="0"/>
              <a:cs typeface="Calibri Light" panose="020F0302020204030204" pitchFamily="34" charset="0"/>
            </a:rPr>
            <a:t> </a:t>
          </a:r>
          <a:r>
            <a:rPr lang="en-US" sz="1300" b="0" u="sng">
              <a:solidFill>
                <a:srgbClr val="398CCC"/>
              </a:solidFill>
              <a:latin typeface="Calibri Light" panose="020F0302020204030204" pitchFamily="34" charset="0"/>
              <a:cs typeface="Calibri Light" panose="020F0302020204030204" pitchFamily="34" charset="0"/>
            </a:rPr>
            <a:t>help</a:t>
          </a:r>
        </a:p>
      </xdr:txBody>
    </xdr:sp>
    <xdr:clientData/>
  </xdr:twoCellAnchor>
  <xdr:twoCellAnchor>
    <xdr:from>
      <xdr:col>27</xdr:col>
      <xdr:colOff>37168</xdr:colOff>
      <xdr:row>6</xdr:row>
      <xdr:rowOff>46462</xdr:rowOff>
    </xdr:from>
    <xdr:to>
      <xdr:col>35</xdr:col>
      <xdr:colOff>55754</xdr:colOff>
      <xdr:row>6</xdr:row>
      <xdr:rowOff>297365</xdr:rowOff>
    </xdr:to>
    <xdr:sp macro="[0]!Navigate_Repair_Estimator" textlink="">
      <xdr:nvSpPr>
        <xdr:cNvPr id="2" name="Rectangle 1">
          <a:extLst>
            <a:ext uri="{FF2B5EF4-FFF2-40B4-BE49-F238E27FC236}">
              <a16:creationId xmlns:a16="http://schemas.microsoft.com/office/drawing/2014/main" id="{D68DA8CE-FB1A-4286-80B4-1718E578442E}"/>
            </a:ext>
          </a:extLst>
        </xdr:cNvPr>
        <xdr:cNvSpPr/>
      </xdr:nvSpPr>
      <xdr:spPr>
        <a:xfrm>
          <a:off x="3391827" y="1691267"/>
          <a:ext cx="1431073" cy="250903"/>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27</xdr:col>
      <xdr:colOff>96641</xdr:colOff>
      <xdr:row>7</xdr:row>
      <xdr:rowOff>59471</xdr:rowOff>
    </xdr:from>
    <xdr:to>
      <xdr:col>35</xdr:col>
      <xdr:colOff>115227</xdr:colOff>
      <xdr:row>7</xdr:row>
      <xdr:rowOff>310374</xdr:rowOff>
    </xdr:to>
    <xdr:sp macro="[0]!Navigate_Rehab_Analyzer" textlink="">
      <xdr:nvSpPr>
        <xdr:cNvPr id="16" name="Rectangle 15">
          <a:extLst>
            <a:ext uri="{FF2B5EF4-FFF2-40B4-BE49-F238E27FC236}">
              <a16:creationId xmlns:a16="http://schemas.microsoft.com/office/drawing/2014/main" id="{FDEDAC2B-C92A-4F65-86B8-D65953F55A80}"/>
            </a:ext>
          </a:extLst>
        </xdr:cNvPr>
        <xdr:cNvSpPr/>
      </xdr:nvSpPr>
      <xdr:spPr>
        <a:xfrm>
          <a:off x="3451300" y="2029520"/>
          <a:ext cx="1431073" cy="250903"/>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27</xdr:col>
      <xdr:colOff>55754</xdr:colOff>
      <xdr:row>8</xdr:row>
      <xdr:rowOff>55757</xdr:rowOff>
    </xdr:from>
    <xdr:to>
      <xdr:col>35</xdr:col>
      <xdr:colOff>74340</xdr:colOff>
      <xdr:row>8</xdr:row>
      <xdr:rowOff>306660</xdr:rowOff>
    </xdr:to>
    <xdr:sp macro="[0]!Navigate_Scenarios" textlink="">
      <xdr:nvSpPr>
        <xdr:cNvPr id="17" name="Rectangle 16">
          <a:extLst>
            <a:ext uri="{FF2B5EF4-FFF2-40B4-BE49-F238E27FC236}">
              <a16:creationId xmlns:a16="http://schemas.microsoft.com/office/drawing/2014/main" id="{7C9A8A06-20CD-42AD-918D-CBC6A12D7581}"/>
            </a:ext>
          </a:extLst>
        </xdr:cNvPr>
        <xdr:cNvSpPr/>
      </xdr:nvSpPr>
      <xdr:spPr>
        <a:xfrm>
          <a:off x="3410413" y="2351050"/>
          <a:ext cx="1431073" cy="250903"/>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27</xdr:col>
      <xdr:colOff>59471</xdr:colOff>
      <xdr:row>9</xdr:row>
      <xdr:rowOff>68767</xdr:rowOff>
    </xdr:from>
    <xdr:to>
      <xdr:col>35</xdr:col>
      <xdr:colOff>78057</xdr:colOff>
      <xdr:row>9</xdr:row>
      <xdr:rowOff>319670</xdr:rowOff>
    </xdr:to>
    <xdr:sp macro="[0]!Navigate_Offer_Tracker" textlink="">
      <xdr:nvSpPr>
        <xdr:cNvPr id="18" name="Rectangle 17">
          <a:extLst>
            <a:ext uri="{FF2B5EF4-FFF2-40B4-BE49-F238E27FC236}">
              <a16:creationId xmlns:a16="http://schemas.microsoft.com/office/drawing/2014/main" id="{F36020E9-C19E-45C5-A844-77253DB8C291}"/>
            </a:ext>
          </a:extLst>
        </xdr:cNvPr>
        <xdr:cNvSpPr/>
      </xdr:nvSpPr>
      <xdr:spPr>
        <a:xfrm>
          <a:off x="3414130" y="2689304"/>
          <a:ext cx="1431073" cy="250903"/>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27</xdr:col>
      <xdr:colOff>81774</xdr:colOff>
      <xdr:row>10</xdr:row>
      <xdr:rowOff>44607</xdr:rowOff>
    </xdr:from>
    <xdr:to>
      <xdr:col>35</xdr:col>
      <xdr:colOff>157974</xdr:colOff>
      <xdr:row>10</xdr:row>
      <xdr:rowOff>306659</xdr:rowOff>
    </xdr:to>
    <xdr:sp macro="[0]!Navigate_Comparables" textlink="">
      <xdr:nvSpPr>
        <xdr:cNvPr id="19" name="Rectangle 18">
          <a:extLst>
            <a:ext uri="{FF2B5EF4-FFF2-40B4-BE49-F238E27FC236}">
              <a16:creationId xmlns:a16="http://schemas.microsoft.com/office/drawing/2014/main" id="{33880B5F-253E-4725-87BA-8B60F4ECF7FE}"/>
            </a:ext>
          </a:extLst>
        </xdr:cNvPr>
        <xdr:cNvSpPr/>
      </xdr:nvSpPr>
      <xdr:spPr>
        <a:xfrm>
          <a:off x="3436433" y="2990387"/>
          <a:ext cx="1488687" cy="262052"/>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27</xdr:col>
      <xdr:colOff>94784</xdr:colOff>
      <xdr:row>11</xdr:row>
      <xdr:rowOff>29738</xdr:rowOff>
    </xdr:from>
    <xdr:to>
      <xdr:col>35</xdr:col>
      <xdr:colOff>170984</xdr:colOff>
      <xdr:row>11</xdr:row>
      <xdr:rowOff>291790</xdr:rowOff>
    </xdr:to>
    <xdr:sp macro="[0]!Navigate_Rental_Analysis" textlink="">
      <xdr:nvSpPr>
        <xdr:cNvPr id="20" name="Rectangle 19">
          <a:extLst>
            <a:ext uri="{FF2B5EF4-FFF2-40B4-BE49-F238E27FC236}">
              <a16:creationId xmlns:a16="http://schemas.microsoft.com/office/drawing/2014/main" id="{69ED0C0B-56AC-4E04-B9C7-74D3AC3E72B7}"/>
            </a:ext>
          </a:extLst>
        </xdr:cNvPr>
        <xdr:cNvSpPr/>
      </xdr:nvSpPr>
      <xdr:spPr>
        <a:xfrm>
          <a:off x="3449443" y="3626006"/>
          <a:ext cx="1488687" cy="262052"/>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27</xdr:col>
      <xdr:colOff>92924</xdr:colOff>
      <xdr:row>12</xdr:row>
      <xdr:rowOff>27879</xdr:rowOff>
    </xdr:from>
    <xdr:to>
      <xdr:col>37</xdr:col>
      <xdr:colOff>69404</xdr:colOff>
      <xdr:row>13</xdr:row>
      <xdr:rowOff>0</xdr:rowOff>
    </xdr:to>
    <xdr:sp macro="[0]!Navigate_Wholesale_Calculator" textlink="">
      <xdr:nvSpPr>
        <xdr:cNvPr id="21" name="Rectangle 20">
          <a:extLst>
            <a:ext uri="{FF2B5EF4-FFF2-40B4-BE49-F238E27FC236}">
              <a16:creationId xmlns:a16="http://schemas.microsoft.com/office/drawing/2014/main" id="{C9109232-CFDF-48D0-8D84-1662D0CF8D3B}"/>
            </a:ext>
          </a:extLst>
        </xdr:cNvPr>
        <xdr:cNvSpPr/>
      </xdr:nvSpPr>
      <xdr:spPr>
        <a:xfrm>
          <a:off x="3447583" y="3949391"/>
          <a:ext cx="1742089" cy="306658"/>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47</xdr:col>
      <xdr:colOff>40885</xdr:colOff>
      <xdr:row>6</xdr:row>
      <xdr:rowOff>3718</xdr:rowOff>
    </xdr:from>
    <xdr:to>
      <xdr:col>57</xdr:col>
      <xdr:colOff>17365</xdr:colOff>
      <xdr:row>6</xdr:row>
      <xdr:rowOff>310376</xdr:rowOff>
    </xdr:to>
    <xdr:sp macro="[0]!Navigate_Inspection_Checklist" textlink="">
      <xdr:nvSpPr>
        <xdr:cNvPr id="22" name="Rectangle 21">
          <a:extLst>
            <a:ext uri="{FF2B5EF4-FFF2-40B4-BE49-F238E27FC236}">
              <a16:creationId xmlns:a16="http://schemas.microsoft.com/office/drawing/2014/main" id="{8575F839-5EDC-4DEC-B0E3-30F577D682D5}"/>
            </a:ext>
          </a:extLst>
        </xdr:cNvPr>
        <xdr:cNvSpPr/>
      </xdr:nvSpPr>
      <xdr:spPr>
        <a:xfrm>
          <a:off x="3395544" y="5105401"/>
          <a:ext cx="1742089" cy="306658"/>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47</xdr:col>
      <xdr:colOff>46460</xdr:colOff>
      <xdr:row>7</xdr:row>
      <xdr:rowOff>18585</xdr:rowOff>
    </xdr:from>
    <xdr:to>
      <xdr:col>57</xdr:col>
      <xdr:colOff>148680</xdr:colOff>
      <xdr:row>7</xdr:row>
      <xdr:rowOff>325243</xdr:rowOff>
    </xdr:to>
    <xdr:sp macro="[0]!Navigate_Repair_Estimate_Reports" textlink="">
      <xdr:nvSpPr>
        <xdr:cNvPr id="23" name="Rectangle 22">
          <a:extLst>
            <a:ext uri="{FF2B5EF4-FFF2-40B4-BE49-F238E27FC236}">
              <a16:creationId xmlns:a16="http://schemas.microsoft.com/office/drawing/2014/main" id="{B256AA27-9650-48E2-97F5-21A1FEFC4530}"/>
            </a:ext>
          </a:extLst>
        </xdr:cNvPr>
        <xdr:cNvSpPr/>
      </xdr:nvSpPr>
      <xdr:spPr>
        <a:xfrm>
          <a:off x="3401119" y="5445512"/>
          <a:ext cx="1867829" cy="306658"/>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47</xdr:col>
      <xdr:colOff>27876</xdr:colOff>
      <xdr:row>8</xdr:row>
      <xdr:rowOff>27878</xdr:rowOff>
    </xdr:from>
    <xdr:to>
      <xdr:col>57</xdr:col>
      <xdr:colOff>130096</xdr:colOff>
      <xdr:row>8</xdr:row>
      <xdr:rowOff>334536</xdr:rowOff>
    </xdr:to>
    <xdr:sp macro="[0]!Navigate_Investment_Reports" textlink="">
      <xdr:nvSpPr>
        <xdr:cNvPr id="24" name="Rectangle 23">
          <a:extLst>
            <a:ext uri="{FF2B5EF4-FFF2-40B4-BE49-F238E27FC236}">
              <a16:creationId xmlns:a16="http://schemas.microsoft.com/office/drawing/2014/main" id="{9DFC78D1-7743-4334-84CA-99D71EA7DC81}"/>
            </a:ext>
          </a:extLst>
        </xdr:cNvPr>
        <xdr:cNvSpPr/>
      </xdr:nvSpPr>
      <xdr:spPr>
        <a:xfrm>
          <a:off x="3382535" y="5780049"/>
          <a:ext cx="1867829" cy="306658"/>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47</xdr:col>
      <xdr:colOff>55753</xdr:colOff>
      <xdr:row>10</xdr:row>
      <xdr:rowOff>18585</xdr:rowOff>
    </xdr:from>
    <xdr:to>
      <xdr:col>57</xdr:col>
      <xdr:colOff>157973</xdr:colOff>
      <xdr:row>10</xdr:row>
      <xdr:rowOff>325243</xdr:rowOff>
    </xdr:to>
    <xdr:sp macro="[0]!Navigate_Funding_Reports" textlink="">
      <xdr:nvSpPr>
        <xdr:cNvPr id="26" name="Rectangle 25">
          <a:extLst>
            <a:ext uri="{FF2B5EF4-FFF2-40B4-BE49-F238E27FC236}">
              <a16:creationId xmlns:a16="http://schemas.microsoft.com/office/drawing/2014/main" id="{D21F9D13-0F45-4BFB-B57A-1E5D77D574F5}"/>
            </a:ext>
          </a:extLst>
        </xdr:cNvPr>
        <xdr:cNvSpPr/>
      </xdr:nvSpPr>
      <xdr:spPr>
        <a:xfrm>
          <a:off x="3410412" y="6114585"/>
          <a:ext cx="1867829" cy="306658"/>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47</xdr:col>
      <xdr:colOff>65046</xdr:colOff>
      <xdr:row>11</xdr:row>
      <xdr:rowOff>0</xdr:rowOff>
    </xdr:from>
    <xdr:to>
      <xdr:col>59</xdr:col>
      <xdr:colOff>83632</xdr:colOff>
      <xdr:row>11</xdr:row>
      <xdr:rowOff>306658</xdr:rowOff>
    </xdr:to>
    <xdr:sp macro="[0]!Navigate_Homeowner_Offer_Report" textlink="">
      <xdr:nvSpPr>
        <xdr:cNvPr id="27" name="Rectangle 26">
          <a:extLst>
            <a:ext uri="{FF2B5EF4-FFF2-40B4-BE49-F238E27FC236}">
              <a16:creationId xmlns:a16="http://schemas.microsoft.com/office/drawing/2014/main" id="{E818BF0B-AC4D-47D1-82CA-6F93F079CC0C}"/>
            </a:ext>
          </a:extLst>
        </xdr:cNvPr>
        <xdr:cNvSpPr/>
      </xdr:nvSpPr>
      <xdr:spPr>
        <a:xfrm>
          <a:off x="3419705" y="6439829"/>
          <a:ext cx="2137317" cy="306658"/>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47</xdr:col>
      <xdr:colOff>46462</xdr:colOff>
      <xdr:row>12</xdr:row>
      <xdr:rowOff>37170</xdr:rowOff>
    </xdr:from>
    <xdr:to>
      <xdr:col>59</xdr:col>
      <xdr:colOff>65048</xdr:colOff>
      <xdr:row>12</xdr:row>
      <xdr:rowOff>343828</xdr:rowOff>
    </xdr:to>
    <xdr:sp macro="[0]!Navigate_Comparables_Reports" textlink="">
      <xdr:nvSpPr>
        <xdr:cNvPr id="28" name="Rectangle 27">
          <a:extLst>
            <a:ext uri="{FF2B5EF4-FFF2-40B4-BE49-F238E27FC236}">
              <a16:creationId xmlns:a16="http://schemas.microsoft.com/office/drawing/2014/main" id="{4B38186A-C66F-402B-B971-B5A373AC5824}"/>
            </a:ext>
          </a:extLst>
        </xdr:cNvPr>
        <xdr:cNvSpPr/>
      </xdr:nvSpPr>
      <xdr:spPr>
        <a:xfrm>
          <a:off x="3401121" y="6820829"/>
          <a:ext cx="2137317" cy="306658"/>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47</xdr:col>
      <xdr:colOff>9290</xdr:colOff>
      <xdr:row>15</xdr:row>
      <xdr:rowOff>0</xdr:rowOff>
    </xdr:from>
    <xdr:to>
      <xdr:col>54</xdr:col>
      <xdr:colOff>92925</xdr:colOff>
      <xdr:row>15</xdr:row>
      <xdr:rowOff>306658</xdr:rowOff>
    </xdr:to>
    <xdr:sp macro="[0]!Navigate_Rental_Reports" textlink="">
      <xdr:nvSpPr>
        <xdr:cNvPr id="32" name="Rectangle 31">
          <a:extLst>
            <a:ext uri="{FF2B5EF4-FFF2-40B4-BE49-F238E27FC236}">
              <a16:creationId xmlns:a16="http://schemas.microsoft.com/office/drawing/2014/main" id="{EBCA499A-990B-4638-AC17-8D57C29D6FEF}"/>
            </a:ext>
          </a:extLst>
        </xdr:cNvPr>
        <xdr:cNvSpPr/>
      </xdr:nvSpPr>
      <xdr:spPr>
        <a:xfrm>
          <a:off x="3363949" y="7815146"/>
          <a:ext cx="1319561" cy="306658"/>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47</xdr:col>
      <xdr:colOff>46461</xdr:colOff>
      <xdr:row>16</xdr:row>
      <xdr:rowOff>9294</xdr:rowOff>
    </xdr:from>
    <xdr:to>
      <xdr:col>55</xdr:col>
      <xdr:colOff>139388</xdr:colOff>
      <xdr:row>16</xdr:row>
      <xdr:rowOff>315952</xdr:rowOff>
    </xdr:to>
    <xdr:sp macro="[0]!Navigate_Wholesale_Reports" textlink="">
      <xdr:nvSpPr>
        <xdr:cNvPr id="39" name="Rectangle 38">
          <a:extLst>
            <a:ext uri="{FF2B5EF4-FFF2-40B4-BE49-F238E27FC236}">
              <a16:creationId xmlns:a16="http://schemas.microsoft.com/office/drawing/2014/main" id="{91B63238-0778-4DE7-B110-E6C68C4DB1DC}"/>
            </a:ext>
          </a:extLst>
        </xdr:cNvPr>
        <xdr:cNvSpPr/>
      </xdr:nvSpPr>
      <xdr:spPr>
        <a:xfrm>
          <a:off x="3401120" y="8168270"/>
          <a:ext cx="1505414" cy="306658"/>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47</xdr:col>
      <xdr:colOff>27876</xdr:colOff>
      <xdr:row>9</xdr:row>
      <xdr:rowOff>27878</xdr:rowOff>
    </xdr:from>
    <xdr:to>
      <xdr:col>57</xdr:col>
      <xdr:colOff>130096</xdr:colOff>
      <xdr:row>9</xdr:row>
      <xdr:rowOff>334536</xdr:rowOff>
    </xdr:to>
    <xdr:sp macro="[0]!Navigate_All_Project_Costs_Reports" textlink="">
      <xdr:nvSpPr>
        <xdr:cNvPr id="87" name="Rectangle 86">
          <a:extLst>
            <a:ext uri="{FF2B5EF4-FFF2-40B4-BE49-F238E27FC236}">
              <a16:creationId xmlns:a16="http://schemas.microsoft.com/office/drawing/2014/main" id="{B7B8B71F-041D-41E4-A4E9-159A01D861D7}"/>
            </a:ext>
          </a:extLst>
        </xdr:cNvPr>
        <xdr:cNvSpPr/>
      </xdr:nvSpPr>
      <xdr:spPr>
        <a:xfrm>
          <a:off x="3466401" y="6428678"/>
          <a:ext cx="1911970" cy="306658"/>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absolute">
    <xdr:from>
      <xdr:col>52</xdr:col>
      <xdr:colOff>46354</xdr:colOff>
      <xdr:row>0</xdr:row>
      <xdr:rowOff>0</xdr:rowOff>
    </xdr:from>
    <xdr:to>
      <xdr:col>61</xdr:col>
      <xdr:colOff>112395</xdr:colOff>
      <xdr:row>0</xdr:row>
      <xdr:rowOff>560930</xdr:rowOff>
    </xdr:to>
    <xdr:sp macro="[0]!Navigate_Reporting" textlink="">
      <xdr:nvSpPr>
        <xdr:cNvPr id="62" name="TextBox 61">
          <a:extLst>
            <a:ext uri="{FF2B5EF4-FFF2-40B4-BE49-F238E27FC236}">
              <a16:creationId xmlns:a16="http://schemas.microsoft.com/office/drawing/2014/main" id="{CC673847-3E8E-4640-967F-12A938EA52D1}"/>
            </a:ext>
          </a:extLst>
        </xdr:cNvPr>
        <xdr:cNvSpPr txBox="1">
          <a:spLocks noChangeAspect="1"/>
        </xdr:cNvSpPr>
      </xdr:nvSpPr>
      <xdr:spPr>
        <a:xfrm>
          <a:off x="9458124" y="0"/>
          <a:ext cx="169480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33</xdr:col>
      <xdr:colOff>58219</xdr:colOff>
      <xdr:row>0</xdr:row>
      <xdr:rowOff>1</xdr:rowOff>
    </xdr:from>
    <xdr:to>
      <xdr:col>42</xdr:col>
      <xdr:colOff>122119</xdr:colOff>
      <xdr:row>0</xdr:row>
      <xdr:rowOff>560930</xdr:rowOff>
    </xdr:to>
    <xdr:sp macro="[0]!Navigate_Rehab_Analyzer" textlink="">
      <xdr:nvSpPr>
        <xdr:cNvPr id="63" name="TextBox 62">
          <a:extLst>
            <a:ext uri="{FF2B5EF4-FFF2-40B4-BE49-F238E27FC236}">
              <a16:creationId xmlns:a16="http://schemas.microsoft.com/office/drawing/2014/main" id="{DF341457-7DF7-439B-AEEF-86AE3AA14D96}"/>
            </a:ext>
          </a:extLst>
        </xdr:cNvPr>
        <xdr:cNvSpPr txBox="1">
          <a:spLocks noChangeAspect="1"/>
        </xdr:cNvSpPr>
      </xdr:nvSpPr>
      <xdr:spPr>
        <a:xfrm>
          <a:off x="6028277" y="1"/>
          <a:ext cx="1695863" cy="561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42</xdr:col>
      <xdr:colOff>141406</xdr:colOff>
      <xdr:row>0</xdr:row>
      <xdr:rowOff>0</xdr:rowOff>
    </xdr:from>
    <xdr:to>
      <xdr:col>52</xdr:col>
      <xdr:colOff>19059</xdr:colOff>
      <xdr:row>0</xdr:row>
      <xdr:rowOff>560930</xdr:rowOff>
    </xdr:to>
    <xdr:sp macro="[0]!Navigate_Repair_Estimator" textlink="">
      <xdr:nvSpPr>
        <xdr:cNvPr id="71" name="TextBox 70">
          <a:extLst>
            <a:ext uri="{FF2B5EF4-FFF2-40B4-BE49-F238E27FC236}">
              <a16:creationId xmlns:a16="http://schemas.microsoft.com/office/drawing/2014/main" id="{090AED9D-7942-479C-ABD1-C802CD5688B3}"/>
            </a:ext>
          </a:extLst>
        </xdr:cNvPr>
        <xdr:cNvSpPr txBox="1">
          <a:spLocks noChangeAspect="1"/>
        </xdr:cNvSpPr>
      </xdr:nvSpPr>
      <xdr:spPr>
        <a:xfrm>
          <a:off x="7745518" y="0"/>
          <a:ext cx="1683184"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23</xdr:col>
      <xdr:colOff>173129</xdr:colOff>
      <xdr:row>0</xdr:row>
      <xdr:rowOff>0</xdr:rowOff>
    </xdr:from>
    <xdr:to>
      <xdr:col>33</xdr:col>
      <xdr:colOff>47187</xdr:colOff>
      <xdr:row>0</xdr:row>
      <xdr:rowOff>560930</xdr:rowOff>
    </xdr:to>
    <xdr:sp macro="[0]!Navigate_Home" textlink="">
      <xdr:nvSpPr>
        <xdr:cNvPr id="72" name="TextBox 71">
          <a:extLst>
            <a:ext uri="{FF2B5EF4-FFF2-40B4-BE49-F238E27FC236}">
              <a16:creationId xmlns:a16="http://schemas.microsoft.com/office/drawing/2014/main" id="{967B9423-3348-4A15-A3E9-8E2A3E431AB1}"/>
            </a:ext>
          </a:extLst>
        </xdr:cNvPr>
        <xdr:cNvSpPr txBox="1">
          <a:spLocks noChangeAspect="1"/>
        </xdr:cNvSpPr>
      </xdr:nvSpPr>
      <xdr:spPr>
        <a:xfrm>
          <a:off x="4333437" y="0"/>
          <a:ext cx="168488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66</xdr:col>
      <xdr:colOff>20532</xdr:colOff>
      <xdr:row>0</xdr:row>
      <xdr:rowOff>153469</xdr:rowOff>
    </xdr:from>
    <xdr:to>
      <xdr:col>67</xdr:col>
      <xdr:colOff>104075</xdr:colOff>
      <xdr:row>0</xdr:row>
      <xdr:rowOff>429881</xdr:rowOff>
    </xdr:to>
    <xdr:pic>
      <xdr:nvPicPr>
        <xdr:cNvPr id="82" name="Picture 81" title="Help">
          <a:hlinkClick xmlns:r="http://schemas.openxmlformats.org/officeDocument/2006/relationships" r:id="rId1"/>
          <a:extLst>
            <a:ext uri="{FF2B5EF4-FFF2-40B4-BE49-F238E27FC236}">
              <a16:creationId xmlns:a16="http://schemas.microsoft.com/office/drawing/2014/main" id="{36BE9778-BE48-4BA9-BC4D-4911AA73859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964882" y="153469"/>
          <a:ext cx="266623" cy="275367"/>
        </a:xfrm>
        <a:prstGeom prst="rect">
          <a:avLst/>
        </a:prstGeom>
      </xdr:spPr>
    </xdr:pic>
    <xdr:clientData/>
  </xdr:twoCellAnchor>
  <xdr:twoCellAnchor editAs="absolute">
    <xdr:from>
      <xdr:col>63</xdr:col>
      <xdr:colOff>8879</xdr:colOff>
      <xdr:row>0</xdr:row>
      <xdr:rowOff>152516</xdr:rowOff>
    </xdr:from>
    <xdr:to>
      <xdr:col>64</xdr:col>
      <xdr:colOff>112607</xdr:colOff>
      <xdr:row>0</xdr:row>
      <xdr:rowOff>429986</xdr:rowOff>
    </xdr:to>
    <xdr:pic macro="[0]!Navigate_Info_Sheet">
      <xdr:nvPicPr>
        <xdr:cNvPr id="89" name="Picture 88">
          <a:extLst>
            <a:ext uri="{FF2B5EF4-FFF2-40B4-BE49-F238E27FC236}">
              <a16:creationId xmlns:a16="http://schemas.microsoft.com/office/drawing/2014/main" id="{62B07D35-CB45-476A-9F1B-6883A591AA3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412432" y="152516"/>
          <a:ext cx="283634" cy="276425"/>
        </a:xfrm>
        <a:prstGeom prst="rect">
          <a:avLst/>
        </a:prstGeom>
      </xdr:spPr>
    </xdr:pic>
    <xdr:clientData/>
  </xdr:twoCellAnchor>
  <xdr:twoCellAnchor editAs="absolute">
    <xdr:from>
      <xdr:col>0</xdr:col>
      <xdr:colOff>0</xdr:colOff>
      <xdr:row>0</xdr:row>
      <xdr:rowOff>0</xdr:rowOff>
    </xdr:from>
    <xdr:to>
      <xdr:col>9</xdr:col>
      <xdr:colOff>35997</xdr:colOff>
      <xdr:row>0</xdr:row>
      <xdr:rowOff>562835</xdr:rowOff>
    </xdr:to>
    <xdr:sp macro="" textlink="">
      <xdr:nvSpPr>
        <xdr:cNvPr id="90" name="TextBox 89">
          <a:extLst>
            <a:ext uri="{FF2B5EF4-FFF2-40B4-BE49-F238E27FC236}">
              <a16:creationId xmlns:a16="http://schemas.microsoft.com/office/drawing/2014/main" id="{00DAA037-E134-4CE1-8A93-FD9804634850}"/>
            </a:ext>
          </a:extLst>
        </xdr:cNvPr>
        <xdr:cNvSpPr txBox="1">
          <a:spLocks noChangeAspect="1"/>
        </xdr:cNvSpPr>
      </xdr:nvSpPr>
      <xdr:spPr>
        <a:xfrm>
          <a:off x="0" y="0"/>
          <a:ext cx="1664772"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twoCellAnchor>
    <xdr:from>
      <xdr:col>77</xdr:col>
      <xdr:colOff>0</xdr:colOff>
      <xdr:row>3</xdr:row>
      <xdr:rowOff>133350</xdr:rowOff>
    </xdr:from>
    <xdr:to>
      <xdr:col>87</xdr:col>
      <xdr:colOff>114300</xdr:colOff>
      <xdr:row>5</xdr:row>
      <xdr:rowOff>0</xdr:rowOff>
    </xdr:to>
    <xdr:sp macro="[0]!Show_Analyze_Help" textlink="">
      <xdr:nvSpPr>
        <xdr:cNvPr id="91" name="Analyze_Show_Help" hidden="1">
          <a:extLst>
            <a:ext uri="{FF2B5EF4-FFF2-40B4-BE49-F238E27FC236}">
              <a16:creationId xmlns:a16="http://schemas.microsoft.com/office/drawing/2014/main" id="{6659250E-3637-4B34-B151-D944C954C989}"/>
            </a:ext>
          </a:extLst>
        </xdr:cNvPr>
        <xdr:cNvSpPr txBox="1"/>
      </xdr:nvSpPr>
      <xdr:spPr>
        <a:xfrm>
          <a:off x="7600950" y="1274233"/>
          <a:ext cx="295275" cy="459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b="0" u="sng">
              <a:solidFill>
                <a:srgbClr val="398CCC"/>
              </a:solidFill>
              <a:latin typeface="Calibri Light" panose="020F0302020204030204" pitchFamily="34" charset="0"/>
              <a:cs typeface="Calibri Light" panose="020F0302020204030204" pitchFamily="34" charset="0"/>
            </a:rPr>
            <a:t>show</a:t>
          </a:r>
          <a:r>
            <a:rPr lang="en-US" sz="1400" b="0" u="sng">
              <a:solidFill>
                <a:srgbClr val="398CCC"/>
              </a:solidFill>
              <a:latin typeface="Calibri Light" panose="020F0302020204030204" pitchFamily="34" charset="0"/>
              <a:cs typeface="Calibri Light" panose="020F0302020204030204" pitchFamily="34" charset="0"/>
            </a:rPr>
            <a:t> </a:t>
          </a:r>
          <a:r>
            <a:rPr lang="en-US" sz="1300" b="0" u="sng">
              <a:solidFill>
                <a:srgbClr val="398CCC"/>
              </a:solidFill>
              <a:latin typeface="Calibri Light" panose="020F0302020204030204" pitchFamily="34" charset="0"/>
              <a:cs typeface="Calibri Light" panose="020F0302020204030204" pitchFamily="34" charset="0"/>
            </a:rPr>
            <a:t>help</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65</xdr:col>
      <xdr:colOff>87630</xdr:colOff>
      <xdr:row>0</xdr:row>
      <xdr:rowOff>0</xdr:rowOff>
    </xdr:from>
    <xdr:to>
      <xdr:col>69</xdr:col>
      <xdr:colOff>856</xdr:colOff>
      <xdr:row>0</xdr:row>
      <xdr:rowOff>560927</xdr:rowOff>
    </xdr:to>
    <xdr:sp macro="" textlink="">
      <xdr:nvSpPr>
        <xdr:cNvPr id="4" name="TextBox 3">
          <a:extLst>
            <a:ext uri="{FF2B5EF4-FFF2-40B4-BE49-F238E27FC236}">
              <a16:creationId xmlns:a16="http://schemas.microsoft.com/office/drawing/2014/main" id="{BD393452-62D8-44B5-8469-70D57AA7590B}"/>
            </a:ext>
          </a:extLst>
        </xdr:cNvPr>
        <xdr:cNvSpPr txBox="1"/>
      </xdr:nvSpPr>
      <xdr:spPr>
        <a:xfrm>
          <a:off x="11260455" y="0"/>
          <a:ext cx="599026" cy="560927"/>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25</xdr:col>
      <xdr:colOff>161925</xdr:colOff>
      <xdr:row>17</xdr:row>
      <xdr:rowOff>0</xdr:rowOff>
    </xdr:from>
    <xdr:to>
      <xdr:col>28</xdr:col>
      <xdr:colOff>9092</xdr:colOff>
      <xdr:row>18</xdr:row>
      <xdr:rowOff>65204</xdr:rowOff>
    </xdr:to>
    <xdr:pic>
      <xdr:nvPicPr>
        <xdr:cNvPr id="23" name="Funded_Check" hidden="1">
          <a:extLst>
            <a:ext uri="{FF2B5EF4-FFF2-40B4-BE49-F238E27FC236}">
              <a16:creationId xmlns:a16="http://schemas.microsoft.com/office/drawing/2014/main" id="{1C99E391-3F2A-43E8-B4A9-6607AA4E5394}"/>
            </a:ext>
          </a:extLst>
        </xdr:cNvPr>
        <xdr:cNvPicPr>
          <a:picLocks noChangeAspect="1"/>
        </xdr:cNvPicPr>
      </xdr:nvPicPr>
      <xdr:blipFill>
        <a:blip xmlns:r="http://schemas.openxmlformats.org/officeDocument/2006/relationships" r:embed="rId1"/>
        <a:stretch>
          <a:fillRect/>
        </a:stretch>
      </xdr:blipFill>
      <xdr:spPr>
        <a:xfrm>
          <a:off x="8653992" y="8451638"/>
          <a:ext cx="359410" cy="361527"/>
        </a:xfrm>
        <a:prstGeom prst="rect">
          <a:avLst/>
        </a:prstGeom>
      </xdr:spPr>
    </xdr:pic>
    <xdr:clientData/>
  </xdr:twoCellAnchor>
  <xdr:oneCellAnchor>
    <xdr:from>
      <xdr:col>25</xdr:col>
      <xdr:colOff>161925</xdr:colOff>
      <xdr:row>7</xdr:row>
      <xdr:rowOff>0</xdr:rowOff>
    </xdr:from>
    <xdr:ext cx="354330" cy="358140"/>
    <xdr:pic>
      <xdr:nvPicPr>
        <xdr:cNvPr id="47" name="All_Cash_Check" hidden="1">
          <a:extLst>
            <a:ext uri="{FF2B5EF4-FFF2-40B4-BE49-F238E27FC236}">
              <a16:creationId xmlns:a16="http://schemas.microsoft.com/office/drawing/2014/main" id="{F6B67F09-A490-4264-BAC3-56B04FDE4846}"/>
            </a:ext>
          </a:extLst>
        </xdr:cNvPr>
        <xdr:cNvPicPr>
          <a:picLocks noChangeAspect="1"/>
        </xdr:cNvPicPr>
      </xdr:nvPicPr>
      <xdr:blipFill>
        <a:blip xmlns:r="http://schemas.openxmlformats.org/officeDocument/2006/relationships" r:embed="rId1"/>
        <a:stretch>
          <a:fillRect/>
        </a:stretch>
      </xdr:blipFill>
      <xdr:spPr>
        <a:xfrm>
          <a:off x="3573992" y="5495925"/>
          <a:ext cx="354330" cy="358140"/>
        </a:xfrm>
        <a:prstGeom prst="rect">
          <a:avLst/>
        </a:prstGeom>
      </xdr:spPr>
    </xdr:pic>
    <xdr:clientData/>
  </xdr:oneCellAnchor>
  <xdr:oneCellAnchor>
    <xdr:from>
      <xdr:col>47</xdr:col>
      <xdr:colOff>161925</xdr:colOff>
      <xdr:row>7</xdr:row>
      <xdr:rowOff>0</xdr:rowOff>
    </xdr:from>
    <xdr:ext cx="354330" cy="358140"/>
    <xdr:pic>
      <xdr:nvPicPr>
        <xdr:cNvPr id="52" name="All_Cash_Check" hidden="1">
          <a:extLst>
            <a:ext uri="{FF2B5EF4-FFF2-40B4-BE49-F238E27FC236}">
              <a16:creationId xmlns:a16="http://schemas.microsoft.com/office/drawing/2014/main" id="{54C2FBE9-808C-4D99-A66D-95A46F294DCF}"/>
            </a:ext>
          </a:extLst>
        </xdr:cNvPr>
        <xdr:cNvPicPr>
          <a:picLocks noChangeAspect="1"/>
        </xdr:cNvPicPr>
      </xdr:nvPicPr>
      <xdr:blipFill>
        <a:blip xmlns:r="http://schemas.openxmlformats.org/officeDocument/2006/relationships" r:embed="rId1"/>
        <a:stretch>
          <a:fillRect/>
        </a:stretch>
      </xdr:blipFill>
      <xdr:spPr>
        <a:xfrm>
          <a:off x="5605992" y="9033933"/>
          <a:ext cx="354330" cy="358140"/>
        </a:xfrm>
        <a:prstGeom prst="rect">
          <a:avLst/>
        </a:prstGeom>
      </xdr:spPr>
    </xdr:pic>
    <xdr:clientData/>
  </xdr:oneCellAnchor>
  <xdr:twoCellAnchor editAs="absolute">
    <xdr:from>
      <xdr:col>72</xdr:col>
      <xdr:colOff>77057</xdr:colOff>
      <xdr:row>0</xdr:row>
      <xdr:rowOff>142018</xdr:rowOff>
    </xdr:from>
    <xdr:to>
      <xdr:col>74</xdr:col>
      <xdr:colOff>11219</xdr:colOff>
      <xdr:row>0</xdr:row>
      <xdr:rowOff>417407</xdr:rowOff>
    </xdr:to>
    <xdr:pic macro="[0]!Hide_Info_Sheet">
      <xdr:nvPicPr>
        <xdr:cNvPr id="81" name="Picture 80">
          <a:extLst>
            <a:ext uri="{FF2B5EF4-FFF2-40B4-BE49-F238E27FC236}">
              <a16:creationId xmlns:a16="http://schemas.microsoft.com/office/drawing/2014/main" id="{5CB3776D-1312-494E-8343-0DE8926DD53F}"/>
            </a:ext>
          </a:extLst>
        </xdr:cNvPr>
        <xdr:cNvPicPr>
          <a:picLocks noChangeAspect="1"/>
        </xdr:cNvPicPr>
      </xdr:nvPicPr>
      <xdr:blipFill>
        <a:blip xmlns:r="http://schemas.openxmlformats.org/officeDocument/2006/relationships" r:embed="rId2"/>
        <a:stretch>
          <a:fillRect/>
        </a:stretch>
      </xdr:blipFill>
      <xdr:spPr>
        <a:xfrm>
          <a:off x="12450032" y="142018"/>
          <a:ext cx="277062" cy="275389"/>
        </a:xfrm>
        <a:prstGeom prst="rect">
          <a:avLst/>
        </a:prstGeom>
      </xdr:spPr>
    </xdr:pic>
    <xdr:clientData/>
  </xdr:twoCellAnchor>
  <xdr:twoCellAnchor>
    <xdr:from>
      <xdr:col>70</xdr:col>
      <xdr:colOff>65102</xdr:colOff>
      <xdr:row>7</xdr:row>
      <xdr:rowOff>20743</xdr:rowOff>
    </xdr:from>
    <xdr:to>
      <xdr:col>71</xdr:col>
      <xdr:colOff>124369</xdr:colOff>
      <xdr:row>7</xdr:row>
      <xdr:rowOff>249343</xdr:rowOff>
    </xdr:to>
    <xdr:pic macro="[0]!HELP_PROPERTY_INFO">
      <xdr:nvPicPr>
        <xdr:cNvPr id="84" name="Picture 83">
          <a:extLst>
            <a:ext uri="{FF2B5EF4-FFF2-40B4-BE49-F238E27FC236}">
              <a16:creationId xmlns:a16="http://schemas.microsoft.com/office/drawing/2014/main" id="{FA989CB4-6E35-4DB6-8EA6-6A99FF335AA8}"/>
            </a:ext>
          </a:extLst>
        </xdr:cNvPr>
        <xdr:cNvPicPr>
          <a:picLocks/>
        </xdr:cNvPicPr>
      </xdr:nvPicPr>
      <xdr:blipFill>
        <a:blip xmlns:r="http://schemas.openxmlformats.org/officeDocument/2006/relationships" r:embed="rId3"/>
        <a:stretch>
          <a:fillRect/>
        </a:stretch>
      </xdr:blipFill>
      <xdr:spPr>
        <a:xfrm>
          <a:off x="11101402" y="1697143"/>
          <a:ext cx="228600" cy="228600"/>
        </a:xfrm>
        <a:prstGeom prst="rect">
          <a:avLst/>
        </a:prstGeom>
      </xdr:spPr>
    </xdr:pic>
    <xdr:clientData/>
  </xdr:twoCellAnchor>
  <xdr:twoCellAnchor>
    <xdr:from>
      <xdr:col>74</xdr:col>
      <xdr:colOff>140758</xdr:colOff>
      <xdr:row>23</xdr:row>
      <xdr:rowOff>17992</xdr:rowOff>
    </xdr:from>
    <xdr:to>
      <xdr:col>88</xdr:col>
      <xdr:colOff>1693</xdr:colOff>
      <xdr:row>24</xdr:row>
      <xdr:rowOff>201931</xdr:rowOff>
    </xdr:to>
    <xdr:sp macro="[0]!Navigate_Rehab_Analyzer" textlink="">
      <xdr:nvSpPr>
        <xdr:cNvPr id="19" name="Next_Button">
          <a:extLst>
            <a:ext uri="{FF2B5EF4-FFF2-40B4-BE49-F238E27FC236}">
              <a16:creationId xmlns:a16="http://schemas.microsoft.com/office/drawing/2014/main" id="{5344B370-4B79-4B0D-863F-C7308C6D503E}"/>
            </a:ext>
          </a:extLst>
        </xdr:cNvPr>
        <xdr:cNvSpPr>
          <a:spLocks noChangeAspect="1"/>
        </xdr:cNvSpPr>
      </xdr:nvSpPr>
      <xdr:spPr>
        <a:xfrm>
          <a:off x="12856633" y="6695017"/>
          <a:ext cx="2270760" cy="488739"/>
        </a:xfrm>
        <a:prstGeom prst="roundRect">
          <a:avLst>
            <a:gd name="adj" fmla="val 14815"/>
          </a:avLst>
        </a:prstGeom>
        <a:solidFill>
          <a:srgbClr val="00B050"/>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2000" b="1" i="0">
              <a:solidFill>
                <a:schemeClr val="bg1">
                  <a:lumMod val="95000"/>
                </a:schemeClr>
              </a:solidFill>
              <a:latin typeface="+mn-lt"/>
            </a:rPr>
            <a:t>Next</a:t>
          </a:r>
        </a:p>
      </xdr:txBody>
    </xdr:sp>
    <xdr:clientData/>
  </xdr:twoCellAnchor>
  <xdr:twoCellAnchor editAs="absolute">
    <xdr:from>
      <xdr:col>54</xdr:col>
      <xdr:colOff>171249</xdr:colOff>
      <xdr:row>0</xdr:row>
      <xdr:rowOff>0</xdr:rowOff>
    </xdr:from>
    <xdr:to>
      <xdr:col>64</xdr:col>
      <xdr:colOff>151554</xdr:colOff>
      <xdr:row>0</xdr:row>
      <xdr:rowOff>561975</xdr:rowOff>
    </xdr:to>
    <xdr:sp macro="[0]!Navigate_Reporting" textlink="">
      <xdr:nvSpPr>
        <xdr:cNvPr id="20" name="TextBox 19">
          <a:extLst>
            <a:ext uri="{FF2B5EF4-FFF2-40B4-BE49-F238E27FC236}">
              <a16:creationId xmlns:a16="http://schemas.microsoft.com/office/drawing/2014/main" id="{164916D5-9AE0-4D4F-B2E7-57AE95C0FEA8}"/>
            </a:ext>
          </a:extLst>
        </xdr:cNvPr>
        <xdr:cNvSpPr txBox="1">
          <a:spLocks noChangeAspect="1"/>
        </xdr:cNvSpPr>
      </xdr:nvSpPr>
      <xdr:spPr>
        <a:xfrm>
          <a:off x="9458124" y="0"/>
          <a:ext cx="169480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34</xdr:col>
      <xdr:colOff>170402</xdr:colOff>
      <xdr:row>0</xdr:row>
      <xdr:rowOff>1</xdr:rowOff>
    </xdr:from>
    <xdr:to>
      <xdr:col>44</xdr:col>
      <xdr:colOff>151765</xdr:colOff>
      <xdr:row>0</xdr:row>
      <xdr:rowOff>561975</xdr:rowOff>
    </xdr:to>
    <xdr:sp macro="[0]!Navigate_Rehab_Analyzer" textlink="">
      <xdr:nvSpPr>
        <xdr:cNvPr id="21" name="TextBox 20">
          <a:extLst>
            <a:ext uri="{FF2B5EF4-FFF2-40B4-BE49-F238E27FC236}">
              <a16:creationId xmlns:a16="http://schemas.microsoft.com/office/drawing/2014/main" id="{47C851A0-F328-412C-AC9C-E6813BA7CA62}"/>
            </a:ext>
          </a:extLst>
        </xdr:cNvPr>
        <xdr:cNvSpPr txBox="1">
          <a:spLocks noChangeAspect="1"/>
        </xdr:cNvSpPr>
      </xdr:nvSpPr>
      <xdr:spPr>
        <a:xfrm>
          <a:off x="6028277" y="1"/>
          <a:ext cx="1695863" cy="561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45</xdr:col>
      <xdr:colOff>1693</xdr:colOff>
      <xdr:row>0</xdr:row>
      <xdr:rowOff>0</xdr:rowOff>
    </xdr:from>
    <xdr:to>
      <xdr:col>54</xdr:col>
      <xdr:colOff>141827</xdr:colOff>
      <xdr:row>0</xdr:row>
      <xdr:rowOff>561975</xdr:rowOff>
    </xdr:to>
    <xdr:sp macro="[0]!Navigate_Repair_Estimator" textlink="">
      <xdr:nvSpPr>
        <xdr:cNvPr id="22" name="TextBox 21">
          <a:extLst>
            <a:ext uri="{FF2B5EF4-FFF2-40B4-BE49-F238E27FC236}">
              <a16:creationId xmlns:a16="http://schemas.microsoft.com/office/drawing/2014/main" id="{6F619DA3-41DF-4DCC-B1F4-4E91753C9A4A}"/>
            </a:ext>
          </a:extLst>
        </xdr:cNvPr>
        <xdr:cNvSpPr txBox="1">
          <a:spLocks noChangeAspect="1"/>
        </xdr:cNvSpPr>
      </xdr:nvSpPr>
      <xdr:spPr>
        <a:xfrm>
          <a:off x="7745518" y="0"/>
          <a:ext cx="1683184"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25</xdr:col>
      <xdr:colOff>18612</xdr:colOff>
      <xdr:row>0</xdr:row>
      <xdr:rowOff>0</xdr:rowOff>
    </xdr:from>
    <xdr:to>
      <xdr:col>34</xdr:col>
      <xdr:colOff>160442</xdr:colOff>
      <xdr:row>0</xdr:row>
      <xdr:rowOff>561975</xdr:rowOff>
    </xdr:to>
    <xdr:sp macro="[0]!Navigate_Home" textlink="">
      <xdr:nvSpPr>
        <xdr:cNvPr id="24" name="TextBox 23">
          <a:extLst>
            <a:ext uri="{FF2B5EF4-FFF2-40B4-BE49-F238E27FC236}">
              <a16:creationId xmlns:a16="http://schemas.microsoft.com/office/drawing/2014/main" id="{E48D9BD4-3B20-4568-8B5D-4D39054A3689}"/>
            </a:ext>
          </a:extLst>
        </xdr:cNvPr>
        <xdr:cNvSpPr txBox="1">
          <a:spLocks noChangeAspect="1"/>
        </xdr:cNvSpPr>
      </xdr:nvSpPr>
      <xdr:spPr>
        <a:xfrm>
          <a:off x="4333437" y="0"/>
          <a:ext cx="168488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69</xdr:col>
      <xdr:colOff>106257</xdr:colOff>
      <xdr:row>0</xdr:row>
      <xdr:rowOff>153469</xdr:rowOff>
    </xdr:from>
    <xdr:to>
      <xdr:col>71</xdr:col>
      <xdr:colOff>29980</xdr:colOff>
      <xdr:row>0</xdr:row>
      <xdr:rowOff>428836</xdr:rowOff>
    </xdr:to>
    <xdr:pic>
      <xdr:nvPicPr>
        <xdr:cNvPr id="25" name="Picture 24" title="Help">
          <a:hlinkClick xmlns:r="http://schemas.openxmlformats.org/officeDocument/2006/relationships" r:id="rId4"/>
          <a:extLst>
            <a:ext uri="{FF2B5EF4-FFF2-40B4-BE49-F238E27FC236}">
              <a16:creationId xmlns:a16="http://schemas.microsoft.com/office/drawing/2014/main" id="{697D8904-9A36-44F6-9BC7-86378551E13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964882" y="153469"/>
          <a:ext cx="266623" cy="275367"/>
        </a:xfrm>
        <a:prstGeom prst="rect">
          <a:avLst/>
        </a:prstGeom>
      </xdr:spPr>
    </xdr:pic>
    <xdr:clientData/>
  </xdr:twoCellAnchor>
  <xdr:twoCellAnchor editAs="absolute">
    <xdr:from>
      <xdr:col>66</xdr:col>
      <xdr:colOff>68157</xdr:colOff>
      <xdr:row>0</xdr:row>
      <xdr:rowOff>152516</xdr:rowOff>
    </xdr:from>
    <xdr:to>
      <xdr:col>68</xdr:col>
      <xdr:colOff>8891</xdr:colOff>
      <xdr:row>0</xdr:row>
      <xdr:rowOff>428941</xdr:rowOff>
    </xdr:to>
    <xdr:pic macro="[0]!Navigate_Info_Sheet">
      <xdr:nvPicPr>
        <xdr:cNvPr id="26" name="Picture 25">
          <a:extLst>
            <a:ext uri="{FF2B5EF4-FFF2-40B4-BE49-F238E27FC236}">
              <a16:creationId xmlns:a16="http://schemas.microsoft.com/office/drawing/2014/main" id="{C7E30BA5-5602-475A-A403-3F6A08B4417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412432" y="152516"/>
          <a:ext cx="283634" cy="276425"/>
        </a:xfrm>
        <a:prstGeom prst="rect">
          <a:avLst/>
        </a:prstGeom>
      </xdr:spPr>
    </xdr:pic>
    <xdr:clientData/>
  </xdr:twoCellAnchor>
  <xdr:twoCellAnchor editAs="absolute">
    <xdr:from>
      <xdr:col>0</xdr:col>
      <xdr:colOff>0</xdr:colOff>
      <xdr:row>0</xdr:row>
      <xdr:rowOff>0</xdr:rowOff>
    </xdr:from>
    <xdr:to>
      <xdr:col>9</xdr:col>
      <xdr:colOff>93147</xdr:colOff>
      <xdr:row>0</xdr:row>
      <xdr:rowOff>563880</xdr:rowOff>
    </xdr:to>
    <xdr:sp macro="" textlink="">
      <xdr:nvSpPr>
        <xdr:cNvPr id="27" name="TextBox 26">
          <a:extLst>
            <a:ext uri="{FF2B5EF4-FFF2-40B4-BE49-F238E27FC236}">
              <a16:creationId xmlns:a16="http://schemas.microsoft.com/office/drawing/2014/main" id="{194C5E02-EB4F-4A60-98FE-F9925FFC703F}"/>
            </a:ext>
          </a:extLst>
        </xdr:cNvPr>
        <xdr:cNvSpPr txBox="1">
          <a:spLocks noChangeAspect="1"/>
        </xdr:cNvSpPr>
      </xdr:nvSpPr>
      <xdr:spPr>
        <a:xfrm>
          <a:off x="0" y="0"/>
          <a:ext cx="1664772"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65</xdr:col>
      <xdr:colOff>78105</xdr:colOff>
      <xdr:row>0</xdr:row>
      <xdr:rowOff>0</xdr:rowOff>
    </xdr:from>
    <xdr:to>
      <xdr:col>68</xdr:col>
      <xdr:colOff>160683</xdr:colOff>
      <xdr:row>0</xdr:row>
      <xdr:rowOff>563062</xdr:rowOff>
    </xdr:to>
    <xdr:sp macro="" textlink="">
      <xdr:nvSpPr>
        <xdr:cNvPr id="4" name="TextBox 3">
          <a:extLst>
            <a:ext uri="{FF2B5EF4-FFF2-40B4-BE49-F238E27FC236}">
              <a16:creationId xmlns:a16="http://schemas.microsoft.com/office/drawing/2014/main" id="{45AA6FA7-7006-4984-B4B7-74EFF60D77C3}"/>
            </a:ext>
          </a:extLst>
        </xdr:cNvPr>
        <xdr:cNvSpPr txBox="1"/>
      </xdr:nvSpPr>
      <xdr:spPr>
        <a:xfrm>
          <a:off x="11250930" y="0"/>
          <a:ext cx="596928" cy="563062"/>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25</xdr:col>
      <xdr:colOff>161925</xdr:colOff>
      <xdr:row>18</xdr:row>
      <xdr:rowOff>0</xdr:rowOff>
    </xdr:from>
    <xdr:to>
      <xdr:col>28</xdr:col>
      <xdr:colOff>8015</xdr:colOff>
      <xdr:row>19</xdr:row>
      <xdr:rowOff>58860</xdr:rowOff>
    </xdr:to>
    <xdr:pic>
      <xdr:nvPicPr>
        <xdr:cNvPr id="5" name="Funded_Check" hidden="1">
          <a:extLst>
            <a:ext uri="{FF2B5EF4-FFF2-40B4-BE49-F238E27FC236}">
              <a16:creationId xmlns:a16="http://schemas.microsoft.com/office/drawing/2014/main" id="{3C34ADCB-A002-4382-B45C-B270D0D19307}"/>
            </a:ext>
          </a:extLst>
        </xdr:cNvPr>
        <xdr:cNvPicPr>
          <a:picLocks noChangeAspect="1"/>
        </xdr:cNvPicPr>
      </xdr:nvPicPr>
      <xdr:blipFill>
        <a:blip xmlns:r="http://schemas.openxmlformats.org/officeDocument/2006/relationships" r:embed="rId1"/>
        <a:stretch>
          <a:fillRect/>
        </a:stretch>
      </xdr:blipFill>
      <xdr:spPr>
        <a:xfrm>
          <a:off x="4477808" y="4619625"/>
          <a:ext cx="361527" cy="363644"/>
        </a:xfrm>
        <a:prstGeom prst="rect">
          <a:avLst/>
        </a:prstGeom>
      </xdr:spPr>
    </xdr:pic>
    <xdr:clientData/>
  </xdr:twoCellAnchor>
  <xdr:oneCellAnchor>
    <xdr:from>
      <xdr:col>25</xdr:col>
      <xdr:colOff>161925</xdr:colOff>
      <xdr:row>7</xdr:row>
      <xdr:rowOff>0</xdr:rowOff>
    </xdr:from>
    <xdr:ext cx="354330" cy="358140"/>
    <xdr:pic>
      <xdr:nvPicPr>
        <xdr:cNvPr id="17" name="All_Cash_Check" hidden="1">
          <a:extLst>
            <a:ext uri="{FF2B5EF4-FFF2-40B4-BE49-F238E27FC236}">
              <a16:creationId xmlns:a16="http://schemas.microsoft.com/office/drawing/2014/main" id="{35C1A04C-AE08-4D8B-ACFB-84DEDDAC6A86}"/>
            </a:ext>
          </a:extLst>
        </xdr:cNvPr>
        <xdr:cNvPicPr>
          <a:picLocks noChangeAspect="1"/>
        </xdr:cNvPicPr>
      </xdr:nvPicPr>
      <xdr:blipFill>
        <a:blip xmlns:r="http://schemas.openxmlformats.org/officeDocument/2006/relationships" r:embed="rId1"/>
        <a:stretch>
          <a:fillRect/>
        </a:stretch>
      </xdr:blipFill>
      <xdr:spPr>
        <a:xfrm>
          <a:off x="4477808" y="1685925"/>
          <a:ext cx="354330" cy="358140"/>
        </a:xfrm>
        <a:prstGeom prst="rect">
          <a:avLst/>
        </a:prstGeom>
      </xdr:spPr>
    </xdr:pic>
    <xdr:clientData/>
  </xdr:oneCellAnchor>
  <xdr:oneCellAnchor>
    <xdr:from>
      <xdr:col>47</xdr:col>
      <xdr:colOff>161925</xdr:colOff>
      <xdr:row>7</xdr:row>
      <xdr:rowOff>0</xdr:rowOff>
    </xdr:from>
    <xdr:ext cx="354330" cy="358140"/>
    <xdr:pic>
      <xdr:nvPicPr>
        <xdr:cNvPr id="18" name="All_Cash_Check" hidden="1">
          <a:extLst>
            <a:ext uri="{FF2B5EF4-FFF2-40B4-BE49-F238E27FC236}">
              <a16:creationId xmlns:a16="http://schemas.microsoft.com/office/drawing/2014/main" id="{6A01B5FA-DD01-4924-BC25-AD6D6BE66D83}"/>
            </a:ext>
          </a:extLst>
        </xdr:cNvPr>
        <xdr:cNvPicPr>
          <a:picLocks noChangeAspect="1"/>
        </xdr:cNvPicPr>
      </xdr:nvPicPr>
      <xdr:blipFill>
        <a:blip xmlns:r="http://schemas.openxmlformats.org/officeDocument/2006/relationships" r:embed="rId1"/>
        <a:stretch>
          <a:fillRect/>
        </a:stretch>
      </xdr:blipFill>
      <xdr:spPr>
        <a:xfrm>
          <a:off x="8249708" y="1685925"/>
          <a:ext cx="354330" cy="358140"/>
        </a:xfrm>
        <a:prstGeom prst="rect">
          <a:avLst/>
        </a:prstGeom>
      </xdr:spPr>
    </xdr:pic>
    <xdr:clientData/>
  </xdr:oneCellAnchor>
  <xdr:twoCellAnchor editAs="absolute">
    <xdr:from>
      <xdr:col>72</xdr:col>
      <xdr:colOff>65434</xdr:colOff>
      <xdr:row>0</xdr:row>
      <xdr:rowOff>163166</xdr:rowOff>
    </xdr:from>
    <xdr:to>
      <xdr:col>74</xdr:col>
      <xdr:colOff>1694</xdr:colOff>
      <xdr:row>0</xdr:row>
      <xdr:rowOff>436457</xdr:rowOff>
    </xdr:to>
    <xdr:pic macro="[0]!Hide_Category_Setup">
      <xdr:nvPicPr>
        <xdr:cNvPr id="27" name="Picture 26">
          <a:extLst>
            <a:ext uri="{FF2B5EF4-FFF2-40B4-BE49-F238E27FC236}">
              <a16:creationId xmlns:a16="http://schemas.microsoft.com/office/drawing/2014/main" id="{F2629B48-6FB2-4980-A12E-8920B320FDBF}"/>
            </a:ext>
          </a:extLst>
        </xdr:cNvPr>
        <xdr:cNvPicPr>
          <a:picLocks noChangeAspect="1"/>
        </xdr:cNvPicPr>
      </xdr:nvPicPr>
      <xdr:blipFill>
        <a:blip xmlns:r="http://schemas.openxmlformats.org/officeDocument/2006/relationships" r:embed="rId2"/>
        <a:stretch>
          <a:fillRect/>
        </a:stretch>
      </xdr:blipFill>
      <xdr:spPr>
        <a:xfrm>
          <a:off x="12438409" y="163166"/>
          <a:ext cx="279160" cy="273291"/>
        </a:xfrm>
        <a:prstGeom prst="rect">
          <a:avLst/>
        </a:prstGeom>
      </xdr:spPr>
    </xdr:pic>
    <xdr:clientData/>
  </xdr:twoCellAnchor>
  <xdr:oneCellAnchor>
    <xdr:from>
      <xdr:col>28</xdr:col>
      <xdr:colOff>161925</xdr:colOff>
      <xdr:row>7</xdr:row>
      <xdr:rowOff>0</xdr:rowOff>
    </xdr:from>
    <xdr:ext cx="354330" cy="358140"/>
    <xdr:pic>
      <xdr:nvPicPr>
        <xdr:cNvPr id="30" name="All_Cash_Check" hidden="1">
          <a:extLst>
            <a:ext uri="{FF2B5EF4-FFF2-40B4-BE49-F238E27FC236}">
              <a16:creationId xmlns:a16="http://schemas.microsoft.com/office/drawing/2014/main" id="{5B74432F-2356-4ED0-B02F-62A83F8BEAB4}"/>
            </a:ext>
          </a:extLst>
        </xdr:cNvPr>
        <xdr:cNvPicPr>
          <a:picLocks noChangeAspect="1"/>
        </xdr:cNvPicPr>
      </xdr:nvPicPr>
      <xdr:blipFill>
        <a:blip xmlns:r="http://schemas.openxmlformats.org/officeDocument/2006/relationships" r:embed="rId1"/>
        <a:stretch>
          <a:fillRect/>
        </a:stretch>
      </xdr:blipFill>
      <xdr:spPr>
        <a:xfrm>
          <a:off x="4477808" y="1685925"/>
          <a:ext cx="354330" cy="358140"/>
        </a:xfrm>
        <a:prstGeom prst="rect">
          <a:avLst/>
        </a:prstGeom>
      </xdr:spPr>
    </xdr:pic>
    <xdr:clientData/>
  </xdr:oneCellAnchor>
  <xdr:twoCellAnchor>
    <xdr:from>
      <xdr:col>66</xdr:col>
      <xdr:colOff>142875</xdr:colOff>
      <xdr:row>35</xdr:row>
      <xdr:rowOff>10583</xdr:rowOff>
    </xdr:from>
    <xdr:to>
      <xdr:col>78</xdr:col>
      <xdr:colOff>45508</xdr:colOff>
      <xdr:row>37</xdr:row>
      <xdr:rowOff>142241</xdr:rowOff>
    </xdr:to>
    <xdr:sp macro="[0]!Navigate_Repair_Estimator" textlink="">
      <xdr:nvSpPr>
        <xdr:cNvPr id="29" name="Next_Button">
          <a:extLst>
            <a:ext uri="{FF2B5EF4-FFF2-40B4-BE49-F238E27FC236}">
              <a16:creationId xmlns:a16="http://schemas.microsoft.com/office/drawing/2014/main" id="{9C1A749F-66BD-4C7B-98ED-663B5EF6DE98}"/>
            </a:ext>
          </a:extLst>
        </xdr:cNvPr>
        <xdr:cNvSpPr>
          <a:spLocks noChangeAspect="1"/>
        </xdr:cNvSpPr>
      </xdr:nvSpPr>
      <xdr:spPr>
        <a:xfrm>
          <a:off x="11487150" y="10154708"/>
          <a:ext cx="1960033" cy="512658"/>
        </a:xfrm>
        <a:prstGeom prst="roundRect">
          <a:avLst>
            <a:gd name="adj" fmla="val 14815"/>
          </a:avLst>
        </a:prstGeom>
        <a:solidFill>
          <a:srgbClr val="00B050"/>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2000" b="1" i="0">
              <a:solidFill>
                <a:schemeClr val="bg1">
                  <a:lumMod val="95000"/>
                </a:schemeClr>
              </a:solidFill>
              <a:latin typeface="+mn-lt"/>
            </a:rPr>
            <a:t>Back</a:t>
          </a:r>
        </a:p>
      </xdr:txBody>
    </xdr:sp>
    <xdr:clientData/>
  </xdr:twoCellAnchor>
  <xdr:twoCellAnchor editAs="absolute">
    <xdr:from>
      <xdr:col>55</xdr:col>
      <xdr:colOff>1916</xdr:colOff>
      <xdr:row>0</xdr:row>
      <xdr:rowOff>0</xdr:rowOff>
    </xdr:from>
    <xdr:to>
      <xdr:col>64</xdr:col>
      <xdr:colOff>151554</xdr:colOff>
      <xdr:row>0</xdr:row>
      <xdr:rowOff>560917</xdr:rowOff>
    </xdr:to>
    <xdr:sp macro="[0]!Navigate_Reporting" textlink="">
      <xdr:nvSpPr>
        <xdr:cNvPr id="31" name="TextBox 30">
          <a:extLst>
            <a:ext uri="{FF2B5EF4-FFF2-40B4-BE49-F238E27FC236}">
              <a16:creationId xmlns:a16="http://schemas.microsoft.com/office/drawing/2014/main" id="{6F167203-AB48-4C4A-9094-6341EC277AC5}"/>
            </a:ext>
          </a:extLst>
        </xdr:cNvPr>
        <xdr:cNvSpPr txBox="1">
          <a:spLocks noChangeAspect="1"/>
        </xdr:cNvSpPr>
      </xdr:nvSpPr>
      <xdr:spPr>
        <a:xfrm>
          <a:off x="9460241" y="0"/>
          <a:ext cx="1692688"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35</xdr:col>
      <xdr:colOff>1069</xdr:colOff>
      <xdr:row>0</xdr:row>
      <xdr:rowOff>1</xdr:rowOff>
    </xdr:from>
    <xdr:to>
      <xdr:col>44</xdr:col>
      <xdr:colOff>151765</xdr:colOff>
      <xdr:row>0</xdr:row>
      <xdr:rowOff>560917</xdr:rowOff>
    </xdr:to>
    <xdr:sp macro="[0]!Navigate_Rehab_Analyzer" textlink="">
      <xdr:nvSpPr>
        <xdr:cNvPr id="32" name="TextBox 31">
          <a:extLst>
            <a:ext uri="{FF2B5EF4-FFF2-40B4-BE49-F238E27FC236}">
              <a16:creationId xmlns:a16="http://schemas.microsoft.com/office/drawing/2014/main" id="{8989864A-5A64-4254-8C2D-8B481947302A}"/>
            </a:ext>
          </a:extLst>
        </xdr:cNvPr>
        <xdr:cNvSpPr txBox="1">
          <a:spLocks noChangeAspect="1"/>
        </xdr:cNvSpPr>
      </xdr:nvSpPr>
      <xdr:spPr>
        <a:xfrm>
          <a:off x="6030394" y="1"/>
          <a:ext cx="1693746" cy="560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45</xdr:col>
      <xdr:colOff>1693</xdr:colOff>
      <xdr:row>0</xdr:row>
      <xdr:rowOff>0</xdr:rowOff>
    </xdr:from>
    <xdr:to>
      <xdr:col>54</xdr:col>
      <xdr:colOff>140769</xdr:colOff>
      <xdr:row>0</xdr:row>
      <xdr:rowOff>560917</xdr:rowOff>
    </xdr:to>
    <xdr:sp macro="[0]!Navigate_Repair_Estimator" textlink="">
      <xdr:nvSpPr>
        <xdr:cNvPr id="33" name="TextBox 32">
          <a:extLst>
            <a:ext uri="{FF2B5EF4-FFF2-40B4-BE49-F238E27FC236}">
              <a16:creationId xmlns:a16="http://schemas.microsoft.com/office/drawing/2014/main" id="{4384159C-BE49-42BD-ABA9-D37CCE4D9F48}"/>
            </a:ext>
          </a:extLst>
        </xdr:cNvPr>
        <xdr:cNvSpPr txBox="1">
          <a:spLocks noChangeAspect="1"/>
        </xdr:cNvSpPr>
      </xdr:nvSpPr>
      <xdr:spPr>
        <a:xfrm>
          <a:off x="7745518" y="0"/>
          <a:ext cx="1682126"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25</xdr:col>
      <xdr:colOff>20729</xdr:colOff>
      <xdr:row>0</xdr:row>
      <xdr:rowOff>0</xdr:rowOff>
    </xdr:from>
    <xdr:to>
      <xdr:col>34</xdr:col>
      <xdr:colOff>161500</xdr:colOff>
      <xdr:row>0</xdr:row>
      <xdr:rowOff>560917</xdr:rowOff>
    </xdr:to>
    <xdr:sp macro="[0]!Navigate_Home" textlink="">
      <xdr:nvSpPr>
        <xdr:cNvPr id="34" name="TextBox 33">
          <a:extLst>
            <a:ext uri="{FF2B5EF4-FFF2-40B4-BE49-F238E27FC236}">
              <a16:creationId xmlns:a16="http://schemas.microsoft.com/office/drawing/2014/main" id="{F5DE4F9F-6BD7-450E-8ABA-7AC5B02D1F4E}"/>
            </a:ext>
          </a:extLst>
        </xdr:cNvPr>
        <xdr:cNvSpPr txBox="1">
          <a:spLocks noChangeAspect="1"/>
        </xdr:cNvSpPr>
      </xdr:nvSpPr>
      <xdr:spPr>
        <a:xfrm>
          <a:off x="4335554" y="0"/>
          <a:ext cx="1683821"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69</xdr:col>
      <xdr:colOff>105199</xdr:colOff>
      <xdr:row>0</xdr:row>
      <xdr:rowOff>153469</xdr:rowOff>
    </xdr:from>
    <xdr:to>
      <xdr:col>71</xdr:col>
      <xdr:colOff>28922</xdr:colOff>
      <xdr:row>0</xdr:row>
      <xdr:rowOff>429894</xdr:rowOff>
    </xdr:to>
    <xdr:pic>
      <xdr:nvPicPr>
        <xdr:cNvPr id="35" name="Picture 34" title="Help">
          <a:hlinkClick xmlns:r="http://schemas.openxmlformats.org/officeDocument/2006/relationships" r:id="rId3"/>
          <a:extLst>
            <a:ext uri="{FF2B5EF4-FFF2-40B4-BE49-F238E27FC236}">
              <a16:creationId xmlns:a16="http://schemas.microsoft.com/office/drawing/2014/main" id="{B7BC13DE-B222-4AD6-A512-326E6FA92C5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963824" y="153469"/>
          <a:ext cx="266623" cy="276425"/>
        </a:xfrm>
        <a:prstGeom prst="rect">
          <a:avLst/>
        </a:prstGeom>
      </xdr:spPr>
    </xdr:pic>
    <xdr:clientData/>
  </xdr:twoCellAnchor>
  <xdr:twoCellAnchor editAs="absolute">
    <xdr:from>
      <xdr:col>66</xdr:col>
      <xdr:colOff>67099</xdr:colOff>
      <xdr:row>0</xdr:row>
      <xdr:rowOff>152516</xdr:rowOff>
    </xdr:from>
    <xdr:to>
      <xdr:col>68</xdr:col>
      <xdr:colOff>9949</xdr:colOff>
      <xdr:row>0</xdr:row>
      <xdr:rowOff>429999</xdr:rowOff>
    </xdr:to>
    <xdr:pic macro="[0]!Navigate_Info_Sheet">
      <xdr:nvPicPr>
        <xdr:cNvPr id="36" name="Picture 35">
          <a:extLst>
            <a:ext uri="{FF2B5EF4-FFF2-40B4-BE49-F238E27FC236}">
              <a16:creationId xmlns:a16="http://schemas.microsoft.com/office/drawing/2014/main" id="{155FBA62-962E-4C2B-B125-35EB2E32153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411374" y="152516"/>
          <a:ext cx="285750" cy="277483"/>
        </a:xfrm>
        <a:prstGeom prst="rect">
          <a:avLst/>
        </a:prstGeom>
      </xdr:spPr>
    </xdr:pic>
    <xdr:clientData/>
  </xdr:twoCellAnchor>
  <xdr:twoCellAnchor editAs="absolute">
    <xdr:from>
      <xdr:col>0</xdr:col>
      <xdr:colOff>0</xdr:colOff>
      <xdr:row>0</xdr:row>
      <xdr:rowOff>0</xdr:rowOff>
    </xdr:from>
    <xdr:to>
      <xdr:col>9</xdr:col>
      <xdr:colOff>95264</xdr:colOff>
      <xdr:row>0</xdr:row>
      <xdr:rowOff>562822</xdr:rowOff>
    </xdr:to>
    <xdr:sp macro="" textlink="">
      <xdr:nvSpPr>
        <xdr:cNvPr id="37" name="TextBox 36">
          <a:extLst>
            <a:ext uri="{FF2B5EF4-FFF2-40B4-BE49-F238E27FC236}">
              <a16:creationId xmlns:a16="http://schemas.microsoft.com/office/drawing/2014/main" id="{1A5D184C-1FD5-4ACC-A275-344AA4415D0E}"/>
            </a:ext>
          </a:extLst>
        </xdr:cNvPr>
        <xdr:cNvSpPr txBox="1">
          <a:spLocks noChangeAspect="1"/>
        </xdr:cNvSpPr>
      </xdr:nvSpPr>
      <xdr:spPr>
        <a:xfrm>
          <a:off x="0" y="0"/>
          <a:ext cx="1666889" cy="562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65</xdr:col>
      <xdr:colOff>78105</xdr:colOff>
      <xdr:row>0</xdr:row>
      <xdr:rowOff>0</xdr:rowOff>
    </xdr:from>
    <xdr:to>
      <xdr:col>68</xdr:col>
      <xdr:colOff>163105</xdr:colOff>
      <xdr:row>0</xdr:row>
      <xdr:rowOff>561250</xdr:rowOff>
    </xdr:to>
    <xdr:sp macro="" textlink="">
      <xdr:nvSpPr>
        <xdr:cNvPr id="31" name="TextBox 30">
          <a:extLst>
            <a:ext uri="{FF2B5EF4-FFF2-40B4-BE49-F238E27FC236}">
              <a16:creationId xmlns:a16="http://schemas.microsoft.com/office/drawing/2014/main" id="{00000000-0008-0000-0900-00001F000000}"/>
            </a:ext>
          </a:extLst>
        </xdr:cNvPr>
        <xdr:cNvSpPr txBox="1"/>
      </xdr:nvSpPr>
      <xdr:spPr>
        <a:xfrm>
          <a:off x="11250930" y="0"/>
          <a:ext cx="599350" cy="561250"/>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xdr:from>
      <xdr:col>20</xdr:col>
      <xdr:colOff>46168</xdr:colOff>
      <xdr:row>19</xdr:row>
      <xdr:rowOff>242942</xdr:rowOff>
    </xdr:from>
    <xdr:to>
      <xdr:col>27</xdr:col>
      <xdr:colOff>114300</xdr:colOff>
      <xdr:row>21</xdr:row>
      <xdr:rowOff>335279</xdr:rowOff>
    </xdr:to>
    <xdr:sp macro="[0]!Loan1_Purchase_Price_Only" textlink="">
      <xdr:nvSpPr>
        <xdr:cNvPr id="40" name="Rectangle 39">
          <a:extLst>
            <a:ext uri="{FF2B5EF4-FFF2-40B4-BE49-F238E27FC236}">
              <a16:creationId xmlns:a16="http://schemas.microsoft.com/office/drawing/2014/main" id="{00000000-0008-0000-0900-000028000000}"/>
            </a:ext>
          </a:extLst>
        </xdr:cNvPr>
        <xdr:cNvSpPr/>
      </xdr:nvSpPr>
      <xdr:spPr>
        <a:xfrm>
          <a:off x="3421828" y="10453742"/>
          <a:ext cx="1241612" cy="60287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29</xdr:col>
      <xdr:colOff>37204</xdr:colOff>
      <xdr:row>20</xdr:row>
      <xdr:rowOff>29582</xdr:rowOff>
    </xdr:from>
    <xdr:to>
      <xdr:col>36</xdr:col>
      <xdr:colOff>152400</xdr:colOff>
      <xdr:row>21</xdr:row>
      <xdr:rowOff>312419</xdr:rowOff>
    </xdr:to>
    <xdr:sp macro="[0]!Loan1_Repair_Costs_Only" textlink="">
      <xdr:nvSpPr>
        <xdr:cNvPr id="41" name="Rectangle 40">
          <a:extLst>
            <a:ext uri="{FF2B5EF4-FFF2-40B4-BE49-F238E27FC236}">
              <a16:creationId xmlns:a16="http://schemas.microsoft.com/office/drawing/2014/main" id="{00000000-0008-0000-0900-000029000000}"/>
            </a:ext>
          </a:extLst>
        </xdr:cNvPr>
        <xdr:cNvSpPr/>
      </xdr:nvSpPr>
      <xdr:spPr>
        <a:xfrm>
          <a:off x="4921624" y="10484222"/>
          <a:ext cx="1288676" cy="54953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47</xdr:col>
      <xdr:colOff>53789</xdr:colOff>
      <xdr:row>20</xdr:row>
      <xdr:rowOff>29582</xdr:rowOff>
    </xdr:from>
    <xdr:to>
      <xdr:col>54</xdr:col>
      <xdr:colOff>114300</xdr:colOff>
      <xdr:row>21</xdr:row>
      <xdr:rowOff>320040</xdr:rowOff>
    </xdr:to>
    <xdr:sp macro="[0]!Loan1_All_Project_Costs" textlink="">
      <xdr:nvSpPr>
        <xdr:cNvPr id="42" name="Rectangle 41">
          <a:extLst>
            <a:ext uri="{FF2B5EF4-FFF2-40B4-BE49-F238E27FC236}">
              <a16:creationId xmlns:a16="http://schemas.microsoft.com/office/drawing/2014/main" id="{00000000-0008-0000-0900-00002A000000}"/>
            </a:ext>
          </a:extLst>
        </xdr:cNvPr>
        <xdr:cNvSpPr/>
      </xdr:nvSpPr>
      <xdr:spPr>
        <a:xfrm>
          <a:off x="7955729" y="10484222"/>
          <a:ext cx="1233991" cy="557158"/>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56</xdr:col>
      <xdr:colOff>45270</xdr:colOff>
      <xdr:row>20</xdr:row>
      <xdr:rowOff>53787</xdr:rowOff>
    </xdr:from>
    <xdr:to>
      <xdr:col>63</xdr:col>
      <xdr:colOff>121920</xdr:colOff>
      <xdr:row>21</xdr:row>
      <xdr:rowOff>295835</xdr:rowOff>
    </xdr:to>
    <xdr:sp macro="[0]!Loan1_ARV" textlink="">
      <xdr:nvSpPr>
        <xdr:cNvPr id="43" name="Rectangle 42">
          <a:extLst>
            <a:ext uri="{FF2B5EF4-FFF2-40B4-BE49-F238E27FC236}">
              <a16:creationId xmlns:a16="http://schemas.microsoft.com/office/drawing/2014/main" id="{00000000-0008-0000-0900-00002B000000}"/>
            </a:ext>
          </a:extLst>
        </xdr:cNvPr>
        <xdr:cNvSpPr/>
      </xdr:nvSpPr>
      <xdr:spPr>
        <a:xfrm>
          <a:off x="9455970" y="10508427"/>
          <a:ext cx="1250130" cy="508748"/>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65</xdr:col>
      <xdr:colOff>44824</xdr:colOff>
      <xdr:row>20</xdr:row>
      <xdr:rowOff>1</xdr:rowOff>
    </xdr:from>
    <xdr:to>
      <xdr:col>75</xdr:col>
      <xdr:colOff>134471</xdr:colOff>
      <xdr:row>20</xdr:row>
      <xdr:rowOff>259977</xdr:rowOff>
    </xdr:to>
    <xdr:sp macro="[0]!Loan1_Specific_Loan_Amount" textlink="">
      <xdr:nvSpPr>
        <xdr:cNvPr id="44" name="Rectangle 43">
          <a:extLst>
            <a:ext uri="{FF2B5EF4-FFF2-40B4-BE49-F238E27FC236}">
              <a16:creationId xmlns:a16="http://schemas.microsoft.com/office/drawing/2014/main" id="{00000000-0008-0000-0900-00002C000000}"/>
            </a:ext>
          </a:extLst>
        </xdr:cNvPr>
        <xdr:cNvSpPr/>
      </xdr:nvSpPr>
      <xdr:spPr>
        <a:xfrm>
          <a:off x="11134165" y="10255625"/>
          <a:ext cx="1792941" cy="259976"/>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20</xdr:col>
      <xdr:colOff>22860</xdr:colOff>
      <xdr:row>48</xdr:row>
      <xdr:rowOff>45720</xdr:rowOff>
    </xdr:from>
    <xdr:to>
      <xdr:col>21</xdr:col>
      <xdr:colOff>0</xdr:colOff>
      <xdr:row>48</xdr:row>
      <xdr:rowOff>320040</xdr:rowOff>
    </xdr:to>
    <xdr:sp macro="[0]!Loan2_Purchase_Price_Only" textlink="">
      <xdr:nvSpPr>
        <xdr:cNvPr id="45" name="Rectangle 44">
          <a:extLst>
            <a:ext uri="{FF2B5EF4-FFF2-40B4-BE49-F238E27FC236}">
              <a16:creationId xmlns:a16="http://schemas.microsoft.com/office/drawing/2014/main" id="{00000000-0008-0000-0900-00002D000000}"/>
            </a:ext>
          </a:extLst>
        </xdr:cNvPr>
        <xdr:cNvSpPr/>
      </xdr:nvSpPr>
      <xdr:spPr>
        <a:xfrm>
          <a:off x="4465320" y="8221980"/>
          <a:ext cx="28956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29</xdr:col>
      <xdr:colOff>22860</xdr:colOff>
      <xdr:row>48</xdr:row>
      <xdr:rowOff>30480</xdr:rowOff>
    </xdr:from>
    <xdr:to>
      <xdr:col>30</xdr:col>
      <xdr:colOff>0</xdr:colOff>
      <xdr:row>48</xdr:row>
      <xdr:rowOff>304800</xdr:rowOff>
    </xdr:to>
    <xdr:sp macro="[0]!Loan2_Repair_Costs_Only" textlink="">
      <xdr:nvSpPr>
        <xdr:cNvPr id="46" name="Rectangle 45">
          <a:extLst>
            <a:ext uri="{FF2B5EF4-FFF2-40B4-BE49-F238E27FC236}">
              <a16:creationId xmlns:a16="http://schemas.microsoft.com/office/drawing/2014/main" id="{00000000-0008-0000-0900-00002E000000}"/>
            </a:ext>
          </a:extLst>
        </xdr:cNvPr>
        <xdr:cNvSpPr/>
      </xdr:nvSpPr>
      <xdr:spPr>
        <a:xfrm>
          <a:off x="6309360" y="8206740"/>
          <a:ext cx="28956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47</xdr:col>
      <xdr:colOff>22860</xdr:colOff>
      <xdr:row>48</xdr:row>
      <xdr:rowOff>30480</xdr:rowOff>
    </xdr:from>
    <xdr:to>
      <xdr:col>48</xdr:col>
      <xdr:colOff>0</xdr:colOff>
      <xdr:row>48</xdr:row>
      <xdr:rowOff>304800</xdr:rowOff>
    </xdr:to>
    <xdr:sp macro="[0]!Loan2_All_Project_Costs" textlink="">
      <xdr:nvSpPr>
        <xdr:cNvPr id="47" name="Rectangle 46">
          <a:extLst>
            <a:ext uri="{FF2B5EF4-FFF2-40B4-BE49-F238E27FC236}">
              <a16:creationId xmlns:a16="http://schemas.microsoft.com/office/drawing/2014/main" id="{00000000-0008-0000-0900-00002F000000}"/>
            </a:ext>
          </a:extLst>
        </xdr:cNvPr>
        <xdr:cNvSpPr/>
      </xdr:nvSpPr>
      <xdr:spPr>
        <a:xfrm>
          <a:off x="8153400" y="8206740"/>
          <a:ext cx="28956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65</xdr:col>
      <xdr:colOff>22860</xdr:colOff>
      <xdr:row>48</xdr:row>
      <xdr:rowOff>30480</xdr:rowOff>
    </xdr:from>
    <xdr:to>
      <xdr:col>66</xdr:col>
      <xdr:colOff>144780</xdr:colOff>
      <xdr:row>48</xdr:row>
      <xdr:rowOff>304800</xdr:rowOff>
    </xdr:to>
    <xdr:sp macro="[0]!Loan2_Specific_Loan_Amount" textlink="">
      <xdr:nvSpPr>
        <xdr:cNvPr id="49" name="Rectangle 48">
          <a:extLst>
            <a:ext uri="{FF2B5EF4-FFF2-40B4-BE49-F238E27FC236}">
              <a16:creationId xmlns:a16="http://schemas.microsoft.com/office/drawing/2014/main" id="{00000000-0008-0000-0900-000031000000}"/>
            </a:ext>
          </a:extLst>
        </xdr:cNvPr>
        <xdr:cNvSpPr/>
      </xdr:nvSpPr>
      <xdr:spPr>
        <a:xfrm>
          <a:off x="11841480" y="8206740"/>
          <a:ext cx="28956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20</xdr:col>
      <xdr:colOff>22860</xdr:colOff>
      <xdr:row>47</xdr:row>
      <xdr:rowOff>0</xdr:rowOff>
    </xdr:from>
    <xdr:to>
      <xdr:col>28</xdr:col>
      <xdr:colOff>7620</xdr:colOff>
      <xdr:row>48</xdr:row>
      <xdr:rowOff>335280</xdr:rowOff>
    </xdr:to>
    <xdr:sp macro="[0]!Loan2_Purchase_Price_Only" textlink="">
      <xdr:nvSpPr>
        <xdr:cNvPr id="56" name="Rectangle 55">
          <a:extLst>
            <a:ext uri="{FF2B5EF4-FFF2-40B4-BE49-F238E27FC236}">
              <a16:creationId xmlns:a16="http://schemas.microsoft.com/office/drawing/2014/main" id="{00000000-0008-0000-0900-000038000000}"/>
            </a:ext>
          </a:extLst>
        </xdr:cNvPr>
        <xdr:cNvSpPr/>
      </xdr:nvSpPr>
      <xdr:spPr>
        <a:xfrm>
          <a:off x="3398520" y="16314420"/>
          <a:ext cx="1325880" cy="60198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29</xdr:col>
      <xdr:colOff>30480</xdr:colOff>
      <xdr:row>47</xdr:row>
      <xdr:rowOff>15240</xdr:rowOff>
    </xdr:from>
    <xdr:to>
      <xdr:col>36</xdr:col>
      <xdr:colOff>152400</xdr:colOff>
      <xdr:row>48</xdr:row>
      <xdr:rowOff>327660</xdr:rowOff>
    </xdr:to>
    <xdr:sp macro="[0]!Loan2_Repair_Costs_Only" textlink="">
      <xdr:nvSpPr>
        <xdr:cNvPr id="57" name="Rectangle 56">
          <a:extLst>
            <a:ext uri="{FF2B5EF4-FFF2-40B4-BE49-F238E27FC236}">
              <a16:creationId xmlns:a16="http://schemas.microsoft.com/office/drawing/2014/main" id="{00000000-0008-0000-0900-000039000000}"/>
            </a:ext>
          </a:extLst>
        </xdr:cNvPr>
        <xdr:cNvSpPr/>
      </xdr:nvSpPr>
      <xdr:spPr>
        <a:xfrm>
          <a:off x="4914900" y="16329660"/>
          <a:ext cx="1295400" cy="5791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47</xdr:col>
      <xdr:colOff>30480</xdr:colOff>
      <xdr:row>47</xdr:row>
      <xdr:rowOff>0</xdr:rowOff>
    </xdr:from>
    <xdr:to>
      <xdr:col>54</xdr:col>
      <xdr:colOff>129540</xdr:colOff>
      <xdr:row>48</xdr:row>
      <xdr:rowOff>342900</xdr:rowOff>
    </xdr:to>
    <xdr:sp macro="[0]!Loan2_All_Project_Costs" textlink="">
      <xdr:nvSpPr>
        <xdr:cNvPr id="58" name="Rectangle 57">
          <a:extLst>
            <a:ext uri="{FF2B5EF4-FFF2-40B4-BE49-F238E27FC236}">
              <a16:creationId xmlns:a16="http://schemas.microsoft.com/office/drawing/2014/main" id="{00000000-0008-0000-0900-00003A000000}"/>
            </a:ext>
          </a:extLst>
        </xdr:cNvPr>
        <xdr:cNvSpPr/>
      </xdr:nvSpPr>
      <xdr:spPr>
        <a:xfrm>
          <a:off x="7932420" y="16314420"/>
          <a:ext cx="1272540" cy="60960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56</xdr:col>
      <xdr:colOff>76200</xdr:colOff>
      <xdr:row>47</xdr:row>
      <xdr:rowOff>0</xdr:rowOff>
    </xdr:from>
    <xdr:to>
      <xdr:col>63</xdr:col>
      <xdr:colOff>129540</xdr:colOff>
      <xdr:row>48</xdr:row>
      <xdr:rowOff>327660</xdr:rowOff>
    </xdr:to>
    <xdr:sp macro="[0]!Loan2_ARV" textlink="">
      <xdr:nvSpPr>
        <xdr:cNvPr id="59" name="Rectangle 58">
          <a:extLst>
            <a:ext uri="{FF2B5EF4-FFF2-40B4-BE49-F238E27FC236}">
              <a16:creationId xmlns:a16="http://schemas.microsoft.com/office/drawing/2014/main" id="{00000000-0008-0000-0900-00003B000000}"/>
            </a:ext>
          </a:extLst>
        </xdr:cNvPr>
        <xdr:cNvSpPr/>
      </xdr:nvSpPr>
      <xdr:spPr>
        <a:xfrm>
          <a:off x="9486900" y="18912840"/>
          <a:ext cx="1226820" cy="59436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65</xdr:col>
      <xdr:colOff>114300</xdr:colOff>
      <xdr:row>47</xdr:row>
      <xdr:rowOff>0</xdr:rowOff>
    </xdr:from>
    <xdr:to>
      <xdr:col>75</xdr:col>
      <xdr:colOff>121920</xdr:colOff>
      <xdr:row>48</xdr:row>
      <xdr:rowOff>7620</xdr:rowOff>
    </xdr:to>
    <xdr:sp macro="[0]!Loan2_Specific_Loan_Amount" textlink="">
      <xdr:nvSpPr>
        <xdr:cNvPr id="60" name="Rectangle 59">
          <a:extLst>
            <a:ext uri="{FF2B5EF4-FFF2-40B4-BE49-F238E27FC236}">
              <a16:creationId xmlns:a16="http://schemas.microsoft.com/office/drawing/2014/main" id="{00000000-0008-0000-0900-00003C000000}"/>
            </a:ext>
          </a:extLst>
        </xdr:cNvPr>
        <xdr:cNvSpPr/>
      </xdr:nvSpPr>
      <xdr:spPr>
        <a:xfrm>
          <a:off x="11033760" y="18912840"/>
          <a:ext cx="168402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21</xdr:col>
      <xdr:colOff>28575</xdr:colOff>
      <xdr:row>10</xdr:row>
      <xdr:rowOff>9525</xdr:rowOff>
    </xdr:from>
    <xdr:to>
      <xdr:col>33</xdr:col>
      <xdr:colOff>161925</xdr:colOff>
      <xdr:row>10</xdr:row>
      <xdr:rowOff>314325</xdr:rowOff>
    </xdr:to>
    <xdr:sp macro="[0]!All_Cash" textlink="">
      <xdr:nvSpPr>
        <xdr:cNvPr id="3" name="Rectangle 2">
          <a:extLst>
            <a:ext uri="{FF2B5EF4-FFF2-40B4-BE49-F238E27FC236}">
              <a16:creationId xmlns:a16="http://schemas.microsoft.com/office/drawing/2014/main" id="{00000000-0008-0000-0900-000003000000}"/>
            </a:ext>
          </a:extLst>
        </xdr:cNvPr>
        <xdr:cNvSpPr/>
      </xdr:nvSpPr>
      <xdr:spPr>
        <a:xfrm>
          <a:off x="5886450" y="8029575"/>
          <a:ext cx="21907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48</xdr:col>
      <xdr:colOff>28575</xdr:colOff>
      <xdr:row>10</xdr:row>
      <xdr:rowOff>19050</xdr:rowOff>
    </xdr:from>
    <xdr:to>
      <xdr:col>60</xdr:col>
      <xdr:colOff>161925</xdr:colOff>
      <xdr:row>11</xdr:row>
      <xdr:rowOff>0</xdr:rowOff>
    </xdr:to>
    <xdr:sp macro="" textlink="">
      <xdr:nvSpPr>
        <xdr:cNvPr id="50" name="Rectangle 49">
          <a:extLst>
            <a:ext uri="{FF2B5EF4-FFF2-40B4-BE49-F238E27FC236}">
              <a16:creationId xmlns:a16="http://schemas.microsoft.com/office/drawing/2014/main" id="{00000000-0008-0000-0900-000032000000}"/>
            </a:ext>
          </a:extLst>
        </xdr:cNvPr>
        <xdr:cNvSpPr/>
      </xdr:nvSpPr>
      <xdr:spPr>
        <a:xfrm>
          <a:off x="8972550" y="8039100"/>
          <a:ext cx="21907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48</xdr:col>
      <xdr:colOff>28575</xdr:colOff>
      <xdr:row>10</xdr:row>
      <xdr:rowOff>9525</xdr:rowOff>
    </xdr:from>
    <xdr:to>
      <xdr:col>60</xdr:col>
      <xdr:colOff>161925</xdr:colOff>
      <xdr:row>10</xdr:row>
      <xdr:rowOff>314325</xdr:rowOff>
    </xdr:to>
    <xdr:sp macro="[0]!Equity" textlink="">
      <xdr:nvSpPr>
        <xdr:cNvPr id="51" name="Rectangle 50">
          <a:extLst>
            <a:ext uri="{FF2B5EF4-FFF2-40B4-BE49-F238E27FC236}">
              <a16:creationId xmlns:a16="http://schemas.microsoft.com/office/drawing/2014/main" id="{00000000-0008-0000-0900-000033000000}"/>
            </a:ext>
          </a:extLst>
        </xdr:cNvPr>
        <xdr:cNvSpPr/>
      </xdr:nvSpPr>
      <xdr:spPr>
        <a:xfrm>
          <a:off x="8972550" y="8029575"/>
          <a:ext cx="21907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oneCell">
    <xdr:from>
      <xdr:col>34</xdr:col>
      <xdr:colOff>3175</xdr:colOff>
      <xdr:row>9</xdr:row>
      <xdr:rowOff>241089</xdr:rowOff>
    </xdr:from>
    <xdr:to>
      <xdr:col>36</xdr:col>
      <xdr:colOff>28483</xdr:colOff>
      <xdr:row>11</xdr:row>
      <xdr:rowOff>39582</xdr:rowOff>
    </xdr:to>
    <xdr:pic>
      <xdr:nvPicPr>
        <xdr:cNvPr id="4" name="Funded_Check" hidden="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5786966" y="2542964"/>
          <a:ext cx="359410" cy="360469"/>
        </a:xfrm>
        <a:prstGeom prst="rect">
          <a:avLst/>
        </a:prstGeom>
      </xdr:spPr>
    </xdr:pic>
    <xdr:clientData/>
  </xdr:twoCellAnchor>
  <xdr:twoCellAnchor editAs="oneCell">
    <xdr:from>
      <xdr:col>20</xdr:col>
      <xdr:colOff>161925</xdr:colOff>
      <xdr:row>9</xdr:row>
      <xdr:rowOff>238125</xdr:rowOff>
    </xdr:from>
    <xdr:to>
      <xdr:col>23</xdr:col>
      <xdr:colOff>8769</xdr:colOff>
      <xdr:row>11</xdr:row>
      <xdr:rowOff>36618</xdr:rowOff>
    </xdr:to>
    <xdr:pic>
      <xdr:nvPicPr>
        <xdr:cNvPr id="52" name="All_Cash_Check">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1"/>
        <a:stretch>
          <a:fillRect/>
        </a:stretch>
      </xdr:blipFill>
      <xdr:spPr>
        <a:xfrm>
          <a:off x="5848350" y="8010525"/>
          <a:ext cx="365760" cy="365760"/>
        </a:xfrm>
        <a:prstGeom prst="rect">
          <a:avLst/>
        </a:prstGeom>
      </xdr:spPr>
    </xdr:pic>
    <xdr:clientData/>
  </xdr:twoCellAnchor>
  <xdr:twoCellAnchor>
    <xdr:from>
      <xdr:col>20</xdr:col>
      <xdr:colOff>22860</xdr:colOff>
      <xdr:row>21</xdr:row>
      <xdr:rowOff>45720</xdr:rowOff>
    </xdr:from>
    <xdr:to>
      <xdr:col>21</xdr:col>
      <xdr:colOff>129540</xdr:colOff>
      <xdr:row>21</xdr:row>
      <xdr:rowOff>320040</xdr:rowOff>
    </xdr:to>
    <xdr:pic>
      <xdr:nvPicPr>
        <xdr:cNvPr id="53" name="Purchase_Price_Only_Check_Loan1" hidden="1">
          <a:extLst>
            <a:ext uri="{FF2B5EF4-FFF2-40B4-BE49-F238E27FC236}">
              <a16:creationId xmlns:a16="http://schemas.microsoft.com/office/drawing/2014/main" id="{00000000-0008-0000-0900-000035000000}"/>
            </a:ext>
          </a:extLst>
        </xdr:cNvPr>
        <xdr:cNvPicPr>
          <a:picLocks/>
        </xdr:cNvPicPr>
      </xdr:nvPicPr>
      <xdr:blipFill>
        <a:blip xmlns:r="http://schemas.openxmlformats.org/officeDocument/2006/relationships" r:embed="rId1"/>
        <a:stretch>
          <a:fillRect/>
        </a:stretch>
      </xdr:blipFill>
      <xdr:spPr>
        <a:xfrm>
          <a:off x="3398520" y="10767060"/>
          <a:ext cx="274320" cy="274320"/>
        </a:xfrm>
        <a:prstGeom prst="rect">
          <a:avLst/>
        </a:prstGeom>
      </xdr:spPr>
    </xdr:pic>
    <xdr:clientData/>
  </xdr:twoCellAnchor>
  <xdr:twoCellAnchor>
    <xdr:from>
      <xdr:col>29</xdr:col>
      <xdr:colOff>30480</xdr:colOff>
      <xdr:row>21</xdr:row>
      <xdr:rowOff>40005</xdr:rowOff>
    </xdr:from>
    <xdr:to>
      <xdr:col>30</xdr:col>
      <xdr:colOff>137160</xdr:colOff>
      <xdr:row>21</xdr:row>
      <xdr:rowOff>314325</xdr:rowOff>
    </xdr:to>
    <xdr:pic>
      <xdr:nvPicPr>
        <xdr:cNvPr id="54" name="Repair_Costs_Only_Check_Loan1" hidden="1">
          <a:extLst>
            <a:ext uri="{FF2B5EF4-FFF2-40B4-BE49-F238E27FC236}">
              <a16:creationId xmlns:a16="http://schemas.microsoft.com/office/drawing/2014/main" id="{00000000-0008-0000-0900-000036000000}"/>
            </a:ext>
          </a:extLst>
        </xdr:cNvPr>
        <xdr:cNvPicPr>
          <a:picLocks/>
        </xdr:cNvPicPr>
      </xdr:nvPicPr>
      <xdr:blipFill>
        <a:blip xmlns:r="http://schemas.openxmlformats.org/officeDocument/2006/relationships" r:embed="rId1"/>
        <a:stretch>
          <a:fillRect/>
        </a:stretch>
      </xdr:blipFill>
      <xdr:spPr>
        <a:xfrm>
          <a:off x="4914900" y="10761345"/>
          <a:ext cx="274320" cy="274320"/>
        </a:xfrm>
        <a:prstGeom prst="rect">
          <a:avLst/>
        </a:prstGeom>
      </xdr:spPr>
    </xdr:pic>
    <xdr:clientData/>
  </xdr:twoCellAnchor>
  <xdr:twoCellAnchor>
    <xdr:from>
      <xdr:col>47</xdr:col>
      <xdr:colOff>15240</xdr:colOff>
      <xdr:row>21</xdr:row>
      <xdr:rowOff>32385</xdr:rowOff>
    </xdr:from>
    <xdr:to>
      <xdr:col>48</xdr:col>
      <xdr:colOff>121920</xdr:colOff>
      <xdr:row>21</xdr:row>
      <xdr:rowOff>306705</xdr:rowOff>
    </xdr:to>
    <xdr:pic>
      <xdr:nvPicPr>
        <xdr:cNvPr id="61" name="All_Costs_Check_Loan1" hidden="1">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1"/>
        <a:stretch>
          <a:fillRect/>
        </a:stretch>
      </xdr:blipFill>
      <xdr:spPr>
        <a:xfrm>
          <a:off x="7917180" y="10753725"/>
          <a:ext cx="274320" cy="274320"/>
        </a:xfrm>
        <a:prstGeom prst="rect">
          <a:avLst/>
        </a:prstGeom>
      </xdr:spPr>
    </xdr:pic>
    <xdr:clientData/>
  </xdr:twoCellAnchor>
  <xdr:twoCellAnchor>
    <xdr:from>
      <xdr:col>56</xdr:col>
      <xdr:colOff>15240</xdr:colOff>
      <xdr:row>21</xdr:row>
      <xdr:rowOff>38100</xdr:rowOff>
    </xdr:from>
    <xdr:to>
      <xdr:col>57</xdr:col>
      <xdr:colOff>121920</xdr:colOff>
      <xdr:row>21</xdr:row>
      <xdr:rowOff>312420</xdr:rowOff>
    </xdr:to>
    <xdr:pic>
      <xdr:nvPicPr>
        <xdr:cNvPr id="62" name="ARV_Check_Loan1" hidden="1">
          <a:extLst>
            <a:ext uri="{FF2B5EF4-FFF2-40B4-BE49-F238E27FC236}">
              <a16:creationId xmlns:a16="http://schemas.microsoft.com/office/drawing/2014/main" id="{00000000-0008-0000-0900-00003E000000}"/>
            </a:ext>
          </a:extLst>
        </xdr:cNvPr>
        <xdr:cNvPicPr>
          <a:picLocks/>
        </xdr:cNvPicPr>
      </xdr:nvPicPr>
      <xdr:blipFill>
        <a:blip xmlns:r="http://schemas.openxmlformats.org/officeDocument/2006/relationships" r:embed="rId1"/>
        <a:stretch>
          <a:fillRect/>
        </a:stretch>
      </xdr:blipFill>
      <xdr:spPr>
        <a:xfrm>
          <a:off x="9425940" y="10584180"/>
          <a:ext cx="274320" cy="274320"/>
        </a:xfrm>
        <a:prstGeom prst="rect">
          <a:avLst/>
        </a:prstGeom>
      </xdr:spPr>
    </xdr:pic>
    <xdr:clientData/>
  </xdr:twoCellAnchor>
  <xdr:twoCellAnchor>
    <xdr:from>
      <xdr:col>65</xdr:col>
      <xdr:colOff>560</xdr:colOff>
      <xdr:row>21</xdr:row>
      <xdr:rowOff>559</xdr:rowOff>
    </xdr:from>
    <xdr:to>
      <xdr:col>67</xdr:col>
      <xdr:colOff>22300</xdr:colOff>
      <xdr:row>22</xdr:row>
      <xdr:rowOff>13894</xdr:rowOff>
    </xdr:to>
    <xdr:pic>
      <xdr:nvPicPr>
        <xdr:cNvPr id="63" name="Specific_Loan_Amount_Check_Loan1">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1"/>
        <a:stretch>
          <a:fillRect/>
        </a:stretch>
      </xdr:blipFill>
      <xdr:spPr>
        <a:xfrm>
          <a:off x="11089901" y="10704418"/>
          <a:ext cx="362399" cy="371923"/>
        </a:xfrm>
        <a:prstGeom prst="rect">
          <a:avLst/>
        </a:prstGeom>
        <a:ln>
          <a:noFill/>
        </a:ln>
      </xdr:spPr>
    </xdr:pic>
    <xdr:clientData/>
  </xdr:twoCellAnchor>
  <xdr:twoCellAnchor>
    <xdr:from>
      <xdr:col>20</xdr:col>
      <xdr:colOff>24765</xdr:colOff>
      <xdr:row>48</xdr:row>
      <xdr:rowOff>38100</xdr:rowOff>
    </xdr:from>
    <xdr:to>
      <xdr:col>21</xdr:col>
      <xdr:colOff>131445</xdr:colOff>
      <xdr:row>48</xdr:row>
      <xdr:rowOff>312420</xdr:rowOff>
    </xdr:to>
    <xdr:pic>
      <xdr:nvPicPr>
        <xdr:cNvPr id="64" name="Purchase_Price_Only_Check_Loan2" hidden="1">
          <a:extLst>
            <a:ext uri="{FF2B5EF4-FFF2-40B4-BE49-F238E27FC236}">
              <a16:creationId xmlns:a16="http://schemas.microsoft.com/office/drawing/2014/main" id="{00000000-0008-0000-0900-000040000000}"/>
            </a:ext>
          </a:extLst>
        </xdr:cNvPr>
        <xdr:cNvPicPr>
          <a:picLocks/>
        </xdr:cNvPicPr>
      </xdr:nvPicPr>
      <xdr:blipFill>
        <a:blip xmlns:r="http://schemas.openxmlformats.org/officeDocument/2006/relationships" r:embed="rId1"/>
        <a:stretch>
          <a:fillRect/>
        </a:stretch>
      </xdr:blipFill>
      <xdr:spPr>
        <a:xfrm>
          <a:off x="3400425" y="16619220"/>
          <a:ext cx="274320" cy="274320"/>
        </a:xfrm>
        <a:prstGeom prst="rect">
          <a:avLst/>
        </a:prstGeom>
      </xdr:spPr>
    </xdr:pic>
    <xdr:clientData/>
  </xdr:twoCellAnchor>
  <xdr:twoCellAnchor>
    <xdr:from>
      <xdr:col>29</xdr:col>
      <xdr:colOff>15240</xdr:colOff>
      <xdr:row>48</xdr:row>
      <xdr:rowOff>28575</xdr:rowOff>
    </xdr:from>
    <xdr:to>
      <xdr:col>30</xdr:col>
      <xdr:colOff>121920</xdr:colOff>
      <xdr:row>48</xdr:row>
      <xdr:rowOff>302895</xdr:rowOff>
    </xdr:to>
    <xdr:pic>
      <xdr:nvPicPr>
        <xdr:cNvPr id="65" name="Repair_Costs_Only_Check_Loan2" hidden="1">
          <a:extLst>
            <a:ext uri="{FF2B5EF4-FFF2-40B4-BE49-F238E27FC236}">
              <a16:creationId xmlns:a16="http://schemas.microsoft.com/office/drawing/2014/main" id="{00000000-0008-0000-0900-000041000000}"/>
            </a:ext>
          </a:extLst>
        </xdr:cNvPr>
        <xdr:cNvPicPr>
          <a:picLocks/>
        </xdr:cNvPicPr>
      </xdr:nvPicPr>
      <xdr:blipFill>
        <a:blip xmlns:r="http://schemas.openxmlformats.org/officeDocument/2006/relationships" r:embed="rId1"/>
        <a:stretch>
          <a:fillRect/>
        </a:stretch>
      </xdr:blipFill>
      <xdr:spPr>
        <a:xfrm>
          <a:off x="4899660" y="16609695"/>
          <a:ext cx="274320" cy="274320"/>
        </a:xfrm>
        <a:prstGeom prst="rect">
          <a:avLst/>
        </a:prstGeom>
      </xdr:spPr>
    </xdr:pic>
    <xdr:clientData/>
  </xdr:twoCellAnchor>
  <xdr:twoCellAnchor>
    <xdr:from>
      <xdr:col>47</xdr:col>
      <xdr:colOff>9525</xdr:colOff>
      <xdr:row>48</xdr:row>
      <xdr:rowOff>30480</xdr:rowOff>
    </xdr:from>
    <xdr:to>
      <xdr:col>48</xdr:col>
      <xdr:colOff>116205</xdr:colOff>
      <xdr:row>48</xdr:row>
      <xdr:rowOff>304800</xdr:rowOff>
    </xdr:to>
    <xdr:pic>
      <xdr:nvPicPr>
        <xdr:cNvPr id="66" name="All_Costs_Check_Loan2" hidden="1">
          <a:extLst>
            <a:ext uri="{FF2B5EF4-FFF2-40B4-BE49-F238E27FC236}">
              <a16:creationId xmlns:a16="http://schemas.microsoft.com/office/drawing/2014/main" id="{00000000-0008-0000-0900-000042000000}"/>
            </a:ext>
          </a:extLst>
        </xdr:cNvPr>
        <xdr:cNvPicPr>
          <a:picLocks/>
        </xdr:cNvPicPr>
      </xdr:nvPicPr>
      <xdr:blipFill>
        <a:blip xmlns:r="http://schemas.openxmlformats.org/officeDocument/2006/relationships" r:embed="rId1"/>
        <a:stretch>
          <a:fillRect/>
        </a:stretch>
      </xdr:blipFill>
      <xdr:spPr>
        <a:xfrm>
          <a:off x="7911465" y="16611600"/>
          <a:ext cx="274320" cy="274320"/>
        </a:xfrm>
        <a:prstGeom prst="rect">
          <a:avLst/>
        </a:prstGeom>
      </xdr:spPr>
    </xdr:pic>
    <xdr:clientData/>
  </xdr:twoCellAnchor>
  <xdr:twoCellAnchor>
    <xdr:from>
      <xdr:col>56</xdr:col>
      <xdr:colOff>0</xdr:colOff>
      <xdr:row>48</xdr:row>
      <xdr:rowOff>62865</xdr:rowOff>
    </xdr:from>
    <xdr:to>
      <xdr:col>57</xdr:col>
      <xdr:colOff>106680</xdr:colOff>
      <xdr:row>48</xdr:row>
      <xdr:rowOff>337185</xdr:rowOff>
    </xdr:to>
    <xdr:pic>
      <xdr:nvPicPr>
        <xdr:cNvPr id="67" name="ARV_Check_Loan2" hidden="1">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1"/>
        <a:stretch>
          <a:fillRect/>
        </a:stretch>
      </xdr:blipFill>
      <xdr:spPr>
        <a:xfrm>
          <a:off x="9410700" y="16643985"/>
          <a:ext cx="274320" cy="274320"/>
        </a:xfrm>
        <a:prstGeom prst="rect">
          <a:avLst/>
        </a:prstGeom>
      </xdr:spPr>
    </xdr:pic>
    <xdr:clientData/>
  </xdr:twoCellAnchor>
  <xdr:twoCellAnchor>
    <xdr:from>
      <xdr:col>64</xdr:col>
      <xdr:colOff>161925</xdr:colOff>
      <xdr:row>48</xdr:row>
      <xdr:rowOff>0</xdr:rowOff>
    </xdr:from>
    <xdr:to>
      <xdr:col>67</xdr:col>
      <xdr:colOff>13335</xdr:colOff>
      <xdr:row>49</xdr:row>
      <xdr:rowOff>13335</xdr:rowOff>
    </xdr:to>
    <xdr:pic>
      <xdr:nvPicPr>
        <xdr:cNvPr id="68" name="Specific_Loan_Amount_Check_Loan2">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1"/>
        <a:stretch>
          <a:fillRect/>
        </a:stretch>
      </xdr:blipFill>
      <xdr:spPr>
        <a:xfrm>
          <a:off x="11506200" y="15420975"/>
          <a:ext cx="365760" cy="365760"/>
        </a:xfrm>
        <a:prstGeom prst="rect">
          <a:avLst/>
        </a:prstGeom>
      </xdr:spPr>
    </xdr:pic>
    <xdr:clientData/>
  </xdr:twoCellAnchor>
  <xdr:twoCellAnchor>
    <xdr:from>
      <xdr:col>29</xdr:col>
      <xdr:colOff>0</xdr:colOff>
      <xdr:row>21</xdr:row>
      <xdr:rowOff>9525</xdr:rowOff>
    </xdr:from>
    <xdr:to>
      <xdr:col>30</xdr:col>
      <xdr:colOff>22860</xdr:colOff>
      <xdr:row>22</xdr:row>
      <xdr:rowOff>22860</xdr:rowOff>
    </xdr:to>
    <xdr:pic>
      <xdr:nvPicPr>
        <xdr:cNvPr id="81" name="Repair_Costs_Only_Check_Loan1" hidden="1">
          <a:extLst>
            <a:ext uri="{FF2B5EF4-FFF2-40B4-BE49-F238E27FC236}">
              <a16:creationId xmlns:a16="http://schemas.microsoft.com/office/drawing/2014/main" id="{05C1DD5D-2935-4706-84AB-4A4D1F2F468E}"/>
            </a:ext>
          </a:extLst>
        </xdr:cNvPr>
        <xdr:cNvPicPr>
          <a:picLocks noChangeAspect="1"/>
        </xdr:cNvPicPr>
      </xdr:nvPicPr>
      <xdr:blipFill>
        <a:blip xmlns:r="http://schemas.openxmlformats.org/officeDocument/2006/relationships" r:embed="rId1"/>
        <a:stretch>
          <a:fillRect/>
        </a:stretch>
      </xdr:blipFill>
      <xdr:spPr>
        <a:xfrm>
          <a:off x="15718971" y="12636954"/>
          <a:ext cx="349432" cy="339906"/>
        </a:xfrm>
        <a:prstGeom prst="rect">
          <a:avLst/>
        </a:prstGeom>
      </xdr:spPr>
    </xdr:pic>
    <xdr:clientData/>
  </xdr:twoCellAnchor>
  <xdr:oneCellAnchor>
    <xdr:from>
      <xdr:col>20</xdr:col>
      <xdr:colOff>161925</xdr:colOff>
      <xdr:row>7</xdr:row>
      <xdr:rowOff>0</xdr:rowOff>
    </xdr:from>
    <xdr:ext cx="354330" cy="358140"/>
    <xdr:pic>
      <xdr:nvPicPr>
        <xdr:cNvPr id="88" name="All_Cash_Check" hidden="1">
          <a:extLst>
            <a:ext uri="{FF2B5EF4-FFF2-40B4-BE49-F238E27FC236}">
              <a16:creationId xmlns:a16="http://schemas.microsoft.com/office/drawing/2014/main" id="{561D436F-86D8-493B-980C-2B032035F0F2}"/>
            </a:ext>
          </a:extLst>
        </xdr:cNvPr>
        <xdr:cNvPicPr>
          <a:picLocks noChangeAspect="1"/>
        </xdr:cNvPicPr>
      </xdr:nvPicPr>
      <xdr:blipFill>
        <a:blip xmlns:r="http://schemas.openxmlformats.org/officeDocument/2006/relationships" r:embed="rId1"/>
        <a:stretch>
          <a:fillRect/>
        </a:stretch>
      </xdr:blipFill>
      <xdr:spPr>
        <a:xfrm>
          <a:off x="5549265" y="10113645"/>
          <a:ext cx="354330" cy="358140"/>
        </a:xfrm>
        <a:prstGeom prst="rect">
          <a:avLst/>
        </a:prstGeom>
      </xdr:spPr>
    </xdr:pic>
    <xdr:clientData/>
  </xdr:oneCellAnchor>
  <xdr:twoCellAnchor>
    <xdr:from>
      <xdr:col>33</xdr:col>
      <xdr:colOff>28575</xdr:colOff>
      <xdr:row>14</xdr:row>
      <xdr:rowOff>9525</xdr:rowOff>
    </xdr:from>
    <xdr:to>
      <xdr:col>45</xdr:col>
      <xdr:colOff>161925</xdr:colOff>
      <xdr:row>14</xdr:row>
      <xdr:rowOff>314325</xdr:rowOff>
    </xdr:to>
    <xdr:sp macro="[0]!Number_of_Loans1" textlink="">
      <xdr:nvSpPr>
        <xdr:cNvPr id="89" name="Rectangle 88">
          <a:extLst>
            <a:ext uri="{FF2B5EF4-FFF2-40B4-BE49-F238E27FC236}">
              <a16:creationId xmlns:a16="http://schemas.microsoft.com/office/drawing/2014/main" id="{559B0B3A-228E-4D05-94D5-363E322CF3BC}"/>
            </a:ext>
          </a:extLst>
        </xdr:cNvPr>
        <xdr:cNvSpPr/>
      </xdr:nvSpPr>
      <xdr:spPr>
        <a:xfrm>
          <a:off x="5583555" y="8094345"/>
          <a:ext cx="214503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51</xdr:col>
      <xdr:colOff>28575</xdr:colOff>
      <xdr:row>14</xdr:row>
      <xdr:rowOff>19050</xdr:rowOff>
    </xdr:from>
    <xdr:to>
      <xdr:col>63</xdr:col>
      <xdr:colOff>161925</xdr:colOff>
      <xdr:row>15</xdr:row>
      <xdr:rowOff>0</xdr:rowOff>
    </xdr:to>
    <xdr:sp macro="" textlink="">
      <xdr:nvSpPr>
        <xdr:cNvPr id="90" name="Rectangle 89">
          <a:extLst>
            <a:ext uri="{FF2B5EF4-FFF2-40B4-BE49-F238E27FC236}">
              <a16:creationId xmlns:a16="http://schemas.microsoft.com/office/drawing/2014/main" id="{0871999C-4D9D-43B1-ADD8-90AC115E64CC}"/>
            </a:ext>
          </a:extLst>
        </xdr:cNvPr>
        <xdr:cNvSpPr/>
      </xdr:nvSpPr>
      <xdr:spPr>
        <a:xfrm>
          <a:off x="8601075" y="8103870"/>
          <a:ext cx="2145030" cy="30099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51</xdr:col>
      <xdr:colOff>28575</xdr:colOff>
      <xdr:row>14</xdr:row>
      <xdr:rowOff>9525</xdr:rowOff>
    </xdr:from>
    <xdr:to>
      <xdr:col>63</xdr:col>
      <xdr:colOff>161925</xdr:colOff>
      <xdr:row>14</xdr:row>
      <xdr:rowOff>314325</xdr:rowOff>
    </xdr:to>
    <xdr:sp macro="[0]!Number_of_Loans2" textlink="">
      <xdr:nvSpPr>
        <xdr:cNvPr id="91" name="Rectangle 90">
          <a:extLst>
            <a:ext uri="{FF2B5EF4-FFF2-40B4-BE49-F238E27FC236}">
              <a16:creationId xmlns:a16="http://schemas.microsoft.com/office/drawing/2014/main" id="{A3F95801-A33C-4108-895F-E5AD763338DF}"/>
            </a:ext>
          </a:extLst>
        </xdr:cNvPr>
        <xdr:cNvSpPr/>
      </xdr:nvSpPr>
      <xdr:spPr>
        <a:xfrm>
          <a:off x="8601075" y="8094345"/>
          <a:ext cx="214503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50</xdr:col>
      <xdr:colOff>161925</xdr:colOff>
      <xdr:row>13</xdr:row>
      <xdr:rowOff>228600</xdr:rowOff>
    </xdr:from>
    <xdr:to>
      <xdr:col>53</xdr:col>
      <xdr:colOff>13335</xdr:colOff>
      <xdr:row>15</xdr:row>
      <xdr:rowOff>22860</xdr:rowOff>
    </xdr:to>
    <xdr:pic>
      <xdr:nvPicPr>
        <xdr:cNvPr id="92" name="2Loan_Check" hidden="1">
          <a:extLst>
            <a:ext uri="{FF2B5EF4-FFF2-40B4-BE49-F238E27FC236}">
              <a16:creationId xmlns:a16="http://schemas.microsoft.com/office/drawing/2014/main" id="{53CED89B-7ADF-48BB-AEE0-6577802DD670}"/>
            </a:ext>
          </a:extLst>
        </xdr:cNvPr>
        <xdr:cNvPicPr>
          <a:picLocks noChangeAspect="1"/>
        </xdr:cNvPicPr>
      </xdr:nvPicPr>
      <xdr:blipFill>
        <a:blip xmlns:r="http://schemas.openxmlformats.org/officeDocument/2006/relationships" r:embed="rId1"/>
        <a:stretch>
          <a:fillRect/>
        </a:stretch>
      </xdr:blipFill>
      <xdr:spPr>
        <a:xfrm>
          <a:off x="8566785" y="9525000"/>
          <a:ext cx="354330" cy="358140"/>
        </a:xfrm>
        <a:prstGeom prst="rect">
          <a:avLst/>
        </a:prstGeom>
      </xdr:spPr>
    </xdr:pic>
    <xdr:clientData/>
  </xdr:twoCellAnchor>
  <xdr:oneCellAnchor>
    <xdr:from>
      <xdr:col>32</xdr:col>
      <xdr:colOff>161925</xdr:colOff>
      <xdr:row>14</xdr:row>
      <xdr:rowOff>0</xdr:rowOff>
    </xdr:from>
    <xdr:ext cx="354330" cy="358140"/>
    <xdr:pic>
      <xdr:nvPicPr>
        <xdr:cNvPr id="103" name="All_Cash_Check" hidden="1">
          <a:extLst>
            <a:ext uri="{FF2B5EF4-FFF2-40B4-BE49-F238E27FC236}">
              <a16:creationId xmlns:a16="http://schemas.microsoft.com/office/drawing/2014/main" id="{6B3CFD22-70BC-4222-B159-E512533A297C}"/>
            </a:ext>
          </a:extLst>
        </xdr:cNvPr>
        <xdr:cNvPicPr>
          <a:picLocks noChangeAspect="1"/>
        </xdr:cNvPicPr>
      </xdr:nvPicPr>
      <xdr:blipFill>
        <a:blip xmlns:r="http://schemas.openxmlformats.org/officeDocument/2006/relationships" r:embed="rId1"/>
        <a:stretch>
          <a:fillRect/>
        </a:stretch>
      </xdr:blipFill>
      <xdr:spPr>
        <a:xfrm>
          <a:off x="5549265" y="8079105"/>
          <a:ext cx="354330" cy="358140"/>
        </a:xfrm>
        <a:prstGeom prst="rect">
          <a:avLst/>
        </a:prstGeom>
      </xdr:spPr>
    </xdr:pic>
    <xdr:clientData/>
  </xdr:oneCellAnchor>
  <xdr:twoCellAnchor>
    <xdr:from>
      <xdr:col>38</xdr:col>
      <xdr:colOff>53789</xdr:colOff>
      <xdr:row>20</xdr:row>
      <xdr:rowOff>29582</xdr:rowOff>
    </xdr:from>
    <xdr:to>
      <xdr:col>45</xdr:col>
      <xdr:colOff>114300</xdr:colOff>
      <xdr:row>21</xdr:row>
      <xdr:rowOff>320040</xdr:rowOff>
    </xdr:to>
    <xdr:sp macro="[0]!Loan1_Purchase_And_Repairs" textlink="">
      <xdr:nvSpPr>
        <xdr:cNvPr id="106" name="Rectangle 105">
          <a:extLst>
            <a:ext uri="{FF2B5EF4-FFF2-40B4-BE49-F238E27FC236}">
              <a16:creationId xmlns:a16="http://schemas.microsoft.com/office/drawing/2014/main" id="{AD7DC4DA-6AD5-4099-850E-DEB498FF4826}"/>
            </a:ext>
          </a:extLst>
        </xdr:cNvPr>
        <xdr:cNvSpPr/>
      </xdr:nvSpPr>
      <xdr:spPr>
        <a:xfrm>
          <a:off x="7955729" y="10484222"/>
          <a:ext cx="1233991" cy="557158"/>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38</xdr:col>
      <xdr:colOff>15240</xdr:colOff>
      <xdr:row>21</xdr:row>
      <xdr:rowOff>32385</xdr:rowOff>
    </xdr:from>
    <xdr:to>
      <xdr:col>39</xdr:col>
      <xdr:colOff>121920</xdr:colOff>
      <xdr:row>21</xdr:row>
      <xdr:rowOff>306705</xdr:rowOff>
    </xdr:to>
    <xdr:pic>
      <xdr:nvPicPr>
        <xdr:cNvPr id="107" name="All_Costs_Check_Loan1" hidden="1">
          <a:extLst>
            <a:ext uri="{FF2B5EF4-FFF2-40B4-BE49-F238E27FC236}">
              <a16:creationId xmlns:a16="http://schemas.microsoft.com/office/drawing/2014/main" id="{40624643-6B3A-4E8F-8157-1C2AA5460E26}"/>
            </a:ext>
          </a:extLst>
        </xdr:cNvPr>
        <xdr:cNvPicPr>
          <a:picLocks noChangeAspect="1"/>
        </xdr:cNvPicPr>
      </xdr:nvPicPr>
      <xdr:blipFill>
        <a:blip xmlns:r="http://schemas.openxmlformats.org/officeDocument/2006/relationships" r:embed="rId1"/>
        <a:stretch>
          <a:fillRect/>
        </a:stretch>
      </xdr:blipFill>
      <xdr:spPr>
        <a:xfrm>
          <a:off x="7917180" y="10753725"/>
          <a:ext cx="274320" cy="274320"/>
        </a:xfrm>
        <a:prstGeom prst="rect">
          <a:avLst/>
        </a:prstGeom>
      </xdr:spPr>
    </xdr:pic>
    <xdr:clientData/>
  </xdr:twoCellAnchor>
  <xdr:twoCellAnchor>
    <xdr:from>
      <xdr:col>20</xdr:col>
      <xdr:colOff>30480</xdr:colOff>
      <xdr:row>21</xdr:row>
      <xdr:rowOff>40005</xdr:rowOff>
    </xdr:from>
    <xdr:to>
      <xdr:col>21</xdr:col>
      <xdr:colOff>137160</xdr:colOff>
      <xdr:row>21</xdr:row>
      <xdr:rowOff>314325</xdr:rowOff>
    </xdr:to>
    <xdr:pic>
      <xdr:nvPicPr>
        <xdr:cNvPr id="108" name="Repair_Costs_Only_Check_Loan1" hidden="1">
          <a:extLst>
            <a:ext uri="{FF2B5EF4-FFF2-40B4-BE49-F238E27FC236}">
              <a16:creationId xmlns:a16="http://schemas.microsoft.com/office/drawing/2014/main" id="{28E88C14-C675-44D0-8199-A5558B90BA38}"/>
            </a:ext>
          </a:extLst>
        </xdr:cNvPr>
        <xdr:cNvPicPr>
          <a:picLocks/>
        </xdr:cNvPicPr>
      </xdr:nvPicPr>
      <xdr:blipFill>
        <a:blip xmlns:r="http://schemas.openxmlformats.org/officeDocument/2006/relationships" r:embed="rId1"/>
        <a:stretch>
          <a:fillRect/>
        </a:stretch>
      </xdr:blipFill>
      <xdr:spPr>
        <a:xfrm>
          <a:off x="4914900" y="10761345"/>
          <a:ext cx="274320" cy="274320"/>
        </a:xfrm>
        <a:prstGeom prst="rect">
          <a:avLst/>
        </a:prstGeom>
      </xdr:spPr>
    </xdr:pic>
    <xdr:clientData/>
  </xdr:twoCellAnchor>
  <xdr:twoCellAnchor>
    <xdr:from>
      <xdr:col>20</xdr:col>
      <xdr:colOff>0</xdr:colOff>
      <xdr:row>21</xdr:row>
      <xdr:rowOff>9525</xdr:rowOff>
    </xdr:from>
    <xdr:to>
      <xdr:col>21</xdr:col>
      <xdr:colOff>22860</xdr:colOff>
      <xdr:row>22</xdr:row>
      <xdr:rowOff>22860</xdr:rowOff>
    </xdr:to>
    <xdr:pic>
      <xdr:nvPicPr>
        <xdr:cNvPr id="109" name="Repair_Costs_Only_Check_Loan1" hidden="1">
          <a:extLst>
            <a:ext uri="{FF2B5EF4-FFF2-40B4-BE49-F238E27FC236}">
              <a16:creationId xmlns:a16="http://schemas.microsoft.com/office/drawing/2014/main" id="{DD80EB17-3A17-4CF8-830A-FFF3E3666E7F}"/>
            </a:ext>
          </a:extLst>
        </xdr:cNvPr>
        <xdr:cNvPicPr>
          <a:picLocks noChangeAspect="1"/>
        </xdr:cNvPicPr>
      </xdr:nvPicPr>
      <xdr:blipFill>
        <a:blip xmlns:r="http://schemas.openxmlformats.org/officeDocument/2006/relationships" r:embed="rId1"/>
        <a:stretch>
          <a:fillRect/>
        </a:stretch>
      </xdr:blipFill>
      <xdr:spPr>
        <a:xfrm>
          <a:off x="4884420" y="10730865"/>
          <a:ext cx="190500" cy="371475"/>
        </a:xfrm>
        <a:prstGeom prst="rect">
          <a:avLst/>
        </a:prstGeom>
      </xdr:spPr>
    </xdr:pic>
    <xdr:clientData/>
  </xdr:twoCellAnchor>
  <xdr:twoCellAnchor>
    <xdr:from>
      <xdr:col>32</xdr:col>
      <xdr:colOff>161925</xdr:colOff>
      <xdr:row>13</xdr:row>
      <xdr:rowOff>238125</xdr:rowOff>
    </xdr:from>
    <xdr:to>
      <xdr:col>35</xdr:col>
      <xdr:colOff>13335</xdr:colOff>
      <xdr:row>15</xdr:row>
      <xdr:rowOff>32385</xdr:rowOff>
    </xdr:to>
    <xdr:pic>
      <xdr:nvPicPr>
        <xdr:cNvPr id="110" name="1Loan_Check" hidden="1">
          <a:extLst>
            <a:ext uri="{FF2B5EF4-FFF2-40B4-BE49-F238E27FC236}">
              <a16:creationId xmlns:a16="http://schemas.microsoft.com/office/drawing/2014/main" id="{DBEC228E-F13A-421A-979A-5898021FFBC4}"/>
            </a:ext>
          </a:extLst>
        </xdr:cNvPr>
        <xdr:cNvPicPr>
          <a:picLocks noChangeAspect="1"/>
        </xdr:cNvPicPr>
      </xdr:nvPicPr>
      <xdr:blipFill>
        <a:blip xmlns:r="http://schemas.openxmlformats.org/officeDocument/2006/relationships" r:embed="rId1"/>
        <a:stretch>
          <a:fillRect/>
        </a:stretch>
      </xdr:blipFill>
      <xdr:spPr>
        <a:xfrm>
          <a:off x="5549265" y="9176385"/>
          <a:ext cx="354330" cy="358140"/>
        </a:xfrm>
        <a:prstGeom prst="rect">
          <a:avLst/>
        </a:prstGeom>
      </xdr:spPr>
    </xdr:pic>
    <xdr:clientData/>
  </xdr:twoCellAnchor>
  <xdr:twoCellAnchor>
    <xdr:from>
      <xdr:col>38</xdr:col>
      <xdr:colOff>22860</xdr:colOff>
      <xdr:row>48</xdr:row>
      <xdr:rowOff>30480</xdr:rowOff>
    </xdr:from>
    <xdr:to>
      <xdr:col>39</xdr:col>
      <xdr:colOff>0</xdr:colOff>
      <xdr:row>48</xdr:row>
      <xdr:rowOff>304800</xdr:rowOff>
    </xdr:to>
    <xdr:sp macro="[0]!Loan2_All_Project_Costs" textlink="">
      <xdr:nvSpPr>
        <xdr:cNvPr id="115" name="Rectangle 114">
          <a:extLst>
            <a:ext uri="{FF2B5EF4-FFF2-40B4-BE49-F238E27FC236}">
              <a16:creationId xmlns:a16="http://schemas.microsoft.com/office/drawing/2014/main" id="{3B58752D-6E94-401D-9211-037E9B9F8771}"/>
            </a:ext>
          </a:extLst>
        </xdr:cNvPr>
        <xdr:cNvSpPr/>
      </xdr:nvSpPr>
      <xdr:spPr>
        <a:xfrm>
          <a:off x="23242089" y="16620309"/>
          <a:ext cx="194854"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38</xdr:col>
      <xdr:colOff>53340</xdr:colOff>
      <xdr:row>47</xdr:row>
      <xdr:rowOff>0</xdr:rowOff>
    </xdr:from>
    <xdr:to>
      <xdr:col>45</xdr:col>
      <xdr:colOff>114300</xdr:colOff>
      <xdr:row>48</xdr:row>
      <xdr:rowOff>304800</xdr:rowOff>
    </xdr:to>
    <xdr:sp macro="[0]!Loan2_Purchase_And_Repairs" textlink="">
      <xdr:nvSpPr>
        <xdr:cNvPr id="116" name="Rectangle 115">
          <a:extLst>
            <a:ext uri="{FF2B5EF4-FFF2-40B4-BE49-F238E27FC236}">
              <a16:creationId xmlns:a16="http://schemas.microsoft.com/office/drawing/2014/main" id="{723F59C2-2B57-445A-A407-2B23FD3FAF0B}"/>
            </a:ext>
          </a:extLst>
        </xdr:cNvPr>
        <xdr:cNvSpPr/>
      </xdr:nvSpPr>
      <xdr:spPr>
        <a:xfrm>
          <a:off x="6446520" y="18912840"/>
          <a:ext cx="1234440" cy="57150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37</xdr:col>
      <xdr:colOff>161925</xdr:colOff>
      <xdr:row>48</xdr:row>
      <xdr:rowOff>0</xdr:rowOff>
    </xdr:from>
    <xdr:to>
      <xdr:col>39</xdr:col>
      <xdr:colOff>13335</xdr:colOff>
      <xdr:row>49</xdr:row>
      <xdr:rowOff>13335</xdr:rowOff>
    </xdr:to>
    <xdr:pic>
      <xdr:nvPicPr>
        <xdr:cNvPr id="117" name="All_Costs_Check_Loan2" hidden="1">
          <a:extLst>
            <a:ext uri="{FF2B5EF4-FFF2-40B4-BE49-F238E27FC236}">
              <a16:creationId xmlns:a16="http://schemas.microsoft.com/office/drawing/2014/main" id="{AE18D556-D4C0-413C-BCAF-671D4AFA5FD7}"/>
            </a:ext>
          </a:extLst>
        </xdr:cNvPr>
        <xdr:cNvPicPr>
          <a:picLocks noChangeAspect="1"/>
        </xdr:cNvPicPr>
      </xdr:nvPicPr>
      <xdr:blipFill>
        <a:blip xmlns:r="http://schemas.openxmlformats.org/officeDocument/2006/relationships" r:embed="rId1"/>
        <a:stretch>
          <a:fillRect/>
        </a:stretch>
      </xdr:blipFill>
      <xdr:spPr>
        <a:xfrm>
          <a:off x="23163439" y="16589829"/>
          <a:ext cx="286839" cy="372563"/>
        </a:xfrm>
        <a:prstGeom prst="rect">
          <a:avLst/>
        </a:prstGeom>
      </xdr:spPr>
    </xdr:pic>
    <xdr:clientData/>
  </xdr:twoCellAnchor>
  <xdr:twoCellAnchor>
    <xdr:from>
      <xdr:col>20</xdr:col>
      <xdr:colOff>0</xdr:colOff>
      <xdr:row>47</xdr:row>
      <xdr:rowOff>257175</xdr:rowOff>
    </xdr:from>
    <xdr:to>
      <xdr:col>21</xdr:col>
      <xdr:colOff>22860</xdr:colOff>
      <xdr:row>49</xdr:row>
      <xdr:rowOff>3810</xdr:rowOff>
    </xdr:to>
    <xdr:pic>
      <xdr:nvPicPr>
        <xdr:cNvPr id="119" name="Repair_Costs_Only_Check_Loan2" hidden="1">
          <a:extLst>
            <a:ext uri="{FF2B5EF4-FFF2-40B4-BE49-F238E27FC236}">
              <a16:creationId xmlns:a16="http://schemas.microsoft.com/office/drawing/2014/main" id="{D956CF8A-3F4C-4936-9D1B-33BAC8E15367}"/>
            </a:ext>
          </a:extLst>
        </xdr:cNvPr>
        <xdr:cNvPicPr>
          <a:picLocks noChangeAspect="1"/>
        </xdr:cNvPicPr>
      </xdr:nvPicPr>
      <xdr:blipFill>
        <a:blip xmlns:r="http://schemas.openxmlformats.org/officeDocument/2006/relationships" r:embed="rId1"/>
        <a:stretch>
          <a:fillRect/>
        </a:stretch>
      </xdr:blipFill>
      <xdr:spPr>
        <a:xfrm>
          <a:off x="4884420" y="16571595"/>
          <a:ext cx="190500" cy="371475"/>
        </a:xfrm>
        <a:prstGeom prst="rect">
          <a:avLst/>
        </a:prstGeom>
      </xdr:spPr>
    </xdr:pic>
    <xdr:clientData/>
  </xdr:twoCellAnchor>
  <xdr:twoCellAnchor>
    <xdr:from>
      <xdr:col>29</xdr:col>
      <xdr:colOff>22860</xdr:colOff>
      <xdr:row>48</xdr:row>
      <xdr:rowOff>30480</xdr:rowOff>
    </xdr:from>
    <xdr:to>
      <xdr:col>30</xdr:col>
      <xdr:colOff>0</xdr:colOff>
      <xdr:row>48</xdr:row>
      <xdr:rowOff>304800</xdr:rowOff>
    </xdr:to>
    <xdr:sp macro="[0]!Loan2_All_Project_Costs" textlink="">
      <xdr:nvSpPr>
        <xdr:cNvPr id="120" name="Rectangle 119">
          <a:extLst>
            <a:ext uri="{FF2B5EF4-FFF2-40B4-BE49-F238E27FC236}">
              <a16:creationId xmlns:a16="http://schemas.microsoft.com/office/drawing/2014/main" id="{2469F058-7855-48A2-9380-D752DBB9F2F5}"/>
            </a:ext>
          </a:extLst>
        </xdr:cNvPr>
        <xdr:cNvSpPr/>
      </xdr:nvSpPr>
      <xdr:spPr>
        <a:xfrm>
          <a:off x="6416040" y="16611600"/>
          <a:ext cx="14478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28</xdr:col>
      <xdr:colOff>161925</xdr:colOff>
      <xdr:row>48</xdr:row>
      <xdr:rowOff>0</xdr:rowOff>
    </xdr:from>
    <xdr:to>
      <xdr:col>30</xdr:col>
      <xdr:colOff>13335</xdr:colOff>
      <xdr:row>49</xdr:row>
      <xdr:rowOff>13335</xdr:rowOff>
    </xdr:to>
    <xdr:pic>
      <xdr:nvPicPr>
        <xdr:cNvPr id="121" name="All_Costs_Check_Loan2" hidden="1">
          <a:extLst>
            <a:ext uri="{FF2B5EF4-FFF2-40B4-BE49-F238E27FC236}">
              <a16:creationId xmlns:a16="http://schemas.microsoft.com/office/drawing/2014/main" id="{0E876C10-7B45-4A41-85DA-56F8356277D1}"/>
            </a:ext>
          </a:extLst>
        </xdr:cNvPr>
        <xdr:cNvPicPr>
          <a:picLocks noChangeAspect="1"/>
        </xdr:cNvPicPr>
      </xdr:nvPicPr>
      <xdr:blipFill>
        <a:blip xmlns:r="http://schemas.openxmlformats.org/officeDocument/2006/relationships" r:embed="rId1"/>
        <a:stretch>
          <a:fillRect/>
        </a:stretch>
      </xdr:blipFill>
      <xdr:spPr>
        <a:xfrm>
          <a:off x="6387465" y="16581120"/>
          <a:ext cx="186690" cy="371475"/>
        </a:xfrm>
        <a:prstGeom prst="rect">
          <a:avLst/>
        </a:prstGeom>
      </xdr:spPr>
    </xdr:pic>
    <xdr:clientData/>
  </xdr:twoCellAnchor>
  <xdr:twoCellAnchor>
    <xdr:from>
      <xdr:col>46</xdr:col>
      <xdr:colOff>161925</xdr:colOff>
      <xdr:row>48</xdr:row>
      <xdr:rowOff>0</xdr:rowOff>
    </xdr:from>
    <xdr:to>
      <xdr:col>48</xdr:col>
      <xdr:colOff>13335</xdr:colOff>
      <xdr:row>49</xdr:row>
      <xdr:rowOff>13335</xdr:rowOff>
    </xdr:to>
    <xdr:pic>
      <xdr:nvPicPr>
        <xdr:cNvPr id="123" name="All_Costs_Check_Loan2" hidden="1">
          <a:extLst>
            <a:ext uri="{FF2B5EF4-FFF2-40B4-BE49-F238E27FC236}">
              <a16:creationId xmlns:a16="http://schemas.microsoft.com/office/drawing/2014/main" id="{3EBEC902-741C-40F7-A38C-D01A1093577B}"/>
            </a:ext>
          </a:extLst>
        </xdr:cNvPr>
        <xdr:cNvPicPr>
          <a:picLocks noChangeAspect="1"/>
        </xdr:cNvPicPr>
      </xdr:nvPicPr>
      <xdr:blipFill>
        <a:blip xmlns:r="http://schemas.openxmlformats.org/officeDocument/2006/relationships" r:embed="rId1"/>
        <a:stretch>
          <a:fillRect/>
        </a:stretch>
      </xdr:blipFill>
      <xdr:spPr>
        <a:xfrm>
          <a:off x="6387465" y="16581120"/>
          <a:ext cx="186690" cy="371475"/>
        </a:xfrm>
        <a:prstGeom prst="rect">
          <a:avLst/>
        </a:prstGeom>
      </xdr:spPr>
    </xdr:pic>
    <xdr:clientData/>
  </xdr:twoCellAnchor>
  <xdr:twoCellAnchor>
    <xdr:from>
      <xdr:col>56</xdr:col>
      <xdr:colOff>9525</xdr:colOff>
      <xdr:row>48</xdr:row>
      <xdr:rowOff>30480</xdr:rowOff>
    </xdr:from>
    <xdr:to>
      <xdr:col>57</xdr:col>
      <xdr:colOff>116205</xdr:colOff>
      <xdr:row>48</xdr:row>
      <xdr:rowOff>304800</xdr:rowOff>
    </xdr:to>
    <xdr:pic>
      <xdr:nvPicPr>
        <xdr:cNvPr id="125" name="All_Costs_Check_Loan2" hidden="1">
          <a:extLst>
            <a:ext uri="{FF2B5EF4-FFF2-40B4-BE49-F238E27FC236}">
              <a16:creationId xmlns:a16="http://schemas.microsoft.com/office/drawing/2014/main" id="{60D1D4E0-D8FA-4043-9C73-144978159D5F}"/>
            </a:ext>
          </a:extLst>
        </xdr:cNvPr>
        <xdr:cNvPicPr>
          <a:picLocks/>
        </xdr:cNvPicPr>
      </xdr:nvPicPr>
      <xdr:blipFill>
        <a:blip xmlns:r="http://schemas.openxmlformats.org/officeDocument/2006/relationships" r:embed="rId1"/>
        <a:stretch>
          <a:fillRect/>
        </a:stretch>
      </xdr:blipFill>
      <xdr:spPr>
        <a:xfrm>
          <a:off x="7911465" y="16611600"/>
          <a:ext cx="274320" cy="274320"/>
        </a:xfrm>
        <a:prstGeom prst="rect">
          <a:avLst/>
        </a:prstGeom>
      </xdr:spPr>
    </xdr:pic>
    <xdr:clientData/>
  </xdr:twoCellAnchor>
  <xdr:twoCellAnchor>
    <xdr:from>
      <xdr:col>55</xdr:col>
      <xdr:colOff>161925</xdr:colOff>
      <xdr:row>48</xdr:row>
      <xdr:rowOff>0</xdr:rowOff>
    </xdr:from>
    <xdr:to>
      <xdr:col>57</xdr:col>
      <xdr:colOff>13335</xdr:colOff>
      <xdr:row>49</xdr:row>
      <xdr:rowOff>13335</xdr:rowOff>
    </xdr:to>
    <xdr:pic>
      <xdr:nvPicPr>
        <xdr:cNvPr id="126" name="All_Costs_Check_Loan2" hidden="1">
          <a:extLst>
            <a:ext uri="{FF2B5EF4-FFF2-40B4-BE49-F238E27FC236}">
              <a16:creationId xmlns:a16="http://schemas.microsoft.com/office/drawing/2014/main" id="{D3A381FC-DBBC-46EE-8B1F-001880589653}"/>
            </a:ext>
          </a:extLst>
        </xdr:cNvPr>
        <xdr:cNvPicPr>
          <a:picLocks noChangeAspect="1"/>
        </xdr:cNvPicPr>
      </xdr:nvPicPr>
      <xdr:blipFill>
        <a:blip xmlns:r="http://schemas.openxmlformats.org/officeDocument/2006/relationships" r:embed="rId1"/>
        <a:stretch>
          <a:fillRect/>
        </a:stretch>
      </xdr:blipFill>
      <xdr:spPr>
        <a:xfrm>
          <a:off x="7896225" y="16581120"/>
          <a:ext cx="186690" cy="371475"/>
        </a:xfrm>
        <a:prstGeom prst="rect">
          <a:avLst/>
        </a:prstGeom>
      </xdr:spPr>
    </xdr:pic>
    <xdr:clientData/>
  </xdr:twoCellAnchor>
  <xdr:twoCellAnchor>
    <xdr:from>
      <xdr:col>38</xdr:col>
      <xdr:colOff>7620</xdr:colOff>
      <xdr:row>21</xdr:row>
      <xdr:rowOff>45720</xdr:rowOff>
    </xdr:from>
    <xdr:to>
      <xdr:col>39</xdr:col>
      <xdr:colOff>114300</xdr:colOff>
      <xdr:row>21</xdr:row>
      <xdr:rowOff>320040</xdr:rowOff>
    </xdr:to>
    <xdr:pic>
      <xdr:nvPicPr>
        <xdr:cNvPr id="83" name="Purchase_And_Repairs_Check_Loan1" hidden="1">
          <a:extLst>
            <a:ext uri="{FF2B5EF4-FFF2-40B4-BE49-F238E27FC236}">
              <a16:creationId xmlns:a16="http://schemas.microsoft.com/office/drawing/2014/main" id="{1AB60ADA-B073-42F2-8C1E-B28581FFBCCE}"/>
            </a:ext>
          </a:extLst>
        </xdr:cNvPr>
        <xdr:cNvPicPr>
          <a:picLocks/>
        </xdr:cNvPicPr>
      </xdr:nvPicPr>
      <xdr:blipFill>
        <a:blip xmlns:r="http://schemas.openxmlformats.org/officeDocument/2006/relationships" r:embed="rId1"/>
        <a:stretch>
          <a:fillRect/>
        </a:stretch>
      </xdr:blipFill>
      <xdr:spPr>
        <a:xfrm>
          <a:off x="6400800" y="11414760"/>
          <a:ext cx="274320" cy="274320"/>
        </a:xfrm>
        <a:prstGeom prst="rect">
          <a:avLst/>
        </a:prstGeom>
      </xdr:spPr>
    </xdr:pic>
    <xdr:clientData/>
  </xdr:twoCellAnchor>
  <xdr:twoCellAnchor>
    <xdr:from>
      <xdr:col>38</xdr:col>
      <xdr:colOff>1905</xdr:colOff>
      <xdr:row>48</xdr:row>
      <xdr:rowOff>38100</xdr:rowOff>
    </xdr:from>
    <xdr:to>
      <xdr:col>39</xdr:col>
      <xdr:colOff>108585</xdr:colOff>
      <xdr:row>48</xdr:row>
      <xdr:rowOff>312420</xdr:rowOff>
    </xdr:to>
    <xdr:pic>
      <xdr:nvPicPr>
        <xdr:cNvPr id="84" name="Purchase_And_Repairs_Check_Loan2" hidden="1">
          <a:extLst>
            <a:ext uri="{FF2B5EF4-FFF2-40B4-BE49-F238E27FC236}">
              <a16:creationId xmlns:a16="http://schemas.microsoft.com/office/drawing/2014/main" id="{7B80D207-3173-4995-AAFB-90E06718E9EB}"/>
            </a:ext>
          </a:extLst>
        </xdr:cNvPr>
        <xdr:cNvPicPr>
          <a:picLocks/>
        </xdr:cNvPicPr>
      </xdr:nvPicPr>
      <xdr:blipFill>
        <a:blip xmlns:r="http://schemas.openxmlformats.org/officeDocument/2006/relationships" r:embed="rId1"/>
        <a:stretch>
          <a:fillRect/>
        </a:stretch>
      </xdr:blipFill>
      <xdr:spPr>
        <a:xfrm>
          <a:off x="6395085" y="19217640"/>
          <a:ext cx="274320" cy="274320"/>
        </a:xfrm>
        <a:prstGeom prst="rect">
          <a:avLst/>
        </a:prstGeom>
      </xdr:spPr>
    </xdr:pic>
    <xdr:clientData/>
  </xdr:twoCellAnchor>
  <xdr:twoCellAnchor editAs="absolute">
    <xdr:from>
      <xdr:col>72</xdr:col>
      <xdr:colOff>48805</xdr:colOff>
      <xdr:row>0</xdr:row>
      <xdr:rowOff>141695</xdr:rowOff>
    </xdr:from>
    <xdr:to>
      <xdr:col>73</xdr:col>
      <xdr:colOff>154093</xdr:colOff>
      <xdr:row>0</xdr:row>
      <xdr:rowOff>417407</xdr:rowOff>
    </xdr:to>
    <xdr:pic macro="[0]!Hide_Financing_Sheet">
      <xdr:nvPicPr>
        <xdr:cNvPr id="128" name="Picture 127">
          <a:extLst>
            <a:ext uri="{FF2B5EF4-FFF2-40B4-BE49-F238E27FC236}">
              <a16:creationId xmlns:a16="http://schemas.microsoft.com/office/drawing/2014/main" id="{1A0E665D-0059-4B25-9488-1686055E2091}"/>
            </a:ext>
          </a:extLst>
        </xdr:cNvPr>
        <xdr:cNvPicPr>
          <a:picLocks noChangeAspect="1"/>
        </xdr:cNvPicPr>
      </xdr:nvPicPr>
      <xdr:blipFill>
        <a:blip xmlns:r="http://schemas.openxmlformats.org/officeDocument/2006/relationships" r:embed="rId2"/>
        <a:stretch>
          <a:fillRect/>
        </a:stretch>
      </xdr:blipFill>
      <xdr:spPr>
        <a:xfrm>
          <a:off x="12421780" y="141695"/>
          <a:ext cx="276738" cy="275712"/>
        </a:xfrm>
        <a:prstGeom prst="rect">
          <a:avLst/>
        </a:prstGeom>
      </xdr:spPr>
    </xdr:pic>
    <xdr:clientData/>
  </xdr:twoCellAnchor>
  <xdr:twoCellAnchor>
    <xdr:from>
      <xdr:col>71</xdr:col>
      <xdr:colOff>83820</xdr:colOff>
      <xdr:row>135</xdr:row>
      <xdr:rowOff>60960</xdr:rowOff>
    </xdr:from>
    <xdr:to>
      <xdr:col>82</xdr:col>
      <xdr:colOff>160020</xdr:colOff>
      <xdr:row>138</xdr:row>
      <xdr:rowOff>0</xdr:rowOff>
    </xdr:to>
    <xdr:sp macro="[0]!Navigate_Rehab_Analyzer" textlink="">
      <xdr:nvSpPr>
        <xdr:cNvPr id="94" name="Next_Button">
          <a:extLst>
            <a:ext uri="{FF2B5EF4-FFF2-40B4-BE49-F238E27FC236}">
              <a16:creationId xmlns:a16="http://schemas.microsoft.com/office/drawing/2014/main" id="{E65BD95A-C615-4CD6-A9B0-4FEB62958636}"/>
            </a:ext>
          </a:extLst>
        </xdr:cNvPr>
        <xdr:cNvSpPr>
          <a:spLocks noChangeAspect="1"/>
        </xdr:cNvSpPr>
      </xdr:nvSpPr>
      <xdr:spPr>
        <a:xfrm>
          <a:off x="12009120" y="28940760"/>
          <a:ext cx="1920240" cy="510540"/>
        </a:xfrm>
        <a:prstGeom prst="roundRect">
          <a:avLst>
            <a:gd name="adj" fmla="val 14815"/>
          </a:avLst>
        </a:prstGeom>
        <a:solidFill>
          <a:srgbClr val="00B050"/>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2000" b="1" i="0">
              <a:solidFill>
                <a:schemeClr val="bg1">
                  <a:lumMod val="95000"/>
                </a:schemeClr>
              </a:solidFill>
              <a:latin typeface="+mn-lt"/>
            </a:rPr>
            <a:t>Back</a:t>
          </a:r>
        </a:p>
      </xdr:txBody>
    </xdr:sp>
    <xdr:clientData/>
  </xdr:twoCellAnchor>
  <xdr:twoCellAnchor>
    <xdr:from>
      <xdr:col>34</xdr:col>
      <xdr:colOff>17992</xdr:colOff>
      <xdr:row>9</xdr:row>
      <xdr:rowOff>231774</xdr:rowOff>
    </xdr:from>
    <xdr:to>
      <xdr:col>46</xdr:col>
      <xdr:colOff>151342</xdr:colOff>
      <xdr:row>10</xdr:row>
      <xdr:rowOff>293158</xdr:rowOff>
    </xdr:to>
    <xdr:sp macro="[0]!Financed" textlink="">
      <xdr:nvSpPr>
        <xdr:cNvPr id="82" name="Rectangle 81">
          <a:extLst>
            <a:ext uri="{FF2B5EF4-FFF2-40B4-BE49-F238E27FC236}">
              <a16:creationId xmlns:a16="http://schemas.microsoft.com/office/drawing/2014/main" id="{A963D51F-8405-47CB-AD8D-A087A3DEC6D8}"/>
            </a:ext>
          </a:extLst>
        </xdr:cNvPr>
        <xdr:cNvSpPr/>
      </xdr:nvSpPr>
      <xdr:spPr>
        <a:xfrm>
          <a:off x="5801783" y="2533649"/>
          <a:ext cx="21653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oneCellAnchor>
    <xdr:from>
      <xdr:col>33</xdr:col>
      <xdr:colOff>161925</xdr:colOff>
      <xdr:row>9</xdr:row>
      <xdr:rowOff>238125</xdr:rowOff>
    </xdr:from>
    <xdr:ext cx="359410" cy="360469"/>
    <xdr:pic>
      <xdr:nvPicPr>
        <xdr:cNvPr id="95" name="All_Cash_Check" hidden="1">
          <a:extLst>
            <a:ext uri="{FF2B5EF4-FFF2-40B4-BE49-F238E27FC236}">
              <a16:creationId xmlns:a16="http://schemas.microsoft.com/office/drawing/2014/main" id="{D396A379-1A26-4BAC-9EE5-D6DFC171A6AC}"/>
            </a:ext>
          </a:extLst>
        </xdr:cNvPr>
        <xdr:cNvPicPr>
          <a:picLocks noChangeAspect="1"/>
        </xdr:cNvPicPr>
      </xdr:nvPicPr>
      <xdr:blipFill>
        <a:blip xmlns:r="http://schemas.openxmlformats.org/officeDocument/2006/relationships" r:embed="rId1"/>
        <a:stretch>
          <a:fillRect/>
        </a:stretch>
      </xdr:blipFill>
      <xdr:spPr>
        <a:xfrm>
          <a:off x="3405716" y="2540000"/>
          <a:ext cx="359410" cy="360469"/>
        </a:xfrm>
        <a:prstGeom prst="rect">
          <a:avLst/>
        </a:prstGeom>
      </xdr:spPr>
    </xdr:pic>
    <xdr:clientData/>
  </xdr:oneCellAnchor>
  <xdr:twoCellAnchor>
    <xdr:from>
      <xdr:col>62</xdr:col>
      <xdr:colOff>28575</xdr:colOff>
      <xdr:row>10</xdr:row>
      <xdr:rowOff>19050</xdr:rowOff>
    </xdr:from>
    <xdr:to>
      <xdr:col>74</xdr:col>
      <xdr:colOff>161925</xdr:colOff>
      <xdr:row>11</xdr:row>
      <xdr:rowOff>0</xdr:rowOff>
    </xdr:to>
    <xdr:sp macro="" textlink="">
      <xdr:nvSpPr>
        <xdr:cNvPr id="96" name="Rectangle 95">
          <a:extLst>
            <a:ext uri="{FF2B5EF4-FFF2-40B4-BE49-F238E27FC236}">
              <a16:creationId xmlns:a16="http://schemas.microsoft.com/office/drawing/2014/main" id="{B91E8B4B-9F49-41C4-BE4F-D9962B9B95DD}"/>
            </a:ext>
          </a:extLst>
        </xdr:cNvPr>
        <xdr:cNvSpPr/>
      </xdr:nvSpPr>
      <xdr:spPr>
        <a:xfrm>
          <a:off x="8183034" y="2564341"/>
          <a:ext cx="2165350" cy="303743"/>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62</xdr:col>
      <xdr:colOff>28575</xdr:colOff>
      <xdr:row>10</xdr:row>
      <xdr:rowOff>9525</xdr:rowOff>
    </xdr:from>
    <xdr:to>
      <xdr:col>74</xdr:col>
      <xdr:colOff>161925</xdr:colOff>
      <xdr:row>10</xdr:row>
      <xdr:rowOff>314325</xdr:rowOff>
    </xdr:to>
    <xdr:sp macro="[0]!Combo" textlink="">
      <xdr:nvSpPr>
        <xdr:cNvPr id="97" name="Rectangle 96">
          <a:extLst>
            <a:ext uri="{FF2B5EF4-FFF2-40B4-BE49-F238E27FC236}">
              <a16:creationId xmlns:a16="http://schemas.microsoft.com/office/drawing/2014/main" id="{A4D2FA97-8C2C-4A03-94C0-5881A772AF85}"/>
            </a:ext>
          </a:extLst>
        </xdr:cNvPr>
        <xdr:cNvSpPr/>
      </xdr:nvSpPr>
      <xdr:spPr>
        <a:xfrm>
          <a:off x="8183034" y="2554816"/>
          <a:ext cx="21653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oneCellAnchor>
    <xdr:from>
      <xdr:col>61</xdr:col>
      <xdr:colOff>161925</xdr:colOff>
      <xdr:row>9</xdr:row>
      <xdr:rowOff>230505</xdr:rowOff>
    </xdr:from>
    <xdr:ext cx="359410" cy="360469"/>
    <xdr:pic>
      <xdr:nvPicPr>
        <xdr:cNvPr id="98" name="Combo_Check" hidden="1">
          <a:extLst>
            <a:ext uri="{FF2B5EF4-FFF2-40B4-BE49-F238E27FC236}">
              <a16:creationId xmlns:a16="http://schemas.microsoft.com/office/drawing/2014/main" id="{149066AA-FEA1-480F-8B93-9E47B7A49814}"/>
            </a:ext>
          </a:extLst>
        </xdr:cNvPr>
        <xdr:cNvPicPr>
          <a:picLocks noChangeAspect="1"/>
        </xdr:cNvPicPr>
      </xdr:nvPicPr>
      <xdr:blipFill>
        <a:blip xmlns:r="http://schemas.openxmlformats.org/officeDocument/2006/relationships" r:embed="rId1"/>
        <a:stretch>
          <a:fillRect/>
        </a:stretch>
      </xdr:blipFill>
      <xdr:spPr>
        <a:xfrm>
          <a:off x="8147050" y="2532380"/>
          <a:ext cx="359410" cy="360469"/>
        </a:xfrm>
        <a:prstGeom prst="rect">
          <a:avLst/>
        </a:prstGeom>
      </xdr:spPr>
    </xdr:pic>
    <xdr:clientData/>
  </xdr:oneCellAnchor>
  <xdr:twoCellAnchor editAs="oneCell">
    <xdr:from>
      <xdr:col>48</xdr:col>
      <xdr:colOff>0</xdr:colOff>
      <xdr:row>10</xdr:row>
      <xdr:rowOff>0</xdr:rowOff>
    </xdr:from>
    <xdr:to>
      <xdr:col>50</xdr:col>
      <xdr:colOff>20744</xdr:colOff>
      <xdr:row>11</xdr:row>
      <xdr:rowOff>37676</xdr:rowOff>
    </xdr:to>
    <xdr:pic>
      <xdr:nvPicPr>
        <xdr:cNvPr id="99" name="Equity_Check" hidden="1">
          <a:extLst>
            <a:ext uri="{FF2B5EF4-FFF2-40B4-BE49-F238E27FC236}">
              <a16:creationId xmlns:a16="http://schemas.microsoft.com/office/drawing/2014/main" id="{EF58E858-A1D4-406F-9EB4-FB1E0CB68262}"/>
            </a:ext>
          </a:extLst>
        </xdr:cNvPr>
        <xdr:cNvPicPr>
          <a:picLocks noChangeAspect="1"/>
        </xdr:cNvPicPr>
      </xdr:nvPicPr>
      <xdr:blipFill>
        <a:blip xmlns:r="http://schemas.openxmlformats.org/officeDocument/2006/relationships" r:embed="rId1"/>
        <a:stretch>
          <a:fillRect/>
        </a:stretch>
      </xdr:blipFill>
      <xdr:spPr>
        <a:xfrm>
          <a:off x="8154459" y="2545291"/>
          <a:ext cx="359410" cy="360469"/>
        </a:xfrm>
        <a:prstGeom prst="rect">
          <a:avLst/>
        </a:prstGeom>
      </xdr:spPr>
    </xdr:pic>
    <xdr:clientData/>
  </xdr:twoCellAnchor>
  <xdr:twoCellAnchor>
    <xdr:from>
      <xdr:col>29</xdr:col>
      <xdr:colOff>15240</xdr:colOff>
      <xdr:row>21</xdr:row>
      <xdr:rowOff>32385</xdr:rowOff>
    </xdr:from>
    <xdr:to>
      <xdr:col>30</xdr:col>
      <xdr:colOff>121920</xdr:colOff>
      <xdr:row>21</xdr:row>
      <xdr:rowOff>306705</xdr:rowOff>
    </xdr:to>
    <xdr:pic>
      <xdr:nvPicPr>
        <xdr:cNvPr id="100" name="All_Costs_Check_Loan1" hidden="1">
          <a:extLst>
            <a:ext uri="{FF2B5EF4-FFF2-40B4-BE49-F238E27FC236}">
              <a16:creationId xmlns:a16="http://schemas.microsoft.com/office/drawing/2014/main" id="{3870A749-B2EE-482D-B05C-0471D13250E3}"/>
            </a:ext>
          </a:extLst>
        </xdr:cNvPr>
        <xdr:cNvPicPr>
          <a:picLocks noChangeAspect="1"/>
        </xdr:cNvPicPr>
      </xdr:nvPicPr>
      <xdr:blipFill>
        <a:blip xmlns:r="http://schemas.openxmlformats.org/officeDocument/2006/relationships" r:embed="rId1"/>
        <a:stretch>
          <a:fillRect/>
        </a:stretch>
      </xdr:blipFill>
      <xdr:spPr>
        <a:xfrm>
          <a:off x="6476365" y="5509260"/>
          <a:ext cx="276014" cy="274320"/>
        </a:xfrm>
        <a:prstGeom prst="rect">
          <a:avLst/>
        </a:prstGeom>
      </xdr:spPr>
    </xdr:pic>
    <xdr:clientData/>
  </xdr:twoCellAnchor>
  <xdr:twoCellAnchor>
    <xdr:from>
      <xdr:col>29</xdr:col>
      <xdr:colOff>7620</xdr:colOff>
      <xdr:row>21</xdr:row>
      <xdr:rowOff>45720</xdr:rowOff>
    </xdr:from>
    <xdr:to>
      <xdr:col>30</xdr:col>
      <xdr:colOff>114300</xdr:colOff>
      <xdr:row>21</xdr:row>
      <xdr:rowOff>320040</xdr:rowOff>
    </xdr:to>
    <xdr:pic>
      <xdr:nvPicPr>
        <xdr:cNvPr id="101" name="Purchase_And_Repairs_Check_Loan1" hidden="1">
          <a:extLst>
            <a:ext uri="{FF2B5EF4-FFF2-40B4-BE49-F238E27FC236}">
              <a16:creationId xmlns:a16="http://schemas.microsoft.com/office/drawing/2014/main" id="{296127F2-252C-4A92-85AF-EAA9958956BA}"/>
            </a:ext>
          </a:extLst>
        </xdr:cNvPr>
        <xdr:cNvPicPr>
          <a:picLocks/>
        </xdr:cNvPicPr>
      </xdr:nvPicPr>
      <xdr:blipFill>
        <a:blip xmlns:r="http://schemas.openxmlformats.org/officeDocument/2006/relationships" r:embed="rId1"/>
        <a:stretch>
          <a:fillRect/>
        </a:stretch>
      </xdr:blipFill>
      <xdr:spPr>
        <a:xfrm>
          <a:off x="6468745" y="5522595"/>
          <a:ext cx="276014" cy="274320"/>
        </a:xfrm>
        <a:prstGeom prst="rect">
          <a:avLst/>
        </a:prstGeom>
      </xdr:spPr>
    </xdr:pic>
    <xdr:clientData/>
  </xdr:twoCellAnchor>
  <xdr:twoCellAnchor>
    <xdr:from>
      <xdr:col>20</xdr:col>
      <xdr:colOff>15240</xdr:colOff>
      <xdr:row>21</xdr:row>
      <xdr:rowOff>32385</xdr:rowOff>
    </xdr:from>
    <xdr:to>
      <xdr:col>21</xdr:col>
      <xdr:colOff>121920</xdr:colOff>
      <xdr:row>21</xdr:row>
      <xdr:rowOff>306705</xdr:rowOff>
    </xdr:to>
    <xdr:pic>
      <xdr:nvPicPr>
        <xdr:cNvPr id="102" name="All_Costs_Check_Loan1" hidden="1">
          <a:extLst>
            <a:ext uri="{FF2B5EF4-FFF2-40B4-BE49-F238E27FC236}">
              <a16:creationId xmlns:a16="http://schemas.microsoft.com/office/drawing/2014/main" id="{F73899EB-0E8E-461F-A1D7-74B5D8095B9A}"/>
            </a:ext>
          </a:extLst>
        </xdr:cNvPr>
        <xdr:cNvPicPr>
          <a:picLocks noChangeAspect="1"/>
        </xdr:cNvPicPr>
      </xdr:nvPicPr>
      <xdr:blipFill>
        <a:blip xmlns:r="http://schemas.openxmlformats.org/officeDocument/2006/relationships" r:embed="rId1"/>
        <a:stretch>
          <a:fillRect/>
        </a:stretch>
      </xdr:blipFill>
      <xdr:spPr>
        <a:xfrm>
          <a:off x="6476365" y="5509260"/>
          <a:ext cx="276014" cy="274320"/>
        </a:xfrm>
        <a:prstGeom prst="rect">
          <a:avLst/>
        </a:prstGeom>
      </xdr:spPr>
    </xdr:pic>
    <xdr:clientData/>
  </xdr:twoCellAnchor>
  <xdr:twoCellAnchor>
    <xdr:from>
      <xdr:col>20</xdr:col>
      <xdr:colOff>7620</xdr:colOff>
      <xdr:row>21</xdr:row>
      <xdr:rowOff>45720</xdr:rowOff>
    </xdr:from>
    <xdr:to>
      <xdr:col>21</xdr:col>
      <xdr:colOff>114300</xdr:colOff>
      <xdr:row>21</xdr:row>
      <xdr:rowOff>320040</xdr:rowOff>
    </xdr:to>
    <xdr:pic>
      <xdr:nvPicPr>
        <xdr:cNvPr id="111" name="Purchase_And_Repairs_Check_Loan1" hidden="1">
          <a:extLst>
            <a:ext uri="{FF2B5EF4-FFF2-40B4-BE49-F238E27FC236}">
              <a16:creationId xmlns:a16="http://schemas.microsoft.com/office/drawing/2014/main" id="{ACF02042-C393-4CA2-8252-8CE20D95AC9D}"/>
            </a:ext>
          </a:extLst>
        </xdr:cNvPr>
        <xdr:cNvPicPr>
          <a:picLocks/>
        </xdr:cNvPicPr>
      </xdr:nvPicPr>
      <xdr:blipFill>
        <a:blip xmlns:r="http://schemas.openxmlformats.org/officeDocument/2006/relationships" r:embed="rId1"/>
        <a:stretch>
          <a:fillRect/>
        </a:stretch>
      </xdr:blipFill>
      <xdr:spPr>
        <a:xfrm>
          <a:off x="6468745" y="5522595"/>
          <a:ext cx="276014" cy="274320"/>
        </a:xfrm>
        <a:prstGeom prst="rect">
          <a:avLst/>
        </a:prstGeom>
      </xdr:spPr>
    </xdr:pic>
    <xdr:clientData/>
  </xdr:twoCellAnchor>
  <xdr:twoCellAnchor>
    <xdr:from>
      <xdr:col>65</xdr:col>
      <xdr:colOff>1</xdr:colOff>
      <xdr:row>20</xdr:row>
      <xdr:rowOff>266699</xdr:rowOff>
    </xdr:from>
    <xdr:to>
      <xdr:col>66</xdr:col>
      <xdr:colOff>152401</xdr:colOff>
      <xdr:row>21</xdr:row>
      <xdr:rowOff>332316</xdr:rowOff>
    </xdr:to>
    <xdr:sp macro="[0]!Loan1_Specific_Loan_Amount" textlink="">
      <xdr:nvSpPr>
        <xdr:cNvPr id="78" name="Rectangle 77">
          <a:extLst>
            <a:ext uri="{FF2B5EF4-FFF2-40B4-BE49-F238E27FC236}">
              <a16:creationId xmlns:a16="http://schemas.microsoft.com/office/drawing/2014/main" id="{F6C728A4-A00C-48DD-AB33-6546F7F5624D}"/>
            </a:ext>
          </a:extLst>
        </xdr:cNvPr>
        <xdr:cNvSpPr/>
      </xdr:nvSpPr>
      <xdr:spPr>
        <a:xfrm>
          <a:off x="11172826" y="5524499"/>
          <a:ext cx="323850" cy="33231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54</xdr:col>
      <xdr:colOff>171249</xdr:colOff>
      <xdr:row>0</xdr:row>
      <xdr:rowOff>0</xdr:rowOff>
    </xdr:from>
    <xdr:to>
      <xdr:col>64</xdr:col>
      <xdr:colOff>151554</xdr:colOff>
      <xdr:row>0</xdr:row>
      <xdr:rowOff>561975</xdr:rowOff>
    </xdr:to>
    <xdr:sp macro="[0]!Navigate_Reporting" textlink="">
      <xdr:nvSpPr>
        <xdr:cNvPr id="79" name="TextBox 78">
          <a:extLst>
            <a:ext uri="{FF2B5EF4-FFF2-40B4-BE49-F238E27FC236}">
              <a16:creationId xmlns:a16="http://schemas.microsoft.com/office/drawing/2014/main" id="{22DA9493-5BC3-4470-992E-9F7973A27A20}"/>
            </a:ext>
          </a:extLst>
        </xdr:cNvPr>
        <xdr:cNvSpPr txBox="1">
          <a:spLocks noChangeAspect="1"/>
        </xdr:cNvSpPr>
      </xdr:nvSpPr>
      <xdr:spPr>
        <a:xfrm>
          <a:off x="9458124" y="0"/>
          <a:ext cx="169480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34</xdr:col>
      <xdr:colOff>170402</xdr:colOff>
      <xdr:row>0</xdr:row>
      <xdr:rowOff>1</xdr:rowOff>
    </xdr:from>
    <xdr:to>
      <xdr:col>44</xdr:col>
      <xdr:colOff>151765</xdr:colOff>
      <xdr:row>0</xdr:row>
      <xdr:rowOff>561975</xdr:rowOff>
    </xdr:to>
    <xdr:sp macro="[0]!Navigate_Rehab_Analyzer" textlink="">
      <xdr:nvSpPr>
        <xdr:cNvPr id="80" name="TextBox 79">
          <a:extLst>
            <a:ext uri="{FF2B5EF4-FFF2-40B4-BE49-F238E27FC236}">
              <a16:creationId xmlns:a16="http://schemas.microsoft.com/office/drawing/2014/main" id="{53A3533B-A6DA-4F21-BE4F-2BC5D4F07DD1}"/>
            </a:ext>
          </a:extLst>
        </xdr:cNvPr>
        <xdr:cNvSpPr txBox="1">
          <a:spLocks noChangeAspect="1"/>
        </xdr:cNvSpPr>
      </xdr:nvSpPr>
      <xdr:spPr>
        <a:xfrm>
          <a:off x="6028277" y="1"/>
          <a:ext cx="1695863" cy="561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45</xdr:col>
      <xdr:colOff>1693</xdr:colOff>
      <xdr:row>0</xdr:row>
      <xdr:rowOff>0</xdr:rowOff>
    </xdr:from>
    <xdr:to>
      <xdr:col>54</xdr:col>
      <xdr:colOff>141827</xdr:colOff>
      <xdr:row>0</xdr:row>
      <xdr:rowOff>561975</xdr:rowOff>
    </xdr:to>
    <xdr:sp macro="[0]!Navigate_Repair_Estimator" textlink="">
      <xdr:nvSpPr>
        <xdr:cNvPr id="112" name="TextBox 111">
          <a:extLst>
            <a:ext uri="{FF2B5EF4-FFF2-40B4-BE49-F238E27FC236}">
              <a16:creationId xmlns:a16="http://schemas.microsoft.com/office/drawing/2014/main" id="{11C90438-D077-4CED-A6BE-2A63620E6DC2}"/>
            </a:ext>
          </a:extLst>
        </xdr:cNvPr>
        <xdr:cNvSpPr txBox="1">
          <a:spLocks noChangeAspect="1"/>
        </xdr:cNvSpPr>
      </xdr:nvSpPr>
      <xdr:spPr>
        <a:xfrm>
          <a:off x="7745518" y="0"/>
          <a:ext cx="1683184"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25</xdr:col>
      <xdr:colOff>18612</xdr:colOff>
      <xdr:row>0</xdr:row>
      <xdr:rowOff>0</xdr:rowOff>
    </xdr:from>
    <xdr:to>
      <xdr:col>34</xdr:col>
      <xdr:colOff>160442</xdr:colOff>
      <xdr:row>0</xdr:row>
      <xdr:rowOff>561975</xdr:rowOff>
    </xdr:to>
    <xdr:sp macro="[0]!Navigate_Home" textlink="">
      <xdr:nvSpPr>
        <xdr:cNvPr id="113" name="TextBox 112">
          <a:extLst>
            <a:ext uri="{FF2B5EF4-FFF2-40B4-BE49-F238E27FC236}">
              <a16:creationId xmlns:a16="http://schemas.microsoft.com/office/drawing/2014/main" id="{E53CC4D3-A2C7-46C3-AB7D-A2A30107BA05}"/>
            </a:ext>
          </a:extLst>
        </xdr:cNvPr>
        <xdr:cNvSpPr txBox="1">
          <a:spLocks noChangeAspect="1"/>
        </xdr:cNvSpPr>
      </xdr:nvSpPr>
      <xdr:spPr>
        <a:xfrm>
          <a:off x="4333437" y="0"/>
          <a:ext cx="168488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69</xdr:col>
      <xdr:colOff>106257</xdr:colOff>
      <xdr:row>0</xdr:row>
      <xdr:rowOff>153469</xdr:rowOff>
    </xdr:from>
    <xdr:to>
      <xdr:col>71</xdr:col>
      <xdr:colOff>29980</xdr:colOff>
      <xdr:row>0</xdr:row>
      <xdr:rowOff>428836</xdr:rowOff>
    </xdr:to>
    <xdr:pic>
      <xdr:nvPicPr>
        <xdr:cNvPr id="114" name="Picture 113" title="Help">
          <a:hlinkClick xmlns:r="http://schemas.openxmlformats.org/officeDocument/2006/relationships" r:id="rId3"/>
          <a:extLst>
            <a:ext uri="{FF2B5EF4-FFF2-40B4-BE49-F238E27FC236}">
              <a16:creationId xmlns:a16="http://schemas.microsoft.com/office/drawing/2014/main" id="{DF4E8921-9423-470D-9183-4F569276BF2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964882" y="153469"/>
          <a:ext cx="266623" cy="275367"/>
        </a:xfrm>
        <a:prstGeom prst="rect">
          <a:avLst/>
        </a:prstGeom>
      </xdr:spPr>
    </xdr:pic>
    <xdr:clientData/>
  </xdr:twoCellAnchor>
  <xdr:twoCellAnchor editAs="absolute">
    <xdr:from>
      <xdr:col>66</xdr:col>
      <xdr:colOff>68157</xdr:colOff>
      <xdr:row>0</xdr:row>
      <xdr:rowOff>152516</xdr:rowOff>
    </xdr:from>
    <xdr:to>
      <xdr:col>68</xdr:col>
      <xdr:colOff>8891</xdr:colOff>
      <xdr:row>0</xdr:row>
      <xdr:rowOff>428941</xdr:rowOff>
    </xdr:to>
    <xdr:pic macro="[0]!Navigate_Info_Sheet">
      <xdr:nvPicPr>
        <xdr:cNvPr id="124" name="Picture 123">
          <a:extLst>
            <a:ext uri="{FF2B5EF4-FFF2-40B4-BE49-F238E27FC236}">
              <a16:creationId xmlns:a16="http://schemas.microsoft.com/office/drawing/2014/main" id="{8BED794B-ABB6-4222-991E-D11ED759306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412432" y="152516"/>
          <a:ext cx="283634" cy="276425"/>
        </a:xfrm>
        <a:prstGeom prst="rect">
          <a:avLst/>
        </a:prstGeom>
      </xdr:spPr>
    </xdr:pic>
    <xdr:clientData/>
  </xdr:twoCellAnchor>
  <xdr:twoCellAnchor editAs="absolute">
    <xdr:from>
      <xdr:col>0</xdr:col>
      <xdr:colOff>0</xdr:colOff>
      <xdr:row>0</xdr:row>
      <xdr:rowOff>0</xdr:rowOff>
    </xdr:from>
    <xdr:to>
      <xdr:col>9</xdr:col>
      <xdr:colOff>93147</xdr:colOff>
      <xdr:row>0</xdr:row>
      <xdr:rowOff>563880</xdr:rowOff>
    </xdr:to>
    <xdr:sp macro="" textlink="">
      <xdr:nvSpPr>
        <xdr:cNvPr id="129" name="TextBox 128">
          <a:extLst>
            <a:ext uri="{FF2B5EF4-FFF2-40B4-BE49-F238E27FC236}">
              <a16:creationId xmlns:a16="http://schemas.microsoft.com/office/drawing/2014/main" id="{AA6AF893-A494-4DB3-A9BD-0AB8D2F1B07D}"/>
            </a:ext>
          </a:extLst>
        </xdr:cNvPr>
        <xdr:cNvSpPr txBox="1">
          <a:spLocks noChangeAspect="1"/>
        </xdr:cNvSpPr>
      </xdr:nvSpPr>
      <xdr:spPr>
        <a:xfrm>
          <a:off x="0" y="0"/>
          <a:ext cx="1664772"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28575</xdr:colOff>
      <xdr:row>59</xdr:row>
      <xdr:rowOff>28575</xdr:rowOff>
    </xdr:from>
    <xdr:to>
      <xdr:col>18</xdr:col>
      <xdr:colOff>142875</xdr:colOff>
      <xdr:row>59</xdr:row>
      <xdr:rowOff>342900</xdr:rowOff>
    </xdr:to>
    <xdr:sp macro="[0]!Show_Offer_To_Do_Check7" textlink="">
      <xdr:nvSpPr>
        <xdr:cNvPr id="129" name="Rectangle 128">
          <a:extLst>
            <a:ext uri="{FF2B5EF4-FFF2-40B4-BE49-F238E27FC236}">
              <a16:creationId xmlns:a16="http://schemas.microsoft.com/office/drawing/2014/main" id="{00000000-0008-0000-0B00-000081000000}"/>
            </a:ext>
          </a:extLst>
        </xdr:cNvPr>
        <xdr:cNvSpPr/>
      </xdr:nvSpPr>
      <xdr:spPr>
        <a:xfrm>
          <a:off x="3105150" y="12820650"/>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28575</xdr:colOff>
      <xdr:row>61</xdr:row>
      <xdr:rowOff>28575</xdr:rowOff>
    </xdr:from>
    <xdr:to>
      <xdr:col>18</xdr:col>
      <xdr:colOff>142875</xdr:colOff>
      <xdr:row>61</xdr:row>
      <xdr:rowOff>342900</xdr:rowOff>
    </xdr:to>
    <xdr:sp macro="[0]!Show_Offer_To_Do_Check8" textlink="">
      <xdr:nvSpPr>
        <xdr:cNvPr id="137" name="Rectangle 136">
          <a:extLst>
            <a:ext uri="{FF2B5EF4-FFF2-40B4-BE49-F238E27FC236}">
              <a16:creationId xmlns:a16="http://schemas.microsoft.com/office/drawing/2014/main" id="{00000000-0008-0000-0B00-000089000000}"/>
            </a:ext>
          </a:extLst>
        </xdr:cNvPr>
        <xdr:cNvSpPr/>
      </xdr:nvSpPr>
      <xdr:spPr>
        <a:xfrm>
          <a:off x="3105150" y="1338262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28575</xdr:colOff>
      <xdr:row>63</xdr:row>
      <xdr:rowOff>28575</xdr:rowOff>
    </xdr:from>
    <xdr:to>
      <xdr:col>18</xdr:col>
      <xdr:colOff>142875</xdr:colOff>
      <xdr:row>63</xdr:row>
      <xdr:rowOff>342900</xdr:rowOff>
    </xdr:to>
    <xdr:sp macro="[0]!Show_Offer_To_Do_Check9" textlink="">
      <xdr:nvSpPr>
        <xdr:cNvPr id="138" name="Rectangle 137">
          <a:extLst>
            <a:ext uri="{FF2B5EF4-FFF2-40B4-BE49-F238E27FC236}">
              <a16:creationId xmlns:a16="http://schemas.microsoft.com/office/drawing/2014/main" id="{00000000-0008-0000-0B00-00008A000000}"/>
            </a:ext>
          </a:extLst>
        </xdr:cNvPr>
        <xdr:cNvSpPr/>
      </xdr:nvSpPr>
      <xdr:spPr>
        <a:xfrm>
          <a:off x="3105150" y="13944600"/>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28575</xdr:colOff>
      <xdr:row>51</xdr:row>
      <xdr:rowOff>28575</xdr:rowOff>
    </xdr:from>
    <xdr:to>
      <xdr:col>18</xdr:col>
      <xdr:colOff>142875</xdr:colOff>
      <xdr:row>51</xdr:row>
      <xdr:rowOff>342900</xdr:rowOff>
    </xdr:to>
    <xdr:sp macro="[0]!Show_Offer_To_Do_Check5" textlink="">
      <xdr:nvSpPr>
        <xdr:cNvPr id="110" name="Rectangle 109">
          <a:extLst>
            <a:ext uri="{FF2B5EF4-FFF2-40B4-BE49-F238E27FC236}">
              <a16:creationId xmlns:a16="http://schemas.microsoft.com/office/drawing/2014/main" id="{00000000-0008-0000-0B00-00006E000000}"/>
            </a:ext>
          </a:extLst>
        </xdr:cNvPr>
        <xdr:cNvSpPr/>
      </xdr:nvSpPr>
      <xdr:spPr>
        <a:xfrm>
          <a:off x="3105150" y="11201400"/>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28575</xdr:colOff>
      <xdr:row>53</xdr:row>
      <xdr:rowOff>28575</xdr:rowOff>
    </xdr:from>
    <xdr:to>
      <xdr:col>18</xdr:col>
      <xdr:colOff>142875</xdr:colOff>
      <xdr:row>53</xdr:row>
      <xdr:rowOff>342900</xdr:rowOff>
    </xdr:to>
    <xdr:sp macro="[0]!Show_Offer_To_Do_Check6" textlink="">
      <xdr:nvSpPr>
        <xdr:cNvPr id="122" name="Rectangle 121">
          <a:extLst>
            <a:ext uri="{FF2B5EF4-FFF2-40B4-BE49-F238E27FC236}">
              <a16:creationId xmlns:a16="http://schemas.microsoft.com/office/drawing/2014/main" id="{00000000-0008-0000-0B00-00007A000000}"/>
            </a:ext>
          </a:extLst>
        </xdr:cNvPr>
        <xdr:cNvSpPr/>
      </xdr:nvSpPr>
      <xdr:spPr>
        <a:xfrm>
          <a:off x="3105150" y="1176337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38100</xdr:colOff>
      <xdr:row>49</xdr:row>
      <xdr:rowOff>28575</xdr:rowOff>
    </xdr:from>
    <xdr:to>
      <xdr:col>18</xdr:col>
      <xdr:colOff>152400</xdr:colOff>
      <xdr:row>49</xdr:row>
      <xdr:rowOff>342900</xdr:rowOff>
    </xdr:to>
    <xdr:sp macro="[0]!Show_Offer_To_Do_Check4" textlink="">
      <xdr:nvSpPr>
        <xdr:cNvPr id="139" name="Rectangle 138">
          <a:extLst>
            <a:ext uri="{FF2B5EF4-FFF2-40B4-BE49-F238E27FC236}">
              <a16:creationId xmlns:a16="http://schemas.microsoft.com/office/drawing/2014/main" id="{00000000-0008-0000-0B00-00008B000000}"/>
            </a:ext>
          </a:extLst>
        </xdr:cNvPr>
        <xdr:cNvSpPr/>
      </xdr:nvSpPr>
      <xdr:spPr>
        <a:xfrm>
          <a:off x="3114675" y="1063942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38100</xdr:colOff>
      <xdr:row>47</xdr:row>
      <xdr:rowOff>28575</xdr:rowOff>
    </xdr:from>
    <xdr:to>
      <xdr:col>18</xdr:col>
      <xdr:colOff>152400</xdr:colOff>
      <xdr:row>47</xdr:row>
      <xdr:rowOff>342900</xdr:rowOff>
    </xdr:to>
    <xdr:sp macro="[0]!Show_Offer_To_Do_Check3" textlink="">
      <xdr:nvSpPr>
        <xdr:cNvPr id="109" name="Rectangle 108">
          <a:extLst>
            <a:ext uri="{FF2B5EF4-FFF2-40B4-BE49-F238E27FC236}">
              <a16:creationId xmlns:a16="http://schemas.microsoft.com/office/drawing/2014/main" id="{00000000-0008-0000-0B00-00006D000000}"/>
            </a:ext>
          </a:extLst>
        </xdr:cNvPr>
        <xdr:cNvSpPr/>
      </xdr:nvSpPr>
      <xdr:spPr>
        <a:xfrm>
          <a:off x="3114675" y="10077450"/>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38100</xdr:colOff>
      <xdr:row>43</xdr:row>
      <xdr:rowOff>19050</xdr:rowOff>
    </xdr:from>
    <xdr:to>
      <xdr:col>18</xdr:col>
      <xdr:colOff>152400</xdr:colOff>
      <xdr:row>43</xdr:row>
      <xdr:rowOff>333375</xdr:rowOff>
    </xdr:to>
    <xdr:sp macro="[0]!Show_Offer_To_Do_Check1" textlink="">
      <xdr:nvSpPr>
        <xdr:cNvPr id="3" name="Rectangle 2">
          <a:extLst>
            <a:ext uri="{FF2B5EF4-FFF2-40B4-BE49-F238E27FC236}">
              <a16:creationId xmlns:a16="http://schemas.microsoft.com/office/drawing/2014/main" id="{00000000-0008-0000-0B00-000003000000}"/>
            </a:ext>
          </a:extLst>
        </xdr:cNvPr>
        <xdr:cNvSpPr/>
      </xdr:nvSpPr>
      <xdr:spPr>
        <a:xfrm>
          <a:off x="3114675" y="894397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38100</xdr:colOff>
      <xdr:row>45</xdr:row>
      <xdr:rowOff>9525</xdr:rowOff>
    </xdr:from>
    <xdr:to>
      <xdr:col>18</xdr:col>
      <xdr:colOff>152400</xdr:colOff>
      <xdr:row>45</xdr:row>
      <xdr:rowOff>323850</xdr:rowOff>
    </xdr:to>
    <xdr:sp macro="[0]!Show_Offer_To_Do_Check2" textlink="">
      <xdr:nvSpPr>
        <xdr:cNvPr id="108" name="Rectangle 107">
          <a:extLst>
            <a:ext uri="{FF2B5EF4-FFF2-40B4-BE49-F238E27FC236}">
              <a16:creationId xmlns:a16="http://schemas.microsoft.com/office/drawing/2014/main" id="{00000000-0008-0000-0B00-00006C000000}"/>
            </a:ext>
          </a:extLst>
        </xdr:cNvPr>
        <xdr:cNvSpPr/>
      </xdr:nvSpPr>
      <xdr:spPr>
        <a:xfrm>
          <a:off x="3114675" y="949642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26</xdr:col>
      <xdr:colOff>124966</xdr:colOff>
      <xdr:row>10</xdr:row>
      <xdr:rowOff>84526</xdr:rowOff>
    </xdr:from>
    <xdr:to>
      <xdr:col>29</xdr:col>
      <xdr:colOff>131740</xdr:colOff>
      <xdr:row>13</xdr:row>
      <xdr:rowOff>42616</xdr:rowOff>
    </xdr:to>
    <xdr:pic>
      <xdr:nvPicPr>
        <xdr:cNvPr id="13" name="Picture 12">
          <a:extLst>
            <a:ext uri="{FF2B5EF4-FFF2-40B4-BE49-F238E27FC236}">
              <a16:creationId xmlns:a16="http://schemas.microsoft.com/office/drawing/2014/main" id="{00000000-0008-0000-0B00-00000D000000}"/>
            </a:ext>
          </a:extLst>
        </xdr:cNvPr>
        <xdr:cNvPicPr>
          <a:picLocks/>
        </xdr:cNvPicPr>
      </xdr:nvPicPr>
      <xdr:blipFill>
        <a:blip xmlns:r="http://schemas.openxmlformats.org/officeDocument/2006/relationships" r:embed="rId1"/>
        <a:stretch>
          <a:fillRect/>
        </a:stretch>
      </xdr:blipFill>
      <xdr:spPr>
        <a:xfrm>
          <a:off x="4830316" y="2370526"/>
          <a:ext cx="549699" cy="548640"/>
        </a:xfrm>
        <a:prstGeom prst="rect">
          <a:avLst/>
        </a:prstGeom>
      </xdr:spPr>
    </xdr:pic>
    <xdr:clientData/>
  </xdr:twoCellAnchor>
  <xdr:twoCellAnchor>
    <xdr:from>
      <xdr:col>22</xdr:col>
      <xdr:colOff>103360</xdr:colOff>
      <xdr:row>6</xdr:row>
      <xdr:rowOff>105835</xdr:rowOff>
    </xdr:from>
    <xdr:to>
      <xdr:col>34</xdr:col>
      <xdr:colOff>35984</xdr:colOff>
      <xdr:row>10</xdr:row>
      <xdr:rowOff>27673</xdr:rowOff>
    </xdr:to>
    <xdr:sp macro="" textlink="">
      <xdr:nvSpPr>
        <xdr:cNvPr id="14" name="TextBox 13">
          <a:extLst>
            <a:ext uri="{FF2B5EF4-FFF2-40B4-BE49-F238E27FC236}">
              <a16:creationId xmlns:a16="http://schemas.microsoft.com/office/drawing/2014/main" id="{00000000-0008-0000-0B00-00000E000000}"/>
            </a:ext>
          </a:extLst>
        </xdr:cNvPr>
        <xdr:cNvSpPr txBox="1"/>
      </xdr:nvSpPr>
      <xdr:spPr>
        <a:xfrm>
          <a:off x="4084810" y="1629835"/>
          <a:ext cx="2104324" cy="68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u="none">
              <a:solidFill>
                <a:srgbClr val="545F6B"/>
              </a:solidFill>
              <a:latin typeface="+mn-lt"/>
            </a:rPr>
            <a:t>Step</a:t>
          </a:r>
          <a:r>
            <a:rPr lang="en-US" sz="1800" b="1" u="none" baseline="0">
              <a:solidFill>
                <a:srgbClr val="545F6B"/>
              </a:solidFill>
              <a:latin typeface="+mn-lt"/>
            </a:rPr>
            <a:t> 1: </a:t>
          </a:r>
        </a:p>
        <a:p>
          <a:pPr algn="ctr"/>
          <a:r>
            <a:rPr lang="en-US" sz="1800" b="1" u="none" baseline="0">
              <a:solidFill>
                <a:srgbClr val="545F6B"/>
              </a:solidFill>
              <a:latin typeface="+mn-lt"/>
            </a:rPr>
            <a:t>Setup Project Info</a:t>
          </a:r>
          <a:endParaRPr lang="en-US" sz="1800" b="1" u="none">
            <a:solidFill>
              <a:srgbClr val="545F6B"/>
            </a:solidFill>
            <a:latin typeface="+mn-lt"/>
          </a:endParaRPr>
        </a:p>
      </xdr:txBody>
    </xdr:sp>
    <xdr:clientData/>
  </xdr:twoCellAnchor>
  <xdr:twoCellAnchor>
    <xdr:from>
      <xdr:col>64</xdr:col>
      <xdr:colOff>11023</xdr:colOff>
      <xdr:row>10</xdr:row>
      <xdr:rowOff>77190</xdr:rowOff>
    </xdr:from>
    <xdr:to>
      <xdr:col>67</xdr:col>
      <xdr:colOff>19912</xdr:colOff>
      <xdr:row>13</xdr:row>
      <xdr:rowOff>37396</xdr:rowOff>
    </xdr:to>
    <xdr:pic>
      <xdr:nvPicPr>
        <xdr:cNvPr id="15" name="Picture 14">
          <a:extLst>
            <a:ext uri="{FF2B5EF4-FFF2-40B4-BE49-F238E27FC236}">
              <a16:creationId xmlns:a16="http://schemas.microsoft.com/office/drawing/2014/main" id="{00000000-0008-0000-0B00-00000F000000}"/>
            </a:ext>
          </a:extLst>
        </xdr:cNvPr>
        <xdr:cNvPicPr>
          <a:picLocks/>
        </xdr:cNvPicPr>
      </xdr:nvPicPr>
      <xdr:blipFill>
        <a:blip xmlns:r="http://schemas.openxmlformats.org/officeDocument/2006/relationships" r:embed="rId2"/>
        <a:stretch>
          <a:fillRect/>
        </a:stretch>
      </xdr:blipFill>
      <xdr:spPr>
        <a:xfrm>
          <a:off x="11602948" y="2363190"/>
          <a:ext cx="551814" cy="550756"/>
        </a:xfrm>
        <a:prstGeom prst="rect">
          <a:avLst/>
        </a:prstGeom>
      </xdr:spPr>
    </xdr:pic>
    <xdr:clientData/>
  </xdr:twoCellAnchor>
  <xdr:twoCellAnchor>
    <xdr:from>
      <xdr:col>60</xdr:col>
      <xdr:colOff>27847</xdr:colOff>
      <xdr:row>5</xdr:row>
      <xdr:rowOff>143512</xdr:rowOff>
    </xdr:from>
    <xdr:to>
      <xdr:col>71</xdr:col>
      <xdr:colOff>0</xdr:colOff>
      <xdr:row>9</xdr:row>
      <xdr:rowOff>161925</xdr:rowOff>
    </xdr:to>
    <xdr:sp macro="" textlink="">
      <xdr:nvSpPr>
        <xdr:cNvPr id="16" name="TextBox 15">
          <a:extLst>
            <a:ext uri="{FF2B5EF4-FFF2-40B4-BE49-F238E27FC236}">
              <a16:creationId xmlns:a16="http://schemas.microsoft.com/office/drawing/2014/main" id="{00000000-0008-0000-0B00-000010000000}"/>
            </a:ext>
          </a:extLst>
        </xdr:cNvPr>
        <xdr:cNvSpPr txBox="1"/>
      </xdr:nvSpPr>
      <xdr:spPr>
        <a:xfrm>
          <a:off x="10895872" y="1477012"/>
          <a:ext cx="1962878" cy="780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800" b="1" u="none">
              <a:solidFill>
                <a:srgbClr val="545F6B"/>
              </a:solidFill>
              <a:latin typeface="+mn-lt"/>
              <a:ea typeface="+mn-ea"/>
              <a:cs typeface="+mn-cs"/>
            </a:rPr>
            <a:t>Step 3:</a:t>
          </a:r>
        </a:p>
        <a:p>
          <a:pPr marL="0" indent="0" algn="ctr"/>
          <a:r>
            <a:rPr lang="en-US" sz="1800" b="1" u="none">
              <a:solidFill>
                <a:srgbClr val="545F6B"/>
              </a:solidFill>
              <a:latin typeface="+mn-lt"/>
              <a:ea typeface="+mn-ea"/>
              <a:cs typeface="+mn-cs"/>
            </a:rPr>
            <a:t>Estimate Repairs</a:t>
          </a:r>
        </a:p>
      </xdr:txBody>
    </xdr:sp>
    <xdr:clientData/>
  </xdr:twoCellAnchor>
  <xdr:twoCellAnchor>
    <xdr:from>
      <xdr:col>45</xdr:col>
      <xdr:colOff>68306</xdr:colOff>
      <xdr:row>10</xdr:row>
      <xdr:rowOff>77205</xdr:rowOff>
    </xdr:from>
    <xdr:to>
      <xdr:col>48</xdr:col>
      <xdr:colOff>65554</xdr:colOff>
      <xdr:row>13</xdr:row>
      <xdr:rowOff>37411</xdr:rowOff>
    </xdr:to>
    <xdr:pic>
      <xdr:nvPicPr>
        <xdr:cNvPr id="17" name="Picture 16">
          <a:extLst>
            <a:ext uri="{FF2B5EF4-FFF2-40B4-BE49-F238E27FC236}">
              <a16:creationId xmlns:a16="http://schemas.microsoft.com/office/drawing/2014/main" id="{00000000-0008-0000-0B00-000011000000}"/>
            </a:ext>
          </a:extLst>
        </xdr:cNvPr>
        <xdr:cNvPicPr>
          <a:picLocks/>
        </xdr:cNvPicPr>
      </xdr:nvPicPr>
      <xdr:blipFill>
        <a:blip xmlns:r="http://schemas.openxmlformats.org/officeDocument/2006/relationships" r:embed="rId3"/>
        <a:stretch>
          <a:fillRect/>
        </a:stretch>
      </xdr:blipFill>
      <xdr:spPr>
        <a:xfrm>
          <a:off x="8212181" y="2363205"/>
          <a:ext cx="540173" cy="550756"/>
        </a:xfrm>
        <a:prstGeom prst="rect">
          <a:avLst/>
        </a:prstGeom>
      </xdr:spPr>
    </xdr:pic>
    <xdr:clientData/>
  </xdr:twoCellAnchor>
  <xdr:twoCellAnchor>
    <xdr:from>
      <xdr:col>41</xdr:col>
      <xdr:colOff>124473</xdr:colOff>
      <xdr:row>5</xdr:row>
      <xdr:rowOff>144780</xdr:rowOff>
    </xdr:from>
    <xdr:to>
      <xdr:col>51</xdr:col>
      <xdr:colOff>179458</xdr:colOff>
      <xdr:row>10</xdr:row>
      <xdr:rowOff>56090</xdr:rowOff>
    </xdr:to>
    <xdr:sp macro="" textlink="">
      <xdr:nvSpPr>
        <xdr:cNvPr id="18" name="TextBox 17">
          <a:extLst>
            <a:ext uri="{FF2B5EF4-FFF2-40B4-BE49-F238E27FC236}">
              <a16:creationId xmlns:a16="http://schemas.microsoft.com/office/drawing/2014/main" id="{00000000-0008-0000-0B00-000012000000}"/>
            </a:ext>
          </a:extLst>
        </xdr:cNvPr>
        <xdr:cNvSpPr txBox="1"/>
      </xdr:nvSpPr>
      <xdr:spPr>
        <a:xfrm>
          <a:off x="7544448" y="1478280"/>
          <a:ext cx="1864735" cy="863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800" b="1" u="none">
              <a:solidFill>
                <a:srgbClr val="545F6B"/>
              </a:solidFill>
              <a:latin typeface="+mn-lt"/>
              <a:ea typeface="+mn-ea"/>
              <a:cs typeface="+mn-cs"/>
            </a:rPr>
            <a:t>Step 2:</a:t>
          </a:r>
        </a:p>
        <a:p>
          <a:pPr marL="0" indent="0" algn="ctr"/>
          <a:r>
            <a:rPr lang="en-US" sz="1800" b="1" u="none">
              <a:solidFill>
                <a:srgbClr val="545F6B"/>
              </a:solidFill>
              <a:latin typeface="+mn-lt"/>
              <a:ea typeface="+mn-ea"/>
              <a:cs typeface="+mn-cs"/>
            </a:rPr>
            <a:t>Analyze the Deal</a:t>
          </a:r>
        </a:p>
      </xdr:txBody>
    </xdr:sp>
    <xdr:clientData/>
  </xdr:twoCellAnchor>
  <xdr:twoCellAnchor>
    <xdr:from>
      <xdr:col>37</xdr:col>
      <xdr:colOff>84352</xdr:colOff>
      <xdr:row>23</xdr:row>
      <xdr:rowOff>84008</xdr:rowOff>
    </xdr:from>
    <xdr:to>
      <xdr:col>52</xdr:col>
      <xdr:colOff>142871</xdr:colOff>
      <xdr:row>25</xdr:row>
      <xdr:rowOff>27978</xdr:rowOff>
    </xdr:to>
    <xdr:sp macro="[0]!Navigate_Inspection_Checklist" textlink="">
      <xdr:nvSpPr>
        <xdr:cNvPr id="67" name="TextBox 66">
          <a:extLst>
            <a:ext uri="{FF2B5EF4-FFF2-40B4-BE49-F238E27FC236}">
              <a16:creationId xmlns:a16="http://schemas.microsoft.com/office/drawing/2014/main" id="{00000000-0008-0000-0B00-000043000000}"/>
            </a:ext>
          </a:extLst>
        </xdr:cNvPr>
        <xdr:cNvSpPr txBox="1"/>
      </xdr:nvSpPr>
      <xdr:spPr>
        <a:xfrm>
          <a:off x="6780427" y="4951283"/>
          <a:ext cx="2773144"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40</xdr:col>
      <xdr:colOff>96495</xdr:colOff>
      <xdr:row>25</xdr:row>
      <xdr:rowOff>11517</xdr:rowOff>
    </xdr:from>
    <xdr:to>
      <xdr:col>55</xdr:col>
      <xdr:colOff>162422</xdr:colOff>
      <xdr:row>26</xdr:row>
      <xdr:rowOff>143871</xdr:rowOff>
    </xdr:to>
    <xdr:sp macro="" textlink="">
      <xdr:nvSpPr>
        <xdr:cNvPr id="68" name="TextBox 67">
          <a:extLst>
            <a:ext uri="{FF2B5EF4-FFF2-40B4-BE49-F238E27FC236}">
              <a16:creationId xmlns:a16="http://schemas.microsoft.com/office/drawing/2014/main" id="{00000000-0008-0000-0B00-000044000000}"/>
            </a:ext>
          </a:extLst>
        </xdr:cNvPr>
        <xdr:cNvSpPr txBox="1"/>
      </xdr:nvSpPr>
      <xdr:spPr>
        <a:xfrm>
          <a:off x="7335495" y="5259792"/>
          <a:ext cx="2780552" cy="322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37</xdr:col>
      <xdr:colOff>106145</xdr:colOff>
      <xdr:row>25</xdr:row>
      <xdr:rowOff>57648</xdr:rowOff>
    </xdr:from>
    <xdr:to>
      <xdr:col>52</xdr:col>
      <xdr:colOff>161488</xdr:colOff>
      <xdr:row>27</xdr:row>
      <xdr:rowOff>9027</xdr:rowOff>
    </xdr:to>
    <xdr:sp macro="[0]!Navigate_Repair_Estimate_Reports" textlink="">
      <xdr:nvSpPr>
        <xdr:cNvPr id="69" name="TextBox 68">
          <a:extLst>
            <a:ext uri="{FF2B5EF4-FFF2-40B4-BE49-F238E27FC236}">
              <a16:creationId xmlns:a16="http://schemas.microsoft.com/office/drawing/2014/main" id="{00000000-0008-0000-0B00-000045000000}"/>
            </a:ext>
          </a:extLst>
        </xdr:cNvPr>
        <xdr:cNvSpPr txBox="1"/>
      </xdr:nvSpPr>
      <xdr:spPr>
        <a:xfrm>
          <a:off x="6802220" y="5305923"/>
          <a:ext cx="2769968" cy="332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59</xdr:col>
      <xdr:colOff>86036</xdr:colOff>
      <xdr:row>23</xdr:row>
      <xdr:rowOff>49180</xdr:rowOff>
    </xdr:from>
    <xdr:to>
      <xdr:col>74</xdr:col>
      <xdr:colOff>144555</xdr:colOff>
      <xdr:row>24</xdr:row>
      <xdr:rowOff>179418</xdr:rowOff>
    </xdr:to>
    <xdr:sp macro="[0]!Navigate_Funding_Reports" textlink="">
      <xdr:nvSpPr>
        <xdr:cNvPr id="70" name="TextBox 69">
          <a:extLst>
            <a:ext uri="{FF2B5EF4-FFF2-40B4-BE49-F238E27FC236}">
              <a16:creationId xmlns:a16="http://schemas.microsoft.com/office/drawing/2014/main" id="{00000000-0008-0000-0B00-000046000000}"/>
            </a:ext>
          </a:extLst>
        </xdr:cNvPr>
        <xdr:cNvSpPr txBox="1"/>
      </xdr:nvSpPr>
      <xdr:spPr>
        <a:xfrm>
          <a:off x="10773086" y="4916455"/>
          <a:ext cx="2773144" cy="320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59</xdr:col>
      <xdr:colOff>87655</xdr:colOff>
      <xdr:row>25</xdr:row>
      <xdr:rowOff>36419</xdr:rowOff>
    </xdr:from>
    <xdr:to>
      <xdr:col>74</xdr:col>
      <xdr:colOff>141940</xdr:colOff>
      <xdr:row>26</xdr:row>
      <xdr:rowOff>170889</xdr:rowOff>
    </xdr:to>
    <xdr:sp macro="[0]!Navigate_Homeowner_Offer_Report" textlink="">
      <xdr:nvSpPr>
        <xdr:cNvPr id="71" name="TextBox 70">
          <a:extLst>
            <a:ext uri="{FF2B5EF4-FFF2-40B4-BE49-F238E27FC236}">
              <a16:creationId xmlns:a16="http://schemas.microsoft.com/office/drawing/2014/main" id="{00000000-0008-0000-0B00-000047000000}"/>
            </a:ext>
          </a:extLst>
        </xdr:cNvPr>
        <xdr:cNvSpPr txBox="1"/>
      </xdr:nvSpPr>
      <xdr:spPr>
        <a:xfrm>
          <a:off x="10774705" y="5284694"/>
          <a:ext cx="2768910"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37</xdr:col>
      <xdr:colOff>84231</xdr:colOff>
      <xdr:row>33</xdr:row>
      <xdr:rowOff>46940</xdr:rowOff>
    </xdr:from>
    <xdr:to>
      <xdr:col>52</xdr:col>
      <xdr:colOff>150780</xdr:colOff>
      <xdr:row>34</xdr:row>
      <xdr:rowOff>182469</xdr:rowOff>
    </xdr:to>
    <xdr:sp macro="[0]!Navigate_Wholesale_Reports" textlink="">
      <xdr:nvSpPr>
        <xdr:cNvPr id="73" name="TextBox 72">
          <a:extLst>
            <a:ext uri="{FF2B5EF4-FFF2-40B4-BE49-F238E27FC236}">
              <a16:creationId xmlns:a16="http://schemas.microsoft.com/office/drawing/2014/main" id="{00000000-0008-0000-0B00-000049000000}"/>
            </a:ext>
          </a:extLst>
        </xdr:cNvPr>
        <xdr:cNvSpPr txBox="1"/>
      </xdr:nvSpPr>
      <xdr:spPr>
        <a:xfrm>
          <a:off x="6780306" y="6876365"/>
          <a:ext cx="2781174" cy="335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59</xdr:col>
      <xdr:colOff>94564</xdr:colOff>
      <xdr:row>33</xdr:row>
      <xdr:rowOff>55967</xdr:rowOff>
    </xdr:from>
    <xdr:to>
      <xdr:col>74</xdr:col>
      <xdr:colOff>154142</xdr:colOff>
      <xdr:row>34</xdr:row>
      <xdr:rowOff>190439</xdr:rowOff>
    </xdr:to>
    <xdr:sp macro="[0]!Navigate_Rental_Reports" textlink="">
      <xdr:nvSpPr>
        <xdr:cNvPr id="74" name="TextBox 73">
          <a:extLst>
            <a:ext uri="{FF2B5EF4-FFF2-40B4-BE49-F238E27FC236}">
              <a16:creationId xmlns:a16="http://schemas.microsoft.com/office/drawing/2014/main" id="{00000000-0008-0000-0B00-00004A000000}"/>
            </a:ext>
          </a:extLst>
        </xdr:cNvPr>
        <xdr:cNvSpPr txBox="1"/>
      </xdr:nvSpPr>
      <xdr:spPr>
        <a:xfrm>
          <a:off x="10781614" y="6885392"/>
          <a:ext cx="2774203" cy="3344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37</xdr:col>
      <xdr:colOff>150595</xdr:colOff>
      <xdr:row>27</xdr:row>
      <xdr:rowOff>19548</xdr:rowOff>
    </xdr:from>
    <xdr:to>
      <xdr:col>53</xdr:col>
      <xdr:colOff>29197</xdr:colOff>
      <xdr:row>28</xdr:row>
      <xdr:rowOff>154017</xdr:rowOff>
    </xdr:to>
    <xdr:sp macro="[0]!Navigate_Investment_Reports" textlink="">
      <xdr:nvSpPr>
        <xdr:cNvPr id="123" name="TextBox 122">
          <a:extLst>
            <a:ext uri="{FF2B5EF4-FFF2-40B4-BE49-F238E27FC236}">
              <a16:creationId xmlns:a16="http://schemas.microsoft.com/office/drawing/2014/main" id="{00000000-0008-0000-0B00-00007B000000}"/>
            </a:ext>
          </a:extLst>
        </xdr:cNvPr>
        <xdr:cNvSpPr txBox="1"/>
      </xdr:nvSpPr>
      <xdr:spPr>
        <a:xfrm>
          <a:off x="6846670" y="5648823"/>
          <a:ext cx="2774202" cy="334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37</xdr:col>
      <xdr:colOff>143187</xdr:colOff>
      <xdr:row>29</xdr:row>
      <xdr:rowOff>19548</xdr:rowOff>
    </xdr:from>
    <xdr:to>
      <xdr:col>53</xdr:col>
      <xdr:colOff>17555</xdr:colOff>
      <xdr:row>30</xdr:row>
      <xdr:rowOff>154017</xdr:rowOff>
    </xdr:to>
    <xdr:sp macro="[0]!Navigate_All_Project_Costs_Reports" textlink="">
      <xdr:nvSpPr>
        <xdr:cNvPr id="125" name="TextBox 124">
          <a:extLst>
            <a:ext uri="{FF2B5EF4-FFF2-40B4-BE49-F238E27FC236}">
              <a16:creationId xmlns:a16="http://schemas.microsoft.com/office/drawing/2014/main" id="{00000000-0008-0000-0B00-00007D000000}"/>
            </a:ext>
          </a:extLst>
        </xdr:cNvPr>
        <xdr:cNvSpPr txBox="1"/>
      </xdr:nvSpPr>
      <xdr:spPr>
        <a:xfrm>
          <a:off x="6839262" y="6048873"/>
          <a:ext cx="2769968" cy="334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69</xdr:col>
      <xdr:colOff>161925</xdr:colOff>
      <xdr:row>2</xdr:row>
      <xdr:rowOff>133350</xdr:rowOff>
    </xdr:from>
    <xdr:to>
      <xdr:col>77</xdr:col>
      <xdr:colOff>114300</xdr:colOff>
      <xdr:row>4</xdr:row>
      <xdr:rowOff>38100</xdr:rowOff>
    </xdr:to>
    <xdr:sp macro="[0]!Show_Analyze_Help" textlink="">
      <xdr:nvSpPr>
        <xdr:cNvPr id="2" name="Analyze_Show_Help" hidden="1">
          <a:extLst>
            <a:ext uri="{FF2B5EF4-FFF2-40B4-BE49-F238E27FC236}">
              <a16:creationId xmlns:a16="http://schemas.microsoft.com/office/drawing/2014/main" id="{00000000-0008-0000-0B00-000002000000}"/>
            </a:ext>
          </a:extLst>
        </xdr:cNvPr>
        <xdr:cNvSpPr txBox="1"/>
      </xdr:nvSpPr>
      <xdr:spPr>
        <a:xfrm>
          <a:off x="12658725" y="923925"/>
          <a:ext cx="14001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b="0" u="sng">
              <a:solidFill>
                <a:srgbClr val="398CCC"/>
              </a:solidFill>
              <a:latin typeface="Calibri Light" panose="020F0302020204030204" pitchFamily="34" charset="0"/>
              <a:cs typeface="Calibri Light" panose="020F0302020204030204" pitchFamily="34" charset="0"/>
            </a:rPr>
            <a:t>show</a:t>
          </a:r>
          <a:r>
            <a:rPr lang="en-US" sz="1400" b="0" u="sng">
              <a:solidFill>
                <a:srgbClr val="398CCC"/>
              </a:solidFill>
              <a:latin typeface="Calibri Light" panose="020F0302020204030204" pitchFamily="34" charset="0"/>
              <a:cs typeface="Calibri Light" panose="020F0302020204030204" pitchFamily="34" charset="0"/>
            </a:rPr>
            <a:t> </a:t>
          </a:r>
          <a:r>
            <a:rPr lang="en-US" sz="1300" b="0" u="sng">
              <a:solidFill>
                <a:srgbClr val="398CCC"/>
              </a:solidFill>
              <a:latin typeface="Calibri Light" panose="020F0302020204030204" pitchFamily="34" charset="0"/>
              <a:cs typeface="Calibri Light" panose="020F0302020204030204" pitchFamily="34" charset="0"/>
            </a:rPr>
            <a:t>help</a:t>
          </a:r>
        </a:p>
      </xdr:txBody>
    </xdr:sp>
    <xdr:clientData/>
  </xdr:twoCellAnchor>
  <xdr:twoCellAnchor editAs="oneCell">
    <xdr:from>
      <xdr:col>17</xdr:col>
      <xdr:colOff>0</xdr:colOff>
      <xdr:row>43</xdr:row>
      <xdr:rowOff>0</xdr:rowOff>
    </xdr:from>
    <xdr:to>
      <xdr:col>19</xdr:col>
      <xdr:colOff>1694</xdr:colOff>
      <xdr:row>44</xdr:row>
      <xdr:rowOff>1694</xdr:rowOff>
    </xdr:to>
    <xdr:pic macro="[0]!Hide_Offer_To_Do_Check1">
      <xdr:nvPicPr>
        <xdr:cNvPr id="88" name="Offer_To_Do_Check1" hidden="1">
          <a:extLst>
            <a:ext uri="{FF2B5EF4-FFF2-40B4-BE49-F238E27FC236}">
              <a16:creationId xmlns:a16="http://schemas.microsoft.com/office/drawing/2014/main" id="{00000000-0008-0000-0B00-000058000000}"/>
            </a:ext>
          </a:extLst>
        </xdr:cNvPr>
        <xdr:cNvPicPr>
          <a:picLocks noChangeAspect="1"/>
        </xdr:cNvPicPr>
      </xdr:nvPicPr>
      <xdr:blipFill>
        <a:blip xmlns:r="http://schemas.openxmlformats.org/officeDocument/2006/relationships" r:embed="rId4"/>
        <a:stretch>
          <a:fillRect/>
        </a:stretch>
      </xdr:blipFill>
      <xdr:spPr>
        <a:xfrm>
          <a:off x="3076575" y="11458575"/>
          <a:ext cx="365760" cy="365760"/>
        </a:xfrm>
        <a:prstGeom prst="rect">
          <a:avLst/>
        </a:prstGeom>
      </xdr:spPr>
    </xdr:pic>
    <xdr:clientData/>
  </xdr:twoCellAnchor>
  <xdr:twoCellAnchor editAs="oneCell">
    <xdr:from>
      <xdr:col>17</xdr:col>
      <xdr:colOff>0</xdr:colOff>
      <xdr:row>45</xdr:row>
      <xdr:rowOff>0</xdr:rowOff>
    </xdr:from>
    <xdr:to>
      <xdr:col>19</xdr:col>
      <xdr:colOff>1694</xdr:colOff>
      <xdr:row>46</xdr:row>
      <xdr:rowOff>1694</xdr:rowOff>
    </xdr:to>
    <xdr:pic macro="[0]!Hide_Offer_To_Do_Check2">
      <xdr:nvPicPr>
        <xdr:cNvPr id="89" name="Offer_To_Do_Check2" hidden="1">
          <a:extLst>
            <a:ext uri="{FF2B5EF4-FFF2-40B4-BE49-F238E27FC236}">
              <a16:creationId xmlns:a16="http://schemas.microsoft.com/office/drawing/2014/main" id="{00000000-0008-0000-0B00-000059000000}"/>
            </a:ext>
          </a:extLst>
        </xdr:cNvPr>
        <xdr:cNvPicPr>
          <a:picLocks noChangeAspect="1"/>
        </xdr:cNvPicPr>
      </xdr:nvPicPr>
      <xdr:blipFill>
        <a:blip xmlns:r="http://schemas.openxmlformats.org/officeDocument/2006/relationships" r:embed="rId4"/>
        <a:stretch>
          <a:fillRect/>
        </a:stretch>
      </xdr:blipFill>
      <xdr:spPr>
        <a:xfrm>
          <a:off x="3076575" y="12020550"/>
          <a:ext cx="365760" cy="365760"/>
        </a:xfrm>
        <a:prstGeom prst="rect">
          <a:avLst/>
        </a:prstGeom>
      </xdr:spPr>
    </xdr:pic>
    <xdr:clientData/>
  </xdr:twoCellAnchor>
  <xdr:twoCellAnchor editAs="oneCell">
    <xdr:from>
      <xdr:col>17</xdr:col>
      <xdr:colOff>0</xdr:colOff>
      <xdr:row>47</xdr:row>
      <xdr:rowOff>0</xdr:rowOff>
    </xdr:from>
    <xdr:to>
      <xdr:col>19</xdr:col>
      <xdr:colOff>1694</xdr:colOff>
      <xdr:row>48</xdr:row>
      <xdr:rowOff>1694</xdr:rowOff>
    </xdr:to>
    <xdr:pic macro="[0]!Hide_Offer_To_Do_Check3">
      <xdr:nvPicPr>
        <xdr:cNvPr id="90" name="Offer_To_Do_Check3" hidden="1">
          <a:extLst>
            <a:ext uri="{FF2B5EF4-FFF2-40B4-BE49-F238E27FC236}">
              <a16:creationId xmlns:a16="http://schemas.microsoft.com/office/drawing/2014/main" id="{00000000-0008-0000-0B00-00005A000000}"/>
            </a:ext>
          </a:extLst>
        </xdr:cNvPr>
        <xdr:cNvPicPr>
          <a:picLocks noChangeAspect="1"/>
        </xdr:cNvPicPr>
      </xdr:nvPicPr>
      <xdr:blipFill>
        <a:blip xmlns:r="http://schemas.openxmlformats.org/officeDocument/2006/relationships" r:embed="rId4"/>
        <a:stretch>
          <a:fillRect/>
        </a:stretch>
      </xdr:blipFill>
      <xdr:spPr>
        <a:xfrm>
          <a:off x="3076575" y="12582525"/>
          <a:ext cx="365760" cy="365760"/>
        </a:xfrm>
        <a:prstGeom prst="rect">
          <a:avLst/>
        </a:prstGeom>
      </xdr:spPr>
    </xdr:pic>
    <xdr:clientData/>
  </xdr:twoCellAnchor>
  <xdr:twoCellAnchor editAs="oneCell">
    <xdr:from>
      <xdr:col>17</xdr:col>
      <xdr:colOff>0</xdr:colOff>
      <xdr:row>51</xdr:row>
      <xdr:rowOff>0</xdr:rowOff>
    </xdr:from>
    <xdr:to>
      <xdr:col>19</xdr:col>
      <xdr:colOff>1694</xdr:colOff>
      <xdr:row>52</xdr:row>
      <xdr:rowOff>1694</xdr:rowOff>
    </xdr:to>
    <xdr:pic macro="[0]!Hide_Offer_To_Do_Check5">
      <xdr:nvPicPr>
        <xdr:cNvPr id="91" name="Offer_To_Do_Check5" hidden="1">
          <a:extLst>
            <a:ext uri="{FF2B5EF4-FFF2-40B4-BE49-F238E27FC236}">
              <a16:creationId xmlns:a16="http://schemas.microsoft.com/office/drawing/2014/main" id="{00000000-0008-0000-0B00-00005B000000}"/>
            </a:ext>
          </a:extLst>
        </xdr:cNvPr>
        <xdr:cNvPicPr>
          <a:picLocks noChangeAspect="1"/>
        </xdr:cNvPicPr>
      </xdr:nvPicPr>
      <xdr:blipFill>
        <a:blip xmlns:r="http://schemas.openxmlformats.org/officeDocument/2006/relationships" r:embed="rId4"/>
        <a:stretch>
          <a:fillRect/>
        </a:stretch>
      </xdr:blipFill>
      <xdr:spPr>
        <a:xfrm>
          <a:off x="3076575" y="13706475"/>
          <a:ext cx="365760" cy="365760"/>
        </a:xfrm>
        <a:prstGeom prst="rect">
          <a:avLst/>
        </a:prstGeom>
      </xdr:spPr>
    </xdr:pic>
    <xdr:clientData/>
  </xdr:twoCellAnchor>
  <xdr:twoCellAnchor editAs="oneCell">
    <xdr:from>
      <xdr:col>17</xdr:col>
      <xdr:colOff>0</xdr:colOff>
      <xdr:row>53</xdr:row>
      <xdr:rowOff>0</xdr:rowOff>
    </xdr:from>
    <xdr:to>
      <xdr:col>19</xdr:col>
      <xdr:colOff>1694</xdr:colOff>
      <xdr:row>54</xdr:row>
      <xdr:rowOff>1694</xdr:rowOff>
    </xdr:to>
    <xdr:pic macro="[0]!Hide_Offer_To_Do_Check6">
      <xdr:nvPicPr>
        <xdr:cNvPr id="92" name="Offer_To_Do_Check6" hidden="1">
          <a:extLst>
            <a:ext uri="{FF2B5EF4-FFF2-40B4-BE49-F238E27FC236}">
              <a16:creationId xmlns:a16="http://schemas.microsoft.com/office/drawing/2014/main" id="{00000000-0008-0000-0B00-00005C000000}"/>
            </a:ext>
          </a:extLst>
        </xdr:cNvPr>
        <xdr:cNvPicPr>
          <a:picLocks noChangeAspect="1"/>
        </xdr:cNvPicPr>
      </xdr:nvPicPr>
      <xdr:blipFill>
        <a:blip xmlns:r="http://schemas.openxmlformats.org/officeDocument/2006/relationships" r:embed="rId4"/>
        <a:stretch>
          <a:fillRect/>
        </a:stretch>
      </xdr:blipFill>
      <xdr:spPr>
        <a:xfrm>
          <a:off x="3076575" y="14268450"/>
          <a:ext cx="365760" cy="365760"/>
        </a:xfrm>
        <a:prstGeom prst="rect">
          <a:avLst/>
        </a:prstGeom>
      </xdr:spPr>
    </xdr:pic>
    <xdr:clientData/>
  </xdr:twoCellAnchor>
  <xdr:twoCellAnchor editAs="oneCell">
    <xdr:from>
      <xdr:col>17</xdr:col>
      <xdr:colOff>0</xdr:colOff>
      <xdr:row>49</xdr:row>
      <xdr:rowOff>0</xdr:rowOff>
    </xdr:from>
    <xdr:to>
      <xdr:col>19</xdr:col>
      <xdr:colOff>1694</xdr:colOff>
      <xdr:row>50</xdr:row>
      <xdr:rowOff>1694</xdr:rowOff>
    </xdr:to>
    <xdr:pic macro="[0]!Hide_Offer_To_Do_Check4">
      <xdr:nvPicPr>
        <xdr:cNvPr id="93" name="Offer_To_Do_Check4" hidden="1">
          <a:extLst>
            <a:ext uri="{FF2B5EF4-FFF2-40B4-BE49-F238E27FC236}">
              <a16:creationId xmlns:a16="http://schemas.microsoft.com/office/drawing/2014/main" id="{00000000-0008-0000-0B00-00005D000000}"/>
            </a:ext>
          </a:extLst>
        </xdr:cNvPr>
        <xdr:cNvPicPr>
          <a:picLocks noChangeAspect="1"/>
        </xdr:cNvPicPr>
      </xdr:nvPicPr>
      <xdr:blipFill>
        <a:blip xmlns:r="http://schemas.openxmlformats.org/officeDocument/2006/relationships" r:embed="rId4"/>
        <a:stretch>
          <a:fillRect/>
        </a:stretch>
      </xdr:blipFill>
      <xdr:spPr>
        <a:xfrm>
          <a:off x="3076575" y="13144500"/>
          <a:ext cx="365760" cy="365760"/>
        </a:xfrm>
        <a:prstGeom prst="rect">
          <a:avLst/>
        </a:prstGeom>
      </xdr:spPr>
    </xdr:pic>
    <xdr:clientData/>
  </xdr:twoCellAnchor>
  <xdr:twoCellAnchor editAs="oneCell">
    <xdr:from>
      <xdr:col>17</xdr:col>
      <xdr:colOff>0</xdr:colOff>
      <xdr:row>59</xdr:row>
      <xdr:rowOff>0</xdr:rowOff>
    </xdr:from>
    <xdr:to>
      <xdr:col>19</xdr:col>
      <xdr:colOff>1694</xdr:colOff>
      <xdr:row>60</xdr:row>
      <xdr:rowOff>1694</xdr:rowOff>
    </xdr:to>
    <xdr:pic macro="[0]!Hide_Offer_To_Do_Check7">
      <xdr:nvPicPr>
        <xdr:cNvPr id="94" name="Offer_To_Do_Check7" hidden="1">
          <a:extLst>
            <a:ext uri="{FF2B5EF4-FFF2-40B4-BE49-F238E27FC236}">
              <a16:creationId xmlns:a16="http://schemas.microsoft.com/office/drawing/2014/main" id="{00000000-0008-0000-0B00-00005E000000}"/>
            </a:ext>
          </a:extLst>
        </xdr:cNvPr>
        <xdr:cNvPicPr>
          <a:picLocks noChangeAspect="1"/>
        </xdr:cNvPicPr>
      </xdr:nvPicPr>
      <xdr:blipFill>
        <a:blip xmlns:r="http://schemas.openxmlformats.org/officeDocument/2006/relationships" r:embed="rId4"/>
        <a:stretch>
          <a:fillRect/>
        </a:stretch>
      </xdr:blipFill>
      <xdr:spPr>
        <a:xfrm>
          <a:off x="3076575" y="15325725"/>
          <a:ext cx="365760" cy="365760"/>
        </a:xfrm>
        <a:prstGeom prst="rect">
          <a:avLst/>
        </a:prstGeom>
      </xdr:spPr>
    </xdr:pic>
    <xdr:clientData/>
  </xdr:twoCellAnchor>
  <xdr:twoCellAnchor editAs="oneCell">
    <xdr:from>
      <xdr:col>17</xdr:col>
      <xdr:colOff>0</xdr:colOff>
      <xdr:row>61</xdr:row>
      <xdr:rowOff>0</xdr:rowOff>
    </xdr:from>
    <xdr:to>
      <xdr:col>19</xdr:col>
      <xdr:colOff>1694</xdr:colOff>
      <xdr:row>62</xdr:row>
      <xdr:rowOff>1694</xdr:rowOff>
    </xdr:to>
    <xdr:pic macro="[0]!Hide_Offer_To_Do_Check8">
      <xdr:nvPicPr>
        <xdr:cNvPr id="95" name="Offer_To_Do_Check8" hidden="1">
          <a:extLst>
            <a:ext uri="{FF2B5EF4-FFF2-40B4-BE49-F238E27FC236}">
              <a16:creationId xmlns:a16="http://schemas.microsoft.com/office/drawing/2014/main" id="{00000000-0008-0000-0B00-00005F000000}"/>
            </a:ext>
          </a:extLst>
        </xdr:cNvPr>
        <xdr:cNvPicPr>
          <a:picLocks noChangeAspect="1"/>
        </xdr:cNvPicPr>
      </xdr:nvPicPr>
      <xdr:blipFill>
        <a:blip xmlns:r="http://schemas.openxmlformats.org/officeDocument/2006/relationships" r:embed="rId4"/>
        <a:stretch>
          <a:fillRect/>
        </a:stretch>
      </xdr:blipFill>
      <xdr:spPr>
        <a:xfrm>
          <a:off x="3076575" y="15887700"/>
          <a:ext cx="365760" cy="365760"/>
        </a:xfrm>
        <a:prstGeom prst="rect">
          <a:avLst/>
        </a:prstGeom>
      </xdr:spPr>
    </xdr:pic>
    <xdr:clientData/>
  </xdr:twoCellAnchor>
  <xdr:twoCellAnchor editAs="oneCell">
    <xdr:from>
      <xdr:col>17</xdr:col>
      <xdr:colOff>0</xdr:colOff>
      <xdr:row>63</xdr:row>
      <xdr:rowOff>0</xdr:rowOff>
    </xdr:from>
    <xdr:to>
      <xdr:col>19</xdr:col>
      <xdr:colOff>1694</xdr:colOff>
      <xdr:row>64</xdr:row>
      <xdr:rowOff>1694</xdr:rowOff>
    </xdr:to>
    <xdr:pic macro="[0]!Hide_Offer_To_Do_Check9">
      <xdr:nvPicPr>
        <xdr:cNvPr id="107" name="Offer_To_Do_Check9" hidden="1">
          <a:extLst>
            <a:ext uri="{FF2B5EF4-FFF2-40B4-BE49-F238E27FC236}">
              <a16:creationId xmlns:a16="http://schemas.microsoft.com/office/drawing/2014/main" id="{00000000-0008-0000-0B00-00006B000000}"/>
            </a:ext>
          </a:extLst>
        </xdr:cNvPr>
        <xdr:cNvPicPr>
          <a:picLocks noChangeAspect="1"/>
        </xdr:cNvPicPr>
      </xdr:nvPicPr>
      <xdr:blipFill>
        <a:blip xmlns:r="http://schemas.openxmlformats.org/officeDocument/2006/relationships" r:embed="rId4"/>
        <a:stretch>
          <a:fillRect/>
        </a:stretch>
      </xdr:blipFill>
      <xdr:spPr>
        <a:xfrm>
          <a:off x="3076575" y="16449675"/>
          <a:ext cx="365760" cy="365760"/>
        </a:xfrm>
        <a:prstGeom prst="rect">
          <a:avLst/>
        </a:prstGeom>
      </xdr:spPr>
    </xdr:pic>
    <xdr:clientData/>
  </xdr:twoCellAnchor>
  <xdr:twoCellAnchor>
    <xdr:from>
      <xdr:col>48</xdr:col>
      <xdr:colOff>46143</xdr:colOff>
      <xdr:row>44</xdr:row>
      <xdr:rowOff>189019</xdr:rowOff>
    </xdr:from>
    <xdr:to>
      <xdr:col>57</xdr:col>
      <xdr:colOff>122343</xdr:colOff>
      <xdr:row>45</xdr:row>
      <xdr:rowOff>350943</xdr:rowOff>
    </xdr:to>
    <xdr:sp macro="[0]!Navigate_Inspection_Checklist" textlink="">
      <xdr:nvSpPr>
        <xdr:cNvPr id="140" name="Rectangle 139">
          <a:extLst>
            <a:ext uri="{FF2B5EF4-FFF2-40B4-BE49-F238E27FC236}">
              <a16:creationId xmlns:a16="http://schemas.microsoft.com/office/drawing/2014/main" id="{00000000-0008-0000-0B00-00008C000000}"/>
            </a:ext>
          </a:extLst>
        </xdr:cNvPr>
        <xdr:cNvSpPr/>
      </xdr:nvSpPr>
      <xdr:spPr>
        <a:xfrm>
          <a:off x="8732943" y="9447319"/>
          <a:ext cx="1714500" cy="361949"/>
        </a:xfrm>
        <a:prstGeom prst="rect">
          <a:avLst/>
        </a:prstGeom>
        <a:noFill/>
      </xdr:spPr>
      <xdr:txBody>
        <a:bodyPr vertOverflow="clip" horzOverflow="clip" wrap="square" lIns="91440" tIns="45720" rIns="91440" bIns="45720" rtlCol="0" anchor="t">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39</xdr:col>
      <xdr:colOff>7620</xdr:colOff>
      <xdr:row>46</xdr:row>
      <xdr:rowOff>191982</xdr:rowOff>
    </xdr:from>
    <xdr:to>
      <xdr:col>48</xdr:col>
      <xdr:colOff>96943</xdr:colOff>
      <xdr:row>47</xdr:row>
      <xdr:rowOff>353906</xdr:rowOff>
    </xdr:to>
    <xdr:sp macro="[0]!Navigate_Repair_Estimator" textlink="">
      <xdr:nvSpPr>
        <xdr:cNvPr id="141" name="Rectangle 140">
          <a:extLst>
            <a:ext uri="{FF2B5EF4-FFF2-40B4-BE49-F238E27FC236}">
              <a16:creationId xmlns:a16="http://schemas.microsoft.com/office/drawing/2014/main" id="{00000000-0008-0000-0B00-00008D000000}"/>
            </a:ext>
          </a:extLst>
        </xdr:cNvPr>
        <xdr:cNvSpPr/>
      </xdr:nvSpPr>
      <xdr:spPr>
        <a:xfrm>
          <a:off x="7065645" y="10012257"/>
          <a:ext cx="1718098" cy="361949"/>
        </a:xfrm>
        <a:prstGeom prst="rect">
          <a:avLst/>
        </a:prstGeom>
        <a:noFill/>
      </xdr:spPr>
      <xdr:txBody>
        <a:bodyPr vertOverflow="clip" horzOverflow="clip" wrap="square" lIns="91440" tIns="45720" rIns="91440" bIns="45720" rtlCol="0" anchor="t">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48</xdr:col>
      <xdr:colOff>85089</xdr:colOff>
      <xdr:row>49</xdr:row>
      <xdr:rowOff>8467</xdr:rowOff>
    </xdr:from>
    <xdr:to>
      <xdr:col>56</xdr:col>
      <xdr:colOff>20319</xdr:colOff>
      <xdr:row>50</xdr:row>
      <xdr:rowOff>8466</xdr:rowOff>
    </xdr:to>
    <xdr:sp macro="[0]!Navigate_Rehab_Analyzer" textlink="">
      <xdr:nvSpPr>
        <xdr:cNvPr id="142" name="Rectangle 141">
          <a:extLst>
            <a:ext uri="{FF2B5EF4-FFF2-40B4-BE49-F238E27FC236}">
              <a16:creationId xmlns:a16="http://schemas.microsoft.com/office/drawing/2014/main" id="{00000000-0008-0000-0B00-00008E000000}"/>
            </a:ext>
          </a:extLst>
        </xdr:cNvPr>
        <xdr:cNvSpPr/>
      </xdr:nvSpPr>
      <xdr:spPr>
        <a:xfrm>
          <a:off x="8771889" y="10590742"/>
          <a:ext cx="1383030" cy="361949"/>
        </a:xfrm>
        <a:prstGeom prst="rect">
          <a:avLst/>
        </a:prstGeom>
        <a:noFill/>
      </xdr:spPr>
      <xdr:txBody>
        <a:bodyPr vertOverflow="clip" horzOverflow="clip" wrap="square" lIns="91440" tIns="45720" rIns="91440" bIns="45720" rtlCol="0" anchor="t">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30</xdr:col>
      <xdr:colOff>76200</xdr:colOff>
      <xdr:row>51</xdr:row>
      <xdr:rowOff>28998</xdr:rowOff>
    </xdr:from>
    <xdr:to>
      <xdr:col>39</xdr:col>
      <xdr:colOff>0</xdr:colOff>
      <xdr:row>52</xdr:row>
      <xdr:rowOff>28997</xdr:rowOff>
    </xdr:to>
    <xdr:sp macro="[0]!Navigate_Investment_Reports" textlink="">
      <xdr:nvSpPr>
        <xdr:cNvPr id="143" name="Rectangle 142">
          <a:extLst>
            <a:ext uri="{FF2B5EF4-FFF2-40B4-BE49-F238E27FC236}">
              <a16:creationId xmlns:a16="http://schemas.microsoft.com/office/drawing/2014/main" id="{00000000-0008-0000-0B00-00008F000000}"/>
            </a:ext>
          </a:extLst>
        </xdr:cNvPr>
        <xdr:cNvSpPr/>
      </xdr:nvSpPr>
      <xdr:spPr>
        <a:xfrm>
          <a:off x="5505450" y="11173248"/>
          <a:ext cx="1552575" cy="361949"/>
        </a:xfrm>
        <a:prstGeom prst="rect">
          <a:avLst/>
        </a:prstGeom>
        <a:noFill/>
      </xdr:spPr>
      <xdr:txBody>
        <a:bodyPr vertOverflow="clip" horzOverflow="clip" wrap="square" lIns="91440" tIns="45720" rIns="91440" bIns="45720" rtlCol="0" anchor="t">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absolute">
    <xdr:from>
      <xdr:col>52</xdr:col>
      <xdr:colOff>46366</xdr:colOff>
      <xdr:row>0</xdr:row>
      <xdr:rowOff>0</xdr:rowOff>
    </xdr:from>
    <xdr:to>
      <xdr:col>61</xdr:col>
      <xdr:colOff>104987</xdr:colOff>
      <xdr:row>1</xdr:row>
      <xdr:rowOff>0</xdr:rowOff>
    </xdr:to>
    <xdr:sp macro="[0]!Navigate_Reporting" textlink="">
      <xdr:nvSpPr>
        <xdr:cNvPr id="119" name="TextBox 118">
          <a:extLst>
            <a:ext uri="{FF2B5EF4-FFF2-40B4-BE49-F238E27FC236}">
              <a16:creationId xmlns:a16="http://schemas.microsoft.com/office/drawing/2014/main" id="{00000000-0008-0000-0B00-000077000000}"/>
            </a:ext>
          </a:extLst>
        </xdr:cNvPr>
        <xdr:cNvSpPr txBox="1">
          <a:spLocks noChangeAspect="1"/>
        </xdr:cNvSpPr>
      </xdr:nvSpPr>
      <xdr:spPr>
        <a:xfrm>
          <a:off x="9457066" y="0"/>
          <a:ext cx="169692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33</xdr:col>
      <xdr:colOff>58219</xdr:colOff>
      <xdr:row>0</xdr:row>
      <xdr:rowOff>1</xdr:rowOff>
    </xdr:from>
    <xdr:to>
      <xdr:col>42</xdr:col>
      <xdr:colOff>122132</xdr:colOff>
      <xdr:row>1</xdr:row>
      <xdr:rowOff>0</xdr:rowOff>
    </xdr:to>
    <xdr:sp macro="[0]!Navigate_Rehab_Analyzer" textlink="">
      <xdr:nvSpPr>
        <xdr:cNvPr id="120" name="TextBox 119">
          <a:extLst>
            <a:ext uri="{FF2B5EF4-FFF2-40B4-BE49-F238E27FC236}">
              <a16:creationId xmlns:a16="http://schemas.microsoft.com/office/drawing/2014/main" id="{00000000-0008-0000-0B00-000078000000}"/>
            </a:ext>
          </a:extLst>
        </xdr:cNvPr>
        <xdr:cNvSpPr txBox="1">
          <a:spLocks noChangeAspect="1"/>
        </xdr:cNvSpPr>
      </xdr:nvSpPr>
      <xdr:spPr>
        <a:xfrm>
          <a:off x="6030394" y="1"/>
          <a:ext cx="1692688" cy="561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42</xdr:col>
      <xdr:colOff>141393</xdr:colOff>
      <xdr:row>0</xdr:row>
      <xdr:rowOff>0</xdr:rowOff>
    </xdr:from>
    <xdr:to>
      <xdr:col>52</xdr:col>
      <xdr:colOff>20119</xdr:colOff>
      <xdr:row>1</xdr:row>
      <xdr:rowOff>0</xdr:rowOff>
    </xdr:to>
    <xdr:sp macro="[0]!Navigate_Repair_Estimator" textlink="">
      <xdr:nvSpPr>
        <xdr:cNvPr id="144" name="TextBox 143">
          <a:extLst>
            <a:ext uri="{FF2B5EF4-FFF2-40B4-BE49-F238E27FC236}">
              <a16:creationId xmlns:a16="http://schemas.microsoft.com/office/drawing/2014/main" id="{00000000-0008-0000-0B00-000090000000}"/>
            </a:ext>
          </a:extLst>
        </xdr:cNvPr>
        <xdr:cNvSpPr txBox="1">
          <a:spLocks noChangeAspect="1"/>
        </xdr:cNvSpPr>
      </xdr:nvSpPr>
      <xdr:spPr>
        <a:xfrm>
          <a:off x="7742343" y="0"/>
          <a:ext cx="1688476"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23</xdr:col>
      <xdr:colOff>173129</xdr:colOff>
      <xdr:row>0</xdr:row>
      <xdr:rowOff>0</xdr:rowOff>
    </xdr:from>
    <xdr:to>
      <xdr:col>33</xdr:col>
      <xdr:colOff>49317</xdr:colOff>
      <xdr:row>1</xdr:row>
      <xdr:rowOff>0</xdr:rowOff>
    </xdr:to>
    <xdr:sp macro="[0]!Navigate_Home" textlink="">
      <xdr:nvSpPr>
        <xdr:cNvPr id="146" name="TextBox 145">
          <a:extLst>
            <a:ext uri="{FF2B5EF4-FFF2-40B4-BE49-F238E27FC236}">
              <a16:creationId xmlns:a16="http://schemas.microsoft.com/office/drawing/2014/main" id="{00000000-0008-0000-0B00-000092000000}"/>
            </a:ext>
          </a:extLst>
        </xdr:cNvPr>
        <xdr:cNvSpPr txBox="1">
          <a:spLocks noChangeAspect="1"/>
        </xdr:cNvSpPr>
      </xdr:nvSpPr>
      <xdr:spPr>
        <a:xfrm>
          <a:off x="4335554" y="0"/>
          <a:ext cx="1685938" cy="561975"/>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66</xdr:col>
      <xdr:colOff>9949</xdr:colOff>
      <xdr:row>0</xdr:row>
      <xdr:rowOff>153469</xdr:rowOff>
    </xdr:from>
    <xdr:to>
      <xdr:col>67</xdr:col>
      <xdr:colOff>94538</xdr:colOff>
      <xdr:row>0</xdr:row>
      <xdr:rowOff>427778</xdr:rowOff>
    </xdr:to>
    <xdr:pic>
      <xdr:nvPicPr>
        <xdr:cNvPr id="147" name="Picture 146" title="Help">
          <a:hlinkClick xmlns:r="http://schemas.openxmlformats.org/officeDocument/2006/relationships" r:id="rId5"/>
          <a:extLst>
            <a:ext uri="{FF2B5EF4-FFF2-40B4-BE49-F238E27FC236}">
              <a16:creationId xmlns:a16="http://schemas.microsoft.com/office/drawing/2014/main" id="{00000000-0008-0000-0B00-00009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963824" y="153469"/>
          <a:ext cx="265564" cy="274309"/>
        </a:xfrm>
        <a:prstGeom prst="rect">
          <a:avLst/>
        </a:prstGeom>
      </xdr:spPr>
    </xdr:pic>
    <xdr:clientData/>
  </xdr:twoCellAnchor>
  <xdr:twoCellAnchor editAs="absolute">
    <xdr:from>
      <xdr:col>63</xdr:col>
      <xdr:colOff>1482</xdr:colOff>
      <xdr:row>0</xdr:row>
      <xdr:rowOff>152516</xdr:rowOff>
    </xdr:from>
    <xdr:to>
      <xdr:col>64</xdr:col>
      <xdr:colOff>105199</xdr:colOff>
      <xdr:row>0</xdr:row>
      <xdr:rowOff>427883</xdr:rowOff>
    </xdr:to>
    <xdr:pic macro="[0]!Navigate_Info_Sheet">
      <xdr:nvPicPr>
        <xdr:cNvPr id="148" name="Picture 147">
          <a:extLst>
            <a:ext uri="{FF2B5EF4-FFF2-40B4-BE49-F238E27FC236}">
              <a16:creationId xmlns:a16="http://schemas.microsoft.com/office/drawing/2014/main" id="{00000000-0008-0000-0B00-00009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1412432" y="152516"/>
          <a:ext cx="284692" cy="275367"/>
        </a:xfrm>
        <a:prstGeom prst="rect">
          <a:avLst/>
        </a:prstGeom>
      </xdr:spPr>
    </xdr:pic>
    <xdr:clientData/>
  </xdr:twoCellAnchor>
  <xdr:twoCellAnchor editAs="absolute">
    <xdr:from>
      <xdr:col>0</xdr:col>
      <xdr:colOff>0</xdr:colOff>
      <xdr:row>0</xdr:row>
      <xdr:rowOff>0</xdr:rowOff>
    </xdr:from>
    <xdr:to>
      <xdr:col>9</xdr:col>
      <xdr:colOff>55046</xdr:colOff>
      <xdr:row>1</xdr:row>
      <xdr:rowOff>0</xdr:rowOff>
    </xdr:to>
    <xdr:sp macro="" textlink="">
      <xdr:nvSpPr>
        <xdr:cNvPr id="126" name="TextBox 125">
          <a:extLst>
            <a:ext uri="{FF2B5EF4-FFF2-40B4-BE49-F238E27FC236}">
              <a16:creationId xmlns:a16="http://schemas.microsoft.com/office/drawing/2014/main" id="{86B5196C-EDBD-4CD1-BF08-213F4E756EBA}"/>
            </a:ext>
          </a:extLst>
        </xdr:cNvPr>
        <xdr:cNvSpPr txBox="1">
          <a:spLocks noChangeAspect="1"/>
        </xdr:cNvSpPr>
      </xdr:nvSpPr>
      <xdr:spPr>
        <a:xfrm>
          <a:off x="0" y="0"/>
          <a:ext cx="1731963" cy="557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twoCellAnchor>
    <xdr:from>
      <xdr:col>17</xdr:col>
      <xdr:colOff>28575</xdr:colOff>
      <xdr:row>55</xdr:row>
      <xdr:rowOff>28575</xdr:rowOff>
    </xdr:from>
    <xdr:to>
      <xdr:col>18</xdr:col>
      <xdr:colOff>142875</xdr:colOff>
      <xdr:row>55</xdr:row>
      <xdr:rowOff>342900</xdr:rowOff>
    </xdr:to>
    <xdr:sp macro="[0]!Show_Offer_To_Do_Check10" textlink="">
      <xdr:nvSpPr>
        <xdr:cNvPr id="127" name="Rectangle 126">
          <a:extLst>
            <a:ext uri="{FF2B5EF4-FFF2-40B4-BE49-F238E27FC236}">
              <a16:creationId xmlns:a16="http://schemas.microsoft.com/office/drawing/2014/main" id="{C127FFD1-0795-432C-AC63-9FF696719E60}"/>
            </a:ext>
          </a:extLst>
        </xdr:cNvPr>
        <xdr:cNvSpPr/>
      </xdr:nvSpPr>
      <xdr:spPr>
        <a:xfrm>
          <a:off x="3007995" y="11801475"/>
          <a:ext cx="289560"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oneCellAnchor>
    <xdr:from>
      <xdr:col>17</xdr:col>
      <xdr:colOff>0</xdr:colOff>
      <xdr:row>53</xdr:row>
      <xdr:rowOff>0</xdr:rowOff>
    </xdr:from>
    <xdr:ext cx="354330" cy="361950"/>
    <xdr:pic macro="[0]!Hide_Offer_To_Do_Check5">
      <xdr:nvPicPr>
        <xdr:cNvPr id="128" name="Offer_To_Do_Check5" hidden="1">
          <a:extLst>
            <a:ext uri="{FF2B5EF4-FFF2-40B4-BE49-F238E27FC236}">
              <a16:creationId xmlns:a16="http://schemas.microsoft.com/office/drawing/2014/main" id="{8973D6F9-9164-4BD6-B9CC-39E9B25DA649}"/>
            </a:ext>
          </a:extLst>
        </xdr:cNvPr>
        <xdr:cNvPicPr>
          <a:picLocks noChangeAspect="1"/>
        </xdr:cNvPicPr>
      </xdr:nvPicPr>
      <xdr:blipFill>
        <a:blip xmlns:r="http://schemas.openxmlformats.org/officeDocument/2006/relationships" r:embed="rId4"/>
        <a:stretch>
          <a:fillRect/>
        </a:stretch>
      </xdr:blipFill>
      <xdr:spPr>
        <a:xfrm>
          <a:off x="2979420" y="11216640"/>
          <a:ext cx="354330" cy="361950"/>
        </a:xfrm>
        <a:prstGeom prst="rect">
          <a:avLst/>
        </a:prstGeom>
      </xdr:spPr>
    </xdr:pic>
    <xdr:clientData/>
  </xdr:oneCellAnchor>
  <xdr:oneCellAnchor>
    <xdr:from>
      <xdr:col>17</xdr:col>
      <xdr:colOff>0</xdr:colOff>
      <xdr:row>55</xdr:row>
      <xdr:rowOff>0</xdr:rowOff>
    </xdr:from>
    <xdr:ext cx="354330" cy="361950"/>
    <xdr:pic macro="[0]!Hide_Offer_To_Do_Check10">
      <xdr:nvPicPr>
        <xdr:cNvPr id="130" name="Offer_To_Do_Check10" hidden="1">
          <a:extLst>
            <a:ext uri="{FF2B5EF4-FFF2-40B4-BE49-F238E27FC236}">
              <a16:creationId xmlns:a16="http://schemas.microsoft.com/office/drawing/2014/main" id="{4F878B36-7A6A-494E-8D1E-70663808010F}"/>
            </a:ext>
          </a:extLst>
        </xdr:cNvPr>
        <xdr:cNvPicPr>
          <a:picLocks noChangeAspect="1"/>
        </xdr:cNvPicPr>
      </xdr:nvPicPr>
      <xdr:blipFill>
        <a:blip xmlns:r="http://schemas.openxmlformats.org/officeDocument/2006/relationships" r:embed="rId4"/>
        <a:stretch>
          <a:fillRect/>
        </a:stretch>
      </xdr:blipFill>
      <xdr:spPr>
        <a:xfrm>
          <a:off x="2979420" y="11772900"/>
          <a:ext cx="354330" cy="361950"/>
        </a:xfrm>
        <a:prstGeom prst="rect">
          <a:avLst/>
        </a:prstGeom>
      </xdr:spPr>
    </xdr:pic>
    <xdr:clientData/>
  </xdr:oneCellAnchor>
  <xdr:twoCellAnchor>
    <xdr:from>
      <xdr:col>37</xdr:col>
      <xdr:colOff>125518</xdr:colOff>
      <xdr:row>55</xdr:row>
      <xdr:rowOff>211</xdr:rowOff>
    </xdr:from>
    <xdr:to>
      <xdr:col>43</xdr:col>
      <xdr:colOff>170180</xdr:colOff>
      <xdr:row>56</xdr:row>
      <xdr:rowOff>210</xdr:rowOff>
    </xdr:to>
    <xdr:sp macro="[0]!Navigate_Offer_Tracker" textlink="">
      <xdr:nvSpPr>
        <xdr:cNvPr id="132" name="Rectangle 131">
          <a:extLst>
            <a:ext uri="{FF2B5EF4-FFF2-40B4-BE49-F238E27FC236}">
              <a16:creationId xmlns:a16="http://schemas.microsoft.com/office/drawing/2014/main" id="{7F040945-CC02-4739-95FB-B5D40175A361}"/>
            </a:ext>
          </a:extLst>
        </xdr:cNvPr>
        <xdr:cNvSpPr/>
      </xdr:nvSpPr>
      <xdr:spPr>
        <a:xfrm>
          <a:off x="6821593" y="12268411"/>
          <a:ext cx="1130512" cy="361949"/>
        </a:xfrm>
        <a:prstGeom prst="rect">
          <a:avLst/>
        </a:prstGeom>
        <a:noFill/>
      </xdr:spPr>
      <xdr:txBody>
        <a:bodyPr vertOverflow="clip" horzOverflow="clip" wrap="square" lIns="91440" tIns="45720" rIns="91440" bIns="45720" rtlCol="0" anchor="t">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59</xdr:col>
      <xdr:colOff>144805</xdr:colOff>
      <xdr:row>27</xdr:row>
      <xdr:rowOff>45944</xdr:rowOff>
    </xdr:from>
    <xdr:to>
      <xdr:col>75</xdr:col>
      <xdr:colOff>18115</xdr:colOff>
      <xdr:row>28</xdr:row>
      <xdr:rowOff>180414</xdr:rowOff>
    </xdr:to>
    <xdr:sp macro="[0]!Navigate_Comparables_Reports" textlink="">
      <xdr:nvSpPr>
        <xdr:cNvPr id="115" name="TextBox 114">
          <a:extLst>
            <a:ext uri="{FF2B5EF4-FFF2-40B4-BE49-F238E27FC236}">
              <a16:creationId xmlns:a16="http://schemas.microsoft.com/office/drawing/2014/main" id="{7289356B-2B90-4A3B-B751-599F7E5204A9}"/>
            </a:ext>
          </a:extLst>
        </xdr:cNvPr>
        <xdr:cNvSpPr txBox="1"/>
      </xdr:nvSpPr>
      <xdr:spPr>
        <a:xfrm>
          <a:off x="10831855" y="5675219"/>
          <a:ext cx="2768910" cy="334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editAs="absolute">
    <xdr:from>
      <xdr:col>0</xdr:col>
      <xdr:colOff>0</xdr:colOff>
      <xdr:row>0</xdr:row>
      <xdr:rowOff>0</xdr:rowOff>
    </xdr:from>
    <xdr:to>
      <xdr:col>9</xdr:col>
      <xdr:colOff>35997</xdr:colOff>
      <xdr:row>1</xdr:row>
      <xdr:rowOff>1905</xdr:rowOff>
    </xdr:to>
    <xdr:sp macro="" textlink="">
      <xdr:nvSpPr>
        <xdr:cNvPr id="135" name="TextBox 134">
          <a:extLst>
            <a:ext uri="{FF2B5EF4-FFF2-40B4-BE49-F238E27FC236}">
              <a16:creationId xmlns:a16="http://schemas.microsoft.com/office/drawing/2014/main" id="{57481793-F9FD-4BAA-AA1D-8917357BE62F}"/>
            </a:ext>
          </a:extLst>
        </xdr:cNvPr>
        <xdr:cNvSpPr txBox="1">
          <a:spLocks noChangeAspect="1"/>
        </xdr:cNvSpPr>
      </xdr:nvSpPr>
      <xdr:spPr>
        <a:xfrm>
          <a:off x="0" y="0"/>
          <a:ext cx="1669005"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twoCellAnchor>
    <xdr:from>
      <xdr:col>14</xdr:col>
      <xdr:colOff>161610</xdr:colOff>
      <xdr:row>21</xdr:row>
      <xdr:rowOff>27916</xdr:rowOff>
    </xdr:from>
    <xdr:to>
      <xdr:col>30</xdr:col>
      <xdr:colOff>37038</xdr:colOff>
      <xdr:row>22</xdr:row>
      <xdr:rowOff>160270</xdr:rowOff>
    </xdr:to>
    <xdr:sp macro="[0]!Navigate_Scenarios" textlink="">
      <xdr:nvSpPr>
        <xdr:cNvPr id="117" name="TextBox 116">
          <a:extLst>
            <a:ext uri="{FF2B5EF4-FFF2-40B4-BE49-F238E27FC236}">
              <a16:creationId xmlns:a16="http://schemas.microsoft.com/office/drawing/2014/main" id="{2052B12D-7589-4063-B559-0C0F63FF1E6C}"/>
            </a:ext>
          </a:extLst>
        </xdr:cNvPr>
        <xdr:cNvSpPr txBox="1"/>
      </xdr:nvSpPr>
      <xdr:spPr>
        <a:xfrm>
          <a:off x="2695260" y="4514191"/>
          <a:ext cx="2771028" cy="322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14</xdr:col>
      <xdr:colOff>161610</xdr:colOff>
      <xdr:row>23</xdr:row>
      <xdr:rowOff>27916</xdr:rowOff>
    </xdr:from>
    <xdr:to>
      <xdr:col>30</xdr:col>
      <xdr:colOff>37038</xdr:colOff>
      <xdr:row>24</xdr:row>
      <xdr:rowOff>160270</xdr:rowOff>
    </xdr:to>
    <xdr:sp macro="[0]!Navigate_Scenarios" textlink="">
      <xdr:nvSpPr>
        <xdr:cNvPr id="134" name="TextBox 133">
          <a:extLst>
            <a:ext uri="{FF2B5EF4-FFF2-40B4-BE49-F238E27FC236}">
              <a16:creationId xmlns:a16="http://schemas.microsoft.com/office/drawing/2014/main" id="{098EAF84-7C10-466E-A0E1-2EDB8315275C}"/>
            </a:ext>
          </a:extLst>
        </xdr:cNvPr>
        <xdr:cNvSpPr txBox="1"/>
      </xdr:nvSpPr>
      <xdr:spPr>
        <a:xfrm>
          <a:off x="2696318" y="4513133"/>
          <a:ext cx="2769970"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14</xdr:col>
      <xdr:colOff>161610</xdr:colOff>
      <xdr:row>25</xdr:row>
      <xdr:rowOff>27916</xdr:rowOff>
    </xdr:from>
    <xdr:to>
      <xdr:col>30</xdr:col>
      <xdr:colOff>37038</xdr:colOff>
      <xdr:row>26</xdr:row>
      <xdr:rowOff>160270</xdr:rowOff>
    </xdr:to>
    <xdr:sp macro="[0]!Navigate_Offer_Tracker" textlink="">
      <xdr:nvSpPr>
        <xdr:cNvPr id="151" name="TextBox 150">
          <a:extLst>
            <a:ext uri="{FF2B5EF4-FFF2-40B4-BE49-F238E27FC236}">
              <a16:creationId xmlns:a16="http://schemas.microsoft.com/office/drawing/2014/main" id="{1810F711-0398-42C2-B264-F75375651A23}"/>
            </a:ext>
          </a:extLst>
        </xdr:cNvPr>
        <xdr:cNvSpPr txBox="1"/>
      </xdr:nvSpPr>
      <xdr:spPr>
        <a:xfrm>
          <a:off x="2696318" y="4894133"/>
          <a:ext cx="2769970"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14</xdr:col>
      <xdr:colOff>161610</xdr:colOff>
      <xdr:row>31</xdr:row>
      <xdr:rowOff>27916</xdr:rowOff>
    </xdr:from>
    <xdr:to>
      <xdr:col>30</xdr:col>
      <xdr:colOff>37038</xdr:colOff>
      <xdr:row>32</xdr:row>
      <xdr:rowOff>160270</xdr:rowOff>
    </xdr:to>
    <xdr:sp macro="[0]!Navigate_Rental_Analysis" textlink="">
      <xdr:nvSpPr>
        <xdr:cNvPr id="153" name="TextBox 152">
          <a:extLst>
            <a:ext uri="{FF2B5EF4-FFF2-40B4-BE49-F238E27FC236}">
              <a16:creationId xmlns:a16="http://schemas.microsoft.com/office/drawing/2014/main" id="{94A128AB-FD76-4411-A4E0-3909AA95E62B}"/>
            </a:ext>
          </a:extLst>
        </xdr:cNvPr>
        <xdr:cNvSpPr txBox="1"/>
      </xdr:nvSpPr>
      <xdr:spPr>
        <a:xfrm>
          <a:off x="2696318" y="5275133"/>
          <a:ext cx="2769970"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14</xdr:col>
      <xdr:colOff>161610</xdr:colOff>
      <xdr:row>33</xdr:row>
      <xdr:rowOff>27916</xdr:rowOff>
    </xdr:from>
    <xdr:to>
      <xdr:col>30</xdr:col>
      <xdr:colOff>37038</xdr:colOff>
      <xdr:row>34</xdr:row>
      <xdr:rowOff>160270</xdr:rowOff>
    </xdr:to>
    <xdr:sp macro="[0]!Navigate_Wholesale_Calculator" textlink="">
      <xdr:nvSpPr>
        <xdr:cNvPr id="154" name="TextBox 153">
          <a:extLst>
            <a:ext uri="{FF2B5EF4-FFF2-40B4-BE49-F238E27FC236}">
              <a16:creationId xmlns:a16="http://schemas.microsoft.com/office/drawing/2014/main" id="{48C0FCF6-CB37-4D05-828A-B2BE29F617C0}"/>
            </a:ext>
          </a:extLst>
        </xdr:cNvPr>
        <xdr:cNvSpPr txBox="1"/>
      </xdr:nvSpPr>
      <xdr:spPr>
        <a:xfrm>
          <a:off x="2696318" y="6056183"/>
          <a:ext cx="2769970" cy="334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14</xdr:col>
      <xdr:colOff>161610</xdr:colOff>
      <xdr:row>27</xdr:row>
      <xdr:rowOff>27916</xdr:rowOff>
    </xdr:from>
    <xdr:to>
      <xdr:col>30</xdr:col>
      <xdr:colOff>37038</xdr:colOff>
      <xdr:row>28</xdr:row>
      <xdr:rowOff>160270</xdr:rowOff>
    </xdr:to>
    <xdr:sp macro="[0]!Navigate_Comparables" textlink="">
      <xdr:nvSpPr>
        <xdr:cNvPr id="62" name="TextBox 61">
          <a:extLst>
            <a:ext uri="{FF2B5EF4-FFF2-40B4-BE49-F238E27FC236}">
              <a16:creationId xmlns:a16="http://schemas.microsoft.com/office/drawing/2014/main" id="{C5BB68A2-9159-417F-8910-20D21DC2E7BB}"/>
            </a:ext>
          </a:extLst>
        </xdr:cNvPr>
        <xdr:cNvSpPr txBox="1"/>
      </xdr:nvSpPr>
      <xdr:spPr>
        <a:xfrm>
          <a:off x="2696318" y="5275133"/>
          <a:ext cx="2769970"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60</xdr:col>
      <xdr:colOff>84666</xdr:colOff>
      <xdr:row>5</xdr:row>
      <xdr:rowOff>182669</xdr:rowOff>
    </xdr:from>
    <xdr:to>
      <xdr:col>70</xdr:col>
      <xdr:colOff>96308</xdr:colOff>
      <xdr:row>15</xdr:row>
      <xdr:rowOff>115357</xdr:rowOff>
    </xdr:to>
    <xdr:sp macro="[0]!Navigate_Repair_Estimator" textlink="">
      <xdr:nvSpPr>
        <xdr:cNvPr id="136" name="TextBox 135">
          <a:extLst>
            <a:ext uri="{FF2B5EF4-FFF2-40B4-BE49-F238E27FC236}">
              <a16:creationId xmlns:a16="http://schemas.microsoft.com/office/drawing/2014/main" id="{3527F260-C5F6-4611-BD8B-CA56E8071B0C}"/>
            </a:ext>
          </a:extLst>
        </xdr:cNvPr>
        <xdr:cNvSpPr txBox="1"/>
      </xdr:nvSpPr>
      <xdr:spPr>
        <a:xfrm>
          <a:off x="10952691" y="1516169"/>
          <a:ext cx="1821392" cy="1875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23</xdr:col>
      <xdr:colOff>55667</xdr:colOff>
      <xdr:row>6</xdr:row>
      <xdr:rowOff>68158</xdr:rowOff>
    </xdr:from>
    <xdr:to>
      <xdr:col>33</xdr:col>
      <xdr:colOff>59266</xdr:colOff>
      <xdr:row>16</xdr:row>
      <xdr:rowOff>56727</xdr:rowOff>
    </xdr:to>
    <xdr:sp macro="[0]!Navigate_Info_Sheet" textlink="">
      <xdr:nvSpPr>
        <xdr:cNvPr id="150" name="TextBox 149">
          <a:extLst>
            <a:ext uri="{FF2B5EF4-FFF2-40B4-BE49-F238E27FC236}">
              <a16:creationId xmlns:a16="http://schemas.microsoft.com/office/drawing/2014/main" id="{E28EAEF5-1027-4090-A6C8-0A07D2D9CD4C}"/>
            </a:ext>
          </a:extLst>
        </xdr:cNvPr>
        <xdr:cNvSpPr txBox="1"/>
      </xdr:nvSpPr>
      <xdr:spPr>
        <a:xfrm>
          <a:off x="4218092" y="1592158"/>
          <a:ext cx="1813349" cy="1941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41</xdr:col>
      <xdr:colOff>133349</xdr:colOff>
      <xdr:row>5</xdr:row>
      <xdr:rowOff>180128</xdr:rowOff>
    </xdr:from>
    <xdr:to>
      <xdr:col>52</xdr:col>
      <xdr:colOff>16934</xdr:colOff>
      <xdr:row>15</xdr:row>
      <xdr:rowOff>171027</xdr:rowOff>
    </xdr:to>
    <xdr:sp macro="[0]!Navigate_Rehab_Analyzer" textlink="">
      <xdr:nvSpPr>
        <xdr:cNvPr id="155" name="TextBox 154">
          <a:extLst>
            <a:ext uri="{FF2B5EF4-FFF2-40B4-BE49-F238E27FC236}">
              <a16:creationId xmlns:a16="http://schemas.microsoft.com/office/drawing/2014/main" id="{57859095-DD5B-4CDD-A60A-6EF11F7B1432}"/>
            </a:ext>
          </a:extLst>
        </xdr:cNvPr>
        <xdr:cNvSpPr txBox="1"/>
      </xdr:nvSpPr>
      <xdr:spPr>
        <a:xfrm>
          <a:off x="7553324" y="1513628"/>
          <a:ext cx="1874310" cy="1933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2</xdr:col>
      <xdr:colOff>142875</xdr:colOff>
      <xdr:row>11</xdr:row>
      <xdr:rowOff>76200</xdr:rowOff>
    </xdr:from>
    <xdr:to>
      <xdr:col>10</xdr:col>
      <xdr:colOff>48185</xdr:colOff>
      <xdr:row>13</xdr:row>
      <xdr:rowOff>123825</xdr:rowOff>
    </xdr:to>
    <xdr:sp macro="[0]!Navigate_ADMIN" textlink="">
      <xdr:nvSpPr>
        <xdr:cNvPr id="63" name="TextBox 62">
          <a:extLst>
            <a:ext uri="{FF2B5EF4-FFF2-40B4-BE49-F238E27FC236}">
              <a16:creationId xmlns:a16="http://schemas.microsoft.com/office/drawing/2014/main" id="{6C29DEAA-992C-4567-8BFC-D09D099EA08B}"/>
            </a:ext>
          </a:extLst>
        </xdr:cNvPr>
        <xdr:cNvSpPr txBox="1"/>
      </xdr:nvSpPr>
      <xdr:spPr>
        <a:xfrm>
          <a:off x="503767" y="2371725"/>
          <a:ext cx="1355226" cy="448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38100</xdr:colOff>
      <xdr:row>22</xdr:row>
      <xdr:rowOff>28575</xdr:rowOff>
    </xdr:from>
    <xdr:to>
      <xdr:col>30</xdr:col>
      <xdr:colOff>104775</xdr:colOff>
      <xdr:row>54</xdr:row>
      <xdr:rowOff>28575</xdr:rowOff>
    </xdr:to>
    <xdr:graphicFrame macro="">
      <xdr:nvGraphicFramePr>
        <xdr:cNvPr id="9" name="Fixed_Costs_Chart" hidden="1">
          <a:extLst>
            <a:ext uri="{FF2B5EF4-FFF2-40B4-BE49-F238E27FC236}">
              <a16:creationId xmlns:a16="http://schemas.microsoft.com/office/drawing/2014/main" id="{EA88C4AB-BFA2-4642-9DCF-6C889281B7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67</xdr:col>
      <xdr:colOff>135658</xdr:colOff>
      <xdr:row>8</xdr:row>
      <xdr:rowOff>25166</xdr:rowOff>
    </xdr:from>
    <xdr:to>
      <xdr:col>70</xdr:col>
      <xdr:colOff>135658</xdr:colOff>
      <xdr:row>10</xdr:row>
      <xdr:rowOff>49228</xdr:rowOff>
    </xdr:to>
    <xdr:sp macro="[0]!MPP_Rehab_Profit_5" textlink="">
      <xdr:nvSpPr>
        <xdr:cNvPr id="54" name="Rounded Rectangle 53">
          <a:extLst>
            <a:ext uri="{FF2B5EF4-FFF2-40B4-BE49-F238E27FC236}">
              <a16:creationId xmlns:a16="http://schemas.microsoft.com/office/drawing/2014/main" id="{00000000-0008-0000-0D00-000036000000}"/>
            </a:ext>
          </a:extLst>
        </xdr:cNvPr>
        <xdr:cNvSpPr/>
      </xdr:nvSpPr>
      <xdr:spPr>
        <a:xfrm>
          <a:off x="11588518"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5%</a:t>
          </a:r>
        </a:p>
      </xdr:txBody>
    </xdr:sp>
    <xdr:clientData/>
  </xdr:twoCellAnchor>
  <xdr:twoCellAnchor>
    <xdr:from>
      <xdr:col>71</xdr:col>
      <xdr:colOff>41912</xdr:colOff>
      <xdr:row>8</xdr:row>
      <xdr:rowOff>25166</xdr:rowOff>
    </xdr:from>
    <xdr:to>
      <xdr:col>74</xdr:col>
      <xdr:colOff>41912</xdr:colOff>
      <xdr:row>10</xdr:row>
      <xdr:rowOff>49228</xdr:rowOff>
    </xdr:to>
    <xdr:sp macro="[0]!MPP_Rehab_Profit_10" textlink="">
      <xdr:nvSpPr>
        <xdr:cNvPr id="55" name="Rounded Rectangle 54">
          <a:extLst>
            <a:ext uri="{FF2B5EF4-FFF2-40B4-BE49-F238E27FC236}">
              <a16:creationId xmlns:a16="http://schemas.microsoft.com/office/drawing/2014/main" id="{00000000-0008-0000-0D00-000037000000}"/>
            </a:ext>
          </a:extLst>
        </xdr:cNvPr>
        <xdr:cNvSpPr/>
      </xdr:nvSpPr>
      <xdr:spPr>
        <a:xfrm>
          <a:off x="12104372"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10%</a:t>
          </a:r>
        </a:p>
      </xdr:txBody>
    </xdr:sp>
    <xdr:clientData/>
  </xdr:twoCellAnchor>
  <xdr:twoCellAnchor>
    <xdr:from>
      <xdr:col>74</xdr:col>
      <xdr:colOff>99061</xdr:colOff>
      <xdr:row>8</xdr:row>
      <xdr:rowOff>25166</xdr:rowOff>
    </xdr:from>
    <xdr:to>
      <xdr:col>77</xdr:col>
      <xdr:colOff>99061</xdr:colOff>
      <xdr:row>10</xdr:row>
      <xdr:rowOff>49228</xdr:rowOff>
    </xdr:to>
    <xdr:sp macro="[0]!MPP_Rehab_Profit_15" textlink="">
      <xdr:nvSpPr>
        <xdr:cNvPr id="56" name="Rounded Rectangle 55">
          <a:extLst>
            <a:ext uri="{FF2B5EF4-FFF2-40B4-BE49-F238E27FC236}">
              <a16:creationId xmlns:a16="http://schemas.microsoft.com/office/drawing/2014/main" id="{00000000-0008-0000-0D00-000038000000}"/>
            </a:ext>
          </a:extLst>
        </xdr:cNvPr>
        <xdr:cNvSpPr/>
      </xdr:nvSpPr>
      <xdr:spPr>
        <a:xfrm>
          <a:off x="12618721"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15%</a:t>
          </a:r>
        </a:p>
      </xdr:txBody>
    </xdr:sp>
    <xdr:clientData/>
  </xdr:twoCellAnchor>
  <xdr:twoCellAnchor>
    <xdr:from>
      <xdr:col>78</xdr:col>
      <xdr:colOff>14840</xdr:colOff>
      <xdr:row>8</xdr:row>
      <xdr:rowOff>25166</xdr:rowOff>
    </xdr:from>
    <xdr:to>
      <xdr:col>81</xdr:col>
      <xdr:colOff>14840</xdr:colOff>
      <xdr:row>10</xdr:row>
      <xdr:rowOff>49228</xdr:rowOff>
    </xdr:to>
    <xdr:sp macro="[0]!MPP_Rehab_Profit_20" textlink="">
      <xdr:nvSpPr>
        <xdr:cNvPr id="61" name="Rounded Rectangle 60">
          <a:extLst>
            <a:ext uri="{FF2B5EF4-FFF2-40B4-BE49-F238E27FC236}">
              <a16:creationId xmlns:a16="http://schemas.microsoft.com/office/drawing/2014/main" id="{00000000-0008-0000-0D00-00003D000000}"/>
            </a:ext>
          </a:extLst>
        </xdr:cNvPr>
        <xdr:cNvSpPr/>
      </xdr:nvSpPr>
      <xdr:spPr>
        <a:xfrm>
          <a:off x="13144100"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20%</a:t>
          </a:r>
        </a:p>
      </xdr:txBody>
    </xdr:sp>
    <xdr:clientData/>
  </xdr:twoCellAnchor>
  <xdr:twoCellAnchor>
    <xdr:from>
      <xdr:col>81</xdr:col>
      <xdr:colOff>92545</xdr:colOff>
      <xdr:row>8</xdr:row>
      <xdr:rowOff>25166</xdr:rowOff>
    </xdr:from>
    <xdr:to>
      <xdr:col>84</xdr:col>
      <xdr:colOff>92545</xdr:colOff>
      <xdr:row>10</xdr:row>
      <xdr:rowOff>49228</xdr:rowOff>
    </xdr:to>
    <xdr:sp macro="[0]!MPP_Rehab_Profit_25" textlink="">
      <xdr:nvSpPr>
        <xdr:cNvPr id="62" name="Rounded Rectangle 61">
          <a:extLst>
            <a:ext uri="{FF2B5EF4-FFF2-40B4-BE49-F238E27FC236}">
              <a16:creationId xmlns:a16="http://schemas.microsoft.com/office/drawing/2014/main" id="{00000000-0008-0000-0D00-00003E000000}"/>
            </a:ext>
          </a:extLst>
        </xdr:cNvPr>
        <xdr:cNvSpPr/>
      </xdr:nvSpPr>
      <xdr:spPr>
        <a:xfrm>
          <a:off x="13679005"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25%</a:t>
          </a:r>
        </a:p>
      </xdr:txBody>
    </xdr:sp>
    <xdr:clientData/>
  </xdr:twoCellAnchor>
  <xdr:twoCellAnchor>
    <xdr:from>
      <xdr:col>84</xdr:col>
      <xdr:colOff>151499</xdr:colOff>
      <xdr:row>8</xdr:row>
      <xdr:rowOff>23261</xdr:rowOff>
    </xdr:from>
    <xdr:to>
      <xdr:col>87</xdr:col>
      <xdr:colOff>151499</xdr:colOff>
      <xdr:row>10</xdr:row>
      <xdr:rowOff>47323</xdr:rowOff>
    </xdr:to>
    <xdr:sp macro="[0]!MPP_Rehab_Profit_30" textlink="">
      <xdr:nvSpPr>
        <xdr:cNvPr id="63" name="Rounded Rectangle 62">
          <a:extLst>
            <a:ext uri="{FF2B5EF4-FFF2-40B4-BE49-F238E27FC236}">
              <a16:creationId xmlns:a16="http://schemas.microsoft.com/office/drawing/2014/main" id="{00000000-0008-0000-0D00-00003F000000}"/>
            </a:ext>
          </a:extLst>
        </xdr:cNvPr>
        <xdr:cNvSpPr/>
      </xdr:nvSpPr>
      <xdr:spPr>
        <a:xfrm>
          <a:off x="14195159" y="1432961"/>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30%</a:t>
          </a:r>
        </a:p>
      </xdr:txBody>
    </xdr:sp>
    <xdr:clientData/>
  </xdr:twoCellAnchor>
  <xdr:twoCellAnchor>
    <xdr:from>
      <xdr:col>66</xdr:col>
      <xdr:colOff>47625</xdr:colOff>
      <xdr:row>38</xdr:row>
      <xdr:rowOff>47625</xdr:rowOff>
    </xdr:from>
    <xdr:to>
      <xdr:col>81</xdr:col>
      <xdr:colOff>105335</xdr:colOff>
      <xdr:row>65</xdr:row>
      <xdr:rowOff>38099</xdr:rowOff>
    </xdr:to>
    <xdr:graphicFrame macro="">
      <xdr:nvGraphicFramePr>
        <xdr:cNvPr id="43" name="Chart 42">
          <a:extLst>
            <a:ext uri="{FF2B5EF4-FFF2-40B4-BE49-F238E27FC236}">
              <a16:creationId xmlns:a16="http://schemas.microsoft.com/office/drawing/2014/main"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97</xdr:col>
      <xdr:colOff>76200</xdr:colOff>
      <xdr:row>28</xdr:row>
      <xdr:rowOff>19051</xdr:rowOff>
    </xdr:from>
    <xdr:to>
      <xdr:col>98</xdr:col>
      <xdr:colOff>144780</xdr:colOff>
      <xdr:row>30</xdr:row>
      <xdr:rowOff>69620</xdr:rowOff>
    </xdr:to>
    <xdr:pic macro="[0]!HELP_MAXIMUM_PURCHASE_PRICE">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6162020" y="2868931"/>
          <a:ext cx="228600" cy="218209"/>
        </a:xfrm>
        <a:prstGeom prst="rect">
          <a:avLst/>
        </a:prstGeom>
      </xdr:spPr>
    </xdr:pic>
    <xdr:clientData/>
  </xdr:twoCellAnchor>
  <xdr:twoCellAnchor editAs="oneCell">
    <xdr:from>
      <xdr:col>32</xdr:col>
      <xdr:colOff>57150</xdr:colOff>
      <xdr:row>5</xdr:row>
      <xdr:rowOff>30481</xdr:rowOff>
    </xdr:from>
    <xdr:to>
      <xdr:col>33</xdr:col>
      <xdr:colOff>124535</xdr:colOff>
      <xdr:row>7</xdr:row>
      <xdr:rowOff>75526</xdr:rowOff>
    </xdr:to>
    <xdr:pic macro="[0]!HELP_ARV">
      <xdr:nvPicPr>
        <xdr:cNvPr id="74" name="Picture 73">
          <a:extLst>
            <a:ext uri="{FF2B5EF4-FFF2-40B4-BE49-F238E27FC236}">
              <a16:creationId xmlns:a16="http://schemas.microsoft.com/office/drawing/2014/main" id="{00000000-0008-0000-0D00-00004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5741670" y="1203961"/>
          <a:ext cx="228600" cy="212685"/>
        </a:xfrm>
        <a:prstGeom prst="rect">
          <a:avLst/>
        </a:prstGeom>
      </xdr:spPr>
    </xdr:pic>
    <xdr:clientData/>
  </xdr:twoCellAnchor>
  <xdr:twoCellAnchor editAs="oneCell">
    <xdr:from>
      <xdr:col>32</xdr:col>
      <xdr:colOff>28575</xdr:colOff>
      <xdr:row>80</xdr:row>
      <xdr:rowOff>22860</xdr:rowOff>
    </xdr:from>
    <xdr:to>
      <xdr:col>33</xdr:col>
      <xdr:colOff>114260</xdr:colOff>
      <xdr:row>83</xdr:row>
      <xdr:rowOff>0</xdr:rowOff>
    </xdr:to>
    <xdr:pic macro="[0]!HELP_FIXED_COSTS">
      <xdr:nvPicPr>
        <xdr:cNvPr id="75" name="Picture 74">
          <a:extLst>
            <a:ext uri="{FF2B5EF4-FFF2-40B4-BE49-F238E27FC236}">
              <a16:creationId xmlns:a16="http://schemas.microsoft.com/office/drawing/2014/main" id="{00000000-0008-0000-0D00-00004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5713095" y="6812280"/>
          <a:ext cx="245706" cy="228600"/>
        </a:xfrm>
        <a:prstGeom prst="rect">
          <a:avLst/>
        </a:prstGeom>
      </xdr:spPr>
    </xdr:pic>
    <xdr:clientData/>
  </xdr:twoCellAnchor>
  <xdr:twoCellAnchor>
    <xdr:from>
      <xdr:col>97</xdr:col>
      <xdr:colOff>59055</xdr:colOff>
      <xdr:row>5</xdr:row>
      <xdr:rowOff>32386</xdr:rowOff>
    </xdr:from>
    <xdr:to>
      <xdr:col>98</xdr:col>
      <xdr:colOff>127635</xdr:colOff>
      <xdr:row>7</xdr:row>
      <xdr:rowOff>75417</xdr:rowOff>
    </xdr:to>
    <xdr:pic macro="[0]!HELP_REHABBER_PROFIT">
      <xdr:nvPicPr>
        <xdr:cNvPr id="78" name="Picture 77">
          <a:extLst>
            <a:ext uri="{FF2B5EF4-FFF2-40B4-BE49-F238E27FC236}">
              <a16:creationId xmlns:a16="http://schemas.microsoft.com/office/drawing/2014/main" id="{00000000-0008-0000-0D00-00004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6144875" y="1205866"/>
          <a:ext cx="228600" cy="210671"/>
        </a:xfrm>
        <a:prstGeom prst="rect">
          <a:avLst/>
        </a:prstGeom>
      </xdr:spPr>
    </xdr:pic>
    <xdr:clientData/>
  </xdr:twoCellAnchor>
  <xdr:twoCellAnchor>
    <xdr:from>
      <xdr:col>97</xdr:col>
      <xdr:colOff>57151</xdr:colOff>
      <xdr:row>44</xdr:row>
      <xdr:rowOff>68579</xdr:rowOff>
    </xdr:from>
    <xdr:to>
      <xdr:col>98</xdr:col>
      <xdr:colOff>104351</xdr:colOff>
      <xdr:row>46</xdr:row>
      <xdr:rowOff>83819</xdr:rowOff>
    </xdr:to>
    <xdr:pic macro="[0]!HELP_SEVENTY_PERCENT_RULE">
      <xdr:nvPicPr>
        <xdr:cNvPr id="12" name="Picture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142971" y="4259579"/>
          <a:ext cx="207220" cy="182880"/>
        </a:xfrm>
        <a:prstGeom prst="rect">
          <a:avLst/>
        </a:prstGeom>
      </xdr:spPr>
    </xdr:pic>
    <xdr:clientData/>
  </xdr:twoCellAnchor>
  <xdr:twoCellAnchor>
    <xdr:from>
      <xdr:col>100</xdr:col>
      <xdr:colOff>76200</xdr:colOff>
      <xdr:row>18</xdr:row>
      <xdr:rowOff>76200</xdr:rowOff>
    </xdr:from>
    <xdr:to>
      <xdr:col>115</xdr:col>
      <xdr:colOff>47625</xdr:colOff>
      <xdr:row>45</xdr:row>
      <xdr:rowOff>38100</xdr:rowOff>
    </xdr:to>
    <xdr:graphicFrame macro="">
      <xdr:nvGraphicFramePr>
        <xdr:cNvPr id="95" name="Chart 94">
          <a:extLst>
            <a:ext uri="{FF2B5EF4-FFF2-40B4-BE49-F238E27FC236}">
              <a16:creationId xmlns:a16="http://schemas.microsoft.com/office/drawing/2014/main" id="{00000000-0008-0000-0D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131</xdr:col>
      <xdr:colOff>19051</xdr:colOff>
      <xdr:row>24</xdr:row>
      <xdr:rowOff>38100</xdr:rowOff>
    </xdr:from>
    <xdr:to>
      <xdr:col>132</xdr:col>
      <xdr:colOff>68496</xdr:colOff>
      <xdr:row>26</xdr:row>
      <xdr:rowOff>51647</xdr:rowOff>
    </xdr:to>
    <xdr:pic macro="[0]!HELP_SEVENTY_PERCENT_RULE">
      <xdr:nvPicPr>
        <xdr:cNvPr id="98" name="Picture 97">
          <a:extLst>
            <a:ext uri="{FF2B5EF4-FFF2-40B4-BE49-F238E27FC236}">
              <a16:creationId xmlns:a16="http://schemas.microsoft.com/office/drawing/2014/main" id="{00000000-0008-0000-0D00-000062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5910984" y="2827867"/>
          <a:ext cx="210312" cy="182880"/>
        </a:xfrm>
        <a:prstGeom prst="rect">
          <a:avLst/>
        </a:prstGeom>
      </xdr:spPr>
    </xdr:pic>
    <xdr:clientData/>
  </xdr:twoCellAnchor>
  <xdr:twoCellAnchor editAs="absolute">
    <xdr:from>
      <xdr:col>75</xdr:col>
      <xdr:colOff>17862</xdr:colOff>
      <xdr:row>2</xdr:row>
      <xdr:rowOff>1693</xdr:rowOff>
    </xdr:from>
    <xdr:to>
      <xdr:col>133</xdr:col>
      <xdr:colOff>141048</xdr:colOff>
      <xdr:row>3</xdr:row>
      <xdr:rowOff>8330</xdr:rowOff>
    </xdr:to>
    <xdr:sp macro="[0]!Deal_Analysis_Settings" textlink="'ANALYSIS DATABASE'!C36">
      <xdr:nvSpPr>
        <xdr:cNvPr id="14" name="TextBox 13">
          <a:extLst>
            <a:ext uri="{FF2B5EF4-FFF2-40B4-BE49-F238E27FC236}">
              <a16:creationId xmlns:a16="http://schemas.microsoft.com/office/drawing/2014/main" id="{00000000-0008-0000-0D00-00000E000000}"/>
            </a:ext>
          </a:extLst>
        </xdr:cNvPr>
        <xdr:cNvSpPr txBox="1"/>
      </xdr:nvSpPr>
      <xdr:spPr>
        <a:xfrm>
          <a:off x="12458700" y="666749"/>
          <a:ext cx="40100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06855F3-415C-4B32-916C-CDEDF197FF35}" type="TxLink">
            <a:rPr lang="en-US" sz="1200" b="0" i="0" u="sng" strike="noStrike">
              <a:solidFill>
                <a:srgbClr val="398CCC"/>
              </a:solidFill>
              <a:latin typeface="Calibri Light"/>
              <a:cs typeface="Calibri Light"/>
            </a:rPr>
            <a:pPr algn="ctr"/>
            <a:t>Change Settings to Analyze Profitability by Known Purchase Price</a:t>
          </a:fld>
          <a:endParaRPr lang="en-US" sz="3600" b="0" i="0" u="sng">
            <a:solidFill>
              <a:srgbClr val="398CCC"/>
            </a:solidFill>
            <a:latin typeface="Calibri Light" panose="020F0302020204030204" pitchFamily="34" charset="0"/>
          </a:endParaRPr>
        </a:p>
      </xdr:txBody>
    </xdr:sp>
    <xdr:clientData/>
  </xdr:twoCellAnchor>
  <xdr:twoCellAnchor>
    <xdr:from>
      <xdr:col>2</xdr:col>
      <xdr:colOff>33705</xdr:colOff>
      <xdr:row>80</xdr:row>
      <xdr:rowOff>21354</xdr:rowOff>
    </xdr:from>
    <xdr:to>
      <xdr:col>33</xdr:col>
      <xdr:colOff>120774</xdr:colOff>
      <xdr:row>89</xdr:row>
      <xdr:rowOff>23706</xdr:rowOff>
    </xdr:to>
    <xdr:sp macro="[0]!HELP_FIXED_COSTS" textlink="">
      <xdr:nvSpPr>
        <xdr:cNvPr id="59" name="Rectangle 58">
          <a:extLst>
            <a:ext uri="{FF2B5EF4-FFF2-40B4-BE49-F238E27FC236}">
              <a16:creationId xmlns:a16="http://schemas.microsoft.com/office/drawing/2014/main" id="{00000000-0008-0000-0D00-00003B000000}"/>
            </a:ext>
          </a:extLst>
        </xdr:cNvPr>
        <xdr:cNvSpPr/>
      </xdr:nvSpPr>
      <xdr:spPr>
        <a:xfrm>
          <a:off x="806289" y="7556688"/>
          <a:ext cx="5008319" cy="764352"/>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73</xdr:col>
      <xdr:colOff>152605</xdr:colOff>
      <xdr:row>2</xdr:row>
      <xdr:rowOff>8891</xdr:rowOff>
    </xdr:from>
    <xdr:to>
      <xdr:col>75</xdr:col>
      <xdr:colOff>76681</xdr:colOff>
      <xdr:row>3</xdr:row>
      <xdr:rowOff>349</xdr:rowOff>
    </xdr:to>
    <xdr:pic macro="[0]!Deal_Analysis_Settings">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112887" y="673025"/>
          <a:ext cx="246305" cy="274320"/>
        </a:xfrm>
        <a:prstGeom prst="rect">
          <a:avLst/>
        </a:prstGeom>
      </xdr:spPr>
    </xdr:pic>
    <xdr:clientData/>
  </xdr:twoCellAnchor>
  <xdr:twoCellAnchor editAs="oneCell">
    <xdr:from>
      <xdr:col>0</xdr:col>
      <xdr:colOff>116428</xdr:colOff>
      <xdr:row>1</xdr:row>
      <xdr:rowOff>85725</xdr:rowOff>
    </xdr:from>
    <xdr:to>
      <xdr:col>1</xdr:col>
      <xdr:colOff>160931</xdr:colOff>
      <xdr:row>2</xdr:row>
      <xdr:rowOff>264795</xdr:rowOff>
    </xdr:to>
    <xdr:pic macro="[0]!Key_Rehab_Analyzer_Calculator">
      <xdr:nvPicPr>
        <xdr:cNvPr id="71" name="Rehab_Analyzer_Unlock_Icon" hidden="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16428" y="658470"/>
          <a:ext cx="273698" cy="273698"/>
        </a:xfrm>
        <a:prstGeom prst="rect">
          <a:avLst/>
        </a:prstGeom>
      </xdr:spPr>
    </xdr:pic>
    <xdr:clientData/>
  </xdr:twoCellAnchor>
  <xdr:oneCellAnchor>
    <xdr:from>
      <xdr:col>35</xdr:col>
      <xdr:colOff>22861</xdr:colOff>
      <xdr:row>80</xdr:row>
      <xdr:rowOff>24766</xdr:rowOff>
    </xdr:from>
    <xdr:ext cx="228600" cy="210773"/>
    <xdr:pic macro="[0]!HELP_TOTAL_REPAIR_ESTIMATE">
      <xdr:nvPicPr>
        <xdr:cNvPr id="80" name="Picture 79">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6187441" y="6814186"/>
          <a:ext cx="228600" cy="210773"/>
        </a:xfrm>
        <a:prstGeom prst="rect">
          <a:avLst/>
        </a:prstGeom>
      </xdr:spPr>
    </xdr:pic>
    <xdr:clientData/>
  </xdr:oneCellAnchor>
  <xdr:twoCellAnchor>
    <xdr:from>
      <xdr:col>35</xdr:col>
      <xdr:colOff>38101</xdr:colOff>
      <xdr:row>80</xdr:row>
      <xdr:rowOff>29632</xdr:rowOff>
    </xdr:from>
    <xdr:to>
      <xdr:col>64</xdr:col>
      <xdr:colOff>91441</xdr:colOff>
      <xdr:row>90</xdr:row>
      <xdr:rowOff>8466</xdr:rowOff>
    </xdr:to>
    <xdr:sp macro="[0]!HELP_TOTAL_REPAIR_ESTIMATE" textlink="">
      <xdr:nvSpPr>
        <xdr:cNvPr id="48" name="Rectangle 47">
          <a:extLst>
            <a:ext uri="{FF2B5EF4-FFF2-40B4-BE49-F238E27FC236}">
              <a16:creationId xmlns:a16="http://schemas.microsoft.com/office/drawing/2014/main" id="{C6CC1A2F-1680-4D76-BC08-625EA52FA8BB}"/>
            </a:ext>
          </a:extLst>
        </xdr:cNvPr>
        <xdr:cNvSpPr/>
      </xdr:nvSpPr>
      <xdr:spPr>
        <a:xfrm>
          <a:off x="5956301" y="7560732"/>
          <a:ext cx="4718473" cy="825501"/>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142875</xdr:colOff>
      <xdr:row>31</xdr:row>
      <xdr:rowOff>66675</xdr:rowOff>
    </xdr:from>
    <xdr:to>
      <xdr:col>27</xdr:col>
      <xdr:colOff>114300</xdr:colOff>
      <xdr:row>45</xdr:row>
      <xdr:rowOff>76200</xdr:rowOff>
    </xdr:to>
    <xdr:sp macro="" textlink="$AE$16">
      <xdr:nvSpPr>
        <xdr:cNvPr id="4" name="Fixed_Costs_Description_Box2" hidden="1">
          <a:extLst>
            <a:ext uri="{FF2B5EF4-FFF2-40B4-BE49-F238E27FC236}">
              <a16:creationId xmlns:a16="http://schemas.microsoft.com/office/drawing/2014/main" id="{42A7265A-45D9-4744-8AE1-A745A644B3A3}"/>
            </a:ext>
          </a:extLst>
        </xdr:cNvPr>
        <xdr:cNvSpPr txBox="1"/>
      </xdr:nvSpPr>
      <xdr:spPr>
        <a:xfrm>
          <a:off x="2019300" y="3486150"/>
          <a:ext cx="3048000" cy="1209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295A6-CD5B-452D-A08C-F92D9DB0B67B}" type="TxLink">
            <a:rPr lang="en-US" sz="4800" b="1" i="0" u="none" strike="noStrike">
              <a:solidFill>
                <a:srgbClr val="F79646"/>
              </a:solidFill>
              <a:latin typeface="Calibri"/>
              <a:cs typeface="Calibri"/>
            </a:rPr>
            <a:pPr algn="ctr"/>
            <a:t>15%</a:t>
          </a:fld>
          <a:endParaRPr lang="en-US" sz="7200" b="1">
            <a:solidFill>
              <a:schemeClr val="accent1"/>
            </a:solidFill>
            <a:latin typeface="Calibri Light" panose="020F0302020204030204" pitchFamily="34" charset="0"/>
            <a:cs typeface="Calibri Light" panose="020F0302020204030204" pitchFamily="34" charset="0"/>
          </a:endParaRPr>
        </a:p>
      </xdr:txBody>
    </xdr:sp>
    <xdr:clientData/>
  </xdr:twoCellAnchor>
  <xdr:twoCellAnchor>
    <xdr:from>
      <xdr:col>3</xdr:col>
      <xdr:colOff>142875</xdr:colOff>
      <xdr:row>50</xdr:row>
      <xdr:rowOff>28575</xdr:rowOff>
    </xdr:from>
    <xdr:to>
      <xdr:col>32</xdr:col>
      <xdr:colOff>19050</xdr:colOff>
      <xdr:row>58</xdr:row>
      <xdr:rowOff>0</xdr:rowOff>
    </xdr:to>
    <xdr:sp macro="" textlink="$N$124">
      <xdr:nvSpPr>
        <xdr:cNvPr id="68" name="Fixed_Costs_Description_Box" hidden="1">
          <a:extLst>
            <a:ext uri="{FF2B5EF4-FFF2-40B4-BE49-F238E27FC236}">
              <a16:creationId xmlns:a16="http://schemas.microsoft.com/office/drawing/2014/main" id="{F8A7E3BB-CCA6-4F78-84C8-C548166A9D98}"/>
            </a:ext>
          </a:extLst>
        </xdr:cNvPr>
        <xdr:cNvSpPr txBox="1"/>
      </xdr:nvSpPr>
      <xdr:spPr>
        <a:xfrm>
          <a:off x="1209675" y="5076825"/>
          <a:ext cx="457200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B83A248-6738-4653-87FF-72294815F5C6}" type="TxLink">
            <a:rPr lang="en-US" sz="1100" b="0" i="0" u="none" strike="noStrike">
              <a:solidFill>
                <a:srgbClr val="000000"/>
              </a:solidFill>
              <a:latin typeface="Myriad Pro"/>
              <a:cs typeface="Calibri Light" panose="020F0302020204030204" pitchFamily="34" charset="0"/>
            </a:rPr>
            <a:pPr algn="ctr"/>
            <a:t> </a:t>
          </a:fld>
          <a:endParaRPr lang="en-US" sz="2000" b="1">
            <a:solidFill>
              <a:schemeClr val="accent1"/>
            </a:solidFill>
            <a:latin typeface="Calibri Light" panose="020F0302020204030204" pitchFamily="34" charset="0"/>
            <a:cs typeface="Calibri Light" panose="020F0302020204030204" pitchFamily="34" charset="0"/>
          </a:endParaRPr>
        </a:p>
      </xdr:txBody>
    </xdr:sp>
    <xdr:clientData/>
  </xdr:twoCellAnchor>
  <xdr:twoCellAnchor editAs="absolute">
    <xdr:from>
      <xdr:col>75</xdr:col>
      <xdr:colOff>47201</xdr:colOff>
      <xdr:row>0</xdr:row>
      <xdr:rowOff>152479</xdr:rowOff>
    </xdr:from>
    <xdr:to>
      <xdr:col>77</xdr:col>
      <xdr:colOff>1354</xdr:colOff>
      <xdr:row>0</xdr:row>
      <xdr:rowOff>426929</xdr:rowOff>
    </xdr:to>
    <xdr:pic macro="[0]!Hide_Maximum_Purchase_Price_Calculator">
      <xdr:nvPicPr>
        <xdr:cNvPr id="86" name="Picture 85">
          <a:extLst>
            <a:ext uri="{FF2B5EF4-FFF2-40B4-BE49-F238E27FC236}">
              <a16:creationId xmlns:a16="http://schemas.microsoft.com/office/drawing/2014/main" id="{A684EA34-ED35-4DB4-B19E-990685756D0D}"/>
            </a:ext>
          </a:extLst>
        </xdr:cNvPr>
        <xdr:cNvPicPr>
          <a:picLocks noChangeAspect="1"/>
        </xdr:cNvPicPr>
      </xdr:nvPicPr>
      <xdr:blipFill>
        <a:blip xmlns:r="http://schemas.openxmlformats.org/officeDocument/2006/relationships" r:embed="rId8"/>
        <a:stretch>
          <a:fillRect/>
        </a:stretch>
      </xdr:blipFill>
      <xdr:spPr>
        <a:xfrm>
          <a:off x="12479446" y="152479"/>
          <a:ext cx="275883" cy="276570"/>
        </a:xfrm>
        <a:prstGeom prst="rect">
          <a:avLst/>
        </a:prstGeom>
      </xdr:spPr>
    </xdr:pic>
    <xdr:clientData/>
  </xdr:twoCellAnchor>
  <xdr:twoCellAnchor>
    <xdr:from>
      <xdr:col>1</xdr:col>
      <xdr:colOff>42333</xdr:colOff>
      <xdr:row>71</xdr:row>
      <xdr:rowOff>12700</xdr:rowOff>
    </xdr:from>
    <xdr:to>
      <xdr:col>1</xdr:col>
      <xdr:colOff>355600</xdr:colOff>
      <xdr:row>80</xdr:row>
      <xdr:rowOff>42333</xdr:rowOff>
    </xdr:to>
    <xdr:sp macro="[0]!Navigate_Financing_Sheet" textlink="">
      <xdr:nvSpPr>
        <xdr:cNvPr id="6" name="Rectangle 5">
          <a:extLst>
            <a:ext uri="{FF2B5EF4-FFF2-40B4-BE49-F238E27FC236}">
              <a16:creationId xmlns:a16="http://schemas.microsoft.com/office/drawing/2014/main" id="{8F5F4986-663D-4D19-A7AD-3F49786B8579}"/>
            </a:ext>
          </a:extLst>
        </xdr:cNvPr>
        <xdr:cNvSpPr/>
      </xdr:nvSpPr>
      <xdr:spPr>
        <a:xfrm>
          <a:off x="270933" y="6781800"/>
          <a:ext cx="313267" cy="791633"/>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absolute">
    <xdr:from>
      <xdr:col>37</xdr:col>
      <xdr:colOff>9389</xdr:colOff>
      <xdr:row>2</xdr:row>
      <xdr:rowOff>84131</xdr:rowOff>
    </xdr:from>
    <xdr:to>
      <xdr:col>59</xdr:col>
      <xdr:colOff>67868</xdr:colOff>
      <xdr:row>2</xdr:row>
      <xdr:rowOff>84131</xdr:rowOff>
    </xdr:to>
    <xdr:cxnSp macro="">
      <xdr:nvCxnSpPr>
        <xdr:cNvPr id="57" name="Straight Connector 56">
          <a:extLst>
            <a:ext uri="{FF2B5EF4-FFF2-40B4-BE49-F238E27FC236}">
              <a16:creationId xmlns:a16="http://schemas.microsoft.com/office/drawing/2014/main" id="{5918CBBD-6925-46D9-9822-2584DF8E8445}"/>
            </a:ext>
          </a:extLst>
        </xdr:cNvPr>
        <xdr:cNvCxnSpPr>
          <a:cxnSpLocks noChangeAspect="1"/>
        </xdr:cNvCxnSpPr>
      </xdr:nvCxnSpPr>
      <xdr:spPr>
        <a:xfrm>
          <a:off x="6285440" y="754190"/>
          <a:ext cx="3618444" cy="0"/>
        </a:xfrm>
        <a:prstGeom prst="line">
          <a:avLst/>
        </a:prstGeom>
        <a:ln>
          <a:solidFill>
            <a:schemeClr val="tx1">
              <a:lumMod val="50000"/>
              <a:lumOff val="50000"/>
            </a:schemeClr>
          </a:solidFill>
          <a:tailEnd type="triangle" w="med"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42</xdr:col>
      <xdr:colOff>134408</xdr:colOff>
      <xdr:row>1</xdr:row>
      <xdr:rowOff>76199</xdr:rowOff>
    </xdr:from>
    <xdr:to>
      <xdr:col>44</xdr:col>
      <xdr:colOff>39158</xdr:colOff>
      <xdr:row>2</xdr:row>
      <xdr:rowOff>208030</xdr:rowOff>
    </xdr:to>
    <xdr:sp macro="[0]!Navigate_Rehab_Analyzer" textlink="">
      <xdr:nvSpPr>
        <xdr:cNvPr id="76" name="Flowchart: Connector 75">
          <a:extLst>
            <a:ext uri="{FF2B5EF4-FFF2-40B4-BE49-F238E27FC236}">
              <a16:creationId xmlns:a16="http://schemas.microsoft.com/office/drawing/2014/main" id="{349E4562-F2E8-48E3-B99E-A2D7496A75B0}"/>
            </a:ext>
          </a:extLst>
        </xdr:cNvPr>
        <xdr:cNvSpPr>
          <a:spLocks noChangeAspect="1"/>
        </xdr:cNvSpPr>
      </xdr:nvSpPr>
      <xdr:spPr>
        <a:xfrm>
          <a:off x="7218891" y="647699"/>
          <a:ext cx="230717" cy="229198"/>
        </a:xfrm>
        <a:prstGeom prst="flowChartConnector">
          <a:avLst/>
        </a:prstGeom>
        <a:solidFill>
          <a:srgbClr val="398CCC"/>
        </a:solidFill>
        <a:ln w="76200">
          <a:solidFill>
            <a:schemeClr val="bg1">
              <a:lumMod val="9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52</xdr:col>
      <xdr:colOff>11506</xdr:colOff>
      <xdr:row>1</xdr:row>
      <xdr:rowOff>67865</xdr:rowOff>
    </xdr:from>
    <xdr:to>
      <xdr:col>53</xdr:col>
      <xdr:colOff>77256</xdr:colOff>
      <xdr:row>2</xdr:row>
      <xdr:rowOff>200490</xdr:rowOff>
    </xdr:to>
    <xdr:sp macro="[0]!Navigate_Repair_Estimator" textlink="">
      <xdr:nvSpPr>
        <xdr:cNvPr id="77" name="Flowchart: Connector 76">
          <a:extLst>
            <a:ext uri="{FF2B5EF4-FFF2-40B4-BE49-F238E27FC236}">
              <a16:creationId xmlns:a16="http://schemas.microsoft.com/office/drawing/2014/main" id="{E78CB121-781B-47E4-A8DC-A5CE1ACEBC7A}"/>
            </a:ext>
          </a:extLst>
        </xdr:cNvPr>
        <xdr:cNvSpPr>
          <a:spLocks noChangeAspect="1"/>
        </xdr:cNvSpPr>
      </xdr:nvSpPr>
      <xdr:spPr>
        <a:xfrm>
          <a:off x="8716432" y="640289"/>
          <a:ext cx="228599" cy="226027"/>
        </a:xfrm>
        <a:prstGeom prst="flowChartConnector">
          <a:avLst/>
        </a:prstGeom>
        <a:solidFill>
          <a:schemeClr val="bg1"/>
        </a:solidFill>
        <a:ln w="76200">
          <a:solidFill>
            <a:schemeClr val="bg1">
              <a:lumMod val="9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40</xdr:col>
      <xdr:colOff>77258</xdr:colOff>
      <xdr:row>2</xdr:row>
      <xdr:rowOff>173566</xdr:rowOff>
    </xdr:from>
    <xdr:to>
      <xdr:col>46</xdr:col>
      <xdr:colOff>96308</xdr:colOff>
      <xdr:row>3</xdr:row>
      <xdr:rowOff>67865</xdr:rowOff>
    </xdr:to>
    <xdr:sp macro="[0]!Navigate_Rehab_Analyzer" textlink="">
      <xdr:nvSpPr>
        <xdr:cNvPr id="89" name="TextBox 88">
          <a:extLst>
            <a:ext uri="{FF2B5EF4-FFF2-40B4-BE49-F238E27FC236}">
              <a16:creationId xmlns:a16="http://schemas.microsoft.com/office/drawing/2014/main" id="{20FBF0C1-CB53-420C-9B7A-870CC2B2CB36}"/>
            </a:ext>
          </a:extLst>
        </xdr:cNvPr>
        <xdr:cNvSpPr txBox="1">
          <a:spLocks noChangeAspect="1"/>
        </xdr:cNvSpPr>
      </xdr:nvSpPr>
      <xdr:spPr>
        <a:xfrm>
          <a:off x="6840008" y="838199"/>
          <a:ext cx="988483" cy="183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u="none">
              <a:solidFill>
                <a:schemeClr val="tx1">
                  <a:lumMod val="75000"/>
                  <a:lumOff val="25000"/>
                </a:schemeClr>
              </a:solidFill>
              <a:latin typeface="Calibri Light" panose="020F0302020204030204" pitchFamily="34" charset="0"/>
              <a:cs typeface="Calibri Light" panose="020F0302020204030204" pitchFamily="34" charset="0"/>
            </a:rPr>
            <a:t>Analyze</a:t>
          </a:r>
        </a:p>
      </xdr:txBody>
    </xdr:sp>
    <xdr:clientData/>
  </xdr:twoCellAnchor>
  <xdr:twoCellAnchor editAs="absolute">
    <xdr:from>
      <xdr:col>49</xdr:col>
      <xdr:colOff>122632</xdr:colOff>
      <xdr:row>2</xdr:row>
      <xdr:rowOff>160733</xdr:rowOff>
    </xdr:from>
    <xdr:to>
      <xdr:col>55</xdr:col>
      <xdr:colOff>141952</xdr:colOff>
      <xdr:row>3</xdr:row>
      <xdr:rowOff>59266</xdr:rowOff>
    </xdr:to>
    <xdr:sp macro="[0]!Navigate_Repair_Estimator" textlink="">
      <xdr:nvSpPr>
        <xdr:cNvPr id="90" name="TextBox 89">
          <a:extLst>
            <a:ext uri="{FF2B5EF4-FFF2-40B4-BE49-F238E27FC236}">
              <a16:creationId xmlns:a16="http://schemas.microsoft.com/office/drawing/2014/main" id="{8A9975A2-BAB8-4376-B676-4EE8A854092E}"/>
            </a:ext>
          </a:extLst>
        </xdr:cNvPr>
        <xdr:cNvSpPr txBox="1">
          <a:spLocks noChangeAspect="1"/>
        </xdr:cNvSpPr>
      </xdr:nvSpPr>
      <xdr:spPr>
        <a:xfrm>
          <a:off x="8346016" y="826559"/>
          <a:ext cx="988485" cy="183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0">
              <a:solidFill>
                <a:schemeClr val="tx1">
                  <a:lumMod val="75000"/>
                  <a:lumOff val="25000"/>
                </a:schemeClr>
              </a:solidFill>
              <a:latin typeface="Calibri Light" panose="020F0302020204030204" pitchFamily="34" charset="0"/>
            </a:rPr>
            <a:t>Estimate</a:t>
          </a:r>
        </a:p>
      </xdr:txBody>
    </xdr:sp>
    <xdr:clientData/>
  </xdr:twoCellAnchor>
  <xdr:twoCellAnchor editAs="absolute">
    <xdr:from>
      <xdr:col>32</xdr:col>
      <xdr:colOff>151342</xdr:colOff>
      <xdr:row>2</xdr:row>
      <xdr:rowOff>182165</xdr:rowOff>
    </xdr:from>
    <xdr:to>
      <xdr:col>39</xdr:col>
      <xdr:colOff>11508</xdr:colOff>
      <xdr:row>3</xdr:row>
      <xdr:rowOff>76199</xdr:rowOff>
    </xdr:to>
    <xdr:sp macro="[0]!Navigate_Info_Sheet" textlink="">
      <xdr:nvSpPr>
        <xdr:cNvPr id="91" name="TextBox 90">
          <a:extLst>
            <a:ext uri="{FF2B5EF4-FFF2-40B4-BE49-F238E27FC236}">
              <a16:creationId xmlns:a16="http://schemas.microsoft.com/office/drawing/2014/main" id="{E64D550A-322B-4020-81ED-E20A3D418F30}"/>
            </a:ext>
          </a:extLst>
        </xdr:cNvPr>
        <xdr:cNvSpPr txBox="1">
          <a:spLocks noChangeAspect="1"/>
        </xdr:cNvSpPr>
      </xdr:nvSpPr>
      <xdr:spPr>
        <a:xfrm>
          <a:off x="5618692" y="849839"/>
          <a:ext cx="992717" cy="178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0">
              <a:solidFill>
                <a:schemeClr val="tx1">
                  <a:lumMod val="75000"/>
                  <a:lumOff val="25000"/>
                </a:schemeClr>
              </a:solidFill>
              <a:latin typeface="Calibri Light" panose="020F0302020204030204" pitchFamily="34" charset="0"/>
            </a:rPr>
            <a:t>Setup</a:t>
          </a:r>
        </a:p>
      </xdr:txBody>
    </xdr:sp>
    <xdr:clientData/>
  </xdr:twoCellAnchor>
  <xdr:twoCellAnchor editAs="absolute">
    <xdr:from>
      <xdr:col>35</xdr:col>
      <xdr:colOff>11508</xdr:colOff>
      <xdr:row>1</xdr:row>
      <xdr:rowOff>67867</xdr:rowOff>
    </xdr:from>
    <xdr:to>
      <xdr:col>36</xdr:col>
      <xdr:colOff>95249</xdr:colOff>
      <xdr:row>2</xdr:row>
      <xdr:rowOff>220267</xdr:rowOff>
    </xdr:to>
    <xdr:pic macro="[0]!Navigate_Info_Sheet">
      <xdr:nvPicPr>
        <xdr:cNvPr id="93" name="Picture 92">
          <a:extLst>
            <a:ext uri="{FF2B5EF4-FFF2-40B4-BE49-F238E27FC236}">
              <a16:creationId xmlns:a16="http://schemas.microsoft.com/office/drawing/2014/main" id="{28A7F5B5-3406-4D62-81CC-7BC8FBAB8F7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5961592" y="638175"/>
          <a:ext cx="250824" cy="247650"/>
        </a:xfrm>
        <a:prstGeom prst="rect">
          <a:avLst/>
        </a:prstGeom>
      </xdr:spPr>
    </xdr:pic>
    <xdr:clientData/>
  </xdr:twoCellAnchor>
  <xdr:twoCellAnchor editAs="oneCell">
    <xdr:from>
      <xdr:col>0</xdr:col>
      <xdr:colOff>169334</xdr:colOff>
      <xdr:row>65</xdr:row>
      <xdr:rowOff>47624</xdr:rowOff>
    </xdr:from>
    <xdr:to>
      <xdr:col>2</xdr:col>
      <xdr:colOff>36049</xdr:colOff>
      <xdr:row>71</xdr:row>
      <xdr:rowOff>10548</xdr:rowOff>
    </xdr:to>
    <xdr:pic>
      <xdr:nvPicPr>
        <xdr:cNvPr id="8" name="Picture 7">
          <a:extLst>
            <a:ext uri="{FF2B5EF4-FFF2-40B4-BE49-F238E27FC236}">
              <a16:creationId xmlns:a16="http://schemas.microsoft.com/office/drawing/2014/main" id="{521B333C-CE6C-431D-9113-5E2A726DE14A}"/>
            </a:ext>
          </a:extLst>
        </xdr:cNvPr>
        <xdr:cNvPicPr>
          <a:picLocks noChangeAspect="1"/>
        </xdr:cNvPicPr>
      </xdr:nvPicPr>
      <xdr:blipFill>
        <a:blip xmlns:r="http://schemas.openxmlformats.org/officeDocument/2006/relationships" r:embed="rId10"/>
        <a:stretch>
          <a:fillRect/>
        </a:stretch>
      </xdr:blipFill>
      <xdr:spPr>
        <a:xfrm rot="21046165">
          <a:off x="169334" y="6381749"/>
          <a:ext cx="476315" cy="475258"/>
        </a:xfrm>
        <a:prstGeom prst="rect">
          <a:avLst/>
        </a:prstGeom>
      </xdr:spPr>
    </xdr:pic>
    <xdr:clientData/>
  </xdr:twoCellAnchor>
  <xdr:twoCellAnchor editAs="absolute">
    <xdr:from>
      <xdr:col>35</xdr:col>
      <xdr:colOff>57149</xdr:colOff>
      <xdr:row>5</xdr:row>
      <xdr:rowOff>38099</xdr:rowOff>
    </xdr:from>
    <xdr:to>
      <xdr:col>36</xdr:col>
      <xdr:colOff>76533</xdr:colOff>
      <xdr:row>7</xdr:row>
      <xdr:rowOff>49436</xdr:rowOff>
    </xdr:to>
    <xdr:pic macro="[0]!Navigate_Category_Setup">
      <xdr:nvPicPr>
        <xdr:cNvPr id="50" name="Picture 49">
          <a:extLst>
            <a:ext uri="{FF2B5EF4-FFF2-40B4-BE49-F238E27FC236}">
              <a16:creationId xmlns:a16="http://schemas.microsoft.com/office/drawing/2014/main" id="{A5C53829-02A4-4417-8A8E-A372F5FD7E7F}"/>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012391" y="1228724"/>
          <a:ext cx="179192" cy="179705"/>
        </a:xfrm>
        <a:prstGeom prst="rect">
          <a:avLst/>
        </a:prstGeom>
      </xdr:spPr>
    </xdr:pic>
    <xdr:clientData/>
  </xdr:twoCellAnchor>
  <xdr:twoCellAnchor editAs="absolute">
    <xdr:from>
      <xdr:col>56</xdr:col>
      <xdr:colOff>106694</xdr:colOff>
      <xdr:row>0</xdr:row>
      <xdr:rowOff>0</xdr:rowOff>
    </xdr:from>
    <xdr:to>
      <xdr:col>67</xdr:col>
      <xdr:colOff>18204</xdr:colOff>
      <xdr:row>0</xdr:row>
      <xdr:rowOff>559862</xdr:rowOff>
    </xdr:to>
    <xdr:sp macro="[0]!Navigate_Reporting" textlink="">
      <xdr:nvSpPr>
        <xdr:cNvPr id="49" name="TextBox 48">
          <a:extLst>
            <a:ext uri="{FF2B5EF4-FFF2-40B4-BE49-F238E27FC236}">
              <a16:creationId xmlns:a16="http://schemas.microsoft.com/office/drawing/2014/main" id="{2DD31DBA-C1DA-425A-864F-887EDDFF3787}"/>
            </a:ext>
          </a:extLst>
        </xdr:cNvPr>
        <xdr:cNvSpPr txBox="1">
          <a:spLocks noChangeAspect="1"/>
        </xdr:cNvSpPr>
      </xdr:nvSpPr>
      <xdr:spPr>
        <a:xfrm>
          <a:off x="9458124" y="0"/>
          <a:ext cx="169480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35</xdr:col>
      <xdr:colOff>75152</xdr:colOff>
      <xdr:row>0</xdr:row>
      <xdr:rowOff>1</xdr:rowOff>
    </xdr:from>
    <xdr:to>
      <xdr:col>45</xdr:col>
      <xdr:colOff>151765</xdr:colOff>
      <xdr:row>0</xdr:row>
      <xdr:rowOff>559862</xdr:rowOff>
    </xdr:to>
    <xdr:sp macro="[0]!Navigate_Rehab_Analyzer" textlink="">
      <xdr:nvSpPr>
        <xdr:cNvPr id="51" name="TextBox 50">
          <a:extLst>
            <a:ext uri="{FF2B5EF4-FFF2-40B4-BE49-F238E27FC236}">
              <a16:creationId xmlns:a16="http://schemas.microsoft.com/office/drawing/2014/main" id="{C4292D7E-73DF-4034-8748-455E4C50B3EF}"/>
            </a:ext>
          </a:extLst>
        </xdr:cNvPr>
        <xdr:cNvSpPr txBox="1">
          <a:spLocks noChangeAspect="1"/>
        </xdr:cNvSpPr>
      </xdr:nvSpPr>
      <xdr:spPr>
        <a:xfrm>
          <a:off x="6028277" y="1"/>
          <a:ext cx="1695863" cy="561974"/>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Analyze</a:t>
          </a:r>
        </a:p>
      </xdr:txBody>
    </xdr:sp>
    <xdr:clientData/>
  </xdr:twoCellAnchor>
  <xdr:twoCellAnchor editAs="absolute">
    <xdr:from>
      <xdr:col>46</xdr:col>
      <xdr:colOff>9098</xdr:colOff>
      <xdr:row>0</xdr:row>
      <xdr:rowOff>0</xdr:rowOff>
    </xdr:from>
    <xdr:to>
      <xdr:col>56</xdr:col>
      <xdr:colOff>75152</xdr:colOff>
      <xdr:row>0</xdr:row>
      <xdr:rowOff>559862</xdr:rowOff>
    </xdr:to>
    <xdr:sp macro="[0]!Navigate_Repair_Estimator" textlink="">
      <xdr:nvSpPr>
        <xdr:cNvPr id="53" name="TextBox 52">
          <a:extLst>
            <a:ext uri="{FF2B5EF4-FFF2-40B4-BE49-F238E27FC236}">
              <a16:creationId xmlns:a16="http://schemas.microsoft.com/office/drawing/2014/main" id="{C038386A-2674-4E9D-AEF6-F6066192427B}"/>
            </a:ext>
          </a:extLst>
        </xdr:cNvPr>
        <xdr:cNvSpPr txBox="1">
          <a:spLocks noChangeAspect="1"/>
        </xdr:cNvSpPr>
      </xdr:nvSpPr>
      <xdr:spPr>
        <a:xfrm>
          <a:off x="7745518" y="0"/>
          <a:ext cx="1683184"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25</xdr:col>
      <xdr:colOff>620</xdr:colOff>
      <xdr:row>0</xdr:row>
      <xdr:rowOff>0</xdr:rowOff>
    </xdr:from>
    <xdr:to>
      <xdr:col>35</xdr:col>
      <xdr:colOff>67312</xdr:colOff>
      <xdr:row>0</xdr:row>
      <xdr:rowOff>559862</xdr:rowOff>
    </xdr:to>
    <xdr:sp macro="[0]!Navigate_Home" textlink="">
      <xdr:nvSpPr>
        <xdr:cNvPr id="58" name="TextBox 57">
          <a:extLst>
            <a:ext uri="{FF2B5EF4-FFF2-40B4-BE49-F238E27FC236}">
              <a16:creationId xmlns:a16="http://schemas.microsoft.com/office/drawing/2014/main" id="{E1C93F7E-DE7A-4C73-8FB5-8D86AEA3E8C9}"/>
            </a:ext>
          </a:extLst>
        </xdr:cNvPr>
        <xdr:cNvSpPr txBox="1">
          <a:spLocks noChangeAspect="1"/>
        </xdr:cNvSpPr>
      </xdr:nvSpPr>
      <xdr:spPr>
        <a:xfrm>
          <a:off x="4333437" y="0"/>
          <a:ext cx="168488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Home</a:t>
          </a:r>
        </a:p>
      </xdr:txBody>
    </xdr:sp>
    <xdr:clientData/>
  </xdr:twoCellAnchor>
  <xdr:twoCellAnchor editAs="absolute">
    <xdr:from>
      <xdr:col>72</xdr:col>
      <xdr:colOff>20532</xdr:colOff>
      <xdr:row>0</xdr:row>
      <xdr:rowOff>153469</xdr:rowOff>
    </xdr:from>
    <xdr:to>
      <xdr:col>73</xdr:col>
      <xdr:colOff>123110</xdr:colOff>
      <xdr:row>0</xdr:row>
      <xdr:rowOff>426716</xdr:rowOff>
    </xdr:to>
    <xdr:pic>
      <xdr:nvPicPr>
        <xdr:cNvPr id="60" name="Picture 59" title="Help">
          <a:hlinkClick xmlns:r="http://schemas.openxmlformats.org/officeDocument/2006/relationships" r:id="rId12"/>
          <a:extLst>
            <a:ext uri="{FF2B5EF4-FFF2-40B4-BE49-F238E27FC236}">
              <a16:creationId xmlns:a16="http://schemas.microsoft.com/office/drawing/2014/main" id="{7C731A49-FE47-420F-AB80-0E55B4645B97}"/>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1964882" y="153469"/>
          <a:ext cx="266623" cy="275367"/>
        </a:xfrm>
        <a:prstGeom prst="rect">
          <a:avLst/>
        </a:prstGeom>
      </xdr:spPr>
    </xdr:pic>
    <xdr:clientData/>
  </xdr:twoCellAnchor>
  <xdr:twoCellAnchor editAs="absolute">
    <xdr:from>
      <xdr:col>68</xdr:col>
      <xdr:colOff>115782</xdr:colOff>
      <xdr:row>0</xdr:row>
      <xdr:rowOff>152516</xdr:rowOff>
    </xdr:from>
    <xdr:to>
      <xdr:col>70</xdr:col>
      <xdr:colOff>75566</xdr:colOff>
      <xdr:row>0</xdr:row>
      <xdr:rowOff>426821</xdr:rowOff>
    </xdr:to>
    <xdr:pic macro="[0]!Navigate_Info_Sheet">
      <xdr:nvPicPr>
        <xdr:cNvPr id="64" name="Picture 63">
          <a:extLst>
            <a:ext uri="{FF2B5EF4-FFF2-40B4-BE49-F238E27FC236}">
              <a16:creationId xmlns:a16="http://schemas.microsoft.com/office/drawing/2014/main" id="{C242657B-4977-402C-9807-DAA65D48F3E3}"/>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1412432" y="152516"/>
          <a:ext cx="283634" cy="276425"/>
        </a:xfrm>
        <a:prstGeom prst="rect">
          <a:avLst/>
        </a:prstGeom>
      </xdr:spPr>
    </xdr:pic>
    <xdr:clientData/>
  </xdr:twoCellAnchor>
  <xdr:twoCellAnchor editAs="absolute">
    <xdr:from>
      <xdr:col>0</xdr:col>
      <xdr:colOff>0</xdr:colOff>
      <xdr:row>0</xdr:row>
      <xdr:rowOff>0</xdr:rowOff>
    </xdr:from>
    <xdr:to>
      <xdr:col>8</xdr:col>
      <xdr:colOff>85735</xdr:colOff>
      <xdr:row>0</xdr:row>
      <xdr:rowOff>561767</xdr:rowOff>
    </xdr:to>
    <xdr:sp macro="" textlink="">
      <xdr:nvSpPr>
        <xdr:cNvPr id="65" name="TextBox 64">
          <a:extLst>
            <a:ext uri="{FF2B5EF4-FFF2-40B4-BE49-F238E27FC236}">
              <a16:creationId xmlns:a16="http://schemas.microsoft.com/office/drawing/2014/main" id="{1EFCC224-B3AC-4975-BC9D-E9EA125909A5}"/>
            </a:ext>
          </a:extLst>
        </xdr:cNvPr>
        <xdr:cNvSpPr txBox="1">
          <a:spLocks noChangeAspect="1"/>
        </xdr:cNvSpPr>
      </xdr:nvSpPr>
      <xdr:spPr>
        <a:xfrm>
          <a:off x="0" y="0"/>
          <a:ext cx="1664772"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26459</xdr:colOff>
      <xdr:row>74</xdr:row>
      <xdr:rowOff>19050</xdr:rowOff>
    </xdr:from>
    <xdr:to>
      <xdr:col>45</xdr:col>
      <xdr:colOff>245533</xdr:colOff>
      <xdr:row>82</xdr:row>
      <xdr:rowOff>27516</xdr:rowOff>
    </xdr:to>
    <xdr:sp macro="[0]!Navigate_Category_Setup" textlink="">
      <xdr:nvSpPr>
        <xdr:cNvPr id="3" name="Rectangle 2">
          <a:extLst>
            <a:ext uri="{FF2B5EF4-FFF2-40B4-BE49-F238E27FC236}">
              <a16:creationId xmlns:a16="http://schemas.microsoft.com/office/drawing/2014/main" id="{3F0B60BB-C980-4CF7-8DA7-55680FE408C1}"/>
            </a:ext>
          </a:extLst>
        </xdr:cNvPr>
        <xdr:cNvSpPr/>
      </xdr:nvSpPr>
      <xdr:spPr>
        <a:xfrm>
          <a:off x="5046134" y="1495425"/>
          <a:ext cx="9667874" cy="1903941"/>
        </a:xfrm>
        <a:prstGeom prst="rect">
          <a:avLst/>
        </a:prstGeom>
        <a:noFill/>
      </xdr:spPr>
      <xdr:txBody>
        <a:bodyPr wrap="square" lIns="91440" tIns="45720" rIns="91440" bIns="45720" rtlCol="0" anchor="ctr">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1180</xdr:row>
      <xdr:rowOff>0</xdr:rowOff>
    </xdr:from>
    <xdr:to>
      <xdr:col>3</xdr:col>
      <xdr:colOff>283464</xdr:colOff>
      <xdr:row>1180</xdr:row>
      <xdr:rowOff>283464</xdr:rowOff>
    </xdr:to>
    <xdr:sp macro="[0]!Show_Estimating_Checklist_Check6" textlink="">
      <xdr:nvSpPr>
        <xdr:cNvPr id="154" name="Rectangle 153">
          <a:extLst>
            <a:ext uri="{FF2B5EF4-FFF2-40B4-BE49-F238E27FC236}">
              <a16:creationId xmlns:a16="http://schemas.microsoft.com/office/drawing/2014/main" id="{00000000-0008-0000-0C00-00009A000000}"/>
            </a:ext>
          </a:extLst>
        </xdr:cNvPr>
        <xdr:cNvSpPr/>
      </xdr:nvSpPr>
      <xdr:spPr>
        <a:xfrm>
          <a:off x="2381250" y="1405890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1170</xdr:row>
      <xdr:rowOff>0</xdr:rowOff>
    </xdr:from>
    <xdr:to>
      <xdr:col>3</xdr:col>
      <xdr:colOff>283464</xdr:colOff>
      <xdr:row>1170</xdr:row>
      <xdr:rowOff>283464</xdr:rowOff>
    </xdr:to>
    <xdr:sp macro="[0]!Show_Estimating_Checklist_Check1" textlink="">
      <xdr:nvSpPr>
        <xdr:cNvPr id="149" name="Rectangle 148">
          <a:extLst>
            <a:ext uri="{FF2B5EF4-FFF2-40B4-BE49-F238E27FC236}">
              <a16:creationId xmlns:a16="http://schemas.microsoft.com/office/drawing/2014/main" id="{00000000-0008-0000-0C00-000095000000}"/>
            </a:ext>
          </a:extLst>
        </xdr:cNvPr>
        <xdr:cNvSpPr/>
      </xdr:nvSpPr>
      <xdr:spPr>
        <a:xfrm>
          <a:off x="2381250" y="1167765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1172</xdr:row>
      <xdr:rowOff>0</xdr:rowOff>
    </xdr:from>
    <xdr:to>
      <xdr:col>3</xdr:col>
      <xdr:colOff>283464</xdr:colOff>
      <xdr:row>1172</xdr:row>
      <xdr:rowOff>283464</xdr:rowOff>
    </xdr:to>
    <xdr:sp macro="[0]!Show_Estimating_Checklist_Check2" textlink="">
      <xdr:nvSpPr>
        <xdr:cNvPr id="150" name="Rectangle 149">
          <a:extLst>
            <a:ext uri="{FF2B5EF4-FFF2-40B4-BE49-F238E27FC236}">
              <a16:creationId xmlns:a16="http://schemas.microsoft.com/office/drawing/2014/main" id="{00000000-0008-0000-0C00-000096000000}"/>
            </a:ext>
          </a:extLst>
        </xdr:cNvPr>
        <xdr:cNvSpPr/>
      </xdr:nvSpPr>
      <xdr:spPr>
        <a:xfrm>
          <a:off x="2381250" y="1215390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1174</xdr:row>
      <xdr:rowOff>0</xdr:rowOff>
    </xdr:from>
    <xdr:to>
      <xdr:col>3</xdr:col>
      <xdr:colOff>283464</xdr:colOff>
      <xdr:row>1174</xdr:row>
      <xdr:rowOff>283464</xdr:rowOff>
    </xdr:to>
    <xdr:sp macro="[0]!Show_Estimating_Checklist_Check3" textlink="">
      <xdr:nvSpPr>
        <xdr:cNvPr id="151" name="Rectangle 150">
          <a:extLst>
            <a:ext uri="{FF2B5EF4-FFF2-40B4-BE49-F238E27FC236}">
              <a16:creationId xmlns:a16="http://schemas.microsoft.com/office/drawing/2014/main" id="{00000000-0008-0000-0C00-000097000000}"/>
            </a:ext>
          </a:extLst>
        </xdr:cNvPr>
        <xdr:cNvSpPr/>
      </xdr:nvSpPr>
      <xdr:spPr>
        <a:xfrm>
          <a:off x="2381250" y="1263015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1178</xdr:row>
      <xdr:rowOff>0</xdr:rowOff>
    </xdr:from>
    <xdr:to>
      <xdr:col>3</xdr:col>
      <xdr:colOff>283464</xdr:colOff>
      <xdr:row>1178</xdr:row>
      <xdr:rowOff>283464</xdr:rowOff>
    </xdr:to>
    <xdr:sp macro="[0]!Show_Estimating_Checklist_Check5" textlink="">
      <xdr:nvSpPr>
        <xdr:cNvPr id="153" name="Rectangle 152">
          <a:extLst>
            <a:ext uri="{FF2B5EF4-FFF2-40B4-BE49-F238E27FC236}">
              <a16:creationId xmlns:a16="http://schemas.microsoft.com/office/drawing/2014/main" id="{00000000-0008-0000-0C00-000099000000}"/>
            </a:ext>
          </a:extLst>
        </xdr:cNvPr>
        <xdr:cNvSpPr/>
      </xdr:nvSpPr>
      <xdr:spPr>
        <a:xfrm>
          <a:off x="2381250" y="1358265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1182</xdr:row>
      <xdr:rowOff>0</xdr:rowOff>
    </xdr:from>
    <xdr:to>
      <xdr:col>3</xdr:col>
      <xdr:colOff>283464</xdr:colOff>
      <xdr:row>1182</xdr:row>
      <xdr:rowOff>283464</xdr:rowOff>
    </xdr:to>
    <xdr:sp macro="[0]!Show_Estimating_Checklist_Check7" textlink="">
      <xdr:nvSpPr>
        <xdr:cNvPr id="155" name="Rectangle 154">
          <a:extLst>
            <a:ext uri="{FF2B5EF4-FFF2-40B4-BE49-F238E27FC236}">
              <a16:creationId xmlns:a16="http://schemas.microsoft.com/office/drawing/2014/main" id="{00000000-0008-0000-0C00-00009B000000}"/>
            </a:ext>
          </a:extLst>
        </xdr:cNvPr>
        <xdr:cNvSpPr/>
      </xdr:nvSpPr>
      <xdr:spPr>
        <a:xfrm>
          <a:off x="2381250" y="1453515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1184</xdr:row>
      <xdr:rowOff>0</xdr:rowOff>
    </xdr:from>
    <xdr:to>
      <xdr:col>3</xdr:col>
      <xdr:colOff>283464</xdr:colOff>
      <xdr:row>1184</xdr:row>
      <xdr:rowOff>283464</xdr:rowOff>
    </xdr:to>
    <xdr:sp macro="[0]!Show_Estimating_Checklist_Check8" textlink="">
      <xdr:nvSpPr>
        <xdr:cNvPr id="156" name="Rectangle 155">
          <a:extLst>
            <a:ext uri="{FF2B5EF4-FFF2-40B4-BE49-F238E27FC236}">
              <a16:creationId xmlns:a16="http://schemas.microsoft.com/office/drawing/2014/main" id="{00000000-0008-0000-0C00-00009C000000}"/>
            </a:ext>
          </a:extLst>
        </xdr:cNvPr>
        <xdr:cNvSpPr/>
      </xdr:nvSpPr>
      <xdr:spPr>
        <a:xfrm>
          <a:off x="2381250" y="1501140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19050</xdr:colOff>
      <xdr:row>1176</xdr:row>
      <xdr:rowOff>0</xdr:rowOff>
    </xdr:from>
    <xdr:to>
      <xdr:col>4</xdr:col>
      <xdr:colOff>7239</xdr:colOff>
      <xdr:row>1176</xdr:row>
      <xdr:rowOff>283464</xdr:rowOff>
    </xdr:to>
    <xdr:sp macro="[0]!Show_Estimating_Checklist_Check4" textlink="">
      <xdr:nvSpPr>
        <xdr:cNvPr id="157" name="Rectangle 156">
          <a:extLst>
            <a:ext uri="{FF2B5EF4-FFF2-40B4-BE49-F238E27FC236}">
              <a16:creationId xmlns:a16="http://schemas.microsoft.com/office/drawing/2014/main" id="{00000000-0008-0000-0C00-00009D000000}"/>
            </a:ext>
          </a:extLst>
        </xdr:cNvPr>
        <xdr:cNvSpPr/>
      </xdr:nvSpPr>
      <xdr:spPr>
        <a:xfrm>
          <a:off x="2400300" y="1310640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0</xdr:col>
      <xdr:colOff>343659</xdr:colOff>
      <xdr:row>83</xdr:row>
      <xdr:rowOff>55033</xdr:rowOff>
    </xdr:from>
    <xdr:to>
      <xdr:col>0</xdr:col>
      <xdr:colOff>702820</xdr:colOff>
      <xdr:row>84</xdr:row>
      <xdr:rowOff>190077</xdr:rowOff>
    </xdr:to>
    <xdr:pic macro="[0]!Hide_Header">
      <xdr:nvPicPr>
        <xdr:cNvPr id="158" name="Hidden_Icon">
          <a:extLst>
            <a:ext uri="{FF2B5EF4-FFF2-40B4-BE49-F238E27FC236}">
              <a16:creationId xmlns:a16="http://schemas.microsoft.com/office/drawing/2014/main" id="{00000000-0008-0000-0C00-00009E000000}"/>
            </a:ext>
          </a:extLst>
        </xdr:cNvPr>
        <xdr:cNvPicPr>
          <a:picLocks noChangeAspect="1"/>
        </xdr:cNvPicPr>
      </xdr:nvPicPr>
      <xdr:blipFill>
        <a:blip xmlns:r="http://schemas.openxmlformats.org/officeDocument/2006/relationships" r:embed="rId1"/>
        <a:stretch>
          <a:fillRect/>
        </a:stretch>
      </xdr:blipFill>
      <xdr:spPr>
        <a:xfrm>
          <a:off x="343659" y="3506445"/>
          <a:ext cx="359161" cy="359161"/>
        </a:xfrm>
        <a:prstGeom prst="rect">
          <a:avLst/>
        </a:prstGeom>
      </xdr:spPr>
    </xdr:pic>
    <xdr:clientData/>
  </xdr:twoCellAnchor>
  <xdr:twoCellAnchor>
    <xdr:from>
      <xdr:col>0</xdr:col>
      <xdr:colOff>960205</xdr:colOff>
      <xdr:row>83</xdr:row>
      <xdr:rowOff>67272</xdr:rowOff>
    </xdr:from>
    <xdr:to>
      <xdr:col>0</xdr:col>
      <xdr:colOff>1270776</xdr:colOff>
      <xdr:row>84</xdr:row>
      <xdr:rowOff>153725</xdr:rowOff>
    </xdr:to>
    <xdr:pic macro="[0]!Scroll_to_Top">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stretch>
          <a:fillRect/>
        </a:stretch>
      </xdr:blipFill>
      <xdr:spPr>
        <a:xfrm>
          <a:off x="960205" y="1277507"/>
          <a:ext cx="310571" cy="310571"/>
        </a:xfrm>
        <a:prstGeom prst="rect">
          <a:avLst/>
        </a:prstGeom>
      </xdr:spPr>
    </xdr:pic>
    <xdr:clientData/>
  </xdr:twoCellAnchor>
  <xdr:twoCellAnchor>
    <xdr:from>
      <xdr:col>0</xdr:col>
      <xdr:colOff>861060</xdr:colOff>
      <xdr:row>84</xdr:row>
      <xdr:rowOff>135244</xdr:rowOff>
    </xdr:from>
    <xdr:to>
      <xdr:col>0</xdr:col>
      <xdr:colOff>1358265</xdr:colOff>
      <xdr:row>86</xdr:row>
      <xdr:rowOff>19050</xdr:rowOff>
    </xdr:to>
    <xdr:sp macro="[0]!Scroll_to_Top" textlink="">
      <xdr:nvSpPr>
        <xdr:cNvPr id="64" name="TextBox 63">
          <a:extLst>
            <a:ext uri="{FF2B5EF4-FFF2-40B4-BE49-F238E27FC236}">
              <a16:creationId xmlns:a16="http://schemas.microsoft.com/office/drawing/2014/main" id="{00000000-0008-0000-0C00-000040000000}"/>
            </a:ext>
          </a:extLst>
        </xdr:cNvPr>
        <xdr:cNvSpPr txBox="1"/>
      </xdr:nvSpPr>
      <xdr:spPr>
        <a:xfrm>
          <a:off x="861060" y="3792844"/>
          <a:ext cx="497205" cy="211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0">
              <a:solidFill>
                <a:schemeClr val="accent1"/>
              </a:solidFill>
              <a:latin typeface="Calibri Light" panose="020F0302020204030204" pitchFamily="34" charset="0"/>
            </a:rPr>
            <a:t>SCROLL </a:t>
          </a:r>
        </a:p>
      </xdr:txBody>
    </xdr:sp>
    <xdr:clientData/>
  </xdr:twoCellAnchor>
  <xdr:twoCellAnchor>
    <xdr:from>
      <xdr:col>0</xdr:col>
      <xdr:colOff>372809</xdr:colOff>
      <xdr:row>83</xdr:row>
      <xdr:rowOff>106044</xdr:rowOff>
    </xdr:from>
    <xdr:to>
      <xdr:col>0</xdr:col>
      <xdr:colOff>714577</xdr:colOff>
      <xdr:row>84</xdr:row>
      <xdr:rowOff>223694</xdr:rowOff>
    </xdr:to>
    <xdr:pic macro="[0]!Hide_Header">
      <xdr:nvPicPr>
        <xdr:cNvPr id="14" name="Visible_Icon" hidden="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3"/>
        <a:stretch>
          <a:fillRect/>
        </a:stretch>
      </xdr:blipFill>
      <xdr:spPr>
        <a:xfrm>
          <a:off x="372809" y="1316279"/>
          <a:ext cx="341768" cy="341768"/>
        </a:xfrm>
        <a:prstGeom prst="rect">
          <a:avLst/>
        </a:prstGeom>
      </xdr:spPr>
    </xdr:pic>
    <xdr:clientData/>
  </xdr:twoCellAnchor>
  <xdr:twoCellAnchor editAs="oneCell">
    <xdr:from>
      <xdr:col>0</xdr:col>
      <xdr:colOff>239183</xdr:colOff>
      <xdr:row>2</xdr:row>
      <xdr:rowOff>29642</xdr:rowOff>
    </xdr:from>
    <xdr:to>
      <xdr:col>0</xdr:col>
      <xdr:colOff>465644</xdr:colOff>
      <xdr:row>2</xdr:row>
      <xdr:rowOff>256131</xdr:rowOff>
    </xdr:to>
    <xdr:pic macro="[0]!Key_Repair_Cost_Estimator">
      <xdr:nvPicPr>
        <xdr:cNvPr id="74" name="Estimator_Lock_Icon">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39183" y="701995"/>
          <a:ext cx="226475" cy="226475"/>
        </a:xfrm>
        <a:prstGeom prst="rect">
          <a:avLst/>
        </a:prstGeom>
      </xdr:spPr>
    </xdr:pic>
    <xdr:clientData/>
  </xdr:twoCellAnchor>
  <xdr:twoCellAnchor editAs="oneCell">
    <xdr:from>
      <xdr:col>11</xdr:col>
      <xdr:colOff>147774</xdr:colOff>
      <xdr:row>83</xdr:row>
      <xdr:rowOff>80772</xdr:rowOff>
    </xdr:from>
    <xdr:to>
      <xdr:col>11</xdr:col>
      <xdr:colOff>266646</xdr:colOff>
      <xdr:row>83</xdr:row>
      <xdr:rowOff>172212</xdr:rowOff>
    </xdr:to>
    <xdr:pic macro="[0]!HELP_DESCRIPTION_OF_WORK">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891224" y="3538347"/>
          <a:ext cx="118872" cy="91440"/>
        </a:xfrm>
        <a:prstGeom prst="rect">
          <a:avLst/>
        </a:prstGeom>
      </xdr:spPr>
    </xdr:pic>
    <xdr:clientData/>
  </xdr:twoCellAnchor>
  <xdr:twoCellAnchor editAs="oneCell">
    <xdr:from>
      <xdr:col>17</xdr:col>
      <xdr:colOff>23949</xdr:colOff>
      <xdr:row>83</xdr:row>
      <xdr:rowOff>80772</xdr:rowOff>
    </xdr:from>
    <xdr:to>
      <xdr:col>17</xdr:col>
      <xdr:colOff>144960</xdr:colOff>
      <xdr:row>83</xdr:row>
      <xdr:rowOff>172212</xdr:rowOff>
    </xdr:to>
    <xdr:pic macro="[0]!HELP_QUANTITY">
      <xdr:nvPicPr>
        <xdr:cNvPr id="73" name="Picture 72">
          <a:extLst>
            <a:ext uri="{FF2B5EF4-FFF2-40B4-BE49-F238E27FC236}">
              <a16:creationId xmlns:a16="http://schemas.microsoft.com/office/drawing/2014/main" id="{00000000-0008-0000-0C00-000049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539049" y="3538347"/>
          <a:ext cx="118872" cy="91440"/>
        </a:xfrm>
        <a:prstGeom prst="rect">
          <a:avLst/>
        </a:prstGeom>
      </xdr:spPr>
    </xdr:pic>
    <xdr:clientData/>
  </xdr:twoCellAnchor>
  <xdr:twoCellAnchor editAs="oneCell">
    <xdr:from>
      <xdr:col>19</xdr:col>
      <xdr:colOff>141107</xdr:colOff>
      <xdr:row>83</xdr:row>
      <xdr:rowOff>71247</xdr:rowOff>
    </xdr:from>
    <xdr:to>
      <xdr:col>19</xdr:col>
      <xdr:colOff>257885</xdr:colOff>
      <xdr:row>83</xdr:row>
      <xdr:rowOff>160548</xdr:rowOff>
    </xdr:to>
    <xdr:pic macro="[0]!HELP_UNIT">
      <xdr:nvPicPr>
        <xdr:cNvPr id="78" name="Picture 77">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46757" y="3528822"/>
          <a:ext cx="118872" cy="91440"/>
        </a:xfrm>
        <a:prstGeom prst="rect">
          <a:avLst/>
        </a:prstGeom>
      </xdr:spPr>
    </xdr:pic>
    <xdr:clientData/>
  </xdr:twoCellAnchor>
  <xdr:twoCellAnchor editAs="oneCell">
    <xdr:from>
      <xdr:col>25</xdr:col>
      <xdr:colOff>233499</xdr:colOff>
      <xdr:row>83</xdr:row>
      <xdr:rowOff>23622</xdr:rowOff>
    </xdr:from>
    <xdr:to>
      <xdr:col>26</xdr:col>
      <xdr:colOff>57096</xdr:colOff>
      <xdr:row>83</xdr:row>
      <xdr:rowOff>115062</xdr:rowOff>
    </xdr:to>
    <xdr:pic macro="[0]!HELP_UNIT_PRICES">
      <xdr:nvPicPr>
        <xdr:cNvPr id="81" name="Picture 80">
          <a:extLst>
            <a:ext uri="{FF2B5EF4-FFF2-40B4-BE49-F238E27FC236}">
              <a16:creationId xmlns:a16="http://schemas.microsoft.com/office/drawing/2014/main" id="{00000000-0008-0000-0C00-000051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9110799" y="3481197"/>
          <a:ext cx="118872" cy="91440"/>
        </a:xfrm>
        <a:prstGeom prst="rect">
          <a:avLst/>
        </a:prstGeom>
      </xdr:spPr>
    </xdr:pic>
    <xdr:clientData/>
  </xdr:twoCellAnchor>
  <xdr:twoCellAnchor editAs="oneCell">
    <xdr:from>
      <xdr:col>41</xdr:col>
      <xdr:colOff>175260</xdr:colOff>
      <xdr:row>1165</xdr:row>
      <xdr:rowOff>85726</xdr:rowOff>
    </xdr:from>
    <xdr:to>
      <xdr:col>42</xdr:col>
      <xdr:colOff>154305</xdr:colOff>
      <xdr:row>1166</xdr:row>
      <xdr:rowOff>74294</xdr:rowOff>
    </xdr:to>
    <xdr:pic>
      <xdr:nvPicPr>
        <xdr:cNvPr id="52" name="Picture 51">
          <a:hlinkClick xmlns:r="http://schemas.openxmlformats.org/officeDocument/2006/relationships" r:id="rId8"/>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3510260" y="214215346"/>
          <a:ext cx="268605" cy="270509"/>
        </a:xfrm>
        <a:prstGeom prst="rect">
          <a:avLst/>
        </a:prstGeom>
      </xdr:spPr>
    </xdr:pic>
    <xdr:clientData/>
  </xdr:twoCellAnchor>
  <xdr:twoCellAnchor>
    <xdr:from>
      <xdr:col>42</xdr:col>
      <xdr:colOff>83148</xdr:colOff>
      <xdr:row>1165</xdr:row>
      <xdr:rowOff>32385</xdr:rowOff>
    </xdr:from>
    <xdr:to>
      <xdr:col>45</xdr:col>
      <xdr:colOff>274320</xdr:colOff>
      <xdr:row>1166</xdr:row>
      <xdr:rowOff>99060</xdr:rowOff>
    </xdr:to>
    <xdr:sp macro="" textlink="">
      <xdr:nvSpPr>
        <xdr:cNvPr id="53" name="TextBox 52">
          <a:hlinkClick xmlns:r="http://schemas.openxmlformats.org/officeDocument/2006/relationships" r:id="rId8"/>
          <a:extLst>
            <a:ext uri="{FF2B5EF4-FFF2-40B4-BE49-F238E27FC236}">
              <a16:creationId xmlns:a16="http://schemas.microsoft.com/office/drawing/2014/main" id="{00000000-0008-0000-0C00-000035000000}"/>
            </a:ext>
          </a:extLst>
        </xdr:cNvPr>
        <xdr:cNvSpPr txBox="1"/>
      </xdr:nvSpPr>
      <xdr:spPr>
        <a:xfrm>
          <a:off x="13707708" y="214162005"/>
          <a:ext cx="1059852" cy="348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rgbClr val="398CCC"/>
              </a:solidFill>
              <a:latin typeface="Calibri Light" panose="020F0302020204030204" pitchFamily="34" charset="0"/>
            </a:rPr>
            <a:t>Report</a:t>
          </a:r>
          <a:r>
            <a:rPr lang="en-US" sz="1200" b="0" i="1" baseline="0">
              <a:solidFill>
                <a:srgbClr val="398CCC"/>
              </a:solidFill>
              <a:latin typeface="Calibri Light" panose="020F0302020204030204" pitchFamily="34" charset="0"/>
            </a:rPr>
            <a:t> Piracy</a:t>
          </a:r>
          <a:endParaRPr lang="en-US" sz="1200" b="0" i="1">
            <a:solidFill>
              <a:srgbClr val="398CCC"/>
            </a:solidFill>
            <a:latin typeface="Calibri Light" panose="020F0302020204030204" pitchFamily="34" charset="0"/>
          </a:endParaRPr>
        </a:p>
      </xdr:txBody>
    </xdr:sp>
    <xdr:clientData/>
  </xdr:twoCellAnchor>
  <xdr:twoCellAnchor>
    <xdr:from>
      <xdr:col>1</xdr:col>
      <xdr:colOff>76199</xdr:colOff>
      <xdr:row>86</xdr:row>
      <xdr:rowOff>38100</xdr:rowOff>
    </xdr:from>
    <xdr:to>
      <xdr:col>45</xdr:col>
      <xdr:colOff>257174</xdr:colOff>
      <xdr:row>86</xdr:row>
      <xdr:rowOff>219075</xdr:rowOff>
    </xdr:to>
    <xdr:sp macro="[0]!Hide_Show_GCs" textlink="">
      <xdr:nvSpPr>
        <xdr:cNvPr id="2" name="Rectangle 1">
          <a:extLst>
            <a:ext uri="{FF2B5EF4-FFF2-40B4-BE49-F238E27FC236}">
              <a16:creationId xmlns:a16="http://schemas.microsoft.com/office/drawing/2014/main" id="{00000000-0008-0000-0C00-000002000000}"/>
            </a:ext>
          </a:extLst>
        </xdr:cNvPr>
        <xdr:cNvSpPr/>
      </xdr:nvSpPr>
      <xdr:spPr>
        <a:xfrm>
          <a:off x="1866899" y="17716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131</xdr:row>
      <xdr:rowOff>47625</xdr:rowOff>
    </xdr:from>
    <xdr:to>
      <xdr:col>45</xdr:col>
      <xdr:colOff>247650</xdr:colOff>
      <xdr:row>131</xdr:row>
      <xdr:rowOff>228600</xdr:rowOff>
    </xdr:to>
    <xdr:sp macro="[0]!Hide_Show_Demolition" textlink="">
      <xdr:nvSpPr>
        <xdr:cNvPr id="49" name="Rectangle 48">
          <a:extLst>
            <a:ext uri="{FF2B5EF4-FFF2-40B4-BE49-F238E27FC236}">
              <a16:creationId xmlns:a16="http://schemas.microsoft.com/office/drawing/2014/main" id="{00000000-0008-0000-0C00-000031000000}"/>
            </a:ext>
          </a:extLst>
        </xdr:cNvPr>
        <xdr:cNvSpPr/>
      </xdr:nvSpPr>
      <xdr:spPr>
        <a:xfrm>
          <a:off x="1857375" y="20478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176</xdr:row>
      <xdr:rowOff>47625</xdr:rowOff>
    </xdr:from>
    <xdr:to>
      <xdr:col>45</xdr:col>
      <xdr:colOff>247650</xdr:colOff>
      <xdr:row>176</xdr:row>
      <xdr:rowOff>228600</xdr:rowOff>
    </xdr:to>
    <xdr:sp macro="[0]!Hide_Show_Structural_Concrete" textlink="">
      <xdr:nvSpPr>
        <xdr:cNvPr id="50" name="Rectangle 49">
          <a:extLst>
            <a:ext uri="{FF2B5EF4-FFF2-40B4-BE49-F238E27FC236}">
              <a16:creationId xmlns:a16="http://schemas.microsoft.com/office/drawing/2014/main" id="{00000000-0008-0000-0C00-000032000000}"/>
            </a:ext>
          </a:extLst>
        </xdr:cNvPr>
        <xdr:cNvSpPr/>
      </xdr:nvSpPr>
      <xdr:spPr>
        <a:xfrm>
          <a:off x="1857375" y="23145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221</xdr:row>
      <xdr:rowOff>47625</xdr:rowOff>
    </xdr:from>
    <xdr:to>
      <xdr:col>45</xdr:col>
      <xdr:colOff>247650</xdr:colOff>
      <xdr:row>221</xdr:row>
      <xdr:rowOff>228600</xdr:rowOff>
    </xdr:to>
    <xdr:sp macro="[0]!Hide_Show_Concrete_Flatwork" textlink="">
      <xdr:nvSpPr>
        <xdr:cNvPr id="57" name="Rectangle 56">
          <a:extLst>
            <a:ext uri="{FF2B5EF4-FFF2-40B4-BE49-F238E27FC236}">
              <a16:creationId xmlns:a16="http://schemas.microsoft.com/office/drawing/2014/main" id="{00000000-0008-0000-0C00-000039000000}"/>
            </a:ext>
          </a:extLst>
        </xdr:cNvPr>
        <xdr:cNvSpPr/>
      </xdr:nvSpPr>
      <xdr:spPr>
        <a:xfrm>
          <a:off x="1857375" y="25812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266</xdr:row>
      <xdr:rowOff>47625</xdr:rowOff>
    </xdr:from>
    <xdr:to>
      <xdr:col>45</xdr:col>
      <xdr:colOff>247650</xdr:colOff>
      <xdr:row>266</xdr:row>
      <xdr:rowOff>228600</xdr:rowOff>
    </xdr:to>
    <xdr:sp macro="[0]!Hide_Show_Masonry" textlink="">
      <xdr:nvSpPr>
        <xdr:cNvPr id="59" name="Rectangle 58">
          <a:extLst>
            <a:ext uri="{FF2B5EF4-FFF2-40B4-BE49-F238E27FC236}">
              <a16:creationId xmlns:a16="http://schemas.microsoft.com/office/drawing/2014/main" id="{00000000-0008-0000-0C00-00003B000000}"/>
            </a:ext>
          </a:extLst>
        </xdr:cNvPr>
        <xdr:cNvSpPr/>
      </xdr:nvSpPr>
      <xdr:spPr>
        <a:xfrm>
          <a:off x="1857375" y="28479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311</xdr:row>
      <xdr:rowOff>47625</xdr:rowOff>
    </xdr:from>
    <xdr:to>
      <xdr:col>45</xdr:col>
      <xdr:colOff>247650</xdr:colOff>
      <xdr:row>311</xdr:row>
      <xdr:rowOff>228600</xdr:rowOff>
    </xdr:to>
    <xdr:sp macro="[0]!Hide_Show_Siding" textlink="">
      <xdr:nvSpPr>
        <xdr:cNvPr id="68" name="Rectangle 67">
          <a:extLst>
            <a:ext uri="{FF2B5EF4-FFF2-40B4-BE49-F238E27FC236}">
              <a16:creationId xmlns:a16="http://schemas.microsoft.com/office/drawing/2014/main" id="{00000000-0008-0000-0C00-000044000000}"/>
            </a:ext>
          </a:extLst>
        </xdr:cNvPr>
        <xdr:cNvSpPr/>
      </xdr:nvSpPr>
      <xdr:spPr>
        <a:xfrm>
          <a:off x="1857375" y="31146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356</xdr:row>
      <xdr:rowOff>47625</xdr:rowOff>
    </xdr:from>
    <xdr:to>
      <xdr:col>45</xdr:col>
      <xdr:colOff>247650</xdr:colOff>
      <xdr:row>356</xdr:row>
      <xdr:rowOff>228600</xdr:rowOff>
    </xdr:to>
    <xdr:sp macro="[0]!Hide_Show_Decking_And_Patios" textlink="">
      <xdr:nvSpPr>
        <xdr:cNvPr id="69" name="Rectangle 68">
          <a:extLst>
            <a:ext uri="{FF2B5EF4-FFF2-40B4-BE49-F238E27FC236}">
              <a16:creationId xmlns:a16="http://schemas.microsoft.com/office/drawing/2014/main" id="{00000000-0008-0000-0C00-000045000000}"/>
            </a:ext>
          </a:extLst>
        </xdr:cNvPr>
        <xdr:cNvSpPr/>
      </xdr:nvSpPr>
      <xdr:spPr>
        <a:xfrm>
          <a:off x="1857375" y="339090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401</xdr:row>
      <xdr:rowOff>47625</xdr:rowOff>
    </xdr:from>
    <xdr:to>
      <xdr:col>45</xdr:col>
      <xdr:colOff>247650</xdr:colOff>
      <xdr:row>401</xdr:row>
      <xdr:rowOff>228600</xdr:rowOff>
    </xdr:to>
    <xdr:sp macro="[0]!Hide_Show_Roofing" textlink="">
      <xdr:nvSpPr>
        <xdr:cNvPr id="80" name="Rectangle 79">
          <a:extLst>
            <a:ext uri="{FF2B5EF4-FFF2-40B4-BE49-F238E27FC236}">
              <a16:creationId xmlns:a16="http://schemas.microsoft.com/office/drawing/2014/main" id="{00000000-0008-0000-0C00-000050000000}"/>
            </a:ext>
          </a:extLst>
        </xdr:cNvPr>
        <xdr:cNvSpPr/>
      </xdr:nvSpPr>
      <xdr:spPr>
        <a:xfrm>
          <a:off x="1857375" y="365760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446</xdr:row>
      <xdr:rowOff>57150</xdr:rowOff>
    </xdr:from>
    <xdr:to>
      <xdr:col>45</xdr:col>
      <xdr:colOff>247650</xdr:colOff>
      <xdr:row>446</xdr:row>
      <xdr:rowOff>238125</xdr:rowOff>
    </xdr:to>
    <xdr:sp macro="[0]!Hide_Show_Doors_Windows" textlink="">
      <xdr:nvSpPr>
        <xdr:cNvPr id="85" name="Rectangle 84">
          <a:extLst>
            <a:ext uri="{FF2B5EF4-FFF2-40B4-BE49-F238E27FC236}">
              <a16:creationId xmlns:a16="http://schemas.microsoft.com/office/drawing/2014/main" id="{00000000-0008-0000-0C00-000055000000}"/>
            </a:ext>
          </a:extLst>
        </xdr:cNvPr>
        <xdr:cNvSpPr/>
      </xdr:nvSpPr>
      <xdr:spPr>
        <a:xfrm>
          <a:off x="1857375" y="393382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491</xdr:row>
      <xdr:rowOff>47625</xdr:rowOff>
    </xdr:from>
    <xdr:to>
      <xdr:col>45</xdr:col>
      <xdr:colOff>247650</xdr:colOff>
      <xdr:row>491</xdr:row>
      <xdr:rowOff>228600</xdr:rowOff>
    </xdr:to>
    <xdr:sp macro="[0]!Hide_Show_Garage_Doors" textlink="">
      <xdr:nvSpPr>
        <xdr:cNvPr id="87" name="Rectangle 86">
          <a:extLst>
            <a:ext uri="{FF2B5EF4-FFF2-40B4-BE49-F238E27FC236}">
              <a16:creationId xmlns:a16="http://schemas.microsoft.com/office/drawing/2014/main" id="{00000000-0008-0000-0C00-000057000000}"/>
            </a:ext>
          </a:extLst>
        </xdr:cNvPr>
        <xdr:cNvSpPr/>
      </xdr:nvSpPr>
      <xdr:spPr>
        <a:xfrm>
          <a:off x="1857375" y="42100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536</xdr:row>
      <xdr:rowOff>47625</xdr:rowOff>
    </xdr:from>
    <xdr:to>
      <xdr:col>45</xdr:col>
      <xdr:colOff>247650</xdr:colOff>
      <xdr:row>536</xdr:row>
      <xdr:rowOff>228600</xdr:rowOff>
    </xdr:to>
    <xdr:sp macro="[0]!Hide_Show_Landscaping" textlink="">
      <xdr:nvSpPr>
        <xdr:cNvPr id="89" name="Rectangle 88">
          <a:extLst>
            <a:ext uri="{FF2B5EF4-FFF2-40B4-BE49-F238E27FC236}">
              <a16:creationId xmlns:a16="http://schemas.microsoft.com/office/drawing/2014/main" id="{00000000-0008-0000-0C00-000059000000}"/>
            </a:ext>
          </a:extLst>
        </xdr:cNvPr>
        <xdr:cNvSpPr/>
      </xdr:nvSpPr>
      <xdr:spPr>
        <a:xfrm>
          <a:off x="1857375" y="71437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581</xdr:row>
      <xdr:rowOff>47625</xdr:rowOff>
    </xdr:from>
    <xdr:to>
      <xdr:col>45</xdr:col>
      <xdr:colOff>247650</xdr:colOff>
      <xdr:row>581</xdr:row>
      <xdr:rowOff>228600</xdr:rowOff>
    </xdr:to>
    <xdr:sp macro="[0]!Hide_Show_Misc_Ext_Improvements" textlink="">
      <xdr:nvSpPr>
        <xdr:cNvPr id="90" name="Rectangle 89">
          <a:extLst>
            <a:ext uri="{FF2B5EF4-FFF2-40B4-BE49-F238E27FC236}">
              <a16:creationId xmlns:a16="http://schemas.microsoft.com/office/drawing/2014/main" id="{00000000-0008-0000-0C00-00005A000000}"/>
            </a:ext>
          </a:extLst>
        </xdr:cNvPr>
        <xdr:cNvSpPr/>
      </xdr:nvSpPr>
      <xdr:spPr>
        <a:xfrm>
          <a:off x="1857375" y="47434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626</xdr:row>
      <xdr:rowOff>57150</xdr:rowOff>
    </xdr:from>
    <xdr:to>
      <xdr:col>45</xdr:col>
      <xdr:colOff>247650</xdr:colOff>
      <xdr:row>626</xdr:row>
      <xdr:rowOff>238125</xdr:rowOff>
    </xdr:to>
    <xdr:sp macro="[0]!Hide_Show_Framing_Drywall" textlink="">
      <xdr:nvSpPr>
        <xdr:cNvPr id="91" name="Rectangle 90">
          <a:extLst>
            <a:ext uri="{FF2B5EF4-FFF2-40B4-BE49-F238E27FC236}">
              <a16:creationId xmlns:a16="http://schemas.microsoft.com/office/drawing/2014/main" id="{00000000-0008-0000-0C00-00005B000000}"/>
            </a:ext>
          </a:extLst>
        </xdr:cNvPr>
        <xdr:cNvSpPr/>
      </xdr:nvSpPr>
      <xdr:spPr>
        <a:xfrm>
          <a:off x="1857375" y="50196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671</xdr:row>
      <xdr:rowOff>47625</xdr:rowOff>
    </xdr:from>
    <xdr:to>
      <xdr:col>45</xdr:col>
      <xdr:colOff>247650</xdr:colOff>
      <xdr:row>671</xdr:row>
      <xdr:rowOff>228600</xdr:rowOff>
    </xdr:to>
    <xdr:sp macro="[0]!Hide_Show_Cabinets_Countertops" textlink="">
      <xdr:nvSpPr>
        <xdr:cNvPr id="92" name="Rectangle 91">
          <a:extLst>
            <a:ext uri="{FF2B5EF4-FFF2-40B4-BE49-F238E27FC236}">
              <a16:creationId xmlns:a16="http://schemas.microsoft.com/office/drawing/2014/main" id="{00000000-0008-0000-0C00-00005C000000}"/>
            </a:ext>
          </a:extLst>
        </xdr:cNvPr>
        <xdr:cNvSpPr/>
      </xdr:nvSpPr>
      <xdr:spPr>
        <a:xfrm>
          <a:off x="1857375" y="529590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716</xdr:row>
      <xdr:rowOff>57150</xdr:rowOff>
    </xdr:from>
    <xdr:to>
      <xdr:col>45</xdr:col>
      <xdr:colOff>247650</xdr:colOff>
      <xdr:row>716</xdr:row>
      <xdr:rowOff>238125</xdr:rowOff>
    </xdr:to>
    <xdr:sp macro="[0]!Hide_Show_Doors_Trim" textlink="">
      <xdr:nvSpPr>
        <xdr:cNvPr id="93" name="Rectangle 92">
          <a:extLst>
            <a:ext uri="{FF2B5EF4-FFF2-40B4-BE49-F238E27FC236}">
              <a16:creationId xmlns:a16="http://schemas.microsoft.com/office/drawing/2014/main" id="{00000000-0008-0000-0C00-00005D000000}"/>
            </a:ext>
          </a:extLst>
        </xdr:cNvPr>
        <xdr:cNvSpPr/>
      </xdr:nvSpPr>
      <xdr:spPr>
        <a:xfrm>
          <a:off x="1857375" y="557212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761</xdr:row>
      <xdr:rowOff>47625</xdr:rowOff>
    </xdr:from>
    <xdr:to>
      <xdr:col>45</xdr:col>
      <xdr:colOff>247650</xdr:colOff>
      <xdr:row>761</xdr:row>
      <xdr:rowOff>228600</xdr:rowOff>
    </xdr:to>
    <xdr:sp macro="[0]!Hide_Show_Carpet_Resilient" textlink="">
      <xdr:nvSpPr>
        <xdr:cNvPr id="94" name="Rectangle 93">
          <a:extLst>
            <a:ext uri="{FF2B5EF4-FFF2-40B4-BE49-F238E27FC236}">
              <a16:creationId xmlns:a16="http://schemas.microsoft.com/office/drawing/2014/main" id="{00000000-0008-0000-0C00-00005E000000}"/>
            </a:ext>
          </a:extLst>
        </xdr:cNvPr>
        <xdr:cNvSpPr/>
      </xdr:nvSpPr>
      <xdr:spPr>
        <a:xfrm>
          <a:off x="1857375" y="58483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57150</xdr:colOff>
      <xdr:row>806</xdr:row>
      <xdr:rowOff>57150</xdr:rowOff>
    </xdr:from>
    <xdr:to>
      <xdr:col>45</xdr:col>
      <xdr:colOff>238125</xdr:colOff>
      <xdr:row>806</xdr:row>
      <xdr:rowOff>238125</xdr:rowOff>
    </xdr:to>
    <xdr:sp macro="[0]!Hide_Show_Hardwood_Flooring" textlink="">
      <xdr:nvSpPr>
        <xdr:cNvPr id="95" name="Rectangle 94">
          <a:extLst>
            <a:ext uri="{FF2B5EF4-FFF2-40B4-BE49-F238E27FC236}">
              <a16:creationId xmlns:a16="http://schemas.microsoft.com/office/drawing/2014/main" id="{00000000-0008-0000-0C00-00005F000000}"/>
            </a:ext>
          </a:extLst>
        </xdr:cNvPr>
        <xdr:cNvSpPr/>
      </xdr:nvSpPr>
      <xdr:spPr>
        <a:xfrm>
          <a:off x="1847850" y="61245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851</xdr:row>
      <xdr:rowOff>57150</xdr:rowOff>
    </xdr:from>
    <xdr:to>
      <xdr:col>45</xdr:col>
      <xdr:colOff>247650</xdr:colOff>
      <xdr:row>851</xdr:row>
      <xdr:rowOff>238125</xdr:rowOff>
    </xdr:to>
    <xdr:sp macro="[0]!Hide_Show_Tiling" textlink="">
      <xdr:nvSpPr>
        <xdr:cNvPr id="96" name="Rectangle 95">
          <a:extLst>
            <a:ext uri="{FF2B5EF4-FFF2-40B4-BE49-F238E27FC236}">
              <a16:creationId xmlns:a16="http://schemas.microsoft.com/office/drawing/2014/main" id="{00000000-0008-0000-0C00-000060000000}"/>
            </a:ext>
          </a:extLst>
        </xdr:cNvPr>
        <xdr:cNvSpPr/>
      </xdr:nvSpPr>
      <xdr:spPr>
        <a:xfrm>
          <a:off x="1857375" y="641032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896</xdr:row>
      <xdr:rowOff>57150</xdr:rowOff>
    </xdr:from>
    <xdr:to>
      <xdr:col>45</xdr:col>
      <xdr:colOff>247650</xdr:colOff>
      <xdr:row>896</xdr:row>
      <xdr:rowOff>238125</xdr:rowOff>
    </xdr:to>
    <xdr:sp macro="[0]!Hide_Show_Painting" textlink="">
      <xdr:nvSpPr>
        <xdr:cNvPr id="97" name="Rectangle 96">
          <a:extLst>
            <a:ext uri="{FF2B5EF4-FFF2-40B4-BE49-F238E27FC236}">
              <a16:creationId xmlns:a16="http://schemas.microsoft.com/office/drawing/2014/main" id="{00000000-0008-0000-0C00-000061000000}"/>
            </a:ext>
          </a:extLst>
        </xdr:cNvPr>
        <xdr:cNvSpPr/>
      </xdr:nvSpPr>
      <xdr:spPr>
        <a:xfrm>
          <a:off x="1857375" y="66960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941</xdr:row>
      <xdr:rowOff>57150</xdr:rowOff>
    </xdr:from>
    <xdr:to>
      <xdr:col>45</xdr:col>
      <xdr:colOff>247650</xdr:colOff>
      <xdr:row>941</xdr:row>
      <xdr:rowOff>238125</xdr:rowOff>
    </xdr:to>
    <xdr:sp macro="[0]!Hide_Show_Appliances" textlink="">
      <xdr:nvSpPr>
        <xdr:cNvPr id="98" name="Rectangle 97">
          <a:extLst>
            <a:ext uri="{FF2B5EF4-FFF2-40B4-BE49-F238E27FC236}">
              <a16:creationId xmlns:a16="http://schemas.microsoft.com/office/drawing/2014/main" id="{00000000-0008-0000-0C00-000062000000}"/>
            </a:ext>
          </a:extLst>
        </xdr:cNvPr>
        <xdr:cNvSpPr/>
      </xdr:nvSpPr>
      <xdr:spPr>
        <a:xfrm>
          <a:off x="1857375" y="964882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986</xdr:row>
      <xdr:rowOff>47625</xdr:rowOff>
    </xdr:from>
    <xdr:to>
      <xdr:col>45</xdr:col>
      <xdr:colOff>247650</xdr:colOff>
      <xdr:row>986</xdr:row>
      <xdr:rowOff>228600</xdr:rowOff>
    </xdr:to>
    <xdr:sp macro="[0]!Hide_Show_Plumbing" textlink="">
      <xdr:nvSpPr>
        <xdr:cNvPr id="99" name="Rectangle 98">
          <a:extLst>
            <a:ext uri="{FF2B5EF4-FFF2-40B4-BE49-F238E27FC236}">
              <a16:creationId xmlns:a16="http://schemas.microsoft.com/office/drawing/2014/main" id="{00000000-0008-0000-0C00-000063000000}"/>
            </a:ext>
          </a:extLst>
        </xdr:cNvPr>
        <xdr:cNvSpPr/>
      </xdr:nvSpPr>
      <xdr:spPr>
        <a:xfrm>
          <a:off x="1857375" y="72580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57150</xdr:colOff>
      <xdr:row>1031</xdr:row>
      <xdr:rowOff>47625</xdr:rowOff>
    </xdr:from>
    <xdr:to>
      <xdr:col>45</xdr:col>
      <xdr:colOff>238125</xdr:colOff>
      <xdr:row>1031</xdr:row>
      <xdr:rowOff>228600</xdr:rowOff>
    </xdr:to>
    <xdr:sp macro="[0]!Hide_Show_HVAC" textlink="">
      <xdr:nvSpPr>
        <xdr:cNvPr id="100" name="Rectangle 99">
          <a:extLst>
            <a:ext uri="{FF2B5EF4-FFF2-40B4-BE49-F238E27FC236}">
              <a16:creationId xmlns:a16="http://schemas.microsoft.com/office/drawing/2014/main" id="{00000000-0008-0000-0C00-000064000000}"/>
            </a:ext>
          </a:extLst>
        </xdr:cNvPr>
        <xdr:cNvSpPr/>
      </xdr:nvSpPr>
      <xdr:spPr>
        <a:xfrm>
          <a:off x="1847850" y="75247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1076</xdr:row>
      <xdr:rowOff>47625</xdr:rowOff>
    </xdr:from>
    <xdr:to>
      <xdr:col>45</xdr:col>
      <xdr:colOff>247650</xdr:colOff>
      <xdr:row>1076</xdr:row>
      <xdr:rowOff>228600</xdr:rowOff>
    </xdr:to>
    <xdr:sp macro="[0]!Hide_Show_Electrical" textlink="">
      <xdr:nvSpPr>
        <xdr:cNvPr id="101" name="Rectangle 100">
          <a:extLst>
            <a:ext uri="{FF2B5EF4-FFF2-40B4-BE49-F238E27FC236}">
              <a16:creationId xmlns:a16="http://schemas.microsoft.com/office/drawing/2014/main" id="{00000000-0008-0000-0C00-000065000000}"/>
            </a:ext>
          </a:extLst>
        </xdr:cNvPr>
        <xdr:cNvSpPr/>
      </xdr:nvSpPr>
      <xdr:spPr>
        <a:xfrm>
          <a:off x="1857375" y="77914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1121</xdr:row>
      <xdr:rowOff>57150</xdr:rowOff>
    </xdr:from>
    <xdr:to>
      <xdr:col>45</xdr:col>
      <xdr:colOff>247650</xdr:colOff>
      <xdr:row>1121</xdr:row>
      <xdr:rowOff>238125</xdr:rowOff>
    </xdr:to>
    <xdr:sp macro="[0]!Hide_Show_Miscellaneous" textlink="">
      <xdr:nvSpPr>
        <xdr:cNvPr id="102" name="Rectangle 101">
          <a:extLst>
            <a:ext uri="{FF2B5EF4-FFF2-40B4-BE49-F238E27FC236}">
              <a16:creationId xmlns:a16="http://schemas.microsoft.com/office/drawing/2014/main" id="{00000000-0008-0000-0C00-000066000000}"/>
            </a:ext>
          </a:extLst>
        </xdr:cNvPr>
        <xdr:cNvSpPr/>
      </xdr:nvSpPr>
      <xdr:spPr>
        <a:xfrm>
          <a:off x="1857375" y="80676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146685</xdr:colOff>
      <xdr:row>84</xdr:row>
      <xdr:rowOff>142048</xdr:rowOff>
    </xdr:from>
    <xdr:to>
      <xdr:col>0</xdr:col>
      <xdr:colOff>870585</xdr:colOff>
      <xdr:row>86</xdr:row>
      <xdr:rowOff>9525</xdr:rowOff>
    </xdr:to>
    <xdr:sp macro="[0]!Hide_Header" textlink="">
      <xdr:nvSpPr>
        <xdr:cNvPr id="103" name="TextBox 102">
          <a:extLst>
            <a:ext uri="{FF2B5EF4-FFF2-40B4-BE49-F238E27FC236}">
              <a16:creationId xmlns:a16="http://schemas.microsoft.com/office/drawing/2014/main" id="{00000000-0008-0000-0C00-000067000000}"/>
            </a:ext>
          </a:extLst>
        </xdr:cNvPr>
        <xdr:cNvSpPr txBox="1"/>
      </xdr:nvSpPr>
      <xdr:spPr>
        <a:xfrm>
          <a:off x="146685" y="3799648"/>
          <a:ext cx="723900" cy="195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0">
              <a:solidFill>
                <a:schemeClr val="accent1"/>
              </a:solidFill>
              <a:latin typeface="Calibri Light" panose="020F0302020204030204" pitchFamily="34" charset="0"/>
            </a:rPr>
            <a:t>HIDE/SHOW</a:t>
          </a:r>
        </a:p>
      </xdr:txBody>
    </xdr:sp>
    <xdr:clientData/>
  </xdr:twoCellAnchor>
  <xdr:twoCellAnchor>
    <xdr:from>
      <xdr:col>13</xdr:col>
      <xdr:colOff>66675</xdr:colOff>
      <xdr:row>74</xdr:row>
      <xdr:rowOff>38100</xdr:rowOff>
    </xdr:from>
    <xdr:to>
      <xdr:col>13</xdr:col>
      <xdr:colOff>228600</xdr:colOff>
      <xdr:row>74</xdr:row>
      <xdr:rowOff>200025</xdr:rowOff>
    </xdr:to>
    <xdr:sp macro="[0]!Hide_Show_GCs" textlink="">
      <xdr:nvSpPr>
        <xdr:cNvPr id="82" name="Rounded Rectangle 81">
          <a:extLst>
            <a:ext uri="{FF2B5EF4-FFF2-40B4-BE49-F238E27FC236}">
              <a16:creationId xmlns:a16="http://schemas.microsoft.com/office/drawing/2014/main" id="{00000000-0008-0000-0C00-000052000000}"/>
            </a:ext>
          </a:extLst>
        </xdr:cNvPr>
        <xdr:cNvSpPr/>
      </xdr:nvSpPr>
      <xdr:spPr>
        <a:xfrm>
          <a:off x="5400675" y="17049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75</xdr:row>
      <xdr:rowOff>38100</xdr:rowOff>
    </xdr:from>
    <xdr:to>
      <xdr:col>13</xdr:col>
      <xdr:colOff>228600</xdr:colOff>
      <xdr:row>75</xdr:row>
      <xdr:rowOff>200025</xdr:rowOff>
    </xdr:to>
    <xdr:sp macro="[0]!Hide_Show_Demolition" textlink="">
      <xdr:nvSpPr>
        <xdr:cNvPr id="83" name="Rounded Rectangle 82">
          <a:extLst>
            <a:ext uri="{FF2B5EF4-FFF2-40B4-BE49-F238E27FC236}">
              <a16:creationId xmlns:a16="http://schemas.microsoft.com/office/drawing/2014/main" id="{00000000-0008-0000-0C00-000053000000}"/>
            </a:ext>
          </a:extLst>
        </xdr:cNvPr>
        <xdr:cNvSpPr/>
      </xdr:nvSpPr>
      <xdr:spPr>
        <a:xfrm>
          <a:off x="5400675" y="19431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76</xdr:row>
      <xdr:rowOff>38100</xdr:rowOff>
    </xdr:from>
    <xdr:to>
      <xdr:col>13</xdr:col>
      <xdr:colOff>228600</xdr:colOff>
      <xdr:row>76</xdr:row>
      <xdr:rowOff>200025</xdr:rowOff>
    </xdr:to>
    <xdr:sp macro="[0]!Hide_Show_Structural_Concrete" textlink="">
      <xdr:nvSpPr>
        <xdr:cNvPr id="104" name="Rounded Rectangle 103">
          <a:extLst>
            <a:ext uri="{FF2B5EF4-FFF2-40B4-BE49-F238E27FC236}">
              <a16:creationId xmlns:a16="http://schemas.microsoft.com/office/drawing/2014/main" id="{00000000-0008-0000-0C00-000068000000}"/>
            </a:ext>
          </a:extLst>
        </xdr:cNvPr>
        <xdr:cNvSpPr/>
      </xdr:nvSpPr>
      <xdr:spPr>
        <a:xfrm>
          <a:off x="5400675" y="21812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78</xdr:row>
      <xdr:rowOff>38100</xdr:rowOff>
    </xdr:from>
    <xdr:to>
      <xdr:col>13</xdr:col>
      <xdr:colOff>228600</xdr:colOff>
      <xdr:row>78</xdr:row>
      <xdr:rowOff>200025</xdr:rowOff>
    </xdr:to>
    <xdr:sp macro="[0]!Hide_Show_Masonry" textlink="">
      <xdr:nvSpPr>
        <xdr:cNvPr id="105" name="Rounded Rectangle 104">
          <a:extLst>
            <a:ext uri="{FF2B5EF4-FFF2-40B4-BE49-F238E27FC236}">
              <a16:creationId xmlns:a16="http://schemas.microsoft.com/office/drawing/2014/main" id="{00000000-0008-0000-0C00-000069000000}"/>
            </a:ext>
          </a:extLst>
        </xdr:cNvPr>
        <xdr:cNvSpPr/>
      </xdr:nvSpPr>
      <xdr:spPr>
        <a:xfrm>
          <a:off x="5400675" y="26574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79</xdr:row>
      <xdr:rowOff>38100</xdr:rowOff>
    </xdr:from>
    <xdr:to>
      <xdr:col>13</xdr:col>
      <xdr:colOff>228600</xdr:colOff>
      <xdr:row>79</xdr:row>
      <xdr:rowOff>200025</xdr:rowOff>
    </xdr:to>
    <xdr:sp macro="[0]!Hide_Show_Siding" textlink="">
      <xdr:nvSpPr>
        <xdr:cNvPr id="106" name="Rounded Rectangle 105">
          <a:extLst>
            <a:ext uri="{FF2B5EF4-FFF2-40B4-BE49-F238E27FC236}">
              <a16:creationId xmlns:a16="http://schemas.microsoft.com/office/drawing/2014/main" id="{00000000-0008-0000-0C00-00006A000000}"/>
            </a:ext>
          </a:extLst>
        </xdr:cNvPr>
        <xdr:cNvSpPr/>
      </xdr:nvSpPr>
      <xdr:spPr>
        <a:xfrm>
          <a:off x="5400675" y="28956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80</xdr:row>
      <xdr:rowOff>38100</xdr:rowOff>
    </xdr:from>
    <xdr:to>
      <xdr:col>13</xdr:col>
      <xdr:colOff>228600</xdr:colOff>
      <xdr:row>80</xdr:row>
      <xdr:rowOff>200025</xdr:rowOff>
    </xdr:to>
    <xdr:sp macro="[0]!Hide_Show_Decking_And_Patios" textlink="">
      <xdr:nvSpPr>
        <xdr:cNvPr id="107" name="Rounded Rectangle 106">
          <a:extLst>
            <a:ext uri="{FF2B5EF4-FFF2-40B4-BE49-F238E27FC236}">
              <a16:creationId xmlns:a16="http://schemas.microsoft.com/office/drawing/2014/main" id="{00000000-0008-0000-0C00-00006B000000}"/>
            </a:ext>
          </a:extLst>
        </xdr:cNvPr>
        <xdr:cNvSpPr/>
      </xdr:nvSpPr>
      <xdr:spPr>
        <a:xfrm>
          <a:off x="5400675" y="31337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81</xdr:row>
      <xdr:rowOff>38100</xdr:rowOff>
    </xdr:from>
    <xdr:to>
      <xdr:col>13</xdr:col>
      <xdr:colOff>228600</xdr:colOff>
      <xdr:row>81</xdr:row>
      <xdr:rowOff>200025</xdr:rowOff>
    </xdr:to>
    <xdr:sp macro="[0]!Hide_Show_Roofing" textlink="">
      <xdr:nvSpPr>
        <xdr:cNvPr id="108" name="Rounded Rectangle 107">
          <a:extLst>
            <a:ext uri="{FF2B5EF4-FFF2-40B4-BE49-F238E27FC236}">
              <a16:creationId xmlns:a16="http://schemas.microsoft.com/office/drawing/2014/main" id="{00000000-0008-0000-0C00-00006C000000}"/>
            </a:ext>
          </a:extLst>
        </xdr:cNvPr>
        <xdr:cNvSpPr/>
      </xdr:nvSpPr>
      <xdr:spPr>
        <a:xfrm>
          <a:off x="5400675" y="33718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74</xdr:row>
      <xdr:rowOff>28575</xdr:rowOff>
    </xdr:from>
    <xdr:to>
      <xdr:col>24</xdr:col>
      <xdr:colOff>209550</xdr:colOff>
      <xdr:row>74</xdr:row>
      <xdr:rowOff>190500</xdr:rowOff>
    </xdr:to>
    <xdr:sp macro="[0]!Hide_Show_Doors_Windows" textlink="">
      <xdr:nvSpPr>
        <xdr:cNvPr id="111" name="Rounded Rectangle 110">
          <a:extLst>
            <a:ext uri="{FF2B5EF4-FFF2-40B4-BE49-F238E27FC236}">
              <a16:creationId xmlns:a16="http://schemas.microsoft.com/office/drawing/2014/main" id="{00000000-0008-0000-0C00-00006F000000}"/>
            </a:ext>
          </a:extLst>
        </xdr:cNvPr>
        <xdr:cNvSpPr/>
      </xdr:nvSpPr>
      <xdr:spPr>
        <a:xfrm>
          <a:off x="8629650" y="16954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75</xdr:row>
      <xdr:rowOff>28575</xdr:rowOff>
    </xdr:from>
    <xdr:to>
      <xdr:col>24</xdr:col>
      <xdr:colOff>209550</xdr:colOff>
      <xdr:row>75</xdr:row>
      <xdr:rowOff>190500</xdr:rowOff>
    </xdr:to>
    <xdr:sp macro="[0]!Hide_Show_Garage_Doors" textlink="">
      <xdr:nvSpPr>
        <xdr:cNvPr id="112" name="Rounded Rectangle 111">
          <a:extLst>
            <a:ext uri="{FF2B5EF4-FFF2-40B4-BE49-F238E27FC236}">
              <a16:creationId xmlns:a16="http://schemas.microsoft.com/office/drawing/2014/main" id="{00000000-0008-0000-0C00-000070000000}"/>
            </a:ext>
          </a:extLst>
        </xdr:cNvPr>
        <xdr:cNvSpPr/>
      </xdr:nvSpPr>
      <xdr:spPr>
        <a:xfrm>
          <a:off x="8629650" y="19335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76</xdr:row>
      <xdr:rowOff>28575</xdr:rowOff>
    </xdr:from>
    <xdr:to>
      <xdr:col>24</xdr:col>
      <xdr:colOff>209550</xdr:colOff>
      <xdr:row>76</xdr:row>
      <xdr:rowOff>190500</xdr:rowOff>
    </xdr:to>
    <xdr:sp macro="[0]!Hide_Show_Landscaping" textlink="">
      <xdr:nvSpPr>
        <xdr:cNvPr id="113" name="Rounded Rectangle 112">
          <a:extLst>
            <a:ext uri="{FF2B5EF4-FFF2-40B4-BE49-F238E27FC236}">
              <a16:creationId xmlns:a16="http://schemas.microsoft.com/office/drawing/2014/main" id="{00000000-0008-0000-0C00-000071000000}"/>
            </a:ext>
          </a:extLst>
        </xdr:cNvPr>
        <xdr:cNvSpPr/>
      </xdr:nvSpPr>
      <xdr:spPr>
        <a:xfrm>
          <a:off x="8629650" y="21717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77</xdr:row>
      <xdr:rowOff>28575</xdr:rowOff>
    </xdr:from>
    <xdr:to>
      <xdr:col>24</xdr:col>
      <xdr:colOff>209550</xdr:colOff>
      <xdr:row>77</xdr:row>
      <xdr:rowOff>190500</xdr:rowOff>
    </xdr:to>
    <xdr:sp macro="[0]!Hide_Show_Misc_Ext_Improvements" textlink="">
      <xdr:nvSpPr>
        <xdr:cNvPr id="114" name="Rounded Rectangle 113">
          <a:extLst>
            <a:ext uri="{FF2B5EF4-FFF2-40B4-BE49-F238E27FC236}">
              <a16:creationId xmlns:a16="http://schemas.microsoft.com/office/drawing/2014/main" id="{00000000-0008-0000-0C00-000072000000}"/>
            </a:ext>
          </a:extLst>
        </xdr:cNvPr>
        <xdr:cNvSpPr/>
      </xdr:nvSpPr>
      <xdr:spPr>
        <a:xfrm>
          <a:off x="8629650" y="24098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78</xdr:row>
      <xdr:rowOff>28575</xdr:rowOff>
    </xdr:from>
    <xdr:to>
      <xdr:col>24</xdr:col>
      <xdr:colOff>209550</xdr:colOff>
      <xdr:row>78</xdr:row>
      <xdr:rowOff>190500</xdr:rowOff>
    </xdr:to>
    <xdr:sp macro="[0]!Hide_Show_Framing_Drywall" textlink="">
      <xdr:nvSpPr>
        <xdr:cNvPr id="115" name="Rounded Rectangle 114">
          <a:extLst>
            <a:ext uri="{FF2B5EF4-FFF2-40B4-BE49-F238E27FC236}">
              <a16:creationId xmlns:a16="http://schemas.microsoft.com/office/drawing/2014/main" id="{00000000-0008-0000-0C00-000073000000}"/>
            </a:ext>
          </a:extLst>
        </xdr:cNvPr>
        <xdr:cNvSpPr/>
      </xdr:nvSpPr>
      <xdr:spPr>
        <a:xfrm>
          <a:off x="8629650" y="26479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79</xdr:row>
      <xdr:rowOff>28575</xdr:rowOff>
    </xdr:from>
    <xdr:to>
      <xdr:col>24</xdr:col>
      <xdr:colOff>209550</xdr:colOff>
      <xdr:row>79</xdr:row>
      <xdr:rowOff>190500</xdr:rowOff>
    </xdr:to>
    <xdr:sp macro="[0]!Hide_Show_Cabinets_Countertops" textlink="">
      <xdr:nvSpPr>
        <xdr:cNvPr id="116" name="Rounded Rectangle 115">
          <a:extLst>
            <a:ext uri="{FF2B5EF4-FFF2-40B4-BE49-F238E27FC236}">
              <a16:creationId xmlns:a16="http://schemas.microsoft.com/office/drawing/2014/main" id="{00000000-0008-0000-0C00-000074000000}"/>
            </a:ext>
          </a:extLst>
        </xdr:cNvPr>
        <xdr:cNvSpPr/>
      </xdr:nvSpPr>
      <xdr:spPr>
        <a:xfrm>
          <a:off x="8629650" y="28860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80</xdr:row>
      <xdr:rowOff>28575</xdr:rowOff>
    </xdr:from>
    <xdr:to>
      <xdr:col>24</xdr:col>
      <xdr:colOff>209550</xdr:colOff>
      <xdr:row>80</xdr:row>
      <xdr:rowOff>190500</xdr:rowOff>
    </xdr:to>
    <xdr:sp macro="[0]!Hide_Show_Doors_Trim" textlink="">
      <xdr:nvSpPr>
        <xdr:cNvPr id="117" name="Rounded Rectangle 116">
          <a:extLst>
            <a:ext uri="{FF2B5EF4-FFF2-40B4-BE49-F238E27FC236}">
              <a16:creationId xmlns:a16="http://schemas.microsoft.com/office/drawing/2014/main" id="{00000000-0008-0000-0C00-000075000000}"/>
            </a:ext>
          </a:extLst>
        </xdr:cNvPr>
        <xdr:cNvSpPr/>
      </xdr:nvSpPr>
      <xdr:spPr>
        <a:xfrm>
          <a:off x="8629650" y="31242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81</xdr:row>
      <xdr:rowOff>28575</xdr:rowOff>
    </xdr:from>
    <xdr:to>
      <xdr:col>24</xdr:col>
      <xdr:colOff>209550</xdr:colOff>
      <xdr:row>81</xdr:row>
      <xdr:rowOff>190500</xdr:rowOff>
    </xdr:to>
    <xdr:sp macro="[0]!Hide_Show_Carpet_Resilient" textlink="">
      <xdr:nvSpPr>
        <xdr:cNvPr id="118" name="Rounded Rectangle 117">
          <a:extLst>
            <a:ext uri="{FF2B5EF4-FFF2-40B4-BE49-F238E27FC236}">
              <a16:creationId xmlns:a16="http://schemas.microsoft.com/office/drawing/2014/main" id="{00000000-0008-0000-0C00-000076000000}"/>
            </a:ext>
          </a:extLst>
        </xdr:cNvPr>
        <xdr:cNvSpPr/>
      </xdr:nvSpPr>
      <xdr:spPr>
        <a:xfrm>
          <a:off x="8629650" y="33623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74</xdr:row>
      <xdr:rowOff>28575</xdr:rowOff>
    </xdr:from>
    <xdr:to>
      <xdr:col>35</xdr:col>
      <xdr:colOff>219075</xdr:colOff>
      <xdr:row>74</xdr:row>
      <xdr:rowOff>190500</xdr:rowOff>
    </xdr:to>
    <xdr:sp macro="[0]!Hide_Show_Hardwood_Flooring" textlink="">
      <xdr:nvSpPr>
        <xdr:cNvPr id="119" name="Rounded Rectangle 118">
          <a:extLst>
            <a:ext uri="{FF2B5EF4-FFF2-40B4-BE49-F238E27FC236}">
              <a16:creationId xmlns:a16="http://schemas.microsoft.com/office/drawing/2014/main" id="{00000000-0008-0000-0C00-000077000000}"/>
            </a:ext>
          </a:extLst>
        </xdr:cNvPr>
        <xdr:cNvSpPr/>
      </xdr:nvSpPr>
      <xdr:spPr>
        <a:xfrm>
          <a:off x="11887200" y="16954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75</xdr:row>
      <xdr:rowOff>28575</xdr:rowOff>
    </xdr:from>
    <xdr:to>
      <xdr:col>35</xdr:col>
      <xdr:colOff>219075</xdr:colOff>
      <xdr:row>75</xdr:row>
      <xdr:rowOff>190500</xdr:rowOff>
    </xdr:to>
    <xdr:sp macro="[0]!Hide_Show_Tiling" textlink="">
      <xdr:nvSpPr>
        <xdr:cNvPr id="120" name="Rounded Rectangle 119">
          <a:extLst>
            <a:ext uri="{FF2B5EF4-FFF2-40B4-BE49-F238E27FC236}">
              <a16:creationId xmlns:a16="http://schemas.microsoft.com/office/drawing/2014/main" id="{00000000-0008-0000-0C00-000078000000}"/>
            </a:ext>
          </a:extLst>
        </xdr:cNvPr>
        <xdr:cNvSpPr/>
      </xdr:nvSpPr>
      <xdr:spPr>
        <a:xfrm>
          <a:off x="11887200" y="19335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76</xdr:row>
      <xdr:rowOff>28575</xdr:rowOff>
    </xdr:from>
    <xdr:to>
      <xdr:col>35</xdr:col>
      <xdr:colOff>219075</xdr:colOff>
      <xdr:row>76</xdr:row>
      <xdr:rowOff>190500</xdr:rowOff>
    </xdr:to>
    <xdr:sp macro="[0]!Hide_Show_Painting" textlink="">
      <xdr:nvSpPr>
        <xdr:cNvPr id="121" name="Rounded Rectangle 120">
          <a:extLst>
            <a:ext uri="{FF2B5EF4-FFF2-40B4-BE49-F238E27FC236}">
              <a16:creationId xmlns:a16="http://schemas.microsoft.com/office/drawing/2014/main" id="{00000000-0008-0000-0C00-000079000000}"/>
            </a:ext>
          </a:extLst>
        </xdr:cNvPr>
        <xdr:cNvSpPr/>
      </xdr:nvSpPr>
      <xdr:spPr>
        <a:xfrm>
          <a:off x="11887200" y="21717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77</xdr:row>
      <xdr:rowOff>28575</xdr:rowOff>
    </xdr:from>
    <xdr:to>
      <xdr:col>35</xdr:col>
      <xdr:colOff>219075</xdr:colOff>
      <xdr:row>77</xdr:row>
      <xdr:rowOff>190500</xdr:rowOff>
    </xdr:to>
    <xdr:sp macro="[0]!Hide_Show_Appliances" textlink="">
      <xdr:nvSpPr>
        <xdr:cNvPr id="122" name="Rounded Rectangle 121">
          <a:extLst>
            <a:ext uri="{FF2B5EF4-FFF2-40B4-BE49-F238E27FC236}">
              <a16:creationId xmlns:a16="http://schemas.microsoft.com/office/drawing/2014/main" id="{00000000-0008-0000-0C00-00007A000000}"/>
            </a:ext>
          </a:extLst>
        </xdr:cNvPr>
        <xdr:cNvSpPr/>
      </xdr:nvSpPr>
      <xdr:spPr>
        <a:xfrm>
          <a:off x="11887200" y="24098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78</xdr:row>
      <xdr:rowOff>28575</xdr:rowOff>
    </xdr:from>
    <xdr:to>
      <xdr:col>35</xdr:col>
      <xdr:colOff>219075</xdr:colOff>
      <xdr:row>78</xdr:row>
      <xdr:rowOff>190500</xdr:rowOff>
    </xdr:to>
    <xdr:sp macro="[0]!Hide_Show_Plumbing" textlink="">
      <xdr:nvSpPr>
        <xdr:cNvPr id="123" name="Rounded Rectangle 122">
          <a:extLst>
            <a:ext uri="{FF2B5EF4-FFF2-40B4-BE49-F238E27FC236}">
              <a16:creationId xmlns:a16="http://schemas.microsoft.com/office/drawing/2014/main" id="{00000000-0008-0000-0C00-00007B000000}"/>
            </a:ext>
          </a:extLst>
        </xdr:cNvPr>
        <xdr:cNvSpPr/>
      </xdr:nvSpPr>
      <xdr:spPr>
        <a:xfrm>
          <a:off x="11887200" y="26479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79</xdr:row>
      <xdr:rowOff>28575</xdr:rowOff>
    </xdr:from>
    <xdr:to>
      <xdr:col>35</xdr:col>
      <xdr:colOff>219075</xdr:colOff>
      <xdr:row>79</xdr:row>
      <xdr:rowOff>190500</xdr:rowOff>
    </xdr:to>
    <xdr:sp macro="[0]!Hide_Show_HVAC" textlink="">
      <xdr:nvSpPr>
        <xdr:cNvPr id="124" name="Rounded Rectangle 123">
          <a:extLst>
            <a:ext uri="{FF2B5EF4-FFF2-40B4-BE49-F238E27FC236}">
              <a16:creationId xmlns:a16="http://schemas.microsoft.com/office/drawing/2014/main" id="{00000000-0008-0000-0C00-00007C000000}"/>
            </a:ext>
          </a:extLst>
        </xdr:cNvPr>
        <xdr:cNvSpPr/>
      </xdr:nvSpPr>
      <xdr:spPr>
        <a:xfrm>
          <a:off x="11887200" y="28860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80</xdr:row>
      <xdr:rowOff>28575</xdr:rowOff>
    </xdr:from>
    <xdr:to>
      <xdr:col>35</xdr:col>
      <xdr:colOff>219075</xdr:colOff>
      <xdr:row>80</xdr:row>
      <xdr:rowOff>190500</xdr:rowOff>
    </xdr:to>
    <xdr:sp macro="[0]!Hide_Show_Electrical" textlink="">
      <xdr:nvSpPr>
        <xdr:cNvPr id="125" name="Rounded Rectangle 124">
          <a:extLst>
            <a:ext uri="{FF2B5EF4-FFF2-40B4-BE49-F238E27FC236}">
              <a16:creationId xmlns:a16="http://schemas.microsoft.com/office/drawing/2014/main" id="{00000000-0008-0000-0C00-00007D000000}"/>
            </a:ext>
          </a:extLst>
        </xdr:cNvPr>
        <xdr:cNvSpPr/>
      </xdr:nvSpPr>
      <xdr:spPr>
        <a:xfrm>
          <a:off x="11887200" y="31242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81</xdr:row>
      <xdr:rowOff>28575</xdr:rowOff>
    </xdr:from>
    <xdr:to>
      <xdr:col>35</xdr:col>
      <xdr:colOff>219075</xdr:colOff>
      <xdr:row>81</xdr:row>
      <xdr:rowOff>190500</xdr:rowOff>
    </xdr:to>
    <xdr:sp macro="[0]!Hide_Show_Miscellaneous" textlink="">
      <xdr:nvSpPr>
        <xdr:cNvPr id="126" name="Rounded Rectangle 125">
          <a:extLst>
            <a:ext uri="{FF2B5EF4-FFF2-40B4-BE49-F238E27FC236}">
              <a16:creationId xmlns:a16="http://schemas.microsoft.com/office/drawing/2014/main" id="{00000000-0008-0000-0C00-00007E000000}"/>
            </a:ext>
          </a:extLst>
        </xdr:cNvPr>
        <xdr:cNvSpPr/>
      </xdr:nvSpPr>
      <xdr:spPr>
        <a:xfrm>
          <a:off x="11887200" y="33623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77</xdr:row>
      <xdr:rowOff>38100</xdr:rowOff>
    </xdr:from>
    <xdr:to>
      <xdr:col>13</xdr:col>
      <xdr:colOff>228600</xdr:colOff>
      <xdr:row>77</xdr:row>
      <xdr:rowOff>200025</xdr:rowOff>
    </xdr:to>
    <xdr:sp macro="[0]!Hide_Show_Concrete_Flatwork" textlink="">
      <xdr:nvSpPr>
        <xdr:cNvPr id="127" name="Rounded Rectangle 126">
          <a:extLst>
            <a:ext uri="{FF2B5EF4-FFF2-40B4-BE49-F238E27FC236}">
              <a16:creationId xmlns:a16="http://schemas.microsoft.com/office/drawing/2014/main" id="{00000000-0008-0000-0C00-00007F000000}"/>
            </a:ext>
          </a:extLst>
        </xdr:cNvPr>
        <xdr:cNvSpPr/>
      </xdr:nvSpPr>
      <xdr:spPr>
        <a:xfrm>
          <a:off x="5400675" y="24193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43</xdr:col>
      <xdr:colOff>112395</xdr:colOff>
      <xdr:row>5</xdr:row>
      <xdr:rowOff>104775</xdr:rowOff>
    </xdr:from>
    <xdr:to>
      <xdr:col>44</xdr:col>
      <xdr:colOff>194310</xdr:colOff>
      <xdr:row>6</xdr:row>
      <xdr:rowOff>156210</xdr:rowOff>
    </xdr:to>
    <xdr:pic macro="[0]!Hide_Repair_Estimator_Help">
      <xdr:nvPicPr>
        <xdr:cNvPr id="77" name="Getting_Started_Close_Icon">
          <a:extLst>
            <a:ext uri="{FF2B5EF4-FFF2-40B4-BE49-F238E27FC236}">
              <a16:creationId xmlns:a16="http://schemas.microsoft.com/office/drawing/2014/main" id="{00000000-0008-0000-0C00-00004D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4304645" y="904875"/>
          <a:ext cx="377190" cy="356235"/>
        </a:xfrm>
        <a:prstGeom prst="rect">
          <a:avLst/>
        </a:prstGeom>
      </xdr:spPr>
    </xdr:pic>
    <xdr:clientData/>
  </xdr:twoCellAnchor>
  <xdr:twoCellAnchor>
    <xdr:from>
      <xdr:col>35</xdr:col>
      <xdr:colOff>54348</xdr:colOff>
      <xdr:row>7</xdr:row>
      <xdr:rowOff>134470</xdr:rowOff>
    </xdr:from>
    <xdr:to>
      <xdr:col>39</xdr:col>
      <xdr:colOff>280931</xdr:colOff>
      <xdr:row>11</xdr:row>
      <xdr:rowOff>252580</xdr:rowOff>
    </xdr:to>
    <xdr:pic>
      <xdr:nvPicPr>
        <xdr:cNvPr id="75" name="Picture 74">
          <a:extLst>
            <a:ext uri="{FF2B5EF4-FFF2-40B4-BE49-F238E27FC236}">
              <a16:creationId xmlns:a16="http://schemas.microsoft.com/office/drawing/2014/main" id="{00000000-0008-0000-0C00-00004B000000}"/>
            </a:ext>
          </a:extLst>
        </xdr:cNvPr>
        <xdr:cNvPicPr>
          <a:picLocks noChangeAspect="1"/>
        </xdr:cNvPicPr>
      </xdr:nvPicPr>
      <xdr:blipFill>
        <a:blip xmlns:r="http://schemas.openxmlformats.org/officeDocument/2006/relationships" r:embed="rId11"/>
        <a:stretch>
          <a:fillRect/>
        </a:stretch>
      </xdr:blipFill>
      <xdr:spPr>
        <a:xfrm>
          <a:off x="11884398" y="1544170"/>
          <a:ext cx="1407683" cy="1337310"/>
        </a:xfrm>
        <a:prstGeom prst="rect">
          <a:avLst/>
        </a:prstGeom>
      </xdr:spPr>
    </xdr:pic>
    <xdr:clientData/>
  </xdr:twoCellAnchor>
  <xdr:twoCellAnchor editAs="oneCell">
    <xdr:from>
      <xdr:col>3</xdr:col>
      <xdr:colOff>0</xdr:colOff>
      <xdr:row>1170</xdr:row>
      <xdr:rowOff>9525</xdr:rowOff>
    </xdr:from>
    <xdr:to>
      <xdr:col>3</xdr:col>
      <xdr:colOff>287698</xdr:colOff>
      <xdr:row>1170</xdr:row>
      <xdr:rowOff>274691</xdr:rowOff>
    </xdr:to>
    <xdr:pic macro="[0]!Hide_Estimating_Checklist_Check1">
      <xdr:nvPicPr>
        <xdr:cNvPr id="76" name="Estimating_Checklist_Check1" hidden="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067425"/>
          <a:ext cx="283464" cy="283464"/>
        </a:xfrm>
        <a:prstGeom prst="rect">
          <a:avLst/>
        </a:prstGeom>
      </xdr:spPr>
    </xdr:pic>
    <xdr:clientData/>
  </xdr:twoCellAnchor>
  <xdr:twoCellAnchor editAs="oneCell">
    <xdr:from>
      <xdr:col>3</xdr:col>
      <xdr:colOff>0</xdr:colOff>
      <xdr:row>1172</xdr:row>
      <xdr:rowOff>0</xdr:rowOff>
    </xdr:from>
    <xdr:to>
      <xdr:col>3</xdr:col>
      <xdr:colOff>287698</xdr:colOff>
      <xdr:row>1172</xdr:row>
      <xdr:rowOff>274691</xdr:rowOff>
    </xdr:to>
    <xdr:pic macro="[0]!Hide_Estimating_Checklist_Check2">
      <xdr:nvPicPr>
        <xdr:cNvPr id="79" name="Estimating_Checklist_Check2" hidden="1">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343650"/>
          <a:ext cx="283464" cy="283464"/>
        </a:xfrm>
        <a:prstGeom prst="rect">
          <a:avLst/>
        </a:prstGeom>
      </xdr:spPr>
    </xdr:pic>
    <xdr:clientData/>
  </xdr:twoCellAnchor>
  <xdr:twoCellAnchor editAs="oneCell">
    <xdr:from>
      <xdr:col>3</xdr:col>
      <xdr:colOff>0</xdr:colOff>
      <xdr:row>1174</xdr:row>
      <xdr:rowOff>0</xdr:rowOff>
    </xdr:from>
    <xdr:to>
      <xdr:col>3</xdr:col>
      <xdr:colOff>287698</xdr:colOff>
      <xdr:row>1174</xdr:row>
      <xdr:rowOff>274691</xdr:rowOff>
    </xdr:to>
    <xdr:pic macro="[0]!Hide_Estimating_Checklist_Check3">
      <xdr:nvPicPr>
        <xdr:cNvPr id="128" name="Estimating_Checklist_Check3" hidden="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629400"/>
          <a:ext cx="283464" cy="283464"/>
        </a:xfrm>
        <a:prstGeom prst="rect">
          <a:avLst/>
        </a:prstGeom>
      </xdr:spPr>
    </xdr:pic>
    <xdr:clientData/>
  </xdr:twoCellAnchor>
  <xdr:twoCellAnchor editAs="oneCell">
    <xdr:from>
      <xdr:col>3</xdr:col>
      <xdr:colOff>0</xdr:colOff>
      <xdr:row>1178</xdr:row>
      <xdr:rowOff>0</xdr:rowOff>
    </xdr:from>
    <xdr:to>
      <xdr:col>3</xdr:col>
      <xdr:colOff>287698</xdr:colOff>
      <xdr:row>1178</xdr:row>
      <xdr:rowOff>274690</xdr:rowOff>
    </xdr:to>
    <xdr:pic macro="[0]!Hide_Estimating_Checklist_Check5">
      <xdr:nvPicPr>
        <xdr:cNvPr id="129" name="Estimating_Checklist_Check5" hidden="1">
          <a:extLst>
            <a:ext uri="{FF2B5EF4-FFF2-40B4-BE49-F238E27FC236}">
              <a16:creationId xmlns:a16="http://schemas.microsoft.com/office/drawing/2014/main" id="{00000000-0008-0000-0C00-000081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915150"/>
          <a:ext cx="283464" cy="283464"/>
        </a:xfrm>
        <a:prstGeom prst="rect">
          <a:avLst/>
        </a:prstGeom>
      </xdr:spPr>
    </xdr:pic>
    <xdr:clientData/>
  </xdr:twoCellAnchor>
  <xdr:twoCellAnchor editAs="oneCell">
    <xdr:from>
      <xdr:col>3</xdr:col>
      <xdr:colOff>9525</xdr:colOff>
      <xdr:row>1182</xdr:row>
      <xdr:rowOff>0</xdr:rowOff>
    </xdr:from>
    <xdr:to>
      <xdr:col>4</xdr:col>
      <xdr:colOff>1636</xdr:colOff>
      <xdr:row>1182</xdr:row>
      <xdr:rowOff>274691</xdr:rowOff>
    </xdr:to>
    <xdr:pic macro="[0]!Hide_Estimating_Checklist_Check7">
      <xdr:nvPicPr>
        <xdr:cNvPr id="130" name="Estimating_Checklist_Check7" hidden="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390775" y="22964775"/>
          <a:ext cx="283464" cy="281063"/>
        </a:xfrm>
        <a:prstGeom prst="rect">
          <a:avLst/>
        </a:prstGeom>
      </xdr:spPr>
    </xdr:pic>
    <xdr:clientData/>
  </xdr:twoCellAnchor>
  <xdr:oneCellAnchor>
    <xdr:from>
      <xdr:col>3</xdr:col>
      <xdr:colOff>0</xdr:colOff>
      <xdr:row>1176</xdr:row>
      <xdr:rowOff>0</xdr:rowOff>
    </xdr:from>
    <xdr:ext cx="283464" cy="283464"/>
    <xdr:pic macro="[0]!Hide_Estimating_Checklist_Check4">
      <xdr:nvPicPr>
        <xdr:cNvPr id="131" name="Estimating_Checklist_Check4" hidden="1">
          <a:extLst>
            <a:ext uri="{FF2B5EF4-FFF2-40B4-BE49-F238E27FC236}">
              <a16:creationId xmlns:a16="http://schemas.microsoft.com/office/drawing/2014/main" id="{00000000-0008-0000-0C00-000083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934200"/>
          <a:ext cx="283464" cy="283464"/>
        </a:xfrm>
        <a:prstGeom prst="rect">
          <a:avLst/>
        </a:prstGeom>
      </xdr:spPr>
    </xdr:pic>
    <xdr:clientData/>
  </xdr:oneCellAnchor>
  <xdr:twoCellAnchor>
    <xdr:from>
      <xdr:col>44</xdr:col>
      <xdr:colOff>104775</xdr:colOff>
      <xdr:row>46</xdr:row>
      <xdr:rowOff>123825</xdr:rowOff>
    </xdr:from>
    <xdr:to>
      <xdr:col>45</xdr:col>
      <xdr:colOff>186690</xdr:colOff>
      <xdr:row>47</xdr:row>
      <xdr:rowOff>175260</xdr:rowOff>
    </xdr:to>
    <xdr:pic macro="[0]!Hide_Location_Modifiers">
      <xdr:nvPicPr>
        <xdr:cNvPr id="135" name="Getting_Started_Close_Icon">
          <a:extLst>
            <a:ext uri="{FF2B5EF4-FFF2-40B4-BE49-F238E27FC236}">
              <a16:creationId xmlns:a16="http://schemas.microsoft.com/office/drawing/2014/main" id="{00000000-0008-0000-0C00-000087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4592300" y="13906500"/>
          <a:ext cx="377190" cy="356235"/>
        </a:xfrm>
        <a:prstGeom prst="rect">
          <a:avLst/>
        </a:prstGeom>
      </xdr:spPr>
    </xdr:pic>
    <xdr:clientData/>
  </xdr:twoCellAnchor>
  <xdr:twoCellAnchor>
    <xdr:from>
      <xdr:col>44</xdr:col>
      <xdr:colOff>123825</xdr:colOff>
      <xdr:row>1167</xdr:row>
      <xdr:rowOff>95250</xdr:rowOff>
    </xdr:from>
    <xdr:to>
      <xdr:col>45</xdr:col>
      <xdr:colOff>160020</xdr:colOff>
      <xdr:row>1168</xdr:row>
      <xdr:rowOff>289560</xdr:rowOff>
    </xdr:to>
    <xdr:pic>
      <xdr:nvPicPr>
        <xdr:cNvPr id="136" name="Picture 135">
          <a:extLst>
            <a:ext uri="{FF2B5EF4-FFF2-40B4-BE49-F238E27FC236}">
              <a16:creationId xmlns:a16="http://schemas.microsoft.com/office/drawing/2014/main" id="{00000000-0008-0000-0C00-000088000000}"/>
            </a:ext>
          </a:extLst>
        </xdr:cNvPr>
        <xdr:cNvPicPr>
          <a:picLocks/>
        </xdr:cNvPicPr>
      </xdr:nvPicPr>
      <xdr:blipFill>
        <a:blip xmlns:r="http://schemas.openxmlformats.org/officeDocument/2006/relationships" r:embed="rId13"/>
        <a:stretch>
          <a:fillRect/>
        </a:stretch>
      </xdr:blipFill>
      <xdr:spPr>
        <a:xfrm>
          <a:off x="14611350" y="19392900"/>
          <a:ext cx="331470" cy="346710"/>
        </a:xfrm>
        <a:prstGeom prst="rect">
          <a:avLst/>
        </a:prstGeom>
      </xdr:spPr>
    </xdr:pic>
    <xdr:clientData/>
  </xdr:twoCellAnchor>
  <xdr:oneCellAnchor>
    <xdr:from>
      <xdr:col>3</xdr:col>
      <xdr:colOff>9525</xdr:colOff>
      <xdr:row>1184</xdr:row>
      <xdr:rowOff>0</xdr:rowOff>
    </xdr:from>
    <xdr:ext cx="283464" cy="281063"/>
    <xdr:pic macro="[0]!Hide_Estimating_Checklist_Check8">
      <xdr:nvPicPr>
        <xdr:cNvPr id="140" name="Estimating_Checklist_Check8" hidden="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390775" y="22964775"/>
          <a:ext cx="283464" cy="281063"/>
        </a:xfrm>
        <a:prstGeom prst="rect">
          <a:avLst/>
        </a:prstGeom>
      </xdr:spPr>
    </xdr:pic>
    <xdr:clientData/>
  </xdr:oneCellAnchor>
  <xdr:twoCellAnchor>
    <xdr:from>
      <xdr:col>2</xdr:col>
      <xdr:colOff>152400</xdr:colOff>
      <xdr:row>75</xdr:row>
      <xdr:rowOff>38101</xdr:rowOff>
    </xdr:from>
    <xdr:to>
      <xdr:col>6</xdr:col>
      <xdr:colOff>266699</xdr:colOff>
      <xdr:row>75</xdr:row>
      <xdr:rowOff>209551</xdr:rowOff>
    </xdr:to>
    <xdr:sp macro="[0]!Show_Location_Modifiers" textlink="">
      <xdr:nvSpPr>
        <xdr:cNvPr id="141" name="TextBox 140">
          <a:extLst>
            <a:ext uri="{FF2B5EF4-FFF2-40B4-BE49-F238E27FC236}">
              <a16:creationId xmlns:a16="http://schemas.microsoft.com/office/drawing/2014/main" id="{00000000-0008-0000-0C00-00008D000000}"/>
            </a:ext>
          </a:extLst>
        </xdr:cNvPr>
        <xdr:cNvSpPr txBox="1"/>
      </xdr:nvSpPr>
      <xdr:spPr>
        <a:xfrm>
          <a:off x="2238375" y="1123951"/>
          <a:ext cx="12953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xdr:from>
      <xdr:col>20</xdr:col>
      <xdr:colOff>219075</xdr:colOff>
      <xdr:row>1177</xdr:row>
      <xdr:rowOff>180975</xdr:rowOff>
    </xdr:from>
    <xdr:to>
      <xdr:col>26</xdr:col>
      <xdr:colOff>28575</xdr:colOff>
      <xdr:row>1179</xdr:row>
      <xdr:rowOff>28575</xdr:rowOff>
    </xdr:to>
    <xdr:sp macro="[0]!Show_Location_Modifiers" textlink="">
      <xdr:nvSpPr>
        <xdr:cNvPr id="142" name="TextBox 141">
          <a:extLst>
            <a:ext uri="{FF2B5EF4-FFF2-40B4-BE49-F238E27FC236}">
              <a16:creationId xmlns:a16="http://schemas.microsoft.com/office/drawing/2014/main" id="{00000000-0008-0000-0C00-00008E000000}"/>
            </a:ext>
          </a:extLst>
        </xdr:cNvPr>
        <xdr:cNvSpPr txBox="1"/>
      </xdr:nvSpPr>
      <xdr:spPr>
        <a:xfrm>
          <a:off x="7620000" y="20726400"/>
          <a:ext cx="15811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xdr:from>
      <xdr:col>11</xdr:col>
      <xdr:colOff>180975</xdr:colOff>
      <xdr:row>1179</xdr:row>
      <xdr:rowOff>171450</xdr:rowOff>
    </xdr:from>
    <xdr:to>
      <xdr:col>16</xdr:col>
      <xdr:colOff>38100</xdr:colOff>
      <xdr:row>1181</xdr:row>
      <xdr:rowOff>19050</xdr:rowOff>
    </xdr:to>
    <xdr:sp macro="[0]!Jump_to_Building_Permit_Cell" textlink="">
      <xdr:nvSpPr>
        <xdr:cNvPr id="144" name="TextBox 143">
          <a:extLst>
            <a:ext uri="{FF2B5EF4-FFF2-40B4-BE49-F238E27FC236}">
              <a16:creationId xmlns:a16="http://schemas.microsoft.com/office/drawing/2014/main" id="{00000000-0008-0000-0C00-000090000000}"/>
            </a:ext>
          </a:extLst>
        </xdr:cNvPr>
        <xdr:cNvSpPr txBox="1"/>
      </xdr:nvSpPr>
      <xdr:spPr>
        <a:xfrm>
          <a:off x="4924425" y="21193125"/>
          <a:ext cx="13335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xdr:from>
      <xdr:col>29</xdr:col>
      <xdr:colOff>104774</xdr:colOff>
      <xdr:row>1181</xdr:row>
      <xdr:rowOff>171450</xdr:rowOff>
    </xdr:from>
    <xdr:to>
      <xdr:col>36</xdr:col>
      <xdr:colOff>238124</xdr:colOff>
      <xdr:row>1183</xdr:row>
      <xdr:rowOff>19050</xdr:rowOff>
    </xdr:to>
    <xdr:sp macro="[0]!Jump_to_Contractors_Overhead_Cell" textlink="">
      <xdr:nvSpPr>
        <xdr:cNvPr id="145" name="TextBox 144">
          <a:extLst>
            <a:ext uri="{FF2B5EF4-FFF2-40B4-BE49-F238E27FC236}">
              <a16:creationId xmlns:a16="http://schemas.microsoft.com/office/drawing/2014/main" id="{00000000-0008-0000-0C00-000091000000}"/>
            </a:ext>
          </a:extLst>
        </xdr:cNvPr>
        <xdr:cNvSpPr txBox="1"/>
      </xdr:nvSpPr>
      <xdr:spPr>
        <a:xfrm>
          <a:off x="10163174" y="21669375"/>
          <a:ext cx="22002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xdr:from>
      <xdr:col>8</xdr:col>
      <xdr:colOff>266700</xdr:colOff>
      <xdr:row>1184</xdr:row>
      <xdr:rowOff>0</xdr:rowOff>
    </xdr:from>
    <xdr:to>
      <xdr:col>15</xdr:col>
      <xdr:colOff>95250</xdr:colOff>
      <xdr:row>1185</xdr:row>
      <xdr:rowOff>38100</xdr:rowOff>
    </xdr:to>
    <xdr:sp macro="[0]!Jump_to_Contingency_Cell" textlink="">
      <xdr:nvSpPr>
        <xdr:cNvPr id="146" name="TextBox 145">
          <a:extLst>
            <a:ext uri="{FF2B5EF4-FFF2-40B4-BE49-F238E27FC236}">
              <a16:creationId xmlns:a16="http://schemas.microsoft.com/office/drawing/2014/main" id="{00000000-0008-0000-0C00-000092000000}"/>
            </a:ext>
          </a:extLst>
        </xdr:cNvPr>
        <xdr:cNvSpPr txBox="1"/>
      </xdr:nvSpPr>
      <xdr:spPr>
        <a:xfrm>
          <a:off x="4124325" y="22164675"/>
          <a:ext cx="1895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editAs="oneCell">
    <xdr:from>
      <xdr:col>2</xdr:col>
      <xdr:colOff>161925</xdr:colOff>
      <xdr:row>83</xdr:row>
      <xdr:rowOff>47625</xdr:rowOff>
    </xdr:from>
    <xdr:to>
      <xdr:col>2</xdr:col>
      <xdr:colOff>274425</xdr:colOff>
      <xdr:row>83</xdr:row>
      <xdr:rowOff>141204</xdr:rowOff>
    </xdr:to>
    <xdr:pic macro="[0]!HELP_DIY">
      <xdr:nvPicPr>
        <xdr:cNvPr id="147" name="Picture 146">
          <a:extLst>
            <a:ext uri="{FF2B5EF4-FFF2-40B4-BE49-F238E27FC236}">
              <a16:creationId xmlns:a16="http://schemas.microsoft.com/office/drawing/2014/main" id="{00000000-0008-0000-0C00-000093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247900" y="3505200"/>
          <a:ext cx="118872" cy="91440"/>
        </a:xfrm>
        <a:prstGeom prst="rect">
          <a:avLst/>
        </a:prstGeom>
      </xdr:spPr>
    </xdr:pic>
    <xdr:clientData/>
  </xdr:twoCellAnchor>
  <xdr:twoCellAnchor editAs="oneCell">
    <xdr:from>
      <xdr:col>3</xdr:col>
      <xdr:colOff>0</xdr:colOff>
      <xdr:row>1180</xdr:row>
      <xdr:rowOff>0</xdr:rowOff>
    </xdr:from>
    <xdr:to>
      <xdr:col>3</xdr:col>
      <xdr:colOff>287698</xdr:colOff>
      <xdr:row>1180</xdr:row>
      <xdr:rowOff>274690</xdr:rowOff>
    </xdr:to>
    <xdr:pic macro="[0]!Hide_Estimating_Checklist_Check6">
      <xdr:nvPicPr>
        <xdr:cNvPr id="148" name="Estimating_Checklist_Check6" hidden="1">
          <a:extLst>
            <a:ext uri="{FF2B5EF4-FFF2-40B4-BE49-F238E27FC236}">
              <a16:creationId xmlns:a16="http://schemas.microsoft.com/office/drawing/2014/main" id="{00000000-0008-0000-0C00-000094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381250" y="14058900"/>
          <a:ext cx="283464" cy="281062"/>
        </a:xfrm>
        <a:prstGeom prst="rect">
          <a:avLst/>
        </a:prstGeom>
      </xdr:spPr>
    </xdr:pic>
    <xdr:clientData/>
  </xdr:twoCellAnchor>
  <xdr:twoCellAnchor>
    <xdr:from>
      <xdr:col>0</xdr:col>
      <xdr:colOff>523876</xdr:colOff>
      <xdr:row>2</xdr:row>
      <xdr:rowOff>57150</xdr:rowOff>
    </xdr:from>
    <xdr:to>
      <xdr:col>0</xdr:col>
      <xdr:colOff>1333500</xdr:colOff>
      <xdr:row>2</xdr:row>
      <xdr:rowOff>238125</xdr:rowOff>
    </xdr:to>
    <xdr:sp macro="[0]!Key_Repair_Cost_Estimator" textlink="">
      <xdr:nvSpPr>
        <xdr:cNvPr id="132" name="TextBox 131">
          <a:extLst>
            <a:ext uri="{FF2B5EF4-FFF2-40B4-BE49-F238E27FC236}">
              <a16:creationId xmlns:a16="http://schemas.microsoft.com/office/drawing/2014/main" id="{00000000-0008-0000-0C00-000084000000}"/>
            </a:ext>
          </a:extLst>
        </xdr:cNvPr>
        <xdr:cNvSpPr txBox="1"/>
      </xdr:nvSpPr>
      <xdr:spPr>
        <a:xfrm>
          <a:off x="523876" y="628650"/>
          <a:ext cx="809624"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editAs="oneCell">
    <xdr:from>
      <xdr:col>0</xdr:col>
      <xdr:colOff>239183</xdr:colOff>
      <xdr:row>2</xdr:row>
      <xdr:rowOff>17995</xdr:rowOff>
    </xdr:from>
    <xdr:to>
      <xdr:col>0</xdr:col>
      <xdr:colOff>465644</xdr:colOff>
      <xdr:row>2</xdr:row>
      <xdr:rowOff>248704</xdr:rowOff>
    </xdr:to>
    <xdr:pic macro="[0]!Key_Repair_Cost_Estimator">
      <xdr:nvPicPr>
        <xdr:cNvPr id="133" name="Estimator_Unlock_Icon" hidden="1">
          <a:extLst>
            <a:ext uri="{FF2B5EF4-FFF2-40B4-BE49-F238E27FC236}">
              <a16:creationId xmlns:a16="http://schemas.microsoft.com/office/drawing/2014/main" id="{00000000-0008-0000-0C00-000085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39183" y="690348"/>
          <a:ext cx="226475" cy="226475"/>
        </a:xfrm>
        <a:prstGeom prst="rect">
          <a:avLst/>
        </a:prstGeom>
      </xdr:spPr>
    </xdr:pic>
    <xdr:clientData/>
  </xdr:twoCellAnchor>
  <xdr:twoCellAnchor>
    <xdr:from>
      <xdr:col>39</xdr:col>
      <xdr:colOff>114300</xdr:colOff>
      <xdr:row>2</xdr:row>
      <xdr:rowOff>1</xdr:rowOff>
    </xdr:from>
    <xdr:to>
      <xdr:col>45</xdr:col>
      <xdr:colOff>218017</xdr:colOff>
      <xdr:row>3</xdr:row>
      <xdr:rowOff>16933</xdr:rowOff>
    </xdr:to>
    <xdr:sp macro="[0]!Navigate_Repair_Estimate_Reports" textlink="">
      <xdr:nvSpPr>
        <xdr:cNvPr id="165" name="TextBox 164">
          <a:extLst>
            <a:ext uri="{FF2B5EF4-FFF2-40B4-BE49-F238E27FC236}">
              <a16:creationId xmlns:a16="http://schemas.microsoft.com/office/drawing/2014/main" id="{E9DF08AF-960D-4B93-A172-45F9BCE7ECDF}"/>
            </a:ext>
          </a:extLst>
        </xdr:cNvPr>
        <xdr:cNvSpPr txBox="1"/>
      </xdr:nvSpPr>
      <xdr:spPr>
        <a:xfrm>
          <a:off x="12811125" y="666751"/>
          <a:ext cx="1875367" cy="302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0" u="none">
              <a:solidFill>
                <a:srgbClr val="289FE8"/>
              </a:solidFill>
              <a:latin typeface="Calibri Light" panose="020F0302020204030204" pitchFamily="34" charset="0"/>
            </a:rPr>
            <a:t>Print Estimate Report</a:t>
          </a:r>
        </a:p>
      </xdr:txBody>
    </xdr:sp>
    <xdr:clientData/>
  </xdr:twoCellAnchor>
  <xdr:twoCellAnchor editAs="oneCell">
    <xdr:from>
      <xdr:col>39</xdr:col>
      <xdr:colOff>91015</xdr:colOff>
      <xdr:row>2</xdr:row>
      <xdr:rowOff>38100</xdr:rowOff>
    </xdr:from>
    <xdr:to>
      <xdr:col>40</xdr:col>
      <xdr:colOff>26470</xdr:colOff>
      <xdr:row>2</xdr:row>
      <xdr:rowOff>266700</xdr:rowOff>
    </xdr:to>
    <xdr:pic macro="[0]!Navigate_Repair_Estimate_Reports">
      <xdr:nvPicPr>
        <xdr:cNvPr id="5" name="Picture 4">
          <a:extLst>
            <a:ext uri="{FF2B5EF4-FFF2-40B4-BE49-F238E27FC236}">
              <a16:creationId xmlns:a16="http://schemas.microsoft.com/office/drawing/2014/main" id="{83F387D9-D609-4581-A445-218CC964F625}"/>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2787840" y="704850"/>
          <a:ext cx="228600" cy="228600"/>
        </a:xfrm>
        <a:prstGeom prst="rect">
          <a:avLst/>
        </a:prstGeom>
      </xdr:spPr>
    </xdr:pic>
    <xdr:clientData/>
  </xdr:twoCellAnchor>
  <xdr:twoCellAnchor editAs="absolute">
    <xdr:from>
      <xdr:col>38</xdr:col>
      <xdr:colOff>85089</xdr:colOff>
      <xdr:row>0</xdr:row>
      <xdr:rowOff>163172</xdr:rowOff>
    </xdr:from>
    <xdr:to>
      <xdr:col>39</xdr:col>
      <xdr:colOff>67735</xdr:colOff>
      <xdr:row>0</xdr:row>
      <xdr:rowOff>436457</xdr:rowOff>
    </xdr:to>
    <xdr:pic macro="[0]!Hide_Repair_Cost_Estimator">
      <xdr:nvPicPr>
        <xdr:cNvPr id="184" name="Picture 183">
          <a:extLst>
            <a:ext uri="{FF2B5EF4-FFF2-40B4-BE49-F238E27FC236}">
              <a16:creationId xmlns:a16="http://schemas.microsoft.com/office/drawing/2014/main" id="{68865C2E-D60C-45CE-83BE-A43FBFD188DD}"/>
            </a:ext>
          </a:extLst>
        </xdr:cNvPr>
        <xdr:cNvPicPr>
          <a:picLocks noChangeAspect="1"/>
        </xdr:cNvPicPr>
      </xdr:nvPicPr>
      <xdr:blipFill>
        <a:blip xmlns:r="http://schemas.openxmlformats.org/officeDocument/2006/relationships" r:embed="rId17"/>
        <a:stretch>
          <a:fillRect/>
        </a:stretch>
      </xdr:blipFill>
      <xdr:spPr>
        <a:xfrm>
          <a:off x="12487699" y="159999"/>
          <a:ext cx="275801" cy="278575"/>
        </a:xfrm>
        <a:prstGeom prst="rect">
          <a:avLst/>
        </a:prstGeom>
      </xdr:spPr>
    </xdr:pic>
    <xdr:clientData/>
  </xdr:twoCellAnchor>
  <xdr:twoCellAnchor>
    <xdr:from>
      <xdr:col>34</xdr:col>
      <xdr:colOff>142875</xdr:colOff>
      <xdr:row>14</xdr:row>
      <xdr:rowOff>285750</xdr:rowOff>
    </xdr:from>
    <xdr:to>
      <xdr:col>40</xdr:col>
      <xdr:colOff>190500</xdr:colOff>
      <xdr:row>15</xdr:row>
      <xdr:rowOff>238125</xdr:rowOff>
    </xdr:to>
    <xdr:sp macro="" textlink="">
      <xdr:nvSpPr>
        <xdr:cNvPr id="4" name="Rectangle 3">
          <a:hlinkClick xmlns:r="http://schemas.openxmlformats.org/officeDocument/2006/relationships" r:id="rId18"/>
          <a:extLst>
            <a:ext uri="{FF2B5EF4-FFF2-40B4-BE49-F238E27FC236}">
              <a16:creationId xmlns:a16="http://schemas.microsoft.com/office/drawing/2014/main" id="{46416BBA-6681-4299-9AF0-697C58826143}"/>
            </a:ext>
          </a:extLst>
        </xdr:cNvPr>
        <xdr:cNvSpPr/>
      </xdr:nvSpPr>
      <xdr:spPr>
        <a:xfrm>
          <a:off x="11382375" y="4219575"/>
          <a:ext cx="1819275" cy="25717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34</xdr:col>
      <xdr:colOff>142875</xdr:colOff>
      <xdr:row>16</xdr:row>
      <xdr:rowOff>9525</xdr:rowOff>
    </xdr:from>
    <xdr:to>
      <xdr:col>40</xdr:col>
      <xdr:colOff>190500</xdr:colOff>
      <xdr:row>16</xdr:row>
      <xdr:rowOff>266700</xdr:rowOff>
    </xdr:to>
    <xdr:sp macro="" textlink="">
      <xdr:nvSpPr>
        <xdr:cNvPr id="134" name="Rectangle 133">
          <a:hlinkClick xmlns:r="http://schemas.openxmlformats.org/officeDocument/2006/relationships" r:id="rId19"/>
          <a:extLst>
            <a:ext uri="{FF2B5EF4-FFF2-40B4-BE49-F238E27FC236}">
              <a16:creationId xmlns:a16="http://schemas.microsoft.com/office/drawing/2014/main" id="{257508AD-3DD4-4A15-8A3E-D7E6112A5720}"/>
            </a:ext>
          </a:extLst>
        </xdr:cNvPr>
        <xdr:cNvSpPr/>
      </xdr:nvSpPr>
      <xdr:spPr>
        <a:xfrm>
          <a:off x="11382375" y="4552950"/>
          <a:ext cx="1819275" cy="25717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34</xdr:col>
      <xdr:colOff>95250</xdr:colOff>
      <xdr:row>17</xdr:row>
      <xdr:rowOff>19050</xdr:rowOff>
    </xdr:from>
    <xdr:to>
      <xdr:col>40</xdr:col>
      <xdr:colOff>142875</xdr:colOff>
      <xdr:row>17</xdr:row>
      <xdr:rowOff>276225</xdr:rowOff>
    </xdr:to>
    <xdr:sp macro="" textlink="">
      <xdr:nvSpPr>
        <xdr:cNvPr id="138" name="Rectangle 137">
          <a:hlinkClick xmlns:r="http://schemas.openxmlformats.org/officeDocument/2006/relationships" r:id="rId20"/>
          <a:extLst>
            <a:ext uri="{FF2B5EF4-FFF2-40B4-BE49-F238E27FC236}">
              <a16:creationId xmlns:a16="http://schemas.microsoft.com/office/drawing/2014/main" id="{5C8DDE1C-4FF6-47B2-9162-86D2356EAC40}"/>
            </a:ext>
          </a:extLst>
        </xdr:cNvPr>
        <xdr:cNvSpPr/>
      </xdr:nvSpPr>
      <xdr:spPr>
        <a:xfrm>
          <a:off x="11334750" y="4867275"/>
          <a:ext cx="1819275" cy="25717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34</xdr:col>
      <xdr:colOff>95250</xdr:colOff>
      <xdr:row>18</xdr:row>
      <xdr:rowOff>19050</xdr:rowOff>
    </xdr:from>
    <xdr:to>
      <xdr:col>40</xdr:col>
      <xdr:colOff>142875</xdr:colOff>
      <xdr:row>18</xdr:row>
      <xdr:rowOff>276225</xdr:rowOff>
    </xdr:to>
    <xdr:sp macro="" textlink="">
      <xdr:nvSpPr>
        <xdr:cNvPr id="139" name="Rectangle 138">
          <a:hlinkClick xmlns:r="http://schemas.openxmlformats.org/officeDocument/2006/relationships" r:id="rId21"/>
          <a:extLst>
            <a:ext uri="{FF2B5EF4-FFF2-40B4-BE49-F238E27FC236}">
              <a16:creationId xmlns:a16="http://schemas.microsoft.com/office/drawing/2014/main" id="{6EF241F3-CF1A-4711-BC10-5A9F81EC6F1B}"/>
            </a:ext>
          </a:extLst>
        </xdr:cNvPr>
        <xdr:cNvSpPr/>
      </xdr:nvSpPr>
      <xdr:spPr>
        <a:xfrm>
          <a:off x="11334750" y="5172075"/>
          <a:ext cx="1819275" cy="25717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absolute">
    <xdr:from>
      <xdr:col>17</xdr:col>
      <xdr:colOff>84646</xdr:colOff>
      <xdr:row>2</xdr:row>
      <xdr:rowOff>86362</xdr:rowOff>
    </xdr:from>
    <xdr:to>
      <xdr:col>29</xdr:col>
      <xdr:colOff>162964</xdr:colOff>
      <xdr:row>2</xdr:row>
      <xdr:rowOff>86362</xdr:rowOff>
    </xdr:to>
    <xdr:cxnSp macro="">
      <xdr:nvCxnSpPr>
        <xdr:cNvPr id="143" name="Straight Connector 142">
          <a:extLst>
            <a:ext uri="{FF2B5EF4-FFF2-40B4-BE49-F238E27FC236}">
              <a16:creationId xmlns:a16="http://schemas.microsoft.com/office/drawing/2014/main" id="{F3F7164A-0EB3-43EA-9F81-CE15765632FF}"/>
            </a:ext>
          </a:extLst>
        </xdr:cNvPr>
        <xdr:cNvCxnSpPr>
          <a:cxnSpLocks noChangeAspect="1"/>
        </xdr:cNvCxnSpPr>
      </xdr:nvCxnSpPr>
      <xdr:spPr>
        <a:xfrm>
          <a:off x="6288615" y="752073"/>
          <a:ext cx="3617385" cy="0"/>
        </a:xfrm>
        <a:prstGeom prst="line">
          <a:avLst/>
        </a:prstGeom>
        <a:ln>
          <a:solidFill>
            <a:schemeClr val="tx1">
              <a:lumMod val="50000"/>
              <a:lumOff val="50000"/>
            </a:schemeClr>
          </a:solidFill>
          <a:tailEnd type="triangle" w="med"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20</xdr:col>
      <xdr:colOff>134408</xdr:colOff>
      <xdr:row>1</xdr:row>
      <xdr:rowOff>77257</xdr:rowOff>
    </xdr:from>
    <xdr:to>
      <xdr:col>21</xdr:col>
      <xdr:colOff>65636</xdr:colOff>
      <xdr:row>2</xdr:row>
      <xdr:rowOff>210148</xdr:rowOff>
    </xdr:to>
    <xdr:sp macro="[0]!Navigate_Rehab_Analyzer" textlink="">
      <xdr:nvSpPr>
        <xdr:cNvPr id="152" name="Flowchart: Connector 151">
          <a:extLst>
            <a:ext uri="{FF2B5EF4-FFF2-40B4-BE49-F238E27FC236}">
              <a16:creationId xmlns:a16="http://schemas.microsoft.com/office/drawing/2014/main" id="{011297F8-1E2A-4CCD-BC8A-7F95E96ED249}"/>
            </a:ext>
          </a:extLst>
        </xdr:cNvPr>
        <xdr:cNvSpPr>
          <a:spLocks noChangeAspect="1"/>
        </xdr:cNvSpPr>
      </xdr:nvSpPr>
      <xdr:spPr>
        <a:xfrm>
          <a:off x="7218891" y="648757"/>
          <a:ext cx="229659" cy="226024"/>
        </a:xfrm>
        <a:prstGeom prst="flowChartConnector">
          <a:avLst/>
        </a:prstGeom>
        <a:solidFill>
          <a:schemeClr val="bg1"/>
        </a:solidFill>
        <a:ln w="76200">
          <a:solidFill>
            <a:schemeClr val="bg1">
              <a:lumMod val="9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25</xdr:col>
      <xdr:colOff>151340</xdr:colOff>
      <xdr:row>1</xdr:row>
      <xdr:rowOff>64575</xdr:rowOff>
    </xdr:from>
    <xdr:to>
      <xdr:col>26</xdr:col>
      <xdr:colOff>84645</xdr:colOff>
      <xdr:row>2</xdr:row>
      <xdr:rowOff>201664</xdr:rowOff>
    </xdr:to>
    <xdr:sp macro="[0]!Navigate_Repair_Estimator" textlink="">
      <xdr:nvSpPr>
        <xdr:cNvPr id="159" name="Flowchart: Connector 158">
          <a:extLst>
            <a:ext uri="{FF2B5EF4-FFF2-40B4-BE49-F238E27FC236}">
              <a16:creationId xmlns:a16="http://schemas.microsoft.com/office/drawing/2014/main" id="{6D45355B-88D3-49CE-B75F-0066E2FAF313}"/>
            </a:ext>
          </a:extLst>
        </xdr:cNvPr>
        <xdr:cNvSpPr>
          <a:spLocks noChangeAspect="1"/>
        </xdr:cNvSpPr>
      </xdr:nvSpPr>
      <xdr:spPr>
        <a:xfrm>
          <a:off x="8714315" y="637114"/>
          <a:ext cx="231774" cy="230261"/>
        </a:xfrm>
        <a:prstGeom prst="flowChartConnector">
          <a:avLst/>
        </a:prstGeom>
        <a:solidFill>
          <a:srgbClr val="398CCC"/>
        </a:solidFill>
        <a:ln w="76200">
          <a:solidFill>
            <a:schemeClr val="bg1">
              <a:lumMod val="9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19</xdr:col>
      <xdr:colOff>46547</xdr:colOff>
      <xdr:row>2</xdr:row>
      <xdr:rowOff>170391</xdr:rowOff>
    </xdr:from>
    <xdr:to>
      <xdr:col>22</xdr:col>
      <xdr:colOff>153458</xdr:colOff>
      <xdr:row>3</xdr:row>
      <xdr:rowOff>66692</xdr:rowOff>
    </xdr:to>
    <xdr:sp macro="[0]!Navigate_Rehab_Analyzer" textlink="">
      <xdr:nvSpPr>
        <xdr:cNvPr id="161" name="TextBox 160">
          <a:extLst>
            <a:ext uri="{FF2B5EF4-FFF2-40B4-BE49-F238E27FC236}">
              <a16:creationId xmlns:a16="http://schemas.microsoft.com/office/drawing/2014/main" id="{3B8DD4C6-DE01-4872-BC77-410273730CDA}"/>
            </a:ext>
          </a:extLst>
        </xdr:cNvPr>
        <xdr:cNvSpPr txBox="1">
          <a:spLocks noChangeAspect="1"/>
        </xdr:cNvSpPr>
      </xdr:nvSpPr>
      <xdr:spPr>
        <a:xfrm>
          <a:off x="6841066" y="839258"/>
          <a:ext cx="989542" cy="180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0" u="none">
              <a:solidFill>
                <a:schemeClr val="tx1">
                  <a:lumMod val="75000"/>
                  <a:lumOff val="25000"/>
                </a:schemeClr>
              </a:solidFill>
              <a:latin typeface="Calibri Light" panose="020F0302020204030204" pitchFamily="34" charset="0"/>
              <a:cs typeface="Calibri Light" panose="020F0302020204030204" pitchFamily="34" charset="0"/>
            </a:rPr>
            <a:t>Analyze</a:t>
          </a:r>
        </a:p>
      </xdr:txBody>
    </xdr:sp>
    <xdr:clientData/>
  </xdr:twoCellAnchor>
  <xdr:twoCellAnchor editAs="absolute">
    <xdr:from>
      <xdr:col>24</xdr:col>
      <xdr:colOff>77258</xdr:colOff>
      <xdr:row>2</xdr:row>
      <xdr:rowOff>161906</xdr:rowOff>
    </xdr:from>
    <xdr:to>
      <xdr:col>27</xdr:col>
      <xdr:colOff>179937</xdr:colOff>
      <xdr:row>3</xdr:row>
      <xdr:rowOff>58208</xdr:rowOff>
    </xdr:to>
    <xdr:sp macro="[0]!Navigate_Repair_Estimator" textlink="">
      <xdr:nvSpPr>
        <xdr:cNvPr id="163" name="TextBox 162">
          <a:extLst>
            <a:ext uri="{FF2B5EF4-FFF2-40B4-BE49-F238E27FC236}">
              <a16:creationId xmlns:a16="http://schemas.microsoft.com/office/drawing/2014/main" id="{80D53916-420D-46F3-BB10-526FF2299F4B}"/>
            </a:ext>
          </a:extLst>
        </xdr:cNvPr>
        <xdr:cNvSpPr txBox="1">
          <a:spLocks noChangeAspect="1"/>
        </xdr:cNvSpPr>
      </xdr:nvSpPr>
      <xdr:spPr>
        <a:xfrm>
          <a:off x="8344958" y="827617"/>
          <a:ext cx="989543" cy="180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solidFill>
                <a:schemeClr val="tx1">
                  <a:lumMod val="75000"/>
                  <a:lumOff val="25000"/>
                </a:schemeClr>
              </a:solidFill>
              <a:latin typeface="Calibri Light" panose="020F0302020204030204" pitchFamily="34" charset="0"/>
            </a:rPr>
            <a:t>Estimate</a:t>
          </a:r>
        </a:p>
      </xdr:txBody>
    </xdr:sp>
    <xdr:clientData/>
  </xdr:twoCellAnchor>
  <xdr:twoCellAnchor editAs="absolute">
    <xdr:from>
      <xdr:col>15</xdr:col>
      <xdr:colOff>10564</xdr:colOff>
      <xdr:row>2</xdr:row>
      <xdr:rowOff>178875</xdr:rowOff>
    </xdr:from>
    <xdr:to>
      <xdr:col>18</xdr:col>
      <xdr:colOff>113242</xdr:colOff>
      <xdr:row>3</xdr:row>
      <xdr:rowOff>75141</xdr:rowOff>
    </xdr:to>
    <xdr:sp macro="[0]!Navigate_Info_Sheet" textlink="">
      <xdr:nvSpPr>
        <xdr:cNvPr id="164" name="TextBox 163">
          <a:extLst>
            <a:ext uri="{FF2B5EF4-FFF2-40B4-BE49-F238E27FC236}">
              <a16:creationId xmlns:a16="http://schemas.microsoft.com/office/drawing/2014/main" id="{0334EF4A-451B-429A-9C8F-5F33B29E2667}"/>
            </a:ext>
          </a:extLst>
        </xdr:cNvPr>
        <xdr:cNvSpPr txBox="1">
          <a:spLocks noChangeAspect="1"/>
        </xdr:cNvSpPr>
      </xdr:nvSpPr>
      <xdr:spPr>
        <a:xfrm>
          <a:off x="5619750" y="846664"/>
          <a:ext cx="989542" cy="180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0">
              <a:solidFill>
                <a:schemeClr val="tx1">
                  <a:lumMod val="75000"/>
                  <a:lumOff val="25000"/>
                </a:schemeClr>
              </a:solidFill>
              <a:latin typeface="Calibri Light" panose="020F0302020204030204" pitchFamily="34" charset="0"/>
            </a:rPr>
            <a:t>Setup</a:t>
          </a:r>
        </a:p>
      </xdr:txBody>
    </xdr:sp>
    <xdr:clientData/>
  </xdr:twoCellAnchor>
  <xdr:twoCellAnchor editAs="absolute">
    <xdr:from>
      <xdr:col>16</xdr:col>
      <xdr:colOff>86764</xdr:colOff>
      <xdr:row>1</xdr:row>
      <xdr:rowOff>55033</xdr:rowOff>
    </xdr:from>
    <xdr:to>
      <xdr:col>17</xdr:col>
      <xdr:colOff>37042</xdr:colOff>
      <xdr:row>2</xdr:row>
      <xdr:rowOff>209550</xdr:rowOff>
    </xdr:to>
    <xdr:pic macro="[0]!Navigate_Info_Sheet">
      <xdr:nvPicPr>
        <xdr:cNvPr id="185" name="Picture 184">
          <a:extLst>
            <a:ext uri="{FF2B5EF4-FFF2-40B4-BE49-F238E27FC236}">
              <a16:creationId xmlns:a16="http://schemas.microsoft.com/office/drawing/2014/main" id="{2047EE13-FED0-4CE3-BE44-9C31EA341798}"/>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5991225" y="628650"/>
          <a:ext cx="246592" cy="245533"/>
        </a:xfrm>
        <a:prstGeom prst="rect">
          <a:avLst/>
        </a:prstGeom>
      </xdr:spPr>
    </xdr:pic>
    <xdr:clientData/>
  </xdr:twoCellAnchor>
  <xdr:twoCellAnchor editAs="oneCell">
    <xdr:from>
      <xdr:col>44</xdr:col>
      <xdr:colOff>266700</xdr:colOff>
      <xdr:row>73</xdr:row>
      <xdr:rowOff>28575</xdr:rowOff>
    </xdr:from>
    <xdr:to>
      <xdr:col>45</xdr:col>
      <xdr:colOff>200045</xdr:colOff>
      <xdr:row>73</xdr:row>
      <xdr:rowOff>257219</xdr:rowOff>
    </xdr:to>
    <xdr:pic macro="[0]!Navigate_Category_Setup">
      <xdr:nvPicPr>
        <xdr:cNvPr id="8" name="Picture 7">
          <a:extLst>
            <a:ext uri="{FF2B5EF4-FFF2-40B4-BE49-F238E27FC236}">
              <a16:creationId xmlns:a16="http://schemas.microsoft.com/office/drawing/2014/main" id="{B0F6AC00-0F74-40F2-BF79-AEE17CAA96C6}"/>
            </a:ext>
          </a:extLst>
        </xdr:cNvPr>
        <xdr:cNvPicPr>
          <a:picLocks noChangeAspect="1"/>
        </xdr:cNvPicPr>
      </xdr:nvPicPr>
      <xdr:blipFill>
        <a:blip xmlns:r="http://schemas.openxmlformats.org/officeDocument/2006/relationships" r:embed="rId23"/>
        <a:stretch>
          <a:fillRect/>
        </a:stretch>
      </xdr:blipFill>
      <xdr:spPr>
        <a:xfrm>
          <a:off x="14439900" y="1219200"/>
          <a:ext cx="228632" cy="228632"/>
        </a:xfrm>
        <a:prstGeom prst="rect">
          <a:avLst/>
        </a:prstGeom>
      </xdr:spPr>
    </xdr:pic>
    <xdr:clientData/>
  </xdr:twoCellAnchor>
  <xdr:twoCellAnchor editAs="absolute">
    <xdr:from>
      <xdr:col>28</xdr:col>
      <xdr:colOff>8264</xdr:colOff>
      <xdr:row>0</xdr:row>
      <xdr:rowOff>0</xdr:rowOff>
    </xdr:from>
    <xdr:to>
      <xdr:col>33</xdr:col>
      <xdr:colOff>227754</xdr:colOff>
      <xdr:row>0</xdr:row>
      <xdr:rowOff>563035</xdr:rowOff>
    </xdr:to>
    <xdr:sp macro="[0]!Navigate_Reporting" textlink="">
      <xdr:nvSpPr>
        <xdr:cNvPr id="137" name="TextBox 136">
          <a:extLst>
            <a:ext uri="{FF2B5EF4-FFF2-40B4-BE49-F238E27FC236}">
              <a16:creationId xmlns:a16="http://schemas.microsoft.com/office/drawing/2014/main" id="{A4E47D61-C2E9-47E7-87EB-10D8220F8291}"/>
            </a:ext>
          </a:extLst>
        </xdr:cNvPr>
        <xdr:cNvSpPr txBox="1">
          <a:spLocks noChangeAspect="1"/>
        </xdr:cNvSpPr>
      </xdr:nvSpPr>
      <xdr:spPr>
        <a:xfrm>
          <a:off x="9458124" y="0"/>
          <a:ext cx="169480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16</xdr:col>
      <xdr:colOff>121717</xdr:colOff>
      <xdr:row>0</xdr:row>
      <xdr:rowOff>1</xdr:rowOff>
    </xdr:from>
    <xdr:to>
      <xdr:col>22</xdr:col>
      <xdr:colOff>45930</xdr:colOff>
      <xdr:row>0</xdr:row>
      <xdr:rowOff>563035</xdr:rowOff>
    </xdr:to>
    <xdr:sp macro="[0]!Navigate_Rehab_Analyzer" textlink="">
      <xdr:nvSpPr>
        <xdr:cNvPr id="160" name="TextBox 159">
          <a:extLst>
            <a:ext uri="{FF2B5EF4-FFF2-40B4-BE49-F238E27FC236}">
              <a16:creationId xmlns:a16="http://schemas.microsoft.com/office/drawing/2014/main" id="{23483533-B0B9-4A07-BC97-F00940067F05}"/>
            </a:ext>
          </a:extLst>
        </xdr:cNvPr>
        <xdr:cNvSpPr txBox="1">
          <a:spLocks noChangeAspect="1"/>
        </xdr:cNvSpPr>
      </xdr:nvSpPr>
      <xdr:spPr>
        <a:xfrm>
          <a:off x="6028277" y="1"/>
          <a:ext cx="1695863" cy="561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22</xdr:col>
      <xdr:colOff>65195</xdr:colOff>
      <xdr:row>0</xdr:row>
      <xdr:rowOff>0</xdr:rowOff>
    </xdr:from>
    <xdr:to>
      <xdr:col>27</xdr:col>
      <xdr:colOff>274117</xdr:colOff>
      <xdr:row>0</xdr:row>
      <xdr:rowOff>563035</xdr:rowOff>
    </xdr:to>
    <xdr:sp macro="[0]!Navigate_Repair_Estimator" textlink="">
      <xdr:nvSpPr>
        <xdr:cNvPr id="169" name="TextBox 168">
          <a:extLst>
            <a:ext uri="{FF2B5EF4-FFF2-40B4-BE49-F238E27FC236}">
              <a16:creationId xmlns:a16="http://schemas.microsoft.com/office/drawing/2014/main" id="{BD7813BE-262D-48F0-A8FE-6A49C5D51674}"/>
            </a:ext>
          </a:extLst>
        </xdr:cNvPr>
        <xdr:cNvSpPr txBox="1">
          <a:spLocks noChangeAspect="1"/>
        </xdr:cNvSpPr>
      </xdr:nvSpPr>
      <xdr:spPr>
        <a:xfrm>
          <a:off x="7745518" y="0"/>
          <a:ext cx="1683184" cy="561975"/>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10</xdr:col>
      <xdr:colOff>198527</xdr:colOff>
      <xdr:row>0</xdr:row>
      <xdr:rowOff>0</xdr:rowOff>
    </xdr:from>
    <xdr:to>
      <xdr:col>16</xdr:col>
      <xdr:colOff>112817</xdr:colOff>
      <xdr:row>0</xdr:row>
      <xdr:rowOff>563035</xdr:rowOff>
    </xdr:to>
    <xdr:sp macro="[0]!Navigate_Home" textlink="">
      <xdr:nvSpPr>
        <xdr:cNvPr id="170" name="TextBox 169">
          <a:extLst>
            <a:ext uri="{FF2B5EF4-FFF2-40B4-BE49-F238E27FC236}">
              <a16:creationId xmlns:a16="http://schemas.microsoft.com/office/drawing/2014/main" id="{D57CF4A4-5821-4A8A-96C4-D102171D3C84}"/>
            </a:ext>
          </a:extLst>
        </xdr:cNvPr>
        <xdr:cNvSpPr txBox="1">
          <a:spLocks noChangeAspect="1"/>
        </xdr:cNvSpPr>
      </xdr:nvSpPr>
      <xdr:spPr>
        <a:xfrm>
          <a:off x="4333437" y="0"/>
          <a:ext cx="168488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36</xdr:col>
      <xdr:colOff>153882</xdr:colOff>
      <xdr:row>0</xdr:row>
      <xdr:rowOff>153469</xdr:rowOff>
    </xdr:from>
    <xdr:to>
      <xdr:col>37</xdr:col>
      <xdr:colOff>124170</xdr:colOff>
      <xdr:row>0</xdr:row>
      <xdr:rowOff>427776</xdr:rowOff>
    </xdr:to>
    <xdr:pic>
      <xdr:nvPicPr>
        <xdr:cNvPr id="171" name="Picture 170" title="Help">
          <a:hlinkClick xmlns:r="http://schemas.openxmlformats.org/officeDocument/2006/relationships" r:id="rId24"/>
          <a:extLst>
            <a:ext uri="{FF2B5EF4-FFF2-40B4-BE49-F238E27FC236}">
              <a16:creationId xmlns:a16="http://schemas.microsoft.com/office/drawing/2014/main" id="{2816C04E-B17E-4030-BD8E-D447048A1B8C}"/>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1964882" y="153469"/>
          <a:ext cx="266623" cy="275367"/>
        </a:xfrm>
        <a:prstGeom prst="rect">
          <a:avLst/>
        </a:prstGeom>
      </xdr:spPr>
    </xdr:pic>
    <xdr:clientData/>
  </xdr:twoCellAnchor>
  <xdr:twoCellAnchor editAs="absolute">
    <xdr:from>
      <xdr:col>34</xdr:col>
      <xdr:colOff>191982</xdr:colOff>
      <xdr:row>0</xdr:row>
      <xdr:rowOff>152516</xdr:rowOff>
    </xdr:from>
    <xdr:to>
      <xdr:col>35</xdr:col>
      <xdr:colOff>181401</xdr:colOff>
      <xdr:row>0</xdr:row>
      <xdr:rowOff>427881</xdr:rowOff>
    </xdr:to>
    <xdr:pic macro="[0]!Navigate_Info_Sheet">
      <xdr:nvPicPr>
        <xdr:cNvPr id="172" name="Picture 171">
          <a:extLst>
            <a:ext uri="{FF2B5EF4-FFF2-40B4-BE49-F238E27FC236}">
              <a16:creationId xmlns:a16="http://schemas.microsoft.com/office/drawing/2014/main" id="{B483864F-4D80-4676-8E47-154E611FE36A}"/>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1412432" y="152516"/>
          <a:ext cx="283634" cy="276425"/>
        </a:xfrm>
        <a:prstGeom prst="rect">
          <a:avLst/>
        </a:prstGeom>
      </xdr:spPr>
    </xdr:pic>
    <xdr:clientData/>
  </xdr:twoCellAnchor>
  <xdr:twoCellAnchor editAs="absolute">
    <xdr:from>
      <xdr:col>0</xdr:col>
      <xdr:colOff>0</xdr:colOff>
      <xdr:row>0</xdr:row>
      <xdr:rowOff>0</xdr:rowOff>
    </xdr:from>
    <xdr:to>
      <xdr:col>1</xdr:col>
      <xdr:colOff>188397</xdr:colOff>
      <xdr:row>0</xdr:row>
      <xdr:rowOff>560707</xdr:rowOff>
    </xdr:to>
    <xdr:sp macro="" textlink="">
      <xdr:nvSpPr>
        <xdr:cNvPr id="173" name="TextBox 172">
          <a:extLst>
            <a:ext uri="{FF2B5EF4-FFF2-40B4-BE49-F238E27FC236}">
              <a16:creationId xmlns:a16="http://schemas.microsoft.com/office/drawing/2014/main" id="{555924E5-7FBD-47AF-A2FE-0066ABE3EDFC}"/>
            </a:ext>
          </a:extLst>
        </xdr:cNvPr>
        <xdr:cNvSpPr txBox="1">
          <a:spLocks noChangeAspect="1"/>
        </xdr:cNvSpPr>
      </xdr:nvSpPr>
      <xdr:spPr>
        <a:xfrm>
          <a:off x="0" y="0"/>
          <a:ext cx="1664772"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stpoint%20Solutions/Desktop/New%20York/House%20Flipping%20Spreadsheet%20Live%20Files/4z.3/House%20Flipping%20Spreadsheet%204z.3%20Pro.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stpoint%20Solutions/Google%20Drive/Restored/RentalPropertySpreadsheet.com/Rental%20Property%20Spreadsheet%20-%20Single%20Family.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stpoint%20Solutions/Google%20Drive/Restored/RentalPropertySpreadsheet.com/New%20folder/House%20Flipping%20Spreadsheet%20-%20Full%20Version%20v.1%20Unprotec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ntal%20Sheets%20Pro%20Version%20v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EULA"/>
      <sheetName val="ADMIN"/>
      <sheetName val="INDEX"/>
      <sheetName val="SETUP"/>
      <sheetName val="HELP"/>
      <sheetName val="HOME"/>
      <sheetName val="ANALYZE"/>
      <sheetName val="1 REPAIR ESTIMATOR"/>
      <sheetName val="2 REHAB ANALYZER"/>
      <sheetName val="3 WHOLESALE CALC"/>
      <sheetName val="4 RENTAL CALC"/>
      <sheetName val="MANAGE"/>
      <sheetName val="CONTACT"/>
      <sheetName val="TASKS"/>
      <sheetName val="SCHEDULER"/>
      <sheetName val="ACCOUNTING"/>
      <sheetName val="COA SETUP"/>
      <sheetName val="VENDOR SETUP"/>
      <sheetName val="1 REPAIRS BUDGET"/>
      <sheetName val="2 PROJECT BUDGET"/>
      <sheetName val="3 EXPENSE TRACKER"/>
      <sheetName val="4 REPAIR FORECASTER"/>
      <sheetName val="5 PROJECT FORECASTER"/>
      <sheetName val="REPORTING"/>
      <sheetName val="INSPECTION CHECKLIST"/>
      <sheetName val="DEAL CHEAT SHEET"/>
      <sheetName val="REPAIR ESTIMATE REPORT"/>
      <sheetName val="MAXIMUM PURCHASE PRICE REPORT"/>
      <sheetName val="INVESTMENT REPORT"/>
      <sheetName val="FUNDING SHEET"/>
      <sheetName val="FUNDING PACKET"/>
      <sheetName val="WHOLESALE SHEET"/>
      <sheetName val="WHOLESALE PACKET"/>
      <sheetName val="RENTAL SHEET"/>
      <sheetName val="RENTAL PACKET"/>
      <sheetName val="HOMEOWNER REPORT"/>
      <sheetName val="PREQUAL FORM"/>
      <sheetName val="SCOPE OF WORK REPORT"/>
      <sheetName val="VENDOR CONTACT LIST"/>
      <sheetName val="REHAB CHECKLIST"/>
      <sheetName val="SHOPPING LIST REPORT"/>
      <sheetName val="PUNCHLIST"/>
      <sheetName val="LIEN WAIVER"/>
      <sheetName val="FOR SALE FLYER"/>
      <sheetName val="REPAIR BUDGET REPORT"/>
      <sheetName val="PROJECT BUDGET REPORT"/>
      <sheetName val="REPAIR BUDGET VS ESTIMATE"/>
      <sheetName val="PROJECT BUDGET VS ESTIMATE"/>
      <sheetName val="EXPENSE REPORT BY SCOPE"/>
      <sheetName val="EXPENSE REPORT BY VENDOR"/>
      <sheetName val="EXPENSE REPORT BY ACCOUNT"/>
      <sheetName val="PROJECTIONS REPORT"/>
      <sheetName val="VENDOR TAX &amp; INSUR"/>
      <sheetName val="VENDOR COMP"/>
      <sheetName val="VENDOR 1099"/>
      <sheetName val="EXPENSE REPORT SUMMARY"/>
      <sheetName val="FINAL PROFIT REPORT"/>
      <sheetName val="ACCOUNT IMPORT EXPORT"/>
      <sheetName val="VENDOR IMPORT EXPORT"/>
      <sheetName val="EXPENSE EXPORT"/>
    </sheetNames>
    <sheetDataSet>
      <sheetData sheetId="0" refreshError="1"/>
      <sheetData sheetId="1" refreshError="1"/>
      <sheetData sheetId="2" refreshError="1"/>
      <sheetData sheetId="3" refreshError="1"/>
      <sheetData sheetId="4">
        <row r="36">
          <cell r="AF36">
            <v>0</v>
          </cell>
        </row>
      </sheetData>
      <sheetData sheetId="5" refreshError="1"/>
      <sheetData sheetId="6" refreshError="1"/>
      <sheetData sheetId="7" refreshError="1"/>
      <sheetData sheetId="8">
        <row r="6">
          <cell r="AZ6">
            <v>0</v>
          </cell>
        </row>
      </sheetData>
      <sheetData sheetId="9">
        <row r="6">
          <cell r="B6">
            <v>0</v>
          </cell>
        </row>
      </sheetData>
      <sheetData sheetId="10">
        <row r="9">
          <cell r="BN9">
            <v>0</v>
          </cell>
        </row>
      </sheetData>
      <sheetData sheetId="11">
        <row r="9">
          <cell r="CM9">
            <v>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13">
          <cell r="AD13">
            <v>0</v>
          </cell>
        </row>
      </sheetData>
      <sheetData sheetId="20">
        <row r="6">
          <cell r="B6">
            <v>0</v>
          </cell>
        </row>
      </sheetData>
      <sheetData sheetId="21">
        <row r="5">
          <cell r="E5">
            <v>0</v>
          </cell>
        </row>
      </sheetData>
      <sheetData sheetId="22" refreshError="1"/>
      <sheetData sheetId="23">
        <row r="6">
          <cell r="BR6">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DATABASE"/>
      <sheetName val="EULA"/>
      <sheetName val="ADMIN"/>
      <sheetName val="INDEX"/>
      <sheetName val="HOME"/>
      <sheetName val="INFO SHEET"/>
      <sheetName val="ANALYZE"/>
      <sheetName val="BUYING"/>
      <sheetName val="CAPITAL IMPROVEMENTS"/>
      <sheetName val="RENTAL CALC"/>
      <sheetName val="RENTAL CALC (2)"/>
      <sheetName val="OP EXP"/>
      <sheetName val="MANAGE"/>
      <sheetName val="APPLICATION"/>
      <sheetName val="SIGN-IN"/>
      <sheetName val="CHECKLIST"/>
      <sheetName val="MOVE-IN-OUT"/>
      <sheetName val="RECEIPTS"/>
      <sheetName val="TASKS"/>
      <sheetName val="CONTACT"/>
      <sheetName val="SCHEDULER"/>
      <sheetName val="ACCOUNTING"/>
      <sheetName val="COA SETUP"/>
      <sheetName val="EXPENSE TRACKER"/>
      <sheetName val="DEPRECIATION CALC"/>
      <sheetName val="REPORTING"/>
      <sheetName val="INSPECTION CHECKLIST"/>
      <sheetName val="DEAL CHEAT SHEET"/>
      <sheetName val="REPAIR ESTIMATE REPORT"/>
      <sheetName val="FUNDING SHEET"/>
      <sheetName val="FUNDING PACKET"/>
      <sheetName val="RENTAL SHEET"/>
      <sheetName val="RENTAL PACKET"/>
      <sheetName val="HOMEOWNER REPORT"/>
      <sheetName val="PREQUAL FORM"/>
      <sheetName val="SCOPE OF WORK REPORT"/>
      <sheetName val="VENDOR CONTACT LIST"/>
      <sheetName val="SHOPPING LIST REPORT"/>
      <sheetName val="PUNCHLIST"/>
      <sheetName val="EXPENSE REPORT BY SCOPE"/>
      <sheetName val="EXPENSE REPORT BY VENDOR"/>
      <sheetName val="EXPENSE REPORT BY ACCOUNT"/>
      <sheetName val="LIEN WAIVER"/>
      <sheetName val="VENDOR TAX &amp; INSUR"/>
      <sheetName val="VENDOR COMP"/>
      <sheetName val="VENDOR 1099"/>
      <sheetName val="EXPENSE REPORT SUMMARY"/>
      <sheetName val="FINAL PROFIT REPORT"/>
      <sheetName val="Rental Property Spreadsheet - S"/>
    </sheetNames>
    <sheetDataSet>
      <sheetData sheetId="0">
        <row r="18">
          <cell r="AB18" t="str">
            <v>Purchase Price Only</v>
          </cell>
        </row>
      </sheetData>
      <sheetData sheetId="1"/>
      <sheetData sheetId="2"/>
      <sheetData sheetId="3"/>
      <sheetData sheetId="4"/>
      <sheetData sheetId="5"/>
      <sheetData sheetId="6">
        <row r="39">
          <cell r="AO39" t="str">
            <v>sdfsdfs</v>
          </cell>
        </row>
      </sheetData>
      <sheetData sheetId="7"/>
      <sheetData sheetId="8"/>
      <sheetData sheetId="9">
        <row r="8">
          <cell r="B8">
            <v>11635</v>
          </cell>
          <cell r="U8">
            <v>0</v>
          </cell>
          <cell r="AF8">
            <v>0</v>
          </cell>
          <cell r="AQ8">
            <v>0</v>
          </cell>
        </row>
        <row r="9">
          <cell r="U9">
            <v>1800</v>
          </cell>
          <cell r="AF9">
            <v>0</v>
          </cell>
          <cell r="AQ9">
            <v>6125</v>
          </cell>
        </row>
        <row r="10">
          <cell r="U10">
            <v>0</v>
          </cell>
          <cell r="AF10">
            <v>0</v>
          </cell>
          <cell r="AQ10">
            <v>0</v>
          </cell>
        </row>
        <row r="11">
          <cell r="U11">
            <v>0</v>
          </cell>
          <cell r="AF11">
            <v>3360</v>
          </cell>
          <cell r="AQ11">
            <v>0</v>
          </cell>
        </row>
        <row r="12">
          <cell r="U12">
            <v>350</v>
          </cell>
          <cell r="AF12">
            <v>0</v>
          </cell>
          <cell r="AQ12">
            <v>0</v>
          </cell>
        </row>
        <row r="13">
          <cell r="U13">
            <v>0</v>
          </cell>
          <cell r="AF13">
            <v>0</v>
          </cell>
          <cell r="AQ13">
            <v>0</v>
          </cell>
        </row>
        <row r="14">
          <cell r="AD14">
            <v>5990</v>
          </cell>
          <cell r="AG14">
            <v>3845</v>
          </cell>
          <cell r="AJ14">
            <v>1800</v>
          </cell>
          <cell r="AQ14">
            <v>11635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s"/>
      <sheetName val="EULA-Disclaimer"/>
      <sheetName val="Dashboard"/>
      <sheetName val="1-Info Sheet"/>
      <sheetName val="2-Inspection Checklist"/>
      <sheetName val="Rental Analysis"/>
      <sheetName val="3-Repair Cost Calculator"/>
      <sheetName val="5-Investment Report"/>
      <sheetName val="4-MPP Calculator"/>
      <sheetName val="Accounting"/>
      <sheetName val="6-Repair Cost Report Builder"/>
      <sheetName val="4-MPP Calculator (2)"/>
      <sheetName val="Rental Checklist"/>
      <sheetName val="Rental Application"/>
      <sheetName val="Move-In List"/>
      <sheetName val="Receipt"/>
      <sheetName val="Prospective Tenant List"/>
      <sheetName val="7-Scope of Work Builder"/>
      <sheetName val="8-Shopping List Builder"/>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W6">
            <v>2185</v>
          </cell>
        </row>
        <row r="14">
          <cell r="Q14">
            <v>0</v>
          </cell>
        </row>
      </sheetData>
      <sheetData sheetId="8" refreshError="1"/>
      <sheetData sheetId="9">
        <row r="10">
          <cell r="CA10">
            <v>18750</v>
          </cell>
        </row>
        <row r="20">
          <cell r="CA20" t="e">
            <v>#REF!</v>
          </cell>
        </row>
        <row r="31">
          <cell r="CA31">
            <v>96565</v>
          </cell>
        </row>
        <row r="34">
          <cell r="AG34">
            <v>0</v>
          </cell>
        </row>
        <row r="52">
          <cell r="AG52">
            <v>0</v>
          </cell>
        </row>
        <row r="70">
          <cell r="AG70">
            <v>7500</v>
          </cell>
        </row>
        <row r="75">
          <cell r="I75">
            <v>7500</v>
          </cell>
          <cell r="AQ75">
            <v>0</v>
          </cell>
          <cell r="CA75" t="e">
            <v>#REF!</v>
          </cell>
        </row>
      </sheetData>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ALYZE DATABASE"/>
      <sheetName val="EXPENSE  DATABASE"/>
      <sheetName val="INCOME DATABASE"/>
      <sheetName val="EULA"/>
      <sheetName val="HOME"/>
      <sheetName val="ANALYZE"/>
      <sheetName val="1 SETUP"/>
      <sheetName val="2 PURCHASE ANALYSIS"/>
      <sheetName val="3 RENTAL ANALYSIS"/>
      <sheetName val="LONG TERM LOAN SETUP"/>
      <sheetName val="ESTIMATOR"/>
      <sheetName val="SCENARIOS"/>
      <sheetName val="COMPS"/>
      <sheetName val="MANAGE"/>
      <sheetName val="TASK MANAGER"/>
      <sheetName val="ACCOUNTING"/>
      <sheetName val="VENDOR SETUP"/>
      <sheetName val="CATEGORY SETUP"/>
      <sheetName val="TENANT SETUP"/>
      <sheetName val="1 ACCOUNTING SUMMARY"/>
      <sheetName val="2 INCOME TRACKER"/>
      <sheetName val="3 OP EX TRACKER"/>
      <sheetName val="4 CAP EX TRACKER"/>
      <sheetName val="5 LOAN TRACKER"/>
      <sheetName val="TENANT BALANCE"/>
      <sheetName val="REPORTING"/>
      <sheetName val="INSPECTION CHECKLIST"/>
      <sheetName val="RENTAL PACKET"/>
      <sheetName val="APOD REPORT"/>
      <sheetName val="CASH FLOW REPORT"/>
      <sheetName val="OP EX REPORT"/>
      <sheetName val="SCENARIOS REPORT"/>
      <sheetName val="COMPS REPORT"/>
      <sheetName val="FINANCING REPORT"/>
      <sheetName val="AMORTIZATION"/>
      <sheetName val="ESTIMATE SUMMARY"/>
      <sheetName val="DETAILED ESTIMATE"/>
      <sheetName val="SCOPE OF WORK"/>
      <sheetName val="RENTAL CHECKLIST"/>
      <sheetName val="RENTAL APPLICATION"/>
      <sheetName val="SECURITY DEPOSIT AGREEMENT"/>
      <sheetName val="MOVE-IN CHECKLIST"/>
      <sheetName val="NOTICE OF RENT INCREASE"/>
      <sheetName val="LEASE RENEWAL LETTER"/>
      <sheetName val="NON-RENEWAL OF LEASE"/>
      <sheetName val="NOTICE TO ENTER"/>
      <sheetName val="VIOLATION LETTER"/>
      <sheetName val="MOVE-OUT CHECKLIST"/>
      <sheetName val="TENANT SIGN-IN"/>
      <sheetName val="ANNUAL INCOME STATEMENT"/>
      <sheetName val="MONTHLY INCOME STATEMENT"/>
      <sheetName val="YEARLY INCOME STATEMENT"/>
      <sheetName val="INCOME BY CATEGORY - SUMMARY"/>
      <sheetName val="INCOME BY UNIT - SUMMARY"/>
      <sheetName val="INCOME BY TENANT - SUMMARY"/>
      <sheetName val="INCOME BY CATEGORY - DETAILED"/>
      <sheetName val="INCOME BY UNIT - DETAILED"/>
      <sheetName val="INCOME BY TENANT - DETAILED"/>
      <sheetName val="OP EX BY CATEGORY - SUMMARY"/>
      <sheetName val="OP EX BY CATEGORY - DETAILED"/>
      <sheetName val="CAP EX BY CATEGORY - SUMMARY"/>
      <sheetName val="CAP EX BY CATEGORY - DETAILED"/>
      <sheetName val="EXPENSE BY VENDOR"/>
      <sheetName val="EXPENSE BY VENDOR - DETAILED"/>
      <sheetName val="SCHEDULE 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spPr>
      <a:bodyPr wrap="square" lIns="91440" tIns="45720" rIns="91440" bIns="45720">
        <a:spAutoFit/>
      </a:bodyPr>
      <a:lstStyle>
        <a:defPPr algn="l">
          <a:defRPr sz="3200" b="1" cap="none" spc="0">
            <a:ln w="0"/>
            <a:solidFill>
              <a:schemeClr val="tx1">
                <a:lumMod val="85000"/>
                <a:lumOff val="15000"/>
              </a:schemeClr>
            </a:solidFill>
            <a:effectLst>
              <a:outerShdw blurRad="38100" dist="19050" dir="2700000" algn="tl" rotWithShape="0">
                <a:schemeClr val="dk1">
                  <a:alpha val="40000"/>
                </a:schemeClr>
              </a:outerShdw>
            </a:effectLst>
          </a:defRPr>
        </a:defPPr>
      </a:lstStyle>
    </a:spDef>
    <a:txDef>
      <a:spPr>
        <a:noFill/>
        <a:ln w="9525" cmpd="sng">
          <a:noFill/>
        </a:ln>
      </a:spPr>
      <a:bodyPr vertOverflow="clip" horzOverflow="clip" wrap="square" rtlCol="0" anchor="ctr"/>
      <a:lstStyle>
        <a:defPPr algn="ctr">
          <a:defRPr sz="1400" b="1">
            <a:solidFill>
              <a:schemeClr val="accent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wsDATABASE">
    <tabColor theme="1" tint="0.249977111117893"/>
  </sheetPr>
  <dimension ref="B3:G261"/>
  <sheetViews>
    <sheetView topLeftCell="A220" workbookViewId="0">
      <selection activeCell="C250" sqref="C250"/>
    </sheetView>
  </sheetViews>
  <sheetFormatPr defaultColWidth="8.8984375" defaultRowHeight="15.7"/>
  <cols>
    <col min="1" max="1" width="38.796875" style="290" customWidth="1"/>
    <col min="2" max="2" width="39.44921875" style="290" customWidth="1"/>
    <col min="3" max="3" width="38.6484375" style="290" customWidth="1"/>
    <col min="4" max="16384" width="8.8984375" style="290"/>
  </cols>
  <sheetData>
    <row r="3" spans="2:3">
      <c r="B3" s="1463" t="s">
        <v>331</v>
      </c>
      <c r="C3" s="1463"/>
    </row>
    <row r="4" spans="2:3">
      <c r="B4" s="291" t="s">
        <v>1138</v>
      </c>
      <c r="C4" s="291" t="s">
        <v>875</v>
      </c>
    </row>
    <row r="5" spans="2:3">
      <c r="B5" s="1463"/>
      <c r="C5" s="1463"/>
    </row>
    <row r="6" spans="2:3">
      <c r="B6" s="291" t="s">
        <v>983</v>
      </c>
      <c r="C6" s="291">
        <f>Project_Name</f>
        <v>0</v>
      </c>
    </row>
    <row r="7" spans="2:3">
      <c r="B7" s="291" t="s">
        <v>363</v>
      </c>
      <c r="C7" s="291">
        <f>SETUP!AM10</f>
        <v>0</v>
      </c>
    </row>
    <row r="8" spans="2:3">
      <c r="B8" s="291" t="s">
        <v>102</v>
      </c>
      <c r="C8" s="291">
        <f>SETUP!AM11</f>
        <v>0</v>
      </c>
    </row>
    <row r="9" spans="2:3">
      <c r="B9" s="291" t="s">
        <v>355</v>
      </c>
      <c r="C9" s="291">
        <f>SETUP!AM12</f>
        <v>0</v>
      </c>
    </row>
    <row r="10" spans="2:3">
      <c r="B10" s="291" t="s">
        <v>1299</v>
      </c>
      <c r="C10" s="291" t="str">
        <f>CONCATENATE(Street_Address," ",City_State_Zip)</f>
        <v xml:space="preserve"> 0</v>
      </c>
    </row>
    <row r="11" spans="2:3">
      <c r="B11" s="291" t="s">
        <v>1266</v>
      </c>
      <c r="C11" s="291">
        <f>SETUP!AM13</f>
        <v>0</v>
      </c>
    </row>
    <row r="12" spans="2:3">
      <c r="B12" s="291" t="s">
        <v>83</v>
      </c>
      <c r="C12" s="291">
        <f>School_District</f>
        <v>0</v>
      </c>
    </row>
    <row r="13" spans="2:3">
      <c r="B13" s="291" t="s">
        <v>984</v>
      </c>
      <c r="C13" s="500">
        <f>SETUP!AM15</f>
        <v>0</v>
      </c>
    </row>
    <row r="14" spans="2:3">
      <c r="B14" s="291" t="s">
        <v>985</v>
      </c>
      <c r="C14" s="500">
        <f>SETUP!BI15</f>
        <v>0</v>
      </c>
    </row>
    <row r="15" spans="2:3">
      <c r="B15" s="291" t="s">
        <v>1567</v>
      </c>
      <c r="C15" s="500">
        <f>Square_Feet</f>
        <v>0</v>
      </c>
    </row>
    <row r="16" spans="2:3">
      <c r="B16" s="291" t="s">
        <v>1565</v>
      </c>
      <c r="C16" s="500">
        <f>SETUP!AM16</f>
        <v>0</v>
      </c>
    </row>
    <row r="17" spans="2:3">
      <c r="B17" s="291" t="s">
        <v>1566</v>
      </c>
      <c r="C17" s="500">
        <f>SETUP!BI16</f>
        <v>0</v>
      </c>
    </row>
    <row r="18" spans="2:3">
      <c r="B18" s="291" t="s">
        <v>986</v>
      </c>
      <c r="C18" s="500">
        <f>C16+C17</f>
        <v>0</v>
      </c>
    </row>
    <row r="19" spans="2:3">
      <c r="B19" s="291" t="s">
        <v>1300</v>
      </c>
      <c r="C19" s="291" t="str">
        <f>CONCATENATE(Beds," beds, ",Baths," baths, ",Square_Feet," sf")</f>
        <v>0 beds, 0 baths, 0 sf</v>
      </c>
    </row>
    <row r="21" spans="2:3">
      <c r="B21" s="1463" t="s">
        <v>339</v>
      </c>
      <c r="C21" s="1463"/>
    </row>
    <row r="22" spans="2:3">
      <c r="B22" s="291" t="s">
        <v>340</v>
      </c>
      <c r="C22" s="291" t="str">
        <f>T(Company_Name)</f>
        <v/>
      </c>
    </row>
    <row r="23" spans="2:3">
      <c r="B23" s="291" t="s">
        <v>609</v>
      </c>
      <c r="C23" s="291" t="str">
        <f>T(Company_Street_Address)</f>
        <v/>
      </c>
    </row>
    <row r="24" spans="2:3">
      <c r="B24" s="291" t="s">
        <v>988</v>
      </c>
      <c r="C24" s="291" t="str">
        <f>T(Company_City_State_Zip)</f>
        <v/>
      </c>
    </row>
    <row r="25" spans="2:3">
      <c r="B25" s="291" t="s">
        <v>610</v>
      </c>
      <c r="C25" s="291" t="str">
        <f>T(Company_Email)</f>
        <v/>
      </c>
    </row>
    <row r="26" spans="2:3">
      <c r="B26" s="291" t="s">
        <v>989</v>
      </c>
      <c r="C26" s="291">
        <f>Company_Phone</f>
        <v>0</v>
      </c>
    </row>
    <row r="27" spans="2:3">
      <c r="B27" s="291" t="s">
        <v>990</v>
      </c>
      <c r="C27" s="291" t="str">
        <f>T(Company_Website)</f>
        <v/>
      </c>
    </row>
    <row r="29" spans="2:3">
      <c r="B29" s="1463" t="s">
        <v>987</v>
      </c>
      <c r="C29" s="1463"/>
    </row>
    <row r="30" spans="2:3">
      <c r="B30" s="291" t="s">
        <v>1022</v>
      </c>
      <c r="C30" s="291">
        <f>AFTER_REPAIR_VALUE_CELL</f>
        <v>0</v>
      </c>
    </row>
    <row r="31" spans="2:3">
      <c r="B31" s="291" t="s">
        <v>929</v>
      </c>
      <c r="C31" s="291">
        <f>Known_Purchase_Price_Cell</f>
        <v>0</v>
      </c>
    </row>
    <row r="33" spans="2:3">
      <c r="B33" s="393"/>
      <c r="C33" s="393"/>
    </row>
    <row r="34" spans="2:3">
      <c r="B34" s="1463" t="s">
        <v>875</v>
      </c>
      <c r="C34" s="1463"/>
    </row>
    <row r="35" spans="2:3">
      <c r="B35" s="291" t="s">
        <v>1018</v>
      </c>
      <c r="C35" s="291" t="s">
        <v>1851</v>
      </c>
    </row>
    <row r="36" spans="2:3">
      <c r="B36" s="291" t="s">
        <v>1019</v>
      </c>
      <c r="C36" s="291" t="str">
        <f>IF(C35="Calculated Purchase Price","Change Settings to Analyze Profitability by Known Purchase Price","Change Settings to Calculate Maximum Purchase Price")</f>
        <v>Change Settings to Analyze Profitability by Known Purchase Price</v>
      </c>
    </row>
    <row r="38" spans="2:3">
      <c r="B38" s="1463" t="s">
        <v>74</v>
      </c>
      <c r="C38" s="1463"/>
    </row>
    <row r="39" spans="2:3">
      <c r="B39" s="291" t="str">
        <f>T('1 REHAB ANALYZER'!C21:Z22)</f>
        <v>BROKERAGE FEE ($300 Avg.)</v>
      </c>
      <c r="C39" s="291">
        <f>'1 REHAB ANALYZER'!AA21</f>
        <v>0</v>
      </c>
    </row>
    <row r="40" spans="2:3">
      <c r="B40" s="291" t="str">
        <f>T('1 REHAB ANALYZER'!C23:Z24)</f>
        <v>INSPECTION COSTS ($400 Avg.)</v>
      </c>
      <c r="C40" s="291">
        <f>'1 REHAB ANALYZER'!AA23</f>
        <v>0</v>
      </c>
    </row>
    <row r="41" spans="2:3">
      <c r="B41" s="291" t="str">
        <f>T('1 REHAB ANALYZER'!C25:Z26)</f>
        <v>APPRAISAL FEE ($500 Avg.)</v>
      </c>
      <c r="C41" s="291">
        <f>'1 REHAB ANALYZER'!AA25</f>
        <v>0</v>
      </c>
    </row>
    <row r="42" spans="2:3">
      <c r="B42" s="291" t="str">
        <f>T('1 REHAB ANALYZER'!C27:Z28)</f>
        <v>TITLE SEARCH ($300 Avg.)</v>
      </c>
      <c r="C42" s="291">
        <f>'1 REHAB ANALYZER'!AA27</f>
        <v>0</v>
      </c>
    </row>
    <row r="43" spans="2:3">
      <c r="B43" s="291" t="str">
        <f>T('1 REHAB ANALYZER'!C29:Z30)</f>
        <v>TITLE INSURANCE ($150 Avg.)</v>
      </c>
      <c r="C43" s="291">
        <f>'1 REHAB ANALYZER'!AA29</f>
        <v>0</v>
      </c>
    </row>
    <row r="44" spans="2:3">
      <c r="B44" s="291" t="str">
        <f>T('1 REHAB ANALYZER'!C75:P76)</f>
        <v>CLOSING COSTS &amp; POINTS</v>
      </c>
      <c r="C44" s="291">
        <f>'1 REHAB ANALYZER'!AA75</f>
        <v>0</v>
      </c>
    </row>
    <row r="45" spans="2:3">
      <c r="B45" s="291" t="str">
        <f>T('1 REHAB ANALYZER'!C31:Z32)</f>
        <v>OTHER</v>
      </c>
      <c r="C45" s="291">
        <f>'1 REHAB ANALYZER'!AA31</f>
        <v>0</v>
      </c>
    </row>
    <row r="46" spans="2:3">
      <c r="B46" s="306" t="s">
        <v>39</v>
      </c>
      <c r="C46" s="305">
        <f>SUM(C39:C45)</f>
        <v>0</v>
      </c>
    </row>
    <row r="47" spans="2:3">
      <c r="B47" s="291" t="s">
        <v>1017</v>
      </c>
      <c r="C47" s="307">
        <f>IFERROR(C46/AFTER_REPAIR_VALUE_ESTIMATED,0)</f>
        <v>0</v>
      </c>
    </row>
    <row r="49" spans="2:3">
      <c r="B49" s="1463" t="s">
        <v>75</v>
      </c>
      <c r="C49" s="1463"/>
    </row>
    <row r="50" spans="2:3">
      <c r="B50" s="291" t="str">
        <f>T('1 REHAB ANALYZER'!C77:K78)</f>
        <v>LOAN PAYMENT</v>
      </c>
      <c r="C50" s="291">
        <f>'1 REHAB ANALYZER'!AA77</f>
        <v>0</v>
      </c>
    </row>
    <row r="51" spans="2:3">
      <c r="B51" s="291" t="str">
        <f>T('1 REHAB ANALYZER'!C39:K40)</f>
        <v>PROPERTY TAXES</v>
      </c>
      <c r="C51" s="291">
        <f>'1 REHAB ANALYZER'!AA39</f>
        <v>0</v>
      </c>
    </row>
    <row r="52" spans="2:3">
      <c r="B52" s="291" t="str">
        <f>T('1 REHAB ANALYZER'!C41:K42)</f>
        <v>UTILITIES</v>
      </c>
      <c r="C52" s="291">
        <f>'1 REHAB ANALYZER'!AA41</f>
        <v>0</v>
      </c>
    </row>
    <row r="53" spans="2:3">
      <c r="B53" s="291" t="str">
        <f>T('1 REHAB ANALYZER'!C43:K44)</f>
        <v>INSURANCE</v>
      </c>
      <c r="C53" s="291">
        <f>'1 REHAB ANALYZER'!AA43</f>
        <v>0</v>
      </c>
    </row>
    <row r="54" spans="2:3">
      <c r="B54" s="291" t="str">
        <f>T('1 REHAB ANALYZER'!C45:J46)</f>
        <v>HOA DUES</v>
      </c>
      <c r="C54" s="291">
        <f>'1 REHAB ANALYZER'!AA45</f>
        <v>0</v>
      </c>
    </row>
    <row r="55" spans="2:3">
      <c r="B55" s="291" t="str">
        <f>T('1 REHAB ANALYZER'!C47:J48)</f>
        <v>MAINTENANCE</v>
      </c>
      <c r="C55" s="291">
        <f>'1 REHAB ANALYZER'!AA47</f>
        <v>0</v>
      </c>
    </row>
    <row r="56" spans="2:3">
      <c r="B56" s="291" t="str">
        <f>T('1 REHAB ANALYZER'!C49:L50)</f>
        <v>OTHER</v>
      </c>
      <c r="C56" s="291">
        <f>'1 REHAB ANALYZER'!AA49</f>
        <v>0</v>
      </c>
    </row>
    <row r="57" spans="2:3">
      <c r="B57" s="306" t="s">
        <v>39</v>
      </c>
      <c r="C57" s="305">
        <f>SUM(C50:C56)</f>
        <v>0</v>
      </c>
    </row>
    <row r="58" spans="2:3">
      <c r="B58" s="291" t="s">
        <v>1017</v>
      </c>
      <c r="C58" s="307">
        <f>IFERROR(C57/AFTER_REPAIR_VALUE_ESTIMATED,0)</f>
        <v>0</v>
      </c>
    </row>
    <row r="60" spans="2:3">
      <c r="B60" s="1463" t="s">
        <v>77</v>
      </c>
      <c r="C60" s="1463"/>
    </row>
    <row r="61" spans="2:3">
      <c r="B61" s="291" t="str">
        <f>T('1 REHAB ANALYZER'!C57:P58)</f>
        <v>COMMISSIONS</v>
      </c>
      <c r="C61" s="291">
        <f>'1 REHAB ANALYZER'!AA57</f>
        <v>0</v>
      </c>
    </row>
    <row r="62" spans="2:3">
      <c r="B62" s="291" t="str">
        <f>T('1 REHAB ANALYZER'!C59:P60)</f>
        <v>SELLER ASSISTED CLOSING COSTS</v>
      </c>
      <c r="C62" s="291">
        <f>'1 REHAB ANALYZER'!AA59</f>
        <v>0</v>
      </c>
    </row>
    <row r="63" spans="2:3">
      <c r="B63" s="291" t="str">
        <f>T('1 REHAB ANALYZER'!C61:P62)</f>
        <v>BROKERAGE FEE ($300 Avg.)</v>
      </c>
      <c r="C63" s="291">
        <f>'1 REHAB ANALYZER'!AA61</f>
        <v>0</v>
      </c>
    </row>
    <row r="64" spans="2:3">
      <c r="B64" s="291" t="str">
        <f>T('1 REHAB ANALYZER'!C63:P64)</f>
        <v>HOME WARRANTY ($450 Avg.)</v>
      </c>
      <c r="C64" s="291">
        <f>'1 REHAB ANALYZER'!AA63</f>
        <v>0</v>
      </c>
    </row>
    <row r="65" spans="2:6">
      <c r="B65" s="291" t="str">
        <f>T('1 REHAB ANALYZER'!C65:P66)</f>
        <v>TITLE INSURANCE ($150 Avg.)</v>
      </c>
      <c r="C65" s="291">
        <f>'1 REHAB ANALYZER'!AA65</f>
        <v>0</v>
      </c>
    </row>
    <row r="66" spans="2:6">
      <c r="B66" s="291" t="str">
        <f>T('1 REHAB ANALYZER'!C67:Z68)</f>
        <v>2ND APPRAISAL ($500 Avg.)</v>
      </c>
      <c r="C66" s="291">
        <f>'1 REHAB ANALYZER'!AA67</f>
        <v>0</v>
      </c>
    </row>
    <row r="67" spans="2:6">
      <c r="B67" s="291" t="str">
        <f>T('1 REHAB ANALYZER'!C69:Z70)</f>
        <v>OTHER</v>
      </c>
      <c r="C67" s="291">
        <f>'1 REHAB ANALYZER'!AA69</f>
        <v>0</v>
      </c>
    </row>
    <row r="68" spans="2:6">
      <c r="B68" s="306" t="s">
        <v>39</v>
      </c>
      <c r="C68" s="305">
        <f>SUM(C61:C67)</f>
        <v>0</v>
      </c>
    </row>
    <row r="69" spans="2:6">
      <c r="B69" s="291" t="s">
        <v>1356</v>
      </c>
      <c r="C69" s="307">
        <f>IFERROR(C68/AFTER_REPAIR_VALUE_ESTIMATED,0)</f>
        <v>0</v>
      </c>
    </row>
    <row r="71" spans="2:6">
      <c r="B71" s="306" t="s">
        <v>1007</v>
      </c>
      <c r="C71" s="305">
        <f>C46</f>
        <v>0</v>
      </c>
    </row>
    <row r="72" spans="2:6">
      <c r="B72" s="291" t="s">
        <v>1016</v>
      </c>
      <c r="C72" s="307">
        <f>IFERROR(C71/AFTER_REPAIR_VALUE_ESTIMATED,0)</f>
        <v>0</v>
      </c>
    </row>
    <row r="74" spans="2:6">
      <c r="B74" s="1463" t="s">
        <v>1161</v>
      </c>
      <c r="C74" s="1463"/>
      <c r="D74" s="290" t="s">
        <v>1159</v>
      </c>
      <c r="E74" s="290" t="s">
        <v>1132</v>
      </c>
      <c r="F74" s="290" t="s">
        <v>522</v>
      </c>
    </row>
    <row r="75" spans="2:6">
      <c r="B75" s="291" t="str">
        <f>T(Category1)</f>
        <v>GENERAL CONDITIONS</v>
      </c>
      <c r="C75" s="291">
        <f>GC_ESTIMATE</f>
        <v>0</v>
      </c>
      <c r="D75" s="447">
        <f t="shared" ref="D75:D99" si="0">IFERROR(C75/SUBTOTAL_ESTIMATE,0)</f>
        <v>0</v>
      </c>
      <c r="E75" s="448">
        <f t="shared" ref="E75:E98" si="1">D75*TOTAL_ADDERS</f>
        <v>0</v>
      </c>
      <c r="F75" s="448">
        <f>C75+E75</f>
        <v>0</v>
      </c>
    </row>
    <row r="76" spans="2:6">
      <c r="B76" s="291" t="str">
        <f>T(Category2)</f>
        <v>DEMOLITION</v>
      </c>
      <c r="C76" s="291">
        <f>DEMOLITION_ESTIMATE</f>
        <v>0</v>
      </c>
      <c r="D76" s="447">
        <f t="shared" si="0"/>
        <v>0</v>
      </c>
      <c r="E76" s="448">
        <f t="shared" si="1"/>
        <v>0</v>
      </c>
      <c r="F76" s="448">
        <f t="shared" ref="F76:F98" si="2">C76+E76</f>
        <v>0</v>
      </c>
    </row>
    <row r="77" spans="2:6">
      <c r="B77" s="291" t="str">
        <f>T(Category3)</f>
        <v>STRUCTURAL CONCRETE</v>
      </c>
      <c r="C77" s="291">
        <f>STRUCTURAL_ESTIMATE</f>
        <v>0</v>
      </c>
      <c r="D77" s="447">
        <f t="shared" si="0"/>
        <v>0</v>
      </c>
      <c r="E77" s="448">
        <f t="shared" si="1"/>
        <v>0</v>
      </c>
      <c r="F77" s="448">
        <f t="shared" si="2"/>
        <v>0</v>
      </c>
    </row>
    <row r="78" spans="2:6">
      <c r="B78" s="291" t="str">
        <f>T(Category4)</f>
        <v>CONCRETE &amp; FLATWORK</v>
      </c>
      <c r="C78" s="291">
        <f>CONCRETE_ESTIMATE</f>
        <v>0</v>
      </c>
      <c r="D78" s="447">
        <f t="shared" si="0"/>
        <v>0</v>
      </c>
      <c r="E78" s="448">
        <f t="shared" si="1"/>
        <v>0</v>
      </c>
      <c r="F78" s="448">
        <f t="shared" si="2"/>
        <v>0</v>
      </c>
    </row>
    <row r="79" spans="2:6">
      <c r="B79" s="291" t="str">
        <f>T(Category5)</f>
        <v>MASONRY</v>
      </c>
      <c r="C79" s="291">
        <f>MASONRY_ESTIMATE</f>
        <v>0</v>
      </c>
      <c r="D79" s="447">
        <f t="shared" si="0"/>
        <v>0</v>
      </c>
      <c r="E79" s="448">
        <f t="shared" si="1"/>
        <v>0</v>
      </c>
      <c r="F79" s="448">
        <f t="shared" si="2"/>
        <v>0</v>
      </c>
    </row>
    <row r="80" spans="2:6">
      <c r="B80" s="291" t="str">
        <f>T(Category6)</f>
        <v>SIDING</v>
      </c>
      <c r="C80" s="291">
        <f>SIDING_ESTIMATE</f>
        <v>0</v>
      </c>
      <c r="D80" s="447">
        <f t="shared" si="0"/>
        <v>0</v>
      </c>
      <c r="E80" s="448">
        <f t="shared" si="1"/>
        <v>0</v>
      </c>
      <c r="F80" s="448">
        <f t="shared" si="2"/>
        <v>0</v>
      </c>
    </row>
    <row r="81" spans="2:6">
      <c r="B81" s="291" t="str">
        <f>T(Category7)</f>
        <v>DECKING AND PATIOS</v>
      </c>
      <c r="C81" s="291">
        <f>DECKING_ESTIMATE</f>
        <v>0</v>
      </c>
      <c r="D81" s="447">
        <f t="shared" si="0"/>
        <v>0</v>
      </c>
      <c r="E81" s="448">
        <f t="shared" si="1"/>
        <v>0</v>
      </c>
      <c r="F81" s="448">
        <f t="shared" si="2"/>
        <v>0</v>
      </c>
    </row>
    <row r="82" spans="2:6">
      <c r="B82" s="291" t="str">
        <f>T(Category8)</f>
        <v>ROOFING</v>
      </c>
      <c r="C82" s="291">
        <f>ROOFING_ESTIMATE</f>
        <v>0</v>
      </c>
      <c r="D82" s="447">
        <f t="shared" si="0"/>
        <v>0</v>
      </c>
      <c r="E82" s="448">
        <f t="shared" si="1"/>
        <v>0</v>
      </c>
      <c r="F82" s="448">
        <f t="shared" si="2"/>
        <v>0</v>
      </c>
    </row>
    <row r="83" spans="2:6">
      <c r="B83" s="291" t="str">
        <f>T(Category9)</f>
        <v>EXTERIOR DOORS &amp; WINDOWS</v>
      </c>
      <c r="C83" s="291">
        <f>DOORS_WINDOWS_ESTIMATE</f>
        <v>0</v>
      </c>
      <c r="D83" s="447">
        <f t="shared" si="0"/>
        <v>0</v>
      </c>
      <c r="E83" s="448">
        <f t="shared" si="1"/>
        <v>0</v>
      </c>
      <c r="F83" s="448">
        <f t="shared" si="2"/>
        <v>0</v>
      </c>
    </row>
    <row r="84" spans="2:6">
      <c r="B84" s="291" t="str">
        <f>T(Category10)</f>
        <v>GARAGE DOORS</v>
      </c>
      <c r="C84" s="291">
        <f>GARAGE_DOORS_ESTIMATE</f>
        <v>0</v>
      </c>
      <c r="D84" s="447">
        <f t="shared" si="0"/>
        <v>0</v>
      </c>
      <c r="E84" s="448">
        <f t="shared" si="1"/>
        <v>0</v>
      </c>
      <c r="F84" s="448">
        <f t="shared" si="2"/>
        <v>0</v>
      </c>
    </row>
    <row r="85" spans="2:6">
      <c r="B85" s="291" t="str">
        <f>T(Category11)</f>
        <v>LANDSCAPING</v>
      </c>
      <c r="C85" s="291">
        <f>LANDSCAPING_ESTIMATE</f>
        <v>0</v>
      </c>
      <c r="D85" s="447">
        <f t="shared" si="0"/>
        <v>0</v>
      </c>
      <c r="E85" s="448">
        <f t="shared" si="1"/>
        <v>0</v>
      </c>
      <c r="F85" s="448">
        <f t="shared" si="2"/>
        <v>0</v>
      </c>
    </row>
    <row r="86" spans="2:6">
      <c r="B86" s="291" t="str">
        <f>T(Category12)</f>
        <v>MISC. EXTERIOR ITEMS</v>
      </c>
      <c r="C86" s="291">
        <f>MISC_EXT_IMPROV_ESTIMATE</f>
        <v>0</v>
      </c>
      <c r="D86" s="447">
        <f t="shared" si="0"/>
        <v>0</v>
      </c>
      <c r="E86" s="448">
        <f t="shared" si="1"/>
        <v>0</v>
      </c>
      <c r="F86" s="448">
        <f t="shared" si="2"/>
        <v>0</v>
      </c>
    </row>
    <row r="87" spans="2:6">
      <c r="B87" s="291" t="str">
        <f>T(Category13)</f>
        <v>FRAMING &amp; DRYWALL</v>
      </c>
      <c r="C87" s="291">
        <f>FRAMING_DRYWALL_ESTIMATE</f>
        <v>0</v>
      </c>
      <c r="D87" s="447">
        <f t="shared" si="0"/>
        <v>0</v>
      </c>
      <c r="E87" s="448">
        <f t="shared" si="1"/>
        <v>0</v>
      </c>
      <c r="F87" s="448">
        <f t="shared" si="2"/>
        <v>0</v>
      </c>
    </row>
    <row r="88" spans="2:6">
      <c r="B88" s="291" t="str">
        <f>T(Category14)</f>
        <v>CABINETS &amp; COUNTERTOPS</v>
      </c>
      <c r="C88" s="291">
        <f>CABINETS_COUNTERS_ESTIMATE</f>
        <v>0</v>
      </c>
      <c r="D88" s="447">
        <f t="shared" si="0"/>
        <v>0</v>
      </c>
      <c r="E88" s="448">
        <f t="shared" si="1"/>
        <v>0</v>
      </c>
      <c r="F88" s="448">
        <f t="shared" si="2"/>
        <v>0</v>
      </c>
    </row>
    <row r="89" spans="2:6">
      <c r="B89" s="291" t="str">
        <f>T(Category15)</f>
        <v>DOORS &amp; TRIM</v>
      </c>
      <c r="C89" s="291">
        <f>DOORS_TRIM_ESTIMATE</f>
        <v>0</v>
      </c>
      <c r="D89" s="447">
        <f t="shared" si="0"/>
        <v>0</v>
      </c>
      <c r="E89" s="448">
        <f t="shared" si="1"/>
        <v>0</v>
      </c>
      <c r="F89" s="448">
        <f t="shared" si="2"/>
        <v>0</v>
      </c>
    </row>
    <row r="90" spans="2:6">
      <c r="B90" s="291" t="str">
        <f>T(Category16)</f>
        <v>CARPET &amp; RESILIENT</v>
      </c>
      <c r="C90" s="291">
        <f>CARPET_ESTIMATE</f>
        <v>0</v>
      </c>
      <c r="D90" s="447">
        <f t="shared" si="0"/>
        <v>0</v>
      </c>
      <c r="E90" s="448">
        <f t="shared" si="1"/>
        <v>0</v>
      </c>
      <c r="F90" s="448">
        <f t="shared" si="2"/>
        <v>0</v>
      </c>
    </row>
    <row r="91" spans="2:6">
      <c r="B91" s="291" t="str">
        <f>T(Category17)</f>
        <v>HARDWOOD FLOORING</v>
      </c>
      <c r="C91" s="291">
        <f>HARDWOOD_ESTIMATE</f>
        <v>0</v>
      </c>
      <c r="D91" s="447">
        <f t="shared" si="0"/>
        <v>0</v>
      </c>
      <c r="E91" s="448">
        <f t="shared" si="1"/>
        <v>0</v>
      </c>
      <c r="F91" s="448">
        <f t="shared" si="2"/>
        <v>0</v>
      </c>
    </row>
    <row r="92" spans="2:6">
      <c r="B92" s="291" t="str">
        <f>T(Category18)</f>
        <v>TILING</v>
      </c>
      <c r="C92" s="291">
        <f>TILING_ESTIMATE</f>
        <v>0</v>
      </c>
      <c r="D92" s="447">
        <f t="shared" si="0"/>
        <v>0</v>
      </c>
      <c r="E92" s="448">
        <f t="shared" si="1"/>
        <v>0</v>
      </c>
      <c r="F92" s="448">
        <f t="shared" si="2"/>
        <v>0</v>
      </c>
    </row>
    <row r="93" spans="2:6">
      <c r="B93" s="291" t="str">
        <f>T(Category19)</f>
        <v>PAINTING</v>
      </c>
      <c r="C93" s="291">
        <f>PAINTING_ESTIMATE</f>
        <v>0</v>
      </c>
      <c r="D93" s="447">
        <f t="shared" si="0"/>
        <v>0</v>
      </c>
      <c r="E93" s="448">
        <f t="shared" si="1"/>
        <v>0</v>
      </c>
      <c r="F93" s="448">
        <f t="shared" si="2"/>
        <v>0</v>
      </c>
    </row>
    <row r="94" spans="2:6">
      <c r="B94" s="291" t="str">
        <f>T(Category20)</f>
        <v>APPLIANCES</v>
      </c>
      <c r="C94" s="291">
        <f>APPLIANCES_ESTIMATE</f>
        <v>0</v>
      </c>
      <c r="D94" s="447">
        <f t="shared" si="0"/>
        <v>0</v>
      </c>
      <c r="E94" s="448">
        <f t="shared" si="1"/>
        <v>0</v>
      </c>
      <c r="F94" s="448">
        <f t="shared" si="2"/>
        <v>0</v>
      </c>
    </row>
    <row r="95" spans="2:6">
      <c r="B95" s="291" t="str">
        <f>T(Category21)</f>
        <v>PLUMBING</v>
      </c>
      <c r="C95" s="291">
        <f>PLUMBING_ESTIMATE</f>
        <v>0</v>
      </c>
      <c r="D95" s="447">
        <f t="shared" si="0"/>
        <v>0</v>
      </c>
      <c r="E95" s="448">
        <f t="shared" si="1"/>
        <v>0</v>
      </c>
      <c r="F95" s="448">
        <f t="shared" si="2"/>
        <v>0</v>
      </c>
    </row>
    <row r="96" spans="2:6">
      <c r="B96" s="291" t="str">
        <f>T(Category22)</f>
        <v>HVAC</v>
      </c>
      <c r="C96" s="291">
        <f>HVAC_ESTIMATE</f>
        <v>0</v>
      </c>
      <c r="D96" s="447">
        <f t="shared" si="0"/>
        <v>0</v>
      </c>
      <c r="E96" s="448">
        <f t="shared" si="1"/>
        <v>0</v>
      </c>
      <c r="F96" s="448">
        <f t="shared" si="2"/>
        <v>0</v>
      </c>
    </row>
    <row r="97" spans="2:7">
      <c r="B97" s="291" t="str">
        <f>T(Category23)</f>
        <v>ELECTRICAL</v>
      </c>
      <c r="C97" s="291">
        <f>ELECTRICAL_ESTIMATE</f>
        <v>0</v>
      </c>
      <c r="D97" s="447">
        <f t="shared" si="0"/>
        <v>0</v>
      </c>
      <c r="E97" s="448">
        <f t="shared" si="1"/>
        <v>0</v>
      </c>
      <c r="F97" s="448">
        <f t="shared" si="2"/>
        <v>0</v>
      </c>
    </row>
    <row r="98" spans="2:7">
      <c r="B98" s="291" t="str">
        <f>T(Category24)</f>
        <v>MISCELLANEOUS</v>
      </c>
      <c r="C98" s="291">
        <f>MISCELLANEOUS_ESTIMATE</f>
        <v>0</v>
      </c>
      <c r="D98" s="447">
        <f t="shared" si="0"/>
        <v>0</v>
      </c>
      <c r="E98" s="448">
        <f t="shared" si="1"/>
        <v>0</v>
      </c>
      <c r="F98" s="448">
        <f t="shared" si="2"/>
        <v>0</v>
      </c>
    </row>
    <row r="99" spans="2:7">
      <c r="B99" s="306" t="s">
        <v>1144</v>
      </c>
      <c r="C99" s="305">
        <f>SUM(C75:C98)</f>
        <v>0</v>
      </c>
      <c r="D99" s="446">
        <f t="shared" si="0"/>
        <v>0</v>
      </c>
      <c r="E99" s="448">
        <f>SUM(E75:E98)</f>
        <v>0</v>
      </c>
      <c r="F99" s="448">
        <f>SUM(F75:F98)</f>
        <v>0</v>
      </c>
      <c r="G99" s="448"/>
    </row>
    <row r="100" spans="2:7">
      <c r="B100" s="1463" t="s">
        <v>1162</v>
      </c>
      <c r="C100" s="1463"/>
    </row>
    <row r="101" spans="2:7">
      <c r="B101" s="291" t="str">
        <f>CONCATENATE(B75," w ADDERS")</f>
        <v>GENERAL CONDITIONS w ADDERS</v>
      </c>
      <c r="C101" s="449">
        <f>F75</f>
        <v>0</v>
      </c>
    </row>
    <row r="102" spans="2:7">
      <c r="B102" s="291" t="str">
        <f t="shared" ref="B102:B124" si="3">CONCATENATE(B76," w ADDERS")</f>
        <v>DEMOLITION w ADDERS</v>
      </c>
      <c r="C102" s="449">
        <f t="shared" ref="C102:C124" si="4">F76</f>
        <v>0</v>
      </c>
    </row>
    <row r="103" spans="2:7">
      <c r="B103" s="291" t="str">
        <f t="shared" si="3"/>
        <v>STRUCTURAL CONCRETE w ADDERS</v>
      </c>
      <c r="C103" s="449">
        <f t="shared" si="4"/>
        <v>0</v>
      </c>
    </row>
    <row r="104" spans="2:7">
      <c r="B104" s="291" t="str">
        <f t="shared" si="3"/>
        <v>CONCRETE &amp; FLATWORK w ADDERS</v>
      </c>
      <c r="C104" s="449">
        <f t="shared" si="4"/>
        <v>0</v>
      </c>
    </row>
    <row r="105" spans="2:7">
      <c r="B105" s="291" t="str">
        <f t="shared" si="3"/>
        <v>MASONRY w ADDERS</v>
      </c>
      <c r="C105" s="449">
        <f t="shared" si="4"/>
        <v>0</v>
      </c>
    </row>
    <row r="106" spans="2:7">
      <c r="B106" s="291" t="str">
        <f t="shared" si="3"/>
        <v>SIDING w ADDERS</v>
      </c>
      <c r="C106" s="449">
        <f t="shared" si="4"/>
        <v>0</v>
      </c>
    </row>
    <row r="107" spans="2:7">
      <c r="B107" s="291" t="str">
        <f t="shared" si="3"/>
        <v>DECKING AND PATIOS w ADDERS</v>
      </c>
      <c r="C107" s="449">
        <f t="shared" si="4"/>
        <v>0</v>
      </c>
    </row>
    <row r="108" spans="2:7">
      <c r="B108" s="291" t="str">
        <f t="shared" si="3"/>
        <v>ROOFING w ADDERS</v>
      </c>
      <c r="C108" s="449">
        <f t="shared" si="4"/>
        <v>0</v>
      </c>
    </row>
    <row r="109" spans="2:7">
      <c r="B109" s="291" t="str">
        <f t="shared" si="3"/>
        <v>EXTERIOR DOORS &amp; WINDOWS w ADDERS</v>
      </c>
      <c r="C109" s="449">
        <f t="shared" si="4"/>
        <v>0</v>
      </c>
    </row>
    <row r="110" spans="2:7">
      <c r="B110" s="291" t="str">
        <f t="shared" si="3"/>
        <v>GARAGE DOORS w ADDERS</v>
      </c>
      <c r="C110" s="449">
        <f t="shared" si="4"/>
        <v>0</v>
      </c>
    </row>
    <row r="111" spans="2:7">
      <c r="B111" s="291" t="str">
        <f t="shared" si="3"/>
        <v>LANDSCAPING w ADDERS</v>
      </c>
      <c r="C111" s="449">
        <f t="shared" si="4"/>
        <v>0</v>
      </c>
    </row>
    <row r="112" spans="2:7">
      <c r="B112" s="291" t="str">
        <f t="shared" si="3"/>
        <v>MISC. EXTERIOR ITEMS w ADDERS</v>
      </c>
      <c r="C112" s="449">
        <f t="shared" si="4"/>
        <v>0</v>
      </c>
    </row>
    <row r="113" spans="2:3">
      <c r="B113" s="291" t="str">
        <f t="shared" si="3"/>
        <v>FRAMING &amp; DRYWALL w ADDERS</v>
      </c>
      <c r="C113" s="449">
        <f t="shared" si="4"/>
        <v>0</v>
      </c>
    </row>
    <row r="114" spans="2:3">
      <c r="B114" s="291" t="str">
        <f t="shared" si="3"/>
        <v>CABINETS &amp; COUNTERTOPS w ADDERS</v>
      </c>
      <c r="C114" s="449">
        <f t="shared" si="4"/>
        <v>0</v>
      </c>
    </row>
    <row r="115" spans="2:3">
      <c r="B115" s="291" t="str">
        <f t="shared" si="3"/>
        <v>DOORS &amp; TRIM w ADDERS</v>
      </c>
      <c r="C115" s="449">
        <f t="shared" si="4"/>
        <v>0</v>
      </c>
    </row>
    <row r="116" spans="2:3">
      <c r="B116" s="291" t="str">
        <f t="shared" si="3"/>
        <v>CARPET &amp; RESILIENT w ADDERS</v>
      </c>
      <c r="C116" s="449">
        <f t="shared" si="4"/>
        <v>0</v>
      </c>
    </row>
    <row r="117" spans="2:3">
      <c r="B117" s="291" t="str">
        <f t="shared" si="3"/>
        <v>HARDWOOD FLOORING w ADDERS</v>
      </c>
      <c r="C117" s="449">
        <f t="shared" si="4"/>
        <v>0</v>
      </c>
    </row>
    <row r="118" spans="2:3">
      <c r="B118" s="291" t="str">
        <f t="shared" si="3"/>
        <v>TILING w ADDERS</v>
      </c>
      <c r="C118" s="449">
        <f t="shared" si="4"/>
        <v>0</v>
      </c>
    </row>
    <row r="119" spans="2:3">
      <c r="B119" s="291" t="str">
        <f t="shared" si="3"/>
        <v>PAINTING w ADDERS</v>
      </c>
      <c r="C119" s="449">
        <f t="shared" si="4"/>
        <v>0</v>
      </c>
    </row>
    <row r="120" spans="2:3">
      <c r="B120" s="291" t="str">
        <f t="shared" si="3"/>
        <v>APPLIANCES w ADDERS</v>
      </c>
      <c r="C120" s="449">
        <f t="shared" si="4"/>
        <v>0</v>
      </c>
    </row>
    <row r="121" spans="2:3">
      <c r="B121" s="291" t="str">
        <f t="shared" si="3"/>
        <v>PLUMBING w ADDERS</v>
      </c>
      <c r="C121" s="449">
        <f t="shared" si="4"/>
        <v>0</v>
      </c>
    </row>
    <row r="122" spans="2:3">
      <c r="B122" s="291" t="str">
        <f t="shared" si="3"/>
        <v>HVAC w ADDERS</v>
      </c>
      <c r="C122" s="449">
        <f t="shared" si="4"/>
        <v>0</v>
      </c>
    </row>
    <row r="123" spans="2:3">
      <c r="B123" s="291" t="str">
        <f t="shared" si="3"/>
        <v>ELECTRICAL w ADDERS</v>
      </c>
      <c r="C123" s="449">
        <f t="shared" si="4"/>
        <v>0</v>
      </c>
    </row>
    <row r="124" spans="2:3">
      <c r="B124" s="291" t="str">
        <f t="shared" si="3"/>
        <v>MISCELLANEOUS w ADDERS</v>
      </c>
      <c r="C124" s="449">
        <f t="shared" si="4"/>
        <v>0</v>
      </c>
    </row>
    <row r="125" spans="2:3">
      <c r="B125" s="306" t="s">
        <v>1144</v>
      </c>
      <c r="C125" s="499">
        <f>SUM(C101:C124)</f>
        <v>0</v>
      </c>
    </row>
    <row r="126" spans="2:3">
      <c r="B126" s="1463" t="s">
        <v>1128</v>
      </c>
      <c r="C126" s="1463"/>
    </row>
    <row r="127" spans="2:3">
      <c r="B127" s="291" t="s">
        <v>1145</v>
      </c>
      <c r="C127" s="439">
        <f>Estimator_Location_Multiplier_Cell</f>
        <v>0</v>
      </c>
    </row>
    <row r="128" spans="2:3">
      <c r="B128" s="291" t="s">
        <v>1149</v>
      </c>
      <c r="C128" s="437">
        <f>Estimator_Building_Permit_Cell</f>
        <v>0</v>
      </c>
    </row>
    <row r="129" spans="2:3">
      <c r="B129" s="291" t="s">
        <v>1150</v>
      </c>
      <c r="C129" s="437">
        <f>Estimator_Contractor_Overhead_Cell</f>
        <v>0</v>
      </c>
    </row>
    <row r="130" spans="2:3">
      <c r="B130" s="291" t="s">
        <v>1151</v>
      </c>
      <c r="C130" s="437">
        <f>Estimator_Contingency_Cell</f>
        <v>0</v>
      </c>
    </row>
    <row r="131" spans="2:3">
      <c r="B131" s="306" t="s">
        <v>1152</v>
      </c>
      <c r="C131" s="438">
        <f>'2 REPAIR ESTIMATOR'!H80</f>
        <v>0</v>
      </c>
    </row>
    <row r="132" spans="2:3">
      <c r="B132" s="291" t="s">
        <v>1145</v>
      </c>
      <c r="C132" s="500">
        <f>Estimator_Location_Multiplier_Amount</f>
        <v>0</v>
      </c>
    </row>
    <row r="133" spans="2:3">
      <c r="B133" s="291" t="s">
        <v>1146</v>
      </c>
      <c r="C133" s="500">
        <f>Estimator_Permit_Cost_Amount</f>
        <v>0</v>
      </c>
    </row>
    <row r="134" spans="2:3">
      <c r="B134" s="291" t="s">
        <v>1147</v>
      </c>
      <c r="C134" s="500">
        <f>Estimator_Contractor_Overhead_Amount</f>
        <v>0</v>
      </c>
    </row>
    <row r="135" spans="2:3">
      <c r="B135" s="291" t="s">
        <v>1148</v>
      </c>
      <c r="C135" s="500">
        <f>Estimator_Contingency_Amount</f>
        <v>0</v>
      </c>
    </row>
    <row r="136" spans="2:3">
      <c r="B136" s="306" t="s">
        <v>1153</v>
      </c>
      <c r="C136" s="499">
        <f>Estimator_Total_Adder_Amount</f>
        <v>0</v>
      </c>
    </row>
    <row r="137" spans="2:3">
      <c r="B137" s="306" t="s">
        <v>1156</v>
      </c>
      <c r="C137" s="499">
        <f>SUBTOTAL_ESTIMATE+TOTAL_ADDERS</f>
        <v>0</v>
      </c>
    </row>
    <row r="138" spans="2:3">
      <c r="B138" s="1463" t="s">
        <v>1202</v>
      </c>
      <c r="C138" s="1463"/>
    </row>
    <row r="139" spans="2:3">
      <c r="B139" s="291" t="s">
        <v>1203</v>
      </c>
      <c r="C139" s="500">
        <f>AFTER_REPAIR_VALUE_CELL</f>
        <v>0</v>
      </c>
    </row>
    <row r="140" spans="2:3">
      <c r="B140" s="291" t="s">
        <v>88</v>
      </c>
      <c r="C140" s="500">
        <f>Maximum_Purchase_Price</f>
        <v>0</v>
      </c>
    </row>
    <row r="141" spans="2:3">
      <c r="B141" s="291" t="s">
        <v>74</v>
      </c>
      <c r="C141" s="500">
        <f>IF(Fixed_Cost_Calculation_Method="% OF ARV",TOTAL_FIXED_COSTS_ESTIMATED/4,TOTAL_BUYING_COSTS_ESTIMATED)</f>
        <v>0</v>
      </c>
    </row>
    <row r="142" spans="2:3">
      <c r="B142" s="291" t="s">
        <v>75</v>
      </c>
      <c r="C142" s="500">
        <f>IF(Fixed_Cost_Calculation_Method="% OF ARV",TOTAL_FIXED_COSTS_ESTIMATED/4,TOTAL_HOLDING_COSTS_ESTIMATED)</f>
        <v>0</v>
      </c>
    </row>
    <row r="143" spans="2:3">
      <c r="B143" s="291" t="s">
        <v>77</v>
      </c>
      <c r="C143" s="500">
        <f>IF(Fixed_Cost_Calculation_Method="% OF ARV",TOTAL_FIXED_COSTS_ESTIMATED/4,TOTAL_SELLING_COSTS_ESTIMATED)</f>
        <v>0</v>
      </c>
    </row>
    <row r="144" spans="2:3">
      <c r="B144" s="291" t="s">
        <v>1591</v>
      </c>
      <c r="C144" s="500">
        <f>IF(Fixed_Cost_Calculation_Method="% OF ARV",TOTAL_FIXED_COSTS_ESTIMATED/4,TOTAL_FINANCING_COSTS)</f>
        <v>0</v>
      </c>
    </row>
    <row r="145" spans="2:3">
      <c r="B145" s="291" t="s">
        <v>1007</v>
      </c>
      <c r="C145" s="500">
        <f>TOTAL_FIXED_COSTS_ESTIMATED</f>
        <v>0</v>
      </c>
    </row>
    <row r="146" spans="2:3">
      <c r="B146" s="291" t="s">
        <v>1204</v>
      </c>
      <c r="C146" s="500">
        <f>ESTIMATE_SUBTOTAL</f>
        <v>0</v>
      </c>
    </row>
    <row r="147" spans="2:3">
      <c r="B147" s="291" t="s">
        <v>1178</v>
      </c>
      <c r="C147" s="500">
        <f>'1 REHAB ANALYZER'!BG76</f>
        <v>0</v>
      </c>
    </row>
    <row r="148" spans="2:3">
      <c r="B148" s="291" t="s">
        <v>493</v>
      </c>
      <c r="C148" s="500">
        <f>TOTAL_REMODEL_ESTIMATE</f>
        <v>0</v>
      </c>
    </row>
    <row r="149" spans="2:3">
      <c r="B149" s="291" t="s">
        <v>1206</v>
      </c>
      <c r="C149" s="500">
        <f>C140+C141+C142+C148+C144</f>
        <v>0</v>
      </c>
    </row>
    <row r="150" spans="2:3">
      <c r="B150" s="291" t="s">
        <v>1205</v>
      </c>
      <c r="C150" s="500">
        <f>C140+C145+C148</f>
        <v>0</v>
      </c>
    </row>
    <row r="151" spans="2:3">
      <c r="B151" s="291" t="s">
        <v>972</v>
      </c>
      <c r="C151" s="500">
        <f>C139-C150</f>
        <v>0</v>
      </c>
    </row>
    <row r="152" spans="2:3">
      <c r="B152" s="1463" t="s">
        <v>1208</v>
      </c>
      <c r="C152" s="1463"/>
    </row>
    <row r="153" spans="2:3">
      <c r="B153" s="291" t="s">
        <v>1203</v>
      </c>
      <c r="C153" s="500">
        <f>AFTER_REPAIR_VALUE_CELL</f>
        <v>0</v>
      </c>
    </row>
    <row r="154" spans="2:3">
      <c r="B154" s="291" t="s">
        <v>1189</v>
      </c>
      <c r="C154" s="500">
        <f>Known_Purchase_Price_Cell</f>
        <v>0</v>
      </c>
    </row>
    <row r="155" spans="2:3">
      <c r="B155" s="291" t="s">
        <v>74</v>
      </c>
      <c r="C155" s="500">
        <f>IF(Fixed_Cost_Calculation_Method="% OF ARV",TOTAL_FIXED_COSTS_ESTIMATED/4,TOTAL_BUYING_COSTS_ESTIMATED)</f>
        <v>0</v>
      </c>
    </row>
    <row r="156" spans="2:3">
      <c r="B156" s="291" t="s">
        <v>75</v>
      </c>
      <c r="C156" s="500">
        <f>IF(Fixed_Cost_Calculation_Method="% OF ARV",TOTAL_FIXED_COSTS_ESTIMATED/4,TOTAL_HOLDING_COSTS_ESTIMATED)</f>
        <v>0</v>
      </c>
    </row>
    <row r="157" spans="2:3">
      <c r="B157" s="291" t="s">
        <v>77</v>
      </c>
      <c r="C157" s="500">
        <f>IF(Fixed_Cost_Calculation_Method="% OF ARV",TOTAL_FIXED_COSTS_ESTIMATED/4,TOTAL_SELLING_COSTS_ESTIMATED)</f>
        <v>0</v>
      </c>
    </row>
    <row r="158" spans="2:3">
      <c r="B158" s="291" t="s">
        <v>1591</v>
      </c>
      <c r="C158" s="500">
        <f>IF(Fixed_Cost_Calculation_Method="% OF ARV",TOTAL_FIXED_COSTS_ESTIMATED/4,TOTAL_FINANCING_COSTS)</f>
        <v>0</v>
      </c>
    </row>
    <row r="159" spans="2:3">
      <c r="B159" s="291" t="s">
        <v>1007</v>
      </c>
      <c r="C159" s="500">
        <f>TOTAL_FIXED_COSTS_ESTIMATED</f>
        <v>0</v>
      </c>
    </row>
    <row r="160" spans="2:3">
      <c r="B160" s="291" t="s">
        <v>1204</v>
      </c>
      <c r="C160" s="500">
        <f>ESTIMATE_SUBTOTAL</f>
        <v>0</v>
      </c>
    </row>
    <row r="161" spans="2:4">
      <c r="B161" s="291" t="s">
        <v>1178</v>
      </c>
      <c r="C161" s="500">
        <f>'1 REHAB ANALYZER'!BG76</f>
        <v>0</v>
      </c>
    </row>
    <row r="162" spans="2:4">
      <c r="B162" s="291" t="s">
        <v>493</v>
      </c>
      <c r="C162" s="500">
        <f>TOTAL_REMODEL_ESTIMATE</f>
        <v>0</v>
      </c>
    </row>
    <row r="163" spans="2:4">
      <c r="B163" s="291" t="s">
        <v>1206</v>
      </c>
      <c r="C163" s="500">
        <f>C154+C155+C156+C162+C158</f>
        <v>0</v>
      </c>
    </row>
    <row r="164" spans="2:4">
      <c r="B164" s="291" t="s">
        <v>1205</v>
      </c>
      <c r="C164" s="500">
        <f>C154+C159+C162</f>
        <v>0</v>
      </c>
    </row>
    <row r="165" spans="2:4">
      <c r="B165" s="291" t="s">
        <v>972</v>
      </c>
      <c r="C165" s="500">
        <f>C153-C164</f>
        <v>0</v>
      </c>
    </row>
    <row r="166" spans="2:4">
      <c r="B166" s="1463" t="s">
        <v>1217</v>
      </c>
      <c r="C166" s="1463"/>
    </row>
    <row r="167" spans="2:4">
      <c r="B167" s="291" t="s">
        <v>1203</v>
      </c>
      <c r="C167" s="500">
        <f>IF(Rehab_Analyzer_Calculation_Method="Known Purchase Price",C153,C139)</f>
        <v>0</v>
      </c>
    </row>
    <row r="168" spans="2:4">
      <c r="B168" s="291" t="s">
        <v>1218</v>
      </c>
      <c r="C168" s="500">
        <f>IF(Rehab_Analyzer_Calculation_Method="Known Purchase Price",C154,C140)</f>
        <v>0</v>
      </c>
    </row>
    <row r="169" spans="2:4">
      <c r="B169" s="291" t="s">
        <v>74</v>
      </c>
      <c r="C169" s="500">
        <f>IF(Rehab_Analyzer_Calculation_Method="Known Purchase Price",C155,C141)</f>
        <v>0</v>
      </c>
    </row>
    <row r="170" spans="2:4">
      <c r="B170" s="291" t="s">
        <v>75</v>
      </c>
      <c r="C170" s="500">
        <f>IF(Rehab_Analyzer_Calculation_Method="Known Purchase Price",C156,C142)</f>
        <v>0</v>
      </c>
    </row>
    <row r="171" spans="2:4">
      <c r="B171" s="291" t="s">
        <v>77</v>
      </c>
      <c r="C171" s="500">
        <f>IF(Rehab_Analyzer_Calculation_Method="Known Purchase Price",C157,C143)</f>
        <v>0</v>
      </c>
    </row>
    <row r="172" spans="2:4">
      <c r="B172" s="291" t="s">
        <v>1007</v>
      </c>
      <c r="C172" s="500">
        <f t="shared" ref="C172:C178" si="5">IF(Rehab_Analyzer_Calculation_Method="Known Purchase Price",C159,C145)</f>
        <v>0</v>
      </c>
    </row>
    <row r="173" spans="2:4">
      <c r="B173" s="291" t="s">
        <v>1204</v>
      </c>
      <c r="C173" s="500">
        <f t="shared" si="5"/>
        <v>0</v>
      </c>
    </row>
    <row r="174" spans="2:4">
      <c r="B174" s="291" t="s">
        <v>1178</v>
      </c>
      <c r="C174" s="500">
        <f t="shared" si="5"/>
        <v>0</v>
      </c>
      <c r="D174" s="509">
        <f>IFERROR(Adders_Result/Raw_Repair_Costs_Result,0)</f>
        <v>0</v>
      </c>
    </row>
    <row r="175" spans="2:4">
      <c r="B175" s="291" t="s">
        <v>493</v>
      </c>
      <c r="C175" s="500">
        <f t="shared" si="5"/>
        <v>0</v>
      </c>
    </row>
    <row r="176" spans="2:4">
      <c r="B176" s="291" t="s">
        <v>1206</v>
      </c>
      <c r="C176" s="500">
        <f>IF(Rehab_Analyzer_Calculation_Method="Known Purchase Price",C163,C149)</f>
        <v>0</v>
      </c>
    </row>
    <row r="177" spans="2:3">
      <c r="B177" s="291" t="s">
        <v>1205</v>
      </c>
      <c r="C177" s="809">
        <f t="shared" si="5"/>
        <v>0</v>
      </c>
    </row>
    <row r="178" spans="2:3">
      <c r="B178" s="291" t="s">
        <v>972</v>
      </c>
      <c r="C178" s="500">
        <f t="shared" si="5"/>
        <v>0</v>
      </c>
    </row>
    <row r="179" spans="2:3">
      <c r="B179" s="291" t="s">
        <v>973</v>
      </c>
      <c r="C179" s="437" t="e">
        <f>IF(Total_Cash_Needed&lt;0,"Infinite ROI",Total_Profit_Result/Total_Cash_Needed)</f>
        <v>#DIV/0!</v>
      </c>
    </row>
    <row r="180" spans="2:3">
      <c r="B180" s="291" t="s">
        <v>338</v>
      </c>
      <c r="C180" s="437" t="e">
        <f>IF(Total_Cash_Needed&lt;0,"Infinite ROI",(Total_Profit_Result/Total_Cash_Needed/(Total_Schedule_Cell/12)))</f>
        <v>#DIV/0!</v>
      </c>
    </row>
    <row r="181" spans="2:3">
      <c r="B181" s="291" t="s">
        <v>972</v>
      </c>
      <c r="C181" s="500">
        <f>IF(Rehab_Analyzer_Calculation_Method="Known Purchase Price",C167,C153)</f>
        <v>0</v>
      </c>
    </row>
    <row r="182" spans="2:3">
      <c r="B182" s="1463" t="s">
        <v>1207</v>
      </c>
      <c r="C182" s="1463"/>
    </row>
    <row r="183" spans="2:3">
      <c r="B183" s="291" t="s">
        <v>1209</v>
      </c>
      <c r="C183" s="501" t="s">
        <v>373</v>
      </c>
    </row>
    <row r="184" spans="2:3">
      <c r="B184" s="291" t="s">
        <v>1195</v>
      </c>
      <c r="C184" s="500">
        <v>0</v>
      </c>
    </row>
    <row r="185" spans="2:3">
      <c r="B185" s="291" t="s">
        <v>1238</v>
      </c>
      <c r="C185" s="500">
        <f>IF(Number_of_Loans=2,1,0)</f>
        <v>0</v>
      </c>
    </row>
    <row r="186" spans="2:3">
      <c r="B186" s="1463" t="s">
        <v>1210</v>
      </c>
      <c r="C186" s="1463"/>
    </row>
    <row r="187" spans="2:3">
      <c r="B187" s="291" t="s">
        <v>1225</v>
      </c>
      <c r="C187" s="501" t="s">
        <v>394</v>
      </c>
    </row>
    <row r="188" spans="2:3">
      <c r="B188" s="291" t="s">
        <v>904</v>
      </c>
      <c r="C188" s="501" t="str">
        <f>'REHAB FINANCING SETUP'!BD18</f>
        <v>Interest Only</v>
      </c>
    </row>
    <row r="189" spans="2:3">
      <c r="B189" s="291" t="s">
        <v>1226</v>
      </c>
      <c r="C189" s="501">
        <f>'REHAB FINANCING SETUP'!BU18</f>
        <v>15</v>
      </c>
    </row>
    <row r="190" spans="2:3">
      <c r="B190" s="291" t="s">
        <v>1211</v>
      </c>
      <c r="C190" s="500">
        <f>IF(Funding_Strategy="All Cash",0,IF(Loan1_Selection="Purchase Price Only",Purchase_Price_Result,IF(Loan1_Selection="Repair Costs Only",Total_Repair_Costs_Result,IF(Loan1_Selection="Purchase And Repairs",Purchase_Price_Result+Total_Repair_Costs_Result,IF(Loan1_Selection="All Project Costs",Total_Upfront_Costs_Result,IF(Loan1_Selection="ARV",After_Repair_Value_Result,IF(Loan1_Selection="Specific Loan Amount",'REHAB FINANCING SETUP'!BP22,0)))))))</f>
        <v>0</v>
      </c>
    </row>
    <row r="191" spans="2:3">
      <c r="B191" s="291" t="s">
        <v>1212</v>
      </c>
      <c r="C191" s="501" t="str">
        <f>IF('REHAB FINANCING SETUP'!AC26="LTV","LTV","Down Payment")</f>
        <v>Down Payment</v>
      </c>
    </row>
    <row r="192" spans="2:3">
      <c r="B192" s="291" t="str">
        <f>IF(C191="Down Payment","Down Payment %","LTV Reduction %")</f>
        <v>Down Payment %</v>
      </c>
      <c r="C192" s="1429">
        <f>IF(AND(C191="LTV",'REHAB FINANCING SETUP'!AS26=0),1,'REHAB FINANCING SETUP'!AS26)</f>
        <v>0</v>
      </c>
    </row>
    <row r="193" spans="2:3">
      <c r="B193" s="291" t="str">
        <f>IF(C191="Down Payment","Down Payment Amount","LTV Reduction Amount")</f>
        <v>Down Payment Amount</v>
      </c>
      <c r="C193" s="501">
        <f>IF(C191="Down Payment",C192*Loan_Amount,(1-C192)*Loan_Amount)</f>
        <v>0</v>
      </c>
    </row>
    <row r="194" spans="2:3">
      <c r="B194" s="291" t="str">
        <f>IF(C191="Down Payment","Loan Balance After Down Payment","Loan Balance After LTV Reduction")</f>
        <v>Loan Balance After Down Payment</v>
      </c>
      <c r="C194" s="501">
        <f>Loan_Amount-Down_Payment</f>
        <v>0</v>
      </c>
    </row>
    <row r="195" spans="2:3">
      <c r="B195" s="291" t="s">
        <v>968</v>
      </c>
      <c r="C195" s="502">
        <f>Interest_Rate</f>
        <v>0</v>
      </c>
    </row>
    <row r="196" spans="2:3">
      <c r="B196" s="291" t="s">
        <v>1227</v>
      </c>
      <c r="C196" s="501">
        <f>IFERROR(((Loan_Balance_After_DP_Loan1)*C195)/12,0)</f>
        <v>0</v>
      </c>
    </row>
    <row r="197" spans="2:3">
      <c r="B197" s="291" t="s">
        <v>1228</v>
      </c>
      <c r="C197" s="501">
        <f>IFERROR(-CUMIPMT(C195/12,C189*12,Loan_Balance_After_DP_Loan1,1,Length_of_Loan_Payments_Loan1,0)/Length_of_Loan_Payments_Loan1,0)</f>
        <v>0</v>
      </c>
    </row>
    <row r="198" spans="2:3">
      <c r="B198" s="291" t="s">
        <v>1219</v>
      </c>
      <c r="C198" s="501">
        <f>IF(C188="Amortized",C197,C196)</f>
        <v>0</v>
      </c>
    </row>
    <row r="199" spans="2:3">
      <c r="B199" s="291" t="s">
        <v>1198</v>
      </c>
      <c r="C199" s="501">
        <f>Length_of_Loan_Payments_Loan1*C198</f>
        <v>0</v>
      </c>
    </row>
    <row r="200" spans="2:3">
      <c r="B200" s="291" t="s">
        <v>1222</v>
      </c>
      <c r="C200" s="501" t="str">
        <f>IF('REHAB FINANCING SETUP'!AS28="Rolled","Rolled","Monthly")</f>
        <v>Monthly</v>
      </c>
    </row>
    <row r="201" spans="2:3">
      <c r="B201" s="291" t="s">
        <v>1223</v>
      </c>
      <c r="C201" s="501">
        <f>IF(C200="Rolled",C199,0)</f>
        <v>0</v>
      </c>
    </row>
    <row r="202" spans="2:3">
      <c r="B202" s="291" t="s">
        <v>1213</v>
      </c>
      <c r="C202" s="501">
        <f>Lender_Points_Loan1</f>
        <v>0</v>
      </c>
    </row>
    <row r="203" spans="2:3">
      <c r="B203" s="291" t="s">
        <v>1214</v>
      </c>
      <c r="C203" s="501">
        <f>C202*Loan_Balance_After_DP_Loan1</f>
        <v>0</v>
      </c>
    </row>
    <row r="204" spans="2:3">
      <c r="B204" s="291" t="s">
        <v>1221</v>
      </c>
      <c r="C204" s="501" t="str">
        <f>IF('REHAB FINANCING SETUP'!AS30="Rolled","Rolled","Upfront")</f>
        <v>Upfront</v>
      </c>
    </row>
    <row r="205" spans="2:3">
      <c r="B205" s="291" t="s">
        <v>1220</v>
      </c>
      <c r="C205" s="501">
        <f>IF(C204="Rolled",C203,0)</f>
        <v>0</v>
      </c>
    </row>
    <row r="206" spans="2:3">
      <c r="B206" s="291" t="s">
        <v>1858</v>
      </c>
      <c r="C206" s="501">
        <f>'REHAB FINANCING SETUP'!BM33</f>
        <v>0</v>
      </c>
    </row>
    <row r="207" spans="2:3">
      <c r="B207" s="291" t="s">
        <v>857</v>
      </c>
      <c r="C207" s="501">
        <f>C199+C203+C206</f>
        <v>0</v>
      </c>
    </row>
    <row r="208" spans="2:3">
      <c r="B208" s="291" t="s">
        <v>1224</v>
      </c>
      <c r="C208" s="501">
        <f>Loan_Balance_After_DP_Loan1+C201+C205</f>
        <v>0</v>
      </c>
    </row>
    <row r="209" spans="2:3">
      <c r="B209" s="1463" t="s">
        <v>1230</v>
      </c>
      <c r="C209" s="1463"/>
    </row>
    <row r="210" spans="2:3">
      <c r="B210" s="291" t="s">
        <v>865</v>
      </c>
      <c r="C210" s="501">
        <f>IF(C191="Down Payment",Down_Payment,0)</f>
        <v>0</v>
      </c>
    </row>
    <row r="211" spans="2:3">
      <c r="B211" s="291" t="s">
        <v>1197</v>
      </c>
      <c r="C211" s="501">
        <f>IF(C204="Rolled",0,C203)</f>
        <v>0</v>
      </c>
    </row>
    <row r="212" spans="2:3">
      <c r="B212" s="291" t="s">
        <v>1231</v>
      </c>
      <c r="C212" s="501">
        <f>C210+C211</f>
        <v>0</v>
      </c>
    </row>
    <row r="213" spans="2:3">
      <c r="B213" s="291" t="s">
        <v>1205</v>
      </c>
      <c r="C213" s="501">
        <f>C176</f>
        <v>0</v>
      </c>
    </row>
    <row r="214" spans="2:3">
      <c r="B214" s="291" t="s">
        <v>963</v>
      </c>
      <c r="C214" s="501">
        <f>C208</f>
        <v>0</v>
      </c>
    </row>
    <row r="215" spans="2:3">
      <c r="B215" s="291" t="s">
        <v>1232</v>
      </c>
      <c r="C215" s="501">
        <f>C213-C214-C212</f>
        <v>0</v>
      </c>
    </row>
    <row r="216" spans="2:3">
      <c r="B216" s="1463" t="s">
        <v>1215</v>
      </c>
      <c r="C216" s="1463"/>
    </row>
    <row r="217" spans="2:3">
      <c r="B217" s="291" t="s">
        <v>1229</v>
      </c>
      <c r="C217" s="501" t="s">
        <v>394</v>
      </c>
    </row>
    <row r="218" spans="2:3">
      <c r="B218" s="291" t="s">
        <v>904</v>
      </c>
      <c r="C218" s="501" t="str">
        <f>'REHAB FINANCING SETUP'!BD45</f>
        <v>Interest Only</v>
      </c>
    </row>
    <row r="219" spans="2:3">
      <c r="B219" s="291" t="s">
        <v>1226</v>
      </c>
      <c r="C219" s="501">
        <f>'REHAB FINANCING SETUP'!BU45</f>
        <v>30</v>
      </c>
    </row>
    <row r="220" spans="2:3">
      <c r="B220" s="291" t="s">
        <v>1216</v>
      </c>
      <c r="C220" s="500">
        <f>IF(Funding_Strategy="All Cash",0,IF(Loan2_Selection="Purchase Price Only",Purchase_Price_Result,IF(Loan2_Selection="Repair Costs Only",Total_Repair_Costs_Result,IF(Loan2_Selection="Purchase And Repairs",Purchase_Price_Result+Total_Repair_Costs_Result,IF(Loan2_Selection="All Project Costs",Total_Upfront_Costs_Result,IF(Loan2_Selection="ARV",After_Repair_Value_Result,IF(Loan2_Selection="Specific Loan Amount",'REHAB FINANCING SETUP'!BP49,0)))))))*C185</f>
        <v>0</v>
      </c>
    </row>
    <row r="221" spans="2:3">
      <c r="B221" s="291" t="s">
        <v>1212</v>
      </c>
      <c r="C221" s="501" t="str">
        <f>IF('REHAB FINANCING SETUP'!AC53="LTV","LTV","Down Payment")</f>
        <v>Down Payment</v>
      </c>
    </row>
    <row r="222" spans="2:3">
      <c r="B222" s="291" t="str">
        <f>IF(C221="Down Payment","Down Payment %","LTV Reduction %")</f>
        <v>Down Payment %</v>
      </c>
      <c r="C222" s="1429">
        <f>IF(AND(C221="LTV",'REHAB FINANCING SETUP'!AS54=0),1,'REHAB FINANCING SETUP'!AS54)*C185</f>
        <v>0</v>
      </c>
    </row>
    <row r="223" spans="2:3">
      <c r="B223" s="291" t="str">
        <f>IF(C221="Down Payment","Down Payment Amount","LTV Reduction Amount")</f>
        <v>Down Payment Amount</v>
      </c>
      <c r="C223" s="501">
        <f>IF(C221="Down Payment",C222*C220,(1-C222)*C220)</f>
        <v>0</v>
      </c>
    </row>
    <row r="224" spans="2:3">
      <c r="B224" s="291" t="str">
        <f>IF(C221="Down Payment","Loan Balance After Down Payment","Loan Balance After LTV Reduction")</f>
        <v>Loan Balance After Down Payment</v>
      </c>
      <c r="C224" s="501">
        <f>C220-C223</f>
        <v>0</v>
      </c>
    </row>
    <row r="225" spans="2:3">
      <c r="B225" s="291" t="s">
        <v>968</v>
      </c>
      <c r="C225" s="502">
        <f>'REHAB FINANCING SETUP'!AC55*C185</f>
        <v>0</v>
      </c>
    </row>
    <row r="226" spans="2:3">
      <c r="B226" s="291" t="s">
        <v>1227</v>
      </c>
      <c r="C226" s="501">
        <f>IFERROR(((Loan_Balance_After_DP_Loan2)*C225)/12,0)</f>
        <v>0</v>
      </c>
    </row>
    <row r="227" spans="2:3">
      <c r="B227" s="291" t="s">
        <v>1228</v>
      </c>
      <c r="C227" s="501">
        <f>-IFERROR(CUMIPMT(C225/12,C219*12,Loan_Balance_After_DP_Loan2,1,Length_of_Loan_Payments_Loan2,0)/Length_of_Loan_Payments_Loan2,0)</f>
        <v>0</v>
      </c>
    </row>
    <row r="228" spans="2:3">
      <c r="B228" s="291" t="s">
        <v>1219</v>
      </c>
      <c r="C228" s="501">
        <f>IF(C218="Amortized",C227,C226)</f>
        <v>0</v>
      </c>
    </row>
    <row r="229" spans="2:3">
      <c r="B229" s="291" t="s">
        <v>1198</v>
      </c>
      <c r="C229" s="501">
        <f>Length_of_Loan_Payments_Loan2*C228</f>
        <v>0</v>
      </c>
    </row>
    <row r="230" spans="2:3">
      <c r="B230" s="291" t="s">
        <v>1222</v>
      </c>
      <c r="C230" s="501" t="str">
        <f>IF('REHAB FINANCING SETUP'!AS55="Rolled","Rolled","Monthly")</f>
        <v>Monthly</v>
      </c>
    </row>
    <row r="231" spans="2:3">
      <c r="B231" s="291" t="s">
        <v>1223</v>
      </c>
      <c r="C231" s="501">
        <f>IF(C230="Rolled",C229,0)</f>
        <v>0</v>
      </c>
    </row>
    <row r="232" spans="2:3">
      <c r="B232" s="291" t="s">
        <v>1213</v>
      </c>
      <c r="C232" s="501">
        <f>Lender_Points_Loan2</f>
        <v>0</v>
      </c>
    </row>
    <row r="233" spans="2:3">
      <c r="B233" s="291" t="s">
        <v>1214</v>
      </c>
      <c r="C233" s="501">
        <f>C232*Loan_Balance_After_DP_Loan2</f>
        <v>0</v>
      </c>
    </row>
    <row r="234" spans="2:3">
      <c r="B234" s="291" t="s">
        <v>1221</v>
      </c>
      <c r="C234" s="501" t="str">
        <f>IF('REHAB FINANCING SETUP'!AS57="Rolled","Rolled","Upfront")</f>
        <v>Upfront</v>
      </c>
    </row>
    <row r="235" spans="2:3">
      <c r="B235" s="291" t="s">
        <v>1220</v>
      </c>
      <c r="C235" s="501">
        <f>IF(C234="Rolled",C233,0)</f>
        <v>0</v>
      </c>
    </row>
    <row r="236" spans="2:3">
      <c r="B236" s="291" t="s">
        <v>1858</v>
      </c>
      <c r="C236" s="501">
        <f>'REHAB FINANCING SETUP'!BM60</f>
        <v>0</v>
      </c>
    </row>
    <row r="237" spans="2:3">
      <c r="B237" s="291" t="s">
        <v>1224</v>
      </c>
      <c r="C237" s="501">
        <f>Loan_Balance_After_DP_Loan2+C231+C235</f>
        <v>0</v>
      </c>
    </row>
    <row r="238" spans="2:3">
      <c r="B238" s="1463" t="s">
        <v>1233</v>
      </c>
      <c r="C238" s="1463"/>
    </row>
    <row r="239" spans="2:3">
      <c r="B239" s="291" t="s">
        <v>865</v>
      </c>
      <c r="C239" s="501">
        <f>IF(C221="Down Payment",C223,0)</f>
        <v>0</v>
      </c>
    </row>
    <row r="240" spans="2:3">
      <c r="B240" s="291" t="s">
        <v>1197</v>
      </c>
      <c r="C240" s="501">
        <f>IF(C234="Rolled",0,C233)</f>
        <v>0</v>
      </c>
    </row>
    <row r="241" spans="2:3">
      <c r="B241" s="291" t="s">
        <v>1231</v>
      </c>
      <c r="C241" s="501">
        <f>C239+C240</f>
        <v>0</v>
      </c>
    </row>
    <row r="242" spans="2:3">
      <c r="B242" s="291" t="s">
        <v>1205</v>
      </c>
      <c r="C242" s="501">
        <f>C176</f>
        <v>0</v>
      </c>
    </row>
    <row r="243" spans="2:3">
      <c r="B243" s="291" t="s">
        <v>963</v>
      </c>
      <c r="C243" s="501">
        <f>C237</f>
        <v>0</v>
      </c>
    </row>
    <row r="244" spans="2:3">
      <c r="B244" s="291" t="s">
        <v>1232</v>
      </c>
      <c r="C244" s="501">
        <f>C242-C243-C241</f>
        <v>0</v>
      </c>
    </row>
    <row r="245" spans="2:3">
      <c r="B245" s="1463" t="s">
        <v>1234</v>
      </c>
      <c r="C245" s="1463"/>
    </row>
    <row r="246" spans="2:3">
      <c r="B246" s="291" t="s">
        <v>865</v>
      </c>
      <c r="C246" s="501">
        <f>C210+C239</f>
        <v>0</v>
      </c>
    </row>
    <row r="247" spans="2:3">
      <c r="B247" s="291" t="s">
        <v>1197</v>
      </c>
      <c r="C247" s="501">
        <f>C211+C240</f>
        <v>0</v>
      </c>
    </row>
    <row r="248" spans="2:3">
      <c r="B248" s="291" t="s">
        <v>1231</v>
      </c>
      <c r="C248" s="501">
        <f>C212+C241</f>
        <v>0</v>
      </c>
    </row>
    <row r="249" spans="2:3">
      <c r="B249" s="291" t="s">
        <v>1205</v>
      </c>
      <c r="C249" s="501">
        <f>C176</f>
        <v>0</v>
      </c>
    </row>
    <row r="250" spans="2:3">
      <c r="B250" s="291" t="s">
        <v>963</v>
      </c>
      <c r="C250" s="501">
        <f>C214+C243</f>
        <v>0</v>
      </c>
    </row>
    <row r="251" spans="2:3">
      <c r="B251" s="291" t="s">
        <v>1853</v>
      </c>
      <c r="C251" s="501">
        <f>'REHAB FINANCING SETUP'!AP89</f>
        <v>0</v>
      </c>
    </row>
    <row r="252" spans="2:3">
      <c r="B252" s="291" t="s">
        <v>1232</v>
      </c>
      <c r="C252" s="501">
        <f>C249-C250-C251</f>
        <v>0</v>
      </c>
    </row>
    <row r="253" spans="2:3">
      <c r="B253" s="291" t="s">
        <v>1236</v>
      </c>
      <c r="C253" s="501">
        <f>C248+C252</f>
        <v>0</v>
      </c>
    </row>
    <row r="254" spans="2:3">
      <c r="B254" s="291" t="s">
        <v>992</v>
      </c>
      <c r="C254" s="501"/>
    </row>
    <row r="256" spans="2:3">
      <c r="B256" s="1463" t="s">
        <v>1296</v>
      </c>
      <c r="C256" s="1463"/>
    </row>
    <row r="257" spans="2:3">
      <c r="B257" s="291" t="s">
        <v>1297</v>
      </c>
      <c r="C257" s="501" t="str">
        <f>IF(COUNTA(COMPS!AJ6:BV8)&lt;&gt;0,"Yes","No")</f>
        <v>No</v>
      </c>
    </row>
    <row r="259" spans="2:3">
      <c r="B259" s="1463" t="s">
        <v>1821</v>
      </c>
      <c r="C259" s="1463"/>
    </row>
    <row r="260" spans="2:3">
      <c r="B260" s="291" t="s">
        <v>1822</v>
      </c>
      <c r="C260" s="501" t="s">
        <v>373</v>
      </c>
    </row>
    <row r="261" spans="2:3">
      <c r="B261" s="291" t="s">
        <v>1823</v>
      </c>
      <c r="C261" s="501"/>
    </row>
  </sheetData>
  <mergeCells count="22">
    <mergeCell ref="B259:C259"/>
    <mergeCell ref="B100:C100"/>
    <mergeCell ref="B126:C126"/>
    <mergeCell ref="B238:C238"/>
    <mergeCell ref="B245:C245"/>
    <mergeCell ref="B166:C166"/>
    <mergeCell ref="B216:C216"/>
    <mergeCell ref="B209:C209"/>
    <mergeCell ref="B256:C256"/>
    <mergeCell ref="B152:C152"/>
    <mergeCell ref="B182:C182"/>
    <mergeCell ref="B186:C186"/>
    <mergeCell ref="B138:C138"/>
    <mergeCell ref="B3:C3"/>
    <mergeCell ref="B60:C60"/>
    <mergeCell ref="B74:C74"/>
    <mergeCell ref="B34:C34"/>
    <mergeCell ref="B5:C5"/>
    <mergeCell ref="B21:C21"/>
    <mergeCell ref="B29:C29"/>
    <mergeCell ref="B49:C49"/>
    <mergeCell ref="B38:C38"/>
  </mergeCell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wsREHAB_ANALYZER">
    <tabColor theme="4"/>
    <pageSetUpPr fitToPage="1"/>
  </sheetPr>
  <dimension ref="A1:GK156"/>
  <sheetViews>
    <sheetView showGridLines="0" showRowColHeaders="0" zoomScaleNormal="100" workbookViewId="0">
      <pane ySplit="4" topLeftCell="A5" activePane="bottomLeft" state="frozen"/>
      <selection pane="bottomLeft" activeCell="C9" sqref="C9:AH15"/>
    </sheetView>
  </sheetViews>
  <sheetFormatPr defaultColWidth="8.8984375" defaultRowHeight="13.7"/>
  <cols>
    <col min="1" max="1" width="2.69921875" style="148" customWidth="1"/>
    <col min="2" max="2" width="4.5" style="148" customWidth="1"/>
    <col min="3" max="99" width="1.8984375" style="148" customWidth="1"/>
    <col min="100" max="133" width="1.8984375" style="148" hidden="1" customWidth="1"/>
    <col min="134" max="134" width="1.8984375" style="149" customWidth="1"/>
    <col min="135" max="137" width="1.8984375" style="246" customWidth="1"/>
    <col min="138" max="138" width="2" style="246" customWidth="1"/>
    <col min="139" max="150" width="2" style="309" customWidth="1"/>
    <col min="151" max="164" width="2" style="246" customWidth="1"/>
    <col min="165" max="193" width="2" style="247" customWidth="1"/>
    <col min="194" max="264" width="2" style="148" customWidth="1"/>
    <col min="265" max="410" width="1.44921875" style="148" customWidth="1"/>
    <col min="411" max="16384" width="8.8984375" style="148"/>
  </cols>
  <sheetData>
    <row r="1" spans="1:193" s="244" customFormat="1" ht="45" customHeight="1">
      <c r="EE1" s="245"/>
      <c r="EF1" s="245"/>
      <c r="EG1" s="245"/>
      <c r="EH1" s="245"/>
      <c r="EI1" s="308"/>
      <c r="EJ1" s="308"/>
      <c r="EK1" s="308"/>
      <c r="EL1" s="308"/>
      <c r="EM1" s="308"/>
      <c r="EN1" s="308"/>
      <c r="EO1" s="308"/>
      <c r="EP1" s="308"/>
      <c r="EQ1" s="308"/>
      <c r="ER1" s="308"/>
      <c r="ES1" s="308"/>
      <c r="ET1" s="308"/>
      <c r="EU1" s="245"/>
      <c r="EV1" s="245"/>
      <c r="EW1" s="245"/>
      <c r="EX1" s="245"/>
      <c r="EY1" s="245"/>
      <c r="EZ1" s="245"/>
      <c r="FA1" s="245"/>
      <c r="FB1" s="245"/>
      <c r="FC1" s="245"/>
      <c r="FD1" s="245"/>
      <c r="FE1" s="245"/>
      <c r="FF1" s="245"/>
      <c r="FG1" s="245"/>
      <c r="FH1" s="245"/>
      <c r="FI1" s="245"/>
      <c r="FJ1" s="245"/>
      <c r="FK1" s="245"/>
      <c r="FL1" s="245"/>
      <c r="FM1" s="245"/>
      <c r="FN1" s="245"/>
      <c r="FO1" s="245"/>
      <c r="FP1" s="245"/>
      <c r="FQ1" s="245"/>
      <c r="FR1" s="245"/>
      <c r="FS1" s="245"/>
      <c r="FT1" s="245"/>
      <c r="FU1" s="245"/>
      <c r="FV1" s="245"/>
      <c r="FW1" s="245"/>
      <c r="FX1" s="245"/>
      <c r="FY1" s="245"/>
      <c r="FZ1" s="245"/>
      <c r="GA1" s="245"/>
      <c r="GB1" s="245"/>
      <c r="GC1" s="245"/>
      <c r="GD1" s="245"/>
      <c r="GE1" s="245"/>
      <c r="GF1" s="245"/>
      <c r="GG1" s="245"/>
      <c r="GH1" s="245"/>
      <c r="GI1" s="245"/>
      <c r="GJ1" s="245"/>
      <c r="GK1" s="245"/>
    </row>
    <row r="2" spans="1:193" s="408" customFormat="1" ht="7.35" customHeight="1">
      <c r="EE2" s="409"/>
      <c r="EF2" s="409"/>
      <c r="EG2" s="409"/>
      <c r="EH2" s="409"/>
      <c r="EI2" s="410"/>
      <c r="EJ2" s="410"/>
      <c r="EK2" s="410"/>
      <c r="EL2" s="410"/>
      <c r="EM2" s="410"/>
      <c r="EN2" s="410"/>
      <c r="EO2" s="410"/>
      <c r="EP2" s="410"/>
      <c r="EQ2" s="410"/>
      <c r="ER2" s="410"/>
      <c r="ES2" s="410"/>
      <c r="ET2" s="410"/>
      <c r="EU2" s="409"/>
      <c r="EV2" s="409"/>
      <c r="EW2" s="409"/>
      <c r="EX2" s="409"/>
      <c r="EY2" s="409"/>
      <c r="EZ2" s="409"/>
      <c r="FA2" s="409"/>
      <c r="FB2" s="409"/>
      <c r="FC2" s="409"/>
      <c r="FD2" s="409"/>
      <c r="FE2" s="409"/>
      <c r="FF2" s="409"/>
      <c r="FG2" s="409"/>
      <c r="FH2" s="409"/>
      <c r="FI2" s="409"/>
      <c r="FJ2" s="409"/>
      <c r="FK2" s="409"/>
      <c r="FL2" s="409"/>
      <c r="FM2" s="409"/>
      <c r="FN2" s="409"/>
      <c r="FO2" s="409"/>
      <c r="FP2" s="409"/>
      <c r="FQ2" s="409"/>
      <c r="FR2" s="409"/>
      <c r="FS2" s="409"/>
      <c r="FT2" s="409"/>
      <c r="FU2" s="409"/>
      <c r="FV2" s="409"/>
      <c r="FW2" s="409"/>
      <c r="FX2" s="409"/>
      <c r="FY2" s="409"/>
      <c r="FZ2" s="409"/>
      <c r="GA2" s="409"/>
      <c r="GB2" s="409"/>
      <c r="GC2" s="409"/>
      <c r="GD2" s="409"/>
      <c r="GE2" s="409"/>
      <c r="GF2" s="409"/>
      <c r="GG2" s="409"/>
      <c r="GH2" s="409"/>
      <c r="GI2" s="409"/>
      <c r="GJ2" s="409"/>
      <c r="GK2" s="409"/>
    </row>
    <row r="3" spans="1:193" s="408" customFormat="1" ht="22.35" customHeight="1">
      <c r="A3" s="2169"/>
      <c r="B3" s="2169"/>
      <c r="C3" s="2169"/>
      <c r="D3" s="2169"/>
      <c r="E3" s="2169"/>
      <c r="F3" s="2169"/>
      <c r="G3" s="2169"/>
      <c r="H3" s="1818" t="s">
        <v>885</v>
      </c>
      <c r="I3" s="1818"/>
      <c r="J3" s="1818"/>
      <c r="K3" s="1818"/>
      <c r="L3" s="1818"/>
      <c r="M3" s="1818"/>
      <c r="N3" s="1818"/>
      <c r="O3" s="1818"/>
      <c r="P3" s="1818"/>
      <c r="Q3" s="1818"/>
      <c r="R3" s="1818"/>
      <c r="S3" s="1818"/>
      <c r="T3" s="1818"/>
      <c r="EE3" s="409"/>
      <c r="EF3" s="409"/>
      <c r="EG3" s="409"/>
      <c r="EH3" s="409"/>
      <c r="EI3" s="410"/>
      <c r="EJ3" s="410"/>
      <c r="EK3" s="410"/>
      <c r="EL3" s="410"/>
      <c r="EM3" s="410"/>
      <c r="EN3" s="410"/>
      <c r="EO3" s="410"/>
      <c r="EP3" s="410"/>
      <c r="EQ3" s="410"/>
      <c r="ER3" s="410"/>
      <c r="ES3" s="410"/>
      <c r="ET3" s="410"/>
      <c r="EU3" s="409"/>
      <c r="EV3" s="409"/>
      <c r="EW3" s="409"/>
      <c r="EX3" s="409"/>
      <c r="EY3" s="409"/>
      <c r="EZ3" s="409"/>
      <c r="FA3" s="409"/>
      <c r="FB3" s="409"/>
      <c r="FC3" s="409"/>
      <c r="FD3" s="409"/>
      <c r="FE3" s="409"/>
      <c r="FF3" s="409"/>
      <c r="FG3" s="409"/>
      <c r="FH3" s="409"/>
      <c r="FI3" s="409"/>
      <c r="FJ3" s="409"/>
      <c r="FK3" s="409"/>
      <c r="FL3" s="409"/>
      <c r="FM3" s="409"/>
      <c r="FN3" s="409"/>
      <c r="FO3" s="409"/>
      <c r="FP3" s="409"/>
      <c r="FQ3" s="409"/>
      <c r="FR3" s="409"/>
      <c r="FS3" s="409"/>
      <c r="FT3" s="409"/>
      <c r="FU3" s="409"/>
      <c r="FV3" s="409"/>
      <c r="FW3" s="409"/>
      <c r="FX3" s="409"/>
      <c r="FY3" s="409"/>
      <c r="FZ3" s="409"/>
      <c r="GA3" s="409"/>
      <c r="GB3" s="409"/>
      <c r="GC3" s="409"/>
      <c r="GD3" s="409"/>
      <c r="GE3" s="409"/>
      <c r="GF3" s="409"/>
      <c r="GG3" s="409"/>
      <c r="GH3" s="409"/>
      <c r="GI3" s="409"/>
      <c r="GJ3" s="409"/>
      <c r="GK3" s="409"/>
    </row>
    <row r="4" spans="1:193" s="411" customFormat="1" ht="7.35" customHeight="1">
      <c r="EE4" s="412"/>
      <c r="EF4" s="412"/>
      <c r="EG4" s="412"/>
      <c r="EH4" s="412"/>
      <c r="EI4" s="413"/>
      <c r="EJ4" s="413"/>
      <c r="EK4" s="413"/>
      <c r="EL4" s="413"/>
      <c r="EM4" s="413"/>
      <c r="EN4" s="413"/>
      <c r="EO4" s="413"/>
      <c r="EP4" s="413"/>
      <c r="EQ4" s="413"/>
      <c r="ER4" s="413"/>
      <c r="ES4" s="413"/>
      <c r="ET4" s="413"/>
      <c r="EU4" s="412"/>
      <c r="EV4" s="412"/>
      <c r="EW4" s="412"/>
      <c r="EX4" s="412"/>
      <c r="EY4" s="412"/>
      <c r="EZ4" s="412"/>
      <c r="FA4" s="412"/>
      <c r="FB4" s="412"/>
      <c r="FC4" s="412"/>
      <c r="FD4" s="412"/>
      <c r="FE4" s="412"/>
      <c r="FF4" s="412"/>
      <c r="FG4" s="412"/>
      <c r="FH4" s="412"/>
      <c r="FI4" s="412"/>
      <c r="FJ4" s="412"/>
      <c r="FK4" s="412"/>
      <c r="FL4" s="412"/>
      <c r="FM4" s="412"/>
      <c r="FN4" s="412"/>
      <c r="FO4" s="412"/>
      <c r="FP4" s="412"/>
      <c r="FQ4" s="412"/>
      <c r="FR4" s="412"/>
      <c r="FS4" s="412"/>
      <c r="FT4" s="412"/>
      <c r="FU4" s="412"/>
      <c r="FV4" s="412"/>
      <c r="FW4" s="412"/>
      <c r="FX4" s="412"/>
      <c r="FY4" s="412"/>
      <c r="FZ4" s="412"/>
      <c r="GA4" s="412"/>
      <c r="GB4" s="412"/>
      <c r="GC4" s="412"/>
      <c r="GD4" s="412"/>
      <c r="GE4" s="412"/>
      <c r="GF4" s="412"/>
      <c r="GG4" s="412"/>
      <c r="GH4" s="412"/>
      <c r="GI4" s="412"/>
      <c r="GJ4" s="412"/>
      <c r="GK4" s="412"/>
    </row>
    <row r="5" spans="1:193" ht="11.25" customHeight="1" thickBot="1">
      <c r="BI5" s="249"/>
    </row>
    <row r="6" spans="1:193" ht="6.75" customHeight="1" thickTop="1">
      <c r="C6" s="2052" t="s">
        <v>1666</v>
      </c>
      <c r="D6" s="2053"/>
      <c r="E6" s="2053"/>
      <c r="F6" s="2053"/>
      <c r="G6" s="2053"/>
      <c r="H6" s="2053"/>
      <c r="I6" s="2053"/>
      <c r="J6" s="2053"/>
      <c r="K6" s="2053"/>
      <c r="L6" s="2053"/>
      <c r="M6" s="2053"/>
      <c r="N6" s="2053"/>
      <c r="O6" s="2053"/>
      <c r="P6" s="2053"/>
      <c r="Q6" s="2053"/>
      <c r="R6" s="2053"/>
      <c r="S6" s="2053"/>
      <c r="T6" s="2053"/>
      <c r="U6" s="2053"/>
      <c r="V6" s="2053"/>
      <c r="W6" s="2053"/>
      <c r="X6" s="2053"/>
      <c r="Y6" s="2053"/>
      <c r="Z6" s="2053"/>
      <c r="AA6" s="2053"/>
      <c r="AB6" s="2053"/>
      <c r="AC6" s="2053"/>
      <c r="AD6" s="2053"/>
      <c r="AE6" s="2053"/>
      <c r="AF6" s="2053"/>
      <c r="AG6" s="2053"/>
      <c r="AH6" s="2054"/>
      <c r="AI6" s="415"/>
      <c r="AJ6" s="874"/>
      <c r="AK6" s="414"/>
      <c r="AL6" s="414"/>
      <c r="AM6" s="414"/>
      <c r="AN6" s="414"/>
      <c r="AO6" s="2029" t="s">
        <v>1670</v>
      </c>
      <c r="AP6" s="2029"/>
      <c r="AQ6" s="2029"/>
      <c r="AR6" s="2029"/>
      <c r="AS6" s="2029"/>
      <c r="AT6" s="2029"/>
      <c r="AU6" s="2029"/>
      <c r="AV6" s="2029"/>
      <c r="AW6" s="2029"/>
      <c r="AX6" s="2029"/>
      <c r="AY6" s="2029"/>
      <c r="AZ6" s="2029"/>
      <c r="BA6" s="2029"/>
      <c r="BB6" s="2029"/>
      <c r="BC6" s="2029"/>
      <c r="BD6" s="2029"/>
      <c r="BE6" s="2029"/>
      <c r="BF6" s="2029"/>
      <c r="BG6" s="2224" t="s">
        <v>872</v>
      </c>
      <c r="BH6" s="2225"/>
      <c r="BI6" s="2225"/>
      <c r="BJ6" s="2225"/>
      <c r="BK6" s="2225"/>
      <c r="BL6" s="2225"/>
      <c r="BM6" s="2226"/>
      <c r="BN6" s="415"/>
      <c r="BO6" s="2001" t="s">
        <v>1702</v>
      </c>
      <c r="BP6" s="2002"/>
      <c r="BQ6" s="2002"/>
      <c r="BR6" s="2002"/>
      <c r="BS6" s="2002"/>
      <c r="BT6" s="2002"/>
      <c r="BU6" s="2002"/>
      <c r="BV6" s="2002"/>
      <c r="BW6" s="2002"/>
      <c r="BX6" s="2002"/>
      <c r="BY6" s="2002"/>
      <c r="BZ6" s="2002"/>
      <c r="CA6" s="2002"/>
      <c r="CB6" s="2002"/>
      <c r="CC6" s="2002"/>
      <c r="CD6" s="2002"/>
      <c r="CE6" s="2002"/>
      <c r="CF6" s="2002"/>
      <c r="CG6" s="2002"/>
      <c r="CH6" s="2002"/>
      <c r="CI6" s="2002"/>
      <c r="CJ6" s="2002"/>
      <c r="CK6" s="2002"/>
      <c r="CL6" s="2002"/>
      <c r="CM6" s="2002"/>
      <c r="CN6" s="2002"/>
      <c r="CO6" s="2002"/>
      <c r="CP6" s="2002"/>
      <c r="CQ6" s="2002"/>
      <c r="CR6" s="2002"/>
      <c r="CS6" s="2002"/>
      <c r="CT6" s="2002"/>
      <c r="CU6" s="2003"/>
      <c r="CV6" s="416"/>
      <c r="CW6" s="1965" t="s">
        <v>611</v>
      </c>
      <c r="CX6" s="1966"/>
      <c r="CY6" s="1966"/>
      <c r="CZ6" s="1966"/>
      <c r="DA6" s="1966"/>
      <c r="DB6" s="1966"/>
      <c r="DC6" s="1966"/>
      <c r="DD6" s="1966"/>
      <c r="DE6" s="1966"/>
      <c r="DF6" s="1966"/>
      <c r="DG6" s="1966"/>
      <c r="DH6" s="1966"/>
      <c r="DI6" s="1966"/>
      <c r="DJ6" s="1966"/>
      <c r="DK6" s="1966"/>
      <c r="DL6" s="1966"/>
      <c r="DM6" s="1966"/>
      <c r="DN6" s="1966"/>
      <c r="DO6" s="1966"/>
      <c r="DP6" s="1966"/>
      <c r="DQ6" s="1966"/>
      <c r="DR6" s="1966"/>
      <c r="DS6" s="1966"/>
      <c r="DT6" s="1966"/>
      <c r="DU6" s="1966"/>
      <c r="DV6" s="1966"/>
      <c r="DW6" s="1966"/>
      <c r="DX6" s="1966"/>
      <c r="DY6" s="1966"/>
      <c r="DZ6" s="1966"/>
      <c r="EA6" s="1966"/>
      <c r="EB6" s="1966"/>
      <c r="EC6" s="1967"/>
    </row>
    <row r="7" spans="1:193" ht="6.75" customHeight="1">
      <c r="C7" s="2055"/>
      <c r="D7" s="2056"/>
      <c r="E7" s="2056"/>
      <c r="F7" s="2056"/>
      <c r="G7" s="2056"/>
      <c r="H7" s="2056"/>
      <c r="I7" s="2056"/>
      <c r="J7" s="2056"/>
      <c r="K7" s="2056"/>
      <c r="L7" s="2056"/>
      <c r="M7" s="2056"/>
      <c r="N7" s="2056"/>
      <c r="O7" s="2056"/>
      <c r="P7" s="2056"/>
      <c r="Q7" s="2056"/>
      <c r="R7" s="2056"/>
      <c r="S7" s="2056"/>
      <c r="T7" s="2056"/>
      <c r="U7" s="2056"/>
      <c r="V7" s="2056"/>
      <c r="W7" s="2056"/>
      <c r="X7" s="2056"/>
      <c r="Y7" s="2056"/>
      <c r="Z7" s="2056"/>
      <c r="AA7" s="2056"/>
      <c r="AB7" s="2056"/>
      <c r="AC7" s="2056"/>
      <c r="AD7" s="2056"/>
      <c r="AE7" s="2056"/>
      <c r="AF7" s="2056"/>
      <c r="AG7" s="2056"/>
      <c r="AH7" s="2057"/>
      <c r="AI7" s="415"/>
      <c r="AJ7" s="417"/>
      <c r="AK7" s="418"/>
      <c r="AL7" s="418"/>
      <c r="AM7" s="418"/>
      <c r="AN7" s="418"/>
      <c r="AO7" s="2030"/>
      <c r="AP7" s="2030"/>
      <c r="AQ7" s="2030"/>
      <c r="AR7" s="2030"/>
      <c r="AS7" s="2030"/>
      <c r="AT7" s="2030"/>
      <c r="AU7" s="2030"/>
      <c r="AV7" s="2030"/>
      <c r="AW7" s="2030"/>
      <c r="AX7" s="2030"/>
      <c r="AY7" s="2030"/>
      <c r="AZ7" s="2030"/>
      <c r="BA7" s="2030"/>
      <c r="BB7" s="2030"/>
      <c r="BC7" s="2030"/>
      <c r="BD7" s="2030"/>
      <c r="BE7" s="2030"/>
      <c r="BF7" s="2030"/>
      <c r="BG7" s="2227"/>
      <c r="BH7" s="2228"/>
      <c r="BI7" s="2228"/>
      <c r="BJ7" s="2228"/>
      <c r="BK7" s="2228"/>
      <c r="BL7" s="2228"/>
      <c r="BM7" s="2229"/>
      <c r="BN7" s="415"/>
      <c r="BO7" s="2004"/>
      <c r="BP7" s="2005"/>
      <c r="BQ7" s="2005"/>
      <c r="BR7" s="2005"/>
      <c r="BS7" s="2005"/>
      <c r="BT7" s="2005"/>
      <c r="BU7" s="2005"/>
      <c r="BV7" s="2005"/>
      <c r="BW7" s="2005"/>
      <c r="BX7" s="2005"/>
      <c r="BY7" s="2005"/>
      <c r="BZ7" s="2005"/>
      <c r="CA7" s="2005"/>
      <c r="CB7" s="2005"/>
      <c r="CC7" s="2005"/>
      <c r="CD7" s="2005"/>
      <c r="CE7" s="2005"/>
      <c r="CF7" s="2005"/>
      <c r="CG7" s="2005"/>
      <c r="CH7" s="2005"/>
      <c r="CI7" s="2005"/>
      <c r="CJ7" s="2005"/>
      <c r="CK7" s="2005"/>
      <c r="CL7" s="2005"/>
      <c r="CM7" s="2005"/>
      <c r="CN7" s="2005"/>
      <c r="CO7" s="2005"/>
      <c r="CP7" s="2005"/>
      <c r="CQ7" s="2005"/>
      <c r="CR7" s="2005"/>
      <c r="CS7" s="2005"/>
      <c r="CT7" s="2005"/>
      <c r="CU7" s="2006"/>
      <c r="CV7" s="425"/>
      <c r="CW7" s="1968"/>
      <c r="CX7" s="1969"/>
      <c r="CY7" s="1969"/>
      <c r="CZ7" s="1969"/>
      <c r="DA7" s="1969"/>
      <c r="DB7" s="1969"/>
      <c r="DC7" s="1969"/>
      <c r="DD7" s="1969"/>
      <c r="DE7" s="1969"/>
      <c r="DF7" s="1969"/>
      <c r="DG7" s="1969"/>
      <c r="DH7" s="1969"/>
      <c r="DI7" s="1969"/>
      <c r="DJ7" s="1969"/>
      <c r="DK7" s="1969"/>
      <c r="DL7" s="1969"/>
      <c r="DM7" s="1969"/>
      <c r="DN7" s="1969"/>
      <c r="DO7" s="1969"/>
      <c r="DP7" s="1969"/>
      <c r="DQ7" s="1969"/>
      <c r="DR7" s="1969"/>
      <c r="DS7" s="1969"/>
      <c r="DT7" s="1969"/>
      <c r="DU7" s="1969"/>
      <c r="DV7" s="1969"/>
      <c r="DW7" s="1969"/>
      <c r="DX7" s="1969"/>
      <c r="DY7" s="1969"/>
      <c r="DZ7" s="1969"/>
      <c r="EA7" s="1969"/>
      <c r="EB7" s="1969"/>
      <c r="EC7" s="1970"/>
    </row>
    <row r="8" spans="1:193" ht="6.75" customHeight="1" thickBot="1">
      <c r="C8" s="2055"/>
      <c r="D8" s="2056"/>
      <c r="E8" s="2056"/>
      <c r="F8" s="2056"/>
      <c r="G8" s="2056"/>
      <c r="H8" s="2056"/>
      <c r="I8" s="2056"/>
      <c r="J8" s="2056"/>
      <c r="K8" s="2056"/>
      <c r="L8" s="2056"/>
      <c r="M8" s="2056"/>
      <c r="N8" s="2056"/>
      <c r="O8" s="2056"/>
      <c r="P8" s="2056"/>
      <c r="Q8" s="2056"/>
      <c r="R8" s="2056"/>
      <c r="S8" s="2056"/>
      <c r="T8" s="2056"/>
      <c r="U8" s="2056"/>
      <c r="V8" s="2056"/>
      <c r="W8" s="2056"/>
      <c r="X8" s="2056"/>
      <c r="Y8" s="2056"/>
      <c r="Z8" s="2056"/>
      <c r="AA8" s="2056"/>
      <c r="AB8" s="2056"/>
      <c r="AC8" s="2056"/>
      <c r="AD8" s="2056"/>
      <c r="AE8" s="2056"/>
      <c r="AF8" s="2056"/>
      <c r="AG8" s="2056"/>
      <c r="AH8" s="2057"/>
      <c r="AI8" s="415"/>
      <c r="AJ8" s="419"/>
      <c r="AK8" s="420"/>
      <c r="AL8" s="420"/>
      <c r="AM8" s="420"/>
      <c r="AN8" s="420"/>
      <c r="AO8" s="2031"/>
      <c r="AP8" s="2031"/>
      <c r="AQ8" s="2031"/>
      <c r="AR8" s="2031"/>
      <c r="AS8" s="2031"/>
      <c r="AT8" s="2031"/>
      <c r="AU8" s="2031"/>
      <c r="AV8" s="2031"/>
      <c r="AW8" s="2031"/>
      <c r="AX8" s="2031"/>
      <c r="AY8" s="2031"/>
      <c r="AZ8" s="2031"/>
      <c r="BA8" s="2031"/>
      <c r="BB8" s="2031"/>
      <c r="BC8" s="2031"/>
      <c r="BD8" s="2031"/>
      <c r="BE8" s="2031"/>
      <c r="BF8" s="2031"/>
      <c r="BG8" s="2227"/>
      <c r="BH8" s="2228"/>
      <c r="BI8" s="2228"/>
      <c r="BJ8" s="2228"/>
      <c r="BK8" s="2228"/>
      <c r="BL8" s="2228"/>
      <c r="BM8" s="2229"/>
      <c r="BN8" s="415"/>
      <c r="BO8" s="2004"/>
      <c r="BP8" s="2005"/>
      <c r="BQ8" s="2005"/>
      <c r="BR8" s="2005"/>
      <c r="BS8" s="2005"/>
      <c r="BT8" s="2005"/>
      <c r="BU8" s="2005"/>
      <c r="BV8" s="2005"/>
      <c r="BW8" s="2005"/>
      <c r="BX8" s="2005"/>
      <c r="BY8" s="2005"/>
      <c r="BZ8" s="2005"/>
      <c r="CA8" s="2005"/>
      <c r="CB8" s="2005"/>
      <c r="CC8" s="2005"/>
      <c r="CD8" s="2005"/>
      <c r="CE8" s="2005"/>
      <c r="CF8" s="2005"/>
      <c r="CG8" s="2005"/>
      <c r="CH8" s="2005"/>
      <c r="CI8" s="2005"/>
      <c r="CJ8" s="2005"/>
      <c r="CK8" s="2005"/>
      <c r="CL8" s="2005"/>
      <c r="CM8" s="2005"/>
      <c r="CN8" s="2005"/>
      <c r="CO8" s="2005"/>
      <c r="CP8" s="2005"/>
      <c r="CQ8" s="2005"/>
      <c r="CR8" s="2005"/>
      <c r="CS8" s="2005"/>
      <c r="CT8" s="2005"/>
      <c r="CU8" s="2006"/>
      <c r="CV8" s="425"/>
      <c r="CW8" s="1968"/>
      <c r="CX8" s="1969"/>
      <c r="CY8" s="1969"/>
      <c r="CZ8" s="1969"/>
      <c r="DA8" s="1969"/>
      <c r="DB8" s="1969"/>
      <c r="DC8" s="1969"/>
      <c r="DD8" s="1969"/>
      <c r="DE8" s="1969"/>
      <c r="DF8" s="1969"/>
      <c r="DG8" s="1969"/>
      <c r="DH8" s="1969"/>
      <c r="DI8" s="1969"/>
      <c r="DJ8" s="1969"/>
      <c r="DK8" s="1969"/>
      <c r="DL8" s="1969"/>
      <c r="DM8" s="1969"/>
      <c r="DN8" s="1969"/>
      <c r="DO8" s="1969"/>
      <c r="DP8" s="1969"/>
      <c r="DQ8" s="1969"/>
      <c r="DR8" s="1969"/>
      <c r="DS8" s="1969"/>
      <c r="DT8" s="1969"/>
      <c r="DU8" s="1969"/>
      <c r="DV8" s="1969"/>
      <c r="DW8" s="1969"/>
      <c r="DX8" s="1969"/>
      <c r="DY8" s="1969"/>
      <c r="DZ8" s="1969"/>
      <c r="EA8" s="1969"/>
      <c r="EB8" s="1969"/>
      <c r="EC8" s="1970"/>
    </row>
    <row r="9" spans="1:193" ht="6.75" customHeight="1" thickTop="1">
      <c r="A9" s="563"/>
      <c r="B9" s="563"/>
      <c r="C9" s="2177"/>
      <c r="D9" s="2178"/>
      <c r="E9" s="2178"/>
      <c r="F9" s="2178"/>
      <c r="G9" s="2178"/>
      <c r="H9" s="2178"/>
      <c r="I9" s="2178"/>
      <c r="J9" s="2178"/>
      <c r="K9" s="2178"/>
      <c r="L9" s="2178"/>
      <c r="M9" s="2178"/>
      <c r="N9" s="2178"/>
      <c r="O9" s="2178"/>
      <c r="P9" s="2178"/>
      <c r="Q9" s="2178"/>
      <c r="R9" s="2178"/>
      <c r="S9" s="2178"/>
      <c r="T9" s="2178"/>
      <c r="U9" s="2178"/>
      <c r="V9" s="2178"/>
      <c r="W9" s="2178"/>
      <c r="X9" s="2178"/>
      <c r="Y9" s="2178"/>
      <c r="Z9" s="2178"/>
      <c r="AA9" s="2178"/>
      <c r="AB9" s="2178"/>
      <c r="AC9" s="2178"/>
      <c r="AD9" s="2178"/>
      <c r="AE9" s="2178"/>
      <c r="AF9" s="2178"/>
      <c r="AG9" s="2178"/>
      <c r="AH9" s="2179"/>
      <c r="AI9" s="415"/>
      <c r="AJ9" s="2240" t="str">
        <f>T('2 REPAIR ESTIMATOR'!N75:T75)</f>
        <v>GENERAL CONDITIONS</v>
      </c>
      <c r="AK9" s="2241"/>
      <c r="AL9" s="2241"/>
      <c r="AM9" s="2241"/>
      <c r="AN9" s="2241"/>
      <c r="AO9" s="2241"/>
      <c r="AP9" s="2241"/>
      <c r="AQ9" s="2241"/>
      <c r="AR9" s="2241"/>
      <c r="AS9" s="2241"/>
      <c r="AT9" s="2241"/>
      <c r="AU9" s="2241"/>
      <c r="AV9" s="2241"/>
      <c r="AW9" s="2241"/>
      <c r="AX9" s="2241"/>
      <c r="AY9" s="2241"/>
      <c r="AZ9" s="2241"/>
      <c r="BA9" s="2241"/>
      <c r="BB9" s="2241"/>
      <c r="BC9" s="2241"/>
      <c r="BD9" s="2241"/>
      <c r="BE9" s="2241"/>
      <c r="BF9" s="2241"/>
      <c r="BG9" s="1802">
        <f>Estimate_Scope_1_Result</f>
        <v>0</v>
      </c>
      <c r="BH9" s="1803"/>
      <c r="BI9" s="1803"/>
      <c r="BJ9" s="1803"/>
      <c r="BK9" s="1803"/>
      <c r="BL9" s="1803"/>
      <c r="BM9" s="1804"/>
      <c r="BN9" s="415"/>
      <c r="BO9" s="421"/>
      <c r="BP9" s="422"/>
      <c r="BQ9" s="422"/>
      <c r="BR9" s="422"/>
      <c r="BS9" s="422"/>
      <c r="BT9" s="422"/>
      <c r="BU9" s="422"/>
      <c r="BV9" s="422"/>
      <c r="BW9" s="422"/>
      <c r="BX9" s="422"/>
      <c r="BY9" s="422"/>
      <c r="BZ9" s="422"/>
      <c r="CA9" s="422"/>
      <c r="CB9" s="422"/>
      <c r="CC9" s="422"/>
      <c r="CD9" s="422"/>
      <c r="CE9" s="422"/>
      <c r="CF9" s="422"/>
      <c r="CG9" s="422"/>
      <c r="CH9" s="422"/>
      <c r="CI9" s="422"/>
      <c r="CJ9" s="422"/>
      <c r="CK9" s="423">
        <v>0.05</v>
      </c>
      <c r="CL9" s="424"/>
      <c r="CM9" s="2007">
        <v>0.15</v>
      </c>
      <c r="CN9" s="2008"/>
      <c r="CO9" s="2008"/>
      <c r="CP9" s="2008"/>
      <c r="CQ9" s="2008"/>
      <c r="CR9" s="2008"/>
      <c r="CS9" s="2008"/>
      <c r="CT9" s="2008"/>
      <c r="CU9" s="2009"/>
      <c r="CV9" s="425"/>
      <c r="CW9" s="1980" t="s">
        <v>970</v>
      </c>
      <c r="CX9" s="1981"/>
      <c r="CY9" s="1981"/>
      <c r="CZ9" s="1981"/>
      <c r="DA9" s="1981"/>
      <c r="DB9" s="1981"/>
      <c r="DC9" s="1981"/>
      <c r="DD9" s="1981"/>
      <c r="DE9" s="1981"/>
      <c r="DF9" s="1981"/>
      <c r="DG9" s="1981"/>
      <c r="DH9" s="1981"/>
      <c r="DI9" s="1981"/>
      <c r="DJ9" s="1981"/>
      <c r="DK9" s="1981"/>
      <c r="DL9" s="1981"/>
      <c r="DM9" s="1981"/>
      <c r="DN9" s="1981"/>
      <c r="DO9" s="1981"/>
      <c r="DP9" s="1981"/>
      <c r="DQ9" s="1981"/>
      <c r="DR9" s="1981"/>
      <c r="DS9" s="1981"/>
      <c r="DT9" s="1981"/>
      <c r="DU9" s="1981"/>
      <c r="DV9" s="1981"/>
      <c r="DW9" s="1981"/>
      <c r="DX9" s="1981"/>
      <c r="DY9" s="1981"/>
      <c r="DZ9" s="1981"/>
      <c r="EA9" s="1981"/>
      <c r="EB9" s="1981"/>
      <c r="EC9" s="1982"/>
    </row>
    <row r="10" spans="1:193" ht="6.75" customHeight="1">
      <c r="A10" s="563"/>
      <c r="B10" s="563"/>
      <c r="C10" s="2177"/>
      <c r="D10" s="2178"/>
      <c r="E10" s="2178"/>
      <c r="F10" s="2178"/>
      <c r="G10" s="2178"/>
      <c r="H10" s="2178"/>
      <c r="I10" s="2178"/>
      <c r="J10" s="2178"/>
      <c r="K10" s="2178"/>
      <c r="L10" s="2178"/>
      <c r="M10" s="2178"/>
      <c r="N10" s="2178"/>
      <c r="O10" s="2178"/>
      <c r="P10" s="2178"/>
      <c r="Q10" s="2178"/>
      <c r="R10" s="2178"/>
      <c r="S10" s="2178"/>
      <c r="T10" s="2178"/>
      <c r="U10" s="2178"/>
      <c r="V10" s="2178"/>
      <c r="W10" s="2178"/>
      <c r="X10" s="2178"/>
      <c r="Y10" s="2178"/>
      <c r="Z10" s="2178"/>
      <c r="AA10" s="2178"/>
      <c r="AB10" s="2178"/>
      <c r="AC10" s="2178"/>
      <c r="AD10" s="2178"/>
      <c r="AE10" s="2178"/>
      <c r="AF10" s="2178"/>
      <c r="AG10" s="2178"/>
      <c r="AH10" s="2179"/>
      <c r="AI10" s="415"/>
      <c r="AJ10" s="2096"/>
      <c r="AK10" s="2097"/>
      <c r="AL10" s="2097"/>
      <c r="AM10" s="2097"/>
      <c r="AN10" s="2097"/>
      <c r="AO10" s="2097"/>
      <c r="AP10" s="2097"/>
      <c r="AQ10" s="2097"/>
      <c r="AR10" s="2097"/>
      <c r="AS10" s="2097"/>
      <c r="AT10" s="2097"/>
      <c r="AU10" s="2097"/>
      <c r="AV10" s="2097"/>
      <c r="AW10" s="2097"/>
      <c r="AX10" s="2097"/>
      <c r="AY10" s="2097"/>
      <c r="AZ10" s="2097"/>
      <c r="BA10" s="2097"/>
      <c r="BB10" s="2097"/>
      <c r="BC10" s="2097"/>
      <c r="BD10" s="2097"/>
      <c r="BE10" s="2097"/>
      <c r="BF10" s="2097"/>
      <c r="BG10" s="1805"/>
      <c r="BH10" s="1806"/>
      <c r="BI10" s="1806"/>
      <c r="BJ10" s="1806"/>
      <c r="BK10" s="1806"/>
      <c r="BL10" s="1806"/>
      <c r="BM10" s="1807"/>
      <c r="BN10" s="415"/>
      <c r="BO10" s="96"/>
      <c r="BP10" s="97"/>
      <c r="BQ10" s="97"/>
      <c r="BR10" s="97"/>
      <c r="BS10" s="97"/>
      <c r="BT10" s="97"/>
      <c r="BU10" s="97"/>
      <c r="BV10" s="97"/>
      <c r="BW10" s="97"/>
      <c r="BX10" s="97"/>
      <c r="BY10" s="97"/>
      <c r="BZ10" s="97"/>
      <c r="CA10" s="97"/>
      <c r="CB10" s="97"/>
      <c r="CC10" s="97"/>
      <c r="CD10" s="97"/>
      <c r="CE10" s="97"/>
      <c r="CF10" s="97"/>
      <c r="CG10" s="97"/>
      <c r="CH10" s="97"/>
      <c r="CI10" s="97"/>
      <c r="CJ10" s="97"/>
      <c r="CK10" s="97"/>
      <c r="CL10" s="98"/>
      <c r="CM10" s="2010"/>
      <c r="CN10" s="2011"/>
      <c r="CO10" s="2011"/>
      <c r="CP10" s="2011"/>
      <c r="CQ10" s="2011"/>
      <c r="CR10" s="2011"/>
      <c r="CS10" s="2011"/>
      <c r="CT10" s="2011"/>
      <c r="CU10" s="2012"/>
      <c r="CV10" s="425"/>
      <c r="CW10" s="1983"/>
      <c r="CX10" s="1984"/>
      <c r="CY10" s="1984"/>
      <c r="CZ10" s="1984"/>
      <c r="DA10" s="1984"/>
      <c r="DB10" s="1984"/>
      <c r="DC10" s="1984"/>
      <c r="DD10" s="1984"/>
      <c r="DE10" s="1984"/>
      <c r="DF10" s="1984"/>
      <c r="DG10" s="1984"/>
      <c r="DH10" s="1984"/>
      <c r="DI10" s="1984"/>
      <c r="DJ10" s="1984"/>
      <c r="DK10" s="1984"/>
      <c r="DL10" s="1984"/>
      <c r="DM10" s="1984"/>
      <c r="DN10" s="1984"/>
      <c r="DO10" s="1984"/>
      <c r="DP10" s="1984"/>
      <c r="DQ10" s="1984"/>
      <c r="DR10" s="1984"/>
      <c r="DS10" s="1984"/>
      <c r="DT10" s="1984"/>
      <c r="DU10" s="1984"/>
      <c r="DV10" s="1984"/>
      <c r="DW10" s="1984"/>
      <c r="DX10" s="1984"/>
      <c r="DY10" s="1984"/>
      <c r="DZ10" s="1984"/>
      <c r="EA10" s="1984"/>
      <c r="EB10" s="1984"/>
      <c r="EC10" s="1985"/>
    </row>
    <row r="11" spans="1:193" ht="6.75" customHeight="1" thickBot="1">
      <c r="C11" s="2177"/>
      <c r="D11" s="2178"/>
      <c r="E11" s="2178"/>
      <c r="F11" s="2178"/>
      <c r="G11" s="2178"/>
      <c r="H11" s="2178"/>
      <c r="I11" s="2178"/>
      <c r="J11" s="2178"/>
      <c r="K11" s="2178"/>
      <c r="L11" s="2178"/>
      <c r="M11" s="2178"/>
      <c r="N11" s="2178"/>
      <c r="O11" s="2178"/>
      <c r="P11" s="2178"/>
      <c r="Q11" s="2178"/>
      <c r="R11" s="2178"/>
      <c r="S11" s="2178"/>
      <c r="T11" s="2178"/>
      <c r="U11" s="2178"/>
      <c r="V11" s="2178"/>
      <c r="W11" s="2178"/>
      <c r="X11" s="2178"/>
      <c r="Y11" s="2178"/>
      <c r="Z11" s="2178"/>
      <c r="AA11" s="2178"/>
      <c r="AB11" s="2178"/>
      <c r="AC11" s="2178"/>
      <c r="AD11" s="2178"/>
      <c r="AE11" s="2178"/>
      <c r="AF11" s="2178"/>
      <c r="AG11" s="2178"/>
      <c r="AH11" s="2179"/>
      <c r="AI11" s="415"/>
      <c r="AJ11" s="2074" t="str">
        <f>T('2 REPAIR ESTIMATOR'!N76:T76)</f>
        <v>DEMOLITION</v>
      </c>
      <c r="AK11" s="2075"/>
      <c r="AL11" s="2075"/>
      <c r="AM11" s="2075"/>
      <c r="AN11" s="2075"/>
      <c r="AO11" s="2075"/>
      <c r="AP11" s="2075"/>
      <c r="AQ11" s="2075"/>
      <c r="AR11" s="2075"/>
      <c r="AS11" s="2075"/>
      <c r="AT11" s="2075"/>
      <c r="AU11" s="2075"/>
      <c r="AV11" s="2075"/>
      <c r="AW11" s="2075"/>
      <c r="AX11" s="2075"/>
      <c r="AY11" s="2075"/>
      <c r="AZ11" s="2075"/>
      <c r="BA11" s="2075"/>
      <c r="BB11" s="2075"/>
      <c r="BC11" s="2075"/>
      <c r="BD11" s="2075"/>
      <c r="BE11" s="2075"/>
      <c r="BF11" s="2075"/>
      <c r="BG11" s="1811">
        <f>Estimate_Scope_2_Result</f>
        <v>0</v>
      </c>
      <c r="BH11" s="1812"/>
      <c r="BI11" s="1812"/>
      <c r="BJ11" s="1812"/>
      <c r="BK11" s="1812"/>
      <c r="BL11" s="1812"/>
      <c r="BM11" s="1813"/>
      <c r="BN11" s="415"/>
      <c r="BO11" s="426"/>
      <c r="BP11" s="427"/>
      <c r="BQ11" s="427"/>
      <c r="BR11" s="427"/>
      <c r="BS11" s="427"/>
      <c r="BT11" s="427"/>
      <c r="BU11" s="427"/>
      <c r="BV11" s="427"/>
      <c r="BW11" s="427"/>
      <c r="BX11" s="427"/>
      <c r="BY11" s="427"/>
      <c r="BZ11" s="427"/>
      <c r="CA11" s="427"/>
      <c r="CB11" s="427"/>
      <c r="CC11" s="427"/>
      <c r="CD11" s="427"/>
      <c r="CE11" s="427"/>
      <c r="CF11" s="427"/>
      <c r="CG11" s="427"/>
      <c r="CH11" s="427"/>
      <c r="CI11" s="427"/>
      <c r="CJ11" s="427"/>
      <c r="CK11" s="427"/>
      <c r="CL11" s="428"/>
      <c r="CM11" s="2013"/>
      <c r="CN11" s="2014"/>
      <c r="CO11" s="2014"/>
      <c r="CP11" s="2014"/>
      <c r="CQ11" s="2014"/>
      <c r="CR11" s="2014"/>
      <c r="CS11" s="2014"/>
      <c r="CT11" s="2014"/>
      <c r="CU11" s="2015"/>
      <c r="CV11" s="425"/>
      <c r="CW11" s="1986"/>
      <c r="CX11" s="1987"/>
      <c r="CY11" s="1987"/>
      <c r="CZ11" s="1987"/>
      <c r="DA11" s="1987"/>
      <c r="DB11" s="1987"/>
      <c r="DC11" s="1987"/>
      <c r="DD11" s="1987"/>
      <c r="DE11" s="1987"/>
      <c r="DF11" s="1987"/>
      <c r="DG11" s="1987"/>
      <c r="DH11" s="1987"/>
      <c r="DI11" s="1987"/>
      <c r="DJ11" s="1987"/>
      <c r="DK11" s="1987"/>
      <c r="DL11" s="1987"/>
      <c r="DM11" s="1987"/>
      <c r="DN11" s="1987"/>
      <c r="DO11" s="1987"/>
      <c r="DP11" s="1987"/>
      <c r="DQ11" s="1987"/>
      <c r="DR11" s="1987"/>
      <c r="DS11" s="1987"/>
      <c r="DT11" s="1987"/>
      <c r="DU11" s="1987"/>
      <c r="DV11" s="1987"/>
      <c r="DW11" s="1987"/>
      <c r="DX11" s="1987"/>
      <c r="DY11" s="1987"/>
      <c r="DZ11" s="1987"/>
      <c r="EA11" s="1987"/>
      <c r="EB11" s="1987"/>
      <c r="EC11" s="1988"/>
    </row>
    <row r="12" spans="1:193" ht="6.75" customHeight="1">
      <c r="C12" s="2177"/>
      <c r="D12" s="2178"/>
      <c r="E12" s="2178"/>
      <c r="F12" s="2178"/>
      <c r="G12" s="2178"/>
      <c r="H12" s="2178"/>
      <c r="I12" s="2178"/>
      <c r="J12" s="2178"/>
      <c r="K12" s="2178"/>
      <c r="L12" s="2178"/>
      <c r="M12" s="2178"/>
      <c r="N12" s="2178"/>
      <c r="O12" s="2178"/>
      <c r="P12" s="2178"/>
      <c r="Q12" s="2178"/>
      <c r="R12" s="2178"/>
      <c r="S12" s="2178"/>
      <c r="T12" s="2178"/>
      <c r="U12" s="2178"/>
      <c r="V12" s="2178"/>
      <c r="W12" s="2178"/>
      <c r="X12" s="2178"/>
      <c r="Y12" s="2178"/>
      <c r="Z12" s="2178"/>
      <c r="AA12" s="2178"/>
      <c r="AB12" s="2178"/>
      <c r="AC12" s="2178"/>
      <c r="AD12" s="2178"/>
      <c r="AE12" s="2178"/>
      <c r="AF12" s="2178"/>
      <c r="AG12" s="2178"/>
      <c r="AH12" s="2179"/>
      <c r="AI12" s="415"/>
      <c r="AJ12" s="2074"/>
      <c r="AK12" s="2075"/>
      <c r="AL12" s="2075"/>
      <c r="AM12" s="2075"/>
      <c r="AN12" s="2075"/>
      <c r="AO12" s="2075"/>
      <c r="AP12" s="2075"/>
      <c r="AQ12" s="2075"/>
      <c r="AR12" s="2075"/>
      <c r="AS12" s="2075"/>
      <c r="AT12" s="2075"/>
      <c r="AU12" s="2075"/>
      <c r="AV12" s="2075"/>
      <c r="AW12" s="2075"/>
      <c r="AX12" s="2075"/>
      <c r="AY12" s="2075"/>
      <c r="AZ12" s="2075"/>
      <c r="BA12" s="2075"/>
      <c r="BB12" s="2075"/>
      <c r="BC12" s="2075"/>
      <c r="BD12" s="2075"/>
      <c r="BE12" s="2075"/>
      <c r="BF12" s="2075"/>
      <c r="BG12" s="1811"/>
      <c r="BH12" s="1812"/>
      <c r="BI12" s="1812"/>
      <c r="BJ12" s="1812"/>
      <c r="BK12" s="1812"/>
      <c r="BL12" s="1812"/>
      <c r="BM12" s="1813"/>
      <c r="BN12" s="875"/>
      <c r="BO12" s="2016">
        <f>AFTER_REPAIR_VALUE_ESTIMATED*Profit_Percentage_Cell</f>
        <v>0</v>
      </c>
      <c r="BP12" s="2017"/>
      <c r="BQ12" s="2017"/>
      <c r="BR12" s="2017"/>
      <c r="BS12" s="2017"/>
      <c r="BT12" s="2017"/>
      <c r="BU12" s="2017"/>
      <c r="BV12" s="2017"/>
      <c r="BW12" s="2017"/>
      <c r="BX12" s="2017"/>
      <c r="BY12" s="2017"/>
      <c r="BZ12" s="2017"/>
      <c r="CA12" s="2017"/>
      <c r="CB12" s="2017"/>
      <c r="CC12" s="2017"/>
      <c r="CD12" s="2017"/>
      <c r="CE12" s="2017"/>
      <c r="CF12" s="2017"/>
      <c r="CG12" s="2017"/>
      <c r="CH12" s="2017"/>
      <c r="CI12" s="2017"/>
      <c r="CJ12" s="2017"/>
      <c r="CK12" s="2017"/>
      <c r="CL12" s="2017"/>
      <c r="CM12" s="2017"/>
      <c r="CN12" s="2017"/>
      <c r="CO12" s="2017"/>
      <c r="CP12" s="2017"/>
      <c r="CQ12" s="2017"/>
      <c r="CR12" s="2017"/>
      <c r="CS12" s="2017"/>
      <c r="CT12" s="2017"/>
      <c r="CU12" s="2018"/>
      <c r="CV12" s="425"/>
      <c r="CW12" s="1971">
        <v>0</v>
      </c>
      <c r="CX12" s="1972"/>
      <c r="CY12" s="1972"/>
      <c r="CZ12" s="1972"/>
      <c r="DA12" s="1972"/>
      <c r="DB12" s="1972"/>
      <c r="DC12" s="1972"/>
      <c r="DD12" s="1972"/>
      <c r="DE12" s="1972"/>
      <c r="DF12" s="1972"/>
      <c r="DG12" s="1972"/>
      <c r="DH12" s="1972"/>
      <c r="DI12" s="1972"/>
      <c r="DJ12" s="1972"/>
      <c r="DK12" s="1972"/>
      <c r="DL12" s="1972"/>
      <c r="DM12" s="1972"/>
      <c r="DN12" s="1972"/>
      <c r="DO12" s="1972"/>
      <c r="DP12" s="1972"/>
      <c r="DQ12" s="1972"/>
      <c r="DR12" s="1972"/>
      <c r="DS12" s="1972"/>
      <c r="DT12" s="1972"/>
      <c r="DU12" s="1972"/>
      <c r="DV12" s="1972"/>
      <c r="DW12" s="1972"/>
      <c r="DX12" s="1972"/>
      <c r="DY12" s="1972"/>
      <c r="DZ12" s="1972"/>
      <c r="EA12" s="1972"/>
      <c r="EB12" s="1972"/>
      <c r="EC12" s="1973"/>
      <c r="ED12" s="188"/>
    </row>
    <row r="13" spans="1:193" ht="6.75" customHeight="1">
      <c r="C13" s="2177"/>
      <c r="D13" s="2178"/>
      <c r="E13" s="2178"/>
      <c r="F13" s="2178"/>
      <c r="G13" s="2178"/>
      <c r="H13" s="2178"/>
      <c r="I13" s="2178"/>
      <c r="J13" s="2178"/>
      <c r="K13" s="2178"/>
      <c r="L13" s="2178"/>
      <c r="M13" s="2178"/>
      <c r="N13" s="2178"/>
      <c r="O13" s="2178"/>
      <c r="P13" s="2178"/>
      <c r="Q13" s="2178"/>
      <c r="R13" s="2178"/>
      <c r="S13" s="2178"/>
      <c r="T13" s="2178"/>
      <c r="U13" s="2178"/>
      <c r="V13" s="2178"/>
      <c r="W13" s="2178"/>
      <c r="X13" s="2178"/>
      <c r="Y13" s="2178"/>
      <c r="Z13" s="2178"/>
      <c r="AA13" s="2178"/>
      <c r="AB13" s="2178"/>
      <c r="AC13" s="2178"/>
      <c r="AD13" s="2178"/>
      <c r="AE13" s="2178"/>
      <c r="AF13" s="2178"/>
      <c r="AG13" s="2178"/>
      <c r="AH13" s="2179"/>
      <c r="AI13" s="415"/>
      <c r="AJ13" s="2096" t="str">
        <f>T('2 REPAIR ESTIMATOR'!N77:T77)</f>
        <v>STRUCTURAL CONCRETE</v>
      </c>
      <c r="AK13" s="2097"/>
      <c r="AL13" s="2097"/>
      <c r="AM13" s="2097"/>
      <c r="AN13" s="2097"/>
      <c r="AO13" s="2097"/>
      <c r="AP13" s="2097"/>
      <c r="AQ13" s="2097"/>
      <c r="AR13" s="2097"/>
      <c r="AS13" s="2097"/>
      <c r="AT13" s="2097"/>
      <c r="AU13" s="2097"/>
      <c r="AV13" s="2097"/>
      <c r="AW13" s="2097"/>
      <c r="AX13" s="2097"/>
      <c r="AY13" s="2097"/>
      <c r="AZ13" s="2097"/>
      <c r="BA13" s="2097"/>
      <c r="BB13" s="2097"/>
      <c r="BC13" s="2097"/>
      <c r="BD13" s="2097"/>
      <c r="BE13" s="2097"/>
      <c r="BF13" s="2097"/>
      <c r="BG13" s="1805">
        <f>Estimate_Scope_3_Result</f>
        <v>0</v>
      </c>
      <c r="BH13" s="1806"/>
      <c r="BI13" s="1806"/>
      <c r="BJ13" s="1806"/>
      <c r="BK13" s="1806"/>
      <c r="BL13" s="1806"/>
      <c r="BM13" s="1807"/>
      <c r="BN13" s="875"/>
      <c r="BO13" s="2019"/>
      <c r="BP13" s="2020"/>
      <c r="BQ13" s="2020"/>
      <c r="BR13" s="2020"/>
      <c r="BS13" s="2020"/>
      <c r="BT13" s="2020"/>
      <c r="BU13" s="2020"/>
      <c r="BV13" s="2020"/>
      <c r="BW13" s="2020"/>
      <c r="BX13" s="2020"/>
      <c r="BY13" s="2020"/>
      <c r="BZ13" s="2020"/>
      <c r="CA13" s="2020"/>
      <c r="CB13" s="2020"/>
      <c r="CC13" s="2020"/>
      <c r="CD13" s="2020"/>
      <c r="CE13" s="2020"/>
      <c r="CF13" s="2020"/>
      <c r="CG13" s="2020"/>
      <c r="CH13" s="2020"/>
      <c r="CI13" s="2020"/>
      <c r="CJ13" s="2020"/>
      <c r="CK13" s="2020"/>
      <c r="CL13" s="2020"/>
      <c r="CM13" s="2020"/>
      <c r="CN13" s="2020"/>
      <c r="CO13" s="2020"/>
      <c r="CP13" s="2020"/>
      <c r="CQ13" s="2020"/>
      <c r="CR13" s="2020"/>
      <c r="CS13" s="2020"/>
      <c r="CT13" s="2020"/>
      <c r="CU13" s="2021"/>
      <c r="CV13" s="425"/>
      <c r="CW13" s="1974"/>
      <c r="CX13" s="1975"/>
      <c r="CY13" s="1975"/>
      <c r="CZ13" s="1975"/>
      <c r="DA13" s="1975"/>
      <c r="DB13" s="1975"/>
      <c r="DC13" s="1975"/>
      <c r="DD13" s="1975"/>
      <c r="DE13" s="1975"/>
      <c r="DF13" s="1975"/>
      <c r="DG13" s="1975"/>
      <c r="DH13" s="1975"/>
      <c r="DI13" s="1975"/>
      <c r="DJ13" s="1975"/>
      <c r="DK13" s="1975"/>
      <c r="DL13" s="1975"/>
      <c r="DM13" s="1975"/>
      <c r="DN13" s="1975"/>
      <c r="DO13" s="1975"/>
      <c r="DP13" s="1975"/>
      <c r="DQ13" s="1975"/>
      <c r="DR13" s="1975"/>
      <c r="DS13" s="1975"/>
      <c r="DT13" s="1975"/>
      <c r="DU13" s="1975"/>
      <c r="DV13" s="1975"/>
      <c r="DW13" s="1975"/>
      <c r="DX13" s="1975"/>
      <c r="DY13" s="1975"/>
      <c r="DZ13" s="1975"/>
      <c r="EA13" s="1975"/>
      <c r="EB13" s="1975"/>
      <c r="EC13" s="1976"/>
      <c r="ED13" s="188"/>
    </row>
    <row r="14" spans="1:193" ht="6.75" customHeight="1">
      <c r="C14" s="2177"/>
      <c r="D14" s="2178"/>
      <c r="E14" s="2178"/>
      <c r="F14" s="2178"/>
      <c r="G14" s="2178"/>
      <c r="H14" s="2178"/>
      <c r="I14" s="2178"/>
      <c r="J14" s="2178"/>
      <c r="K14" s="2178"/>
      <c r="L14" s="2178"/>
      <c r="M14" s="2178"/>
      <c r="N14" s="2178"/>
      <c r="O14" s="2178"/>
      <c r="P14" s="2178"/>
      <c r="Q14" s="2178"/>
      <c r="R14" s="2178"/>
      <c r="S14" s="2178"/>
      <c r="T14" s="2178"/>
      <c r="U14" s="2178"/>
      <c r="V14" s="2178"/>
      <c r="W14" s="2178"/>
      <c r="X14" s="2178"/>
      <c r="Y14" s="2178"/>
      <c r="Z14" s="2178"/>
      <c r="AA14" s="2178"/>
      <c r="AB14" s="2178"/>
      <c r="AC14" s="2178"/>
      <c r="AD14" s="2178"/>
      <c r="AE14" s="2178"/>
      <c r="AF14" s="2178"/>
      <c r="AG14" s="2178"/>
      <c r="AH14" s="2179"/>
      <c r="AI14" s="415"/>
      <c r="AJ14" s="2096"/>
      <c r="AK14" s="2097"/>
      <c r="AL14" s="2097"/>
      <c r="AM14" s="2097"/>
      <c r="AN14" s="2097"/>
      <c r="AO14" s="2097"/>
      <c r="AP14" s="2097"/>
      <c r="AQ14" s="2097"/>
      <c r="AR14" s="2097"/>
      <c r="AS14" s="2097"/>
      <c r="AT14" s="2097"/>
      <c r="AU14" s="2097"/>
      <c r="AV14" s="2097"/>
      <c r="AW14" s="2097"/>
      <c r="AX14" s="2097"/>
      <c r="AY14" s="2097"/>
      <c r="AZ14" s="2097"/>
      <c r="BA14" s="2097"/>
      <c r="BB14" s="2097"/>
      <c r="BC14" s="2097"/>
      <c r="BD14" s="2097"/>
      <c r="BE14" s="2097"/>
      <c r="BF14" s="2097"/>
      <c r="BG14" s="1805"/>
      <c r="BH14" s="1806"/>
      <c r="BI14" s="1806"/>
      <c r="BJ14" s="1806"/>
      <c r="BK14" s="1806"/>
      <c r="BL14" s="1806"/>
      <c r="BM14" s="1807"/>
      <c r="BN14" s="415"/>
      <c r="BO14" s="2019"/>
      <c r="BP14" s="2020"/>
      <c r="BQ14" s="2020"/>
      <c r="BR14" s="2020"/>
      <c r="BS14" s="2020"/>
      <c r="BT14" s="2020"/>
      <c r="BU14" s="2020"/>
      <c r="BV14" s="2020"/>
      <c r="BW14" s="2020"/>
      <c r="BX14" s="2020"/>
      <c r="BY14" s="2020"/>
      <c r="BZ14" s="2020"/>
      <c r="CA14" s="2020"/>
      <c r="CB14" s="2020"/>
      <c r="CC14" s="2020"/>
      <c r="CD14" s="2020"/>
      <c r="CE14" s="2020"/>
      <c r="CF14" s="2020"/>
      <c r="CG14" s="2020"/>
      <c r="CH14" s="2020"/>
      <c r="CI14" s="2020"/>
      <c r="CJ14" s="2020"/>
      <c r="CK14" s="2020"/>
      <c r="CL14" s="2020"/>
      <c r="CM14" s="2020"/>
      <c r="CN14" s="2020"/>
      <c r="CO14" s="2020"/>
      <c r="CP14" s="2020"/>
      <c r="CQ14" s="2020"/>
      <c r="CR14" s="2020"/>
      <c r="CS14" s="2020"/>
      <c r="CT14" s="2020"/>
      <c r="CU14" s="2021"/>
      <c r="CV14" s="425"/>
      <c r="CW14" s="1974"/>
      <c r="CX14" s="1975"/>
      <c r="CY14" s="1975"/>
      <c r="CZ14" s="1975"/>
      <c r="DA14" s="1975"/>
      <c r="DB14" s="1975"/>
      <c r="DC14" s="1975"/>
      <c r="DD14" s="1975"/>
      <c r="DE14" s="1975"/>
      <c r="DF14" s="1975"/>
      <c r="DG14" s="1975"/>
      <c r="DH14" s="1975"/>
      <c r="DI14" s="1975"/>
      <c r="DJ14" s="1975"/>
      <c r="DK14" s="1975"/>
      <c r="DL14" s="1975"/>
      <c r="DM14" s="1975"/>
      <c r="DN14" s="1975"/>
      <c r="DO14" s="1975"/>
      <c r="DP14" s="1975"/>
      <c r="DQ14" s="1975"/>
      <c r="DR14" s="1975"/>
      <c r="DS14" s="1975"/>
      <c r="DT14" s="1975"/>
      <c r="DU14" s="1975"/>
      <c r="DV14" s="1975"/>
      <c r="DW14" s="1975"/>
      <c r="DX14" s="1975"/>
      <c r="DY14" s="1975"/>
      <c r="DZ14" s="1975"/>
      <c r="EA14" s="1975"/>
      <c r="EB14" s="1975"/>
      <c r="EC14" s="1976"/>
      <c r="ED14" s="188"/>
    </row>
    <row r="15" spans="1:193" ht="6.75" customHeight="1" thickBot="1">
      <c r="C15" s="2180"/>
      <c r="D15" s="2181"/>
      <c r="E15" s="2181"/>
      <c r="F15" s="2181"/>
      <c r="G15" s="2181"/>
      <c r="H15" s="2181"/>
      <c r="I15" s="2181"/>
      <c r="J15" s="2181"/>
      <c r="K15" s="2181"/>
      <c r="L15" s="2181"/>
      <c r="M15" s="2181"/>
      <c r="N15" s="2181"/>
      <c r="O15" s="2181"/>
      <c r="P15" s="2181"/>
      <c r="Q15" s="2181"/>
      <c r="R15" s="2181"/>
      <c r="S15" s="2181"/>
      <c r="T15" s="2181"/>
      <c r="U15" s="2181"/>
      <c r="V15" s="2181"/>
      <c r="W15" s="2181"/>
      <c r="X15" s="2181"/>
      <c r="Y15" s="2181"/>
      <c r="Z15" s="2181"/>
      <c r="AA15" s="2181"/>
      <c r="AB15" s="2181"/>
      <c r="AC15" s="2181"/>
      <c r="AD15" s="2181"/>
      <c r="AE15" s="2181"/>
      <c r="AF15" s="2181"/>
      <c r="AG15" s="2181"/>
      <c r="AH15" s="2182"/>
      <c r="AI15" s="415"/>
      <c r="AJ15" s="2074" t="str">
        <f>T('2 REPAIR ESTIMATOR'!N78:T78)</f>
        <v>CONCRETE &amp; FLATWORK</v>
      </c>
      <c r="AK15" s="2075"/>
      <c r="AL15" s="2075"/>
      <c r="AM15" s="2075"/>
      <c r="AN15" s="2075"/>
      <c r="AO15" s="2075"/>
      <c r="AP15" s="2075"/>
      <c r="AQ15" s="2075"/>
      <c r="AR15" s="2075"/>
      <c r="AS15" s="2075"/>
      <c r="AT15" s="2075"/>
      <c r="AU15" s="2075"/>
      <c r="AV15" s="2075"/>
      <c r="AW15" s="2075"/>
      <c r="AX15" s="2075"/>
      <c r="AY15" s="2075"/>
      <c r="AZ15" s="2075"/>
      <c r="BA15" s="2075"/>
      <c r="BB15" s="2075"/>
      <c r="BC15" s="2075"/>
      <c r="BD15" s="2075"/>
      <c r="BE15" s="2075"/>
      <c r="BF15" s="2075"/>
      <c r="BG15" s="1811">
        <f>Estimate_Scope_4_Result</f>
        <v>0</v>
      </c>
      <c r="BH15" s="1812"/>
      <c r="BI15" s="1812"/>
      <c r="BJ15" s="1812"/>
      <c r="BK15" s="1812"/>
      <c r="BL15" s="1812"/>
      <c r="BM15" s="1813"/>
      <c r="BN15" s="415"/>
      <c r="BO15" s="2019"/>
      <c r="BP15" s="2020"/>
      <c r="BQ15" s="2020"/>
      <c r="BR15" s="2020"/>
      <c r="BS15" s="2020"/>
      <c r="BT15" s="2020"/>
      <c r="BU15" s="2020"/>
      <c r="BV15" s="2020"/>
      <c r="BW15" s="2020"/>
      <c r="BX15" s="2020"/>
      <c r="BY15" s="2020"/>
      <c r="BZ15" s="2020"/>
      <c r="CA15" s="2020"/>
      <c r="CB15" s="2020"/>
      <c r="CC15" s="2020"/>
      <c r="CD15" s="2020"/>
      <c r="CE15" s="2020"/>
      <c r="CF15" s="2020"/>
      <c r="CG15" s="2020"/>
      <c r="CH15" s="2020"/>
      <c r="CI15" s="2020"/>
      <c r="CJ15" s="2020"/>
      <c r="CK15" s="2020"/>
      <c r="CL15" s="2020"/>
      <c r="CM15" s="2020"/>
      <c r="CN15" s="2020"/>
      <c r="CO15" s="2020"/>
      <c r="CP15" s="2020"/>
      <c r="CQ15" s="2020"/>
      <c r="CR15" s="2020"/>
      <c r="CS15" s="2020"/>
      <c r="CT15" s="2020"/>
      <c r="CU15" s="2021"/>
      <c r="CV15" s="425"/>
      <c r="CW15" s="1974"/>
      <c r="CX15" s="1975"/>
      <c r="CY15" s="1975"/>
      <c r="CZ15" s="1975"/>
      <c r="DA15" s="1975"/>
      <c r="DB15" s="1975"/>
      <c r="DC15" s="1975"/>
      <c r="DD15" s="1975"/>
      <c r="DE15" s="1975"/>
      <c r="DF15" s="1975"/>
      <c r="DG15" s="1975"/>
      <c r="DH15" s="1975"/>
      <c r="DI15" s="1975"/>
      <c r="DJ15" s="1975"/>
      <c r="DK15" s="1975"/>
      <c r="DL15" s="1975"/>
      <c r="DM15" s="1975"/>
      <c r="DN15" s="1975"/>
      <c r="DO15" s="1975"/>
      <c r="DP15" s="1975"/>
      <c r="DQ15" s="1975"/>
      <c r="DR15" s="1975"/>
      <c r="DS15" s="1975"/>
      <c r="DT15" s="1975"/>
      <c r="DU15" s="1975"/>
      <c r="DV15" s="1975"/>
      <c r="DW15" s="1975"/>
      <c r="DX15" s="1975"/>
      <c r="DY15" s="1975"/>
      <c r="DZ15" s="1975"/>
      <c r="EA15" s="1975"/>
      <c r="EB15" s="1975"/>
      <c r="EC15" s="1976"/>
      <c r="ED15" s="188"/>
    </row>
    <row r="16" spans="1:193" ht="6.75" customHeight="1">
      <c r="C16" s="2033" t="s">
        <v>1667</v>
      </c>
      <c r="D16" s="2034"/>
      <c r="E16" s="2034"/>
      <c r="F16" s="2034"/>
      <c r="G16" s="2034"/>
      <c r="H16" s="2034"/>
      <c r="I16" s="2034"/>
      <c r="J16" s="2034"/>
      <c r="K16" s="2034"/>
      <c r="L16" s="2034"/>
      <c r="M16" s="2034"/>
      <c r="N16" s="2034"/>
      <c r="O16" s="2034"/>
      <c r="P16" s="2034"/>
      <c r="Q16" s="2034"/>
      <c r="R16" s="2034"/>
      <c r="S16" s="2034"/>
      <c r="T16" s="2034"/>
      <c r="U16" s="2034"/>
      <c r="V16" s="2034"/>
      <c r="W16" s="2034"/>
      <c r="X16" s="2059" t="s">
        <v>872</v>
      </c>
      <c r="Y16" s="2059"/>
      <c r="Z16" s="2059"/>
      <c r="AA16" s="2059"/>
      <c r="AB16" s="2059"/>
      <c r="AC16" s="2059"/>
      <c r="AD16" s="2058"/>
      <c r="AE16" s="2032">
        <v>0.15</v>
      </c>
      <c r="AF16" s="2032"/>
      <c r="AG16" s="2032"/>
      <c r="AH16" s="2058"/>
      <c r="AI16" s="415"/>
      <c r="AJ16" s="2074"/>
      <c r="AK16" s="2075"/>
      <c r="AL16" s="2075"/>
      <c r="AM16" s="2075"/>
      <c r="AN16" s="2075"/>
      <c r="AO16" s="2075"/>
      <c r="AP16" s="2075"/>
      <c r="AQ16" s="2075"/>
      <c r="AR16" s="2075"/>
      <c r="AS16" s="2075"/>
      <c r="AT16" s="2075"/>
      <c r="AU16" s="2075"/>
      <c r="AV16" s="2075"/>
      <c r="AW16" s="2075"/>
      <c r="AX16" s="2075"/>
      <c r="AY16" s="2075"/>
      <c r="AZ16" s="2075"/>
      <c r="BA16" s="2075"/>
      <c r="BB16" s="2075"/>
      <c r="BC16" s="2075"/>
      <c r="BD16" s="2075"/>
      <c r="BE16" s="2075"/>
      <c r="BF16" s="2075"/>
      <c r="BG16" s="1811"/>
      <c r="BH16" s="1812"/>
      <c r="BI16" s="1812"/>
      <c r="BJ16" s="1812"/>
      <c r="BK16" s="1812"/>
      <c r="BL16" s="1812"/>
      <c r="BM16" s="1813"/>
      <c r="BN16" s="415"/>
      <c r="BO16" s="2019"/>
      <c r="BP16" s="2020"/>
      <c r="BQ16" s="2020"/>
      <c r="BR16" s="2020"/>
      <c r="BS16" s="2020"/>
      <c r="BT16" s="2020"/>
      <c r="BU16" s="2020"/>
      <c r="BV16" s="2020"/>
      <c r="BW16" s="2020"/>
      <c r="BX16" s="2020"/>
      <c r="BY16" s="2020"/>
      <c r="BZ16" s="2020"/>
      <c r="CA16" s="2020"/>
      <c r="CB16" s="2020"/>
      <c r="CC16" s="2020"/>
      <c r="CD16" s="2020"/>
      <c r="CE16" s="2020"/>
      <c r="CF16" s="2020"/>
      <c r="CG16" s="2020"/>
      <c r="CH16" s="2020"/>
      <c r="CI16" s="2020"/>
      <c r="CJ16" s="2020"/>
      <c r="CK16" s="2020"/>
      <c r="CL16" s="2020"/>
      <c r="CM16" s="2020"/>
      <c r="CN16" s="2020"/>
      <c r="CO16" s="2020"/>
      <c r="CP16" s="2020"/>
      <c r="CQ16" s="2020"/>
      <c r="CR16" s="2020"/>
      <c r="CS16" s="2020"/>
      <c r="CT16" s="2020"/>
      <c r="CU16" s="2021"/>
      <c r="CV16" s="425"/>
      <c r="CW16" s="1974"/>
      <c r="CX16" s="1975"/>
      <c r="CY16" s="1975"/>
      <c r="CZ16" s="1975"/>
      <c r="DA16" s="1975"/>
      <c r="DB16" s="1975"/>
      <c r="DC16" s="1975"/>
      <c r="DD16" s="1975"/>
      <c r="DE16" s="1975"/>
      <c r="DF16" s="1975"/>
      <c r="DG16" s="1975"/>
      <c r="DH16" s="1975"/>
      <c r="DI16" s="1975"/>
      <c r="DJ16" s="1975"/>
      <c r="DK16" s="1975"/>
      <c r="DL16" s="1975"/>
      <c r="DM16" s="1975"/>
      <c r="DN16" s="1975"/>
      <c r="DO16" s="1975"/>
      <c r="DP16" s="1975"/>
      <c r="DQ16" s="1975"/>
      <c r="DR16" s="1975"/>
      <c r="DS16" s="1975"/>
      <c r="DT16" s="1975"/>
      <c r="DU16" s="1975"/>
      <c r="DV16" s="1975"/>
      <c r="DW16" s="1975"/>
      <c r="DX16" s="1975"/>
      <c r="DY16" s="1975"/>
      <c r="DZ16" s="1975"/>
      <c r="EA16" s="1975"/>
      <c r="EB16" s="1975"/>
      <c r="EC16" s="1976"/>
      <c r="ED16" s="188"/>
    </row>
    <row r="17" spans="3:150" ht="6.75" customHeight="1">
      <c r="C17" s="2033"/>
      <c r="D17" s="2034"/>
      <c r="E17" s="2034"/>
      <c r="F17" s="2034"/>
      <c r="G17" s="2034"/>
      <c r="H17" s="2034"/>
      <c r="I17" s="2034"/>
      <c r="J17" s="2034"/>
      <c r="K17" s="2034"/>
      <c r="L17" s="2034"/>
      <c r="M17" s="2034"/>
      <c r="N17" s="2034"/>
      <c r="O17" s="2034"/>
      <c r="P17" s="2034"/>
      <c r="Q17" s="2034"/>
      <c r="R17" s="2034"/>
      <c r="S17" s="2034"/>
      <c r="T17" s="2034"/>
      <c r="U17" s="2034"/>
      <c r="V17" s="2034"/>
      <c r="W17" s="2034"/>
      <c r="X17" s="2059"/>
      <c r="Y17" s="2059"/>
      <c r="Z17" s="2059"/>
      <c r="AA17" s="2059"/>
      <c r="AB17" s="2059"/>
      <c r="AC17" s="2059"/>
      <c r="AD17" s="2058"/>
      <c r="AE17" s="2032"/>
      <c r="AF17" s="2032"/>
      <c r="AG17" s="2032"/>
      <c r="AH17" s="2058"/>
      <c r="AI17" s="415"/>
      <c r="AJ17" s="2096" t="str">
        <f>T('2 REPAIR ESTIMATOR'!N79:T79)</f>
        <v>MASONRY</v>
      </c>
      <c r="AK17" s="2097"/>
      <c r="AL17" s="2097"/>
      <c r="AM17" s="2097"/>
      <c r="AN17" s="2097"/>
      <c r="AO17" s="2097"/>
      <c r="AP17" s="2097"/>
      <c r="AQ17" s="2097"/>
      <c r="AR17" s="2097"/>
      <c r="AS17" s="2097"/>
      <c r="AT17" s="2097"/>
      <c r="AU17" s="2097"/>
      <c r="AV17" s="2097"/>
      <c r="AW17" s="2097"/>
      <c r="AX17" s="2097"/>
      <c r="AY17" s="2097"/>
      <c r="AZ17" s="2097"/>
      <c r="BA17" s="2097"/>
      <c r="BB17" s="2097"/>
      <c r="BC17" s="2097"/>
      <c r="BD17" s="2097"/>
      <c r="BE17" s="2097"/>
      <c r="BF17" s="2097"/>
      <c r="BG17" s="1805">
        <f>Estimate_Scope_5_Result</f>
        <v>0</v>
      </c>
      <c r="BH17" s="1806"/>
      <c r="BI17" s="1806"/>
      <c r="BJ17" s="1806"/>
      <c r="BK17" s="1806"/>
      <c r="BL17" s="1806"/>
      <c r="BM17" s="1807"/>
      <c r="BN17" s="415"/>
      <c r="BO17" s="2019"/>
      <c r="BP17" s="2020"/>
      <c r="BQ17" s="2020"/>
      <c r="BR17" s="2020"/>
      <c r="BS17" s="2020"/>
      <c r="BT17" s="2020"/>
      <c r="BU17" s="2020"/>
      <c r="BV17" s="2020"/>
      <c r="BW17" s="2020"/>
      <c r="BX17" s="2020"/>
      <c r="BY17" s="2020"/>
      <c r="BZ17" s="2020"/>
      <c r="CA17" s="2020"/>
      <c r="CB17" s="2020"/>
      <c r="CC17" s="2020"/>
      <c r="CD17" s="2020"/>
      <c r="CE17" s="2020"/>
      <c r="CF17" s="2020"/>
      <c r="CG17" s="2020"/>
      <c r="CH17" s="2020"/>
      <c r="CI17" s="2020"/>
      <c r="CJ17" s="2020"/>
      <c r="CK17" s="2020"/>
      <c r="CL17" s="2020"/>
      <c r="CM17" s="2020"/>
      <c r="CN17" s="2020"/>
      <c r="CO17" s="2020"/>
      <c r="CP17" s="2020"/>
      <c r="CQ17" s="2020"/>
      <c r="CR17" s="2020"/>
      <c r="CS17" s="2020"/>
      <c r="CT17" s="2020"/>
      <c r="CU17" s="2021"/>
      <c r="CV17" s="425"/>
      <c r="CW17" s="1974"/>
      <c r="CX17" s="1975"/>
      <c r="CY17" s="1975"/>
      <c r="CZ17" s="1975"/>
      <c r="DA17" s="1975"/>
      <c r="DB17" s="1975"/>
      <c r="DC17" s="1975"/>
      <c r="DD17" s="1975"/>
      <c r="DE17" s="1975"/>
      <c r="DF17" s="1975"/>
      <c r="DG17" s="1975"/>
      <c r="DH17" s="1975"/>
      <c r="DI17" s="1975"/>
      <c r="DJ17" s="1975"/>
      <c r="DK17" s="1975"/>
      <c r="DL17" s="1975"/>
      <c r="DM17" s="1975"/>
      <c r="DN17" s="1975"/>
      <c r="DO17" s="1975"/>
      <c r="DP17" s="1975"/>
      <c r="DQ17" s="1975"/>
      <c r="DR17" s="1975"/>
      <c r="DS17" s="1975"/>
      <c r="DT17" s="1975"/>
      <c r="DU17" s="1975"/>
      <c r="DV17" s="1975"/>
      <c r="DW17" s="1975"/>
      <c r="DX17" s="1975"/>
      <c r="DY17" s="1975"/>
      <c r="DZ17" s="1975"/>
      <c r="EA17" s="1975"/>
      <c r="EB17" s="1975"/>
      <c r="EC17" s="1976"/>
      <c r="ED17" s="188"/>
    </row>
    <row r="18" spans="3:150" ht="6.75" customHeight="1" thickBot="1">
      <c r="C18" s="2033"/>
      <c r="D18" s="2034"/>
      <c r="E18" s="2034"/>
      <c r="F18" s="2034"/>
      <c r="G18" s="2034"/>
      <c r="H18" s="2034"/>
      <c r="I18" s="2034"/>
      <c r="J18" s="2034"/>
      <c r="K18" s="2034"/>
      <c r="L18" s="2034"/>
      <c r="M18" s="2034"/>
      <c r="N18" s="2034"/>
      <c r="O18" s="2034"/>
      <c r="P18" s="2034"/>
      <c r="Q18" s="2034"/>
      <c r="R18" s="2034"/>
      <c r="S18" s="2034"/>
      <c r="T18" s="2034"/>
      <c r="U18" s="2034"/>
      <c r="V18" s="2034"/>
      <c r="W18" s="2034"/>
      <c r="X18" s="2059"/>
      <c r="Y18" s="2059"/>
      <c r="Z18" s="2059"/>
      <c r="AA18" s="2059"/>
      <c r="AB18" s="2059"/>
      <c r="AC18" s="2059"/>
      <c r="AD18" s="2058"/>
      <c r="AE18" s="2032"/>
      <c r="AF18" s="2032"/>
      <c r="AG18" s="2032"/>
      <c r="AH18" s="2058"/>
      <c r="AI18" s="415"/>
      <c r="AJ18" s="2096"/>
      <c r="AK18" s="2097"/>
      <c r="AL18" s="2097"/>
      <c r="AM18" s="2097"/>
      <c r="AN18" s="2097"/>
      <c r="AO18" s="2097"/>
      <c r="AP18" s="2097"/>
      <c r="AQ18" s="2097"/>
      <c r="AR18" s="2097"/>
      <c r="AS18" s="2097"/>
      <c r="AT18" s="2097"/>
      <c r="AU18" s="2097"/>
      <c r="AV18" s="2097"/>
      <c r="AW18" s="2097"/>
      <c r="AX18" s="2097"/>
      <c r="AY18" s="2097"/>
      <c r="AZ18" s="2097"/>
      <c r="BA18" s="2097"/>
      <c r="BB18" s="2097"/>
      <c r="BC18" s="2097"/>
      <c r="BD18" s="2097"/>
      <c r="BE18" s="2097"/>
      <c r="BF18" s="2097"/>
      <c r="BG18" s="1805"/>
      <c r="BH18" s="1806"/>
      <c r="BI18" s="1806"/>
      <c r="BJ18" s="1806"/>
      <c r="BK18" s="1806"/>
      <c r="BL18" s="1806"/>
      <c r="BM18" s="1807"/>
      <c r="BN18" s="415"/>
      <c r="BO18" s="2022"/>
      <c r="BP18" s="2023"/>
      <c r="BQ18" s="2023"/>
      <c r="BR18" s="2023"/>
      <c r="BS18" s="2023"/>
      <c r="BT18" s="2023"/>
      <c r="BU18" s="2023"/>
      <c r="BV18" s="2023"/>
      <c r="BW18" s="2023"/>
      <c r="BX18" s="2023"/>
      <c r="BY18" s="2023"/>
      <c r="BZ18" s="2023"/>
      <c r="CA18" s="2023"/>
      <c r="CB18" s="2023"/>
      <c r="CC18" s="2023"/>
      <c r="CD18" s="2023"/>
      <c r="CE18" s="2023"/>
      <c r="CF18" s="2023"/>
      <c r="CG18" s="2023"/>
      <c r="CH18" s="2023"/>
      <c r="CI18" s="2023"/>
      <c r="CJ18" s="2023"/>
      <c r="CK18" s="2023"/>
      <c r="CL18" s="2023"/>
      <c r="CM18" s="2023"/>
      <c r="CN18" s="2023"/>
      <c r="CO18" s="2023"/>
      <c r="CP18" s="2023"/>
      <c r="CQ18" s="2023"/>
      <c r="CR18" s="2023"/>
      <c r="CS18" s="2023"/>
      <c r="CT18" s="2023"/>
      <c r="CU18" s="2024"/>
      <c r="CV18" s="425"/>
      <c r="CW18" s="1977"/>
      <c r="CX18" s="1978"/>
      <c r="CY18" s="1978"/>
      <c r="CZ18" s="1978"/>
      <c r="DA18" s="1978"/>
      <c r="DB18" s="1978"/>
      <c r="DC18" s="1978"/>
      <c r="DD18" s="1978"/>
      <c r="DE18" s="1978"/>
      <c r="DF18" s="1978"/>
      <c r="DG18" s="1978"/>
      <c r="DH18" s="1978"/>
      <c r="DI18" s="1978"/>
      <c r="DJ18" s="1978"/>
      <c r="DK18" s="1978"/>
      <c r="DL18" s="1978"/>
      <c r="DM18" s="1978"/>
      <c r="DN18" s="1978"/>
      <c r="DO18" s="1978"/>
      <c r="DP18" s="1978"/>
      <c r="DQ18" s="1978"/>
      <c r="DR18" s="1978"/>
      <c r="DS18" s="1978"/>
      <c r="DT18" s="1978"/>
      <c r="DU18" s="1978"/>
      <c r="DV18" s="1978"/>
      <c r="DW18" s="1978"/>
      <c r="DX18" s="1978"/>
      <c r="DY18" s="1978"/>
      <c r="DZ18" s="1978"/>
      <c r="EA18" s="1978"/>
      <c r="EB18" s="1978"/>
      <c r="EC18" s="1979"/>
      <c r="ED18" s="188"/>
    </row>
    <row r="19" spans="3:150" ht="6.75" customHeight="1" thickTop="1">
      <c r="C19" s="2183" t="s">
        <v>347</v>
      </c>
      <c r="D19" s="2184"/>
      <c r="E19" s="2184"/>
      <c r="F19" s="2184"/>
      <c r="G19" s="2184"/>
      <c r="H19" s="2184"/>
      <c r="I19" s="2184"/>
      <c r="J19" s="2184"/>
      <c r="K19" s="2184"/>
      <c r="L19" s="2184"/>
      <c r="M19" s="2184"/>
      <c r="N19" s="2184"/>
      <c r="O19" s="2184"/>
      <c r="P19" s="2184"/>
      <c r="Q19" s="2184"/>
      <c r="R19" s="2184"/>
      <c r="S19" s="2184"/>
      <c r="T19" s="2184"/>
      <c r="U19" s="2184"/>
      <c r="V19" s="2184"/>
      <c r="W19" s="2184"/>
      <c r="X19" s="2184"/>
      <c r="Y19" s="2184"/>
      <c r="Z19" s="2184"/>
      <c r="AA19" s="2184"/>
      <c r="AB19" s="2184"/>
      <c r="AC19" s="2184"/>
      <c r="AD19" s="2184"/>
      <c r="AE19" s="2184"/>
      <c r="AF19" s="2184"/>
      <c r="AG19" s="2184"/>
      <c r="AH19" s="2185"/>
      <c r="AI19" s="947"/>
      <c r="AJ19" s="2074" t="str">
        <f>T('2 REPAIR ESTIMATOR'!N80:T80)</f>
        <v>SIDING</v>
      </c>
      <c r="AK19" s="2075"/>
      <c r="AL19" s="2075"/>
      <c r="AM19" s="2075"/>
      <c r="AN19" s="2075"/>
      <c r="AO19" s="2075"/>
      <c r="AP19" s="2075"/>
      <c r="AQ19" s="2075"/>
      <c r="AR19" s="2075"/>
      <c r="AS19" s="2075"/>
      <c r="AT19" s="2075"/>
      <c r="AU19" s="2075"/>
      <c r="AV19" s="2075"/>
      <c r="AW19" s="2075"/>
      <c r="AX19" s="2075"/>
      <c r="AY19" s="2075"/>
      <c r="AZ19" s="2075"/>
      <c r="BA19" s="2075"/>
      <c r="BB19" s="2075"/>
      <c r="BC19" s="2075"/>
      <c r="BD19" s="2075"/>
      <c r="BE19" s="2075"/>
      <c r="BF19" s="2075"/>
      <c r="BG19" s="1811">
        <f>Estimate_Scope_6_Result</f>
        <v>0</v>
      </c>
      <c r="BH19" s="1812"/>
      <c r="BI19" s="1812"/>
      <c r="BJ19" s="1812"/>
      <c r="BK19" s="1812"/>
      <c r="BL19" s="1812"/>
      <c r="BM19" s="1813"/>
      <c r="BN19" s="947"/>
      <c r="BO19" s="1943" t="s">
        <v>354</v>
      </c>
      <c r="BP19" s="1944"/>
      <c r="BQ19" s="1944"/>
      <c r="BR19" s="1944"/>
      <c r="BS19" s="1944"/>
      <c r="BT19" s="1944"/>
      <c r="BU19" s="1944"/>
      <c r="BV19" s="1944"/>
      <c r="BW19" s="1944"/>
      <c r="BX19" s="1944"/>
      <c r="BY19" s="1945"/>
      <c r="BZ19" s="1943" t="s">
        <v>393</v>
      </c>
      <c r="CA19" s="1944"/>
      <c r="CB19" s="1944"/>
      <c r="CC19" s="1944"/>
      <c r="CD19" s="1944"/>
      <c r="CE19" s="1944"/>
      <c r="CF19" s="1944"/>
      <c r="CG19" s="1944"/>
      <c r="CH19" s="1944"/>
      <c r="CI19" s="1944"/>
      <c r="CJ19" s="1945"/>
      <c r="CK19" s="1943" t="s">
        <v>292</v>
      </c>
      <c r="CL19" s="1944"/>
      <c r="CM19" s="1944"/>
      <c r="CN19" s="1944"/>
      <c r="CO19" s="1944"/>
      <c r="CP19" s="1944"/>
      <c r="CQ19" s="1944"/>
      <c r="CR19" s="1944"/>
      <c r="CS19" s="1944"/>
      <c r="CT19" s="1944"/>
      <c r="CU19" s="1945"/>
      <c r="CV19" s="953"/>
      <c r="CW19" s="1952"/>
      <c r="CX19" s="1953"/>
      <c r="CY19" s="1953"/>
      <c r="CZ19" s="1953"/>
      <c r="DA19" s="1953"/>
      <c r="DB19" s="1953"/>
      <c r="DC19" s="1953"/>
      <c r="DD19" s="1953"/>
      <c r="DE19" s="1953"/>
      <c r="DF19" s="1953"/>
      <c r="DG19" s="1953"/>
      <c r="DH19" s="1953"/>
      <c r="DI19" s="1953"/>
      <c r="DJ19" s="1953"/>
      <c r="DK19" s="1953"/>
      <c r="DL19" s="1953"/>
      <c r="DM19" s="1992" t="s">
        <v>357</v>
      </c>
      <c r="DN19" s="1993"/>
      <c r="DO19" s="1993"/>
      <c r="DP19" s="1993"/>
      <c r="DQ19" s="1993"/>
      <c r="DR19" s="1993"/>
      <c r="DS19" s="1993"/>
      <c r="DT19" s="1993"/>
      <c r="DU19" s="1993"/>
      <c r="DV19" s="1993"/>
      <c r="DW19" s="1993"/>
      <c r="DX19" s="1993"/>
      <c r="DY19" s="1993"/>
      <c r="DZ19" s="1993"/>
      <c r="EA19" s="1993"/>
      <c r="EB19" s="1993"/>
      <c r="EC19" s="1994"/>
      <c r="ED19" s="188"/>
    </row>
    <row r="20" spans="3:150" ht="6.75" customHeight="1">
      <c r="C20" s="2035"/>
      <c r="D20" s="2036"/>
      <c r="E20" s="2036"/>
      <c r="F20" s="2036"/>
      <c r="G20" s="2036"/>
      <c r="H20" s="2036"/>
      <c r="I20" s="2036"/>
      <c r="J20" s="2036"/>
      <c r="K20" s="2036"/>
      <c r="L20" s="2036"/>
      <c r="M20" s="2036"/>
      <c r="N20" s="2036"/>
      <c r="O20" s="2036"/>
      <c r="P20" s="2036"/>
      <c r="Q20" s="2036"/>
      <c r="R20" s="2036"/>
      <c r="S20" s="2036"/>
      <c r="T20" s="2036"/>
      <c r="U20" s="2036"/>
      <c r="V20" s="2036"/>
      <c r="W20" s="2036"/>
      <c r="X20" s="2036"/>
      <c r="Y20" s="2036"/>
      <c r="Z20" s="2036"/>
      <c r="AA20" s="2036"/>
      <c r="AB20" s="2036"/>
      <c r="AC20" s="2036"/>
      <c r="AD20" s="2036"/>
      <c r="AE20" s="2036"/>
      <c r="AF20" s="2036"/>
      <c r="AG20" s="2036"/>
      <c r="AH20" s="2186"/>
      <c r="AI20" s="947"/>
      <c r="AJ20" s="2074"/>
      <c r="AK20" s="2075"/>
      <c r="AL20" s="2075"/>
      <c r="AM20" s="2075"/>
      <c r="AN20" s="2075"/>
      <c r="AO20" s="2075"/>
      <c r="AP20" s="2075"/>
      <c r="AQ20" s="2075"/>
      <c r="AR20" s="2075"/>
      <c r="AS20" s="2075"/>
      <c r="AT20" s="2075"/>
      <c r="AU20" s="2075"/>
      <c r="AV20" s="2075"/>
      <c r="AW20" s="2075"/>
      <c r="AX20" s="2075"/>
      <c r="AY20" s="2075"/>
      <c r="AZ20" s="2075"/>
      <c r="BA20" s="2075"/>
      <c r="BB20" s="2075"/>
      <c r="BC20" s="2075"/>
      <c r="BD20" s="2075"/>
      <c r="BE20" s="2075"/>
      <c r="BF20" s="2075"/>
      <c r="BG20" s="1811"/>
      <c r="BH20" s="1812"/>
      <c r="BI20" s="1812"/>
      <c r="BJ20" s="1812"/>
      <c r="BK20" s="1812"/>
      <c r="BL20" s="1812"/>
      <c r="BM20" s="1813"/>
      <c r="BN20" s="947"/>
      <c r="BO20" s="1946"/>
      <c r="BP20" s="1947"/>
      <c r="BQ20" s="1947"/>
      <c r="BR20" s="1947"/>
      <c r="BS20" s="1947"/>
      <c r="BT20" s="1947"/>
      <c r="BU20" s="1947"/>
      <c r="BV20" s="1947"/>
      <c r="BW20" s="1947"/>
      <c r="BX20" s="1947"/>
      <c r="BY20" s="1948"/>
      <c r="BZ20" s="1946"/>
      <c r="CA20" s="1947"/>
      <c r="CB20" s="1947"/>
      <c r="CC20" s="1947"/>
      <c r="CD20" s="1947"/>
      <c r="CE20" s="1947"/>
      <c r="CF20" s="1947"/>
      <c r="CG20" s="1947"/>
      <c r="CH20" s="1947"/>
      <c r="CI20" s="1947"/>
      <c r="CJ20" s="1948"/>
      <c r="CK20" s="1946"/>
      <c r="CL20" s="1947"/>
      <c r="CM20" s="1947"/>
      <c r="CN20" s="1947"/>
      <c r="CO20" s="1947"/>
      <c r="CP20" s="1947"/>
      <c r="CQ20" s="1947"/>
      <c r="CR20" s="1947"/>
      <c r="CS20" s="1947"/>
      <c r="CT20" s="1947"/>
      <c r="CU20" s="1948"/>
      <c r="CV20" s="953"/>
      <c r="CW20" s="1952"/>
      <c r="CX20" s="1953"/>
      <c r="CY20" s="1953"/>
      <c r="CZ20" s="1953"/>
      <c r="DA20" s="1953"/>
      <c r="DB20" s="1953"/>
      <c r="DC20" s="1953"/>
      <c r="DD20" s="1953"/>
      <c r="DE20" s="1953"/>
      <c r="DF20" s="1953"/>
      <c r="DG20" s="1953"/>
      <c r="DH20" s="1953"/>
      <c r="DI20" s="1953"/>
      <c r="DJ20" s="1953"/>
      <c r="DK20" s="1953"/>
      <c r="DL20" s="1953"/>
      <c r="DM20" s="1992"/>
      <c r="DN20" s="1993"/>
      <c r="DO20" s="1993"/>
      <c r="DP20" s="1993"/>
      <c r="DQ20" s="1993"/>
      <c r="DR20" s="1993"/>
      <c r="DS20" s="1993"/>
      <c r="DT20" s="1993"/>
      <c r="DU20" s="1993"/>
      <c r="DV20" s="1993"/>
      <c r="DW20" s="1993"/>
      <c r="DX20" s="1993"/>
      <c r="DY20" s="1993"/>
      <c r="DZ20" s="1993"/>
      <c r="EA20" s="1993"/>
      <c r="EB20" s="1993"/>
      <c r="EC20" s="1994"/>
      <c r="ED20" s="188"/>
    </row>
    <row r="21" spans="3:150" ht="6.75" customHeight="1" thickBot="1">
      <c r="C21" s="1844" t="s">
        <v>777</v>
      </c>
      <c r="D21" s="1845"/>
      <c r="E21" s="1845"/>
      <c r="F21" s="1845"/>
      <c r="G21" s="1845"/>
      <c r="H21" s="1845"/>
      <c r="I21" s="1845"/>
      <c r="J21" s="1845"/>
      <c r="K21" s="1845"/>
      <c r="L21" s="1845"/>
      <c r="M21" s="1845"/>
      <c r="N21" s="1845"/>
      <c r="O21" s="1845"/>
      <c r="P21" s="1845"/>
      <c r="Q21" s="1845"/>
      <c r="R21" s="1845"/>
      <c r="S21" s="1845"/>
      <c r="T21" s="1845"/>
      <c r="U21" s="1845"/>
      <c r="V21" s="1845"/>
      <c r="W21" s="1845"/>
      <c r="X21" s="1845"/>
      <c r="Y21" s="1845"/>
      <c r="Z21" s="1845"/>
      <c r="AA21" s="1830"/>
      <c r="AB21" s="1831"/>
      <c r="AC21" s="1831"/>
      <c r="AD21" s="1831"/>
      <c r="AE21" s="1831"/>
      <c r="AF21" s="1831"/>
      <c r="AG21" s="1831"/>
      <c r="AH21" s="1832"/>
      <c r="AI21" s="947"/>
      <c r="AJ21" s="2096" t="str">
        <f>T('2 REPAIR ESTIMATOR'!N81:T81)</f>
        <v>DECKING AND PATIOS</v>
      </c>
      <c r="AK21" s="2097"/>
      <c r="AL21" s="2097"/>
      <c r="AM21" s="2097"/>
      <c r="AN21" s="2097"/>
      <c r="AO21" s="2097"/>
      <c r="AP21" s="2097"/>
      <c r="AQ21" s="2097"/>
      <c r="AR21" s="2097"/>
      <c r="AS21" s="2097"/>
      <c r="AT21" s="2097"/>
      <c r="AU21" s="2097"/>
      <c r="AV21" s="2097"/>
      <c r="AW21" s="2097"/>
      <c r="AX21" s="2097"/>
      <c r="AY21" s="2097"/>
      <c r="AZ21" s="2097"/>
      <c r="BA21" s="2097"/>
      <c r="BB21" s="2097"/>
      <c r="BC21" s="2097"/>
      <c r="BD21" s="2097"/>
      <c r="BE21" s="2097"/>
      <c r="BF21" s="2097"/>
      <c r="BG21" s="1805">
        <f>Estimate_Scope_7_Result</f>
        <v>0</v>
      </c>
      <c r="BH21" s="1806"/>
      <c r="BI21" s="1806"/>
      <c r="BJ21" s="1806"/>
      <c r="BK21" s="1806"/>
      <c r="BL21" s="1806"/>
      <c r="BM21" s="1807"/>
      <c r="BN21" s="947"/>
      <c r="BO21" s="1949"/>
      <c r="BP21" s="1950"/>
      <c r="BQ21" s="1950"/>
      <c r="BR21" s="1950"/>
      <c r="BS21" s="1950"/>
      <c r="BT21" s="1950"/>
      <c r="BU21" s="1950"/>
      <c r="BV21" s="1950"/>
      <c r="BW21" s="1950"/>
      <c r="BX21" s="1950"/>
      <c r="BY21" s="1951"/>
      <c r="BZ21" s="1949"/>
      <c r="CA21" s="1950"/>
      <c r="CB21" s="1950"/>
      <c r="CC21" s="1950"/>
      <c r="CD21" s="1950"/>
      <c r="CE21" s="1950"/>
      <c r="CF21" s="1950"/>
      <c r="CG21" s="1950"/>
      <c r="CH21" s="1950"/>
      <c r="CI21" s="1950"/>
      <c r="CJ21" s="1951"/>
      <c r="CK21" s="1949"/>
      <c r="CL21" s="1950"/>
      <c r="CM21" s="1950"/>
      <c r="CN21" s="1950"/>
      <c r="CO21" s="1950"/>
      <c r="CP21" s="1950"/>
      <c r="CQ21" s="1950"/>
      <c r="CR21" s="1950"/>
      <c r="CS21" s="1950"/>
      <c r="CT21" s="1950"/>
      <c r="CU21" s="1951"/>
      <c r="CV21" s="953"/>
      <c r="CW21" s="1952"/>
      <c r="CX21" s="1953"/>
      <c r="CY21" s="1953"/>
      <c r="CZ21" s="1953"/>
      <c r="DA21" s="1953"/>
      <c r="DB21" s="1953"/>
      <c r="DC21" s="1953"/>
      <c r="DD21" s="1953"/>
      <c r="DE21" s="1953"/>
      <c r="DF21" s="1953"/>
      <c r="DG21" s="1953"/>
      <c r="DH21" s="1953"/>
      <c r="DI21" s="1953"/>
      <c r="DJ21" s="1953"/>
      <c r="DK21" s="1953"/>
      <c r="DL21" s="1953"/>
      <c r="DM21" s="1992"/>
      <c r="DN21" s="1993"/>
      <c r="DO21" s="1993"/>
      <c r="DP21" s="1993"/>
      <c r="DQ21" s="1993"/>
      <c r="DR21" s="1993"/>
      <c r="DS21" s="1993"/>
      <c r="DT21" s="1993"/>
      <c r="DU21" s="1993"/>
      <c r="DV21" s="1993"/>
      <c r="DW21" s="1993"/>
      <c r="DX21" s="1993"/>
      <c r="DY21" s="1993"/>
      <c r="DZ21" s="1993"/>
      <c r="EA21" s="1993"/>
      <c r="EB21" s="1993"/>
      <c r="EC21" s="1994"/>
    </row>
    <row r="22" spans="3:150" ht="6.75" customHeight="1">
      <c r="C22" s="1844"/>
      <c r="D22" s="1845"/>
      <c r="E22" s="1845"/>
      <c r="F22" s="1845"/>
      <c r="G22" s="1845"/>
      <c r="H22" s="1845"/>
      <c r="I22" s="1845"/>
      <c r="J22" s="1845"/>
      <c r="K22" s="1845"/>
      <c r="L22" s="1845"/>
      <c r="M22" s="1845"/>
      <c r="N22" s="1845"/>
      <c r="O22" s="1845"/>
      <c r="P22" s="1845"/>
      <c r="Q22" s="1845"/>
      <c r="R22" s="1845"/>
      <c r="S22" s="1845"/>
      <c r="T22" s="1845"/>
      <c r="U22" s="1845"/>
      <c r="V22" s="1845"/>
      <c r="W22" s="1845"/>
      <c r="X22" s="1845"/>
      <c r="Y22" s="1845"/>
      <c r="Z22" s="1845"/>
      <c r="AA22" s="1833"/>
      <c r="AB22" s="1834"/>
      <c r="AC22" s="1834"/>
      <c r="AD22" s="1834"/>
      <c r="AE22" s="1834"/>
      <c r="AF22" s="1834"/>
      <c r="AG22" s="1834"/>
      <c r="AH22" s="1835"/>
      <c r="AI22" s="947"/>
      <c r="AJ22" s="2096"/>
      <c r="AK22" s="2097"/>
      <c r="AL22" s="2097"/>
      <c r="AM22" s="2097"/>
      <c r="AN22" s="2097"/>
      <c r="AO22" s="2097"/>
      <c r="AP22" s="2097"/>
      <c r="AQ22" s="2097"/>
      <c r="AR22" s="2097"/>
      <c r="AS22" s="2097"/>
      <c r="AT22" s="2097"/>
      <c r="AU22" s="2097"/>
      <c r="AV22" s="2097"/>
      <c r="AW22" s="2097"/>
      <c r="AX22" s="2097"/>
      <c r="AY22" s="2097"/>
      <c r="AZ22" s="2097"/>
      <c r="BA22" s="2097"/>
      <c r="BB22" s="2097"/>
      <c r="BC22" s="2097"/>
      <c r="BD22" s="2097"/>
      <c r="BE22" s="2097"/>
      <c r="BF22" s="2097"/>
      <c r="BG22" s="1805"/>
      <c r="BH22" s="1806"/>
      <c r="BI22" s="1806"/>
      <c r="BJ22" s="1806"/>
      <c r="BK22" s="1806"/>
      <c r="BL22" s="1806"/>
      <c r="BM22" s="1807"/>
      <c r="BN22" s="947"/>
      <c r="BO22" s="1925" t="str">
        <f>IF(Total_Schedule_Cell=0,"",BO12/Total_Schedule_Cell)</f>
        <v/>
      </c>
      <c r="BP22" s="1926"/>
      <c r="BQ22" s="1926"/>
      <c r="BR22" s="1926"/>
      <c r="BS22" s="1926"/>
      <c r="BT22" s="1926"/>
      <c r="BU22" s="1926"/>
      <c r="BV22" s="1926"/>
      <c r="BW22" s="1926"/>
      <c r="BX22" s="1926"/>
      <c r="BY22" s="1927"/>
      <c r="BZ22" s="1934">
        <f>IFERROR(IF(Total_Cash_Needed&lt;0,"Infinite ROI",REHAB_PROFIT_ESTIMATED/Total_Cash_Needed),0)</f>
        <v>0</v>
      </c>
      <c r="CA22" s="1935"/>
      <c r="CB22" s="1935"/>
      <c r="CC22" s="1935"/>
      <c r="CD22" s="1935"/>
      <c r="CE22" s="1935"/>
      <c r="CF22" s="1935"/>
      <c r="CG22" s="1935"/>
      <c r="CH22" s="1935"/>
      <c r="CI22" s="1935"/>
      <c r="CJ22" s="1935"/>
      <c r="CK22" s="1934">
        <f>IFERROR(IF(Total_Cash_Needed&lt;0,"Infinite ROI",((REHAB_PROFIT_ESTIMATED/Total_Cash_Needed)/(Total_Schedule_Cell/12))),0)</f>
        <v>0</v>
      </c>
      <c r="CL22" s="1935"/>
      <c r="CM22" s="1935"/>
      <c r="CN22" s="1935"/>
      <c r="CO22" s="1935"/>
      <c r="CP22" s="1935"/>
      <c r="CQ22" s="1935"/>
      <c r="CR22" s="1935"/>
      <c r="CS22" s="1935"/>
      <c r="CT22" s="1935"/>
      <c r="CU22" s="1940"/>
      <c r="CV22" s="953"/>
      <c r="CW22" s="1952"/>
      <c r="CX22" s="1953"/>
      <c r="CY22" s="1953"/>
      <c r="CZ22" s="1953"/>
      <c r="DA22" s="1953"/>
      <c r="DB22" s="1953"/>
      <c r="DC22" s="1953"/>
      <c r="DD22" s="1953"/>
      <c r="DE22" s="1953"/>
      <c r="DF22" s="1953"/>
      <c r="DG22" s="1953"/>
      <c r="DH22" s="1953"/>
      <c r="DI22" s="1953"/>
      <c r="DJ22" s="1953"/>
      <c r="DK22" s="1953"/>
      <c r="DL22" s="1953"/>
      <c r="DM22" s="1916" t="s">
        <v>863</v>
      </c>
      <c r="DN22" s="1917"/>
      <c r="DO22" s="1917"/>
      <c r="DP22" s="1917"/>
      <c r="DQ22" s="1917"/>
      <c r="DR22" s="1917"/>
      <c r="DS22" s="1917"/>
      <c r="DT22" s="1917"/>
      <c r="DU22" s="1917"/>
      <c r="DV22" s="1917"/>
      <c r="DW22" s="1917"/>
      <c r="DX22" s="1917"/>
      <c r="DY22" s="1917"/>
      <c r="DZ22" s="1917"/>
      <c r="EA22" s="1917"/>
      <c r="EB22" s="1917"/>
      <c r="EC22" s="1918"/>
    </row>
    <row r="23" spans="3:150" ht="6.75" customHeight="1">
      <c r="C23" s="1844" t="s">
        <v>778</v>
      </c>
      <c r="D23" s="1845"/>
      <c r="E23" s="1845"/>
      <c r="F23" s="1845"/>
      <c r="G23" s="1845"/>
      <c r="H23" s="1845"/>
      <c r="I23" s="1845"/>
      <c r="J23" s="1845"/>
      <c r="K23" s="1845"/>
      <c r="L23" s="1845"/>
      <c r="M23" s="1845"/>
      <c r="N23" s="1845"/>
      <c r="O23" s="1845"/>
      <c r="P23" s="1845"/>
      <c r="Q23" s="1845"/>
      <c r="R23" s="1845"/>
      <c r="S23" s="1845"/>
      <c r="T23" s="1845"/>
      <c r="U23" s="1845"/>
      <c r="V23" s="1845"/>
      <c r="W23" s="1845"/>
      <c r="X23" s="1845"/>
      <c r="Y23" s="1845"/>
      <c r="Z23" s="1845"/>
      <c r="AA23" s="1830"/>
      <c r="AB23" s="1831"/>
      <c r="AC23" s="1831"/>
      <c r="AD23" s="1831"/>
      <c r="AE23" s="1831"/>
      <c r="AF23" s="1831"/>
      <c r="AG23" s="1831"/>
      <c r="AH23" s="1832"/>
      <c r="AI23" s="947"/>
      <c r="AJ23" s="2074" t="str">
        <f>T('2 REPAIR ESTIMATOR'!N82:T82)</f>
        <v>ROOFING</v>
      </c>
      <c r="AK23" s="2075"/>
      <c r="AL23" s="2075"/>
      <c r="AM23" s="2075"/>
      <c r="AN23" s="2075"/>
      <c r="AO23" s="2075"/>
      <c r="AP23" s="2075"/>
      <c r="AQ23" s="2075"/>
      <c r="AR23" s="2075"/>
      <c r="AS23" s="2075"/>
      <c r="AT23" s="2075"/>
      <c r="AU23" s="2075"/>
      <c r="AV23" s="2075"/>
      <c r="AW23" s="2075"/>
      <c r="AX23" s="2075"/>
      <c r="AY23" s="2075"/>
      <c r="AZ23" s="2075"/>
      <c r="BA23" s="2075"/>
      <c r="BB23" s="2075"/>
      <c r="BC23" s="2075"/>
      <c r="BD23" s="2075"/>
      <c r="BE23" s="2075"/>
      <c r="BF23" s="2075"/>
      <c r="BG23" s="1811">
        <f>Estimate_Scope_8_Result</f>
        <v>0</v>
      </c>
      <c r="BH23" s="1812"/>
      <c r="BI23" s="1812"/>
      <c r="BJ23" s="1812"/>
      <c r="BK23" s="1812"/>
      <c r="BL23" s="1812"/>
      <c r="BM23" s="1813"/>
      <c r="BN23" s="947"/>
      <c r="BO23" s="1928"/>
      <c r="BP23" s="1929"/>
      <c r="BQ23" s="1929"/>
      <c r="BR23" s="1929"/>
      <c r="BS23" s="1929"/>
      <c r="BT23" s="1929"/>
      <c r="BU23" s="1929"/>
      <c r="BV23" s="1929"/>
      <c r="BW23" s="1929"/>
      <c r="BX23" s="1929"/>
      <c r="BY23" s="1930"/>
      <c r="BZ23" s="1936"/>
      <c r="CA23" s="1937"/>
      <c r="CB23" s="1937"/>
      <c r="CC23" s="1937"/>
      <c r="CD23" s="1937"/>
      <c r="CE23" s="1937"/>
      <c r="CF23" s="1937"/>
      <c r="CG23" s="1937"/>
      <c r="CH23" s="1937"/>
      <c r="CI23" s="1937"/>
      <c r="CJ23" s="1937"/>
      <c r="CK23" s="1936"/>
      <c r="CL23" s="1937"/>
      <c r="CM23" s="1937"/>
      <c r="CN23" s="1937"/>
      <c r="CO23" s="1937"/>
      <c r="CP23" s="1937"/>
      <c r="CQ23" s="1937"/>
      <c r="CR23" s="1937"/>
      <c r="CS23" s="1937"/>
      <c r="CT23" s="1937"/>
      <c r="CU23" s="1941"/>
      <c r="CV23" s="953"/>
      <c r="CW23" s="1952"/>
      <c r="CX23" s="1953"/>
      <c r="CY23" s="1953"/>
      <c r="CZ23" s="1953"/>
      <c r="DA23" s="1953"/>
      <c r="DB23" s="1953"/>
      <c r="DC23" s="1953"/>
      <c r="DD23" s="1953"/>
      <c r="DE23" s="1953"/>
      <c r="DF23" s="1953"/>
      <c r="DG23" s="1953"/>
      <c r="DH23" s="1953"/>
      <c r="DI23" s="1953"/>
      <c r="DJ23" s="1953"/>
      <c r="DK23" s="1953"/>
      <c r="DL23" s="1953"/>
      <c r="DM23" s="1916"/>
      <c r="DN23" s="1917"/>
      <c r="DO23" s="1917"/>
      <c r="DP23" s="1917"/>
      <c r="DQ23" s="1917"/>
      <c r="DR23" s="1917"/>
      <c r="DS23" s="1917"/>
      <c r="DT23" s="1917"/>
      <c r="DU23" s="1917"/>
      <c r="DV23" s="1917"/>
      <c r="DW23" s="1917"/>
      <c r="DX23" s="1917"/>
      <c r="DY23" s="1917"/>
      <c r="DZ23" s="1917"/>
      <c r="EA23" s="1917"/>
      <c r="EB23" s="1917"/>
      <c r="EC23" s="1918"/>
    </row>
    <row r="24" spans="3:150" ht="6.75" customHeight="1" thickBot="1">
      <c r="C24" s="1844"/>
      <c r="D24" s="1845"/>
      <c r="E24" s="1845"/>
      <c r="F24" s="1845"/>
      <c r="G24" s="1845"/>
      <c r="H24" s="1845"/>
      <c r="I24" s="1845"/>
      <c r="J24" s="1845"/>
      <c r="K24" s="1845"/>
      <c r="L24" s="1845"/>
      <c r="M24" s="1845"/>
      <c r="N24" s="1845"/>
      <c r="O24" s="1845"/>
      <c r="P24" s="1845"/>
      <c r="Q24" s="1845"/>
      <c r="R24" s="1845"/>
      <c r="S24" s="1845"/>
      <c r="T24" s="1845"/>
      <c r="U24" s="1845"/>
      <c r="V24" s="1845"/>
      <c r="W24" s="1845"/>
      <c r="X24" s="1845"/>
      <c r="Y24" s="1845"/>
      <c r="Z24" s="1845"/>
      <c r="AA24" s="1833"/>
      <c r="AB24" s="1834"/>
      <c r="AC24" s="1834"/>
      <c r="AD24" s="1834"/>
      <c r="AE24" s="1834"/>
      <c r="AF24" s="1834"/>
      <c r="AG24" s="1834"/>
      <c r="AH24" s="1835"/>
      <c r="AI24" s="947"/>
      <c r="AJ24" s="2074"/>
      <c r="AK24" s="2075"/>
      <c r="AL24" s="2075"/>
      <c r="AM24" s="2075"/>
      <c r="AN24" s="2075"/>
      <c r="AO24" s="2075"/>
      <c r="AP24" s="2075"/>
      <c r="AQ24" s="2075"/>
      <c r="AR24" s="2075"/>
      <c r="AS24" s="2075"/>
      <c r="AT24" s="2075"/>
      <c r="AU24" s="2075"/>
      <c r="AV24" s="2075"/>
      <c r="AW24" s="2075"/>
      <c r="AX24" s="2075"/>
      <c r="AY24" s="2075"/>
      <c r="AZ24" s="2075"/>
      <c r="BA24" s="2075"/>
      <c r="BB24" s="2075"/>
      <c r="BC24" s="2075"/>
      <c r="BD24" s="2075"/>
      <c r="BE24" s="2075"/>
      <c r="BF24" s="2075"/>
      <c r="BG24" s="1811"/>
      <c r="BH24" s="1812"/>
      <c r="BI24" s="1812"/>
      <c r="BJ24" s="1812"/>
      <c r="BK24" s="1812"/>
      <c r="BL24" s="1812"/>
      <c r="BM24" s="1813"/>
      <c r="BN24" s="947"/>
      <c r="BO24" s="1928"/>
      <c r="BP24" s="1929"/>
      <c r="BQ24" s="1929"/>
      <c r="BR24" s="1929"/>
      <c r="BS24" s="1929"/>
      <c r="BT24" s="1929"/>
      <c r="BU24" s="1929"/>
      <c r="BV24" s="1929"/>
      <c r="BW24" s="1929"/>
      <c r="BX24" s="1929"/>
      <c r="BY24" s="1930"/>
      <c r="BZ24" s="1936"/>
      <c r="CA24" s="1937"/>
      <c r="CB24" s="1937"/>
      <c r="CC24" s="1937"/>
      <c r="CD24" s="1937"/>
      <c r="CE24" s="1937"/>
      <c r="CF24" s="1937"/>
      <c r="CG24" s="1937"/>
      <c r="CH24" s="1937"/>
      <c r="CI24" s="1937"/>
      <c r="CJ24" s="1937"/>
      <c r="CK24" s="1936"/>
      <c r="CL24" s="1937"/>
      <c r="CM24" s="1937"/>
      <c r="CN24" s="1937"/>
      <c r="CO24" s="1937"/>
      <c r="CP24" s="1937"/>
      <c r="CQ24" s="1937"/>
      <c r="CR24" s="1937"/>
      <c r="CS24" s="1937"/>
      <c r="CT24" s="1937"/>
      <c r="CU24" s="1941"/>
      <c r="CV24" s="953"/>
      <c r="CW24" s="1952"/>
      <c r="CX24" s="1953"/>
      <c r="CY24" s="1953"/>
      <c r="CZ24" s="1953"/>
      <c r="DA24" s="1953"/>
      <c r="DB24" s="1953"/>
      <c r="DC24" s="1953"/>
      <c r="DD24" s="1953"/>
      <c r="DE24" s="1953"/>
      <c r="DF24" s="1953"/>
      <c r="DG24" s="1953"/>
      <c r="DH24" s="1953"/>
      <c r="DI24" s="1953"/>
      <c r="DJ24" s="1953"/>
      <c r="DK24" s="1953"/>
      <c r="DL24" s="1953"/>
      <c r="DM24" s="1919"/>
      <c r="DN24" s="1920"/>
      <c r="DO24" s="1920"/>
      <c r="DP24" s="1920"/>
      <c r="DQ24" s="1920"/>
      <c r="DR24" s="1920"/>
      <c r="DS24" s="1920"/>
      <c r="DT24" s="1920"/>
      <c r="DU24" s="1920"/>
      <c r="DV24" s="1920"/>
      <c r="DW24" s="1920"/>
      <c r="DX24" s="1920"/>
      <c r="DY24" s="1920"/>
      <c r="DZ24" s="1920"/>
      <c r="EA24" s="1920"/>
      <c r="EB24" s="1920"/>
      <c r="EC24" s="1921"/>
      <c r="EH24" s="248"/>
      <c r="EI24" s="310"/>
    </row>
    <row r="25" spans="3:150" ht="6.75" customHeight="1">
      <c r="C25" s="1844" t="s">
        <v>779</v>
      </c>
      <c r="D25" s="1845"/>
      <c r="E25" s="1845"/>
      <c r="F25" s="1845"/>
      <c r="G25" s="1845"/>
      <c r="H25" s="1845"/>
      <c r="I25" s="1845"/>
      <c r="J25" s="1845"/>
      <c r="K25" s="1845"/>
      <c r="L25" s="1845"/>
      <c r="M25" s="1845"/>
      <c r="N25" s="1845"/>
      <c r="O25" s="1845"/>
      <c r="P25" s="1845"/>
      <c r="Q25" s="1845"/>
      <c r="R25" s="1845"/>
      <c r="S25" s="1845"/>
      <c r="T25" s="1845"/>
      <c r="U25" s="1845"/>
      <c r="V25" s="1845"/>
      <c r="W25" s="1845"/>
      <c r="X25" s="1845"/>
      <c r="Y25" s="1845"/>
      <c r="Z25" s="1845"/>
      <c r="AA25" s="1830"/>
      <c r="AB25" s="1831"/>
      <c r="AC25" s="1831"/>
      <c r="AD25" s="1831"/>
      <c r="AE25" s="1831"/>
      <c r="AF25" s="1831"/>
      <c r="AG25" s="1831"/>
      <c r="AH25" s="1832"/>
      <c r="AI25" s="947"/>
      <c r="AJ25" s="2096" t="str">
        <f>T('2 REPAIR ESTIMATOR'!Y75:AE75)</f>
        <v>EXTERIOR DOORS &amp; WINDOWS</v>
      </c>
      <c r="AK25" s="2097"/>
      <c r="AL25" s="2097"/>
      <c r="AM25" s="2097"/>
      <c r="AN25" s="2097"/>
      <c r="AO25" s="2097"/>
      <c r="AP25" s="2097"/>
      <c r="AQ25" s="2097"/>
      <c r="AR25" s="2097"/>
      <c r="AS25" s="2097"/>
      <c r="AT25" s="2097"/>
      <c r="AU25" s="2097"/>
      <c r="AV25" s="2097"/>
      <c r="AW25" s="2097"/>
      <c r="AX25" s="2097"/>
      <c r="AY25" s="2097"/>
      <c r="AZ25" s="2097"/>
      <c r="BA25" s="2097"/>
      <c r="BB25" s="2097"/>
      <c r="BC25" s="2097"/>
      <c r="BD25" s="2097"/>
      <c r="BE25" s="2097"/>
      <c r="BF25" s="2097"/>
      <c r="BG25" s="1805">
        <f>Estimate_Scope_9_Result</f>
        <v>0</v>
      </c>
      <c r="BH25" s="1806"/>
      <c r="BI25" s="1806"/>
      <c r="BJ25" s="1806"/>
      <c r="BK25" s="1806"/>
      <c r="BL25" s="1806"/>
      <c r="BM25" s="1807"/>
      <c r="BN25" s="947"/>
      <c r="BO25" s="1928"/>
      <c r="BP25" s="1929"/>
      <c r="BQ25" s="1929"/>
      <c r="BR25" s="1929"/>
      <c r="BS25" s="1929"/>
      <c r="BT25" s="1929"/>
      <c r="BU25" s="1929"/>
      <c r="BV25" s="1929"/>
      <c r="BW25" s="1929"/>
      <c r="BX25" s="1929"/>
      <c r="BY25" s="1930"/>
      <c r="BZ25" s="1936"/>
      <c r="CA25" s="1937"/>
      <c r="CB25" s="1937"/>
      <c r="CC25" s="1937"/>
      <c r="CD25" s="1937"/>
      <c r="CE25" s="1937"/>
      <c r="CF25" s="1937"/>
      <c r="CG25" s="1937"/>
      <c r="CH25" s="1937"/>
      <c r="CI25" s="1937"/>
      <c r="CJ25" s="1937"/>
      <c r="CK25" s="1936"/>
      <c r="CL25" s="1937"/>
      <c r="CM25" s="1937"/>
      <c r="CN25" s="1937"/>
      <c r="CO25" s="1937"/>
      <c r="CP25" s="1937"/>
      <c r="CQ25" s="1937"/>
      <c r="CR25" s="1937"/>
      <c r="CS25" s="1937"/>
      <c r="CT25" s="1937"/>
      <c r="CU25" s="1941"/>
      <c r="CV25" s="953"/>
      <c r="CW25" s="1952"/>
      <c r="CX25" s="1953"/>
      <c r="CY25" s="1953"/>
      <c r="CZ25" s="1953"/>
      <c r="DA25" s="1953"/>
      <c r="DB25" s="1953"/>
      <c r="DC25" s="1953"/>
      <c r="DD25" s="1953"/>
      <c r="DE25" s="1953"/>
      <c r="DF25" s="1953"/>
      <c r="DG25" s="1953"/>
      <c r="DH25" s="1953"/>
      <c r="DI25" s="1953"/>
      <c r="DJ25" s="1953"/>
      <c r="DK25" s="1953"/>
      <c r="DL25" s="1953"/>
      <c r="DM25" s="1956" t="str">
        <f>IF(AFTER_REPAIR_VALUE_CELL=0,"",((Known_Purchase_Price_Cell+TOTAL_REPAIRS_ESTIMATE)/AFTER_REPAIR_VALUE_CELL))</f>
        <v/>
      </c>
      <c r="DN25" s="1957"/>
      <c r="DO25" s="1957"/>
      <c r="DP25" s="1957"/>
      <c r="DQ25" s="1957"/>
      <c r="DR25" s="1957"/>
      <c r="DS25" s="1957"/>
      <c r="DT25" s="1957"/>
      <c r="DU25" s="1957"/>
      <c r="DV25" s="1957"/>
      <c r="DW25" s="1957"/>
      <c r="DX25" s="1957"/>
      <c r="DY25" s="1957"/>
      <c r="DZ25" s="1957"/>
      <c r="EA25" s="1957"/>
      <c r="EB25" s="1957"/>
      <c r="EC25" s="1958"/>
    </row>
    <row r="26" spans="3:150" ht="6.75" customHeight="1">
      <c r="C26" s="1844"/>
      <c r="D26" s="1845"/>
      <c r="E26" s="1845"/>
      <c r="F26" s="1845"/>
      <c r="G26" s="1845"/>
      <c r="H26" s="1845"/>
      <c r="I26" s="1845"/>
      <c r="J26" s="1845"/>
      <c r="K26" s="1845"/>
      <c r="L26" s="1845"/>
      <c r="M26" s="1845"/>
      <c r="N26" s="1845"/>
      <c r="O26" s="1845"/>
      <c r="P26" s="1845"/>
      <c r="Q26" s="1845"/>
      <c r="R26" s="1845"/>
      <c r="S26" s="1845"/>
      <c r="T26" s="1845"/>
      <c r="U26" s="1845"/>
      <c r="V26" s="1845"/>
      <c r="W26" s="1845"/>
      <c r="X26" s="1845"/>
      <c r="Y26" s="1845"/>
      <c r="Z26" s="1845"/>
      <c r="AA26" s="1833"/>
      <c r="AB26" s="1834"/>
      <c r="AC26" s="1834"/>
      <c r="AD26" s="1834"/>
      <c r="AE26" s="1834"/>
      <c r="AF26" s="1834"/>
      <c r="AG26" s="1834"/>
      <c r="AH26" s="1835"/>
      <c r="AI26" s="947"/>
      <c r="AJ26" s="2096"/>
      <c r="AK26" s="2097"/>
      <c r="AL26" s="2097"/>
      <c r="AM26" s="2097"/>
      <c r="AN26" s="2097"/>
      <c r="AO26" s="2097"/>
      <c r="AP26" s="2097"/>
      <c r="AQ26" s="2097"/>
      <c r="AR26" s="2097"/>
      <c r="AS26" s="2097"/>
      <c r="AT26" s="2097"/>
      <c r="AU26" s="2097"/>
      <c r="AV26" s="2097"/>
      <c r="AW26" s="2097"/>
      <c r="AX26" s="2097"/>
      <c r="AY26" s="2097"/>
      <c r="AZ26" s="2097"/>
      <c r="BA26" s="2097"/>
      <c r="BB26" s="2097"/>
      <c r="BC26" s="2097"/>
      <c r="BD26" s="2097"/>
      <c r="BE26" s="2097"/>
      <c r="BF26" s="2097"/>
      <c r="BG26" s="1805"/>
      <c r="BH26" s="1806"/>
      <c r="BI26" s="1806"/>
      <c r="BJ26" s="1806"/>
      <c r="BK26" s="1806"/>
      <c r="BL26" s="1806"/>
      <c r="BM26" s="1807"/>
      <c r="BN26" s="947"/>
      <c r="BO26" s="1928"/>
      <c r="BP26" s="1929"/>
      <c r="BQ26" s="1929"/>
      <c r="BR26" s="1929"/>
      <c r="BS26" s="1929"/>
      <c r="BT26" s="1929"/>
      <c r="BU26" s="1929"/>
      <c r="BV26" s="1929"/>
      <c r="BW26" s="1929"/>
      <c r="BX26" s="1929"/>
      <c r="BY26" s="1930"/>
      <c r="BZ26" s="1936"/>
      <c r="CA26" s="1937"/>
      <c r="CB26" s="1937"/>
      <c r="CC26" s="1937"/>
      <c r="CD26" s="1937"/>
      <c r="CE26" s="1937"/>
      <c r="CF26" s="1937"/>
      <c r="CG26" s="1937"/>
      <c r="CH26" s="1937"/>
      <c r="CI26" s="1937"/>
      <c r="CJ26" s="1937"/>
      <c r="CK26" s="1936"/>
      <c r="CL26" s="1937"/>
      <c r="CM26" s="1937"/>
      <c r="CN26" s="1937"/>
      <c r="CO26" s="1937"/>
      <c r="CP26" s="1937"/>
      <c r="CQ26" s="1937"/>
      <c r="CR26" s="1937"/>
      <c r="CS26" s="1937"/>
      <c r="CT26" s="1937"/>
      <c r="CU26" s="1941"/>
      <c r="CV26" s="953"/>
      <c r="CW26" s="1952"/>
      <c r="CX26" s="1953"/>
      <c r="CY26" s="1953"/>
      <c r="CZ26" s="1953"/>
      <c r="DA26" s="1953"/>
      <c r="DB26" s="1953"/>
      <c r="DC26" s="1953"/>
      <c r="DD26" s="1953"/>
      <c r="DE26" s="1953"/>
      <c r="DF26" s="1953"/>
      <c r="DG26" s="1953"/>
      <c r="DH26" s="1953"/>
      <c r="DI26" s="1953"/>
      <c r="DJ26" s="1953"/>
      <c r="DK26" s="1953"/>
      <c r="DL26" s="1953"/>
      <c r="DM26" s="1959"/>
      <c r="DN26" s="1960"/>
      <c r="DO26" s="1960"/>
      <c r="DP26" s="1960"/>
      <c r="DQ26" s="1960"/>
      <c r="DR26" s="1960"/>
      <c r="DS26" s="1960"/>
      <c r="DT26" s="1960"/>
      <c r="DU26" s="1960"/>
      <c r="DV26" s="1960"/>
      <c r="DW26" s="1960"/>
      <c r="DX26" s="1960"/>
      <c r="DY26" s="1960"/>
      <c r="DZ26" s="1960"/>
      <c r="EA26" s="1960"/>
      <c r="EB26" s="1960"/>
      <c r="EC26" s="1961"/>
    </row>
    <row r="27" spans="3:150" ht="6.75" customHeight="1">
      <c r="C27" s="1844" t="s">
        <v>780</v>
      </c>
      <c r="D27" s="1845"/>
      <c r="E27" s="1845"/>
      <c r="F27" s="1845"/>
      <c r="G27" s="1845"/>
      <c r="H27" s="1845"/>
      <c r="I27" s="1845"/>
      <c r="J27" s="1845"/>
      <c r="K27" s="1845"/>
      <c r="L27" s="1845"/>
      <c r="M27" s="1845"/>
      <c r="N27" s="1845"/>
      <c r="O27" s="1845"/>
      <c r="P27" s="1845"/>
      <c r="Q27" s="1845"/>
      <c r="R27" s="1845"/>
      <c r="S27" s="1845"/>
      <c r="T27" s="1845"/>
      <c r="U27" s="1845"/>
      <c r="V27" s="1845"/>
      <c r="W27" s="1845"/>
      <c r="X27" s="1845"/>
      <c r="Y27" s="1845"/>
      <c r="Z27" s="1845"/>
      <c r="AA27" s="1830"/>
      <c r="AB27" s="1831"/>
      <c r="AC27" s="1831"/>
      <c r="AD27" s="1831"/>
      <c r="AE27" s="1831"/>
      <c r="AF27" s="1831"/>
      <c r="AG27" s="1831"/>
      <c r="AH27" s="1832"/>
      <c r="AI27" s="947"/>
      <c r="AJ27" s="2074" t="str">
        <f>T('2 REPAIR ESTIMATOR'!Y76:AE76)</f>
        <v>GARAGE DOORS</v>
      </c>
      <c r="AK27" s="2075"/>
      <c r="AL27" s="2075"/>
      <c r="AM27" s="2075"/>
      <c r="AN27" s="2075"/>
      <c r="AO27" s="2075"/>
      <c r="AP27" s="2075"/>
      <c r="AQ27" s="2075"/>
      <c r="AR27" s="2075"/>
      <c r="AS27" s="2075"/>
      <c r="AT27" s="2075"/>
      <c r="AU27" s="2075"/>
      <c r="AV27" s="2075"/>
      <c r="AW27" s="2075"/>
      <c r="AX27" s="2075"/>
      <c r="AY27" s="2075"/>
      <c r="AZ27" s="2075"/>
      <c r="BA27" s="2075"/>
      <c r="BB27" s="2075"/>
      <c r="BC27" s="2075"/>
      <c r="BD27" s="2075"/>
      <c r="BE27" s="2075"/>
      <c r="BF27" s="2075"/>
      <c r="BG27" s="1811">
        <f>Estimate_Scope_10_Result</f>
        <v>0</v>
      </c>
      <c r="BH27" s="1812"/>
      <c r="BI27" s="1812"/>
      <c r="BJ27" s="1812"/>
      <c r="BK27" s="1812"/>
      <c r="BL27" s="1812"/>
      <c r="BM27" s="1813"/>
      <c r="BN27" s="947"/>
      <c r="BO27" s="1928"/>
      <c r="BP27" s="1929"/>
      <c r="BQ27" s="1929"/>
      <c r="BR27" s="1929"/>
      <c r="BS27" s="1929"/>
      <c r="BT27" s="1929"/>
      <c r="BU27" s="1929"/>
      <c r="BV27" s="1929"/>
      <c r="BW27" s="1929"/>
      <c r="BX27" s="1929"/>
      <c r="BY27" s="1930"/>
      <c r="BZ27" s="1936"/>
      <c r="CA27" s="1937"/>
      <c r="CB27" s="1937"/>
      <c r="CC27" s="1937"/>
      <c r="CD27" s="1937"/>
      <c r="CE27" s="1937"/>
      <c r="CF27" s="1937"/>
      <c r="CG27" s="1937"/>
      <c r="CH27" s="1937"/>
      <c r="CI27" s="1937"/>
      <c r="CJ27" s="1937"/>
      <c r="CK27" s="1936"/>
      <c r="CL27" s="1937"/>
      <c r="CM27" s="1937"/>
      <c r="CN27" s="1937"/>
      <c r="CO27" s="1937"/>
      <c r="CP27" s="1937"/>
      <c r="CQ27" s="1937"/>
      <c r="CR27" s="1937"/>
      <c r="CS27" s="1937"/>
      <c r="CT27" s="1937"/>
      <c r="CU27" s="1941"/>
      <c r="CV27" s="953"/>
      <c r="CW27" s="1952"/>
      <c r="CX27" s="1953"/>
      <c r="CY27" s="1953"/>
      <c r="CZ27" s="1953"/>
      <c r="DA27" s="1953"/>
      <c r="DB27" s="1953"/>
      <c r="DC27" s="1953"/>
      <c r="DD27" s="1953"/>
      <c r="DE27" s="1953"/>
      <c r="DF27" s="1953"/>
      <c r="DG27" s="1953"/>
      <c r="DH27" s="1953"/>
      <c r="DI27" s="1953"/>
      <c r="DJ27" s="1953"/>
      <c r="DK27" s="1953"/>
      <c r="DL27" s="1953"/>
      <c r="DM27" s="1959"/>
      <c r="DN27" s="1960"/>
      <c r="DO27" s="1960"/>
      <c r="DP27" s="1960"/>
      <c r="DQ27" s="1960"/>
      <c r="DR27" s="1960"/>
      <c r="DS27" s="1960"/>
      <c r="DT27" s="1960"/>
      <c r="DU27" s="1960"/>
      <c r="DV27" s="1960"/>
      <c r="DW27" s="1960"/>
      <c r="DX27" s="1960"/>
      <c r="DY27" s="1960"/>
      <c r="DZ27" s="1960"/>
      <c r="EA27" s="1960"/>
      <c r="EB27" s="1960"/>
      <c r="EC27" s="1961"/>
    </row>
    <row r="28" spans="3:150" ht="6.75" customHeight="1" thickBot="1">
      <c r="C28" s="1844"/>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33"/>
      <c r="AB28" s="1834"/>
      <c r="AC28" s="1834"/>
      <c r="AD28" s="1834"/>
      <c r="AE28" s="1834"/>
      <c r="AF28" s="1834"/>
      <c r="AG28" s="1834"/>
      <c r="AH28" s="1835"/>
      <c r="AI28" s="947"/>
      <c r="AJ28" s="2074"/>
      <c r="AK28" s="2075"/>
      <c r="AL28" s="2075"/>
      <c r="AM28" s="2075"/>
      <c r="AN28" s="2075"/>
      <c r="AO28" s="2075"/>
      <c r="AP28" s="2075"/>
      <c r="AQ28" s="2075"/>
      <c r="AR28" s="2075"/>
      <c r="AS28" s="2075"/>
      <c r="AT28" s="2075"/>
      <c r="AU28" s="2075"/>
      <c r="AV28" s="2075"/>
      <c r="AW28" s="2075"/>
      <c r="AX28" s="2075"/>
      <c r="AY28" s="2075"/>
      <c r="AZ28" s="2075"/>
      <c r="BA28" s="2075"/>
      <c r="BB28" s="2075"/>
      <c r="BC28" s="2075"/>
      <c r="BD28" s="2075"/>
      <c r="BE28" s="2075"/>
      <c r="BF28" s="2075"/>
      <c r="BG28" s="1811"/>
      <c r="BH28" s="1812"/>
      <c r="BI28" s="1812"/>
      <c r="BJ28" s="1812"/>
      <c r="BK28" s="1812"/>
      <c r="BL28" s="1812"/>
      <c r="BM28" s="1813"/>
      <c r="BN28" s="947"/>
      <c r="BO28" s="1931"/>
      <c r="BP28" s="1932"/>
      <c r="BQ28" s="1932"/>
      <c r="BR28" s="1932"/>
      <c r="BS28" s="1932"/>
      <c r="BT28" s="1932"/>
      <c r="BU28" s="1932"/>
      <c r="BV28" s="1932"/>
      <c r="BW28" s="1932"/>
      <c r="BX28" s="1932"/>
      <c r="BY28" s="1933"/>
      <c r="BZ28" s="1938"/>
      <c r="CA28" s="1939"/>
      <c r="CB28" s="1939"/>
      <c r="CC28" s="1939"/>
      <c r="CD28" s="1939"/>
      <c r="CE28" s="1939"/>
      <c r="CF28" s="1939"/>
      <c r="CG28" s="1939"/>
      <c r="CH28" s="1939"/>
      <c r="CI28" s="1939"/>
      <c r="CJ28" s="1939"/>
      <c r="CK28" s="1938"/>
      <c r="CL28" s="1939"/>
      <c r="CM28" s="1939"/>
      <c r="CN28" s="1939"/>
      <c r="CO28" s="1939"/>
      <c r="CP28" s="1939"/>
      <c r="CQ28" s="1939"/>
      <c r="CR28" s="1939"/>
      <c r="CS28" s="1939"/>
      <c r="CT28" s="1939"/>
      <c r="CU28" s="1942"/>
      <c r="CV28" s="953"/>
      <c r="CW28" s="1952"/>
      <c r="CX28" s="1953"/>
      <c r="CY28" s="1953"/>
      <c r="CZ28" s="1953"/>
      <c r="DA28" s="1953"/>
      <c r="DB28" s="1953"/>
      <c r="DC28" s="1953"/>
      <c r="DD28" s="1953"/>
      <c r="DE28" s="1953"/>
      <c r="DF28" s="1953"/>
      <c r="DG28" s="1953"/>
      <c r="DH28" s="1953"/>
      <c r="DI28" s="1953"/>
      <c r="DJ28" s="1953"/>
      <c r="DK28" s="1953"/>
      <c r="DL28" s="1953"/>
      <c r="DM28" s="1959"/>
      <c r="DN28" s="1960"/>
      <c r="DO28" s="1960"/>
      <c r="DP28" s="1960"/>
      <c r="DQ28" s="1960"/>
      <c r="DR28" s="1960"/>
      <c r="DS28" s="1960"/>
      <c r="DT28" s="1960"/>
      <c r="DU28" s="1960"/>
      <c r="DV28" s="1960"/>
      <c r="DW28" s="1960"/>
      <c r="DX28" s="1960"/>
      <c r="DY28" s="1960"/>
      <c r="DZ28" s="1960"/>
      <c r="EA28" s="1960"/>
      <c r="EB28" s="1960"/>
      <c r="EC28" s="1961"/>
    </row>
    <row r="29" spans="3:150" ht="6.75" customHeight="1">
      <c r="C29" s="1844" t="s">
        <v>799</v>
      </c>
      <c r="D29" s="1845"/>
      <c r="E29" s="1845"/>
      <c r="F29" s="1845"/>
      <c r="G29" s="1845"/>
      <c r="H29" s="1845"/>
      <c r="I29" s="1845"/>
      <c r="J29" s="1845"/>
      <c r="K29" s="1845"/>
      <c r="L29" s="1845"/>
      <c r="M29" s="1845"/>
      <c r="N29" s="1845"/>
      <c r="O29" s="1845"/>
      <c r="P29" s="1845"/>
      <c r="Q29" s="1845"/>
      <c r="R29" s="1845"/>
      <c r="S29" s="1845"/>
      <c r="T29" s="1845"/>
      <c r="U29" s="1845"/>
      <c r="V29" s="1845"/>
      <c r="W29" s="1845"/>
      <c r="X29" s="1845"/>
      <c r="Y29" s="1845"/>
      <c r="Z29" s="1845"/>
      <c r="AA29" s="1830"/>
      <c r="AB29" s="1831"/>
      <c r="AC29" s="1831"/>
      <c r="AD29" s="1831"/>
      <c r="AE29" s="1831"/>
      <c r="AF29" s="1831"/>
      <c r="AG29" s="1831"/>
      <c r="AH29" s="1832"/>
      <c r="AI29" s="947"/>
      <c r="AJ29" s="2096" t="str">
        <f>T('2 REPAIR ESTIMATOR'!Y77:AE77)</f>
        <v>LANDSCAPING</v>
      </c>
      <c r="AK29" s="2097"/>
      <c r="AL29" s="2097"/>
      <c r="AM29" s="2097"/>
      <c r="AN29" s="2097"/>
      <c r="AO29" s="2097"/>
      <c r="AP29" s="2097"/>
      <c r="AQ29" s="2097"/>
      <c r="AR29" s="2097"/>
      <c r="AS29" s="2097"/>
      <c r="AT29" s="2097"/>
      <c r="AU29" s="2097"/>
      <c r="AV29" s="2097"/>
      <c r="AW29" s="2097"/>
      <c r="AX29" s="2097"/>
      <c r="AY29" s="2097"/>
      <c r="AZ29" s="2097"/>
      <c r="BA29" s="2097"/>
      <c r="BB29" s="2097"/>
      <c r="BC29" s="2097"/>
      <c r="BD29" s="2097"/>
      <c r="BE29" s="2097"/>
      <c r="BF29" s="2097"/>
      <c r="BG29" s="1805">
        <f>Estimate_Scope_11_Result</f>
        <v>0</v>
      </c>
      <c r="BH29" s="1806"/>
      <c r="BI29" s="1806"/>
      <c r="BJ29" s="1806"/>
      <c r="BK29" s="1806"/>
      <c r="BL29" s="1806"/>
      <c r="BM29" s="1807"/>
      <c r="BN29" s="947"/>
      <c r="BO29" s="1995" t="s">
        <v>291</v>
      </c>
      <c r="BP29" s="1996"/>
      <c r="BQ29" s="1996"/>
      <c r="BR29" s="1996"/>
      <c r="BS29" s="1996"/>
      <c r="BT29" s="1996"/>
      <c r="BU29" s="1996"/>
      <c r="BV29" s="1996"/>
      <c r="BW29" s="1996"/>
      <c r="BX29" s="1996"/>
      <c r="BY29" s="1996"/>
      <c r="BZ29" s="1996"/>
      <c r="CA29" s="1996"/>
      <c r="CB29" s="1996"/>
      <c r="CC29" s="1996"/>
      <c r="CD29" s="1996"/>
      <c r="CE29" s="1996"/>
      <c r="CF29" s="1996"/>
      <c r="CG29" s="1996"/>
      <c r="CH29" s="1996"/>
      <c r="CI29" s="1996"/>
      <c r="CJ29" s="1996"/>
      <c r="CK29" s="1996"/>
      <c r="CL29" s="1996"/>
      <c r="CM29" s="1996"/>
      <c r="CN29" s="1996"/>
      <c r="CO29" s="1996"/>
      <c r="CP29" s="1996"/>
      <c r="CQ29" s="1996"/>
      <c r="CR29" s="1996"/>
      <c r="CS29" s="1996"/>
      <c r="CT29" s="1996"/>
      <c r="CU29" s="1997"/>
      <c r="CV29" s="953"/>
      <c r="CW29" s="1952"/>
      <c r="CX29" s="1953"/>
      <c r="CY29" s="1953"/>
      <c r="CZ29" s="1953"/>
      <c r="DA29" s="1953"/>
      <c r="DB29" s="1953"/>
      <c r="DC29" s="1953"/>
      <c r="DD29" s="1953"/>
      <c r="DE29" s="1953"/>
      <c r="DF29" s="1953"/>
      <c r="DG29" s="1953"/>
      <c r="DH29" s="1953"/>
      <c r="DI29" s="1953"/>
      <c r="DJ29" s="1953"/>
      <c r="DK29" s="1953"/>
      <c r="DL29" s="1953"/>
      <c r="DM29" s="1959"/>
      <c r="DN29" s="1960"/>
      <c r="DO29" s="1960"/>
      <c r="DP29" s="1960"/>
      <c r="DQ29" s="1960"/>
      <c r="DR29" s="1960"/>
      <c r="DS29" s="1960"/>
      <c r="DT29" s="1960"/>
      <c r="DU29" s="1960"/>
      <c r="DV29" s="1960"/>
      <c r="DW29" s="1960"/>
      <c r="DX29" s="1960"/>
      <c r="DY29" s="1960"/>
      <c r="DZ29" s="1960"/>
      <c r="EA29" s="1960"/>
      <c r="EB29" s="1960"/>
      <c r="EC29" s="1961"/>
    </row>
    <row r="30" spans="3:150" ht="6.75" customHeight="1">
      <c r="C30" s="1844"/>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33"/>
      <c r="AB30" s="1834"/>
      <c r="AC30" s="1834"/>
      <c r="AD30" s="1834"/>
      <c r="AE30" s="1834"/>
      <c r="AF30" s="1834"/>
      <c r="AG30" s="1834"/>
      <c r="AH30" s="1835"/>
      <c r="AI30" s="947"/>
      <c r="AJ30" s="2096"/>
      <c r="AK30" s="2097"/>
      <c r="AL30" s="2097"/>
      <c r="AM30" s="2097"/>
      <c r="AN30" s="2097"/>
      <c r="AO30" s="2097"/>
      <c r="AP30" s="2097"/>
      <c r="AQ30" s="2097"/>
      <c r="AR30" s="2097"/>
      <c r="AS30" s="2097"/>
      <c r="AT30" s="2097"/>
      <c r="AU30" s="2097"/>
      <c r="AV30" s="2097"/>
      <c r="AW30" s="2097"/>
      <c r="AX30" s="2097"/>
      <c r="AY30" s="2097"/>
      <c r="AZ30" s="2097"/>
      <c r="BA30" s="2097"/>
      <c r="BB30" s="2097"/>
      <c r="BC30" s="2097"/>
      <c r="BD30" s="2097"/>
      <c r="BE30" s="2097"/>
      <c r="BF30" s="2097"/>
      <c r="BG30" s="1805"/>
      <c r="BH30" s="1806"/>
      <c r="BI30" s="1806"/>
      <c r="BJ30" s="1806"/>
      <c r="BK30" s="1806"/>
      <c r="BL30" s="1806"/>
      <c r="BM30" s="1807"/>
      <c r="BN30" s="947"/>
      <c r="BO30" s="1998"/>
      <c r="BP30" s="1999"/>
      <c r="BQ30" s="1999"/>
      <c r="BR30" s="1999"/>
      <c r="BS30" s="1999"/>
      <c r="BT30" s="1999"/>
      <c r="BU30" s="1999"/>
      <c r="BV30" s="1999"/>
      <c r="BW30" s="1999"/>
      <c r="BX30" s="1999"/>
      <c r="BY30" s="1999"/>
      <c r="BZ30" s="1999"/>
      <c r="CA30" s="1999"/>
      <c r="CB30" s="1999"/>
      <c r="CC30" s="1999"/>
      <c r="CD30" s="1999"/>
      <c r="CE30" s="1999"/>
      <c r="CF30" s="1999"/>
      <c r="CG30" s="1999"/>
      <c r="CH30" s="1999"/>
      <c r="CI30" s="1999"/>
      <c r="CJ30" s="1999"/>
      <c r="CK30" s="1999"/>
      <c r="CL30" s="1999"/>
      <c r="CM30" s="1999"/>
      <c r="CN30" s="1999"/>
      <c r="CO30" s="1999"/>
      <c r="CP30" s="1999"/>
      <c r="CQ30" s="1999"/>
      <c r="CR30" s="1999"/>
      <c r="CS30" s="1999"/>
      <c r="CT30" s="1999"/>
      <c r="CU30" s="2000"/>
      <c r="CV30" s="953"/>
      <c r="CW30" s="1952"/>
      <c r="CX30" s="1953"/>
      <c r="CY30" s="1953"/>
      <c r="CZ30" s="1953"/>
      <c r="DA30" s="1953"/>
      <c r="DB30" s="1953"/>
      <c r="DC30" s="1953"/>
      <c r="DD30" s="1953"/>
      <c r="DE30" s="1953"/>
      <c r="DF30" s="1953"/>
      <c r="DG30" s="1953"/>
      <c r="DH30" s="1953"/>
      <c r="DI30" s="1953"/>
      <c r="DJ30" s="1953"/>
      <c r="DK30" s="1953"/>
      <c r="DL30" s="1953"/>
      <c r="DM30" s="1959"/>
      <c r="DN30" s="1960"/>
      <c r="DO30" s="1960"/>
      <c r="DP30" s="1960"/>
      <c r="DQ30" s="1960"/>
      <c r="DR30" s="1960"/>
      <c r="DS30" s="1960"/>
      <c r="DT30" s="1960"/>
      <c r="DU30" s="1960"/>
      <c r="DV30" s="1960"/>
      <c r="DW30" s="1960"/>
      <c r="DX30" s="1960"/>
      <c r="DY30" s="1960"/>
      <c r="DZ30" s="1960"/>
      <c r="EA30" s="1960"/>
      <c r="EB30" s="1960"/>
      <c r="EC30" s="1961"/>
    </row>
    <row r="31" spans="3:150" ht="6.75" customHeight="1">
      <c r="C31" s="1844" t="s">
        <v>524</v>
      </c>
      <c r="D31" s="1845"/>
      <c r="E31" s="1845"/>
      <c r="F31" s="1845"/>
      <c r="G31" s="1845"/>
      <c r="H31" s="1845"/>
      <c r="I31" s="1845"/>
      <c r="J31" s="1845"/>
      <c r="K31" s="1845"/>
      <c r="L31" s="1845"/>
      <c r="M31" s="1845"/>
      <c r="N31" s="1845"/>
      <c r="O31" s="1845"/>
      <c r="P31" s="1845"/>
      <c r="Q31" s="1845"/>
      <c r="R31" s="1845"/>
      <c r="S31" s="1845"/>
      <c r="T31" s="1845"/>
      <c r="U31" s="1845"/>
      <c r="V31" s="1845"/>
      <c r="W31" s="1845"/>
      <c r="X31" s="1845"/>
      <c r="Y31" s="1845"/>
      <c r="Z31" s="1845"/>
      <c r="AA31" s="2243"/>
      <c r="AB31" s="2244"/>
      <c r="AC31" s="2244"/>
      <c r="AD31" s="2244"/>
      <c r="AE31" s="2244"/>
      <c r="AF31" s="2244"/>
      <c r="AG31" s="2244"/>
      <c r="AH31" s="2245"/>
      <c r="AI31" s="947"/>
      <c r="AJ31" s="2074" t="str">
        <f>T('2 REPAIR ESTIMATOR'!Y78:AE78)</f>
        <v>MISC. EXTERIOR ITEMS</v>
      </c>
      <c r="AK31" s="2075"/>
      <c r="AL31" s="2075"/>
      <c r="AM31" s="2075"/>
      <c r="AN31" s="2075"/>
      <c r="AO31" s="2075"/>
      <c r="AP31" s="2075"/>
      <c r="AQ31" s="2075"/>
      <c r="AR31" s="2075"/>
      <c r="AS31" s="2075"/>
      <c r="AT31" s="2075"/>
      <c r="AU31" s="2075"/>
      <c r="AV31" s="2075"/>
      <c r="AW31" s="2075"/>
      <c r="AX31" s="2075"/>
      <c r="AY31" s="2075"/>
      <c r="AZ31" s="2075"/>
      <c r="BA31" s="2075"/>
      <c r="BB31" s="2075"/>
      <c r="BC31" s="2075"/>
      <c r="BD31" s="2075"/>
      <c r="BE31" s="2075"/>
      <c r="BF31" s="2075"/>
      <c r="BG31" s="1811">
        <f>Estimate_Scope_12_Result</f>
        <v>0</v>
      </c>
      <c r="BH31" s="1812"/>
      <c r="BI31" s="1812"/>
      <c r="BJ31" s="1812"/>
      <c r="BK31" s="1812"/>
      <c r="BL31" s="1812"/>
      <c r="BM31" s="1813"/>
      <c r="BN31" s="947"/>
      <c r="BO31" s="1998"/>
      <c r="BP31" s="1999"/>
      <c r="BQ31" s="1999"/>
      <c r="BR31" s="1999"/>
      <c r="BS31" s="1999"/>
      <c r="BT31" s="1999"/>
      <c r="BU31" s="1999"/>
      <c r="BV31" s="1999"/>
      <c r="BW31" s="1999"/>
      <c r="BX31" s="1999"/>
      <c r="BY31" s="1999"/>
      <c r="BZ31" s="1999"/>
      <c r="CA31" s="1999"/>
      <c r="CB31" s="1999"/>
      <c r="CC31" s="1999"/>
      <c r="CD31" s="1999"/>
      <c r="CE31" s="1999"/>
      <c r="CF31" s="1999"/>
      <c r="CG31" s="1999"/>
      <c r="CH31" s="1999"/>
      <c r="CI31" s="1999"/>
      <c r="CJ31" s="1999"/>
      <c r="CK31" s="1999"/>
      <c r="CL31" s="1999"/>
      <c r="CM31" s="1999"/>
      <c r="CN31" s="1999"/>
      <c r="CO31" s="1999"/>
      <c r="CP31" s="1999"/>
      <c r="CQ31" s="1999"/>
      <c r="CR31" s="1999"/>
      <c r="CS31" s="1999"/>
      <c r="CT31" s="1999"/>
      <c r="CU31" s="2000"/>
      <c r="CV31" s="953"/>
      <c r="CW31" s="1952"/>
      <c r="CX31" s="1953"/>
      <c r="CY31" s="1953"/>
      <c r="CZ31" s="1953"/>
      <c r="DA31" s="1953"/>
      <c r="DB31" s="1953"/>
      <c r="DC31" s="1953"/>
      <c r="DD31" s="1953"/>
      <c r="DE31" s="1953"/>
      <c r="DF31" s="1953"/>
      <c r="DG31" s="1953"/>
      <c r="DH31" s="1953"/>
      <c r="DI31" s="1953"/>
      <c r="DJ31" s="1953"/>
      <c r="DK31" s="1953"/>
      <c r="DL31" s="1953"/>
      <c r="DM31" s="1959"/>
      <c r="DN31" s="1960"/>
      <c r="DO31" s="1960"/>
      <c r="DP31" s="1960"/>
      <c r="DQ31" s="1960"/>
      <c r="DR31" s="1960"/>
      <c r="DS31" s="1960"/>
      <c r="DT31" s="1960"/>
      <c r="DU31" s="1960"/>
      <c r="DV31" s="1960"/>
      <c r="DW31" s="1960"/>
      <c r="DX31" s="1960"/>
      <c r="DY31" s="1960"/>
      <c r="DZ31" s="1960"/>
      <c r="EA31" s="1960"/>
      <c r="EB31" s="1960"/>
      <c r="EC31" s="1961"/>
    </row>
    <row r="32" spans="3:150" ht="6.75" customHeight="1" thickBot="1">
      <c r="C32" s="1844"/>
      <c r="D32" s="1845"/>
      <c r="E32" s="1845"/>
      <c r="F32" s="1845"/>
      <c r="G32" s="1845"/>
      <c r="H32" s="1845"/>
      <c r="I32" s="1845"/>
      <c r="J32" s="1845"/>
      <c r="K32" s="1845"/>
      <c r="L32" s="1845"/>
      <c r="M32" s="1845"/>
      <c r="N32" s="1845"/>
      <c r="O32" s="1845"/>
      <c r="P32" s="1845"/>
      <c r="Q32" s="1845"/>
      <c r="R32" s="1845"/>
      <c r="S32" s="1845"/>
      <c r="T32" s="1845"/>
      <c r="U32" s="1845"/>
      <c r="V32" s="1845"/>
      <c r="W32" s="1845"/>
      <c r="X32" s="1845"/>
      <c r="Y32" s="1845"/>
      <c r="Z32" s="1845"/>
      <c r="AA32" s="2243"/>
      <c r="AB32" s="2244"/>
      <c r="AC32" s="2244"/>
      <c r="AD32" s="2244"/>
      <c r="AE32" s="2244"/>
      <c r="AF32" s="2244"/>
      <c r="AG32" s="2244"/>
      <c r="AH32" s="2245"/>
      <c r="AI32" s="947"/>
      <c r="AJ32" s="2074"/>
      <c r="AK32" s="2075"/>
      <c r="AL32" s="2075"/>
      <c r="AM32" s="2075"/>
      <c r="AN32" s="2075"/>
      <c r="AO32" s="2075"/>
      <c r="AP32" s="2075"/>
      <c r="AQ32" s="2075"/>
      <c r="AR32" s="2075"/>
      <c r="AS32" s="2075"/>
      <c r="AT32" s="2075"/>
      <c r="AU32" s="2075"/>
      <c r="AV32" s="2075"/>
      <c r="AW32" s="2075"/>
      <c r="AX32" s="2075"/>
      <c r="AY32" s="2075"/>
      <c r="AZ32" s="2075"/>
      <c r="BA32" s="2075"/>
      <c r="BB32" s="2075"/>
      <c r="BC32" s="2075"/>
      <c r="BD32" s="2075"/>
      <c r="BE32" s="2075"/>
      <c r="BF32" s="2075"/>
      <c r="BG32" s="1811"/>
      <c r="BH32" s="1812"/>
      <c r="BI32" s="1812"/>
      <c r="BJ32" s="1812"/>
      <c r="BK32" s="1812"/>
      <c r="BL32" s="1812"/>
      <c r="BM32" s="1813"/>
      <c r="BN32" s="947"/>
      <c r="BO32" s="1922">
        <f>AFTER_REPAIR_VALUE_CELL-TOTAL_FIXED_COSTS_ESTIMATED-TOTAL_REMODEL_ESTIMATE-REHAB_PROFIT_ESTIMATED</f>
        <v>0</v>
      </c>
      <c r="BP32" s="1923"/>
      <c r="BQ32" s="1923"/>
      <c r="BR32" s="1923"/>
      <c r="BS32" s="1923"/>
      <c r="BT32" s="1923"/>
      <c r="BU32" s="1923"/>
      <c r="BV32" s="1923"/>
      <c r="BW32" s="1923"/>
      <c r="BX32" s="1923"/>
      <c r="BY32" s="1923"/>
      <c r="BZ32" s="1923"/>
      <c r="CA32" s="1923"/>
      <c r="CB32" s="1923"/>
      <c r="CC32" s="1923"/>
      <c r="CD32" s="1923"/>
      <c r="CE32" s="1923"/>
      <c r="CF32" s="1923"/>
      <c r="CG32" s="1923"/>
      <c r="CH32" s="1923"/>
      <c r="CI32" s="1923"/>
      <c r="CJ32" s="1923"/>
      <c r="CK32" s="1923"/>
      <c r="CL32" s="1923"/>
      <c r="CM32" s="1923"/>
      <c r="CN32" s="1923"/>
      <c r="CO32" s="1923"/>
      <c r="CP32" s="1923"/>
      <c r="CQ32" s="1923"/>
      <c r="CR32" s="1923"/>
      <c r="CS32" s="1923"/>
      <c r="CT32" s="1923"/>
      <c r="CU32" s="1924"/>
      <c r="CV32" s="953"/>
      <c r="CW32" s="1952"/>
      <c r="CX32" s="1953"/>
      <c r="CY32" s="1953"/>
      <c r="CZ32" s="1953"/>
      <c r="DA32" s="1953"/>
      <c r="DB32" s="1953"/>
      <c r="DC32" s="1953"/>
      <c r="DD32" s="1953"/>
      <c r="DE32" s="1953"/>
      <c r="DF32" s="1953"/>
      <c r="DG32" s="1953"/>
      <c r="DH32" s="1953"/>
      <c r="DI32" s="1953"/>
      <c r="DJ32" s="1953"/>
      <c r="DK32" s="1953"/>
      <c r="DL32" s="1953"/>
      <c r="DM32" s="1959"/>
      <c r="DN32" s="1960"/>
      <c r="DO32" s="1960"/>
      <c r="DP32" s="1960"/>
      <c r="DQ32" s="1960"/>
      <c r="DR32" s="1960"/>
      <c r="DS32" s="1960"/>
      <c r="DT32" s="1960"/>
      <c r="DU32" s="1960"/>
      <c r="DV32" s="1960"/>
      <c r="DW32" s="1960"/>
      <c r="DX32" s="1960"/>
      <c r="DY32" s="1960"/>
      <c r="DZ32" s="1960"/>
      <c r="EA32" s="1960"/>
      <c r="EB32" s="1960"/>
      <c r="EC32" s="1961"/>
      <c r="EK32" s="311" t="str">
        <f>IF(AY57="DIYED","DIY SAVINGS","")</f>
        <v/>
      </c>
      <c r="EL32" s="311"/>
      <c r="EM32" s="311"/>
      <c r="EN32" s="311"/>
      <c r="EO32" s="311"/>
      <c r="EP32" s="311"/>
      <c r="EQ32" s="311"/>
      <c r="ER32" s="311"/>
      <c r="ES32" s="311"/>
      <c r="ET32" s="311"/>
    </row>
    <row r="33" spans="2:150" ht="6.75" customHeight="1" thickTop="1">
      <c r="C33" s="1909" t="s">
        <v>346</v>
      </c>
      <c r="D33" s="1910"/>
      <c r="E33" s="1910"/>
      <c r="F33" s="1910"/>
      <c r="G33" s="1910"/>
      <c r="H33" s="1910"/>
      <c r="I33" s="1910"/>
      <c r="J33" s="1910"/>
      <c r="K33" s="1910"/>
      <c r="L33" s="1910"/>
      <c r="M33" s="1910"/>
      <c r="N33" s="1910"/>
      <c r="O33" s="1910"/>
      <c r="P33" s="1910"/>
      <c r="Q33" s="1910"/>
      <c r="R33" s="1910"/>
      <c r="S33" s="1910"/>
      <c r="T33" s="1910"/>
      <c r="U33" s="1910"/>
      <c r="V33" s="1910"/>
      <c r="W33" s="1910"/>
      <c r="X33" s="1910"/>
      <c r="Y33" s="1910"/>
      <c r="Z33" s="1911"/>
      <c r="AA33" s="1876">
        <f>IF(Fixed_Cost_Calculation_Method="% OF ARV",0,SUM(AA21:AH32))</f>
        <v>0</v>
      </c>
      <c r="AB33" s="1877"/>
      <c r="AC33" s="1877"/>
      <c r="AD33" s="1877"/>
      <c r="AE33" s="1877"/>
      <c r="AF33" s="1877"/>
      <c r="AG33" s="1877"/>
      <c r="AH33" s="1878"/>
      <c r="AI33" s="947"/>
      <c r="AJ33" s="2096" t="str">
        <f>T('2 REPAIR ESTIMATOR'!Y79:AE79)</f>
        <v>FRAMING &amp; DRYWALL</v>
      </c>
      <c r="AK33" s="2097"/>
      <c r="AL33" s="2097"/>
      <c r="AM33" s="2097"/>
      <c r="AN33" s="2097"/>
      <c r="AO33" s="2097"/>
      <c r="AP33" s="2097"/>
      <c r="AQ33" s="2097"/>
      <c r="AR33" s="2097"/>
      <c r="AS33" s="2097"/>
      <c r="AT33" s="2097"/>
      <c r="AU33" s="2097"/>
      <c r="AV33" s="2097"/>
      <c r="AW33" s="2097"/>
      <c r="AX33" s="2097"/>
      <c r="AY33" s="2097"/>
      <c r="AZ33" s="2097"/>
      <c r="BA33" s="2097"/>
      <c r="BB33" s="2097"/>
      <c r="BC33" s="2097"/>
      <c r="BD33" s="2097"/>
      <c r="BE33" s="2097"/>
      <c r="BF33" s="2097"/>
      <c r="BG33" s="1808">
        <f>Estimate_Scope_13_Result</f>
        <v>0</v>
      </c>
      <c r="BH33" s="1809"/>
      <c r="BI33" s="1809"/>
      <c r="BJ33" s="1809"/>
      <c r="BK33" s="1809"/>
      <c r="BL33" s="1809"/>
      <c r="BM33" s="1810"/>
      <c r="BN33" s="947"/>
      <c r="BO33" s="1922"/>
      <c r="BP33" s="1923"/>
      <c r="BQ33" s="1923"/>
      <c r="BR33" s="1923"/>
      <c r="BS33" s="1923"/>
      <c r="BT33" s="1923"/>
      <c r="BU33" s="1923"/>
      <c r="BV33" s="1923"/>
      <c r="BW33" s="1923"/>
      <c r="BX33" s="1923"/>
      <c r="BY33" s="1923"/>
      <c r="BZ33" s="1923"/>
      <c r="CA33" s="1923"/>
      <c r="CB33" s="1923"/>
      <c r="CC33" s="1923"/>
      <c r="CD33" s="1923"/>
      <c r="CE33" s="1923"/>
      <c r="CF33" s="1923"/>
      <c r="CG33" s="1923"/>
      <c r="CH33" s="1923"/>
      <c r="CI33" s="1923"/>
      <c r="CJ33" s="1923"/>
      <c r="CK33" s="1923"/>
      <c r="CL33" s="1923"/>
      <c r="CM33" s="1923"/>
      <c r="CN33" s="1923"/>
      <c r="CO33" s="1923"/>
      <c r="CP33" s="1923"/>
      <c r="CQ33" s="1923"/>
      <c r="CR33" s="1923"/>
      <c r="CS33" s="1923"/>
      <c r="CT33" s="1923"/>
      <c r="CU33" s="1924"/>
      <c r="CV33" s="953"/>
      <c r="CW33" s="1952"/>
      <c r="CX33" s="1953"/>
      <c r="CY33" s="1953"/>
      <c r="CZ33" s="1953"/>
      <c r="DA33" s="1953"/>
      <c r="DB33" s="1953"/>
      <c r="DC33" s="1953"/>
      <c r="DD33" s="1953"/>
      <c r="DE33" s="1953"/>
      <c r="DF33" s="1953"/>
      <c r="DG33" s="1953"/>
      <c r="DH33" s="1953"/>
      <c r="DI33" s="1953"/>
      <c r="DJ33" s="1953"/>
      <c r="DK33" s="1953"/>
      <c r="DL33" s="1953"/>
      <c r="DM33" s="1959"/>
      <c r="DN33" s="1960"/>
      <c r="DO33" s="1960"/>
      <c r="DP33" s="1960"/>
      <c r="DQ33" s="1960"/>
      <c r="DR33" s="1960"/>
      <c r="DS33" s="1960"/>
      <c r="DT33" s="1960"/>
      <c r="DU33" s="1960"/>
      <c r="DV33" s="1960"/>
      <c r="DW33" s="1960"/>
      <c r="DX33" s="1960"/>
      <c r="DY33" s="1960"/>
      <c r="DZ33" s="1960"/>
      <c r="EA33" s="1960"/>
      <c r="EB33" s="1960"/>
      <c r="EC33" s="1961"/>
      <c r="EK33" s="311"/>
      <c r="EL33" s="311"/>
      <c r="EM33" s="311"/>
      <c r="EN33" s="311"/>
      <c r="EO33" s="311"/>
      <c r="EP33" s="311"/>
      <c r="EQ33" s="311"/>
      <c r="ER33" s="311"/>
      <c r="ES33" s="311"/>
      <c r="ET33" s="311"/>
    </row>
    <row r="34" spans="2:150" ht="6.75" customHeight="1">
      <c r="C34" s="1909"/>
      <c r="D34" s="1910"/>
      <c r="E34" s="1910"/>
      <c r="F34" s="1910"/>
      <c r="G34" s="1910"/>
      <c r="H34" s="1910"/>
      <c r="I34" s="1910"/>
      <c r="J34" s="1910"/>
      <c r="K34" s="1910"/>
      <c r="L34" s="1910"/>
      <c r="M34" s="1910"/>
      <c r="N34" s="1910"/>
      <c r="O34" s="1910"/>
      <c r="P34" s="1910"/>
      <c r="Q34" s="1910"/>
      <c r="R34" s="1910"/>
      <c r="S34" s="1910"/>
      <c r="T34" s="1910"/>
      <c r="U34" s="1910"/>
      <c r="V34" s="1910"/>
      <c r="W34" s="1910"/>
      <c r="X34" s="1910"/>
      <c r="Y34" s="1910"/>
      <c r="Z34" s="1911"/>
      <c r="AA34" s="2246"/>
      <c r="AB34" s="2247"/>
      <c r="AC34" s="2247"/>
      <c r="AD34" s="2247"/>
      <c r="AE34" s="2247"/>
      <c r="AF34" s="2247"/>
      <c r="AG34" s="2247"/>
      <c r="AH34" s="2248"/>
      <c r="AI34" s="947"/>
      <c r="AJ34" s="2096"/>
      <c r="AK34" s="2097"/>
      <c r="AL34" s="2097"/>
      <c r="AM34" s="2097"/>
      <c r="AN34" s="2097"/>
      <c r="AO34" s="2097"/>
      <c r="AP34" s="2097"/>
      <c r="AQ34" s="2097"/>
      <c r="AR34" s="2097"/>
      <c r="AS34" s="2097"/>
      <c r="AT34" s="2097"/>
      <c r="AU34" s="2097"/>
      <c r="AV34" s="2097"/>
      <c r="AW34" s="2097"/>
      <c r="AX34" s="2097"/>
      <c r="AY34" s="2097"/>
      <c r="AZ34" s="2097"/>
      <c r="BA34" s="2097"/>
      <c r="BB34" s="2097"/>
      <c r="BC34" s="2097"/>
      <c r="BD34" s="2097"/>
      <c r="BE34" s="2097"/>
      <c r="BF34" s="2097"/>
      <c r="BG34" s="1808"/>
      <c r="BH34" s="1809"/>
      <c r="BI34" s="1809"/>
      <c r="BJ34" s="1809"/>
      <c r="BK34" s="1809"/>
      <c r="BL34" s="1809"/>
      <c r="BM34" s="1810"/>
      <c r="BN34" s="947"/>
      <c r="BO34" s="1922"/>
      <c r="BP34" s="1923"/>
      <c r="BQ34" s="1923"/>
      <c r="BR34" s="1923"/>
      <c r="BS34" s="1923"/>
      <c r="BT34" s="1923"/>
      <c r="BU34" s="1923"/>
      <c r="BV34" s="1923"/>
      <c r="BW34" s="1923"/>
      <c r="BX34" s="1923"/>
      <c r="BY34" s="1923"/>
      <c r="BZ34" s="1923"/>
      <c r="CA34" s="1923"/>
      <c r="CB34" s="1923"/>
      <c r="CC34" s="1923"/>
      <c r="CD34" s="1923"/>
      <c r="CE34" s="1923"/>
      <c r="CF34" s="1923"/>
      <c r="CG34" s="1923"/>
      <c r="CH34" s="1923"/>
      <c r="CI34" s="1923"/>
      <c r="CJ34" s="1923"/>
      <c r="CK34" s="1923"/>
      <c r="CL34" s="1923"/>
      <c r="CM34" s="1923"/>
      <c r="CN34" s="1923"/>
      <c r="CO34" s="1923"/>
      <c r="CP34" s="1923"/>
      <c r="CQ34" s="1923"/>
      <c r="CR34" s="1923"/>
      <c r="CS34" s="1923"/>
      <c r="CT34" s="1923"/>
      <c r="CU34" s="1924"/>
      <c r="CV34" s="953"/>
      <c r="CW34" s="1952"/>
      <c r="CX34" s="1953"/>
      <c r="CY34" s="1953"/>
      <c r="CZ34" s="1953"/>
      <c r="DA34" s="1953"/>
      <c r="DB34" s="1953"/>
      <c r="DC34" s="1953"/>
      <c r="DD34" s="1953"/>
      <c r="DE34" s="1953"/>
      <c r="DF34" s="1953"/>
      <c r="DG34" s="1953"/>
      <c r="DH34" s="1953"/>
      <c r="DI34" s="1953"/>
      <c r="DJ34" s="1953"/>
      <c r="DK34" s="1953"/>
      <c r="DL34" s="1953"/>
      <c r="DM34" s="1959"/>
      <c r="DN34" s="1960"/>
      <c r="DO34" s="1960"/>
      <c r="DP34" s="1960"/>
      <c r="DQ34" s="1960"/>
      <c r="DR34" s="1960"/>
      <c r="DS34" s="1960"/>
      <c r="DT34" s="1960"/>
      <c r="DU34" s="1960"/>
      <c r="DV34" s="1960"/>
      <c r="DW34" s="1960"/>
      <c r="DX34" s="1960"/>
      <c r="DY34" s="1960"/>
      <c r="DZ34" s="1960"/>
      <c r="EA34" s="1960"/>
      <c r="EB34" s="1960"/>
      <c r="EC34" s="1961"/>
      <c r="EK34" s="311"/>
      <c r="EL34" s="311"/>
      <c r="EM34" s="311"/>
      <c r="EN34" s="311"/>
      <c r="EO34" s="311"/>
      <c r="EP34" s="311"/>
      <c r="EQ34" s="311"/>
      <c r="ER34" s="311"/>
      <c r="ES34" s="311"/>
      <c r="ET34" s="311"/>
    </row>
    <row r="35" spans="2:150" ht="6.75" customHeight="1">
      <c r="C35" s="2035" t="s">
        <v>348</v>
      </c>
      <c r="D35" s="2036"/>
      <c r="E35" s="2036"/>
      <c r="F35" s="2036"/>
      <c r="G35" s="2036"/>
      <c r="H35" s="2036"/>
      <c r="I35" s="2036"/>
      <c r="J35" s="2036"/>
      <c r="K35" s="2036"/>
      <c r="L35" s="2037" t="s">
        <v>773</v>
      </c>
      <c r="M35" s="2037"/>
      <c r="N35" s="2037"/>
      <c r="O35" s="2037"/>
      <c r="P35" s="2037"/>
      <c r="Q35" s="2037"/>
      <c r="R35" s="2242" t="s">
        <v>353</v>
      </c>
      <c r="S35" s="2242"/>
      <c r="T35" s="2242"/>
      <c r="U35" s="2242"/>
      <c r="V35" s="2242"/>
      <c r="W35" s="954"/>
      <c r="X35" s="954"/>
      <c r="Y35" s="954"/>
      <c r="Z35" s="954"/>
      <c r="AA35" s="954"/>
      <c r="AB35" s="954"/>
      <c r="AC35" s="954"/>
      <c r="AD35" s="954"/>
      <c r="AE35" s="954"/>
      <c r="AF35" s="954"/>
      <c r="AG35" s="954"/>
      <c r="AH35" s="955"/>
      <c r="AI35" s="947"/>
      <c r="AJ35" s="2074" t="str">
        <f>T('2 REPAIR ESTIMATOR'!Y80:AE80)</f>
        <v>CABINETS &amp; COUNTERTOPS</v>
      </c>
      <c r="AK35" s="2075"/>
      <c r="AL35" s="2075"/>
      <c r="AM35" s="2075"/>
      <c r="AN35" s="2075"/>
      <c r="AO35" s="2075"/>
      <c r="AP35" s="2075"/>
      <c r="AQ35" s="2075"/>
      <c r="AR35" s="2075"/>
      <c r="AS35" s="2075"/>
      <c r="AT35" s="2075"/>
      <c r="AU35" s="2075"/>
      <c r="AV35" s="2075"/>
      <c r="AW35" s="2075"/>
      <c r="AX35" s="2075"/>
      <c r="AY35" s="2075"/>
      <c r="AZ35" s="2075"/>
      <c r="BA35" s="2075"/>
      <c r="BB35" s="2075"/>
      <c r="BC35" s="2075"/>
      <c r="BD35" s="2075"/>
      <c r="BE35" s="2075"/>
      <c r="BF35" s="2075"/>
      <c r="BG35" s="1814">
        <f>Estimate_Scope_14_Result</f>
        <v>0</v>
      </c>
      <c r="BH35" s="1815"/>
      <c r="BI35" s="1815"/>
      <c r="BJ35" s="1815"/>
      <c r="BK35" s="1815"/>
      <c r="BL35" s="1815"/>
      <c r="BM35" s="1816"/>
      <c r="BN35" s="947"/>
      <c r="BO35" s="1922"/>
      <c r="BP35" s="1923"/>
      <c r="BQ35" s="1923"/>
      <c r="BR35" s="1923"/>
      <c r="BS35" s="1923"/>
      <c r="BT35" s="1923"/>
      <c r="BU35" s="1923"/>
      <c r="BV35" s="1923"/>
      <c r="BW35" s="1923"/>
      <c r="BX35" s="1923"/>
      <c r="BY35" s="1923"/>
      <c r="BZ35" s="1923"/>
      <c r="CA35" s="1923"/>
      <c r="CB35" s="1923"/>
      <c r="CC35" s="1923"/>
      <c r="CD35" s="1923"/>
      <c r="CE35" s="1923"/>
      <c r="CF35" s="1923"/>
      <c r="CG35" s="1923"/>
      <c r="CH35" s="1923"/>
      <c r="CI35" s="1923"/>
      <c r="CJ35" s="1923"/>
      <c r="CK35" s="1923"/>
      <c r="CL35" s="1923"/>
      <c r="CM35" s="1923"/>
      <c r="CN35" s="1923"/>
      <c r="CO35" s="1923"/>
      <c r="CP35" s="1923"/>
      <c r="CQ35" s="1923"/>
      <c r="CR35" s="1923"/>
      <c r="CS35" s="1923"/>
      <c r="CT35" s="1923"/>
      <c r="CU35" s="1924"/>
      <c r="CV35" s="953"/>
      <c r="CW35" s="1952"/>
      <c r="CX35" s="1953"/>
      <c r="CY35" s="1953"/>
      <c r="CZ35" s="1953"/>
      <c r="DA35" s="1953"/>
      <c r="DB35" s="1953"/>
      <c r="DC35" s="1953"/>
      <c r="DD35" s="1953"/>
      <c r="DE35" s="1953"/>
      <c r="DF35" s="1953"/>
      <c r="DG35" s="1953"/>
      <c r="DH35" s="1953"/>
      <c r="DI35" s="1953"/>
      <c r="DJ35" s="1953"/>
      <c r="DK35" s="1953"/>
      <c r="DL35" s="1953"/>
      <c r="DM35" s="1959"/>
      <c r="DN35" s="1960"/>
      <c r="DO35" s="1960"/>
      <c r="DP35" s="1960"/>
      <c r="DQ35" s="1960"/>
      <c r="DR35" s="1960"/>
      <c r="DS35" s="1960"/>
      <c r="DT35" s="1960"/>
      <c r="DU35" s="1960"/>
      <c r="DV35" s="1960"/>
      <c r="DW35" s="1960"/>
      <c r="DX35" s="1960"/>
      <c r="DY35" s="1960"/>
      <c r="DZ35" s="1960"/>
      <c r="EA35" s="1960"/>
      <c r="EB35" s="1960"/>
      <c r="EC35" s="1961"/>
      <c r="EK35" s="311" t="str">
        <f>IF(AY57="DIYED",DIY_Savings,"")</f>
        <v/>
      </c>
      <c r="EL35" s="311"/>
      <c r="EM35" s="311"/>
      <c r="EN35" s="311"/>
      <c r="EO35" s="311"/>
      <c r="EP35" s="311"/>
      <c r="EQ35" s="311"/>
      <c r="ER35" s="311"/>
      <c r="ES35" s="311"/>
      <c r="ET35" s="311"/>
    </row>
    <row r="36" spans="2:150" ht="6.75" customHeight="1">
      <c r="C36" s="2035"/>
      <c r="D36" s="2036"/>
      <c r="E36" s="2036"/>
      <c r="F36" s="2036"/>
      <c r="G36" s="2036"/>
      <c r="H36" s="2036"/>
      <c r="I36" s="2036"/>
      <c r="J36" s="2036"/>
      <c r="K36" s="2036"/>
      <c r="L36" s="2037"/>
      <c r="M36" s="2037"/>
      <c r="N36" s="2037"/>
      <c r="O36" s="2037"/>
      <c r="P36" s="2037"/>
      <c r="Q36" s="2037"/>
      <c r="R36" s="2242"/>
      <c r="S36" s="2242"/>
      <c r="T36" s="2242"/>
      <c r="U36" s="2242"/>
      <c r="V36" s="2242"/>
      <c r="W36" s="954"/>
      <c r="X36" s="954"/>
      <c r="Y36" s="954"/>
      <c r="Z36" s="954"/>
      <c r="AA36" s="954"/>
      <c r="AB36" s="954"/>
      <c r="AC36" s="954"/>
      <c r="AD36" s="954"/>
      <c r="AE36" s="954"/>
      <c r="AF36" s="954"/>
      <c r="AG36" s="954"/>
      <c r="AH36" s="955"/>
      <c r="AI36" s="947"/>
      <c r="AJ36" s="2074"/>
      <c r="AK36" s="2075"/>
      <c r="AL36" s="2075"/>
      <c r="AM36" s="2075"/>
      <c r="AN36" s="2075"/>
      <c r="AO36" s="2075"/>
      <c r="AP36" s="2075"/>
      <c r="AQ36" s="2075"/>
      <c r="AR36" s="2075"/>
      <c r="AS36" s="2075"/>
      <c r="AT36" s="2075"/>
      <c r="AU36" s="2075"/>
      <c r="AV36" s="2075"/>
      <c r="AW36" s="2075"/>
      <c r="AX36" s="2075"/>
      <c r="AY36" s="2075"/>
      <c r="AZ36" s="2075"/>
      <c r="BA36" s="2075"/>
      <c r="BB36" s="2075"/>
      <c r="BC36" s="2075"/>
      <c r="BD36" s="2075"/>
      <c r="BE36" s="2075"/>
      <c r="BF36" s="2075"/>
      <c r="BG36" s="1814"/>
      <c r="BH36" s="1815"/>
      <c r="BI36" s="1815"/>
      <c r="BJ36" s="1815"/>
      <c r="BK36" s="1815"/>
      <c r="BL36" s="1815"/>
      <c r="BM36" s="1816"/>
      <c r="BN36" s="947"/>
      <c r="BO36" s="1922"/>
      <c r="BP36" s="1923"/>
      <c r="BQ36" s="1923"/>
      <c r="BR36" s="1923"/>
      <c r="BS36" s="1923"/>
      <c r="BT36" s="1923"/>
      <c r="BU36" s="1923"/>
      <c r="BV36" s="1923"/>
      <c r="BW36" s="1923"/>
      <c r="BX36" s="1923"/>
      <c r="BY36" s="1923"/>
      <c r="BZ36" s="1923"/>
      <c r="CA36" s="1923"/>
      <c r="CB36" s="1923"/>
      <c r="CC36" s="1923"/>
      <c r="CD36" s="1923"/>
      <c r="CE36" s="1923"/>
      <c r="CF36" s="1923"/>
      <c r="CG36" s="1923"/>
      <c r="CH36" s="1923"/>
      <c r="CI36" s="1923"/>
      <c r="CJ36" s="1923"/>
      <c r="CK36" s="1923"/>
      <c r="CL36" s="1923"/>
      <c r="CM36" s="1923"/>
      <c r="CN36" s="1923"/>
      <c r="CO36" s="1923"/>
      <c r="CP36" s="1923"/>
      <c r="CQ36" s="1923"/>
      <c r="CR36" s="1923"/>
      <c r="CS36" s="1923"/>
      <c r="CT36" s="1923"/>
      <c r="CU36" s="1924"/>
      <c r="CV36" s="953"/>
      <c r="CW36" s="1952"/>
      <c r="CX36" s="1953"/>
      <c r="CY36" s="1953"/>
      <c r="CZ36" s="1953"/>
      <c r="DA36" s="1953"/>
      <c r="DB36" s="1953"/>
      <c r="DC36" s="1953"/>
      <c r="DD36" s="1953"/>
      <c r="DE36" s="1953"/>
      <c r="DF36" s="1953"/>
      <c r="DG36" s="1953"/>
      <c r="DH36" s="1953"/>
      <c r="DI36" s="1953"/>
      <c r="DJ36" s="1953"/>
      <c r="DK36" s="1953"/>
      <c r="DL36" s="1953"/>
      <c r="DM36" s="1959"/>
      <c r="DN36" s="1960"/>
      <c r="DO36" s="1960"/>
      <c r="DP36" s="1960"/>
      <c r="DQ36" s="1960"/>
      <c r="DR36" s="1960"/>
      <c r="DS36" s="1960"/>
      <c r="DT36" s="1960"/>
      <c r="DU36" s="1960"/>
      <c r="DV36" s="1960"/>
      <c r="DW36" s="1960"/>
      <c r="DX36" s="1960"/>
      <c r="DY36" s="1960"/>
      <c r="DZ36" s="1960"/>
      <c r="EA36" s="1960"/>
      <c r="EB36" s="1960"/>
      <c r="EC36" s="1961"/>
      <c r="EK36" s="311"/>
      <c r="EL36" s="311"/>
      <c r="EM36" s="311"/>
      <c r="EN36" s="311"/>
      <c r="EO36" s="311"/>
      <c r="EP36" s="311"/>
      <c r="EQ36" s="311"/>
      <c r="ER36" s="311"/>
      <c r="ES36" s="311"/>
      <c r="ET36" s="311"/>
    </row>
    <row r="37" spans="2:150" ht="6.75" customHeight="1">
      <c r="B37" s="908"/>
      <c r="C37" s="951"/>
      <c r="D37" s="951"/>
      <c r="E37" s="951"/>
      <c r="F37" s="951"/>
      <c r="G37" s="951"/>
      <c r="H37" s="951"/>
      <c r="I37" s="951"/>
      <c r="J37" s="951"/>
      <c r="K37" s="951"/>
      <c r="L37" s="951"/>
      <c r="M37" s="951"/>
      <c r="N37" s="951"/>
      <c r="O37" s="951"/>
      <c r="P37" s="951"/>
      <c r="Q37" s="951"/>
      <c r="R37" s="951"/>
      <c r="S37" s="951"/>
      <c r="T37" s="951"/>
      <c r="U37" s="951"/>
      <c r="V37" s="951"/>
      <c r="W37" s="951"/>
      <c r="X37" s="951"/>
      <c r="Y37" s="951"/>
      <c r="Z37" s="951"/>
      <c r="AA37" s="951"/>
      <c r="AB37" s="951"/>
      <c r="AC37" s="951"/>
      <c r="AD37" s="951"/>
      <c r="AE37" s="951"/>
      <c r="AF37" s="951"/>
      <c r="AG37" s="951"/>
      <c r="AH37" s="952"/>
      <c r="AI37" s="947"/>
      <c r="AJ37" s="2096" t="str">
        <f>T('2 REPAIR ESTIMATOR'!Y81:AE81)</f>
        <v>DOORS &amp; TRIM</v>
      </c>
      <c r="AK37" s="2097"/>
      <c r="AL37" s="2097"/>
      <c r="AM37" s="2097"/>
      <c r="AN37" s="2097"/>
      <c r="AO37" s="2097"/>
      <c r="AP37" s="2097"/>
      <c r="AQ37" s="2097"/>
      <c r="AR37" s="2097"/>
      <c r="AS37" s="2097"/>
      <c r="AT37" s="2097"/>
      <c r="AU37" s="2097"/>
      <c r="AV37" s="2097"/>
      <c r="AW37" s="2097"/>
      <c r="AX37" s="2097"/>
      <c r="AY37" s="2097"/>
      <c r="AZ37" s="2097"/>
      <c r="BA37" s="2097"/>
      <c r="BB37" s="2097"/>
      <c r="BC37" s="2097"/>
      <c r="BD37" s="2097"/>
      <c r="BE37" s="2097"/>
      <c r="BF37" s="2097"/>
      <c r="BG37" s="1808">
        <f>Estimate_Scope_15_Result</f>
        <v>0</v>
      </c>
      <c r="BH37" s="1809"/>
      <c r="BI37" s="1809"/>
      <c r="BJ37" s="1809"/>
      <c r="BK37" s="1809"/>
      <c r="BL37" s="1809"/>
      <c r="BM37" s="1810"/>
      <c r="BN37" s="947"/>
      <c r="BO37" s="1922"/>
      <c r="BP37" s="1923"/>
      <c r="BQ37" s="1923"/>
      <c r="BR37" s="1923"/>
      <c r="BS37" s="1923"/>
      <c r="BT37" s="1923"/>
      <c r="BU37" s="1923"/>
      <c r="BV37" s="1923"/>
      <c r="BW37" s="1923"/>
      <c r="BX37" s="1923"/>
      <c r="BY37" s="1923"/>
      <c r="BZ37" s="1923"/>
      <c r="CA37" s="1923"/>
      <c r="CB37" s="1923"/>
      <c r="CC37" s="1923"/>
      <c r="CD37" s="1923"/>
      <c r="CE37" s="1923"/>
      <c r="CF37" s="1923"/>
      <c r="CG37" s="1923"/>
      <c r="CH37" s="1923"/>
      <c r="CI37" s="1923"/>
      <c r="CJ37" s="1923"/>
      <c r="CK37" s="1923"/>
      <c r="CL37" s="1923"/>
      <c r="CM37" s="1923"/>
      <c r="CN37" s="1923"/>
      <c r="CO37" s="1923"/>
      <c r="CP37" s="1923"/>
      <c r="CQ37" s="1923"/>
      <c r="CR37" s="1923"/>
      <c r="CS37" s="1923"/>
      <c r="CT37" s="1923"/>
      <c r="CU37" s="1924"/>
      <c r="CV37" s="953"/>
      <c r="CW37" s="1952"/>
      <c r="CX37" s="1953"/>
      <c r="CY37" s="1953"/>
      <c r="CZ37" s="1953"/>
      <c r="DA37" s="1953"/>
      <c r="DB37" s="1953"/>
      <c r="DC37" s="1953"/>
      <c r="DD37" s="1953"/>
      <c r="DE37" s="1953"/>
      <c r="DF37" s="1953"/>
      <c r="DG37" s="1953"/>
      <c r="DH37" s="1953"/>
      <c r="DI37" s="1953"/>
      <c r="DJ37" s="1953"/>
      <c r="DK37" s="1953"/>
      <c r="DL37" s="1953"/>
      <c r="DM37" s="1959"/>
      <c r="DN37" s="1960"/>
      <c r="DO37" s="1960"/>
      <c r="DP37" s="1960"/>
      <c r="DQ37" s="1960"/>
      <c r="DR37" s="1960"/>
      <c r="DS37" s="1960"/>
      <c r="DT37" s="1960"/>
      <c r="DU37" s="1960"/>
      <c r="DV37" s="1960"/>
      <c r="DW37" s="1960"/>
      <c r="DX37" s="1960"/>
      <c r="DY37" s="1960"/>
      <c r="DZ37" s="1960"/>
      <c r="EA37" s="1960"/>
      <c r="EB37" s="1960"/>
      <c r="EC37" s="1961"/>
      <c r="EK37" s="311"/>
      <c r="EL37" s="311"/>
      <c r="EM37" s="311"/>
      <c r="EN37" s="311"/>
      <c r="EO37" s="311"/>
      <c r="EP37" s="311"/>
      <c r="EQ37" s="311"/>
      <c r="ER37" s="311"/>
      <c r="ES37" s="311"/>
      <c r="ET37" s="311"/>
    </row>
    <row r="38" spans="2:150" ht="6.75" customHeight="1" thickBot="1">
      <c r="B38" s="908"/>
      <c r="C38" s="951"/>
      <c r="D38" s="951"/>
      <c r="E38" s="951"/>
      <c r="F38" s="951"/>
      <c r="G38" s="951"/>
      <c r="H38" s="951"/>
      <c r="I38" s="951"/>
      <c r="J38" s="951"/>
      <c r="K38" s="951"/>
      <c r="L38" s="951"/>
      <c r="M38" s="951"/>
      <c r="N38" s="951"/>
      <c r="O38" s="951"/>
      <c r="P38" s="951"/>
      <c r="Q38" s="951"/>
      <c r="R38" s="951"/>
      <c r="S38" s="951"/>
      <c r="T38" s="951"/>
      <c r="U38" s="951"/>
      <c r="V38" s="951"/>
      <c r="W38" s="951"/>
      <c r="X38" s="951"/>
      <c r="Y38" s="951"/>
      <c r="Z38" s="951"/>
      <c r="AA38" s="951"/>
      <c r="AB38" s="951"/>
      <c r="AC38" s="951"/>
      <c r="AD38" s="951"/>
      <c r="AE38" s="951"/>
      <c r="AF38" s="951"/>
      <c r="AG38" s="951"/>
      <c r="AH38" s="952"/>
      <c r="AI38" s="947"/>
      <c r="AJ38" s="2096"/>
      <c r="AK38" s="2097"/>
      <c r="AL38" s="2097"/>
      <c r="AM38" s="2097"/>
      <c r="AN38" s="2097"/>
      <c r="AO38" s="2097"/>
      <c r="AP38" s="2097"/>
      <c r="AQ38" s="2097"/>
      <c r="AR38" s="2097"/>
      <c r="AS38" s="2097"/>
      <c r="AT38" s="2097"/>
      <c r="AU38" s="2097"/>
      <c r="AV38" s="2097"/>
      <c r="AW38" s="2097"/>
      <c r="AX38" s="2097"/>
      <c r="AY38" s="2097"/>
      <c r="AZ38" s="2097"/>
      <c r="BA38" s="2097"/>
      <c r="BB38" s="2097"/>
      <c r="BC38" s="2097"/>
      <c r="BD38" s="2097"/>
      <c r="BE38" s="2097"/>
      <c r="BF38" s="2097"/>
      <c r="BG38" s="1808"/>
      <c r="BH38" s="1809"/>
      <c r="BI38" s="1809"/>
      <c r="BJ38" s="1809"/>
      <c r="BK38" s="1809"/>
      <c r="BL38" s="1809"/>
      <c r="BM38" s="1810"/>
      <c r="BN38" s="947"/>
      <c r="BO38" s="1922"/>
      <c r="BP38" s="1923"/>
      <c r="BQ38" s="1923"/>
      <c r="BR38" s="1923"/>
      <c r="BS38" s="1923"/>
      <c r="BT38" s="1923"/>
      <c r="BU38" s="1923"/>
      <c r="BV38" s="1923"/>
      <c r="BW38" s="1923"/>
      <c r="BX38" s="1923"/>
      <c r="BY38" s="1923"/>
      <c r="BZ38" s="1923"/>
      <c r="CA38" s="1923"/>
      <c r="CB38" s="1923"/>
      <c r="CC38" s="1923"/>
      <c r="CD38" s="1923"/>
      <c r="CE38" s="1923"/>
      <c r="CF38" s="1923"/>
      <c r="CG38" s="1923"/>
      <c r="CH38" s="1923"/>
      <c r="CI38" s="1923"/>
      <c r="CJ38" s="1923"/>
      <c r="CK38" s="1923"/>
      <c r="CL38" s="1923"/>
      <c r="CM38" s="1923"/>
      <c r="CN38" s="1923"/>
      <c r="CO38" s="1923"/>
      <c r="CP38" s="1923"/>
      <c r="CQ38" s="1923"/>
      <c r="CR38" s="1923"/>
      <c r="CS38" s="1923"/>
      <c r="CT38" s="1923"/>
      <c r="CU38" s="1924"/>
      <c r="CV38" s="953"/>
      <c r="CW38" s="1952"/>
      <c r="CX38" s="1953"/>
      <c r="CY38" s="1953"/>
      <c r="CZ38" s="1953"/>
      <c r="DA38" s="1953"/>
      <c r="DB38" s="1953"/>
      <c r="DC38" s="1953"/>
      <c r="DD38" s="1953"/>
      <c r="DE38" s="1953"/>
      <c r="DF38" s="1953"/>
      <c r="DG38" s="1953"/>
      <c r="DH38" s="1953"/>
      <c r="DI38" s="1953"/>
      <c r="DJ38" s="1953"/>
      <c r="DK38" s="1953"/>
      <c r="DL38" s="1953"/>
      <c r="DM38" s="1959"/>
      <c r="DN38" s="1960"/>
      <c r="DO38" s="1960"/>
      <c r="DP38" s="1960"/>
      <c r="DQ38" s="1960"/>
      <c r="DR38" s="1960"/>
      <c r="DS38" s="1960"/>
      <c r="DT38" s="1960"/>
      <c r="DU38" s="1960"/>
      <c r="DV38" s="1960"/>
      <c r="DW38" s="1960"/>
      <c r="DX38" s="1960"/>
      <c r="DY38" s="1960"/>
      <c r="DZ38" s="1960"/>
      <c r="EA38" s="1960"/>
      <c r="EB38" s="1960"/>
      <c r="EC38" s="1961"/>
      <c r="EK38" s="311"/>
      <c r="EL38" s="311"/>
      <c r="EM38" s="311"/>
      <c r="EN38" s="311"/>
      <c r="EO38" s="311"/>
      <c r="EP38" s="311"/>
      <c r="EQ38" s="311"/>
      <c r="ER38" s="311"/>
      <c r="ES38" s="311"/>
      <c r="ET38" s="311"/>
    </row>
    <row r="39" spans="2:150" ht="6.75" customHeight="1">
      <c r="B39" s="908"/>
      <c r="C39" s="1845" t="s">
        <v>782</v>
      </c>
      <c r="D39" s="1845"/>
      <c r="E39" s="1845"/>
      <c r="F39" s="1845"/>
      <c r="G39" s="1845"/>
      <c r="H39" s="1845"/>
      <c r="I39" s="1845"/>
      <c r="J39" s="1845"/>
      <c r="K39" s="1418"/>
      <c r="L39" s="1417"/>
      <c r="M39" s="1842"/>
      <c r="N39" s="1842"/>
      <c r="O39" s="1842"/>
      <c r="P39" s="1842"/>
      <c r="Q39" s="956"/>
      <c r="R39" s="2150"/>
      <c r="S39" s="2151"/>
      <c r="T39" s="2151"/>
      <c r="U39" s="2151"/>
      <c r="V39" s="2152"/>
      <c r="W39" s="2047"/>
      <c r="X39" s="2048"/>
      <c r="Y39" s="2048"/>
      <c r="Z39" s="2049"/>
      <c r="AA39" s="2041">
        <f>R39*$M$49</f>
        <v>0</v>
      </c>
      <c r="AB39" s="2042"/>
      <c r="AC39" s="2042"/>
      <c r="AD39" s="2042"/>
      <c r="AE39" s="2042"/>
      <c r="AF39" s="2042"/>
      <c r="AG39" s="2042"/>
      <c r="AH39" s="2043"/>
      <c r="AI39" s="947"/>
      <c r="AJ39" s="2074" t="str">
        <f>T('2 REPAIR ESTIMATOR'!Y82:AE82)</f>
        <v>CARPET &amp; RESILIENT</v>
      </c>
      <c r="AK39" s="2075"/>
      <c r="AL39" s="2075"/>
      <c r="AM39" s="2075"/>
      <c r="AN39" s="2075"/>
      <c r="AO39" s="2075"/>
      <c r="AP39" s="2075"/>
      <c r="AQ39" s="2075"/>
      <c r="AR39" s="2075"/>
      <c r="AS39" s="2075"/>
      <c r="AT39" s="2075"/>
      <c r="AU39" s="2075"/>
      <c r="AV39" s="2075"/>
      <c r="AW39" s="2075"/>
      <c r="AX39" s="2075"/>
      <c r="AY39" s="2075"/>
      <c r="AZ39" s="2075"/>
      <c r="BA39" s="2075"/>
      <c r="BB39" s="2075"/>
      <c r="BC39" s="2075"/>
      <c r="BD39" s="2075"/>
      <c r="BE39" s="2075"/>
      <c r="BF39" s="2075"/>
      <c r="BG39" s="1814">
        <f>Estimate_Scope_16_Result</f>
        <v>0</v>
      </c>
      <c r="BH39" s="1815"/>
      <c r="BI39" s="1815"/>
      <c r="BJ39" s="1815"/>
      <c r="BK39" s="1815"/>
      <c r="BL39" s="1815"/>
      <c r="BM39" s="1816"/>
      <c r="BN39" s="947"/>
      <c r="BO39" s="957"/>
      <c r="BP39" s="958"/>
      <c r="BQ39" s="958"/>
      <c r="BR39" s="958"/>
      <c r="BS39" s="958"/>
      <c r="BT39" s="958"/>
      <c r="BU39" s="958"/>
      <c r="BV39" s="958"/>
      <c r="BW39" s="958"/>
      <c r="BX39" s="958"/>
      <c r="BY39" s="958"/>
      <c r="BZ39" s="958"/>
      <c r="CA39" s="958"/>
      <c r="CB39" s="958"/>
      <c r="CC39" s="958"/>
      <c r="CD39" s="958"/>
      <c r="CE39" s="1989" t="s">
        <v>357</v>
      </c>
      <c r="CF39" s="1990"/>
      <c r="CG39" s="1990"/>
      <c r="CH39" s="1990"/>
      <c r="CI39" s="1990"/>
      <c r="CJ39" s="1990"/>
      <c r="CK39" s="1990"/>
      <c r="CL39" s="1990"/>
      <c r="CM39" s="1990"/>
      <c r="CN39" s="1990"/>
      <c r="CO39" s="1990"/>
      <c r="CP39" s="1990"/>
      <c r="CQ39" s="1990"/>
      <c r="CR39" s="1990"/>
      <c r="CS39" s="1990"/>
      <c r="CT39" s="1990"/>
      <c r="CU39" s="1991"/>
      <c r="CV39" s="953"/>
      <c r="CW39" s="1952"/>
      <c r="CX39" s="1953"/>
      <c r="CY39" s="1953"/>
      <c r="CZ39" s="1953"/>
      <c r="DA39" s="1953"/>
      <c r="DB39" s="1953"/>
      <c r="DC39" s="1953"/>
      <c r="DD39" s="1953"/>
      <c r="DE39" s="1953"/>
      <c r="DF39" s="1953"/>
      <c r="DG39" s="1953"/>
      <c r="DH39" s="1953"/>
      <c r="DI39" s="1953"/>
      <c r="DJ39" s="1953"/>
      <c r="DK39" s="1953"/>
      <c r="DL39" s="1953"/>
      <c r="DM39" s="1959"/>
      <c r="DN39" s="1960"/>
      <c r="DO39" s="1960"/>
      <c r="DP39" s="1960"/>
      <c r="DQ39" s="1960"/>
      <c r="DR39" s="1960"/>
      <c r="DS39" s="1960"/>
      <c r="DT39" s="1960"/>
      <c r="DU39" s="1960"/>
      <c r="DV39" s="1960"/>
      <c r="DW39" s="1960"/>
      <c r="DX39" s="1960"/>
      <c r="DY39" s="1960"/>
      <c r="DZ39" s="1960"/>
      <c r="EA39" s="1960"/>
      <c r="EB39" s="1960"/>
      <c r="EC39" s="1961"/>
    </row>
    <row r="40" spans="2:150" ht="6.75" customHeight="1" thickBot="1">
      <c r="B40" s="908"/>
      <c r="C40" s="1845"/>
      <c r="D40" s="1845"/>
      <c r="E40" s="1845"/>
      <c r="F40" s="1845"/>
      <c r="G40" s="1845"/>
      <c r="H40" s="1845"/>
      <c r="I40" s="1845"/>
      <c r="J40" s="1845"/>
      <c r="K40" s="1418"/>
      <c r="L40" s="1417"/>
      <c r="M40" s="1842"/>
      <c r="N40" s="1842"/>
      <c r="O40" s="1842"/>
      <c r="P40" s="1842"/>
      <c r="Q40" s="956"/>
      <c r="R40" s="2164"/>
      <c r="S40" s="2165"/>
      <c r="T40" s="2165"/>
      <c r="U40" s="2165"/>
      <c r="V40" s="2166"/>
      <c r="W40" s="2050"/>
      <c r="X40" s="2048"/>
      <c r="Y40" s="2048"/>
      <c r="Z40" s="2049"/>
      <c r="AA40" s="2044"/>
      <c r="AB40" s="2045"/>
      <c r="AC40" s="2045"/>
      <c r="AD40" s="2045"/>
      <c r="AE40" s="2045"/>
      <c r="AF40" s="2045"/>
      <c r="AG40" s="2045"/>
      <c r="AH40" s="2046"/>
      <c r="AI40" s="947"/>
      <c r="AJ40" s="2074"/>
      <c r="AK40" s="2075"/>
      <c r="AL40" s="2075"/>
      <c r="AM40" s="2075"/>
      <c r="AN40" s="2075"/>
      <c r="AO40" s="2075"/>
      <c r="AP40" s="2075"/>
      <c r="AQ40" s="2075"/>
      <c r="AR40" s="2075"/>
      <c r="AS40" s="2075"/>
      <c r="AT40" s="2075"/>
      <c r="AU40" s="2075"/>
      <c r="AV40" s="2075"/>
      <c r="AW40" s="2075"/>
      <c r="AX40" s="2075"/>
      <c r="AY40" s="2075"/>
      <c r="AZ40" s="2075"/>
      <c r="BA40" s="2075"/>
      <c r="BB40" s="2075"/>
      <c r="BC40" s="2075"/>
      <c r="BD40" s="2075"/>
      <c r="BE40" s="2075"/>
      <c r="BF40" s="2075"/>
      <c r="BG40" s="1814"/>
      <c r="BH40" s="1815"/>
      <c r="BI40" s="1815"/>
      <c r="BJ40" s="1815"/>
      <c r="BK40" s="1815"/>
      <c r="BL40" s="1815"/>
      <c r="BM40" s="1816"/>
      <c r="BN40" s="947"/>
      <c r="BO40" s="959"/>
      <c r="BP40" s="960"/>
      <c r="BQ40" s="960"/>
      <c r="BR40" s="960"/>
      <c r="BS40" s="960"/>
      <c r="BT40" s="960"/>
      <c r="BU40" s="960"/>
      <c r="BV40" s="960"/>
      <c r="BW40" s="960"/>
      <c r="BX40" s="960"/>
      <c r="BY40" s="960"/>
      <c r="BZ40" s="960"/>
      <c r="CA40" s="960"/>
      <c r="CB40" s="960"/>
      <c r="CC40" s="960"/>
      <c r="CD40" s="960"/>
      <c r="CE40" s="1992"/>
      <c r="CF40" s="1993"/>
      <c r="CG40" s="1993"/>
      <c r="CH40" s="1993"/>
      <c r="CI40" s="1993"/>
      <c r="CJ40" s="1993"/>
      <c r="CK40" s="1993"/>
      <c r="CL40" s="1993"/>
      <c r="CM40" s="1993"/>
      <c r="CN40" s="1993"/>
      <c r="CO40" s="1993"/>
      <c r="CP40" s="1993"/>
      <c r="CQ40" s="1993"/>
      <c r="CR40" s="1993"/>
      <c r="CS40" s="1993"/>
      <c r="CT40" s="1993"/>
      <c r="CU40" s="1994"/>
      <c r="CV40" s="953"/>
      <c r="CW40" s="1952"/>
      <c r="CX40" s="1953"/>
      <c r="CY40" s="1953"/>
      <c r="CZ40" s="1953"/>
      <c r="DA40" s="1953"/>
      <c r="DB40" s="1953"/>
      <c r="DC40" s="1953"/>
      <c r="DD40" s="1953"/>
      <c r="DE40" s="1953"/>
      <c r="DF40" s="1953"/>
      <c r="DG40" s="1953"/>
      <c r="DH40" s="1953"/>
      <c r="DI40" s="1953"/>
      <c r="DJ40" s="1953"/>
      <c r="DK40" s="1953"/>
      <c r="DL40" s="1953"/>
      <c r="DM40" s="1959"/>
      <c r="DN40" s="1960"/>
      <c r="DO40" s="1960"/>
      <c r="DP40" s="1960"/>
      <c r="DQ40" s="1960"/>
      <c r="DR40" s="1960"/>
      <c r="DS40" s="1960"/>
      <c r="DT40" s="1960"/>
      <c r="DU40" s="1960"/>
      <c r="DV40" s="1960"/>
      <c r="DW40" s="1960"/>
      <c r="DX40" s="1960"/>
      <c r="DY40" s="1960"/>
      <c r="DZ40" s="1960"/>
      <c r="EA40" s="1960"/>
      <c r="EB40" s="1960"/>
      <c r="EC40" s="1961"/>
    </row>
    <row r="41" spans="2:150" ht="6.75" customHeight="1">
      <c r="B41" s="908"/>
      <c r="C41" s="1845" t="s">
        <v>783</v>
      </c>
      <c r="D41" s="1845"/>
      <c r="E41" s="1845"/>
      <c r="F41" s="1845"/>
      <c r="G41" s="1845"/>
      <c r="H41" s="1845"/>
      <c r="I41" s="1845"/>
      <c r="J41" s="1845"/>
      <c r="K41" s="1418"/>
      <c r="L41" s="1417"/>
      <c r="M41" s="1842"/>
      <c r="N41" s="1842"/>
      <c r="O41" s="1842"/>
      <c r="P41" s="1842"/>
      <c r="Q41" s="956"/>
      <c r="R41" s="2150"/>
      <c r="S41" s="2151"/>
      <c r="T41" s="2151"/>
      <c r="U41" s="2151"/>
      <c r="V41" s="2152"/>
      <c r="W41" s="2047"/>
      <c r="X41" s="2048"/>
      <c r="Y41" s="2048"/>
      <c r="Z41" s="2049"/>
      <c r="AA41" s="1824">
        <f>R41*$M$49</f>
        <v>0</v>
      </c>
      <c r="AB41" s="1825"/>
      <c r="AC41" s="1825"/>
      <c r="AD41" s="1825"/>
      <c r="AE41" s="1825"/>
      <c r="AF41" s="1825"/>
      <c r="AG41" s="1825"/>
      <c r="AH41" s="1826"/>
      <c r="AI41" s="947"/>
      <c r="AJ41" s="2096" t="str">
        <f>T('2 REPAIR ESTIMATOR'!AJ75:AP75)</f>
        <v>HARDWOOD FLOORING</v>
      </c>
      <c r="AK41" s="2097"/>
      <c r="AL41" s="2097"/>
      <c r="AM41" s="2097"/>
      <c r="AN41" s="2097"/>
      <c r="AO41" s="2097"/>
      <c r="AP41" s="2097"/>
      <c r="AQ41" s="2097"/>
      <c r="AR41" s="2097"/>
      <c r="AS41" s="2097"/>
      <c r="AT41" s="2097"/>
      <c r="AU41" s="2097"/>
      <c r="AV41" s="2097"/>
      <c r="AW41" s="2097"/>
      <c r="AX41" s="2097"/>
      <c r="AY41" s="2097"/>
      <c r="AZ41" s="2097"/>
      <c r="BA41" s="2097"/>
      <c r="BB41" s="2097"/>
      <c r="BC41" s="2097"/>
      <c r="BD41" s="2097"/>
      <c r="BE41" s="2097"/>
      <c r="BF41" s="2097"/>
      <c r="BG41" s="1808">
        <f>Estimate_Scope_17_Result</f>
        <v>0</v>
      </c>
      <c r="BH41" s="1809"/>
      <c r="BI41" s="1809"/>
      <c r="BJ41" s="1809"/>
      <c r="BK41" s="1809"/>
      <c r="BL41" s="1809"/>
      <c r="BM41" s="1810"/>
      <c r="BN41" s="947"/>
      <c r="BO41" s="959"/>
      <c r="BP41" s="960"/>
      <c r="BQ41" s="960"/>
      <c r="BR41" s="960"/>
      <c r="BS41" s="960"/>
      <c r="BT41" s="960"/>
      <c r="BU41" s="960"/>
      <c r="BV41" s="960"/>
      <c r="BW41" s="960"/>
      <c r="BX41" s="960"/>
      <c r="BY41" s="960"/>
      <c r="BZ41" s="960"/>
      <c r="CA41" s="960"/>
      <c r="CB41" s="960"/>
      <c r="CC41" s="960"/>
      <c r="CD41" s="960"/>
      <c r="CE41" s="1913" t="s">
        <v>863</v>
      </c>
      <c r="CF41" s="1914"/>
      <c r="CG41" s="1914"/>
      <c r="CH41" s="1914"/>
      <c r="CI41" s="1914"/>
      <c r="CJ41" s="1914"/>
      <c r="CK41" s="1914"/>
      <c r="CL41" s="1914"/>
      <c r="CM41" s="1914"/>
      <c r="CN41" s="1914"/>
      <c r="CO41" s="1914"/>
      <c r="CP41" s="1914"/>
      <c r="CQ41" s="1914"/>
      <c r="CR41" s="1914"/>
      <c r="CS41" s="1914"/>
      <c r="CT41" s="1914"/>
      <c r="CU41" s="1915"/>
      <c r="CV41" s="953"/>
      <c r="CW41" s="1952"/>
      <c r="CX41" s="1953"/>
      <c r="CY41" s="1953"/>
      <c r="CZ41" s="1953"/>
      <c r="DA41" s="1953"/>
      <c r="DB41" s="1953"/>
      <c r="DC41" s="1953"/>
      <c r="DD41" s="1953"/>
      <c r="DE41" s="1953"/>
      <c r="DF41" s="1953"/>
      <c r="DG41" s="1953"/>
      <c r="DH41" s="1953"/>
      <c r="DI41" s="1953"/>
      <c r="DJ41" s="1953"/>
      <c r="DK41" s="1953"/>
      <c r="DL41" s="1953"/>
      <c r="DM41" s="1959"/>
      <c r="DN41" s="1960"/>
      <c r="DO41" s="1960"/>
      <c r="DP41" s="1960"/>
      <c r="DQ41" s="1960"/>
      <c r="DR41" s="1960"/>
      <c r="DS41" s="1960"/>
      <c r="DT41" s="1960"/>
      <c r="DU41" s="1960"/>
      <c r="DV41" s="1960"/>
      <c r="DW41" s="1960"/>
      <c r="DX41" s="1960"/>
      <c r="DY41" s="1960"/>
      <c r="DZ41" s="1960"/>
      <c r="EA41" s="1960"/>
      <c r="EB41" s="1960"/>
      <c r="EC41" s="1961"/>
    </row>
    <row r="42" spans="2:150" ht="6.75" customHeight="1">
      <c r="B42" s="908"/>
      <c r="C42" s="1845"/>
      <c r="D42" s="1845"/>
      <c r="E42" s="1845"/>
      <c r="F42" s="1845"/>
      <c r="G42" s="1845"/>
      <c r="H42" s="1845"/>
      <c r="I42" s="1845"/>
      <c r="J42" s="1845"/>
      <c r="K42" s="1418"/>
      <c r="L42" s="1843" t="s">
        <v>775</v>
      </c>
      <c r="M42" s="1843"/>
      <c r="N42" s="1843"/>
      <c r="O42" s="1843"/>
      <c r="P42" s="1843"/>
      <c r="Q42" s="1843"/>
      <c r="R42" s="2164"/>
      <c r="S42" s="2165"/>
      <c r="T42" s="2165"/>
      <c r="U42" s="2165"/>
      <c r="V42" s="2166"/>
      <c r="W42" s="2050"/>
      <c r="X42" s="2048"/>
      <c r="Y42" s="2048"/>
      <c r="Z42" s="2049"/>
      <c r="AA42" s="2038"/>
      <c r="AB42" s="2039"/>
      <c r="AC42" s="2039"/>
      <c r="AD42" s="2039"/>
      <c r="AE42" s="2039"/>
      <c r="AF42" s="2039"/>
      <c r="AG42" s="2039"/>
      <c r="AH42" s="2040"/>
      <c r="AI42" s="947"/>
      <c r="AJ42" s="2096"/>
      <c r="AK42" s="2097"/>
      <c r="AL42" s="2097"/>
      <c r="AM42" s="2097"/>
      <c r="AN42" s="2097"/>
      <c r="AO42" s="2097"/>
      <c r="AP42" s="2097"/>
      <c r="AQ42" s="2097"/>
      <c r="AR42" s="2097"/>
      <c r="AS42" s="2097"/>
      <c r="AT42" s="2097"/>
      <c r="AU42" s="2097"/>
      <c r="AV42" s="2097"/>
      <c r="AW42" s="2097"/>
      <c r="AX42" s="2097"/>
      <c r="AY42" s="2097"/>
      <c r="AZ42" s="2097"/>
      <c r="BA42" s="2097"/>
      <c r="BB42" s="2097"/>
      <c r="BC42" s="2097"/>
      <c r="BD42" s="2097"/>
      <c r="BE42" s="2097"/>
      <c r="BF42" s="2097"/>
      <c r="BG42" s="1808"/>
      <c r="BH42" s="1809"/>
      <c r="BI42" s="1809"/>
      <c r="BJ42" s="1809"/>
      <c r="BK42" s="1809"/>
      <c r="BL42" s="1809"/>
      <c r="BM42" s="1810"/>
      <c r="BN42" s="947"/>
      <c r="BO42" s="959"/>
      <c r="BP42" s="960"/>
      <c r="BQ42" s="960"/>
      <c r="BR42" s="960"/>
      <c r="BS42" s="960"/>
      <c r="BT42" s="960"/>
      <c r="BU42" s="960"/>
      <c r="BV42" s="960"/>
      <c r="BW42" s="960"/>
      <c r="BX42" s="960"/>
      <c r="BY42" s="960"/>
      <c r="BZ42" s="960"/>
      <c r="CA42" s="960"/>
      <c r="CB42" s="960"/>
      <c r="CC42" s="960"/>
      <c r="CD42" s="960"/>
      <c r="CE42" s="1916"/>
      <c r="CF42" s="1917"/>
      <c r="CG42" s="1917"/>
      <c r="CH42" s="1917"/>
      <c r="CI42" s="1917"/>
      <c r="CJ42" s="1917"/>
      <c r="CK42" s="1917"/>
      <c r="CL42" s="1917"/>
      <c r="CM42" s="1917"/>
      <c r="CN42" s="1917"/>
      <c r="CO42" s="1917"/>
      <c r="CP42" s="1917"/>
      <c r="CQ42" s="1917"/>
      <c r="CR42" s="1917"/>
      <c r="CS42" s="1917"/>
      <c r="CT42" s="1917"/>
      <c r="CU42" s="1918"/>
      <c r="CV42" s="953"/>
      <c r="CW42" s="1952"/>
      <c r="CX42" s="1953"/>
      <c r="CY42" s="1953"/>
      <c r="CZ42" s="1953"/>
      <c r="DA42" s="1953"/>
      <c r="DB42" s="1953"/>
      <c r="DC42" s="1953"/>
      <c r="DD42" s="1953"/>
      <c r="DE42" s="1953"/>
      <c r="DF42" s="1953"/>
      <c r="DG42" s="1953"/>
      <c r="DH42" s="1953"/>
      <c r="DI42" s="1953"/>
      <c r="DJ42" s="1953"/>
      <c r="DK42" s="1953"/>
      <c r="DL42" s="1953"/>
      <c r="DM42" s="1959"/>
      <c r="DN42" s="1960"/>
      <c r="DO42" s="1960"/>
      <c r="DP42" s="1960"/>
      <c r="DQ42" s="1960"/>
      <c r="DR42" s="1960"/>
      <c r="DS42" s="1960"/>
      <c r="DT42" s="1960"/>
      <c r="DU42" s="1960"/>
      <c r="DV42" s="1960"/>
      <c r="DW42" s="1960"/>
      <c r="DX42" s="1960"/>
      <c r="DY42" s="1960"/>
      <c r="DZ42" s="1960"/>
      <c r="EA42" s="1960"/>
      <c r="EB42" s="1960"/>
      <c r="EC42" s="1961"/>
    </row>
    <row r="43" spans="2:150" ht="6.75" customHeight="1">
      <c r="B43" s="908"/>
      <c r="C43" s="1845" t="s">
        <v>784</v>
      </c>
      <c r="D43" s="1845"/>
      <c r="E43" s="1845"/>
      <c r="F43" s="1845"/>
      <c r="G43" s="1845"/>
      <c r="H43" s="1845"/>
      <c r="I43" s="1845"/>
      <c r="J43" s="1845"/>
      <c r="K43" s="1418"/>
      <c r="L43" s="1843"/>
      <c r="M43" s="1843"/>
      <c r="N43" s="1843"/>
      <c r="O43" s="1843"/>
      <c r="P43" s="1843"/>
      <c r="Q43" s="1843"/>
      <c r="R43" s="2150"/>
      <c r="S43" s="2151"/>
      <c r="T43" s="2151"/>
      <c r="U43" s="2151"/>
      <c r="V43" s="2152"/>
      <c r="W43" s="2047"/>
      <c r="X43" s="2048"/>
      <c r="Y43" s="2048"/>
      <c r="Z43" s="2049"/>
      <c r="AA43" s="2041">
        <f>R43*$M$49</f>
        <v>0</v>
      </c>
      <c r="AB43" s="2159"/>
      <c r="AC43" s="2159"/>
      <c r="AD43" s="2159"/>
      <c r="AE43" s="2159"/>
      <c r="AF43" s="2159"/>
      <c r="AG43" s="2159"/>
      <c r="AH43" s="2160"/>
      <c r="AI43" s="947"/>
      <c r="AJ43" s="2074" t="str">
        <f>T('2 REPAIR ESTIMATOR'!AJ76:AP76)</f>
        <v>TILING</v>
      </c>
      <c r="AK43" s="2075"/>
      <c r="AL43" s="2075"/>
      <c r="AM43" s="2075"/>
      <c r="AN43" s="2075"/>
      <c r="AO43" s="2075"/>
      <c r="AP43" s="2075"/>
      <c r="AQ43" s="2075"/>
      <c r="AR43" s="2075"/>
      <c r="AS43" s="2075"/>
      <c r="AT43" s="2075"/>
      <c r="AU43" s="2075"/>
      <c r="AV43" s="2075"/>
      <c r="AW43" s="2075"/>
      <c r="AX43" s="2075"/>
      <c r="AY43" s="2075"/>
      <c r="AZ43" s="2075"/>
      <c r="BA43" s="2075"/>
      <c r="BB43" s="2075"/>
      <c r="BC43" s="2075"/>
      <c r="BD43" s="2075"/>
      <c r="BE43" s="2075"/>
      <c r="BF43" s="2075"/>
      <c r="BG43" s="1814">
        <f>Estimate_Scope_18_Result</f>
        <v>0</v>
      </c>
      <c r="BH43" s="1815"/>
      <c r="BI43" s="1815"/>
      <c r="BJ43" s="1815"/>
      <c r="BK43" s="1815"/>
      <c r="BL43" s="1815"/>
      <c r="BM43" s="1816"/>
      <c r="BN43" s="947"/>
      <c r="BO43" s="959"/>
      <c r="BP43" s="960"/>
      <c r="BQ43" s="960"/>
      <c r="BR43" s="960"/>
      <c r="BS43" s="960"/>
      <c r="BT43" s="960"/>
      <c r="BU43" s="960"/>
      <c r="BV43" s="960"/>
      <c r="BW43" s="960"/>
      <c r="BX43" s="960"/>
      <c r="BY43" s="960"/>
      <c r="BZ43" s="960"/>
      <c r="CA43" s="960"/>
      <c r="CB43" s="960"/>
      <c r="CC43" s="960"/>
      <c r="CD43" s="960"/>
      <c r="CE43" s="1916"/>
      <c r="CF43" s="1917"/>
      <c r="CG43" s="1917"/>
      <c r="CH43" s="1917"/>
      <c r="CI43" s="1917"/>
      <c r="CJ43" s="1917"/>
      <c r="CK43" s="1917"/>
      <c r="CL43" s="1917"/>
      <c r="CM43" s="1917"/>
      <c r="CN43" s="1917"/>
      <c r="CO43" s="1917"/>
      <c r="CP43" s="1917"/>
      <c r="CQ43" s="1917"/>
      <c r="CR43" s="1917"/>
      <c r="CS43" s="1917"/>
      <c r="CT43" s="1917"/>
      <c r="CU43" s="1918"/>
      <c r="CV43" s="953"/>
      <c r="CW43" s="1952"/>
      <c r="CX43" s="1953"/>
      <c r="CY43" s="1953"/>
      <c r="CZ43" s="1953"/>
      <c r="DA43" s="1953"/>
      <c r="DB43" s="1953"/>
      <c r="DC43" s="1953"/>
      <c r="DD43" s="1953"/>
      <c r="DE43" s="1953"/>
      <c r="DF43" s="1953"/>
      <c r="DG43" s="1953"/>
      <c r="DH43" s="1953"/>
      <c r="DI43" s="1953"/>
      <c r="DJ43" s="1953"/>
      <c r="DK43" s="1953"/>
      <c r="DL43" s="1953"/>
      <c r="DM43" s="1959"/>
      <c r="DN43" s="1960"/>
      <c r="DO43" s="1960"/>
      <c r="DP43" s="1960"/>
      <c r="DQ43" s="1960"/>
      <c r="DR43" s="1960"/>
      <c r="DS43" s="1960"/>
      <c r="DT43" s="1960"/>
      <c r="DU43" s="1960"/>
      <c r="DV43" s="1960"/>
      <c r="DW43" s="1960"/>
      <c r="DX43" s="1960"/>
      <c r="DY43" s="1960"/>
      <c r="DZ43" s="1960"/>
      <c r="EA43" s="1960"/>
      <c r="EB43" s="1960"/>
      <c r="EC43" s="1961"/>
    </row>
    <row r="44" spans="2:150" ht="6.75" customHeight="1" thickBot="1">
      <c r="B44" s="908"/>
      <c r="C44" s="1845"/>
      <c r="D44" s="1845"/>
      <c r="E44" s="1845"/>
      <c r="F44" s="1845"/>
      <c r="G44" s="1845"/>
      <c r="H44" s="1845"/>
      <c r="I44" s="1845"/>
      <c r="J44" s="1845"/>
      <c r="K44" s="1418"/>
      <c r="L44" s="153"/>
      <c r="M44" s="1842"/>
      <c r="N44" s="1842"/>
      <c r="O44" s="1842"/>
      <c r="P44" s="1842"/>
      <c r="Q44" s="153"/>
      <c r="R44" s="2164"/>
      <c r="S44" s="2165"/>
      <c r="T44" s="2165"/>
      <c r="U44" s="2165"/>
      <c r="V44" s="2166"/>
      <c r="W44" s="2050"/>
      <c r="X44" s="2048"/>
      <c r="Y44" s="2048"/>
      <c r="Z44" s="2049"/>
      <c r="AA44" s="2161"/>
      <c r="AB44" s="2162"/>
      <c r="AC44" s="2162"/>
      <c r="AD44" s="2162"/>
      <c r="AE44" s="2162"/>
      <c r="AF44" s="2162"/>
      <c r="AG44" s="2162"/>
      <c r="AH44" s="2163"/>
      <c r="AI44" s="947"/>
      <c r="AJ44" s="2074"/>
      <c r="AK44" s="2075"/>
      <c r="AL44" s="2075"/>
      <c r="AM44" s="2075"/>
      <c r="AN44" s="2075"/>
      <c r="AO44" s="2075"/>
      <c r="AP44" s="2075"/>
      <c r="AQ44" s="2075"/>
      <c r="AR44" s="2075"/>
      <c r="AS44" s="2075"/>
      <c r="AT44" s="2075"/>
      <c r="AU44" s="2075"/>
      <c r="AV44" s="2075"/>
      <c r="AW44" s="2075"/>
      <c r="AX44" s="2075"/>
      <c r="AY44" s="2075"/>
      <c r="AZ44" s="2075"/>
      <c r="BA44" s="2075"/>
      <c r="BB44" s="2075"/>
      <c r="BC44" s="2075"/>
      <c r="BD44" s="2075"/>
      <c r="BE44" s="2075"/>
      <c r="BF44" s="2075"/>
      <c r="BG44" s="1814"/>
      <c r="BH44" s="1815"/>
      <c r="BI44" s="1815"/>
      <c r="BJ44" s="1815"/>
      <c r="BK44" s="1815"/>
      <c r="BL44" s="1815"/>
      <c r="BM44" s="1816"/>
      <c r="BN44" s="947"/>
      <c r="BO44" s="959"/>
      <c r="BP44" s="960"/>
      <c r="BQ44" s="960"/>
      <c r="BR44" s="960"/>
      <c r="BS44" s="960"/>
      <c r="BT44" s="960"/>
      <c r="BU44" s="960"/>
      <c r="BV44" s="960"/>
      <c r="BW44" s="960"/>
      <c r="BX44" s="960"/>
      <c r="BY44" s="960"/>
      <c r="BZ44" s="960"/>
      <c r="CA44" s="960"/>
      <c r="CB44" s="960"/>
      <c r="CC44" s="960"/>
      <c r="CD44" s="960"/>
      <c r="CE44" s="1919"/>
      <c r="CF44" s="1920"/>
      <c r="CG44" s="1920"/>
      <c r="CH44" s="1920"/>
      <c r="CI44" s="1920"/>
      <c r="CJ44" s="1920"/>
      <c r="CK44" s="1920"/>
      <c r="CL44" s="1920"/>
      <c r="CM44" s="1920"/>
      <c r="CN44" s="1920"/>
      <c r="CO44" s="1920"/>
      <c r="CP44" s="1920"/>
      <c r="CQ44" s="1920"/>
      <c r="CR44" s="1920"/>
      <c r="CS44" s="1920"/>
      <c r="CT44" s="1920"/>
      <c r="CU44" s="1921"/>
      <c r="CV44" s="953"/>
      <c r="CW44" s="1952"/>
      <c r="CX44" s="1953"/>
      <c r="CY44" s="1953"/>
      <c r="CZ44" s="1953"/>
      <c r="DA44" s="1953"/>
      <c r="DB44" s="1953"/>
      <c r="DC44" s="1953"/>
      <c r="DD44" s="1953"/>
      <c r="DE44" s="1953"/>
      <c r="DF44" s="1953"/>
      <c r="DG44" s="1953"/>
      <c r="DH44" s="1953"/>
      <c r="DI44" s="1953"/>
      <c r="DJ44" s="1953"/>
      <c r="DK44" s="1953"/>
      <c r="DL44" s="1953"/>
      <c r="DM44" s="1959"/>
      <c r="DN44" s="1960"/>
      <c r="DO44" s="1960"/>
      <c r="DP44" s="1960"/>
      <c r="DQ44" s="1960"/>
      <c r="DR44" s="1960"/>
      <c r="DS44" s="1960"/>
      <c r="DT44" s="1960"/>
      <c r="DU44" s="1960"/>
      <c r="DV44" s="1960"/>
      <c r="DW44" s="1960"/>
      <c r="DX44" s="1960"/>
      <c r="DY44" s="1960"/>
      <c r="DZ44" s="1960"/>
      <c r="EA44" s="1960"/>
      <c r="EB44" s="1960"/>
      <c r="EC44" s="1961"/>
    </row>
    <row r="45" spans="2:150" ht="6.75" customHeight="1">
      <c r="B45" s="908"/>
      <c r="C45" s="1845" t="s">
        <v>785</v>
      </c>
      <c r="D45" s="1845"/>
      <c r="E45" s="1845"/>
      <c r="F45" s="1845"/>
      <c r="G45" s="1845"/>
      <c r="H45" s="1845"/>
      <c r="I45" s="1845"/>
      <c r="J45" s="1845"/>
      <c r="K45" s="1418"/>
      <c r="L45" s="1417"/>
      <c r="M45" s="1842"/>
      <c r="N45" s="1842"/>
      <c r="O45" s="1842"/>
      <c r="P45" s="1842"/>
      <c r="Q45" s="956"/>
      <c r="R45" s="2150"/>
      <c r="S45" s="2151"/>
      <c r="T45" s="2151"/>
      <c r="U45" s="2151"/>
      <c r="V45" s="2152"/>
      <c r="W45" s="2047"/>
      <c r="X45" s="2048"/>
      <c r="Y45" s="2048"/>
      <c r="Z45" s="2049"/>
      <c r="AA45" s="1824">
        <f>R45*$M$49</f>
        <v>0</v>
      </c>
      <c r="AB45" s="1825"/>
      <c r="AC45" s="1825"/>
      <c r="AD45" s="1825"/>
      <c r="AE45" s="1825"/>
      <c r="AF45" s="1825"/>
      <c r="AG45" s="1825"/>
      <c r="AH45" s="1826"/>
      <c r="AI45" s="947"/>
      <c r="AJ45" s="2096" t="str">
        <f>T('2 REPAIR ESTIMATOR'!AJ77:AP77)</f>
        <v>PAINTING</v>
      </c>
      <c r="AK45" s="2097"/>
      <c r="AL45" s="2097"/>
      <c r="AM45" s="2097"/>
      <c r="AN45" s="2097"/>
      <c r="AO45" s="2097"/>
      <c r="AP45" s="2097"/>
      <c r="AQ45" s="2097"/>
      <c r="AR45" s="2097"/>
      <c r="AS45" s="2097"/>
      <c r="AT45" s="2097"/>
      <c r="AU45" s="2097"/>
      <c r="AV45" s="2097"/>
      <c r="AW45" s="2097"/>
      <c r="AX45" s="2097"/>
      <c r="AY45" s="2097"/>
      <c r="AZ45" s="2097"/>
      <c r="BA45" s="2097"/>
      <c r="BB45" s="2097"/>
      <c r="BC45" s="2097"/>
      <c r="BD45" s="2097"/>
      <c r="BE45" s="2097"/>
      <c r="BF45" s="2097"/>
      <c r="BG45" s="1808">
        <f>Estimate_Scope_19_Result</f>
        <v>0</v>
      </c>
      <c r="BH45" s="1809"/>
      <c r="BI45" s="1809"/>
      <c r="BJ45" s="1809"/>
      <c r="BK45" s="1809"/>
      <c r="BL45" s="1809"/>
      <c r="BM45" s="1810"/>
      <c r="BN45" s="947"/>
      <c r="BO45" s="959"/>
      <c r="BP45" s="960"/>
      <c r="BQ45" s="960"/>
      <c r="BR45" s="960"/>
      <c r="BS45" s="960"/>
      <c r="BT45" s="960"/>
      <c r="BU45" s="960"/>
      <c r="BV45" s="960"/>
      <c r="BW45" s="960"/>
      <c r="BX45" s="960"/>
      <c r="BY45" s="960"/>
      <c r="BZ45" s="960"/>
      <c r="CA45" s="960"/>
      <c r="CB45" s="960"/>
      <c r="CC45" s="960"/>
      <c r="CD45" s="960"/>
      <c r="CE45" s="1898" t="str">
        <f>IF(AFTER_REPAIR_VALUE_CELL=0,"",((Maximum_Purchase_Price+TOTAL_REPAIRS_ESTIMATE)/AFTER_REPAIR_VALUE_CELL))</f>
        <v/>
      </c>
      <c r="CF45" s="1899"/>
      <c r="CG45" s="1899"/>
      <c r="CH45" s="1899"/>
      <c r="CI45" s="1899"/>
      <c r="CJ45" s="1899"/>
      <c r="CK45" s="1899"/>
      <c r="CL45" s="1899"/>
      <c r="CM45" s="1899"/>
      <c r="CN45" s="1899"/>
      <c r="CO45" s="1899"/>
      <c r="CP45" s="1899"/>
      <c r="CQ45" s="1899"/>
      <c r="CR45" s="1899"/>
      <c r="CS45" s="1899"/>
      <c r="CT45" s="1899"/>
      <c r="CU45" s="1900"/>
      <c r="CV45" s="953"/>
      <c r="CW45" s="1952"/>
      <c r="CX45" s="1953"/>
      <c r="CY45" s="1953"/>
      <c r="CZ45" s="1953"/>
      <c r="DA45" s="1953"/>
      <c r="DB45" s="1953"/>
      <c r="DC45" s="1953"/>
      <c r="DD45" s="1953"/>
      <c r="DE45" s="1953"/>
      <c r="DF45" s="1953"/>
      <c r="DG45" s="1953"/>
      <c r="DH45" s="1953"/>
      <c r="DI45" s="1953"/>
      <c r="DJ45" s="1953"/>
      <c r="DK45" s="1953"/>
      <c r="DL45" s="1953"/>
      <c r="DM45" s="1959"/>
      <c r="DN45" s="1960"/>
      <c r="DO45" s="1960"/>
      <c r="DP45" s="1960"/>
      <c r="DQ45" s="1960"/>
      <c r="DR45" s="1960"/>
      <c r="DS45" s="1960"/>
      <c r="DT45" s="1960"/>
      <c r="DU45" s="1960"/>
      <c r="DV45" s="1960"/>
      <c r="DW45" s="1960"/>
      <c r="DX45" s="1960"/>
      <c r="DY45" s="1960"/>
      <c r="DZ45" s="1960"/>
      <c r="EA45" s="1960"/>
      <c r="EB45" s="1960"/>
      <c r="EC45" s="1961"/>
    </row>
    <row r="46" spans="2:150" ht="6.75" customHeight="1">
      <c r="B46" s="908"/>
      <c r="C46" s="1845"/>
      <c r="D46" s="1845"/>
      <c r="E46" s="1845"/>
      <c r="F46" s="1845"/>
      <c r="G46" s="1845"/>
      <c r="H46" s="1845"/>
      <c r="I46" s="1845"/>
      <c r="J46" s="1845"/>
      <c r="K46" s="1418"/>
      <c r="L46" s="1417"/>
      <c r="M46" s="1842"/>
      <c r="N46" s="1842"/>
      <c r="O46" s="1842"/>
      <c r="P46" s="1842"/>
      <c r="Q46" s="956"/>
      <c r="R46" s="2164"/>
      <c r="S46" s="2165"/>
      <c r="T46" s="2165"/>
      <c r="U46" s="2165"/>
      <c r="V46" s="2166"/>
      <c r="W46" s="2050"/>
      <c r="X46" s="2048"/>
      <c r="Y46" s="2048"/>
      <c r="Z46" s="2049"/>
      <c r="AA46" s="1827"/>
      <c r="AB46" s="1828"/>
      <c r="AC46" s="1828"/>
      <c r="AD46" s="1828"/>
      <c r="AE46" s="1828"/>
      <c r="AF46" s="1828"/>
      <c r="AG46" s="1828"/>
      <c r="AH46" s="1829"/>
      <c r="AI46" s="947"/>
      <c r="AJ46" s="2096"/>
      <c r="AK46" s="2097"/>
      <c r="AL46" s="2097"/>
      <c r="AM46" s="2097"/>
      <c r="AN46" s="2097"/>
      <c r="AO46" s="2097"/>
      <c r="AP46" s="2097"/>
      <c r="AQ46" s="2097"/>
      <c r="AR46" s="2097"/>
      <c r="AS46" s="2097"/>
      <c r="AT46" s="2097"/>
      <c r="AU46" s="2097"/>
      <c r="AV46" s="2097"/>
      <c r="AW46" s="2097"/>
      <c r="AX46" s="2097"/>
      <c r="AY46" s="2097"/>
      <c r="AZ46" s="2097"/>
      <c r="BA46" s="2097"/>
      <c r="BB46" s="2097"/>
      <c r="BC46" s="2097"/>
      <c r="BD46" s="2097"/>
      <c r="BE46" s="2097"/>
      <c r="BF46" s="2097"/>
      <c r="BG46" s="1808"/>
      <c r="BH46" s="1809"/>
      <c r="BI46" s="1809"/>
      <c r="BJ46" s="1809"/>
      <c r="BK46" s="1809"/>
      <c r="BL46" s="1809"/>
      <c r="BM46" s="1810"/>
      <c r="BN46" s="947"/>
      <c r="BO46" s="959"/>
      <c r="BP46" s="960"/>
      <c r="BQ46" s="960"/>
      <c r="BR46" s="960"/>
      <c r="BS46" s="960"/>
      <c r="BT46" s="960"/>
      <c r="BU46" s="960"/>
      <c r="BV46" s="960"/>
      <c r="BW46" s="960"/>
      <c r="BX46" s="960"/>
      <c r="BY46" s="960"/>
      <c r="BZ46" s="960"/>
      <c r="CA46" s="960"/>
      <c r="CB46" s="960"/>
      <c r="CC46" s="960"/>
      <c r="CD46" s="960"/>
      <c r="CE46" s="1898"/>
      <c r="CF46" s="1899"/>
      <c r="CG46" s="1899"/>
      <c r="CH46" s="1899"/>
      <c r="CI46" s="1899"/>
      <c r="CJ46" s="1899"/>
      <c r="CK46" s="1899"/>
      <c r="CL46" s="1899"/>
      <c r="CM46" s="1899"/>
      <c r="CN46" s="1899"/>
      <c r="CO46" s="1899"/>
      <c r="CP46" s="1899"/>
      <c r="CQ46" s="1899"/>
      <c r="CR46" s="1899"/>
      <c r="CS46" s="1899"/>
      <c r="CT46" s="1899"/>
      <c r="CU46" s="1900"/>
      <c r="CV46" s="961"/>
      <c r="CW46" s="1952"/>
      <c r="CX46" s="1953"/>
      <c r="CY46" s="1953"/>
      <c r="CZ46" s="1953"/>
      <c r="DA46" s="1953"/>
      <c r="DB46" s="1953"/>
      <c r="DC46" s="1953"/>
      <c r="DD46" s="1953"/>
      <c r="DE46" s="1953"/>
      <c r="DF46" s="1953"/>
      <c r="DG46" s="1953"/>
      <c r="DH46" s="1953"/>
      <c r="DI46" s="1953"/>
      <c r="DJ46" s="1953"/>
      <c r="DK46" s="1953"/>
      <c r="DL46" s="1953"/>
      <c r="DM46" s="1959"/>
      <c r="DN46" s="1960"/>
      <c r="DO46" s="1960"/>
      <c r="DP46" s="1960"/>
      <c r="DQ46" s="1960"/>
      <c r="DR46" s="1960"/>
      <c r="DS46" s="1960"/>
      <c r="DT46" s="1960"/>
      <c r="DU46" s="1960"/>
      <c r="DV46" s="1960"/>
      <c r="DW46" s="1960"/>
      <c r="DX46" s="1960"/>
      <c r="DY46" s="1960"/>
      <c r="DZ46" s="1960"/>
      <c r="EA46" s="1960"/>
      <c r="EB46" s="1960"/>
      <c r="EC46" s="1961"/>
      <c r="ED46" s="188"/>
    </row>
    <row r="47" spans="2:150" ht="6.75" customHeight="1" thickBot="1">
      <c r="B47" s="908"/>
      <c r="C47" s="1845" t="s">
        <v>786</v>
      </c>
      <c r="D47" s="1845"/>
      <c r="E47" s="1845"/>
      <c r="F47" s="1845"/>
      <c r="G47" s="1845"/>
      <c r="H47" s="1845"/>
      <c r="I47" s="1845"/>
      <c r="J47" s="1845"/>
      <c r="K47" s="1418"/>
      <c r="L47" s="1843" t="s">
        <v>776</v>
      </c>
      <c r="M47" s="1843"/>
      <c r="N47" s="1843"/>
      <c r="O47" s="1843"/>
      <c r="P47" s="1843"/>
      <c r="Q47" s="1843"/>
      <c r="R47" s="2150"/>
      <c r="S47" s="2151"/>
      <c r="T47" s="2151"/>
      <c r="U47" s="2151"/>
      <c r="V47" s="2152"/>
      <c r="W47" s="2047"/>
      <c r="X47" s="2048"/>
      <c r="Y47" s="2048"/>
      <c r="Z47" s="2049"/>
      <c r="AA47" s="2041">
        <f>R47*$M$49</f>
        <v>0</v>
      </c>
      <c r="AB47" s="2159"/>
      <c r="AC47" s="2159"/>
      <c r="AD47" s="2159"/>
      <c r="AE47" s="2159"/>
      <c r="AF47" s="2159"/>
      <c r="AG47" s="2159"/>
      <c r="AH47" s="2160"/>
      <c r="AI47" s="947"/>
      <c r="AJ47" s="2074" t="str">
        <f>T('2 REPAIR ESTIMATOR'!AJ78:AP78)</f>
        <v>APPLIANCES</v>
      </c>
      <c r="AK47" s="2075"/>
      <c r="AL47" s="2075"/>
      <c r="AM47" s="2075"/>
      <c r="AN47" s="2075"/>
      <c r="AO47" s="2075"/>
      <c r="AP47" s="2075"/>
      <c r="AQ47" s="2075"/>
      <c r="AR47" s="2075"/>
      <c r="AS47" s="2075"/>
      <c r="AT47" s="2075"/>
      <c r="AU47" s="2075"/>
      <c r="AV47" s="2075"/>
      <c r="AW47" s="2075"/>
      <c r="AX47" s="2075"/>
      <c r="AY47" s="2075"/>
      <c r="AZ47" s="2075"/>
      <c r="BA47" s="2075"/>
      <c r="BB47" s="2075"/>
      <c r="BC47" s="2075"/>
      <c r="BD47" s="2075"/>
      <c r="BE47" s="2075"/>
      <c r="BF47" s="2075"/>
      <c r="BG47" s="1814">
        <f>Estimate_Scope_20_Result</f>
        <v>0</v>
      </c>
      <c r="BH47" s="1815"/>
      <c r="BI47" s="1815"/>
      <c r="BJ47" s="1815"/>
      <c r="BK47" s="1815"/>
      <c r="BL47" s="1815"/>
      <c r="BM47" s="1816"/>
      <c r="BN47" s="947"/>
      <c r="BO47" s="959"/>
      <c r="BP47" s="960"/>
      <c r="BQ47" s="960"/>
      <c r="BR47" s="960"/>
      <c r="BS47" s="960"/>
      <c r="BT47" s="960"/>
      <c r="BU47" s="960"/>
      <c r="BV47" s="960"/>
      <c r="BW47" s="960"/>
      <c r="BX47" s="960"/>
      <c r="BY47" s="960"/>
      <c r="BZ47" s="960"/>
      <c r="CA47" s="960"/>
      <c r="CB47" s="960"/>
      <c r="CC47" s="960"/>
      <c r="CD47" s="960"/>
      <c r="CE47" s="1898"/>
      <c r="CF47" s="1899"/>
      <c r="CG47" s="1899"/>
      <c r="CH47" s="1899"/>
      <c r="CI47" s="1899"/>
      <c r="CJ47" s="1899"/>
      <c r="CK47" s="1899"/>
      <c r="CL47" s="1899"/>
      <c r="CM47" s="1899"/>
      <c r="CN47" s="1899"/>
      <c r="CO47" s="1899"/>
      <c r="CP47" s="1899"/>
      <c r="CQ47" s="1899"/>
      <c r="CR47" s="1899"/>
      <c r="CS47" s="1899"/>
      <c r="CT47" s="1899"/>
      <c r="CU47" s="1900"/>
      <c r="CV47" s="961"/>
      <c r="CW47" s="1954"/>
      <c r="CX47" s="1955"/>
      <c r="CY47" s="1955"/>
      <c r="CZ47" s="1955"/>
      <c r="DA47" s="1955"/>
      <c r="DB47" s="1955"/>
      <c r="DC47" s="1955"/>
      <c r="DD47" s="1955"/>
      <c r="DE47" s="1955"/>
      <c r="DF47" s="1955"/>
      <c r="DG47" s="1955"/>
      <c r="DH47" s="1955"/>
      <c r="DI47" s="1955"/>
      <c r="DJ47" s="1955"/>
      <c r="DK47" s="1955"/>
      <c r="DL47" s="1955"/>
      <c r="DM47" s="1962"/>
      <c r="DN47" s="1963"/>
      <c r="DO47" s="1963"/>
      <c r="DP47" s="1963"/>
      <c r="DQ47" s="1963"/>
      <c r="DR47" s="1963"/>
      <c r="DS47" s="1963"/>
      <c r="DT47" s="1963"/>
      <c r="DU47" s="1963"/>
      <c r="DV47" s="1963"/>
      <c r="DW47" s="1963"/>
      <c r="DX47" s="1963"/>
      <c r="DY47" s="1963"/>
      <c r="DZ47" s="1963"/>
      <c r="EA47" s="1963"/>
      <c r="EB47" s="1963"/>
      <c r="EC47" s="1964"/>
      <c r="ED47" s="188"/>
    </row>
    <row r="48" spans="2:150" ht="6.75" customHeight="1">
      <c r="B48" s="908"/>
      <c r="C48" s="1845"/>
      <c r="D48" s="1845"/>
      <c r="E48" s="1845"/>
      <c r="F48" s="1845"/>
      <c r="G48" s="1845"/>
      <c r="H48" s="1845"/>
      <c r="I48" s="1845"/>
      <c r="J48" s="1845"/>
      <c r="K48" s="1418"/>
      <c r="L48" s="1843"/>
      <c r="M48" s="1843"/>
      <c r="N48" s="1843"/>
      <c r="O48" s="1843"/>
      <c r="P48" s="1843"/>
      <c r="Q48" s="1843"/>
      <c r="R48" s="2153"/>
      <c r="S48" s="2154"/>
      <c r="T48" s="2154"/>
      <c r="U48" s="2154"/>
      <c r="V48" s="2155"/>
      <c r="W48" s="2050"/>
      <c r="X48" s="2048"/>
      <c r="Y48" s="2048"/>
      <c r="Z48" s="2049"/>
      <c r="AA48" s="2161"/>
      <c r="AB48" s="2162"/>
      <c r="AC48" s="2162"/>
      <c r="AD48" s="2162"/>
      <c r="AE48" s="2162"/>
      <c r="AF48" s="2162"/>
      <c r="AG48" s="2162"/>
      <c r="AH48" s="2163"/>
      <c r="AI48" s="947"/>
      <c r="AJ48" s="2074"/>
      <c r="AK48" s="2075"/>
      <c r="AL48" s="2075"/>
      <c r="AM48" s="2075"/>
      <c r="AN48" s="2075"/>
      <c r="AO48" s="2075"/>
      <c r="AP48" s="2075"/>
      <c r="AQ48" s="2075"/>
      <c r="AR48" s="2075"/>
      <c r="AS48" s="2075"/>
      <c r="AT48" s="2075"/>
      <c r="AU48" s="2075"/>
      <c r="AV48" s="2075"/>
      <c r="AW48" s="2075"/>
      <c r="AX48" s="2075"/>
      <c r="AY48" s="2075"/>
      <c r="AZ48" s="2075"/>
      <c r="BA48" s="2075"/>
      <c r="BB48" s="2075"/>
      <c r="BC48" s="2075"/>
      <c r="BD48" s="2075"/>
      <c r="BE48" s="2075"/>
      <c r="BF48" s="2075"/>
      <c r="BG48" s="1814"/>
      <c r="BH48" s="1815"/>
      <c r="BI48" s="1815"/>
      <c r="BJ48" s="1815"/>
      <c r="BK48" s="1815"/>
      <c r="BL48" s="1815"/>
      <c r="BM48" s="1816"/>
      <c r="BN48" s="947"/>
      <c r="BO48" s="959"/>
      <c r="BP48" s="960"/>
      <c r="BQ48" s="960"/>
      <c r="BR48" s="960"/>
      <c r="BS48" s="960"/>
      <c r="BT48" s="960"/>
      <c r="BU48" s="960"/>
      <c r="BV48" s="960"/>
      <c r="BW48" s="960"/>
      <c r="BX48" s="960"/>
      <c r="BY48" s="960"/>
      <c r="BZ48" s="960"/>
      <c r="CA48" s="960"/>
      <c r="CB48" s="960"/>
      <c r="CC48" s="960"/>
      <c r="CD48" s="960"/>
      <c r="CE48" s="1898"/>
      <c r="CF48" s="1899"/>
      <c r="CG48" s="1899"/>
      <c r="CH48" s="1899"/>
      <c r="CI48" s="1899"/>
      <c r="CJ48" s="1899"/>
      <c r="CK48" s="1899"/>
      <c r="CL48" s="1899"/>
      <c r="CM48" s="1899"/>
      <c r="CN48" s="1899"/>
      <c r="CO48" s="1899"/>
      <c r="CP48" s="1899"/>
      <c r="CQ48" s="1899"/>
      <c r="CR48" s="1899"/>
      <c r="CS48" s="1899"/>
      <c r="CT48" s="1899"/>
      <c r="CU48" s="1900"/>
      <c r="CV48" s="961"/>
      <c r="CW48" s="2196" t="s">
        <v>969</v>
      </c>
      <c r="CX48" s="2197"/>
      <c r="CY48" s="2197"/>
      <c r="CZ48" s="2197"/>
      <c r="DA48" s="2197"/>
      <c r="DB48" s="2197"/>
      <c r="DC48" s="2197"/>
      <c r="DD48" s="2197"/>
      <c r="DE48" s="2197"/>
      <c r="DF48" s="2197"/>
      <c r="DG48" s="2197"/>
      <c r="DH48" s="2197"/>
      <c r="DI48" s="2197"/>
      <c r="DJ48" s="2197"/>
      <c r="DK48" s="2197"/>
      <c r="DL48" s="2197"/>
      <c r="DM48" s="2197"/>
      <c r="DN48" s="2197"/>
      <c r="DO48" s="2197"/>
      <c r="DP48" s="2197"/>
      <c r="DQ48" s="2197"/>
      <c r="DR48" s="2197"/>
      <c r="DS48" s="2197"/>
      <c r="DT48" s="2197"/>
      <c r="DU48" s="2197"/>
      <c r="DV48" s="2197"/>
      <c r="DW48" s="2197"/>
      <c r="DX48" s="2197"/>
      <c r="DY48" s="2197"/>
      <c r="DZ48" s="2197"/>
      <c r="EA48" s="2197"/>
      <c r="EB48" s="2197"/>
      <c r="EC48" s="2198"/>
      <c r="ED48" s="188"/>
    </row>
    <row r="49" spans="2:134" ht="6.75" customHeight="1">
      <c r="B49" s="908"/>
      <c r="C49" s="1845" t="s">
        <v>524</v>
      </c>
      <c r="D49" s="1845"/>
      <c r="E49" s="1845"/>
      <c r="F49" s="1845"/>
      <c r="G49" s="1845"/>
      <c r="H49" s="1845"/>
      <c r="I49" s="1845"/>
      <c r="J49" s="1845"/>
      <c r="K49" s="1845"/>
      <c r="L49" s="2051"/>
      <c r="M49" s="2156">
        <f>M39+M44</f>
        <v>0</v>
      </c>
      <c r="N49" s="2157"/>
      <c r="O49" s="2157"/>
      <c r="P49" s="2157"/>
      <c r="Q49" s="153"/>
      <c r="R49" s="2150"/>
      <c r="S49" s="2151"/>
      <c r="T49" s="2151"/>
      <c r="U49" s="2151"/>
      <c r="V49" s="2152"/>
      <c r="W49" s="2047"/>
      <c r="X49" s="2048"/>
      <c r="Y49" s="2048"/>
      <c r="Z49" s="2049"/>
      <c r="AA49" s="2038">
        <f>R49*$M$49</f>
        <v>0</v>
      </c>
      <c r="AB49" s="2039"/>
      <c r="AC49" s="2039"/>
      <c r="AD49" s="2039"/>
      <c r="AE49" s="2039"/>
      <c r="AF49" s="2039"/>
      <c r="AG49" s="2039"/>
      <c r="AH49" s="2040"/>
      <c r="AI49" s="947"/>
      <c r="AJ49" s="2096" t="str">
        <f>T('2 REPAIR ESTIMATOR'!AJ79:AP79)</f>
        <v>PLUMBING</v>
      </c>
      <c r="AK49" s="2097"/>
      <c r="AL49" s="2097"/>
      <c r="AM49" s="2097"/>
      <c r="AN49" s="2097"/>
      <c r="AO49" s="2097"/>
      <c r="AP49" s="2097"/>
      <c r="AQ49" s="2097"/>
      <c r="AR49" s="2097"/>
      <c r="AS49" s="2097"/>
      <c r="AT49" s="2097"/>
      <c r="AU49" s="2097"/>
      <c r="AV49" s="2097"/>
      <c r="AW49" s="2097"/>
      <c r="AX49" s="2097"/>
      <c r="AY49" s="2097"/>
      <c r="AZ49" s="2097"/>
      <c r="BA49" s="2097"/>
      <c r="BB49" s="2097"/>
      <c r="BC49" s="2097"/>
      <c r="BD49" s="2097"/>
      <c r="BE49" s="2097"/>
      <c r="BF49" s="2097"/>
      <c r="BG49" s="1808">
        <f>Estimate_Scope_21_Result</f>
        <v>0</v>
      </c>
      <c r="BH49" s="1809"/>
      <c r="BI49" s="1809"/>
      <c r="BJ49" s="1809"/>
      <c r="BK49" s="1809"/>
      <c r="BL49" s="1809"/>
      <c r="BM49" s="1810"/>
      <c r="BN49" s="947"/>
      <c r="BO49" s="959"/>
      <c r="BP49" s="960"/>
      <c r="BQ49" s="960"/>
      <c r="BR49" s="960"/>
      <c r="BS49" s="960"/>
      <c r="BT49" s="960"/>
      <c r="BU49" s="960"/>
      <c r="BV49" s="960"/>
      <c r="BW49" s="960"/>
      <c r="BX49" s="960"/>
      <c r="BY49" s="960"/>
      <c r="BZ49" s="960"/>
      <c r="CA49" s="960"/>
      <c r="CB49" s="960"/>
      <c r="CC49" s="960"/>
      <c r="CD49" s="960"/>
      <c r="CE49" s="1898"/>
      <c r="CF49" s="1899"/>
      <c r="CG49" s="1899"/>
      <c r="CH49" s="1899"/>
      <c r="CI49" s="1899"/>
      <c r="CJ49" s="1899"/>
      <c r="CK49" s="1899"/>
      <c r="CL49" s="1899"/>
      <c r="CM49" s="1899"/>
      <c r="CN49" s="1899"/>
      <c r="CO49" s="1899"/>
      <c r="CP49" s="1899"/>
      <c r="CQ49" s="1899"/>
      <c r="CR49" s="1899"/>
      <c r="CS49" s="1899"/>
      <c r="CT49" s="1899"/>
      <c r="CU49" s="1900"/>
      <c r="CV49" s="961"/>
      <c r="CW49" s="2199"/>
      <c r="CX49" s="2200"/>
      <c r="CY49" s="2200"/>
      <c r="CZ49" s="2200"/>
      <c r="DA49" s="2200"/>
      <c r="DB49" s="2200"/>
      <c r="DC49" s="2200"/>
      <c r="DD49" s="2200"/>
      <c r="DE49" s="2200"/>
      <c r="DF49" s="2200"/>
      <c r="DG49" s="2200"/>
      <c r="DH49" s="2200"/>
      <c r="DI49" s="2200"/>
      <c r="DJ49" s="2200"/>
      <c r="DK49" s="2200"/>
      <c r="DL49" s="2200"/>
      <c r="DM49" s="2200"/>
      <c r="DN49" s="2200"/>
      <c r="DO49" s="2200"/>
      <c r="DP49" s="2200"/>
      <c r="DQ49" s="2200"/>
      <c r="DR49" s="2200"/>
      <c r="DS49" s="2200"/>
      <c r="DT49" s="2200"/>
      <c r="DU49" s="2200"/>
      <c r="DV49" s="2200"/>
      <c r="DW49" s="2200"/>
      <c r="DX49" s="2200"/>
      <c r="DY49" s="2200"/>
      <c r="DZ49" s="2200"/>
      <c r="EA49" s="2200"/>
      <c r="EB49" s="2200"/>
      <c r="EC49" s="2201"/>
      <c r="ED49" s="188"/>
    </row>
    <row r="50" spans="2:134" ht="6.75" customHeight="1" thickBot="1">
      <c r="B50" s="908"/>
      <c r="C50" s="1845"/>
      <c r="D50" s="1845"/>
      <c r="E50" s="1845"/>
      <c r="F50" s="1845"/>
      <c r="G50" s="1845"/>
      <c r="H50" s="1845"/>
      <c r="I50" s="1845"/>
      <c r="J50" s="1845"/>
      <c r="K50" s="1845"/>
      <c r="L50" s="2051"/>
      <c r="M50" s="2157"/>
      <c r="N50" s="2157"/>
      <c r="O50" s="2157"/>
      <c r="P50" s="2157"/>
      <c r="Q50" s="956"/>
      <c r="R50" s="2221"/>
      <c r="S50" s="2222"/>
      <c r="T50" s="2222"/>
      <c r="U50" s="2222"/>
      <c r="V50" s="2223"/>
      <c r="W50" s="2050"/>
      <c r="X50" s="2048"/>
      <c r="Y50" s="2048"/>
      <c r="Z50" s="2049"/>
      <c r="AA50" s="2038"/>
      <c r="AB50" s="2039"/>
      <c r="AC50" s="2039"/>
      <c r="AD50" s="2039"/>
      <c r="AE50" s="2039"/>
      <c r="AF50" s="2039"/>
      <c r="AG50" s="2039"/>
      <c r="AH50" s="2040"/>
      <c r="AI50" s="947"/>
      <c r="AJ50" s="2096"/>
      <c r="AK50" s="2097"/>
      <c r="AL50" s="2097"/>
      <c r="AM50" s="2097"/>
      <c r="AN50" s="2097"/>
      <c r="AO50" s="2097"/>
      <c r="AP50" s="2097"/>
      <c r="AQ50" s="2097"/>
      <c r="AR50" s="2097"/>
      <c r="AS50" s="2097"/>
      <c r="AT50" s="2097"/>
      <c r="AU50" s="2097"/>
      <c r="AV50" s="2097"/>
      <c r="AW50" s="2097"/>
      <c r="AX50" s="2097"/>
      <c r="AY50" s="2097"/>
      <c r="AZ50" s="2097"/>
      <c r="BA50" s="2097"/>
      <c r="BB50" s="2097"/>
      <c r="BC50" s="2097"/>
      <c r="BD50" s="2097"/>
      <c r="BE50" s="2097"/>
      <c r="BF50" s="2097"/>
      <c r="BG50" s="1808"/>
      <c r="BH50" s="1809"/>
      <c r="BI50" s="1809"/>
      <c r="BJ50" s="1809"/>
      <c r="BK50" s="1809"/>
      <c r="BL50" s="1809"/>
      <c r="BM50" s="1810"/>
      <c r="BN50" s="947"/>
      <c r="BO50" s="959"/>
      <c r="BP50" s="960"/>
      <c r="BQ50" s="960"/>
      <c r="BR50" s="960"/>
      <c r="BS50" s="960"/>
      <c r="BT50" s="960"/>
      <c r="BU50" s="960"/>
      <c r="BV50" s="960"/>
      <c r="BW50" s="960"/>
      <c r="BX50" s="960"/>
      <c r="BY50" s="960"/>
      <c r="BZ50" s="960"/>
      <c r="CA50" s="960"/>
      <c r="CB50" s="960"/>
      <c r="CC50" s="960"/>
      <c r="CD50" s="960"/>
      <c r="CE50" s="1898"/>
      <c r="CF50" s="1899"/>
      <c r="CG50" s="1899"/>
      <c r="CH50" s="1899"/>
      <c r="CI50" s="1899"/>
      <c r="CJ50" s="1899"/>
      <c r="CK50" s="1899"/>
      <c r="CL50" s="1899"/>
      <c r="CM50" s="1899"/>
      <c r="CN50" s="1899"/>
      <c r="CO50" s="1899"/>
      <c r="CP50" s="1899"/>
      <c r="CQ50" s="1899"/>
      <c r="CR50" s="1899"/>
      <c r="CS50" s="1899"/>
      <c r="CT50" s="1899"/>
      <c r="CU50" s="1900"/>
      <c r="CV50" s="961"/>
      <c r="CW50" s="2202"/>
      <c r="CX50" s="2203"/>
      <c r="CY50" s="2203"/>
      <c r="CZ50" s="2203"/>
      <c r="DA50" s="2203"/>
      <c r="DB50" s="2203"/>
      <c r="DC50" s="2203"/>
      <c r="DD50" s="2203"/>
      <c r="DE50" s="2203"/>
      <c r="DF50" s="2203"/>
      <c r="DG50" s="2203"/>
      <c r="DH50" s="2203"/>
      <c r="DI50" s="2203"/>
      <c r="DJ50" s="2203"/>
      <c r="DK50" s="2203"/>
      <c r="DL50" s="2203"/>
      <c r="DM50" s="2203"/>
      <c r="DN50" s="2203"/>
      <c r="DO50" s="2203"/>
      <c r="DP50" s="2203"/>
      <c r="DQ50" s="2203"/>
      <c r="DR50" s="2203"/>
      <c r="DS50" s="2203"/>
      <c r="DT50" s="2203"/>
      <c r="DU50" s="2203"/>
      <c r="DV50" s="2203"/>
      <c r="DW50" s="2203"/>
      <c r="DX50" s="2203"/>
      <c r="DY50" s="2203"/>
      <c r="DZ50" s="2203"/>
      <c r="EA50" s="2203"/>
      <c r="EB50" s="2203"/>
      <c r="EC50" s="2204"/>
      <c r="ED50" s="188"/>
    </row>
    <row r="51" spans="2:134" ht="6.75" customHeight="1" thickTop="1">
      <c r="B51" s="908"/>
      <c r="C51" s="962"/>
      <c r="D51" s="962"/>
      <c r="E51" s="962"/>
      <c r="F51" s="962"/>
      <c r="G51" s="962"/>
      <c r="H51" s="962"/>
      <c r="I51" s="962"/>
      <c r="J51" s="962"/>
      <c r="K51" s="1417"/>
      <c r="L51" s="1417"/>
      <c r="M51" s="2157"/>
      <c r="N51" s="2157"/>
      <c r="O51" s="2157"/>
      <c r="P51" s="2157"/>
      <c r="Q51" s="956"/>
      <c r="R51" s="2076">
        <f>SUM(R39:V50)</f>
        <v>0</v>
      </c>
      <c r="S51" s="2077"/>
      <c r="T51" s="2077"/>
      <c r="U51" s="2077"/>
      <c r="V51" s="2078"/>
      <c r="W51" s="2077" t="s">
        <v>39</v>
      </c>
      <c r="X51" s="2077"/>
      <c r="Y51" s="2077"/>
      <c r="Z51" s="2078"/>
      <c r="AA51" s="1876">
        <f>IF(Fixed_Cost_Calculation_Method="% OF ARV",0,SUM(AA39:AH50))</f>
        <v>0</v>
      </c>
      <c r="AB51" s="1877"/>
      <c r="AC51" s="1877"/>
      <c r="AD51" s="1877"/>
      <c r="AE51" s="1877"/>
      <c r="AF51" s="1877"/>
      <c r="AG51" s="1877"/>
      <c r="AH51" s="1878"/>
      <c r="AI51" s="947"/>
      <c r="AJ51" s="2074" t="str">
        <f>T('2 REPAIR ESTIMATOR'!AJ80:AP80)</f>
        <v>HVAC</v>
      </c>
      <c r="AK51" s="2075"/>
      <c r="AL51" s="2075"/>
      <c r="AM51" s="2075"/>
      <c r="AN51" s="2075"/>
      <c r="AO51" s="2075"/>
      <c r="AP51" s="2075"/>
      <c r="AQ51" s="2075"/>
      <c r="AR51" s="2075"/>
      <c r="AS51" s="2075"/>
      <c r="AT51" s="2075"/>
      <c r="AU51" s="2075"/>
      <c r="AV51" s="2075"/>
      <c r="AW51" s="2075"/>
      <c r="AX51" s="2075"/>
      <c r="AY51" s="2075"/>
      <c r="AZ51" s="2075"/>
      <c r="BA51" s="2075"/>
      <c r="BB51" s="2075"/>
      <c r="BC51" s="2075"/>
      <c r="BD51" s="2075"/>
      <c r="BE51" s="2075"/>
      <c r="BF51" s="2075"/>
      <c r="BG51" s="1814">
        <f>Estimate_Scope_22_Result</f>
        <v>0</v>
      </c>
      <c r="BH51" s="1815"/>
      <c r="BI51" s="1815"/>
      <c r="BJ51" s="1815"/>
      <c r="BK51" s="1815"/>
      <c r="BL51" s="1815"/>
      <c r="BM51" s="1816"/>
      <c r="BN51" s="947"/>
      <c r="BO51" s="959"/>
      <c r="BP51" s="960"/>
      <c r="BQ51" s="960"/>
      <c r="BR51" s="960"/>
      <c r="BS51" s="960"/>
      <c r="BT51" s="960"/>
      <c r="BU51" s="960"/>
      <c r="BV51" s="960"/>
      <c r="BW51" s="960"/>
      <c r="BX51" s="960"/>
      <c r="BY51" s="960"/>
      <c r="BZ51" s="960"/>
      <c r="CA51" s="960"/>
      <c r="CB51" s="960"/>
      <c r="CC51" s="960"/>
      <c r="CD51" s="960"/>
      <c r="CE51" s="1898"/>
      <c r="CF51" s="1899"/>
      <c r="CG51" s="1899"/>
      <c r="CH51" s="1899"/>
      <c r="CI51" s="1899"/>
      <c r="CJ51" s="1899"/>
      <c r="CK51" s="1899"/>
      <c r="CL51" s="1899"/>
      <c r="CM51" s="1899"/>
      <c r="CN51" s="1899"/>
      <c r="CO51" s="1899"/>
      <c r="CP51" s="1899"/>
      <c r="CQ51" s="1899"/>
      <c r="CR51" s="1899"/>
      <c r="CS51" s="1899"/>
      <c r="CT51" s="1899"/>
      <c r="CU51" s="1900"/>
      <c r="CV51" s="953"/>
      <c r="CW51" s="2205" t="str">
        <f>IF(CW53="","","% of ARV")</f>
        <v/>
      </c>
      <c r="CX51" s="2206"/>
      <c r="CY51" s="2206"/>
      <c r="CZ51" s="2206"/>
      <c r="DA51" s="2206"/>
      <c r="DB51" s="2206"/>
      <c r="DC51" s="2209">
        <f>AFTER_REPAIR_VALUE_ESTIMATED-TOTAL_FIXED_COSTS_ESTIMATED-TOTAL_REPAIRS_ESTIMATE-Known_Purchase_Price_Cell</f>
        <v>0</v>
      </c>
      <c r="DD51" s="2209"/>
      <c r="DE51" s="2209"/>
      <c r="DF51" s="2209"/>
      <c r="DG51" s="2209"/>
      <c r="DH51" s="2209"/>
      <c r="DI51" s="2209"/>
      <c r="DJ51" s="2209"/>
      <c r="DK51" s="2209"/>
      <c r="DL51" s="2209"/>
      <c r="DM51" s="2209"/>
      <c r="DN51" s="2209"/>
      <c r="DO51" s="2209"/>
      <c r="DP51" s="2209"/>
      <c r="DQ51" s="2209"/>
      <c r="DR51" s="2209"/>
      <c r="DS51" s="2209"/>
      <c r="DT51" s="2209"/>
      <c r="DU51" s="2209"/>
      <c r="DV51" s="2209"/>
      <c r="DW51" s="2209"/>
      <c r="DX51" s="2206" t="str">
        <f>IF(DX53="","","$/ SF")</f>
        <v/>
      </c>
      <c r="DY51" s="2206"/>
      <c r="DZ51" s="2206"/>
      <c r="EA51" s="2206"/>
      <c r="EB51" s="2206"/>
      <c r="EC51" s="2206"/>
      <c r="ED51" s="188"/>
    </row>
    <row r="52" spans="2:134" ht="6.75" customHeight="1">
      <c r="B52" s="908"/>
      <c r="C52" s="962"/>
      <c r="D52" s="962"/>
      <c r="E52" s="962"/>
      <c r="F52" s="962"/>
      <c r="G52" s="962"/>
      <c r="H52" s="962"/>
      <c r="I52" s="962"/>
      <c r="J52" s="962"/>
      <c r="K52" s="962"/>
      <c r="L52" s="962"/>
      <c r="M52" s="2158"/>
      <c r="N52" s="2158"/>
      <c r="O52" s="2158"/>
      <c r="P52" s="2158"/>
      <c r="Q52" s="153"/>
      <c r="R52" s="2079"/>
      <c r="S52" s="2080"/>
      <c r="T52" s="2080"/>
      <c r="U52" s="2080"/>
      <c r="V52" s="2081"/>
      <c r="W52" s="2077"/>
      <c r="X52" s="2077"/>
      <c r="Y52" s="2077"/>
      <c r="Z52" s="2078"/>
      <c r="AA52" s="2193"/>
      <c r="AB52" s="2194"/>
      <c r="AC52" s="2194"/>
      <c r="AD52" s="2194"/>
      <c r="AE52" s="2194"/>
      <c r="AF52" s="2194"/>
      <c r="AG52" s="2194"/>
      <c r="AH52" s="2195"/>
      <c r="AI52" s="947"/>
      <c r="AJ52" s="2074"/>
      <c r="AK52" s="2075"/>
      <c r="AL52" s="2075"/>
      <c r="AM52" s="2075"/>
      <c r="AN52" s="2075"/>
      <c r="AO52" s="2075"/>
      <c r="AP52" s="2075"/>
      <c r="AQ52" s="2075"/>
      <c r="AR52" s="2075"/>
      <c r="AS52" s="2075"/>
      <c r="AT52" s="2075"/>
      <c r="AU52" s="2075"/>
      <c r="AV52" s="2075"/>
      <c r="AW52" s="2075"/>
      <c r="AX52" s="2075"/>
      <c r="AY52" s="2075"/>
      <c r="AZ52" s="2075"/>
      <c r="BA52" s="2075"/>
      <c r="BB52" s="2075"/>
      <c r="BC52" s="2075"/>
      <c r="BD52" s="2075"/>
      <c r="BE52" s="2075"/>
      <c r="BF52" s="2075"/>
      <c r="BG52" s="1814"/>
      <c r="BH52" s="1815"/>
      <c r="BI52" s="1815"/>
      <c r="BJ52" s="1815"/>
      <c r="BK52" s="1815"/>
      <c r="BL52" s="1815"/>
      <c r="BM52" s="1816"/>
      <c r="BN52" s="947"/>
      <c r="BO52" s="959"/>
      <c r="BP52" s="960"/>
      <c r="BQ52" s="960"/>
      <c r="BR52" s="960"/>
      <c r="BS52" s="960"/>
      <c r="BT52" s="960"/>
      <c r="BU52" s="960"/>
      <c r="BV52" s="960"/>
      <c r="BW52" s="960"/>
      <c r="BX52" s="960"/>
      <c r="BY52" s="960"/>
      <c r="BZ52" s="960"/>
      <c r="CA52" s="960"/>
      <c r="CB52" s="960"/>
      <c r="CC52" s="960"/>
      <c r="CD52" s="960"/>
      <c r="CE52" s="1898"/>
      <c r="CF52" s="1899"/>
      <c r="CG52" s="1899"/>
      <c r="CH52" s="1899"/>
      <c r="CI52" s="1899"/>
      <c r="CJ52" s="1899"/>
      <c r="CK52" s="1899"/>
      <c r="CL52" s="1899"/>
      <c r="CM52" s="1899"/>
      <c r="CN52" s="1899"/>
      <c r="CO52" s="1899"/>
      <c r="CP52" s="1899"/>
      <c r="CQ52" s="1899"/>
      <c r="CR52" s="1899"/>
      <c r="CS52" s="1899"/>
      <c r="CT52" s="1899"/>
      <c r="CU52" s="1900"/>
      <c r="CV52" s="953"/>
      <c r="CW52" s="2207"/>
      <c r="CX52" s="2208"/>
      <c r="CY52" s="2208"/>
      <c r="CZ52" s="2208"/>
      <c r="DA52" s="2208"/>
      <c r="DB52" s="2208"/>
      <c r="DC52" s="2210"/>
      <c r="DD52" s="2210"/>
      <c r="DE52" s="2210"/>
      <c r="DF52" s="2210"/>
      <c r="DG52" s="2210"/>
      <c r="DH52" s="2210"/>
      <c r="DI52" s="2210"/>
      <c r="DJ52" s="2210"/>
      <c r="DK52" s="2210"/>
      <c r="DL52" s="2210"/>
      <c r="DM52" s="2210"/>
      <c r="DN52" s="2210"/>
      <c r="DO52" s="2210"/>
      <c r="DP52" s="2210"/>
      <c r="DQ52" s="2210"/>
      <c r="DR52" s="2210"/>
      <c r="DS52" s="2210"/>
      <c r="DT52" s="2210"/>
      <c r="DU52" s="2210"/>
      <c r="DV52" s="2210"/>
      <c r="DW52" s="2210"/>
      <c r="DX52" s="2208"/>
      <c r="DY52" s="2208"/>
      <c r="DZ52" s="2208"/>
      <c r="EA52" s="2208"/>
      <c r="EB52" s="2208"/>
      <c r="EC52" s="2208"/>
      <c r="ED52" s="188"/>
    </row>
    <row r="53" spans="2:134" ht="6.75" customHeight="1">
      <c r="B53" s="908"/>
      <c r="C53" s="951"/>
      <c r="D53" s="951"/>
      <c r="E53" s="951"/>
      <c r="F53" s="951"/>
      <c r="G53" s="951"/>
      <c r="H53" s="951"/>
      <c r="I53" s="951"/>
      <c r="J53" s="951"/>
      <c r="K53" s="951"/>
      <c r="L53" s="951"/>
      <c r="M53" s="951"/>
      <c r="N53" s="951"/>
      <c r="O53" s="951"/>
      <c r="P53" s="951"/>
      <c r="Q53" s="951"/>
      <c r="R53" s="951"/>
      <c r="S53" s="951"/>
      <c r="T53" s="951"/>
      <c r="U53" s="951"/>
      <c r="V53" s="951"/>
      <c r="W53" s="951"/>
      <c r="X53" s="951"/>
      <c r="Y53" s="951"/>
      <c r="Z53" s="951"/>
      <c r="AA53" s="951"/>
      <c r="AB53" s="951"/>
      <c r="AC53" s="951"/>
      <c r="AD53" s="951"/>
      <c r="AE53" s="951"/>
      <c r="AF53" s="951"/>
      <c r="AG53" s="951"/>
      <c r="AH53" s="952"/>
      <c r="AI53" s="947"/>
      <c r="AJ53" s="2096" t="str">
        <f>T('2 REPAIR ESTIMATOR'!AJ81:AP81)</f>
        <v>ELECTRICAL</v>
      </c>
      <c r="AK53" s="2097"/>
      <c r="AL53" s="2097"/>
      <c r="AM53" s="2097"/>
      <c r="AN53" s="2097"/>
      <c r="AO53" s="2097"/>
      <c r="AP53" s="2097"/>
      <c r="AQ53" s="2097"/>
      <c r="AR53" s="2097"/>
      <c r="AS53" s="2097"/>
      <c r="AT53" s="2097"/>
      <c r="AU53" s="2097"/>
      <c r="AV53" s="2097"/>
      <c r="AW53" s="2097"/>
      <c r="AX53" s="2097"/>
      <c r="AY53" s="2097"/>
      <c r="AZ53" s="2097"/>
      <c r="BA53" s="2097"/>
      <c r="BB53" s="2097"/>
      <c r="BC53" s="2097"/>
      <c r="BD53" s="2097"/>
      <c r="BE53" s="2097"/>
      <c r="BF53" s="2097"/>
      <c r="BG53" s="1808">
        <f>Estimate_Scope_23_Result</f>
        <v>0</v>
      </c>
      <c r="BH53" s="1809"/>
      <c r="BI53" s="1809"/>
      <c r="BJ53" s="1809"/>
      <c r="BK53" s="1809"/>
      <c r="BL53" s="1809"/>
      <c r="BM53" s="1810"/>
      <c r="BN53" s="947"/>
      <c r="BO53" s="959"/>
      <c r="BP53" s="960"/>
      <c r="BQ53" s="960"/>
      <c r="BR53" s="960"/>
      <c r="BS53" s="960"/>
      <c r="BT53" s="960"/>
      <c r="BU53" s="960"/>
      <c r="BV53" s="960"/>
      <c r="BW53" s="960"/>
      <c r="BX53" s="960"/>
      <c r="BY53" s="960"/>
      <c r="BZ53" s="960"/>
      <c r="CA53" s="960"/>
      <c r="CB53" s="960"/>
      <c r="CC53" s="960"/>
      <c r="CD53" s="960"/>
      <c r="CE53" s="1898"/>
      <c r="CF53" s="1899"/>
      <c r="CG53" s="1899"/>
      <c r="CH53" s="1899"/>
      <c r="CI53" s="1899"/>
      <c r="CJ53" s="1899"/>
      <c r="CK53" s="1899"/>
      <c r="CL53" s="1899"/>
      <c r="CM53" s="1899"/>
      <c r="CN53" s="1899"/>
      <c r="CO53" s="1899"/>
      <c r="CP53" s="1899"/>
      <c r="CQ53" s="1899"/>
      <c r="CR53" s="1899"/>
      <c r="CS53" s="1899"/>
      <c r="CT53" s="1899"/>
      <c r="CU53" s="1900"/>
      <c r="CV53" s="953"/>
      <c r="CW53" s="2212" t="str">
        <f>IFERROR(DC51/AFTER_REPAIR_VALUE_CELL,"")</f>
        <v/>
      </c>
      <c r="CX53" s="2213"/>
      <c r="CY53" s="2213"/>
      <c r="CZ53" s="2213"/>
      <c r="DA53" s="2213"/>
      <c r="DB53" s="2213"/>
      <c r="DC53" s="2210"/>
      <c r="DD53" s="2210"/>
      <c r="DE53" s="2210"/>
      <c r="DF53" s="2210"/>
      <c r="DG53" s="2210"/>
      <c r="DH53" s="2210"/>
      <c r="DI53" s="2210"/>
      <c r="DJ53" s="2210"/>
      <c r="DK53" s="2210"/>
      <c r="DL53" s="2210"/>
      <c r="DM53" s="2210"/>
      <c r="DN53" s="2210"/>
      <c r="DO53" s="2210"/>
      <c r="DP53" s="2210"/>
      <c r="DQ53" s="2210"/>
      <c r="DR53" s="2210"/>
      <c r="DS53" s="2210"/>
      <c r="DT53" s="2210"/>
      <c r="DU53" s="2210"/>
      <c r="DV53" s="2210"/>
      <c r="DW53" s="2210"/>
      <c r="DX53" s="2216" t="str">
        <f>IFERROR(DC51/Square_Feet,"")</f>
        <v/>
      </c>
      <c r="DY53" s="2216"/>
      <c r="DZ53" s="2216"/>
      <c r="EA53" s="2216"/>
      <c r="EB53" s="2216"/>
      <c r="EC53" s="2216"/>
      <c r="ED53" s="188"/>
    </row>
    <row r="54" spans="2:134" ht="6.75" customHeight="1">
      <c r="B54" s="908"/>
      <c r="C54" s="963"/>
      <c r="D54" s="951"/>
      <c r="E54" s="951"/>
      <c r="F54" s="951"/>
      <c r="G54" s="951"/>
      <c r="H54" s="951"/>
      <c r="I54" s="951"/>
      <c r="J54" s="951"/>
      <c r="K54" s="951"/>
      <c r="L54" s="951"/>
      <c r="M54" s="951"/>
      <c r="N54" s="951"/>
      <c r="O54" s="951"/>
      <c r="P54" s="951"/>
      <c r="Q54" s="951"/>
      <c r="R54" s="951"/>
      <c r="S54" s="951"/>
      <c r="T54" s="951"/>
      <c r="U54" s="951"/>
      <c r="V54" s="951"/>
      <c r="W54" s="951"/>
      <c r="X54" s="951"/>
      <c r="Y54" s="951"/>
      <c r="Z54" s="951"/>
      <c r="AA54" s="951"/>
      <c r="AB54" s="951"/>
      <c r="AC54" s="951"/>
      <c r="AD54" s="951"/>
      <c r="AE54" s="951"/>
      <c r="AF54" s="951"/>
      <c r="AG54" s="951"/>
      <c r="AH54" s="952"/>
      <c r="AI54" s="947"/>
      <c r="AJ54" s="2096"/>
      <c r="AK54" s="2097"/>
      <c r="AL54" s="2097"/>
      <c r="AM54" s="2097"/>
      <c r="AN54" s="2097"/>
      <c r="AO54" s="2097"/>
      <c r="AP54" s="2097"/>
      <c r="AQ54" s="2097"/>
      <c r="AR54" s="2097"/>
      <c r="AS54" s="2097"/>
      <c r="AT54" s="2097"/>
      <c r="AU54" s="2097"/>
      <c r="AV54" s="2097"/>
      <c r="AW54" s="2097"/>
      <c r="AX54" s="2097"/>
      <c r="AY54" s="2097"/>
      <c r="AZ54" s="2097"/>
      <c r="BA54" s="2097"/>
      <c r="BB54" s="2097"/>
      <c r="BC54" s="2097"/>
      <c r="BD54" s="2097"/>
      <c r="BE54" s="2097"/>
      <c r="BF54" s="2097"/>
      <c r="BG54" s="1808"/>
      <c r="BH54" s="1809"/>
      <c r="BI54" s="1809"/>
      <c r="BJ54" s="1809"/>
      <c r="BK54" s="1809"/>
      <c r="BL54" s="1809"/>
      <c r="BM54" s="1810"/>
      <c r="BN54" s="947"/>
      <c r="BO54" s="959"/>
      <c r="BP54" s="960"/>
      <c r="BQ54" s="960"/>
      <c r="BR54" s="960"/>
      <c r="BS54" s="960"/>
      <c r="BT54" s="960"/>
      <c r="BU54" s="960"/>
      <c r="BV54" s="960"/>
      <c r="BW54" s="960"/>
      <c r="BX54" s="960"/>
      <c r="BY54" s="960"/>
      <c r="BZ54" s="960"/>
      <c r="CA54" s="960"/>
      <c r="CB54" s="960"/>
      <c r="CC54" s="960"/>
      <c r="CD54" s="960"/>
      <c r="CE54" s="1898"/>
      <c r="CF54" s="1899"/>
      <c r="CG54" s="1899"/>
      <c r="CH54" s="1899"/>
      <c r="CI54" s="1899"/>
      <c r="CJ54" s="1899"/>
      <c r="CK54" s="1899"/>
      <c r="CL54" s="1899"/>
      <c r="CM54" s="1899"/>
      <c r="CN54" s="1899"/>
      <c r="CO54" s="1899"/>
      <c r="CP54" s="1899"/>
      <c r="CQ54" s="1899"/>
      <c r="CR54" s="1899"/>
      <c r="CS54" s="1899"/>
      <c r="CT54" s="1899"/>
      <c r="CU54" s="1900"/>
      <c r="CV54" s="953"/>
      <c r="CW54" s="2212"/>
      <c r="CX54" s="2213"/>
      <c r="CY54" s="2213"/>
      <c r="CZ54" s="2213"/>
      <c r="DA54" s="2213"/>
      <c r="DB54" s="2213"/>
      <c r="DC54" s="2210"/>
      <c r="DD54" s="2210"/>
      <c r="DE54" s="2210"/>
      <c r="DF54" s="2210"/>
      <c r="DG54" s="2210"/>
      <c r="DH54" s="2210"/>
      <c r="DI54" s="2210"/>
      <c r="DJ54" s="2210"/>
      <c r="DK54" s="2210"/>
      <c r="DL54" s="2210"/>
      <c r="DM54" s="2210"/>
      <c r="DN54" s="2210"/>
      <c r="DO54" s="2210"/>
      <c r="DP54" s="2210"/>
      <c r="DQ54" s="2210"/>
      <c r="DR54" s="2210"/>
      <c r="DS54" s="2210"/>
      <c r="DT54" s="2210"/>
      <c r="DU54" s="2210"/>
      <c r="DV54" s="2210"/>
      <c r="DW54" s="2210"/>
      <c r="DX54" s="2216"/>
      <c r="DY54" s="2216"/>
      <c r="DZ54" s="2216"/>
      <c r="EA54" s="2216"/>
      <c r="EB54" s="2216"/>
      <c r="EC54" s="2216"/>
      <c r="ED54" s="188"/>
    </row>
    <row r="55" spans="2:134" ht="6.75" customHeight="1">
      <c r="B55" s="908"/>
      <c r="C55" s="2036" t="s">
        <v>349</v>
      </c>
      <c r="D55" s="2036"/>
      <c r="E55" s="2036"/>
      <c r="F55" s="2036"/>
      <c r="G55" s="2036"/>
      <c r="H55" s="2036"/>
      <c r="I55" s="2036"/>
      <c r="J55" s="2036"/>
      <c r="K55" s="2036"/>
      <c r="L55" s="2036"/>
      <c r="M55" s="964"/>
      <c r="N55" s="964"/>
      <c r="O55" s="964"/>
      <c r="P55" s="964"/>
      <c r="Q55" s="964"/>
      <c r="R55" s="964"/>
      <c r="S55" s="964"/>
      <c r="T55" s="964"/>
      <c r="U55" s="964"/>
      <c r="V55" s="964"/>
      <c r="W55" s="964"/>
      <c r="X55" s="964"/>
      <c r="Y55" s="964"/>
      <c r="Z55" s="964"/>
      <c r="AA55" s="964"/>
      <c r="AB55" s="964"/>
      <c r="AC55" s="964"/>
      <c r="AD55" s="964"/>
      <c r="AE55" s="964"/>
      <c r="AF55" s="964"/>
      <c r="AG55" s="964"/>
      <c r="AH55" s="965"/>
      <c r="AI55" s="947"/>
      <c r="AJ55" s="2074" t="str">
        <f>T('2 REPAIR ESTIMATOR'!AJ82:AP82)</f>
        <v>MISCELLANEOUS</v>
      </c>
      <c r="AK55" s="2075"/>
      <c r="AL55" s="2075"/>
      <c r="AM55" s="2075"/>
      <c r="AN55" s="2075"/>
      <c r="AO55" s="2075"/>
      <c r="AP55" s="2075"/>
      <c r="AQ55" s="2075"/>
      <c r="AR55" s="2075"/>
      <c r="AS55" s="2075"/>
      <c r="AT55" s="2075"/>
      <c r="AU55" s="2075"/>
      <c r="AV55" s="2075"/>
      <c r="AW55" s="2075"/>
      <c r="AX55" s="2075"/>
      <c r="AY55" s="2075"/>
      <c r="AZ55" s="2075"/>
      <c r="BA55" s="2075"/>
      <c r="BB55" s="2075"/>
      <c r="BC55" s="2075"/>
      <c r="BD55" s="2075"/>
      <c r="BE55" s="2075"/>
      <c r="BF55" s="2075"/>
      <c r="BG55" s="1814">
        <f>Estimate_Scope_24_Result</f>
        <v>0</v>
      </c>
      <c r="BH55" s="1815"/>
      <c r="BI55" s="1815"/>
      <c r="BJ55" s="1815"/>
      <c r="BK55" s="1815"/>
      <c r="BL55" s="1815"/>
      <c r="BM55" s="1816"/>
      <c r="BN55" s="947"/>
      <c r="BO55" s="959"/>
      <c r="BP55" s="960"/>
      <c r="BQ55" s="960"/>
      <c r="BR55" s="960"/>
      <c r="BS55" s="960"/>
      <c r="BT55" s="960"/>
      <c r="BU55" s="960"/>
      <c r="BV55" s="960"/>
      <c r="BW55" s="960"/>
      <c r="BX55" s="960"/>
      <c r="BY55" s="960"/>
      <c r="BZ55" s="960"/>
      <c r="CA55" s="960"/>
      <c r="CB55" s="960"/>
      <c r="CC55" s="960"/>
      <c r="CD55" s="960"/>
      <c r="CE55" s="1898"/>
      <c r="CF55" s="1899"/>
      <c r="CG55" s="1899"/>
      <c r="CH55" s="1899"/>
      <c r="CI55" s="1899"/>
      <c r="CJ55" s="1899"/>
      <c r="CK55" s="1899"/>
      <c r="CL55" s="1899"/>
      <c r="CM55" s="1899"/>
      <c r="CN55" s="1899"/>
      <c r="CO55" s="1899"/>
      <c r="CP55" s="1899"/>
      <c r="CQ55" s="1899"/>
      <c r="CR55" s="1899"/>
      <c r="CS55" s="1899"/>
      <c r="CT55" s="1899"/>
      <c r="CU55" s="1900"/>
      <c r="CV55" s="953"/>
      <c r="CW55" s="2212"/>
      <c r="CX55" s="2213"/>
      <c r="CY55" s="2213"/>
      <c r="CZ55" s="2213"/>
      <c r="DA55" s="2213"/>
      <c r="DB55" s="2213"/>
      <c r="DC55" s="2210"/>
      <c r="DD55" s="2210"/>
      <c r="DE55" s="2210"/>
      <c r="DF55" s="2210"/>
      <c r="DG55" s="2210"/>
      <c r="DH55" s="2210"/>
      <c r="DI55" s="2210"/>
      <c r="DJ55" s="2210"/>
      <c r="DK55" s="2210"/>
      <c r="DL55" s="2210"/>
      <c r="DM55" s="2210"/>
      <c r="DN55" s="2210"/>
      <c r="DO55" s="2210"/>
      <c r="DP55" s="2210"/>
      <c r="DQ55" s="2210"/>
      <c r="DR55" s="2210"/>
      <c r="DS55" s="2210"/>
      <c r="DT55" s="2210"/>
      <c r="DU55" s="2210"/>
      <c r="DV55" s="2210"/>
      <c r="DW55" s="2210"/>
      <c r="DX55" s="2216"/>
      <c r="DY55" s="2216"/>
      <c r="DZ55" s="2216"/>
      <c r="EA55" s="2216"/>
      <c r="EB55" s="2216"/>
      <c r="EC55" s="2216"/>
      <c r="ED55" s="188"/>
    </row>
    <row r="56" spans="2:134" ht="6.75" customHeight="1" thickBot="1">
      <c r="B56" s="908"/>
      <c r="C56" s="2036"/>
      <c r="D56" s="2036"/>
      <c r="E56" s="2036"/>
      <c r="F56" s="2036"/>
      <c r="G56" s="2036"/>
      <c r="H56" s="2036"/>
      <c r="I56" s="2036"/>
      <c r="J56" s="2036"/>
      <c r="K56" s="2036"/>
      <c r="L56" s="2036"/>
      <c r="M56" s="964"/>
      <c r="N56" s="964"/>
      <c r="O56" s="964"/>
      <c r="P56" s="964"/>
      <c r="Q56" s="964"/>
      <c r="R56" s="964"/>
      <c r="S56" s="964"/>
      <c r="T56" s="964"/>
      <c r="U56" s="964"/>
      <c r="V56" s="964"/>
      <c r="W56" s="964"/>
      <c r="X56" s="964"/>
      <c r="Y56" s="964"/>
      <c r="Z56" s="964"/>
      <c r="AA56" s="964"/>
      <c r="AB56" s="964"/>
      <c r="AC56" s="964"/>
      <c r="AD56" s="964"/>
      <c r="AE56" s="964"/>
      <c r="AF56" s="964"/>
      <c r="AG56" s="964"/>
      <c r="AH56" s="965"/>
      <c r="AI56" s="947"/>
      <c r="AJ56" s="2084"/>
      <c r="AK56" s="2085"/>
      <c r="AL56" s="2085"/>
      <c r="AM56" s="2085"/>
      <c r="AN56" s="2085"/>
      <c r="AO56" s="2085"/>
      <c r="AP56" s="2085"/>
      <c r="AQ56" s="2085"/>
      <c r="AR56" s="2085"/>
      <c r="AS56" s="2085"/>
      <c r="AT56" s="2085"/>
      <c r="AU56" s="2085"/>
      <c r="AV56" s="2085"/>
      <c r="AW56" s="2085"/>
      <c r="AX56" s="2085"/>
      <c r="AY56" s="2085"/>
      <c r="AZ56" s="2085"/>
      <c r="BA56" s="2085"/>
      <c r="BB56" s="2085"/>
      <c r="BC56" s="2085"/>
      <c r="BD56" s="2085"/>
      <c r="BE56" s="2085"/>
      <c r="BF56" s="2085"/>
      <c r="BG56" s="2069"/>
      <c r="BH56" s="2070"/>
      <c r="BI56" s="2070"/>
      <c r="BJ56" s="2070"/>
      <c r="BK56" s="2070"/>
      <c r="BL56" s="2070"/>
      <c r="BM56" s="2071"/>
      <c r="BN56" s="947"/>
      <c r="BO56" s="959"/>
      <c r="BP56" s="960"/>
      <c r="BQ56" s="960"/>
      <c r="BR56" s="960"/>
      <c r="BS56" s="960"/>
      <c r="BT56" s="960"/>
      <c r="BU56" s="960"/>
      <c r="BV56" s="960"/>
      <c r="BW56" s="960"/>
      <c r="BX56" s="960"/>
      <c r="BY56" s="960"/>
      <c r="BZ56" s="960"/>
      <c r="CA56" s="960"/>
      <c r="CB56" s="960"/>
      <c r="CC56" s="960"/>
      <c r="CD56" s="960"/>
      <c r="CE56" s="1898"/>
      <c r="CF56" s="1899"/>
      <c r="CG56" s="1899"/>
      <c r="CH56" s="1899"/>
      <c r="CI56" s="1899"/>
      <c r="CJ56" s="1899"/>
      <c r="CK56" s="1899"/>
      <c r="CL56" s="1899"/>
      <c r="CM56" s="1899"/>
      <c r="CN56" s="1899"/>
      <c r="CO56" s="1899"/>
      <c r="CP56" s="1899"/>
      <c r="CQ56" s="1899"/>
      <c r="CR56" s="1899"/>
      <c r="CS56" s="1899"/>
      <c r="CT56" s="1899"/>
      <c r="CU56" s="1900"/>
      <c r="CV56" s="953"/>
      <c r="CW56" s="2212"/>
      <c r="CX56" s="2213"/>
      <c r="CY56" s="2213"/>
      <c r="CZ56" s="2213"/>
      <c r="DA56" s="2213"/>
      <c r="DB56" s="2213"/>
      <c r="DC56" s="2210"/>
      <c r="DD56" s="2210"/>
      <c r="DE56" s="2210"/>
      <c r="DF56" s="2210"/>
      <c r="DG56" s="2210"/>
      <c r="DH56" s="2210"/>
      <c r="DI56" s="2210"/>
      <c r="DJ56" s="2210"/>
      <c r="DK56" s="2210"/>
      <c r="DL56" s="2210"/>
      <c r="DM56" s="2210"/>
      <c r="DN56" s="2210"/>
      <c r="DO56" s="2210"/>
      <c r="DP56" s="2210"/>
      <c r="DQ56" s="2210"/>
      <c r="DR56" s="2210"/>
      <c r="DS56" s="2210"/>
      <c r="DT56" s="2210"/>
      <c r="DU56" s="2210"/>
      <c r="DV56" s="2210"/>
      <c r="DW56" s="2210"/>
      <c r="DX56" s="2216"/>
      <c r="DY56" s="2216"/>
      <c r="DZ56" s="2216"/>
      <c r="EA56" s="2216"/>
      <c r="EB56" s="2216"/>
      <c r="EC56" s="2216"/>
      <c r="ED56" s="188"/>
    </row>
    <row r="57" spans="2:134" ht="6.75" customHeight="1" thickTop="1" thickBot="1">
      <c r="C57" s="1844" t="s">
        <v>787</v>
      </c>
      <c r="D57" s="1845"/>
      <c r="E57" s="1845"/>
      <c r="F57" s="1845"/>
      <c r="G57" s="1845"/>
      <c r="H57" s="1845"/>
      <c r="I57" s="1845"/>
      <c r="J57" s="1845"/>
      <c r="K57" s="1845"/>
      <c r="L57" s="1845"/>
      <c r="M57" s="1845"/>
      <c r="N57" s="1845"/>
      <c r="O57" s="1845"/>
      <c r="P57" s="1845"/>
      <c r="Q57" s="153"/>
      <c r="R57" s="1862">
        <v>0.06</v>
      </c>
      <c r="S57" s="1863"/>
      <c r="T57" s="1863"/>
      <c r="U57" s="1863"/>
      <c r="V57" s="1864"/>
      <c r="W57" s="1868" t="s">
        <v>586</v>
      </c>
      <c r="X57" s="1868"/>
      <c r="Y57" s="1868"/>
      <c r="Z57" s="1869"/>
      <c r="AA57" s="1824">
        <f>R57*C9</f>
        <v>0</v>
      </c>
      <c r="AB57" s="2167"/>
      <c r="AC57" s="2167"/>
      <c r="AD57" s="2167"/>
      <c r="AE57" s="2167"/>
      <c r="AF57" s="2167"/>
      <c r="AG57" s="2167"/>
      <c r="AH57" s="2168"/>
      <c r="AI57" s="947"/>
      <c r="AJ57" s="2086" t="s">
        <v>1155</v>
      </c>
      <c r="AK57" s="2087"/>
      <c r="AL57" s="2087"/>
      <c r="AM57" s="2087"/>
      <c r="AN57" s="2087"/>
      <c r="AO57" s="2087"/>
      <c r="AP57" s="2087"/>
      <c r="AQ57" s="2087"/>
      <c r="AR57" s="2087"/>
      <c r="AS57" s="2087"/>
      <c r="AT57" s="2087"/>
      <c r="AU57" s="2087"/>
      <c r="AV57" s="2087"/>
      <c r="AW57" s="2087"/>
      <c r="AX57" s="966"/>
      <c r="AY57" s="2228" t="s">
        <v>467</v>
      </c>
      <c r="AZ57" s="2228"/>
      <c r="BA57" s="2228"/>
      <c r="BB57" s="2228"/>
      <c r="BC57" s="2228"/>
      <c r="BD57" s="2228"/>
      <c r="BE57" s="2228"/>
      <c r="BF57" s="966"/>
      <c r="BG57" s="2230">
        <f>SUM(REPAIRS_FIRST_COLUMN)</f>
        <v>0</v>
      </c>
      <c r="BH57" s="2231"/>
      <c r="BI57" s="2231"/>
      <c r="BJ57" s="2231"/>
      <c r="BK57" s="2231"/>
      <c r="BL57" s="2231"/>
      <c r="BM57" s="2232"/>
      <c r="BN57" s="947"/>
      <c r="BO57" s="959"/>
      <c r="BP57" s="960"/>
      <c r="BQ57" s="960"/>
      <c r="BR57" s="960"/>
      <c r="BS57" s="960"/>
      <c r="BT57" s="960"/>
      <c r="BU57" s="960"/>
      <c r="BV57" s="960"/>
      <c r="BW57" s="960"/>
      <c r="BX57" s="960"/>
      <c r="BY57" s="960"/>
      <c r="BZ57" s="960"/>
      <c r="CA57" s="960"/>
      <c r="CB57" s="960"/>
      <c r="CC57" s="960"/>
      <c r="CD57" s="960"/>
      <c r="CE57" s="1898"/>
      <c r="CF57" s="1899"/>
      <c r="CG57" s="1899"/>
      <c r="CH57" s="1899"/>
      <c r="CI57" s="1899"/>
      <c r="CJ57" s="1899"/>
      <c r="CK57" s="1899"/>
      <c r="CL57" s="1899"/>
      <c r="CM57" s="1899"/>
      <c r="CN57" s="1899"/>
      <c r="CO57" s="1899"/>
      <c r="CP57" s="1899"/>
      <c r="CQ57" s="1899"/>
      <c r="CR57" s="1899"/>
      <c r="CS57" s="1899"/>
      <c r="CT57" s="1899"/>
      <c r="CU57" s="1900"/>
      <c r="CV57" s="953"/>
      <c r="CW57" s="2214"/>
      <c r="CX57" s="2215"/>
      <c r="CY57" s="2215"/>
      <c r="CZ57" s="2215"/>
      <c r="DA57" s="2215"/>
      <c r="DB57" s="2215"/>
      <c r="DC57" s="2211"/>
      <c r="DD57" s="2211"/>
      <c r="DE57" s="2211"/>
      <c r="DF57" s="2211"/>
      <c r="DG57" s="2211"/>
      <c r="DH57" s="2211"/>
      <c r="DI57" s="2211"/>
      <c r="DJ57" s="2211"/>
      <c r="DK57" s="2211"/>
      <c r="DL57" s="2211"/>
      <c r="DM57" s="2211"/>
      <c r="DN57" s="2211"/>
      <c r="DO57" s="2211"/>
      <c r="DP57" s="2211"/>
      <c r="DQ57" s="2211"/>
      <c r="DR57" s="2211"/>
      <c r="DS57" s="2211"/>
      <c r="DT57" s="2211"/>
      <c r="DU57" s="2211"/>
      <c r="DV57" s="2211"/>
      <c r="DW57" s="2211"/>
      <c r="DX57" s="2217"/>
      <c r="DY57" s="2217"/>
      <c r="DZ57" s="2217"/>
      <c r="EA57" s="2217"/>
      <c r="EB57" s="2217"/>
      <c r="EC57" s="2217"/>
    </row>
    <row r="58" spans="2:134" ht="6.75" customHeight="1">
      <c r="C58" s="1844"/>
      <c r="D58" s="1845"/>
      <c r="E58" s="1845"/>
      <c r="F58" s="1845"/>
      <c r="G58" s="1845"/>
      <c r="H58" s="1845"/>
      <c r="I58" s="1845"/>
      <c r="J58" s="1845"/>
      <c r="K58" s="1845"/>
      <c r="L58" s="1845"/>
      <c r="M58" s="1845"/>
      <c r="N58" s="1845"/>
      <c r="O58" s="1845"/>
      <c r="P58" s="1845"/>
      <c r="Q58" s="153"/>
      <c r="R58" s="1865"/>
      <c r="S58" s="1866"/>
      <c r="T58" s="1866"/>
      <c r="U58" s="1866"/>
      <c r="V58" s="1867"/>
      <c r="W58" s="1868"/>
      <c r="X58" s="1868"/>
      <c r="Y58" s="1868"/>
      <c r="Z58" s="1869"/>
      <c r="AA58" s="1879"/>
      <c r="AB58" s="1880"/>
      <c r="AC58" s="1880"/>
      <c r="AD58" s="1880"/>
      <c r="AE58" s="1880"/>
      <c r="AF58" s="1880"/>
      <c r="AG58" s="1880"/>
      <c r="AH58" s="1881"/>
      <c r="AI58" s="947"/>
      <c r="AJ58" s="2088"/>
      <c r="AK58" s="2089"/>
      <c r="AL58" s="2089"/>
      <c r="AM58" s="2089"/>
      <c r="AN58" s="2089"/>
      <c r="AO58" s="2089"/>
      <c r="AP58" s="2089"/>
      <c r="AQ58" s="2089"/>
      <c r="AR58" s="2089"/>
      <c r="AS58" s="2089"/>
      <c r="AT58" s="2089"/>
      <c r="AU58" s="2089"/>
      <c r="AV58" s="2089"/>
      <c r="AW58" s="2089"/>
      <c r="AX58" s="966"/>
      <c r="AY58" s="2228"/>
      <c r="AZ58" s="2228"/>
      <c r="BA58" s="2228"/>
      <c r="BB58" s="2228"/>
      <c r="BC58" s="2228"/>
      <c r="BD58" s="2228"/>
      <c r="BE58" s="2228"/>
      <c r="BF58" s="966"/>
      <c r="BG58" s="2233"/>
      <c r="BH58" s="2234"/>
      <c r="BI58" s="2234"/>
      <c r="BJ58" s="2234"/>
      <c r="BK58" s="2234"/>
      <c r="BL58" s="2234"/>
      <c r="BM58" s="2235"/>
      <c r="BN58" s="947"/>
      <c r="BO58" s="959"/>
      <c r="BP58" s="960"/>
      <c r="BQ58" s="960"/>
      <c r="BR58" s="960"/>
      <c r="BS58" s="960"/>
      <c r="BT58" s="960"/>
      <c r="BU58" s="960"/>
      <c r="BV58" s="960"/>
      <c r="BW58" s="960"/>
      <c r="BX58" s="960"/>
      <c r="BY58" s="960"/>
      <c r="BZ58" s="960"/>
      <c r="CA58" s="960"/>
      <c r="CB58" s="960"/>
      <c r="CC58" s="960"/>
      <c r="CD58" s="960"/>
      <c r="CE58" s="1898"/>
      <c r="CF58" s="1899"/>
      <c r="CG58" s="1899"/>
      <c r="CH58" s="1899"/>
      <c r="CI58" s="1899"/>
      <c r="CJ58" s="1899"/>
      <c r="CK58" s="1899"/>
      <c r="CL58" s="1899"/>
      <c r="CM58" s="1899"/>
      <c r="CN58" s="1899"/>
      <c r="CO58" s="1899"/>
      <c r="CP58" s="1899"/>
      <c r="CQ58" s="1899"/>
      <c r="CR58" s="1899"/>
      <c r="CS58" s="1899"/>
      <c r="CT58" s="1899"/>
      <c r="CU58" s="1900"/>
      <c r="CV58" s="953"/>
      <c r="CW58" s="1943" t="s">
        <v>354</v>
      </c>
      <c r="CX58" s="1944"/>
      <c r="CY58" s="1944"/>
      <c r="CZ58" s="1944"/>
      <c r="DA58" s="1944"/>
      <c r="DB58" s="1944"/>
      <c r="DC58" s="1944"/>
      <c r="DD58" s="1944"/>
      <c r="DE58" s="1944"/>
      <c r="DF58" s="1944"/>
      <c r="DG58" s="1945"/>
      <c r="DH58" s="1943" t="s">
        <v>393</v>
      </c>
      <c r="DI58" s="1944"/>
      <c r="DJ58" s="1944"/>
      <c r="DK58" s="1944"/>
      <c r="DL58" s="1944"/>
      <c r="DM58" s="1944"/>
      <c r="DN58" s="1944"/>
      <c r="DO58" s="1944"/>
      <c r="DP58" s="1944"/>
      <c r="DQ58" s="1944"/>
      <c r="DR58" s="1945"/>
      <c r="DS58" s="1943" t="s">
        <v>292</v>
      </c>
      <c r="DT58" s="1944"/>
      <c r="DU58" s="1944"/>
      <c r="DV58" s="1944"/>
      <c r="DW58" s="1944"/>
      <c r="DX58" s="1944"/>
      <c r="DY58" s="1944"/>
      <c r="DZ58" s="1944"/>
      <c r="EA58" s="1944"/>
      <c r="EB58" s="1944"/>
      <c r="EC58" s="1944"/>
    </row>
    <row r="59" spans="2:134" ht="6.75" customHeight="1" thickBot="1">
      <c r="C59" s="1844" t="s">
        <v>788</v>
      </c>
      <c r="D59" s="1845"/>
      <c r="E59" s="1845"/>
      <c r="F59" s="1845"/>
      <c r="G59" s="1845"/>
      <c r="H59" s="1845"/>
      <c r="I59" s="1845"/>
      <c r="J59" s="1845"/>
      <c r="K59" s="1845"/>
      <c r="L59" s="1845"/>
      <c r="M59" s="1845"/>
      <c r="N59" s="1845"/>
      <c r="O59" s="1845"/>
      <c r="P59" s="1845"/>
      <c r="Q59" s="153"/>
      <c r="R59" s="1862"/>
      <c r="S59" s="1863"/>
      <c r="T59" s="1863"/>
      <c r="U59" s="1863"/>
      <c r="V59" s="1864"/>
      <c r="W59" s="1868" t="s">
        <v>586</v>
      </c>
      <c r="X59" s="1868"/>
      <c r="Y59" s="1868"/>
      <c r="Z59" s="1869"/>
      <c r="AA59" s="2041">
        <f>R59*C9</f>
        <v>0</v>
      </c>
      <c r="AB59" s="2042"/>
      <c r="AC59" s="2042"/>
      <c r="AD59" s="2042"/>
      <c r="AE59" s="2042"/>
      <c r="AF59" s="2042"/>
      <c r="AG59" s="2042"/>
      <c r="AH59" s="2043"/>
      <c r="AI59" s="947"/>
      <c r="AJ59" s="2090"/>
      <c r="AK59" s="2091"/>
      <c r="AL59" s="2091"/>
      <c r="AM59" s="2091"/>
      <c r="AN59" s="2091"/>
      <c r="AO59" s="2091"/>
      <c r="AP59" s="2091"/>
      <c r="AQ59" s="2091"/>
      <c r="AR59" s="2091"/>
      <c r="AS59" s="2091"/>
      <c r="AT59" s="2091"/>
      <c r="AU59" s="2091"/>
      <c r="AV59" s="2091"/>
      <c r="AW59" s="2091"/>
      <c r="AX59" s="967"/>
      <c r="AY59" s="2239"/>
      <c r="AZ59" s="2239"/>
      <c r="BA59" s="2239"/>
      <c r="BB59" s="2239"/>
      <c r="BC59" s="2239"/>
      <c r="BD59" s="2239"/>
      <c r="BE59" s="2239"/>
      <c r="BF59" s="967"/>
      <c r="BG59" s="2236"/>
      <c r="BH59" s="2237"/>
      <c r="BI59" s="2237"/>
      <c r="BJ59" s="2237"/>
      <c r="BK59" s="2237"/>
      <c r="BL59" s="2237"/>
      <c r="BM59" s="2238"/>
      <c r="BN59" s="947"/>
      <c r="BO59" s="959"/>
      <c r="BP59" s="960"/>
      <c r="BQ59" s="960"/>
      <c r="BR59" s="960"/>
      <c r="BS59" s="960"/>
      <c r="BT59" s="960"/>
      <c r="BU59" s="960"/>
      <c r="BV59" s="960"/>
      <c r="BW59" s="960"/>
      <c r="BX59" s="960"/>
      <c r="BY59" s="960"/>
      <c r="BZ59" s="960"/>
      <c r="CA59" s="960"/>
      <c r="CB59" s="960"/>
      <c r="CC59" s="960"/>
      <c r="CD59" s="960"/>
      <c r="CE59" s="1898"/>
      <c r="CF59" s="1899"/>
      <c r="CG59" s="1899"/>
      <c r="CH59" s="1899"/>
      <c r="CI59" s="1899"/>
      <c r="CJ59" s="1899"/>
      <c r="CK59" s="1899"/>
      <c r="CL59" s="1899"/>
      <c r="CM59" s="1899"/>
      <c r="CN59" s="1899"/>
      <c r="CO59" s="1899"/>
      <c r="CP59" s="1899"/>
      <c r="CQ59" s="1899"/>
      <c r="CR59" s="1899"/>
      <c r="CS59" s="1899"/>
      <c r="CT59" s="1899"/>
      <c r="CU59" s="1900"/>
      <c r="CV59" s="953"/>
      <c r="CW59" s="1946"/>
      <c r="CX59" s="1947"/>
      <c r="CY59" s="1947"/>
      <c r="CZ59" s="1947"/>
      <c r="DA59" s="1947"/>
      <c r="DB59" s="1947"/>
      <c r="DC59" s="1947"/>
      <c r="DD59" s="1947"/>
      <c r="DE59" s="1947"/>
      <c r="DF59" s="1947"/>
      <c r="DG59" s="1948"/>
      <c r="DH59" s="1946"/>
      <c r="DI59" s="1947"/>
      <c r="DJ59" s="1947"/>
      <c r="DK59" s="1947"/>
      <c r="DL59" s="1947"/>
      <c r="DM59" s="1947"/>
      <c r="DN59" s="1947"/>
      <c r="DO59" s="1947"/>
      <c r="DP59" s="1947"/>
      <c r="DQ59" s="1947"/>
      <c r="DR59" s="1948"/>
      <c r="DS59" s="1946"/>
      <c r="DT59" s="1947"/>
      <c r="DU59" s="1947"/>
      <c r="DV59" s="1947"/>
      <c r="DW59" s="1947"/>
      <c r="DX59" s="1947"/>
      <c r="DY59" s="1947"/>
      <c r="DZ59" s="1947"/>
      <c r="EA59" s="1947"/>
      <c r="EB59" s="1947"/>
      <c r="EC59" s="1948"/>
    </row>
    <row r="60" spans="2:134" ht="6.75" customHeight="1" thickTop="1" thickBot="1">
      <c r="C60" s="1844"/>
      <c r="D60" s="1845"/>
      <c r="E60" s="1845"/>
      <c r="F60" s="1845"/>
      <c r="G60" s="1845"/>
      <c r="H60" s="1845"/>
      <c r="I60" s="1845"/>
      <c r="J60" s="1845"/>
      <c r="K60" s="1845"/>
      <c r="L60" s="1845"/>
      <c r="M60" s="1845"/>
      <c r="N60" s="1845"/>
      <c r="O60" s="1845"/>
      <c r="P60" s="1845"/>
      <c r="Q60" s="153"/>
      <c r="R60" s="1865"/>
      <c r="S60" s="1866"/>
      <c r="T60" s="1866"/>
      <c r="U60" s="1866"/>
      <c r="V60" s="1867"/>
      <c r="W60" s="1868"/>
      <c r="X60" s="1868"/>
      <c r="Y60" s="1868"/>
      <c r="Z60" s="1869"/>
      <c r="AA60" s="2190"/>
      <c r="AB60" s="2191"/>
      <c r="AC60" s="2191"/>
      <c r="AD60" s="2191"/>
      <c r="AE60" s="2191"/>
      <c r="AF60" s="2191"/>
      <c r="AG60" s="2191"/>
      <c r="AH60" s="2192"/>
      <c r="AI60" s="947"/>
      <c r="AJ60" s="968"/>
      <c r="AK60" s="951"/>
      <c r="AL60" s="951"/>
      <c r="AM60" s="951"/>
      <c r="AN60" s="951"/>
      <c r="AO60" s="951"/>
      <c r="AP60" s="951"/>
      <c r="AQ60" s="951"/>
      <c r="AR60" s="951"/>
      <c r="AS60" s="951"/>
      <c r="AT60" s="951"/>
      <c r="AU60" s="951"/>
      <c r="AV60" s="951"/>
      <c r="AW60" s="951"/>
      <c r="AX60" s="951"/>
      <c r="AY60" s="951"/>
      <c r="AZ60" s="951"/>
      <c r="BA60" s="951"/>
      <c r="BB60" s="951"/>
      <c r="BC60" s="951"/>
      <c r="BD60" s="951"/>
      <c r="BE60" s="951"/>
      <c r="BF60" s="951"/>
      <c r="BG60" s="951"/>
      <c r="BH60" s="951"/>
      <c r="BI60" s="951"/>
      <c r="BJ60" s="951"/>
      <c r="BK60" s="951"/>
      <c r="BL60" s="951"/>
      <c r="BM60" s="969"/>
      <c r="BN60" s="947"/>
      <c r="BO60" s="959"/>
      <c r="BP60" s="960"/>
      <c r="BQ60" s="960"/>
      <c r="BR60" s="960"/>
      <c r="BS60" s="960"/>
      <c r="BT60" s="960"/>
      <c r="BU60" s="960"/>
      <c r="BV60" s="960"/>
      <c r="BW60" s="960"/>
      <c r="BX60" s="960"/>
      <c r="BY60" s="960"/>
      <c r="BZ60" s="960"/>
      <c r="CA60" s="960"/>
      <c r="CB60" s="960"/>
      <c r="CC60" s="960"/>
      <c r="CD60" s="960"/>
      <c r="CE60" s="1898"/>
      <c r="CF60" s="1899"/>
      <c r="CG60" s="1899"/>
      <c r="CH60" s="1899"/>
      <c r="CI60" s="1899"/>
      <c r="CJ60" s="1899"/>
      <c r="CK60" s="1899"/>
      <c r="CL60" s="1899"/>
      <c r="CM60" s="1899"/>
      <c r="CN60" s="1899"/>
      <c r="CO60" s="1899"/>
      <c r="CP60" s="1899"/>
      <c r="CQ60" s="1899"/>
      <c r="CR60" s="1899"/>
      <c r="CS60" s="1899"/>
      <c r="CT60" s="1899"/>
      <c r="CU60" s="1900"/>
      <c r="CV60" s="953"/>
      <c r="CW60" s="1949"/>
      <c r="CX60" s="1950"/>
      <c r="CY60" s="1950"/>
      <c r="CZ60" s="1950"/>
      <c r="DA60" s="1950"/>
      <c r="DB60" s="1950"/>
      <c r="DC60" s="1950"/>
      <c r="DD60" s="1950"/>
      <c r="DE60" s="1950"/>
      <c r="DF60" s="1950"/>
      <c r="DG60" s="1951"/>
      <c r="DH60" s="1949"/>
      <c r="DI60" s="1950"/>
      <c r="DJ60" s="1950"/>
      <c r="DK60" s="1950"/>
      <c r="DL60" s="1950"/>
      <c r="DM60" s="1950"/>
      <c r="DN60" s="1950"/>
      <c r="DO60" s="1950"/>
      <c r="DP60" s="1950"/>
      <c r="DQ60" s="1950"/>
      <c r="DR60" s="1951"/>
      <c r="DS60" s="1949"/>
      <c r="DT60" s="1950"/>
      <c r="DU60" s="1950"/>
      <c r="DV60" s="1950"/>
      <c r="DW60" s="1950"/>
      <c r="DX60" s="1950"/>
      <c r="DY60" s="1950"/>
      <c r="DZ60" s="1950"/>
      <c r="EA60" s="1950"/>
      <c r="EB60" s="1950"/>
      <c r="EC60" s="1951"/>
    </row>
    <row r="61" spans="2:134" ht="6.75" customHeight="1">
      <c r="C61" s="1844" t="s">
        <v>777</v>
      </c>
      <c r="D61" s="1845"/>
      <c r="E61" s="1845"/>
      <c r="F61" s="1845"/>
      <c r="G61" s="1845"/>
      <c r="H61" s="1845"/>
      <c r="I61" s="1845"/>
      <c r="J61" s="1845"/>
      <c r="K61" s="1845"/>
      <c r="L61" s="1845"/>
      <c r="M61" s="1845"/>
      <c r="N61" s="1845"/>
      <c r="O61" s="1845"/>
      <c r="P61" s="1845"/>
      <c r="Q61" s="1845"/>
      <c r="R61" s="1845"/>
      <c r="S61" s="1845"/>
      <c r="T61" s="1845"/>
      <c r="U61" s="1845"/>
      <c r="V61" s="1845"/>
      <c r="W61" s="1845"/>
      <c r="X61" s="1845"/>
      <c r="Y61" s="1845"/>
      <c r="Z61" s="1845"/>
      <c r="AA61" s="1885"/>
      <c r="AB61" s="1886"/>
      <c r="AC61" s="1886"/>
      <c r="AD61" s="1886"/>
      <c r="AE61" s="1886"/>
      <c r="AF61" s="1886"/>
      <c r="AG61" s="1886"/>
      <c r="AH61" s="1887"/>
      <c r="AI61" s="947"/>
      <c r="AJ61" s="2092" t="s">
        <v>1128</v>
      </c>
      <c r="AK61" s="2093"/>
      <c r="AL61" s="2093"/>
      <c r="AM61" s="2093"/>
      <c r="AN61" s="2093"/>
      <c r="AO61" s="2093"/>
      <c r="AP61" s="2093"/>
      <c r="AQ61" s="2093"/>
      <c r="AR61" s="2093"/>
      <c r="AS61" s="2093"/>
      <c r="AT61" s="2093"/>
      <c r="AU61" s="2093"/>
      <c r="AV61" s="2093"/>
      <c r="AW61" s="2093"/>
      <c r="AX61" s="2093"/>
      <c r="AY61" s="2093"/>
      <c r="AZ61" s="2093"/>
      <c r="BA61" s="2093"/>
      <c r="BB61" s="2093"/>
      <c r="BC61" s="2093"/>
      <c r="BD61" s="2093"/>
      <c r="BE61" s="2093"/>
      <c r="BF61" s="2093"/>
      <c r="BG61" s="2107"/>
      <c r="BH61" s="2107"/>
      <c r="BI61" s="2107"/>
      <c r="BJ61" s="2107"/>
      <c r="BK61" s="2107"/>
      <c r="BL61" s="2107"/>
      <c r="BM61" s="2108"/>
      <c r="BN61" s="947"/>
      <c r="BO61" s="959"/>
      <c r="BP61" s="960"/>
      <c r="BQ61" s="960"/>
      <c r="BR61" s="960"/>
      <c r="BS61" s="960"/>
      <c r="BT61" s="960"/>
      <c r="BU61" s="960"/>
      <c r="BV61" s="960"/>
      <c r="BW61" s="960"/>
      <c r="BX61" s="960"/>
      <c r="BY61" s="960"/>
      <c r="BZ61" s="960"/>
      <c r="CA61" s="960"/>
      <c r="CB61" s="960"/>
      <c r="CC61" s="960"/>
      <c r="CD61" s="960"/>
      <c r="CE61" s="1898"/>
      <c r="CF61" s="1899"/>
      <c r="CG61" s="1899"/>
      <c r="CH61" s="1899"/>
      <c r="CI61" s="1899"/>
      <c r="CJ61" s="1899"/>
      <c r="CK61" s="1899"/>
      <c r="CL61" s="1899"/>
      <c r="CM61" s="1899"/>
      <c r="CN61" s="1899"/>
      <c r="CO61" s="1899"/>
      <c r="CP61" s="1899"/>
      <c r="CQ61" s="1899"/>
      <c r="CR61" s="1899"/>
      <c r="CS61" s="1899"/>
      <c r="CT61" s="1899"/>
      <c r="CU61" s="1900"/>
      <c r="CV61" s="953"/>
      <c r="CW61" s="1925" t="str">
        <f>IF(Total_Schedule_Cell=0,"",DC51/Total_Schedule_Cell)</f>
        <v/>
      </c>
      <c r="CX61" s="1926"/>
      <c r="CY61" s="1926"/>
      <c r="CZ61" s="1926"/>
      <c r="DA61" s="1926"/>
      <c r="DB61" s="1926"/>
      <c r="DC61" s="1926"/>
      <c r="DD61" s="1926"/>
      <c r="DE61" s="1926"/>
      <c r="DF61" s="1926"/>
      <c r="DG61" s="1927"/>
      <c r="DH61" s="1934">
        <f>IFERROR(IF(Total_Cash_Needed&lt;0,"Infinite ROI",DC51/Total_Cash_Needed),0)</f>
        <v>0</v>
      </c>
      <c r="DI61" s="1935"/>
      <c r="DJ61" s="1935"/>
      <c r="DK61" s="1935"/>
      <c r="DL61" s="1935"/>
      <c r="DM61" s="1935"/>
      <c r="DN61" s="1935"/>
      <c r="DO61" s="1935"/>
      <c r="DP61" s="1935"/>
      <c r="DQ61" s="1935"/>
      <c r="DR61" s="1935"/>
      <c r="DS61" s="1934">
        <f>IFERROR(IF(Total_Cash_Needed&lt;0,"Infinite ROI",((DC51/Total_Cash_Needed)/(Total_Schedule_Cell/12))),0)</f>
        <v>0</v>
      </c>
      <c r="DT61" s="1935"/>
      <c r="DU61" s="1935"/>
      <c r="DV61" s="1935"/>
      <c r="DW61" s="1935"/>
      <c r="DX61" s="1935"/>
      <c r="DY61" s="1935"/>
      <c r="DZ61" s="1935"/>
      <c r="EA61" s="1935"/>
      <c r="EB61" s="1935"/>
      <c r="EC61" s="1940"/>
    </row>
    <row r="62" spans="2:134" ht="6.75" customHeight="1">
      <c r="C62" s="1844"/>
      <c r="D62" s="1845"/>
      <c r="E62" s="1845"/>
      <c r="F62" s="1845"/>
      <c r="G62" s="1845"/>
      <c r="H62" s="1845"/>
      <c r="I62" s="1845"/>
      <c r="J62" s="1845"/>
      <c r="K62" s="1845"/>
      <c r="L62" s="1845"/>
      <c r="M62" s="1845"/>
      <c r="N62" s="1845"/>
      <c r="O62" s="1845"/>
      <c r="P62" s="1845"/>
      <c r="Q62" s="1845"/>
      <c r="R62" s="1845"/>
      <c r="S62" s="1845"/>
      <c r="T62" s="1845"/>
      <c r="U62" s="1845"/>
      <c r="V62" s="1845"/>
      <c r="W62" s="1845"/>
      <c r="X62" s="1845"/>
      <c r="Y62" s="1845"/>
      <c r="Z62" s="1845"/>
      <c r="AA62" s="1885"/>
      <c r="AB62" s="1886"/>
      <c r="AC62" s="1886"/>
      <c r="AD62" s="1886"/>
      <c r="AE62" s="1886"/>
      <c r="AF62" s="1886"/>
      <c r="AG62" s="1886"/>
      <c r="AH62" s="1887"/>
      <c r="AI62" s="947"/>
      <c r="AJ62" s="2092"/>
      <c r="AK62" s="2093"/>
      <c r="AL62" s="2093"/>
      <c r="AM62" s="2093"/>
      <c r="AN62" s="2093"/>
      <c r="AO62" s="2093"/>
      <c r="AP62" s="2093"/>
      <c r="AQ62" s="2093"/>
      <c r="AR62" s="2093"/>
      <c r="AS62" s="2093"/>
      <c r="AT62" s="2093"/>
      <c r="AU62" s="2093"/>
      <c r="AV62" s="2093"/>
      <c r="AW62" s="2093"/>
      <c r="AX62" s="2093"/>
      <c r="AY62" s="2093"/>
      <c r="AZ62" s="2093"/>
      <c r="BA62" s="2093"/>
      <c r="BB62" s="2093"/>
      <c r="BC62" s="2093"/>
      <c r="BD62" s="2093"/>
      <c r="BE62" s="2093"/>
      <c r="BF62" s="2093"/>
      <c r="BG62" s="2107"/>
      <c r="BH62" s="2107"/>
      <c r="BI62" s="2107"/>
      <c r="BJ62" s="2107"/>
      <c r="BK62" s="2107"/>
      <c r="BL62" s="2107"/>
      <c r="BM62" s="2108"/>
      <c r="BN62" s="947"/>
      <c r="BO62" s="959"/>
      <c r="BP62" s="960"/>
      <c r="BQ62" s="960"/>
      <c r="BR62" s="960"/>
      <c r="BS62" s="960"/>
      <c r="BT62" s="960"/>
      <c r="BU62" s="960"/>
      <c r="BV62" s="960"/>
      <c r="BW62" s="960"/>
      <c r="BX62" s="960"/>
      <c r="BY62" s="960"/>
      <c r="BZ62" s="960"/>
      <c r="CA62" s="960"/>
      <c r="CB62" s="960"/>
      <c r="CC62" s="960"/>
      <c r="CD62" s="960"/>
      <c r="CE62" s="1898"/>
      <c r="CF62" s="1899"/>
      <c r="CG62" s="1899"/>
      <c r="CH62" s="1899"/>
      <c r="CI62" s="1899"/>
      <c r="CJ62" s="1899"/>
      <c r="CK62" s="1899"/>
      <c r="CL62" s="1899"/>
      <c r="CM62" s="1899"/>
      <c r="CN62" s="1899"/>
      <c r="CO62" s="1899"/>
      <c r="CP62" s="1899"/>
      <c r="CQ62" s="1899"/>
      <c r="CR62" s="1899"/>
      <c r="CS62" s="1899"/>
      <c r="CT62" s="1899"/>
      <c r="CU62" s="1900"/>
      <c r="CV62" s="953"/>
      <c r="CW62" s="1928"/>
      <c r="CX62" s="1929"/>
      <c r="CY62" s="1929"/>
      <c r="CZ62" s="1929"/>
      <c r="DA62" s="1929"/>
      <c r="DB62" s="1929"/>
      <c r="DC62" s="1929"/>
      <c r="DD62" s="1929"/>
      <c r="DE62" s="1929"/>
      <c r="DF62" s="1929"/>
      <c r="DG62" s="1930"/>
      <c r="DH62" s="1936"/>
      <c r="DI62" s="1937"/>
      <c r="DJ62" s="1937"/>
      <c r="DK62" s="1937"/>
      <c r="DL62" s="1937"/>
      <c r="DM62" s="1937"/>
      <c r="DN62" s="1937"/>
      <c r="DO62" s="1937"/>
      <c r="DP62" s="1937"/>
      <c r="DQ62" s="1937"/>
      <c r="DR62" s="1937"/>
      <c r="DS62" s="1936"/>
      <c r="DT62" s="1937"/>
      <c r="DU62" s="1937"/>
      <c r="DV62" s="1937"/>
      <c r="DW62" s="1937"/>
      <c r="DX62" s="1937"/>
      <c r="DY62" s="1937"/>
      <c r="DZ62" s="1937"/>
      <c r="EA62" s="1937"/>
      <c r="EB62" s="1937"/>
      <c r="EC62" s="1941"/>
    </row>
    <row r="63" spans="2:134" ht="6.75" customHeight="1">
      <c r="C63" s="1844" t="s">
        <v>789</v>
      </c>
      <c r="D63" s="1845"/>
      <c r="E63" s="1845"/>
      <c r="F63" s="1845"/>
      <c r="G63" s="1845"/>
      <c r="H63" s="1845"/>
      <c r="I63" s="1845"/>
      <c r="J63" s="1845"/>
      <c r="K63" s="1845"/>
      <c r="L63" s="1845"/>
      <c r="M63" s="1845"/>
      <c r="N63" s="1845"/>
      <c r="O63" s="1845"/>
      <c r="P63" s="1845"/>
      <c r="Q63" s="1845"/>
      <c r="R63" s="1845"/>
      <c r="S63" s="1845"/>
      <c r="T63" s="1845"/>
      <c r="U63" s="1845"/>
      <c r="V63" s="1845"/>
      <c r="W63" s="1845"/>
      <c r="X63" s="1845"/>
      <c r="Y63" s="1845"/>
      <c r="Z63" s="1845"/>
      <c r="AA63" s="1870"/>
      <c r="AB63" s="1871"/>
      <c r="AC63" s="1871"/>
      <c r="AD63" s="1871"/>
      <c r="AE63" s="1871"/>
      <c r="AF63" s="1871"/>
      <c r="AG63" s="1871"/>
      <c r="AH63" s="1872"/>
      <c r="AI63" s="947"/>
      <c r="AJ63" s="2092"/>
      <c r="AK63" s="2093"/>
      <c r="AL63" s="2093"/>
      <c r="AM63" s="2093"/>
      <c r="AN63" s="2093"/>
      <c r="AO63" s="2093"/>
      <c r="AP63" s="2093"/>
      <c r="AQ63" s="2093"/>
      <c r="AR63" s="2093"/>
      <c r="AS63" s="2093"/>
      <c r="AT63" s="2093"/>
      <c r="AU63" s="2093"/>
      <c r="AV63" s="2093"/>
      <c r="AW63" s="2093"/>
      <c r="AX63" s="2093"/>
      <c r="AY63" s="2093"/>
      <c r="AZ63" s="2093"/>
      <c r="BA63" s="2093"/>
      <c r="BB63" s="2093"/>
      <c r="BC63" s="2093"/>
      <c r="BD63" s="2093"/>
      <c r="BE63" s="2093"/>
      <c r="BF63" s="2093"/>
      <c r="BG63" s="2107"/>
      <c r="BH63" s="2107"/>
      <c r="BI63" s="2107"/>
      <c r="BJ63" s="2107"/>
      <c r="BK63" s="2107"/>
      <c r="BL63" s="2107"/>
      <c r="BM63" s="2108"/>
      <c r="BN63" s="947"/>
      <c r="BO63" s="959"/>
      <c r="BP63" s="960"/>
      <c r="BQ63" s="960"/>
      <c r="BR63" s="960"/>
      <c r="BS63" s="960"/>
      <c r="BT63" s="960"/>
      <c r="BU63" s="960"/>
      <c r="BV63" s="960"/>
      <c r="BW63" s="960"/>
      <c r="BX63" s="960"/>
      <c r="BY63" s="960"/>
      <c r="BZ63" s="960"/>
      <c r="CA63" s="960"/>
      <c r="CB63" s="960"/>
      <c r="CC63" s="960"/>
      <c r="CD63" s="960"/>
      <c r="CE63" s="1898"/>
      <c r="CF63" s="1899"/>
      <c r="CG63" s="1899"/>
      <c r="CH63" s="1899"/>
      <c r="CI63" s="1899"/>
      <c r="CJ63" s="1899"/>
      <c r="CK63" s="1899"/>
      <c r="CL63" s="1899"/>
      <c r="CM63" s="1899"/>
      <c r="CN63" s="1899"/>
      <c r="CO63" s="1899"/>
      <c r="CP63" s="1899"/>
      <c r="CQ63" s="1899"/>
      <c r="CR63" s="1899"/>
      <c r="CS63" s="1899"/>
      <c r="CT63" s="1899"/>
      <c r="CU63" s="1900"/>
      <c r="CV63" s="953"/>
      <c r="CW63" s="1928"/>
      <c r="CX63" s="1929"/>
      <c r="CY63" s="1929"/>
      <c r="CZ63" s="1929"/>
      <c r="DA63" s="1929"/>
      <c r="DB63" s="1929"/>
      <c r="DC63" s="1929"/>
      <c r="DD63" s="1929"/>
      <c r="DE63" s="1929"/>
      <c r="DF63" s="1929"/>
      <c r="DG63" s="1930"/>
      <c r="DH63" s="1936"/>
      <c r="DI63" s="1937"/>
      <c r="DJ63" s="1937"/>
      <c r="DK63" s="1937"/>
      <c r="DL63" s="1937"/>
      <c r="DM63" s="1937"/>
      <c r="DN63" s="1937"/>
      <c r="DO63" s="1937"/>
      <c r="DP63" s="1937"/>
      <c r="DQ63" s="1937"/>
      <c r="DR63" s="1937"/>
      <c r="DS63" s="1936"/>
      <c r="DT63" s="1937"/>
      <c r="DU63" s="1937"/>
      <c r="DV63" s="1937"/>
      <c r="DW63" s="1937"/>
      <c r="DX63" s="1937"/>
      <c r="DY63" s="1937"/>
      <c r="DZ63" s="1937"/>
      <c r="EA63" s="1937"/>
      <c r="EB63" s="1937"/>
      <c r="EC63" s="1941"/>
    </row>
    <row r="64" spans="2:134" ht="6.75" customHeight="1">
      <c r="C64" s="1844"/>
      <c r="D64" s="1845"/>
      <c r="E64" s="1845"/>
      <c r="F64" s="1845"/>
      <c r="G64" s="1845"/>
      <c r="H64" s="1845"/>
      <c r="I64" s="1845"/>
      <c r="J64" s="1845"/>
      <c r="K64" s="1845"/>
      <c r="L64" s="1845"/>
      <c r="M64" s="1845"/>
      <c r="N64" s="1845"/>
      <c r="O64" s="1845"/>
      <c r="P64" s="1845"/>
      <c r="Q64" s="1845"/>
      <c r="R64" s="1845"/>
      <c r="S64" s="1845"/>
      <c r="T64" s="1845"/>
      <c r="U64" s="1845"/>
      <c r="V64" s="1845"/>
      <c r="W64" s="1845"/>
      <c r="X64" s="1845"/>
      <c r="Y64" s="1845"/>
      <c r="Z64" s="1845"/>
      <c r="AA64" s="1873"/>
      <c r="AB64" s="1874"/>
      <c r="AC64" s="1874"/>
      <c r="AD64" s="1874"/>
      <c r="AE64" s="1874"/>
      <c r="AF64" s="1874"/>
      <c r="AG64" s="1874"/>
      <c r="AH64" s="1875"/>
      <c r="AI64" s="947"/>
      <c r="AJ64" s="2094" t="s">
        <v>1130</v>
      </c>
      <c r="AK64" s="2095"/>
      <c r="AL64" s="2095"/>
      <c r="AM64" s="2095"/>
      <c r="AN64" s="2095"/>
      <c r="AO64" s="2095"/>
      <c r="AP64" s="2095"/>
      <c r="AQ64" s="2095"/>
      <c r="AR64" s="2095"/>
      <c r="AS64" s="2095"/>
      <c r="AT64" s="2095"/>
      <c r="AU64" s="2095"/>
      <c r="AV64" s="2095"/>
      <c r="AW64" s="2095"/>
      <c r="AX64" s="2095"/>
      <c r="AY64" s="2170">
        <v>1</v>
      </c>
      <c r="AZ64" s="2171"/>
      <c r="BA64" s="2171"/>
      <c r="BB64" s="2171"/>
      <c r="BC64" s="2171"/>
      <c r="BD64" s="2171"/>
      <c r="BE64" s="2172"/>
      <c r="BF64" s="951"/>
      <c r="BG64" s="2109">
        <f>IF(Rehab_Analyzer_Location_Mutiplier=0,0,(AY64-1)*ESTIMATE_SUBTOTAL)</f>
        <v>0</v>
      </c>
      <c r="BH64" s="2110"/>
      <c r="BI64" s="2110"/>
      <c r="BJ64" s="2110"/>
      <c r="BK64" s="2110"/>
      <c r="BL64" s="2110"/>
      <c r="BM64" s="2111"/>
      <c r="BN64" s="947"/>
      <c r="BO64" s="959"/>
      <c r="BP64" s="960"/>
      <c r="BQ64" s="960"/>
      <c r="BR64" s="960"/>
      <c r="BS64" s="960"/>
      <c r="BT64" s="960"/>
      <c r="BU64" s="960"/>
      <c r="BV64" s="960"/>
      <c r="BW64" s="960"/>
      <c r="BX64" s="960"/>
      <c r="BY64" s="960"/>
      <c r="BZ64" s="960"/>
      <c r="CA64" s="960"/>
      <c r="CB64" s="960"/>
      <c r="CC64" s="960"/>
      <c r="CD64" s="960"/>
      <c r="CE64" s="1898"/>
      <c r="CF64" s="1899"/>
      <c r="CG64" s="1899"/>
      <c r="CH64" s="1899"/>
      <c r="CI64" s="1899"/>
      <c r="CJ64" s="1899"/>
      <c r="CK64" s="1899"/>
      <c r="CL64" s="1899"/>
      <c r="CM64" s="1899"/>
      <c r="CN64" s="1899"/>
      <c r="CO64" s="1899"/>
      <c r="CP64" s="1899"/>
      <c r="CQ64" s="1899"/>
      <c r="CR64" s="1899"/>
      <c r="CS64" s="1899"/>
      <c r="CT64" s="1899"/>
      <c r="CU64" s="1900"/>
      <c r="CV64" s="953"/>
      <c r="CW64" s="1928"/>
      <c r="CX64" s="1929"/>
      <c r="CY64" s="1929"/>
      <c r="CZ64" s="1929"/>
      <c r="DA64" s="1929"/>
      <c r="DB64" s="1929"/>
      <c r="DC64" s="1929"/>
      <c r="DD64" s="1929"/>
      <c r="DE64" s="1929"/>
      <c r="DF64" s="1929"/>
      <c r="DG64" s="1930"/>
      <c r="DH64" s="1936"/>
      <c r="DI64" s="1937"/>
      <c r="DJ64" s="1937"/>
      <c r="DK64" s="1937"/>
      <c r="DL64" s="1937"/>
      <c r="DM64" s="1937"/>
      <c r="DN64" s="1937"/>
      <c r="DO64" s="1937"/>
      <c r="DP64" s="1937"/>
      <c r="DQ64" s="1937"/>
      <c r="DR64" s="1937"/>
      <c r="DS64" s="1936"/>
      <c r="DT64" s="1937"/>
      <c r="DU64" s="1937"/>
      <c r="DV64" s="1937"/>
      <c r="DW64" s="1937"/>
      <c r="DX64" s="1937"/>
      <c r="DY64" s="1937"/>
      <c r="DZ64" s="1937"/>
      <c r="EA64" s="1937"/>
      <c r="EB64" s="1937"/>
      <c r="EC64" s="1941"/>
    </row>
    <row r="65" spans="2:145" ht="6.75" customHeight="1">
      <c r="C65" s="1844" t="s">
        <v>799</v>
      </c>
      <c r="D65" s="1845"/>
      <c r="E65" s="1845"/>
      <c r="F65" s="1845"/>
      <c r="G65" s="1845"/>
      <c r="H65" s="1845"/>
      <c r="I65" s="1845"/>
      <c r="J65" s="1845"/>
      <c r="K65" s="1845"/>
      <c r="L65" s="1845"/>
      <c r="M65" s="1845"/>
      <c r="N65" s="1845"/>
      <c r="O65" s="1845"/>
      <c r="P65" s="1845"/>
      <c r="Q65" s="1845"/>
      <c r="R65" s="1845"/>
      <c r="S65" s="1845"/>
      <c r="T65" s="1845"/>
      <c r="U65" s="1845"/>
      <c r="V65" s="1845"/>
      <c r="W65" s="1845"/>
      <c r="X65" s="1845"/>
      <c r="Y65" s="1845"/>
      <c r="Z65" s="1845"/>
      <c r="AA65" s="1885"/>
      <c r="AB65" s="1886"/>
      <c r="AC65" s="1886"/>
      <c r="AD65" s="1886"/>
      <c r="AE65" s="1886"/>
      <c r="AF65" s="1886"/>
      <c r="AG65" s="1886"/>
      <c r="AH65" s="1887"/>
      <c r="AI65" s="947"/>
      <c r="AJ65" s="2094"/>
      <c r="AK65" s="2095"/>
      <c r="AL65" s="2095"/>
      <c r="AM65" s="2095"/>
      <c r="AN65" s="2095"/>
      <c r="AO65" s="2095"/>
      <c r="AP65" s="2095"/>
      <c r="AQ65" s="2095"/>
      <c r="AR65" s="2095"/>
      <c r="AS65" s="2095"/>
      <c r="AT65" s="2095"/>
      <c r="AU65" s="2095"/>
      <c r="AV65" s="2095"/>
      <c r="AW65" s="2095"/>
      <c r="AX65" s="2095"/>
      <c r="AY65" s="2170"/>
      <c r="AZ65" s="2171"/>
      <c r="BA65" s="2171"/>
      <c r="BB65" s="2171"/>
      <c r="BC65" s="2171"/>
      <c r="BD65" s="2171"/>
      <c r="BE65" s="2172"/>
      <c r="BF65" s="951"/>
      <c r="BG65" s="2109"/>
      <c r="BH65" s="2110"/>
      <c r="BI65" s="2110"/>
      <c r="BJ65" s="2110"/>
      <c r="BK65" s="2110"/>
      <c r="BL65" s="2110"/>
      <c r="BM65" s="2111"/>
      <c r="BN65" s="947"/>
      <c r="BO65" s="959"/>
      <c r="BP65" s="960"/>
      <c r="BQ65" s="960"/>
      <c r="BR65" s="960"/>
      <c r="BS65" s="960"/>
      <c r="BT65" s="960"/>
      <c r="BU65" s="960"/>
      <c r="BV65" s="960"/>
      <c r="BW65" s="960"/>
      <c r="BX65" s="960"/>
      <c r="BY65" s="960"/>
      <c r="BZ65" s="960"/>
      <c r="CA65" s="960"/>
      <c r="CB65" s="960"/>
      <c r="CC65" s="960"/>
      <c r="CD65" s="960"/>
      <c r="CE65" s="1898"/>
      <c r="CF65" s="1899"/>
      <c r="CG65" s="1899"/>
      <c r="CH65" s="1899"/>
      <c r="CI65" s="1899"/>
      <c r="CJ65" s="1899"/>
      <c r="CK65" s="1899"/>
      <c r="CL65" s="1899"/>
      <c r="CM65" s="1899"/>
      <c r="CN65" s="1899"/>
      <c r="CO65" s="1899"/>
      <c r="CP65" s="1899"/>
      <c r="CQ65" s="1899"/>
      <c r="CR65" s="1899"/>
      <c r="CS65" s="1899"/>
      <c r="CT65" s="1899"/>
      <c r="CU65" s="1900"/>
      <c r="CV65" s="953"/>
      <c r="CW65" s="1928"/>
      <c r="CX65" s="1929"/>
      <c r="CY65" s="1929"/>
      <c r="CZ65" s="1929"/>
      <c r="DA65" s="1929"/>
      <c r="DB65" s="1929"/>
      <c r="DC65" s="1929"/>
      <c r="DD65" s="1929"/>
      <c r="DE65" s="1929"/>
      <c r="DF65" s="1929"/>
      <c r="DG65" s="1930"/>
      <c r="DH65" s="1936"/>
      <c r="DI65" s="1937"/>
      <c r="DJ65" s="1937"/>
      <c r="DK65" s="1937"/>
      <c r="DL65" s="1937"/>
      <c r="DM65" s="1937"/>
      <c r="DN65" s="1937"/>
      <c r="DO65" s="1937"/>
      <c r="DP65" s="1937"/>
      <c r="DQ65" s="1937"/>
      <c r="DR65" s="1937"/>
      <c r="DS65" s="1936"/>
      <c r="DT65" s="1937"/>
      <c r="DU65" s="1937"/>
      <c r="DV65" s="1937"/>
      <c r="DW65" s="1937"/>
      <c r="DX65" s="1937"/>
      <c r="DY65" s="1937"/>
      <c r="DZ65" s="1937"/>
      <c r="EA65" s="1937"/>
      <c r="EB65" s="1937"/>
      <c r="EC65" s="1941"/>
    </row>
    <row r="66" spans="2:145" ht="6.75" customHeight="1">
      <c r="C66" s="1844"/>
      <c r="D66" s="1845"/>
      <c r="E66" s="1845"/>
      <c r="F66" s="1845"/>
      <c r="G66" s="1845"/>
      <c r="H66" s="1845"/>
      <c r="I66" s="1845"/>
      <c r="J66" s="1845"/>
      <c r="K66" s="1845"/>
      <c r="L66" s="1845"/>
      <c r="M66" s="1845"/>
      <c r="N66" s="1845"/>
      <c r="O66" s="1845"/>
      <c r="P66" s="1845"/>
      <c r="Q66" s="1845"/>
      <c r="R66" s="1845"/>
      <c r="S66" s="1845"/>
      <c r="T66" s="1845"/>
      <c r="U66" s="1845"/>
      <c r="V66" s="1845"/>
      <c r="W66" s="1845"/>
      <c r="X66" s="1845"/>
      <c r="Y66" s="1845"/>
      <c r="Z66" s="1845"/>
      <c r="AA66" s="1885"/>
      <c r="AB66" s="1886"/>
      <c r="AC66" s="1886"/>
      <c r="AD66" s="1886"/>
      <c r="AE66" s="1886"/>
      <c r="AF66" s="1886"/>
      <c r="AG66" s="1886"/>
      <c r="AH66" s="1887"/>
      <c r="AI66" s="947"/>
      <c r="AJ66" s="2094"/>
      <c r="AK66" s="2095"/>
      <c r="AL66" s="2095"/>
      <c r="AM66" s="2095"/>
      <c r="AN66" s="2095"/>
      <c r="AO66" s="2095"/>
      <c r="AP66" s="2095"/>
      <c r="AQ66" s="2095"/>
      <c r="AR66" s="2095"/>
      <c r="AS66" s="2095"/>
      <c r="AT66" s="2095"/>
      <c r="AU66" s="2095"/>
      <c r="AV66" s="2095"/>
      <c r="AW66" s="2095"/>
      <c r="AX66" s="2095"/>
      <c r="AY66" s="2170"/>
      <c r="AZ66" s="2171"/>
      <c r="BA66" s="2171"/>
      <c r="BB66" s="2171"/>
      <c r="BC66" s="2171"/>
      <c r="BD66" s="2171"/>
      <c r="BE66" s="2172"/>
      <c r="BF66" s="951"/>
      <c r="BG66" s="2109"/>
      <c r="BH66" s="2110"/>
      <c r="BI66" s="2110"/>
      <c r="BJ66" s="2110"/>
      <c r="BK66" s="2110"/>
      <c r="BL66" s="2110"/>
      <c r="BM66" s="2111"/>
      <c r="BN66" s="947"/>
      <c r="BO66" s="959"/>
      <c r="BP66" s="960"/>
      <c r="BQ66" s="960"/>
      <c r="BR66" s="960"/>
      <c r="BS66" s="960"/>
      <c r="BT66" s="960"/>
      <c r="BU66" s="960"/>
      <c r="BV66" s="960"/>
      <c r="BW66" s="960"/>
      <c r="BX66" s="960"/>
      <c r="BY66" s="960"/>
      <c r="BZ66" s="960"/>
      <c r="CA66" s="960"/>
      <c r="CB66" s="960"/>
      <c r="CC66" s="960"/>
      <c r="CD66" s="960"/>
      <c r="CE66" s="1898"/>
      <c r="CF66" s="1899"/>
      <c r="CG66" s="1899"/>
      <c r="CH66" s="1899"/>
      <c r="CI66" s="1899"/>
      <c r="CJ66" s="1899"/>
      <c r="CK66" s="1899"/>
      <c r="CL66" s="1899"/>
      <c r="CM66" s="1899"/>
      <c r="CN66" s="1899"/>
      <c r="CO66" s="1899"/>
      <c r="CP66" s="1899"/>
      <c r="CQ66" s="1899"/>
      <c r="CR66" s="1899"/>
      <c r="CS66" s="1899"/>
      <c r="CT66" s="1899"/>
      <c r="CU66" s="1900"/>
      <c r="CV66" s="953"/>
      <c r="CW66" s="1928"/>
      <c r="CX66" s="1929"/>
      <c r="CY66" s="1929"/>
      <c r="CZ66" s="1929"/>
      <c r="DA66" s="1929"/>
      <c r="DB66" s="1929"/>
      <c r="DC66" s="1929"/>
      <c r="DD66" s="1929"/>
      <c r="DE66" s="1929"/>
      <c r="DF66" s="1929"/>
      <c r="DG66" s="1930"/>
      <c r="DH66" s="1936"/>
      <c r="DI66" s="1937"/>
      <c r="DJ66" s="1937"/>
      <c r="DK66" s="1937"/>
      <c r="DL66" s="1937"/>
      <c r="DM66" s="1937"/>
      <c r="DN66" s="1937"/>
      <c r="DO66" s="1937"/>
      <c r="DP66" s="1937"/>
      <c r="DQ66" s="1937"/>
      <c r="DR66" s="1937"/>
      <c r="DS66" s="1936"/>
      <c r="DT66" s="1937"/>
      <c r="DU66" s="1937"/>
      <c r="DV66" s="1937"/>
      <c r="DW66" s="1937"/>
      <c r="DX66" s="1937"/>
      <c r="DY66" s="1937"/>
      <c r="DZ66" s="1937"/>
      <c r="EA66" s="1937"/>
      <c r="EB66" s="1937"/>
      <c r="EC66" s="1941"/>
    </row>
    <row r="67" spans="2:145" ht="6.75" customHeight="1" thickBot="1">
      <c r="C67" s="1844" t="s">
        <v>790</v>
      </c>
      <c r="D67" s="1845"/>
      <c r="E67" s="1845"/>
      <c r="F67" s="1845"/>
      <c r="G67" s="1845"/>
      <c r="H67" s="1845"/>
      <c r="I67" s="1845"/>
      <c r="J67" s="1845"/>
      <c r="K67" s="1845"/>
      <c r="L67" s="1845"/>
      <c r="M67" s="1845"/>
      <c r="N67" s="1845"/>
      <c r="O67" s="1845"/>
      <c r="P67" s="1845"/>
      <c r="Q67" s="1845"/>
      <c r="R67" s="1845"/>
      <c r="S67" s="1845"/>
      <c r="T67" s="1845"/>
      <c r="U67" s="1845"/>
      <c r="V67" s="1845"/>
      <c r="W67" s="1845"/>
      <c r="X67" s="1845"/>
      <c r="Y67" s="1845"/>
      <c r="Z67" s="1845"/>
      <c r="AA67" s="1870"/>
      <c r="AB67" s="1871"/>
      <c r="AC67" s="1871"/>
      <c r="AD67" s="1871"/>
      <c r="AE67" s="1871"/>
      <c r="AF67" s="1871"/>
      <c r="AG67" s="1871"/>
      <c r="AH67" s="1872"/>
      <c r="AI67" s="947"/>
      <c r="AJ67" s="2094" t="s">
        <v>1129</v>
      </c>
      <c r="AK67" s="2095"/>
      <c r="AL67" s="2095"/>
      <c r="AM67" s="2095"/>
      <c r="AN67" s="2095"/>
      <c r="AO67" s="2095"/>
      <c r="AP67" s="2095"/>
      <c r="AQ67" s="2095"/>
      <c r="AR67" s="2095"/>
      <c r="AS67" s="2095"/>
      <c r="AT67" s="2095"/>
      <c r="AU67" s="2095"/>
      <c r="AV67" s="2095"/>
      <c r="AW67" s="2095"/>
      <c r="AX67" s="2176"/>
      <c r="AY67" s="2173"/>
      <c r="AZ67" s="2174"/>
      <c r="BA67" s="2174"/>
      <c r="BB67" s="2174"/>
      <c r="BC67" s="2174"/>
      <c r="BD67" s="2174"/>
      <c r="BE67" s="2175"/>
      <c r="BF67" s="951"/>
      <c r="BG67" s="2109">
        <f>(ESTIMATE_SUBTOTAL+BG64)*AY67</f>
        <v>0</v>
      </c>
      <c r="BH67" s="2110"/>
      <c r="BI67" s="2110"/>
      <c r="BJ67" s="2110"/>
      <c r="BK67" s="2110"/>
      <c r="BL67" s="2110"/>
      <c r="BM67" s="2111"/>
      <c r="BN67" s="947"/>
      <c r="BO67" s="970"/>
      <c r="BP67" s="971"/>
      <c r="BQ67" s="971"/>
      <c r="BR67" s="971"/>
      <c r="BS67" s="971"/>
      <c r="BT67" s="971"/>
      <c r="BU67" s="971"/>
      <c r="BV67" s="971"/>
      <c r="BW67" s="971"/>
      <c r="BX67" s="971"/>
      <c r="BY67" s="971"/>
      <c r="BZ67" s="971"/>
      <c r="CA67" s="971"/>
      <c r="CB67" s="971"/>
      <c r="CC67" s="971"/>
      <c r="CD67" s="971"/>
      <c r="CE67" s="1901"/>
      <c r="CF67" s="1902"/>
      <c r="CG67" s="1902"/>
      <c r="CH67" s="1902"/>
      <c r="CI67" s="1902"/>
      <c r="CJ67" s="1902"/>
      <c r="CK67" s="1902"/>
      <c r="CL67" s="1902"/>
      <c r="CM67" s="1902"/>
      <c r="CN67" s="1902"/>
      <c r="CO67" s="1902"/>
      <c r="CP67" s="1902"/>
      <c r="CQ67" s="1902"/>
      <c r="CR67" s="1902"/>
      <c r="CS67" s="1902"/>
      <c r="CT67" s="1902"/>
      <c r="CU67" s="1903"/>
      <c r="CV67" s="953"/>
      <c r="CW67" s="1931"/>
      <c r="CX67" s="1932"/>
      <c r="CY67" s="1932"/>
      <c r="CZ67" s="1932"/>
      <c r="DA67" s="1932"/>
      <c r="DB67" s="1932"/>
      <c r="DC67" s="1932"/>
      <c r="DD67" s="1932"/>
      <c r="DE67" s="1932"/>
      <c r="DF67" s="1932"/>
      <c r="DG67" s="1933"/>
      <c r="DH67" s="1938"/>
      <c r="DI67" s="1939"/>
      <c r="DJ67" s="1939"/>
      <c r="DK67" s="1939"/>
      <c r="DL67" s="1939"/>
      <c r="DM67" s="1939"/>
      <c r="DN67" s="1939"/>
      <c r="DO67" s="1939"/>
      <c r="DP67" s="1939"/>
      <c r="DQ67" s="1939"/>
      <c r="DR67" s="1939"/>
      <c r="DS67" s="1938"/>
      <c r="DT67" s="1939"/>
      <c r="DU67" s="1939"/>
      <c r="DV67" s="1939"/>
      <c r="DW67" s="1939"/>
      <c r="DX67" s="1939"/>
      <c r="DY67" s="1939"/>
      <c r="DZ67" s="1939"/>
      <c r="EA67" s="1939"/>
      <c r="EB67" s="1939"/>
      <c r="EC67" s="1942"/>
    </row>
    <row r="68" spans="2:145" ht="6.75" customHeight="1">
      <c r="C68" s="1844"/>
      <c r="D68" s="1845"/>
      <c r="E68" s="1845"/>
      <c r="F68" s="1845"/>
      <c r="G68" s="1845"/>
      <c r="H68" s="1845"/>
      <c r="I68" s="1845"/>
      <c r="J68" s="1845"/>
      <c r="K68" s="1845"/>
      <c r="L68" s="1845"/>
      <c r="M68" s="1845"/>
      <c r="N68" s="1845"/>
      <c r="O68" s="1845"/>
      <c r="P68" s="1845"/>
      <c r="Q68" s="1845"/>
      <c r="R68" s="1845"/>
      <c r="S68" s="1845"/>
      <c r="T68" s="1845"/>
      <c r="U68" s="1845"/>
      <c r="V68" s="1845"/>
      <c r="W68" s="1845"/>
      <c r="X68" s="1845"/>
      <c r="Y68" s="1845"/>
      <c r="Z68" s="1845"/>
      <c r="AA68" s="1873"/>
      <c r="AB68" s="1874"/>
      <c r="AC68" s="1874"/>
      <c r="AD68" s="1874"/>
      <c r="AE68" s="1874"/>
      <c r="AF68" s="1874"/>
      <c r="AG68" s="1874"/>
      <c r="AH68" s="1875"/>
      <c r="AI68" s="947"/>
      <c r="AJ68" s="2094"/>
      <c r="AK68" s="2095"/>
      <c r="AL68" s="2095"/>
      <c r="AM68" s="2095"/>
      <c r="AN68" s="2095"/>
      <c r="AO68" s="2095"/>
      <c r="AP68" s="2095"/>
      <c r="AQ68" s="2095"/>
      <c r="AR68" s="2095"/>
      <c r="AS68" s="2095"/>
      <c r="AT68" s="2095"/>
      <c r="AU68" s="2095"/>
      <c r="AV68" s="2095"/>
      <c r="AW68" s="2095"/>
      <c r="AX68" s="2176"/>
      <c r="AY68" s="2173"/>
      <c r="AZ68" s="2174"/>
      <c r="BA68" s="2174"/>
      <c r="BB68" s="2174"/>
      <c r="BC68" s="2174"/>
      <c r="BD68" s="2174"/>
      <c r="BE68" s="2175"/>
      <c r="BF68" s="951"/>
      <c r="BG68" s="2109"/>
      <c r="BH68" s="2110"/>
      <c r="BI68" s="2110"/>
      <c r="BJ68" s="2110"/>
      <c r="BK68" s="2110"/>
      <c r="BL68" s="2110"/>
      <c r="BM68" s="2111"/>
      <c r="BN68" s="947"/>
      <c r="BO68" s="1846" t="s">
        <v>864</v>
      </c>
      <c r="BP68" s="1847"/>
      <c r="BQ68" s="1847"/>
      <c r="BR68" s="1847"/>
      <c r="BS68" s="1847"/>
      <c r="BT68" s="1847"/>
      <c r="BU68" s="1847"/>
      <c r="BV68" s="1847"/>
      <c r="BW68" s="1847"/>
      <c r="BX68" s="1847"/>
      <c r="BY68" s="1847"/>
      <c r="BZ68" s="1847"/>
      <c r="CA68" s="1847"/>
      <c r="CB68" s="1847"/>
      <c r="CC68" s="1847"/>
      <c r="CD68" s="1847"/>
      <c r="CE68" s="1847"/>
      <c r="CF68" s="1847"/>
      <c r="CG68" s="1847"/>
      <c r="CH68" s="1847"/>
      <c r="CI68" s="1847"/>
      <c r="CJ68" s="1847"/>
      <c r="CK68" s="1847"/>
      <c r="CL68" s="1847"/>
      <c r="CM68" s="1847"/>
      <c r="CN68" s="1847"/>
      <c r="CO68" s="1847"/>
      <c r="CP68" s="1847"/>
      <c r="CQ68" s="1847"/>
      <c r="CR68" s="1847"/>
      <c r="CS68" s="1847"/>
      <c r="CT68" s="1847"/>
      <c r="CU68" s="1848"/>
      <c r="CV68" s="953"/>
      <c r="CW68" s="1846" t="s">
        <v>864</v>
      </c>
      <c r="CX68" s="1847"/>
      <c r="CY68" s="1847"/>
      <c r="CZ68" s="1847"/>
      <c r="DA68" s="1847"/>
      <c r="DB68" s="1847"/>
      <c r="DC68" s="1847"/>
      <c r="DD68" s="1847"/>
      <c r="DE68" s="1847"/>
      <c r="DF68" s="1847"/>
      <c r="DG68" s="1847"/>
      <c r="DH68" s="1847"/>
      <c r="DI68" s="1847"/>
      <c r="DJ68" s="1847"/>
      <c r="DK68" s="1847"/>
      <c r="DL68" s="1847"/>
      <c r="DM68" s="1847"/>
      <c r="DN68" s="1847"/>
      <c r="DO68" s="1847"/>
      <c r="DP68" s="1847"/>
      <c r="DQ68" s="1847"/>
      <c r="DR68" s="1847"/>
      <c r="DS68" s="1847"/>
      <c r="DT68" s="1847"/>
      <c r="DU68" s="1847"/>
      <c r="DV68" s="1847"/>
      <c r="DW68" s="1847"/>
      <c r="DX68" s="1847"/>
      <c r="DY68" s="1847"/>
      <c r="DZ68" s="1847"/>
      <c r="EA68" s="1847"/>
      <c r="EB68" s="1847"/>
      <c r="EC68" s="1848"/>
    </row>
    <row r="69" spans="2:145" ht="6.75" customHeight="1">
      <c r="C69" s="1844" t="s">
        <v>524</v>
      </c>
      <c r="D69" s="1845"/>
      <c r="E69" s="1845"/>
      <c r="F69" s="1845"/>
      <c r="G69" s="1845"/>
      <c r="H69" s="1845"/>
      <c r="I69" s="1845"/>
      <c r="J69" s="1845"/>
      <c r="K69" s="1845"/>
      <c r="L69" s="1845"/>
      <c r="M69" s="1845"/>
      <c r="N69" s="1845"/>
      <c r="O69" s="1845"/>
      <c r="P69" s="1845"/>
      <c r="Q69" s="1845"/>
      <c r="R69" s="1845"/>
      <c r="S69" s="1845"/>
      <c r="T69" s="1845"/>
      <c r="U69" s="1845"/>
      <c r="V69" s="1845"/>
      <c r="W69" s="1845"/>
      <c r="X69" s="1845"/>
      <c r="Y69" s="1845"/>
      <c r="Z69" s="1845"/>
      <c r="AA69" s="1885"/>
      <c r="AB69" s="1886"/>
      <c r="AC69" s="1886"/>
      <c r="AD69" s="1886"/>
      <c r="AE69" s="1886"/>
      <c r="AF69" s="1886"/>
      <c r="AG69" s="1886"/>
      <c r="AH69" s="1887"/>
      <c r="AI69" s="947"/>
      <c r="AJ69" s="2094"/>
      <c r="AK69" s="2095"/>
      <c r="AL69" s="2095"/>
      <c r="AM69" s="2095"/>
      <c r="AN69" s="2095"/>
      <c r="AO69" s="2095"/>
      <c r="AP69" s="2095"/>
      <c r="AQ69" s="2095"/>
      <c r="AR69" s="2095"/>
      <c r="AS69" s="2095"/>
      <c r="AT69" s="2095"/>
      <c r="AU69" s="2095"/>
      <c r="AV69" s="2095"/>
      <c r="AW69" s="2095"/>
      <c r="AX69" s="2176"/>
      <c r="AY69" s="2173"/>
      <c r="AZ69" s="2174"/>
      <c r="BA69" s="2174"/>
      <c r="BB69" s="2174"/>
      <c r="BC69" s="2174"/>
      <c r="BD69" s="2174"/>
      <c r="BE69" s="2175"/>
      <c r="BF69" s="951"/>
      <c r="BG69" s="2109"/>
      <c r="BH69" s="2110"/>
      <c r="BI69" s="2110"/>
      <c r="BJ69" s="2110"/>
      <c r="BK69" s="2110"/>
      <c r="BL69" s="2110"/>
      <c r="BM69" s="2111"/>
      <c r="BN69" s="947"/>
      <c r="BO69" s="1846"/>
      <c r="BP69" s="1847"/>
      <c r="BQ69" s="1847"/>
      <c r="BR69" s="1847"/>
      <c r="BS69" s="1847"/>
      <c r="BT69" s="1847"/>
      <c r="BU69" s="1847"/>
      <c r="BV69" s="1847"/>
      <c r="BW69" s="1847"/>
      <c r="BX69" s="1847"/>
      <c r="BY69" s="1847"/>
      <c r="BZ69" s="1847"/>
      <c r="CA69" s="1847"/>
      <c r="CB69" s="1847"/>
      <c r="CC69" s="1847"/>
      <c r="CD69" s="1847"/>
      <c r="CE69" s="1847"/>
      <c r="CF69" s="1847"/>
      <c r="CG69" s="1847"/>
      <c r="CH69" s="1847"/>
      <c r="CI69" s="1847"/>
      <c r="CJ69" s="1847"/>
      <c r="CK69" s="1847"/>
      <c r="CL69" s="1847"/>
      <c r="CM69" s="1847"/>
      <c r="CN69" s="1847"/>
      <c r="CO69" s="1847"/>
      <c r="CP69" s="1847"/>
      <c r="CQ69" s="1847"/>
      <c r="CR69" s="1847"/>
      <c r="CS69" s="1847"/>
      <c r="CT69" s="1847"/>
      <c r="CU69" s="1848"/>
      <c r="CV69" s="953"/>
      <c r="CW69" s="1846"/>
      <c r="CX69" s="1847"/>
      <c r="CY69" s="1847"/>
      <c r="CZ69" s="1847"/>
      <c r="DA69" s="1847"/>
      <c r="DB69" s="1847"/>
      <c r="DC69" s="1847"/>
      <c r="DD69" s="1847"/>
      <c r="DE69" s="1847"/>
      <c r="DF69" s="1847"/>
      <c r="DG69" s="1847"/>
      <c r="DH69" s="1847"/>
      <c r="DI69" s="1847"/>
      <c r="DJ69" s="1847"/>
      <c r="DK69" s="1847"/>
      <c r="DL69" s="1847"/>
      <c r="DM69" s="1847"/>
      <c r="DN69" s="1847"/>
      <c r="DO69" s="1847"/>
      <c r="DP69" s="1847"/>
      <c r="DQ69" s="1847"/>
      <c r="DR69" s="1847"/>
      <c r="DS69" s="1847"/>
      <c r="DT69" s="1847"/>
      <c r="DU69" s="1847"/>
      <c r="DV69" s="1847"/>
      <c r="DW69" s="1847"/>
      <c r="DX69" s="1847"/>
      <c r="DY69" s="1847"/>
      <c r="DZ69" s="1847"/>
      <c r="EA69" s="1847"/>
      <c r="EB69" s="1847"/>
      <c r="EC69" s="1848"/>
    </row>
    <row r="70" spans="2:145" ht="6.75" customHeight="1" thickBot="1">
      <c r="C70" s="1844"/>
      <c r="D70" s="1845"/>
      <c r="E70" s="1845"/>
      <c r="F70" s="1845"/>
      <c r="G70" s="1845"/>
      <c r="H70" s="1845"/>
      <c r="I70" s="1845"/>
      <c r="J70" s="1845"/>
      <c r="K70" s="1845"/>
      <c r="L70" s="1845"/>
      <c r="M70" s="1845"/>
      <c r="N70" s="1845"/>
      <c r="O70" s="1845"/>
      <c r="P70" s="1845"/>
      <c r="Q70" s="1845"/>
      <c r="R70" s="1845"/>
      <c r="S70" s="1845"/>
      <c r="T70" s="1845"/>
      <c r="U70" s="1845"/>
      <c r="V70" s="1845"/>
      <c r="W70" s="1845"/>
      <c r="X70" s="1845"/>
      <c r="Y70" s="1845"/>
      <c r="Z70" s="1845"/>
      <c r="AA70" s="1885"/>
      <c r="AB70" s="1886"/>
      <c r="AC70" s="1886"/>
      <c r="AD70" s="1886"/>
      <c r="AE70" s="1886"/>
      <c r="AF70" s="1886"/>
      <c r="AG70" s="1886"/>
      <c r="AH70" s="1887"/>
      <c r="AI70" s="947"/>
      <c r="AJ70" s="2094" t="s">
        <v>1131</v>
      </c>
      <c r="AK70" s="2095"/>
      <c r="AL70" s="2095"/>
      <c r="AM70" s="2095"/>
      <c r="AN70" s="2095"/>
      <c r="AO70" s="2095"/>
      <c r="AP70" s="2095"/>
      <c r="AQ70" s="2095"/>
      <c r="AR70" s="2095"/>
      <c r="AS70" s="2095"/>
      <c r="AT70" s="2095"/>
      <c r="AU70" s="2095"/>
      <c r="AV70" s="2095"/>
      <c r="AW70" s="2095"/>
      <c r="AX70" s="2176"/>
      <c r="AY70" s="2173"/>
      <c r="AZ70" s="2174"/>
      <c r="BA70" s="2174"/>
      <c r="BB70" s="2174"/>
      <c r="BC70" s="2174"/>
      <c r="BD70" s="2174"/>
      <c r="BE70" s="2175"/>
      <c r="BF70" s="951"/>
      <c r="BG70" s="2109">
        <f>(ESTIMATE_SUBTOTAL+BG64+BG67)*AY70</f>
        <v>0</v>
      </c>
      <c r="BH70" s="2110"/>
      <c r="BI70" s="2110"/>
      <c r="BJ70" s="2110"/>
      <c r="BK70" s="2110"/>
      <c r="BL70" s="2110"/>
      <c r="BM70" s="2111"/>
      <c r="BN70" s="947"/>
      <c r="BO70" s="1849"/>
      <c r="BP70" s="1850"/>
      <c r="BQ70" s="1850"/>
      <c r="BR70" s="1850"/>
      <c r="BS70" s="1850"/>
      <c r="BT70" s="1850"/>
      <c r="BU70" s="1850"/>
      <c r="BV70" s="1850"/>
      <c r="BW70" s="1850"/>
      <c r="BX70" s="1850"/>
      <c r="BY70" s="1850"/>
      <c r="BZ70" s="1850"/>
      <c r="CA70" s="1850"/>
      <c r="CB70" s="1850"/>
      <c r="CC70" s="1850"/>
      <c r="CD70" s="1850"/>
      <c r="CE70" s="1850"/>
      <c r="CF70" s="1850"/>
      <c r="CG70" s="1850"/>
      <c r="CH70" s="1850"/>
      <c r="CI70" s="1850"/>
      <c r="CJ70" s="1850"/>
      <c r="CK70" s="1850"/>
      <c r="CL70" s="1850"/>
      <c r="CM70" s="1850"/>
      <c r="CN70" s="1850"/>
      <c r="CO70" s="1850"/>
      <c r="CP70" s="1850"/>
      <c r="CQ70" s="1850"/>
      <c r="CR70" s="1850"/>
      <c r="CS70" s="1850"/>
      <c r="CT70" s="1850"/>
      <c r="CU70" s="1851"/>
      <c r="CV70" s="953"/>
      <c r="CW70" s="1849"/>
      <c r="CX70" s="1850"/>
      <c r="CY70" s="1850"/>
      <c r="CZ70" s="1850"/>
      <c r="DA70" s="1850"/>
      <c r="DB70" s="1850"/>
      <c r="DC70" s="1850"/>
      <c r="DD70" s="1850"/>
      <c r="DE70" s="1850"/>
      <c r="DF70" s="1850"/>
      <c r="DG70" s="1850"/>
      <c r="DH70" s="1850"/>
      <c r="DI70" s="1850"/>
      <c r="DJ70" s="1850"/>
      <c r="DK70" s="1850"/>
      <c r="DL70" s="1850"/>
      <c r="DM70" s="1850"/>
      <c r="DN70" s="1850"/>
      <c r="DO70" s="1850"/>
      <c r="DP70" s="1850"/>
      <c r="DQ70" s="1850"/>
      <c r="DR70" s="1850"/>
      <c r="DS70" s="1850"/>
      <c r="DT70" s="1850"/>
      <c r="DU70" s="1850"/>
      <c r="DV70" s="1850"/>
      <c r="DW70" s="1850"/>
      <c r="DX70" s="1850"/>
      <c r="DY70" s="1850"/>
      <c r="DZ70" s="1850"/>
      <c r="EA70" s="1850"/>
      <c r="EB70" s="1850"/>
      <c r="EC70" s="1851"/>
    </row>
    <row r="71" spans="2:145" ht="6.75" customHeight="1" thickTop="1" thickBot="1">
      <c r="C71" s="1909" t="s">
        <v>350</v>
      </c>
      <c r="D71" s="1910"/>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1"/>
      <c r="AA71" s="1876">
        <f>SUM(AA57:AH70)</f>
        <v>0</v>
      </c>
      <c r="AB71" s="1877"/>
      <c r="AC71" s="1877"/>
      <c r="AD71" s="1877"/>
      <c r="AE71" s="1877"/>
      <c r="AF71" s="1877"/>
      <c r="AG71" s="1877"/>
      <c r="AH71" s="1878"/>
      <c r="AI71" s="947"/>
      <c r="AJ71" s="2094"/>
      <c r="AK71" s="2095"/>
      <c r="AL71" s="2095"/>
      <c r="AM71" s="2095"/>
      <c r="AN71" s="2095"/>
      <c r="AO71" s="2095"/>
      <c r="AP71" s="2095"/>
      <c r="AQ71" s="2095"/>
      <c r="AR71" s="2095"/>
      <c r="AS71" s="2095"/>
      <c r="AT71" s="2095"/>
      <c r="AU71" s="2095"/>
      <c r="AV71" s="2095"/>
      <c r="AW71" s="2095"/>
      <c r="AX71" s="2176"/>
      <c r="AY71" s="2173"/>
      <c r="AZ71" s="2174"/>
      <c r="BA71" s="2174"/>
      <c r="BB71" s="2174"/>
      <c r="BC71" s="2174"/>
      <c r="BD71" s="2174"/>
      <c r="BE71" s="2175"/>
      <c r="BF71" s="951"/>
      <c r="BG71" s="2109"/>
      <c r="BH71" s="2110"/>
      <c r="BI71" s="2110"/>
      <c r="BJ71" s="2110"/>
      <c r="BK71" s="2110"/>
      <c r="BL71" s="2110"/>
      <c r="BM71" s="2111"/>
      <c r="BN71" s="947"/>
      <c r="BO71" s="1894" t="s">
        <v>1235</v>
      </c>
      <c r="BP71" s="1895"/>
      <c r="BQ71" s="1895"/>
      <c r="BR71" s="1895"/>
      <c r="BS71" s="1895"/>
      <c r="BT71" s="1895"/>
      <c r="BU71" s="1895"/>
      <c r="BV71" s="1895"/>
      <c r="BW71" s="1894" t="s">
        <v>1861</v>
      </c>
      <c r="BX71" s="1895"/>
      <c r="BY71" s="1895"/>
      <c r="BZ71" s="1895"/>
      <c r="CA71" s="1895"/>
      <c r="CB71" s="1895"/>
      <c r="CC71" s="1895"/>
      <c r="CD71" s="1895"/>
      <c r="CE71" s="1894" t="s">
        <v>1862</v>
      </c>
      <c r="CF71" s="1895"/>
      <c r="CG71" s="1895"/>
      <c r="CH71" s="1895"/>
      <c r="CI71" s="1895"/>
      <c r="CJ71" s="1895"/>
      <c r="CK71" s="1895"/>
      <c r="CL71" s="1895"/>
      <c r="CM71" s="1894" t="s">
        <v>1863</v>
      </c>
      <c r="CN71" s="1895"/>
      <c r="CO71" s="1895"/>
      <c r="CP71" s="1895"/>
      <c r="CQ71" s="1895"/>
      <c r="CR71" s="1895"/>
      <c r="CS71" s="1895"/>
      <c r="CT71" s="1895"/>
      <c r="CU71" s="1904"/>
      <c r="CV71" s="953"/>
      <c r="CW71" s="1894" t="s">
        <v>1235</v>
      </c>
      <c r="CX71" s="1895"/>
      <c r="CY71" s="1895"/>
      <c r="CZ71" s="1895"/>
      <c r="DA71" s="1895"/>
      <c r="DB71" s="1895"/>
      <c r="DC71" s="1895"/>
      <c r="DD71" s="1895"/>
      <c r="DE71" s="1894" t="s">
        <v>1861</v>
      </c>
      <c r="DF71" s="1895"/>
      <c r="DG71" s="1895"/>
      <c r="DH71" s="1895"/>
      <c r="DI71" s="1895"/>
      <c r="DJ71" s="1895"/>
      <c r="DK71" s="1895"/>
      <c r="DL71" s="1895"/>
      <c r="DM71" s="1894" t="s">
        <v>1862</v>
      </c>
      <c r="DN71" s="1895"/>
      <c r="DO71" s="1895"/>
      <c r="DP71" s="1895"/>
      <c r="DQ71" s="1895"/>
      <c r="DR71" s="1895"/>
      <c r="DS71" s="1895"/>
      <c r="DT71" s="1895"/>
      <c r="DU71" s="1894" t="s">
        <v>1863</v>
      </c>
      <c r="DV71" s="1895"/>
      <c r="DW71" s="1895"/>
      <c r="DX71" s="1895"/>
      <c r="DY71" s="1895"/>
      <c r="DZ71" s="1895"/>
      <c r="EA71" s="1895"/>
      <c r="EB71" s="1895"/>
      <c r="EC71" s="1904"/>
      <c r="EO71" s="503"/>
    </row>
    <row r="72" spans="2:145" ht="6.75" customHeight="1">
      <c r="B72" s="2187" t="s">
        <v>1610</v>
      </c>
      <c r="C72" s="1909"/>
      <c r="D72" s="1910"/>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1"/>
      <c r="AA72" s="1879"/>
      <c r="AB72" s="1880"/>
      <c r="AC72" s="1880"/>
      <c r="AD72" s="1880"/>
      <c r="AE72" s="1880"/>
      <c r="AF72" s="1880"/>
      <c r="AG72" s="1880"/>
      <c r="AH72" s="1881"/>
      <c r="AI72" s="947"/>
      <c r="AJ72" s="2094"/>
      <c r="AK72" s="2095"/>
      <c r="AL72" s="2095"/>
      <c r="AM72" s="2095"/>
      <c r="AN72" s="2095"/>
      <c r="AO72" s="2095"/>
      <c r="AP72" s="2095"/>
      <c r="AQ72" s="2095"/>
      <c r="AR72" s="2095"/>
      <c r="AS72" s="2095"/>
      <c r="AT72" s="2095"/>
      <c r="AU72" s="2095"/>
      <c r="AV72" s="2095"/>
      <c r="AW72" s="2095"/>
      <c r="AX72" s="2176"/>
      <c r="AY72" s="2173"/>
      <c r="AZ72" s="2174"/>
      <c r="BA72" s="2174"/>
      <c r="BB72" s="2174"/>
      <c r="BC72" s="2174"/>
      <c r="BD72" s="2174"/>
      <c r="BE72" s="2175"/>
      <c r="BF72" s="951"/>
      <c r="BG72" s="2109"/>
      <c r="BH72" s="2110"/>
      <c r="BI72" s="2110"/>
      <c r="BJ72" s="2110"/>
      <c r="BK72" s="2110"/>
      <c r="BL72" s="2110"/>
      <c r="BM72" s="2111"/>
      <c r="BN72" s="947"/>
      <c r="BO72" s="1896"/>
      <c r="BP72" s="1897"/>
      <c r="BQ72" s="1897"/>
      <c r="BR72" s="1897"/>
      <c r="BS72" s="1897"/>
      <c r="BT72" s="1897"/>
      <c r="BU72" s="1897"/>
      <c r="BV72" s="1897"/>
      <c r="BW72" s="1896"/>
      <c r="BX72" s="1897"/>
      <c r="BY72" s="1897"/>
      <c r="BZ72" s="1897"/>
      <c r="CA72" s="1897"/>
      <c r="CB72" s="1897"/>
      <c r="CC72" s="1897"/>
      <c r="CD72" s="1897"/>
      <c r="CE72" s="1896"/>
      <c r="CF72" s="1897"/>
      <c r="CG72" s="1897"/>
      <c r="CH72" s="1897"/>
      <c r="CI72" s="1897"/>
      <c r="CJ72" s="1897"/>
      <c r="CK72" s="1897"/>
      <c r="CL72" s="1897"/>
      <c r="CM72" s="1896"/>
      <c r="CN72" s="1897"/>
      <c r="CO72" s="1897"/>
      <c r="CP72" s="1897"/>
      <c r="CQ72" s="1897"/>
      <c r="CR72" s="1897"/>
      <c r="CS72" s="1897"/>
      <c r="CT72" s="1897"/>
      <c r="CU72" s="1905"/>
      <c r="CV72" s="953"/>
      <c r="CW72" s="1896"/>
      <c r="CX72" s="1897"/>
      <c r="CY72" s="1897"/>
      <c r="CZ72" s="1897"/>
      <c r="DA72" s="1897"/>
      <c r="DB72" s="1897"/>
      <c r="DC72" s="1897"/>
      <c r="DD72" s="1897"/>
      <c r="DE72" s="1896"/>
      <c r="DF72" s="1897"/>
      <c r="DG72" s="1897"/>
      <c r="DH72" s="1897"/>
      <c r="DI72" s="1897"/>
      <c r="DJ72" s="1897"/>
      <c r="DK72" s="1897"/>
      <c r="DL72" s="1897"/>
      <c r="DM72" s="1896"/>
      <c r="DN72" s="1897"/>
      <c r="DO72" s="1897"/>
      <c r="DP72" s="1897"/>
      <c r="DQ72" s="1897"/>
      <c r="DR72" s="1897"/>
      <c r="DS72" s="1897"/>
      <c r="DT72" s="1897"/>
      <c r="DU72" s="1896"/>
      <c r="DV72" s="1897"/>
      <c r="DW72" s="1897"/>
      <c r="DX72" s="1897"/>
      <c r="DY72" s="1897"/>
      <c r="DZ72" s="1897"/>
      <c r="EA72" s="1897"/>
      <c r="EB72" s="1897"/>
      <c r="EC72" s="1905"/>
    </row>
    <row r="73" spans="2:145" ht="6.75" customHeight="1">
      <c r="B73" s="2188"/>
      <c r="C73" s="2035" t="s">
        <v>1605</v>
      </c>
      <c r="D73" s="2036"/>
      <c r="E73" s="2036"/>
      <c r="F73" s="2036"/>
      <c r="G73" s="2036"/>
      <c r="H73" s="2036"/>
      <c r="I73" s="2036"/>
      <c r="J73" s="2036"/>
      <c r="K73" s="2036"/>
      <c r="L73" s="2036"/>
      <c r="M73" s="964"/>
      <c r="N73" s="964"/>
      <c r="O73" s="964"/>
      <c r="P73" s="964"/>
      <c r="Q73" s="964"/>
      <c r="R73" s="964"/>
      <c r="S73" s="964"/>
      <c r="T73" s="964"/>
      <c r="U73" s="964"/>
      <c r="V73" s="964"/>
      <c r="W73" s="964"/>
      <c r="X73" s="964"/>
      <c r="Y73" s="964"/>
      <c r="Z73" s="964"/>
      <c r="AA73" s="964"/>
      <c r="AB73" s="964"/>
      <c r="AC73" s="964"/>
      <c r="AD73" s="964"/>
      <c r="AE73" s="964"/>
      <c r="AF73" s="964"/>
      <c r="AG73" s="964"/>
      <c r="AH73" s="965"/>
      <c r="AI73" s="947"/>
      <c r="AJ73" s="2094" t="s">
        <v>1134</v>
      </c>
      <c r="AK73" s="2095"/>
      <c r="AL73" s="2095"/>
      <c r="AM73" s="2095"/>
      <c r="AN73" s="2095"/>
      <c r="AO73" s="2095"/>
      <c r="AP73" s="2095"/>
      <c r="AQ73" s="2095"/>
      <c r="AR73" s="2095"/>
      <c r="AS73" s="2095"/>
      <c r="AT73" s="2095"/>
      <c r="AU73" s="2095"/>
      <c r="AV73" s="2095"/>
      <c r="AW73" s="2095"/>
      <c r="AX73" s="2176"/>
      <c r="AY73" s="2173"/>
      <c r="AZ73" s="2174"/>
      <c r="BA73" s="2174"/>
      <c r="BB73" s="2174"/>
      <c r="BC73" s="2174"/>
      <c r="BD73" s="2174"/>
      <c r="BE73" s="2175"/>
      <c r="BF73" s="951"/>
      <c r="BG73" s="2109">
        <f>(ESTIMATE_SUBTOTAL+BG64+BG67+BG70)*Repair_Contingency_Percentage_Cell</f>
        <v>0</v>
      </c>
      <c r="BH73" s="2110"/>
      <c r="BI73" s="2110"/>
      <c r="BJ73" s="2110"/>
      <c r="BK73" s="2110"/>
      <c r="BL73" s="2110"/>
      <c r="BM73" s="2111"/>
      <c r="BN73" s="947"/>
      <c r="BO73" s="1896"/>
      <c r="BP73" s="1897"/>
      <c r="BQ73" s="1897"/>
      <c r="BR73" s="1897"/>
      <c r="BS73" s="1897"/>
      <c r="BT73" s="1897"/>
      <c r="BU73" s="1897"/>
      <c r="BV73" s="1897"/>
      <c r="BW73" s="1896"/>
      <c r="BX73" s="1897"/>
      <c r="BY73" s="1897"/>
      <c r="BZ73" s="1897"/>
      <c r="CA73" s="1897"/>
      <c r="CB73" s="1897"/>
      <c r="CC73" s="1897"/>
      <c r="CD73" s="1897"/>
      <c r="CE73" s="1896"/>
      <c r="CF73" s="1897"/>
      <c r="CG73" s="1897"/>
      <c r="CH73" s="1897"/>
      <c r="CI73" s="1897"/>
      <c r="CJ73" s="1897"/>
      <c r="CK73" s="1897"/>
      <c r="CL73" s="1897"/>
      <c r="CM73" s="1896"/>
      <c r="CN73" s="1897"/>
      <c r="CO73" s="1897"/>
      <c r="CP73" s="1897"/>
      <c r="CQ73" s="1897"/>
      <c r="CR73" s="1897"/>
      <c r="CS73" s="1897"/>
      <c r="CT73" s="1897"/>
      <c r="CU73" s="1905"/>
      <c r="CV73" s="953"/>
      <c r="CW73" s="1896"/>
      <c r="CX73" s="1897"/>
      <c r="CY73" s="1897"/>
      <c r="CZ73" s="1897"/>
      <c r="DA73" s="1897"/>
      <c r="DB73" s="1897"/>
      <c r="DC73" s="1897"/>
      <c r="DD73" s="1897"/>
      <c r="DE73" s="1896"/>
      <c r="DF73" s="1897"/>
      <c r="DG73" s="1897"/>
      <c r="DH73" s="1897"/>
      <c r="DI73" s="1897"/>
      <c r="DJ73" s="1897"/>
      <c r="DK73" s="1897"/>
      <c r="DL73" s="1897"/>
      <c r="DM73" s="1896"/>
      <c r="DN73" s="1897"/>
      <c r="DO73" s="1897"/>
      <c r="DP73" s="1897"/>
      <c r="DQ73" s="1897"/>
      <c r="DR73" s="1897"/>
      <c r="DS73" s="1897"/>
      <c r="DT73" s="1897"/>
      <c r="DU73" s="1896"/>
      <c r="DV73" s="1897"/>
      <c r="DW73" s="1897"/>
      <c r="DX73" s="1897"/>
      <c r="DY73" s="1897"/>
      <c r="DZ73" s="1897"/>
      <c r="EA73" s="1897"/>
      <c r="EB73" s="1897"/>
      <c r="EC73" s="1905"/>
    </row>
    <row r="74" spans="2:145" ht="6.75" customHeight="1">
      <c r="B74" s="2188"/>
      <c r="C74" s="2035"/>
      <c r="D74" s="2036"/>
      <c r="E74" s="2036"/>
      <c r="F74" s="2036"/>
      <c r="G74" s="2036"/>
      <c r="H74" s="2036"/>
      <c r="I74" s="2036"/>
      <c r="J74" s="2036"/>
      <c r="K74" s="2036"/>
      <c r="L74" s="2036"/>
      <c r="M74" s="964"/>
      <c r="N74" s="964"/>
      <c r="O74" s="964"/>
      <c r="P74" s="964"/>
      <c r="Q74" s="964"/>
      <c r="R74" s="964"/>
      <c r="S74" s="964"/>
      <c r="T74" s="964"/>
      <c r="U74" s="964"/>
      <c r="V74" s="964"/>
      <c r="W74" s="964"/>
      <c r="X74" s="964"/>
      <c r="Y74" s="964"/>
      <c r="Z74" s="964"/>
      <c r="AA74" s="964"/>
      <c r="AB74" s="964"/>
      <c r="AC74" s="964"/>
      <c r="AD74" s="964"/>
      <c r="AE74" s="964"/>
      <c r="AF74" s="964"/>
      <c r="AG74" s="964"/>
      <c r="AH74" s="965"/>
      <c r="AI74" s="947"/>
      <c r="AJ74" s="2094"/>
      <c r="AK74" s="2095"/>
      <c r="AL74" s="2095"/>
      <c r="AM74" s="2095"/>
      <c r="AN74" s="2095"/>
      <c r="AO74" s="2095"/>
      <c r="AP74" s="2095"/>
      <c r="AQ74" s="2095"/>
      <c r="AR74" s="2095"/>
      <c r="AS74" s="2095"/>
      <c r="AT74" s="2095"/>
      <c r="AU74" s="2095"/>
      <c r="AV74" s="2095"/>
      <c r="AW74" s="2095"/>
      <c r="AX74" s="2176"/>
      <c r="AY74" s="2173"/>
      <c r="AZ74" s="2174"/>
      <c r="BA74" s="2174"/>
      <c r="BB74" s="2174"/>
      <c r="BC74" s="2174"/>
      <c r="BD74" s="2174"/>
      <c r="BE74" s="2175"/>
      <c r="BF74" s="951"/>
      <c r="BG74" s="2109"/>
      <c r="BH74" s="2110"/>
      <c r="BI74" s="2110"/>
      <c r="BJ74" s="2110"/>
      <c r="BK74" s="2110"/>
      <c r="BL74" s="2110"/>
      <c r="BM74" s="2111"/>
      <c r="BN74" s="947"/>
      <c r="BO74" s="1883">
        <f>'ANALYSIS DATABASE'!C249</f>
        <v>0</v>
      </c>
      <c r="BP74" s="1884"/>
      <c r="BQ74" s="1884"/>
      <c r="BR74" s="1884"/>
      <c r="BS74" s="1884"/>
      <c r="BT74" s="1884"/>
      <c r="BU74" s="1884"/>
      <c r="BV74" s="1884"/>
      <c r="BW74" s="1883">
        <f>'ANALYSIS DATABASE'!C250</f>
        <v>0</v>
      </c>
      <c r="BX74" s="1884"/>
      <c r="BY74" s="1884"/>
      <c r="BZ74" s="1884"/>
      <c r="CA74" s="1884"/>
      <c r="CB74" s="1884"/>
      <c r="CC74" s="1884"/>
      <c r="CD74" s="1884"/>
      <c r="CE74" s="1883">
        <f>'REHAB FINANCING SETUP'!AP89</f>
        <v>0</v>
      </c>
      <c r="CF74" s="1884"/>
      <c r="CG74" s="1884"/>
      <c r="CH74" s="1884"/>
      <c r="CI74" s="1884"/>
      <c r="CJ74" s="1884"/>
      <c r="CK74" s="1884"/>
      <c r="CL74" s="1884"/>
      <c r="CM74" s="1883">
        <f>'ANALYSIS DATABASE'!C252</f>
        <v>0</v>
      </c>
      <c r="CN74" s="1884"/>
      <c r="CO74" s="1884"/>
      <c r="CP74" s="1884"/>
      <c r="CQ74" s="1884"/>
      <c r="CR74" s="1884"/>
      <c r="CS74" s="1884"/>
      <c r="CT74" s="1884"/>
      <c r="CU74" s="1906"/>
      <c r="CV74" s="953"/>
      <c r="CW74" s="1883">
        <f>'ANALYSIS DATABASE'!C249</f>
        <v>0</v>
      </c>
      <c r="CX74" s="1884"/>
      <c r="CY74" s="1884"/>
      <c r="CZ74" s="1884"/>
      <c r="DA74" s="1884"/>
      <c r="DB74" s="1884"/>
      <c r="DC74" s="1884"/>
      <c r="DD74" s="1884"/>
      <c r="DE74" s="1883">
        <f>'REHAB FINANCING SETUP'!AH149</f>
        <v>0</v>
      </c>
      <c r="DF74" s="1884"/>
      <c r="DG74" s="1884"/>
      <c r="DH74" s="1884"/>
      <c r="DI74" s="1884"/>
      <c r="DJ74" s="1884"/>
      <c r="DK74" s="1884"/>
      <c r="DL74" s="1884"/>
      <c r="DM74" s="1883">
        <f>'REHAB FINANCING SETUP'!AS149</f>
        <v>0</v>
      </c>
      <c r="DN74" s="1884"/>
      <c r="DO74" s="1884"/>
      <c r="DP74" s="1884"/>
      <c r="DQ74" s="1884"/>
      <c r="DR74" s="1884"/>
      <c r="DS74" s="1884"/>
      <c r="DT74" s="1884"/>
      <c r="DU74" s="1883">
        <f>CW74-DE74-DM74</f>
        <v>0</v>
      </c>
      <c r="DV74" s="1884"/>
      <c r="DW74" s="1884"/>
      <c r="DX74" s="1884"/>
      <c r="DY74" s="1884"/>
      <c r="DZ74" s="1884"/>
      <c r="EA74" s="1884"/>
      <c r="EB74" s="1884"/>
      <c r="EC74" s="1906"/>
    </row>
    <row r="75" spans="2:145" ht="6.75" customHeight="1" thickBot="1">
      <c r="B75" s="2188"/>
      <c r="C75" s="1844" t="s">
        <v>791</v>
      </c>
      <c r="D75" s="1845"/>
      <c r="E75" s="1845"/>
      <c r="F75" s="1845"/>
      <c r="G75" s="1845"/>
      <c r="H75" s="1845"/>
      <c r="I75" s="1845"/>
      <c r="J75" s="1845"/>
      <c r="K75" s="1845"/>
      <c r="L75" s="1845"/>
      <c r="M75" s="1845"/>
      <c r="N75" s="1845"/>
      <c r="O75" s="1845"/>
      <c r="P75" s="1845"/>
      <c r="Q75" s="153"/>
      <c r="R75" s="2072"/>
      <c r="S75" s="2072"/>
      <c r="T75" s="2072"/>
      <c r="U75" s="2072"/>
      <c r="V75" s="2072"/>
      <c r="W75" s="2072"/>
      <c r="X75" s="2072"/>
      <c r="Y75" s="2072"/>
      <c r="Z75" s="2073"/>
      <c r="AA75" s="1836">
        <f>'REHAB FINANCING SETUP'!AZ31+'REHAB FINANCING SETUP'!AZ58+'REHAB FINANCING SETUP'!AR37+'REHAB FINANCING SETUP'!AR64</f>
        <v>0</v>
      </c>
      <c r="AB75" s="1837"/>
      <c r="AC75" s="1837"/>
      <c r="AD75" s="1837"/>
      <c r="AE75" s="1837"/>
      <c r="AF75" s="1837"/>
      <c r="AG75" s="1837"/>
      <c r="AH75" s="1838"/>
      <c r="AI75" s="947"/>
      <c r="AJ75" s="2094"/>
      <c r="AK75" s="2095"/>
      <c r="AL75" s="2095"/>
      <c r="AM75" s="2095"/>
      <c r="AN75" s="2095"/>
      <c r="AO75" s="2095"/>
      <c r="AP75" s="2095"/>
      <c r="AQ75" s="2095"/>
      <c r="AR75" s="2095"/>
      <c r="AS75" s="2095"/>
      <c r="AT75" s="2095"/>
      <c r="AU75" s="2095"/>
      <c r="AV75" s="2095"/>
      <c r="AW75" s="2095"/>
      <c r="AX75" s="2176"/>
      <c r="AY75" s="2173"/>
      <c r="AZ75" s="2174"/>
      <c r="BA75" s="2174"/>
      <c r="BB75" s="2174"/>
      <c r="BC75" s="2174"/>
      <c r="BD75" s="2174"/>
      <c r="BE75" s="2175"/>
      <c r="BF75" s="951"/>
      <c r="BG75" s="2112"/>
      <c r="BH75" s="2113"/>
      <c r="BI75" s="2113"/>
      <c r="BJ75" s="2113"/>
      <c r="BK75" s="2113"/>
      <c r="BL75" s="2113"/>
      <c r="BM75" s="2114"/>
      <c r="BN75" s="947"/>
      <c r="BO75" s="1883"/>
      <c r="BP75" s="1884"/>
      <c r="BQ75" s="1884"/>
      <c r="BR75" s="1884"/>
      <c r="BS75" s="1884"/>
      <c r="BT75" s="1884"/>
      <c r="BU75" s="1884"/>
      <c r="BV75" s="1884"/>
      <c r="BW75" s="1883"/>
      <c r="BX75" s="1884"/>
      <c r="BY75" s="1884"/>
      <c r="BZ75" s="1884"/>
      <c r="CA75" s="1884"/>
      <c r="CB75" s="1884"/>
      <c r="CC75" s="1884"/>
      <c r="CD75" s="1884"/>
      <c r="CE75" s="1883"/>
      <c r="CF75" s="1884"/>
      <c r="CG75" s="1884"/>
      <c r="CH75" s="1884"/>
      <c r="CI75" s="1884"/>
      <c r="CJ75" s="1884"/>
      <c r="CK75" s="1884"/>
      <c r="CL75" s="1884"/>
      <c r="CM75" s="1883"/>
      <c r="CN75" s="1884"/>
      <c r="CO75" s="1884"/>
      <c r="CP75" s="1884"/>
      <c r="CQ75" s="1884"/>
      <c r="CR75" s="1884"/>
      <c r="CS75" s="1884"/>
      <c r="CT75" s="1884"/>
      <c r="CU75" s="1906"/>
      <c r="CV75" s="953"/>
      <c r="CW75" s="1883"/>
      <c r="CX75" s="1884"/>
      <c r="CY75" s="1884"/>
      <c r="CZ75" s="1884"/>
      <c r="DA75" s="1884"/>
      <c r="DB75" s="1884"/>
      <c r="DC75" s="1884"/>
      <c r="DD75" s="1884"/>
      <c r="DE75" s="1883"/>
      <c r="DF75" s="1884"/>
      <c r="DG75" s="1884"/>
      <c r="DH75" s="1884"/>
      <c r="DI75" s="1884"/>
      <c r="DJ75" s="1884"/>
      <c r="DK75" s="1884"/>
      <c r="DL75" s="1884"/>
      <c r="DM75" s="1883"/>
      <c r="DN75" s="1884"/>
      <c r="DO75" s="1884"/>
      <c r="DP75" s="1884"/>
      <c r="DQ75" s="1884"/>
      <c r="DR75" s="1884"/>
      <c r="DS75" s="1884"/>
      <c r="DT75" s="1884"/>
      <c r="DU75" s="1883"/>
      <c r="DV75" s="1884"/>
      <c r="DW75" s="1884"/>
      <c r="DX75" s="1884"/>
      <c r="DY75" s="1884"/>
      <c r="DZ75" s="1884"/>
      <c r="EA75" s="1884"/>
      <c r="EB75" s="1884"/>
      <c r="EC75" s="1906"/>
    </row>
    <row r="76" spans="2:145" ht="6.75" customHeight="1" thickTop="1">
      <c r="B76" s="2188"/>
      <c r="C76" s="1844"/>
      <c r="D76" s="1845"/>
      <c r="E76" s="1845"/>
      <c r="F76" s="1845"/>
      <c r="G76" s="1845"/>
      <c r="H76" s="1845"/>
      <c r="I76" s="1845"/>
      <c r="J76" s="1845"/>
      <c r="K76" s="1845"/>
      <c r="L76" s="1845"/>
      <c r="M76" s="1845"/>
      <c r="N76" s="1845"/>
      <c r="O76" s="1845"/>
      <c r="P76" s="1845"/>
      <c r="Q76" s="153"/>
      <c r="R76" s="2072"/>
      <c r="S76" s="2072"/>
      <c r="T76" s="2072"/>
      <c r="U76" s="2072"/>
      <c r="V76" s="2072"/>
      <c r="W76" s="2072"/>
      <c r="X76" s="2072"/>
      <c r="Y76" s="2072"/>
      <c r="Z76" s="2073"/>
      <c r="AA76" s="1839"/>
      <c r="AB76" s="1840"/>
      <c r="AC76" s="1840"/>
      <c r="AD76" s="1840"/>
      <c r="AE76" s="1840"/>
      <c r="AF76" s="1840"/>
      <c r="AG76" s="1840"/>
      <c r="AH76" s="1841"/>
      <c r="AI76" s="947"/>
      <c r="AJ76" s="2082" t="s">
        <v>1158</v>
      </c>
      <c r="AK76" s="2083"/>
      <c r="AL76" s="2083"/>
      <c r="AM76" s="2083"/>
      <c r="AN76" s="2083"/>
      <c r="AO76" s="2083"/>
      <c r="AP76" s="2083"/>
      <c r="AQ76" s="2083"/>
      <c r="AR76" s="2083"/>
      <c r="AS76" s="2083"/>
      <c r="AT76" s="2083"/>
      <c r="AU76" s="2083"/>
      <c r="AV76" s="2083"/>
      <c r="AW76" s="2083"/>
      <c r="AX76" s="2083"/>
      <c r="AY76" s="2083"/>
      <c r="AZ76" s="2083"/>
      <c r="BA76" s="2083"/>
      <c r="BB76" s="2083"/>
      <c r="BC76" s="2083"/>
      <c r="BD76" s="2083"/>
      <c r="BE76" s="2083"/>
      <c r="BF76" s="2083"/>
      <c r="BG76" s="2098">
        <f>SUM(BG64:BK75)</f>
        <v>0</v>
      </c>
      <c r="BH76" s="2099"/>
      <c r="BI76" s="2099"/>
      <c r="BJ76" s="2099"/>
      <c r="BK76" s="2099"/>
      <c r="BL76" s="2099"/>
      <c r="BM76" s="2100"/>
      <c r="BN76" s="947"/>
      <c r="BO76" s="1883"/>
      <c r="BP76" s="1884"/>
      <c r="BQ76" s="1884"/>
      <c r="BR76" s="1884"/>
      <c r="BS76" s="1884"/>
      <c r="BT76" s="1884"/>
      <c r="BU76" s="1884"/>
      <c r="BV76" s="1884"/>
      <c r="BW76" s="1883"/>
      <c r="BX76" s="1884"/>
      <c r="BY76" s="1884"/>
      <c r="BZ76" s="1884"/>
      <c r="CA76" s="1884"/>
      <c r="CB76" s="1884"/>
      <c r="CC76" s="1884"/>
      <c r="CD76" s="1884"/>
      <c r="CE76" s="1883"/>
      <c r="CF76" s="1884"/>
      <c r="CG76" s="1884"/>
      <c r="CH76" s="1884"/>
      <c r="CI76" s="1884"/>
      <c r="CJ76" s="1884"/>
      <c r="CK76" s="1884"/>
      <c r="CL76" s="1884"/>
      <c r="CM76" s="1883"/>
      <c r="CN76" s="1884"/>
      <c r="CO76" s="1884"/>
      <c r="CP76" s="1884"/>
      <c r="CQ76" s="1884"/>
      <c r="CR76" s="1884"/>
      <c r="CS76" s="1884"/>
      <c r="CT76" s="1884"/>
      <c r="CU76" s="1906"/>
      <c r="CV76" s="953"/>
      <c r="CW76" s="1883"/>
      <c r="CX76" s="1884"/>
      <c r="CY76" s="1884"/>
      <c r="CZ76" s="1884"/>
      <c r="DA76" s="1884"/>
      <c r="DB76" s="1884"/>
      <c r="DC76" s="1884"/>
      <c r="DD76" s="1884"/>
      <c r="DE76" s="1883"/>
      <c r="DF76" s="1884"/>
      <c r="DG76" s="1884"/>
      <c r="DH76" s="1884"/>
      <c r="DI76" s="1884"/>
      <c r="DJ76" s="1884"/>
      <c r="DK76" s="1884"/>
      <c r="DL76" s="1884"/>
      <c r="DM76" s="1883"/>
      <c r="DN76" s="1884"/>
      <c r="DO76" s="1884"/>
      <c r="DP76" s="1884"/>
      <c r="DQ76" s="1884"/>
      <c r="DR76" s="1884"/>
      <c r="DS76" s="1884"/>
      <c r="DT76" s="1884"/>
      <c r="DU76" s="1883"/>
      <c r="DV76" s="1884"/>
      <c r="DW76" s="1884"/>
      <c r="DX76" s="1884"/>
      <c r="DY76" s="1884"/>
      <c r="DZ76" s="1884"/>
      <c r="EA76" s="1884"/>
      <c r="EB76" s="1884"/>
      <c r="EC76" s="1906"/>
    </row>
    <row r="77" spans="2:145" ht="6.75" customHeight="1">
      <c r="B77" s="2188"/>
      <c r="C77" s="1844" t="s">
        <v>793</v>
      </c>
      <c r="D77" s="1845"/>
      <c r="E77" s="1845"/>
      <c r="F77" s="1845"/>
      <c r="G77" s="1845"/>
      <c r="H77" s="1845"/>
      <c r="I77" s="1845"/>
      <c r="J77" s="1845"/>
      <c r="K77" s="1845"/>
      <c r="L77" s="1843"/>
      <c r="M77" s="1843"/>
      <c r="N77" s="1843"/>
      <c r="O77" s="1843"/>
      <c r="P77" s="1843"/>
      <c r="Q77" s="1843"/>
      <c r="R77" s="2072"/>
      <c r="S77" s="2072"/>
      <c r="T77" s="2072"/>
      <c r="U77" s="2072"/>
      <c r="V77" s="2072"/>
      <c r="W77" s="2072"/>
      <c r="X77" s="2072"/>
      <c r="Y77" s="2072"/>
      <c r="Z77" s="2073"/>
      <c r="AA77" s="1824">
        <f>'REHAB FINANCING SETUP'!BF29+'REHAB FINANCING SETUP'!BF56</f>
        <v>0</v>
      </c>
      <c r="AB77" s="1825"/>
      <c r="AC77" s="1825"/>
      <c r="AD77" s="1825"/>
      <c r="AE77" s="1825"/>
      <c r="AF77" s="1825"/>
      <c r="AG77" s="1825"/>
      <c r="AH77" s="1826"/>
      <c r="AI77" s="947"/>
      <c r="AJ77" s="2082"/>
      <c r="AK77" s="2083"/>
      <c r="AL77" s="2083"/>
      <c r="AM77" s="2083"/>
      <c r="AN77" s="2083"/>
      <c r="AO77" s="2083"/>
      <c r="AP77" s="2083"/>
      <c r="AQ77" s="2083"/>
      <c r="AR77" s="2083"/>
      <c r="AS77" s="2083"/>
      <c r="AT77" s="2083"/>
      <c r="AU77" s="2083"/>
      <c r="AV77" s="2083"/>
      <c r="AW77" s="2083"/>
      <c r="AX77" s="2083"/>
      <c r="AY77" s="2083"/>
      <c r="AZ77" s="2083"/>
      <c r="BA77" s="2083"/>
      <c r="BB77" s="2083"/>
      <c r="BC77" s="2083"/>
      <c r="BD77" s="2083"/>
      <c r="BE77" s="2083"/>
      <c r="BF77" s="2083"/>
      <c r="BG77" s="2101"/>
      <c r="BH77" s="2102"/>
      <c r="BI77" s="2102"/>
      <c r="BJ77" s="2102"/>
      <c r="BK77" s="2102"/>
      <c r="BL77" s="2102"/>
      <c r="BM77" s="2103"/>
      <c r="BN77" s="947"/>
      <c r="BO77" s="1883"/>
      <c r="BP77" s="1884"/>
      <c r="BQ77" s="1884"/>
      <c r="BR77" s="1884"/>
      <c r="BS77" s="1884"/>
      <c r="BT77" s="1884"/>
      <c r="BU77" s="1884"/>
      <c r="BV77" s="1884"/>
      <c r="BW77" s="1883"/>
      <c r="BX77" s="1884"/>
      <c r="BY77" s="1884"/>
      <c r="BZ77" s="1884"/>
      <c r="CA77" s="1884"/>
      <c r="CB77" s="1884"/>
      <c r="CC77" s="1884"/>
      <c r="CD77" s="1884"/>
      <c r="CE77" s="1883"/>
      <c r="CF77" s="1884"/>
      <c r="CG77" s="1884"/>
      <c r="CH77" s="1884"/>
      <c r="CI77" s="1884"/>
      <c r="CJ77" s="1884"/>
      <c r="CK77" s="1884"/>
      <c r="CL77" s="1884"/>
      <c r="CM77" s="1883"/>
      <c r="CN77" s="1884"/>
      <c r="CO77" s="1884"/>
      <c r="CP77" s="1884"/>
      <c r="CQ77" s="1884"/>
      <c r="CR77" s="1884"/>
      <c r="CS77" s="1884"/>
      <c r="CT77" s="1884"/>
      <c r="CU77" s="1906"/>
      <c r="CV77" s="953"/>
      <c r="CW77" s="1883"/>
      <c r="CX77" s="1884"/>
      <c r="CY77" s="1884"/>
      <c r="CZ77" s="1884"/>
      <c r="DA77" s="1884"/>
      <c r="DB77" s="1884"/>
      <c r="DC77" s="1884"/>
      <c r="DD77" s="1884"/>
      <c r="DE77" s="1883"/>
      <c r="DF77" s="1884"/>
      <c r="DG77" s="1884"/>
      <c r="DH77" s="1884"/>
      <c r="DI77" s="1884"/>
      <c r="DJ77" s="1884"/>
      <c r="DK77" s="1884"/>
      <c r="DL77" s="1884"/>
      <c r="DM77" s="1883"/>
      <c r="DN77" s="1884"/>
      <c r="DO77" s="1884"/>
      <c r="DP77" s="1884"/>
      <c r="DQ77" s="1884"/>
      <c r="DR77" s="1884"/>
      <c r="DS77" s="1884"/>
      <c r="DT77" s="1884"/>
      <c r="DU77" s="1883"/>
      <c r="DV77" s="1884"/>
      <c r="DW77" s="1884"/>
      <c r="DX77" s="1884"/>
      <c r="DY77" s="1884"/>
      <c r="DZ77" s="1884"/>
      <c r="EA77" s="1884"/>
      <c r="EB77" s="1884"/>
      <c r="EC77" s="1906"/>
    </row>
    <row r="78" spans="2:145" ht="6.75" customHeight="1" thickBot="1">
      <c r="B78" s="2188"/>
      <c r="C78" s="1844"/>
      <c r="D78" s="1845"/>
      <c r="E78" s="1845"/>
      <c r="F78" s="1845"/>
      <c r="G78" s="1845"/>
      <c r="H78" s="1845"/>
      <c r="I78" s="1845"/>
      <c r="J78" s="1845"/>
      <c r="K78" s="1845"/>
      <c r="L78" s="1843"/>
      <c r="M78" s="1843"/>
      <c r="N78" s="1843"/>
      <c r="O78" s="1843"/>
      <c r="P78" s="1843"/>
      <c r="Q78" s="1843"/>
      <c r="R78" s="2072"/>
      <c r="S78" s="2072"/>
      <c r="T78" s="2072"/>
      <c r="U78" s="2072"/>
      <c r="V78" s="2072"/>
      <c r="W78" s="2072"/>
      <c r="X78" s="2072"/>
      <c r="Y78" s="2072"/>
      <c r="Z78" s="2073"/>
      <c r="AA78" s="2038"/>
      <c r="AB78" s="2039"/>
      <c r="AC78" s="2039"/>
      <c r="AD78" s="2039"/>
      <c r="AE78" s="2039"/>
      <c r="AF78" s="2039"/>
      <c r="AG78" s="2039"/>
      <c r="AH78" s="2040"/>
      <c r="AI78" s="947"/>
      <c r="AJ78" s="2082"/>
      <c r="AK78" s="2083"/>
      <c r="AL78" s="2083"/>
      <c r="AM78" s="2083"/>
      <c r="AN78" s="2083"/>
      <c r="AO78" s="2083"/>
      <c r="AP78" s="2083"/>
      <c r="AQ78" s="2083"/>
      <c r="AR78" s="2083"/>
      <c r="AS78" s="2083"/>
      <c r="AT78" s="2083"/>
      <c r="AU78" s="2083"/>
      <c r="AV78" s="2083"/>
      <c r="AW78" s="2083"/>
      <c r="AX78" s="2083"/>
      <c r="AY78" s="2083"/>
      <c r="AZ78" s="2083"/>
      <c r="BA78" s="2083"/>
      <c r="BB78" s="2083"/>
      <c r="BC78" s="2083"/>
      <c r="BD78" s="2083"/>
      <c r="BE78" s="2083"/>
      <c r="BF78" s="2083"/>
      <c r="BG78" s="2104"/>
      <c r="BH78" s="2105"/>
      <c r="BI78" s="2105"/>
      <c r="BJ78" s="2105"/>
      <c r="BK78" s="2105"/>
      <c r="BL78" s="2105"/>
      <c r="BM78" s="2106"/>
      <c r="BN78" s="947"/>
      <c r="BO78" s="1883"/>
      <c r="BP78" s="1884"/>
      <c r="BQ78" s="1884"/>
      <c r="BR78" s="1884"/>
      <c r="BS78" s="1884"/>
      <c r="BT78" s="1884"/>
      <c r="BU78" s="1884"/>
      <c r="BV78" s="1884"/>
      <c r="BW78" s="1883"/>
      <c r="BX78" s="1884"/>
      <c r="BY78" s="1884"/>
      <c r="BZ78" s="1884"/>
      <c r="CA78" s="1884"/>
      <c r="CB78" s="1884"/>
      <c r="CC78" s="1884"/>
      <c r="CD78" s="1884"/>
      <c r="CE78" s="1883"/>
      <c r="CF78" s="1884"/>
      <c r="CG78" s="1884"/>
      <c r="CH78" s="1884"/>
      <c r="CI78" s="1884"/>
      <c r="CJ78" s="1884"/>
      <c r="CK78" s="1884"/>
      <c r="CL78" s="1884"/>
      <c r="CM78" s="1883"/>
      <c r="CN78" s="1884"/>
      <c r="CO78" s="1884"/>
      <c r="CP78" s="1884"/>
      <c r="CQ78" s="1884"/>
      <c r="CR78" s="1884"/>
      <c r="CS78" s="1884"/>
      <c r="CT78" s="1884"/>
      <c r="CU78" s="1906"/>
      <c r="CV78" s="953"/>
      <c r="CW78" s="1883"/>
      <c r="CX78" s="1884"/>
      <c r="CY78" s="1884"/>
      <c r="CZ78" s="1884"/>
      <c r="DA78" s="1884"/>
      <c r="DB78" s="1884"/>
      <c r="DC78" s="1884"/>
      <c r="DD78" s="1884"/>
      <c r="DE78" s="1883"/>
      <c r="DF78" s="1884"/>
      <c r="DG78" s="1884"/>
      <c r="DH78" s="1884"/>
      <c r="DI78" s="1884"/>
      <c r="DJ78" s="1884"/>
      <c r="DK78" s="1884"/>
      <c r="DL78" s="1884"/>
      <c r="DM78" s="1883"/>
      <c r="DN78" s="1884"/>
      <c r="DO78" s="1884"/>
      <c r="DP78" s="1884"/>
      <c r="DQ78" s="1884"/>
      <c r="DR78" s="1884"/>
      <c r="DS78" s="1884"/>
      <c r="DT78" s="1884"/>
      <c r="DU78" s="1883"/>
      <c r="DV78" s="1884"/>
      <c r="DW78" s="1884"/>
      <c r="DX78" s="1884"/>
      <c r="DY78" s="1884"/>
      <c r="DZ78" s="1884"/>
      <c r="EA78" s="1884"/>
      <c r="EB78" s="1884"/>
      <c r="EC78" s="1906"/>
    </row>
    <row r="79" spans="2:145" ht="6.75" customHeight="1" thickTop="1">
      <c r="B79" s="2188"/>
      <c r="C79" s="1909" t="s">
        <v>1606</v>
      </c>
      <c r="D79" s="1910"/>
      <c r="E79" s="1910"/>
      <c r="F79" s="1910"/>
      <c r="G79" s="1910"/>
      <c r="H79" s="1910"/>
      <c r="I79" s="1910"/>
      <c r="J79" s="1910"/>
      <c r="K79" s="1910"/>
      <c r="L79" s="1910"/>
      <c r="M79" s="1910"/>
      <c r="N79" s="1910"/>
      <c r="O79" s="1910"/>
      <c r="P79" s="1910"/>
      <c r="Q79" s="1910"/>
      <c r="R79" s="1910"/>
      <c r="S79" s="1910"/>
      <c r="T79" s="1910"/>
      <c r="U79" s="1910"/>
      <c r="V79" s="1910"/>
      <c r="W79" s="1910"/>
      <c r="X79" s="1910"/>
      <c r="Y79" s="1910"/>
      <c r="Z79" s="1911"/>
      <c r="AA79" s="1876">
        <f>SUM(AA75:AH78)</f>
        <v>0</v>
      </c>
      <c r="AB79" s="1877"/>
      <c r="AC79" s="1877"/>
      <c r="AD79" s="1877"/>
      <c r="AE79" s="1877"/>
      <c r="AF79" s="1877"/>
      <c r="AG79" s="1877"/>
      <c r="AH79" s="1878"/>
      <c r="AI79" s="947"/>
      <c r="AJ79" s="968"/>
      <c r="AK79" s="951"/>
      <c r="AL79" s="951"/>
      <c r="AM79" s="951"/>
      <c r="AN79" s="951"/>
      <c r="AO79" s="951"/>
      <c r="AP79" s="951"/>
      <c r="AQ79" s="951"/>
      <c r="AR79" s="951"/>
      <c r="AS79" s="951"/>
      <c r="AT79" s="951"/>
      <c r="AU79" s="951"/>
      <c r="AV79" s="951"/>
      <c r="AW79" s="951"/>
      <c r="AX79" s="951"/>
      <c r="AY79" s="951"/>
      <c r="AZ79" s="951"/>
      <c r="BA79" s="951"/>
      <c r="BB79" s="951"/>
      <c r="BC79" s="951"/>
      <c r="BD79" s="951"/>
      <c r="BE79" s="951"/>
      <c r="BF79" s="951"/>
      <c r="BG79" s="951"/>
      <c r="BH79" s="951"/>
      <c r="BI79" s="951"/>
      <c r="BJ79" s="951"/>
      <c r="BK79" s="951"/>
      <c r="BL79" s="951"/>
      <c r="BM79" s="972"/>
      <c r="BN79" s="947"/>
      <c r="BO79" s="1883"/>
      <c r="BP79" s="1884"/>
      <c r="BQ79" s="1884"/>
      <c r="BR79" s="1884"/>
      <c r="BS79" s="1884"/>
      <c r="BT79" s="1884"/>
      <c r="BU79" s="1884"/>
      <c r="BV79" s="1884"/>
      <c r="BW79" s="1883"/>
      <c r="BX79" s="1884"/>
      <c r="BY79" s="1884"/>
      <c r="BZ79" s="1884"/>
      <c r="CA79" s="1884"/>
      <c r="CB79" s="1884"/>
      <c r="CC79" s="1884"/>
      <c r="CD79" s="1884"/>
      <c r="CE79" s="1883"/>
      <c r="CF79" s="1884"/>
      <c r="CG79" s="1884"/>
      <c r="CH79" s="1884"/>
      <c r="CI79" s="1884"/>
      <c r="CJ79" s="1884"/>
      <c r="CK79" s="1884"/>
      <c r="CL79" s="1884"/>
      <c r="CM79" s="1883"/>
      <c r="CN79" s="1884"/>
      <c r="CO79" s="1884"/>
      <c r="CP79" s="1884"/>
      <c r="CQ79" s="1884"/>
      <c r="CR79" s="1884"/>
      <c r="CS79" s="1884"/>
      <c r="CT79" s="1884"/>
      <c r="CU79" s="1906"/>
      <c r="CV79" s="953"/>
      <c r="CW79" s="1883"/>
      <c r="CX79" s="1884"/>
      <c r="CY79" s="1884"/>
      <c r="CZ79" s="1884"/>
      <c r="DA79" s="1884"/>
      <c r="DB79" s="1884"/>
      <c r="DC79" s="1884"/>
      <c r="DD79" s="1884"/>
      <c r="DE79" s="1883"/>
      <c r="DF79" s="1884"/>
      <c r="DG79" s="1884"/>
      <c r="DH79" s="1884"/>
      <c r="DI79" s="1884"/>
      <c r="DJ79" s="1884"/>
      <c r="DK79" s="1884"/>
      <c r="DL79" s="1884"/>
      <c r="DM79" s="1883"/>
      <c r="DN79" s="1884"/>
      <c r="DO79" s="1884"/>
      <c r="DP79" s="1884"/>
      <c r="DQ79" s="1884"/>
      <c r="DR79" s="1884"/>
      <c r="DS79" s="1884"/>
      <c r="DT79" s="1884"/>
      <c r="DU79" s="1883"/>
      <c r="DV79" s="1884"/>
      <c r="DW79" s="1884"/>
      <c r="DX79" s="1884"/>
      <c r="DY79" s="1884"/>
      <c r="DZ79" s="1884"/>
      <c r="EA79" s="1884"/>
      <c r="EB79" s="1884"/>
      <c r="EC79" s="1906"/>
    </row>
    <row r="80" spans="2:145" ht="6.75" customHeight="1" thickBot="1">
      <c r="B80" s="2188"/>
      <c r="C80" s="1909"/>
      <c r="D80" s="1910"/>
      <c r="E80" s="1910"/>
      <c r="F80" s="1910"/>
      <c r="G80" s="1910"/>
      <c r="H80" s="1910"/>
      <c r="I80" s="1910"/>
      <c r="J80" s="1910"/>
      <c r="K80" s="1910"/>
      <c r="L80" s="1910"/>
      <c r="M80" s="1910"/>
      <c r="N80" s="1910"/>
      <c r="O80" s="1910"/>
      <c r="P80" s="1910"/>
      <c r="Q80" s="1910"/>
      <c r="R80" s="1910"/>
      <c r="S80" s="1910"/>
      <c r="T80" s="1910"/>
      <c r="U80" s="1910"/>
      <c r="V80" s="1910"/>
      <c r="W80" s="1910"/>
      <c r="X80" s="1910"/>
      <c r="Y80" s="1910"/>
      <c r="Z80" s="1911"/>
      <c r="AA80" s="1879"/>
      <c r="AB80" s="1880"/>
      <c r="AC80" s="1880"/>
      <c r="AD80" s="1880"/>
      <c r="AE80" s="1880"/>
      <c r="AF80" s="1880"/>
      <c r="AG80" s="1880"/>
      <c r="AH80" s="1881"/>
      <c r="AI80" s="947"/>
      <c r="AJ80" s="973"/>
      <c r="AK80" s="974"/>
      <c r="AL80" s="974"/>
      <c r="AM80" s="974"/>
      <c r="AN80" s="974"/>
      <c r="AO80" s="974"/>
      <c r="AP80" s="974"/>
      <c r="AQ80" s="974"/>
      <c r="AR80" s="974"/>
      <c r="AS80" s="974"/>
      <c r="AT80" s="974"/>
      <c r="AU80" s="974"/>
      <c r="AV80" s="974"/>
      <c r="AW80" s="974"/>
      <c r="AX80" s="974"/>
      <c r="AY80" s="974"/>
      <c r="AZ80" s="974"/>
      <c r="BA80" s="974"/>
      <c r="BB80" s="974"/>
      <c r="BC80" s="974"/>
      <c r="BD80" s="974"/>
      <c r="BE80" s="974"/>
      <c r="BF80" s="974"/>
      <c r="BG80" s="974"/>
      <c r="BH80" s="974"/>
      <c r="BI80" s="974"/>
      <c r="BJ80" s="974"/>
      <c r="BK80" s="974"/>
      <c r="BL80" s="974"/>
      <c r="BM80" s="975"/>
      <c r="BN80" s="947"/>
      <c r="BO80" s="1883"/>
      <c r="BP80" s="1884"/>
      <c r="BQ80" s="1884"/>
      <c r="BR80" s="1884"/>
      <c r="BS80" s="1884"/>
      <c r="BT80" s="1884"/>
      <c r="BU80" s="1884"/>
      <c r="BV80" s="1884"/>
      <c r="BW80" s="1883"/>
      <c r="BX80" s="1884"/>
      <c r="BY80" s="1884"/>
      <c r="BZ80" s="1884"/>
      <c r="CA80" s="1884"/>
      <c r="CB80" s="1884"/>
      <c r="CC80" s="1884"/>
      <c r="CD80" s="1884"/>
      <c r="CE80" s="1883"/>
      <c r="CF80" s="1884"/>
      <c r="CG80" s="1884"/>
      <c r="CH80" s="1884"/>
      <c r="CI80" s="1884"/>
      <c r="CJ80" s="1884"/>
      <c r="CK80" s="1884"/>
      <c r="CL80" s="1884"/>
      <c r="CM80" s="1883"/>
      <c r="CN80" s="1884"/>
      <c r="CO80" s="1884"/>
      <c r="CP80" s="1884"/>
      <c r="CQ80" s="1884"/>
      <c r="CR80" s="1884"/>
      <c r="CS80" s="1884"/>
      <c r="CT80" s="1884"/>
      <c r="CU80" s="1906"/>
      <c r="CV80" s="953"/>
      <c r="CW80" s="1883"/>
      <c r="CX80" s="1884"/>
      <c r="CY80" s="1884"/>
      <c r="CZ80" s="1884"/>
      <c r="DA80" s="1884"/>
      <c r="DB80" s="1884"/>
      <c r="DC80" s="1884"/>
      <c r="DD80" s="1884"/>
      <c r="DE80" s="1883"/>
      <c r="DF80" s="1884"/>
      <c r="DG80" s="1884"/>
      <c r="DH80" s="1884"/>
      <c r="DI80" s="1884"/>
      <c r="DJ80" s="1884"/>
      <c r="DK80" s="1884"/>
      <c r="DL80" s="1884"/>
      <c r="DM80" s="1883"/>
      <c r="DN80" s="1884"/>
      <c r="DO80" s="1884"/>
      <c r="DP80" s="1884"/>
      <c r="DQ80" s="1884"/>
      <c r="DR80" s="1884"/>
      <c r="DS80" s="1884"/>
      <c r="DT80" s="1884"/>
      <c r="DU80" s="1883"/>
      <c r="DV80" s="1884"/>
      <c r="DW80" s="1884"/>
      <c r="DX80" s="1884"/>
      <c r="DY80" s="1884"/>
      <c r="DZ80" s="1884"/>
      <c r="EA80" s="1884"/>
      <c r="EB80" s="1884"/>
      <c r="EC80" s="1906"/>
    </row>
    <row r="81" spans="2:153" ht="6.75" customHeight="1" thickTop="1" thickBot="1">
      <c r="B81" s="2189"/>
      <c r="C81" s="1907" t="s">
        <v>351</v>
      </c>
      <c r="D81" s="1907"/>
      <c r="E81" s="1907"/>
      <c r="F81" s="1907"/>
      <c r="G81" s="1907"/>
      <c r="H81" s="1907"/>
      <c r="I81" s="1907"/>
      <c r="J81" s="1907"/>
      <c r="K81" s="1907"/>
      <c r="L81" s="1907"/>
      <c r="M81" s="1907"/>
      <c r="N81" s="1907"/>
      <c r="O81" s="1907"/>
      <c r="P81" s="1907"/>
      <c r="Q81" s="1907"/>
      <c r="R81" s="1907"/>
      <c r="S81" s="1907"/>
      <c r="T81" s="1907"/>
      <c r="U81" s="1907"/>
      <c r="V81" s="1907"/>
      <c r="W81" s="1907"/>
      <c r="X81" s="1907"/>
      <c r="Y81" s="1907"/>
      <c r="Z81" s="1907"/>
      <c r="AA81" s="1907"/>
      <c r="AB81" s="1907"/>
      <c r="AC81" s="1907"/>
      <c r="AD81" s="1907"/>
      <c r="AE81" s="1907"/>
      <c r="AF81" s="1907"/>
      <c r="AG81" s="1907"/>
      <c r="AH81" s="1907"/>
      <c r="AI81" s="976"/>
      <c r="AJ81" s="2060" t="s">
        <v>703</v>
      </c>
      <c r="AK81" s="2061"/>
      <c r="AL81" s="2061"/>
      <c r="AM81" s="2061"/>
      <c r="AN81" s="2061"/>
      <c r="AO81" s="2061"/>
      <c r="AP81" s="2061"/>
      <c r="AQ81" s="2061"/>
      <c r="AR81" s="2061"/>
      <c r="AS81" s="2061"/>
      <c r="AT81" s="2061"/>
      <c r="AU81" s="2061"/>
      <c r="AV81" s="2061"/>
      <c r="AW81" s="2061"/>
      <c r="AX81" s="2061"/>
      <c r="AY81" s="2061"/>
      <c r="AZ81" s="2061"/>
      <c r="BA81" s="2061"/>
      <c r="BB81" s="2061"/>
      <c r="BC81" s="2061"/>
      <c r="BD81" s="2061"/>
      <c r="BE81" s="2061"/>
      <c r="BF81" s="2061"/>
      <c r="BG81" s="2061"/>
      <c r="BH81" s="2061"/>
      <c r="BI81" s="2061"/>
      <c r="BJ81" s="2061"/>
      <c r="BK81" s="2061"/>
      <c r="BL81" s="2061"/>
      <c r="BM81" s="2062"/>
      <c r="BN81" s="947"/>
      <c r="BO81" s="1846" t="s">
        <v>953</v>
      </c>
      <c r="BP81" s="1847"/>
      <c r="BQ81" s="1847"/>
      <c r="BR81" s="1847"/>
      <c r="BS81" s="1847"/>
      <c r="BT81" s="1847"/>
      <c r="BU81" s="1847"/>
      <c r="BV81" s="1847"/>
      <c r="BW81" s="1847"/>
      <c r="BX81" s="1847"/>
      <c r="BY81" s="1847"/>
      <c r="BZ81" s="1847"/>
      <c r="CA81" s="1847"/>
      <c r="CB81" s="1847"/>
      <c r="CC81" s="1847"/>
      <c r="CD81" s="1847"/>
      <c r="CE81" s="1847"/>
      <c r="CF81" s="1847"/>
      <c r="CG81" s="1847"/>
      <c r="CH81" s="1847"/>
      <c r="CI81" s="1847"/>
      <c r="CJ81" s="1847"/>
      <c r="CK81" s="1847"/>
      <c r="CL81" s="1847"/>
      <c r="CM81" s="1847"/>
      <c r="CN81" s="1847"/>
      <c r="CO81" s="1847"/>
      <c r="CP81" s="1847"/>
      <c r="CQ81" s="1847"/>
      <c r="CR81" s="1847"/>
      <c r="CS81" s="1847"/>
      <c r="CT81" s="1847"/>
      <c r="CU81" s="1848"/>
      <c r="CV81" s="953"/>
      <c r="CW81" s="1846" t="s">
        <v>953</v>
      </c>
      <c r="CX81" s="1847"/>
      <c r="CY81" s="1847"/>
      <c r="CZ81" s="1847"/>
      <c r="DA81" s="1847"/>
      <c r="DB81" s="1847"/>
      <c r="DC81" s="1847"/>
      <c r="DD81" s="1847"/>
      <c r="DE81" s="1847"/>
      <c r="DF81" s="1847"/>
      <c r="DG81" s="1847"/>
      <c r="DH81" s="1847"/>
      <c r="DI81" s="1847"/>
      <c r="DJ81" s="1847"/>
      <c r="DK81" s="1847"/>
      <c r="DL81" s="1847"/>
      <c r="DM81" s="1847"/>
      <c r="DN81" s="1847"/>
      <c r="DO81" s="1847"/>
      <c r="DP81" s="1847"/>
      <c r="DQ81" s="1847"/>
      <c r="DR81" s="1847"/>
      <c r="DS81" s="1847"/>
      <c r="DT81" s="1847"/>
      <c r="DU81" s="1847"/>
      <c r="DV81" s="1847"/>
      <c r="DW81" s="1847"/>
      <c r="DX81" s="1847"/>
      <c r="DY81" s="1847"/>
      <c r="DZ81" s="1847"/>
      <c r="EA81" s="1847"/>
      <c r="EB81" s="1847"/>
      <c r="EC81" s="1848"/>
    </row>
    <row r="82" spans="2:153" ht="6.75" customHeight="1" thickBot="1">
      <c r="C82" s="1908"/>
      <c r="D82" s="1908"/>
      <c r="E82" s="1908"/>
      <c r="F82" s="1908"/>
      <c r="G82" s="1908"/>
      <c r="H82" s="1908"/>
      <c r="I82" s="1908"/>
      <c r="J82" s="1908"/>
      <c r="K82" s="1908"/>
      <c r="L82" s="1908"/>
      <c r="M82" s="1908"/>
      <c r="N82" s="1908"/>
      <c r="O82" s="1908"/>
      <c r="P82" s="1908"/>
      <c r="Q82" s="1908"/>
      <c r="R82" s="1908"/>
      <c r="S82" s="1908"/>
      <c r="T82" s="1908"/>
      <c r="U82" s="1908"/>
      <c r="V82" s="1908"/>
      <c r="W82" s="1908"/>
      <c r="X82" s="1908"/>
      <c r="Y82" s="1908"/>
      <c r="Z82" s="1908"/>
      <c r="AA82" s="1908"/>
      <c r="AB82" s="1908"/>
      <c r="AC82" s="1908"/>
      <c r="AD82" s="1908"/>
      <c r="AE82" s="1908"/>
      <c r="AF82" s="1908"/>
      <c r="AG82" s="1908"/>
      <c r="AH82" s="1908"/>
      <c r="AI82" s="976"/>
      <c r="AJ82" s="2063"/>
      <c r="AK82" s="2064"/>
      <c r="AL82" s="2064"/>
      <c r="AM82" s="2064"/>
      <c r="AN82" s="2064"/>
      <c r="AO82" s="2064"/>
      <c r="AP82" s="2064"/>
      <c r="AQ82" s="2064"/>
      <c r="AR82" s="2064"/>
      <c r="AS82" s="2064"/>
      <c r="AT82" s="2064"/>
      <c r="AU82" s="2064"/>
      <c r="AV82" s="2064"/>
      <c r="AW82" s="2064"/>
      <c r="AX82" s="2064"/>
      <c r="AY82" s="2064"/>
      <c r="AZ82" s="2064"/>
      <c r="BA82" s="2064"/>
      <c r="BB82" s="2064"/>
      <c r="BC82" s="2064"/>
      <c r="BD82" s="2064"/>
      <c r="BE82" s="2064"/>
      <c r="BF82" s="2064"/>
      <c r="BG82" s="2064"/>
      <c r="BH82" s="2064"/>
      <c r="BI82" s="2064"/>
      <c r="BJ82" s="2064"/>
      <c r="BK82" s="2064"/>
      <c r="BL82" s="2064"/>
      <c r="BM82" s="2065"/>
      <c r="BN82" s="947"/>
      <c r="BO82" s="1846"/>
      <c r="BP82" s="1847"/>
      <c r="BQ82" s="1847"/>
      <c r="BR82" s="1847"/>
      <c r="BS82" s="1847"/>
      <c r="BT82" s="1847"/>
      <c r="BU82" s="1847"/>
      <c r="BV82" s="1847"/>
      <c r="BW82" s="1847"/>
      <c r="BX82" s="1847"/>
      <c r="BY82" s="1847"/>
      <c r="BZ82" s="1847"/>
      <c r="CA82" s="1847"/>
      <c r="CB82" s="1847"/>
      <c r="CC82" s="1847"/>
      <c r="CD82" s="1847"/>
      <c r="CE82" s="1847"/>
      <c r="CF82" s="1847"/>
      <c r="CG82" s="1847"/>
      <c r="CH82" s="1847"/>
      <c r="CI82" s="1847"/>
      <c r="CJ82" s="1847"/>
      <c r="CK82" s="1847"/>
      <c r="CL82" s="1847"/>
      <c r="CM82" s="1847"/>
      <c r="CN82" s="1847"/>
      <c r="CO82" s="1847"/>
      <c r="CP82" s="1847"/>
      <c r="CQ82" s="1847"/>
      <c r="CR82" s="1847"/>
      <c r="CS82" s="1847"/>
      <c r="CT82" s="1847"/>
      <c r="CU82" s="1848"/>
      <c r="CV82" s="953"/>
      <c r="CW82" s="1846"/>
      <c r="CX82" s="1847"/>
      <c r="CY82" s="1847"/>
      <c r="CZ82" s="1847"/>
      <c r="DA82" s="1847"/>
      <c r="DB82" s="1847"/>
      <c r="DC82" s="1847"/>
      <c r="DD82" s="1847"/>
      <c r="DE82" s="1847"/>
      <c r="DF82" s="1847"/>
      <c r="DG82" s="1847"/>
      <c r="DH82" s="1847"/>
      <c r="DI82" s="1847"/>
      <c r="DJ82" s="1847"/>
      <c r="DK82" s="1847"/>
      <c r="DL82" s="1847"/>
      <c r="DM82" s="1847"/>
      <c r="DN82" s="1847"/>
      <c r="DO82" s="1847"/>
      <c r="DP82" s="1847"/>
      <c r="DQ82" s="1847"/>
      <c r="DR82" s="1847"/>
      <c r="DS82" s="1847"/>
      <c r="DT82" s="1847"/>
      <c r="DU82" s="1847"/>
      <c r="DV82" s="1847"/>
      <c r="DW82" s="1847"/>
      <c r="DX82" s="1847"/>
      <c r="DY82" s="1847"/>
      <c r="DZ82" s="1847"/>
      <c r="EA82" s="1847"/>
      <c r="EB82" s="1847"/>
      <c r="EC82" s="1848"/>
    </row>
    <row r="83" spans="2:153" ht="6.75" customHeight="1" thickBot="1">
      <c r="C83" s="1908"/>
      <c r="D83" s="1908"/>
      <c r="E83" s="1908"/>
      <c r="F83" s="1908"/>
      <c r="G83" s="1908"/>
      <c r="H83" s="1908"/>
      <c r="I83" s="1908"/>
      <c r="J83" s="1908"/>
      <c r="K83" s="1908"/>
      <c r="L83" s="1908"/>
      <c r="M83" s="1908"/>
      <c r="N83" s="1908"/>
      <c r="O83" s="1908"/>
      <c r="P83" s="1908"/>
      <c r="Q83" s="1908"/>
      <c r="R83" s="1908"/>
      <c r="S83" s="1908"/>
      <c r="T83" s="1908"/>
      <c r="U83" s="1908"/>
      <c r="V83" s="1908"/>
      <c r="W83" s="1908"/>
      <c r="X83" s="1908"/>
      <c r="Y83" s="1908"/>
      <c r="Z83" s="1908"/>
      <c r="AA83" s="1908"/>
      <c r="AB83" s="1908"/>
      <c r="AC83" s="1908"/>
      <c r="AD83" s="1908"/>
      <c r="AE83" s="1908"/>
      <c r="AF83" s="1908"/>
      <c r="AG83" s="1908"/>
      <c r="AH83" s="1908"/>
      <c r="AI83" s="947"/>
      <c r="AJ83" s="2066"/>
      <c r="AK83" s="2067"/>
      <c r="AL83" s="2067"/>
      <c r="AM83" s="2067"/>
      <c r="AN83" s="2067"/>
      <c r="AO83" s="2067"/>
      <c r="AP83" s="2067"/>
      <c r="AQ83" s="2067"/>
      <c r="AR83" s="2067"/>
      <c r="AS83" s="2067"/>
      <c r="AT83" s="2067"/>
      <c r="AU83" s="2067"/>
      <c r="AV83" s="2067"/>
      <c r="AW83" s="2067"/>
      <c r="AX83" s="2067"/>
      <c r="AY83" s="2067"/>
      <c r="AZ83" s="2067"/>
      <c r="BA83" s="2067"/>
      <c r="BB83" s="2067"/>
      <c r="BC83" s="2067"/>
      <c r="BD83" s="2067"/>
      <c r="BE83" s="2067"/>
      <c r="BF83" s="2067"/>
      <c r="BG83" s="2067"/>
      <c r="BH83" s="2067"/>
      <c r="BI83" s="2067"/>
      <c r="BJ83" s="2067"/>
      <c r="BK83" s="2067"/>
      <c r="BL83" s="2067"/>
      <c r="BM83" s="2068"/>
      <c r="BN83" s="947"/>
      <c r="BO83" s="1849"/>
      <c r="BP83" s="1850"/>
      <c r="BQ83" s="1850"/>
      <c r="BR83" s="1850"/>
      <c r="BS83" s="1850"/>
      <c r="BT83" s="1850"/>
      <c r="BU83" s="1850"/>
      <c r="BV83" s="1850"/>
      <c r="BW83" s="1850"/>
      <c r="BX83" s="1850"/>
      <c r="BY83" s="1850"/>
      <c r="BZ83" s="1850"/>
      <c r="CA83" s="1850"/>
      <c r="CB83" s="1850"/>
      <c r="CC83" s="1850"/>
      <c r="CD83" s="1850"/>
      <c r="CE83" s="1850"/>
      <c r="CF83" s="1850"/>
      <c r="CG83" s="1850"/>
      <c r="CH83" s="1850"/>
      <c r="CI83" s="1850"/>
      <c r="CJ83" s="1850"/>
      <c r="CK83" s="1850"/>
      <c r="CL83" s="1850"/>
      <c r="CM83" s="1850"/>
      <c r="CN83" s="1850"/>
      <c r="CO83" s="1850"/>
      <c r="CP83" s="1850"/>
      <c r="CQ83" s="1850"/>
      <c r="CR83" s="1850"/>
      <c r="CS83" s="1850"/>
      <c r="CT83" s="1850"/>
      <c r="CU83" s="1851"/>
      <c r="CV83" s="953"/>
      <c r="CW83" s="1849"/>
      <c r="CX83" s="1850"/>
      <c r="CY83" s="1850"/>
      <c r="CZ83" s="1850"/>
      <c r="DA83" s="1850"/>
      <c r="DB83" s="1850"/>
      <c r="DC83" s="1850"/>
      <c r="DD83" s="1850"/>
      <c r="DE83" s="1850"/>
      <c r="DF83" s="1850"/>
      <c r="DG83" s="1850"/>
      <c r="DH83" s="1850"/>
      <c r="DI83" s="1850"/>
      <c r="DJ83" s="1850"/>
      <c r="DK83" s="1850"/>
      <c r="DL83" s="1850"/>
      <c r="DM83" s="1850"/>
      <c r="DN83" s="1850"/>
      <c r="DO83" s="1850"/>
      <c r="DP83" s="1850"/>
      <c r="DQ83" s="1850"/>
      <c r="DR83" s="1850"/>
      <c r="DS83" s="1850"/>
      <c r="DT83" s="1850"/>
      <c r="DU83" s="1850"/>
      <c r="DV83" s="1850"/>
      <c r="DW83" s="1850"/>
      <c r="DX83" s="1850"/>
      <c r="DY83" s="1850"/>
      <c r="DZ83" s="1850"/>
      <c r="EA83" s="1850"/>
      <c r="EB83" s="1850"/>
      <c r="EC83" s="1851"/>
    </row>
    <row r="84" spans="2:153" ht="6.75" customHeight="1">
      <c r="C84" s="2140" t="str">
        <f>IF(C86="","","% of ARV")</f>
        <v/>
      </c>
      <c r="D84" s="2115"/>
      <c r="E84" s="2115"/>
      <c r="F84" s="2115"/>
      <c r="G84" s="2115"/>
      <c r="H84" s="2026">
        <f>IF(Fixed_Cost_Calculation_Method="% OF ARV",AE16*AFTER_REPAIR_VALUE_CELL,TOTAL_BUYING_COSTS_ESTIMATED+TOTAL_HOLDING_COSTS_ESTIMATED+TOTAL_SELLING_COSTS_ESTIMATED+TOTAL_FINANCING_COSTS)</f>
        <v>0</v>
      </c>
      <c r="I84" s="2026"/>
      <c r="J84" s="2026"/>
      <c r="K84" s="2026"/>
      <c r="L84" s="2026"/>
      <c r="M84" s="2026"/>
      <c r="N84" s="2026"/>
      <c r="O84" s="2026"/>
      <c r="P84" s="2026"/>
      <c r="Q84" s="2026"/>
      <c r="R84" s="2026"/>
      <c r="S84" s="2026"/>
      <c r="T84" s="2026"/>
      <c r="U84" s="2026"/>
      <c r="V84" s="2026"/>
      <c r="W84" s="2026"/>
      <c r="X84" s="2026"/>
      <c r="Y84" s="2026"/>
      <c r="Z84" s="2026"/>
      <c r="AA84" s="2026"/>
      <c r="AB84" s="2026"/>
      <c r="AC84" s="2026"/>
      <c r="AD84" s="2115" t="str">
        <f>IF(AD86="","","$ /SF")</f>
        <v/>
      </c>
      <c r="AE84" s="2115"/>
      <c r="AF84" s="2115"/>
      <c r="AG84" s="2115"/>
      <c r="AH84" s="2145"/>
      <c r="AI84" s="947"/>
      <c r="AJ84" s="2132" t="str">
        <f>IF(AJ86="","","% of ARV")</f>
        <v/>
      </c>
      <c r="AK84" s="2115"/>
      <c r="AL84" s="2115"/>
      <c r="AM84" s="2115"/>
      <c r="AN84" s="2115"/>
      <c r="AO84" s="2121">
        <f>BE127</f>
        <v>0</v>
      </c>
      <c r="AP84" s="2121"/>
      <c r="AQ84" s="2121"/>
      <c r="AR84" s="2121"/>
      <c r="AS84" s="2121"/>
      <c r="AT84" s="2121"/>
      <c r="AU84" s="2121"/>
      <c r="AV84" s="2121"/>
      <c r="AW84" s="2121"/>
      <c r="AX84" s="2121"/>
      <c r="AY84" s="2121"/>
      <c r="AZ84" s="2121"/>
      <c r="BA84" s="2121"/>
      <c r="BB84" s="2121"/>
      <c r="BC84" s="2121"/>
      <c r="BD84" s="2121"/>
      <c r="BE84" s="2121"/>
      <c r="BF84" s="2121"/>
      <c r="BG84" s="2121"/>
      <c r="BH84" s="2121"/>
      <c r="BI84" s="2115" t="str">
        <f>IF(BI86="","","$/ SF")</f>
        <v/>
      </c>
      <c r="BJ84" s="2115"/>
      <c r="BK84" s="2115"/>
      <c r="BL84" s="2115"/>
      <c r="BM84" s="2116"/>
      <c r="BN84" s="947"/>
      <c r="BO84" s="1852">
        <f>TOTAL_FIXED_COSTS_ESTIMATED+TOTAL_REPAIRS_ESTIMATE+Maximum_Purchase_Price</f>
        <v>0</v>
      </c>
      <c r="BP84" s="1853"/>
      <c r="BQ84" s="1853"/>
      <c r="BR84" s="1853"/>
      <c r="BS84" s="1853"/>
      <c r="BT84" s="1853"/>
      <c r="BU84" s="1853"/>
      <c r="BV84" s="1853"/>
      <c r="BW84" s="1853"/>
      <c r="BX84" s="1853"/>
      <c r="BY84" s="1853"/>
      <c r="BZ84" s="1853"/>
      <c r="CA84" s="1853"/>
      <c r="CB84" s="1853"/>
      <c r="CC84" s="1853"/>
      <c r="CD84" s="1853"/>
      <c r="CE84" s="1853"/>
      <c r="CF84" s="1853"/>
      <c r="CG84" s="1853"/>
      <c r="CH84" s="1853"/>
      <c r="CI84" s="1853"/>
      <c r="CJ84" s="1853"/>
      <c r="CK84" s="1853"/>
      <c r="CL84" s="1853"/>
      <c r="CM84" s="1853"/>
      <c r="CN84" s="1853"/>
      <c r="CO84" s="1853"/>
      <c r="CP84" s="1853"/>
      <c r="CQ84" s="1853"/>
      <c r="CR84" s="1853"/>
      <c r="CS84" s="1853"/>
      <c r="CT84" s="1853"/>
      <c r="CU84" s="1854"/>
      <c r="CV84" s="953"/>
      <c r="CW84" s="1852">
        <f>TOTAL_FIXED_COSTS_ESTIMATED+TOTAL_REPAIRS_ESTIMATE+Known_Purchase_Price_Cell</f>
        <v>0</v>
      </c>
      <c r="CX84" s="1853"/>
      <c r="CY84" s="1853"/>
      <c r="CZ84" s="1853"/>
      <c r="DA84" s="1853"/>
      <c r="DB84" s="1853"/>
      <c r="DC84" s="1853"/>
      <c r="DD84" s="1853"/>
      <c r="DE84" s="1853"/>
      <c r="DF84" s="1853"/>
      <c r="DG84" s="1853"/>
      <c r="DH84" s="1853"/>
      <c r="DI84" s="1853"/>
      <c r="DJ84" s="1853"/>
      <c r="DK84" s="1853"/>
      <c r="DL84" s="1853"/>
      <c r="DM84" s="1853"/>
      <c r="DN84" s="1853"/>
      <c r="DO84" s="1853"/>
      <c r="DP84" s="1853"/>
      <c r="DQ84" s="1853"/>
      <c r="DR84" s="1853"/>
      <c r="DS84" s="1853"/>
      <c r="DT84" s="1853"/>
      <c r="DU84" s="1853"/>
      <c r="DV84" s="1853"/>
      <c r="DW84" s="1853"/>
      <c r="DX84" s="1853"/>
      <c r="DY84" s="1853"/>
      <c r="DZ84" s="1853"/>
      <c r="EA84" s="1853"/>
      <c r="EB84" s="1853"/>
      <c r="EC84" s="1854"/>
    </row>
    <row r="85" spans="2:153" ht="6.75" customHeight="1">
      <c r="C85" s="2140"/>
      <c r="D85" s="2115"/>
      <c r="E85" s="2115"/>
      <c r="F85" s="2115"/>
      <c r="G85" s="2115"/>
      <c r="H85" s="2026"/>
      <c r="I85" s="2026"/>
      <c r="J85" s="2026"/>
      <c r="K85" s="2026"/>
      <c r="L85" s="2026"/>
      <c r="M85" s="2026"/>
      <c r="N85" s="2026"/>
      <c r="O85" s="2026"/>
      <c r="P85" s="2026"/>
      <c r="Q85" s="2026"/>
      <c r="R85" s="2026"/>
      <c r="S85" s="2026"/>
      <c r="T85" s="2026"/>
      <c r="U85" s="2026"/>
      <c r="V85" s="2026"/>
      <c r="W85" s="2026"/>
      <c r="X85" s="2026"/>
      <c r="Y85" s="2026"/>
      <c r="Z85" s="2026"/>
      <c r="AA85" s="2026"/>
      <c r="AB85" s="2026"/>
      <c r="AC85" s="2026"/>
      <c r="AD85" s="2115"/>
      <c r="AE85" s="2115"/>
      <c r="AF85" s="2115"/>
      <c r="AG85" s="2115"/>
      <c r="AH85" s="2145"/>
      <c r="AI85" s="947"/>
      <c r="AJ85" s="2132"/>
      <c r="AK85" s="2115"/>
      <c r="AL85" s="2115"/>
      <c r="AM85" s="2115"/>
      <c r="AN85" s="2115"/>
      <c r="AO85" s="2121"/>
      <c r="AP85" s="2121"/>
      <c r="AQ85" s="2121"/>
      <c r="AR85" s="2121"/>
      <c r="AS85" s="2121"/>
      <c r="AT85" s="2121"/>
      <c r="AU85" s="2121"/>
      <c r="AV85" s="2121"/>
      <c r="AW85" s="2121"/>
      <c r="AX85" s="2121"/>
      <c r="AY85" s="2121"/>
      <c r="AZ85" s="2121"/>
      <c r="BA85" s="2121"/>
      <c r="BB85" s="2121"/>
      <c r="BC85" s="2121"/>
      <c r="BD85" s="2121"/>
      <c r="BE85" s="2121"/>
      <c r="BF85" s="2121"/>
      <c r="BG85" s="2121"/>
      <c r="BH85" s="2121"/>
      <c r="BI85" s="2115"/>
      <c r="BJ85" s="2115"/>
      <c r="BK85" s="2115"/>
      <c r="BL85" s="2115"/>
      <c r="BM85" s="2116"/>
      <c r="BN85" s="947"/>
      <c r="BO85" s="1855"/>
      <c r="BP85" s="1856"/>
      <c r="BQ85" s="1856"/>
      <c r="BR85" s="1856"/>
      <c r="BS85" s="1856"/>
      <c r="BT85" s="1856"/>
      <c r="BU85" s="1856"/>
      <c r="BV85" s="1856"/>
      <c r="BW85" s="1856"/>
      <c r="BX85" s="1856"/>
      <c r="BY85" s="1856"/>
      <c r="BZ85" s="1856"/>
      <c r="CA85" s="1856"/>
      <c r="CB85" s="1856"/>
      <c r="CC85" s="1856"/>
      <c r="CD85" s="1856"/>
      <c r="CE85" s="1856"/>
      <c r="CF85" s="1856"/>
      <c r="CG85" s="1856"/>
      <c r="CH85" s="1856"/>
      <c r="CI85" s="1856"/>
      <c r="CJ85" s="1856"/>
      <c r="CK85" s="1856"/>
      <c r="CL85" s="1856"/>
      <c r="CM85" s="1856"/>
      <c r="CN85" s="1856"/>
      <c r="CO85" s="1856"/>
      <c r="CP85" s="1856"/>
      <c r="CQ85" s="1856"/>
      <c r="CR85" s="1856"/>
      <c r="CS85" s="1856"/>
      <c r="CT85" s="1856"/>
      <c r="CU85" s="1857"/>
      <c r="CV85" s="953"/>
      <c r="CW85" s="1855"/>
      <c r="CX85" s="1856"/>
      <c r="CY85" s="1856"/>
      <c r="CZ85" s="1856"/>
      <c r="DA85" s="1856"/>
      <c r="DB85" s="1856"/>
      <c r="DC85" s="1856"/>
      <c r="DD85" s="1856"/>
      <c r="DE85" s="1856"/>
      <c r="DF85" s="1856"/>
      <c r="DG85" s="1856"/>
      <c r="DH85" s="1856"/>
      <c r="DI85" s="1856"/>
      <c r="DJ85" s="1856"/>
      <c r="DK85" s="1856"/>
      <c r="DL85" s="1856"/>
      <c r="DM85" s="1856"/>
      <c r="DN85" s="1856"/>
      <c r="DO85" s="1856"/>
      <c r="DP85" s="1856"/>
      <c r="DQ85" s="1856"/>
      <c r="DR85" s="1856"/>
      <c r="DS85" s="1856"/>
      <c r="DT85" s="1856"/>
      <c r="DU85" s="1856"/>
      <c r="DV85" s="1856"/>
      <c r="DW85" s="1856"/>
      <c r="DX85" s="1856"/>
      <c r="DY85" s="1856"/>
      <c r="DZ85" s="1856"/>
      <c r="EA85" s="1856"/>
      <c r="EB85" s="1856"/>
      <c r="EC85" s="1857"/>
    </row>
    <row r="86" spans="2:153" ht="6.75" customHeight="1">
      <c r="C86" s="2141" t="str">
        <f>IFERROR(TOTAL_FIXED_COSTS_ESTIMATED/AFTER_REPAIR_VALUE_CELL,"")</f>
        <v/>
      </c>
      <c r="D86" s="2142"/>
      <c r="E86" s="2142"/>
      <c r="F86" s="2142"/>
      <c r="G86" s="2142"/>
      <c r="H86" s="2026"/>
      <c r="I86" s="2026"/>
      <c r="J86" s="2026"/>
      <c r="K86" s="2026"/>
      <c r="L86" s="2026"/>
      <c r="M86" s="2026"/>
      <c r="N86" s="2026"/>
      <c r="O86" s="2026"/>
      <c r="P86" s="2026"/>
      <c r="Q86" s="2026"/>
      <c r="R86" s="2026"/>
      <c r="S86" s="2026"/>
      <c r="T86" s="2026"/>
      <c r="U86" s="2026"/>
      <c r="V86" s="2026"/>
      <c r="W86" s="2026"/>
      <c r="X86" s="2026"/>
      <c r="Y86" s="2026"/>
      <c r="Z86" s="2026"/>
      <c r="AA86" s="2026"/>
      <c r="AB86" s="2026"/>
      <c r="AC86" s="2026"/>
      <c r="AD86" s="2146" t="str">
        <f>IFERROR(TOTAL_FIXED_COSTS_ESTIMATED/Square_Feet,"")</f>
        <v/>
      </c>
      <c r="AE86" s="2146"/>
      <c r="AF86" s="2146"/>
      <c r="AG86" s="2146"/>
      <c r="AH86" s="2147"/>
      <c r="AI86" s="947"/>
      <c r="AJ86" s="2133" t="str">
        <f>IFERROR(TOTAL_REMODEL_ESTIMATE/AFTER_REPAIR_VALUE_CELL,"")</f>
        <v/>
      </c>
      <c r="AK86" s="2134"/>
      <c r="AL86" s="2134"/>
      <c r="AM86" s="2134"/>
      <c r="AN86" s="2134"/>
      <c r="AO86" s="2121"/>
      <c r="AP86" s="2121"/>
      <c r="AQ86" s="2121"/>
      <c r="AR86" s="2121"/>
      <c r="AS86" s="2121"/>
      <c r="AT86" s="2121"/>
      <c r="AU86" s="2121"/>
      <c r="AV86" s="2121"/>
      <c r="AW86" s="2121"/>
      <c r="AX86" s="2121"/>
      <c r="AY86" s="2121"/>
      <c r="AZ86" s="2121"/>
      <c r="BA86" s="2121"/>
      <c r="BB86" s="2121"/>
      <c r="BC86" s="2121"/>
      <c r="BD86" s="2121"/>
      <c r="BE86" s="2121"/>
      <c r="BF86" s="2121"/>
      <c r="BG86" s="2121"/>
      <c r="BH86" s="2121"/>
      <c r="BI86" s="2117" t="str">
        <f>IFERROR(TOTAL_REMODEL_ESTIMATE/Square_Feet,"")</f>
        <v/>
      </c>
      <c r="BJ86" s="2117"/>
      <c r="BK86" s="2117"/>
      <c r="BL86" s="2117"/>
      <c r="BM86" s="2118"/>
      <c r="BN86" s="947"/>
      <c r="BO86" s="1855"/>
      <c r="BP86" s="1856"/>
      <c r="BQ86" s="1856"/>
      <c r="BR86" s="1856"/>
      <c r="BS86" s="1856"/>
      <c r="BT86" s="1856"/>
      <c r="BU86" s="1856"/>
      <c r="BV86" s="1856"/>
      <c r="BW86" s="1856"/>
      <c r="BX86" s="1856"/>
      <c r="BY86" s="1856"/>
      <c r="BZ86" s="1856"/>
      <c r="CA86" s="1856"/>
      <c r="CB86" s="1856"/>
      <c r="CC86" s="1856"/>
      <c r="CD86" s="1856"/>
      <c r="CE86" s="1856"/>
      <c r="CF86" s="1856"/>
      <c r="CG86" s="1856"/>
      <c r="CH86" s="1856"/>
      <c r="CI86" s="1856"/>
      <c r="CJ86" s="1856"/>
      <c r="CK86" s="1856"/>
      <c r="CL86" s="1856"/>
      <c r="CM86" s="1856"/>
      <c r="CN86" s="1856"/>
      <c r="CO86" s="1856"/>
      <c r="CP86" s="1856"/>
      <c r="CQ86" s="1856"/>
      <c r="CR86" s="1856"/>
      <c r="CS86" s="1856"/>
      <c r="CT86" s="1856"/>
      <c r="CU86" s="1857"/>
      <c r="CV86" s="953"/>
      <c r="CW86" s="1855"/>
      <c r="CX86" s="1856"/>
      <c r="CY86" s="1856"/>
      <c r="CZ86" s="1856"/>
      <c r="DA86" s="1856"/>
      <c r="DB86" s="1856"/>
      <c r="DC86" s="1856"/>
      <c r="DD86" s="1856"/>
      <c r="DE86" s="1856"/>
      <c r="DF86" s="1856"/>
      <c r="DG86" s="1856"/>
      <c r="DH86" s="1856"/>
      <c r="DI86" s="1856"/>
      <c r="DJ86" s="1856"/>
      <c r="DK86" s="1856"/>
      <c r="DL86" s="1856"/>
      <c r="DM86" s="1856"/>
      <c r="DN86" s="1856"/>
      <c r="DO86" s="1856"/>
      <c r="DP86" s="1856"/>
      <c r="DQ86" s="1856"/>
      <c r="DR86" s="1856"/>
      <c r="DS86" s="1856"/>
      <c r="DT86" s="1856"/>
      <c r="DU86" s="1856"/>
      <c r="DV86" s="1856"/>
      <c r="DW86" s="1856"/>
      <c r="DX86" s="1856"/>
      <c r="DY86" s="1856"/>
      <c r="DZ86" s="1856"/>
      <c r="EA86" s="1856"/>
      <c r="EB86" s="1856"/>
      <c r="EC86" s="1857"/>
    </row>
    <row r="87" spans="2:153" ht="6.75" customHeight="1">
      <c r="C87" s="2141"/>
      <c r="D87" s="2142"/>
      <c r="E87" s="2142"/>
      <c r="F87" s="2142"/>
      <c r="G87" s="2142"/>
      <c r="H87" s="2026"/>
      <c r="I87" s="2026"/>
      <c r="J87" s="2026"/>
      <c r="K87" s="2026"/>
      <c r="L87" s="2026"/>
      <c r="M87" s="2026"/>
      <c r="N87" s="2026"/>
      <c r="O87" s="2026"/>
      <c r="P87" s="2026"/>
      <c r="Q87" s="2026"/>
      <c r="R87" s="2026"/>
      <c r="S87" s="2026"/>
      <c r="T87" s="2026"/>
      <c r="U87" s="2026"/>
      <c r="V87" s="2026"/>
      <c r="W87" s="2026"/>
      <c r="X87" s="2026"/>
      <c r="Y87" s="2026"/>
      <c r="Z87" s="2026"/>
      <c r="AA87" s="2026"/>
      <c r="AB87" s="2026"/>
      <c r="AC87" s="2026"/>
      <c r="AD87" s="2146"/>
      <c r="AE87" s="2146"/>
      <c r="AF87" s="2146"/>
      <c r="AG87" s="2146"/>
      <c r="AH87" s="2147"/>
      <c r="AI87" s="947"/>
      <c r="AJ87" s="2133"/>
      <c r="AK87" s="2134"/>
      <c r="AL87" s="2134"/>
      <c r="AM87" s="2134"/>
      <c r="AN87" s="2134"/>
      <c r="AO87" s="2121"/>
      <c r="AP87" s="2121"/>
      <c r="AQ87" s="2121"/>
      <c r="AR87" s="2121"/>
      <c r="AS87" s="2121"/>
      <c r="AT87" s="2121"/>
      <c r="AU87" s="2121"/>
      <c r="AV87" s="2121"/>
      <c r="AW87" s="2121"/>
      <c r="AX87" s="2121"/>
      <c r="AY87" s="2121"/>
      <c r="AZ87" s="2121"/>
      <c r="BA87" s="2121"/>
      <c r="BB87" s="2121"/>
      <c r="BC87" s="2121"/>
      <c r="BD87" s="2121"/>
      <c r="BE87" s="2121"/>
      <c r="BF87" s="2121"/>
      <c r="BG87" s="2121"/>
      <c r="BH87" s="2121"/>
      <c r="BI87" s="2117"/>
      <c r="BJ87" s="2117"/>
      <c r="BK87" s="2117"/>
      <c r="BL87" s="2117"/>
      <c r="BM87" s="2118"/>
      <c r="BN87" s="947"/>
      <c r="BO87" s="1855"/>
      <c r="BP87" s="1856"/>
      <c r="BQ87" s="1856"/>
      <c r="BR87" s="1856"/>
      <c r="BS87" s="1856"/>
      <c r="BT87" s="1856"/>
      <c r="BU87" s="1856"/>
      <c r="BV87" s="1856"/>
      <c r="BW87" s="1856"/>
      <c r="BX87" s="1856"/>
      <c r="BY87" s="1856"/>
      <c r="BZ87" s="1856"/>
      <c r="CA87" s="1856"/>
      <c r="CB87" s="1856"/>
      <c r="CC87" s="1856"/>
      <c r="CD87" s="1856"/>
      <c r="CE87" s="1856"/>
      <c r="CF87" s="1856"/>
      <c r="CG87" s="1856"/>
      <c r="CH87" s="1856"/>
      <c r="CI87" s="1856"/>
      <c r="CJ87" s="1856"/>
      <c r="CK87" s="1856"/>
      <c r="CL87" s="1856"/>
      <c r="CM87" s="1856"/>
      <c r="CN87" s="1856"/>
      <c r="CO87" s="1856"/>
      <c r="CP87" s="1856"/>
      <c r="CQ87" s="1856"/>
      <c r="CR87" s="1856"/>
      <c r="CS87" s="1856"/>
      <c r="CT87" s="1856"/>
      <c r="CU87" s="1857"/>
      <c r="CV87" s="953"/>
      <c r="CW87" s="1855"/>
      <c r="CX87" s="1856"/>
      <c r="CY87" s="1856"/>
      <c r="CZ87" s="1856"/>
      <c r="DA87" s="1856"/>
      <c r="DB87" s="1856"/>
      <c r="DC87" s="1856"/>
      <c r="DD87" s="1856"/>
      <c r="DE87" s="1856"/>
      <c r="DF87" s="1856"/>
      <c r="DG87" s="1856"/>
      <c r="DH87" s="1856"/>
      <c r="DI87" s="1856"/>
      <c r="DJ87" s="1856"/>
      <c r="DK87" s="1856"/>
      <c r="DL87" s="1856"/>
      <c r="DM87" s="1856"/>
      <c r="DN87" s="1856"/>
      <c r="DO87" s="1856"/>
      <c r="DP87" s="1856"/>
      <c r="DQ87" s="1856"/>
      <c r="DR87" s="1856"/>
      <c r="DS87" s="1856"/>
      <c r="DT87" s="1856"/>
      <c r="DU87" s="1856"/>
      <c r="DV87" s="1856"/>
      <c r="DW87" s="1856"/>
      <c r="DX87" s="1856"/>
      <c r="DY87" s="1856"/>
      <c r="DZ87" s="1856"/>
      <c r="EA87" s="1856"/>
      <c r="EB87" s="1856"/>
      <c r="EC87" s="1857"/>
    </row>
    <row r="88" spans="2:153" ht="6.75" customHeight="1">
      <c r="C88" s="2141"/>
      <c r="D88" s="2142"/>
      <c r="E88" s="2142"/>
      <c r="F88" s="2142"/>
      <c r="G88" s="2142"/>
      <c r="H88" s="2026"/>
      <c r="I88" s="2026"/>
      <c r="J88" s="2026"/>
      <c r="K88" s="2026"/>
      <c r="L88" s="2026"/>
      <c r="M88" s="2026"/>
      <c r="N88" s="2026"/>
      <c r="O88" s="2026"/>
      <c r="P88" s="2026"/>
      <c r="Q88" s="2026"/>
      <c r="R88" s="2026"/>
      <c r="S88" s="2026"/>
      <c r="T88" s="2026"/>
      <c r="U88" s="2026"/>
      <c r="V88" s="2026"/>
      <c r="W88" s="2026"/>
      <c r="X88" s="2026"/>
      <c r="Y88" s="2026"/>
      <c r="Z88" s="2026"/>
      <c r="AA88" s="2026"/>
      <c r="AB88" s="2026"/>
      <c r="AC88" s="2026"/>
      <c r="AD88" s="2146"/>
      <c r="AE88" s="2146"/>
      <c r="AF88" s="2146"/>
      <c r="AG88" s="2146"/>
      <c r="AH88" s="2147"/>
      <c r="AI88" s="947"/>
      <c r="AJ88" s="2133"/>
      <c r="AK88" s="2134"/>
      <c r="AL88" s="2134"/>
      <c r="AM88" s="2134"/>
      <c r="AN88" s="2134"/>
      <c r="AO88" s="2121"/>
      <c r="AP88" s="2121"/>
      <c r="AQ88" s="2121"/>
      <c r="AR88" s="2121"/>
      <c r="AS88" s="2121"/>
      <c r="AT88" s="2121"/>
      <c r="AU88" s="2121"/>
      <c r="AV88" s="2121"/>
      <c r="AW88" s="2121"/>
      <c r="AX88" s="2121"/>
      <c r="AY88" s="2121"/>
      <c r="AZ88" s="2121"/>
      <c r="BA88" s="2121"/>
      <c r="BB88" s="2121"/>
      <c r="BC88" s="2121"/>
      <c r="BD88" s="2121"/>
      <c r="BE88" s="2121"/>
      <c r="BF88" s="2121"/>
      <c r="BG88" s="2121"/>
      <c r="BH88" s="2121"/>
      <c r="BI88" s="2117"/>
      <c r="BJ88" s="2117"/>
      <c r="BK88" s="2117"/>
      <c r="BL88" s="2117"/>
      <c r="BM88" s="2118"/>
      <c r="BN88" s="947"/>
      <c r="BO88" s="1855"/>
      <c r="BP88" s="1856"/>
      <c r="BQ88" s="1856"/>
      <c r="BR88" s="1856"/>
      <c r="BS88" s="1856"/>
      <c r="BT88" s="1856"/>
      <c r="BU88" s="1856"/>
      <c r="BV88" s="1856"/>
      <c r="BW88" s="1856"/>
      <c r="BX88" s="1856"/>
      <c r="BY88" s="1856"/>
      <c r="BZ88" s="1856"/>
      <c r="CA88" s="1856"/>
      <c r="CB88" s="1856"/>
      <c r="CC88" s="1856"/>
      <c r="CD88" s="1856"/>
      <c r="CE88" s="1856"/>
      <c r="CF88" s="1856"/>
      <c r="CG88" s="1856"/>
      <c r="CH88" s="1856"/>
      <c r="CI88" s="1856"/>
      <c r="CJ88" s="1856"/>
      <c r="CK88" s="1856"/>
      <c r="CL88" s="1856"/>
      <c r="CM88" s="1856"/>
      <c r="CN88" s="1856"/>
      <c r="CO88" s="1856"/>
      <c r="CP88" s="1856"/>
      <c r="CQ88" s="1856"/>
      <c r="CR88" s="1856"/>
      <c r="CS88" s="1856"/>
      <c r="CT88" s="1856"/>
      <c r="CU88" s="1857"/>
      <c r="CV88" s="953"/>
      <c r="CW88" s="1855"/>
      <c r="CX88" s="1856"/>
      <c r="CY88" s="1856"/>
      <c r="CZ88" s="1856"/>
      <c r="DA88" s="1856"/>
      <c r="DB88" s="1856"/>
      <c r="DC88" s="1856"/>
      <c r="DD88" s="1856"/>
      <c r="DE88" s="1856"/>
      <c r="DF88" s="1856"/>
      <c r="DG88" s="1856"/>
      <c r="DH88" s="1856"/>
      <c r="DI88" s="1856"/>
      <c r="DJ88" s="1856"/>
      <c r="DK88" s="1856"/>
      <c r="DL88" s="1856"/>
      <c r="DM88" s="1856"/>
      <c r="DN88" s="1856"/>
      <c r="DO88" s="1856"/>
      <c r="DP88" s="1856"/>
      <c r="DQ88" s="1856"/>
      <c r="DR88" s="1856"/>
      <c r="DS88" s="1856"/>
      <c r="DT88" s="1856"/>
      <c r="DU88" s="1856"/>
      <c r="DV88" s="1856"/>
      <c r="DW88" s="1856"/>
      <c r="DX88" s="1856"/>
      <c r="DY88" s="1856"/>
      <c r="DZ88" s="1856"/>
      <c r="EA88" s="1856"/>
      <c r="EB88" s="1856"/>
      <c r="EC88" s="1857"/>
    </row>
    <row r="89" spans="2:153" ht="6.75" customHeight="1">
      <c r="C89" s="2141"/>
      <c r="D89" s="2142"/>
      <c r="E89" s="2142"/>
      <c r="F89" s="2142"/>
      <c r="G89" s="2142"/>
      <c r="H89" s="2026"/>
      <c r="I89" s="2026"/>
      <c r="J89" s="2026"/>
      <c r="K89" s="2026"/>
      <c r="L89" s="2026"/>
      <c r="M89" s="2026"/>
      <c r="N89" s="2026"/>
      <c r="O89" s="2026"/>
      <c r="P89" s="2026"/>
      <c r="Q89" s="2026"/>
      <c r="R89" s="2026"/>
      <c r="S89" s="2026"/>
      <c r="T89" s="2026"/>
      <c r="U89" s="2026"/>
      <c r="V89" s="2026"/>
      <c r="W89" s="2026"/>
      <c r="X89" s="2026"/>
      <c r="Y89" s="2026"/>
      <c r="Z89" s="2026"/>
      <c r="AA89" s="2026"/>
      <c r="AB89" s="2026"/>
      <c r="AC89" s="2026"/>
      <c r="AD89" s="2146"/>
      <c r="AE89" s="2146"/>
      <c r="AF89" s="2146"/>
      <c r="AG89" s="2146"/>
      <c r="AH89" s="2147"/>
      <c r="AI89" s="947"/>
      <c r="AJ89" s="2133"/>
      <c r="AK89" s="2134"/>
      <c r="AL89" s="2134"/>
      <c r="AM89" s="2134"/>
      <c r="AN89" s="2134"/>
      <c r="AO89" s="2121"/>
      <c r="AP89" s="2121"/>
      <c r="AQ89" s="2121"/>
      <c r="AR89" s="2121"/>
      <c r="AS89" s="2121"/>
      <c r="AT89" s="2121"/>
      <c r="AU89" s="2121"/>
      <c r="AV89" s="2121"/>
      <c r="AW89" s="2121"/>
      <c r="AX89" s="2121"/>
      <c r="AY89" s="2121"/>
      <c r="AZ89" s="2121"/>
      <c r="BA89" s="2121"/>
      <c r="BB89" s="2121"/>
      <c r="BC89" s="2121"/>
      <c r="BD89" s="2121"/>
      <c r="BE89" s="2121"/>
      <c r="BF89" s="2121"/>
      <c r="BG89" s="2121"/>
      <c r="BH89" s="2121"/>
      <c r="BI89" s="2117"/>
      <c r="BJ89" s="2117"/>
      <c r="BK89" s="2117"/>
      <c r="BL89" s="2117"/>
      <c r="BM89" s="2118"/>
      <c r="BN89" s="947"/>
      <c r="BO89" s="1855"/>
      <c r="BP89" s="1856"/>
      <c r="BQ89" s="1856"/>
      <c r="BR89" s="1856"/>
      <c r="BS89" s="1856"/>
      <c r="BT89" s="1856"/>
      <c r="BU89" s="1856"/>
      <c r="BV89" s="1856"/>
      <c r="BW89" s="1856"/>
      <c r="BX89" s="1856"/>
      <c r="BY89" s="1856"/>
      <c r="BZ89" s="1856"/>
      <c r="CA89" s="1856"/>
      <c r="CB89" s="1856"/>
      <c r="CC89" s="1856"/>
      <c r="CD89" s="1856"/>
      <c r="CE89" s="1856"/>
      <c r="CF89" s="1856"/>
      <c r="CG89" s="1856"/>
      <c r="CH89" s="1856"/>
      <c r="CI89" s="1856"/>
      <c r="CJ89" s="1856"/>
      <c r="CK89" s="1856"/>
      <c r="CL89" s="1856"/>
      <c r="CM89" s="1856"/>
      <c r="CN89" s="1856"/>
      <c r="CO89" s="1856"/>
      <c r="CP89" s="1856"/>
      <c r="CQ89" s="1856"/>
      <c r="CR89" s="1856"/>
      <c r="CS89" s="1856"/>
      <c r="CT89" s="1856"/>
      <c r="CU89" s="1857"/>
      <c r="CV89" s="953"/>
      <c r="CW89" s="1855"/>
      <c r="CX89" s="1856"/>
      <c r="CY89" s="1856"/>
      <c r="CZ89" s="1856"/>
      <c r="DA89" s="1856"/>
      <c r="DB89" s="1856"/>
      <c r="DC89" s="1856"/>
      <c r="DD89" s="1856"/>
      <c r="DE89" s="1856"/>
      <c r="DF89" s="1856"/>
      <c r="DG89" s="1856"/>
      <c r="DH89" s="1856"/>
      <c r="DI89" s="1856"/>
      <c r="DJ89" s="1856"/>
      <c r="DK89" s="1856"/>
      <c r="DL89" s="1856"/>
      <c r="DM89" s="1856"/>
      <c r="DN89" s="1856"/>
      <c r="DO89" s="1856"/>
      <c r="DP89" s="1856"/>
      <c r="DQ89" s="1856"/>
      <c r="DR89" s="1856"/>
      <c r="DS89" s="1856"/>
      <c r="DT89" s="1856"/>
      <c r="DU89" s="1856"/>
      <c r="DV89" s="1856"/>
      <c r="DW89" s="1856"/>
      <c r="DX89" s="1856"/>
      <c r="DY89" s="1856"/>
      <c r="DZ89" s="1856"/>
      <c r="EA89" s="1856"/>
      <c r="EB89" s="1856"/>
      <c r="EC89" s="1857"/>
    </row>
    <row r="90" spans="2:153" ht="6.75" customHeight="1" thickBot="1">
      <c r="C90" s="2143"/>
      <c r="D90" s="2144"/>
      <c r="E90" s="2144"/>
      <c r="F90" s="2144"/>
      <c r="G90" s="2144"/>
      <c r="H90" s="2027"/>
      <c r="I90" s="2027"/>
      <c r="J90" s="2027"/>
      <c r="K90" s="2027"/>
      <c r="L90" s="2027"/>
      <c r="M90" s="2027"/>
      <c r="N90" s="2027"/>
      <c r="O90" s="2027"/>
      <c r="P90" s="2027"/>
      <c r="Q90" s="2027"/>
      <c r="R90" s="2027"/>
      <c r="S90" s="2027"/>
      <c r="T90" s="2027"/>
      <c r="U90" s="2027"/>
      <c r="V90" s="2027"/>
      <c r="W90" s="2027"/>
      <c r="X90" s="2027"/>
      <c r="Y90" s="2027"/>
      <c r="Z90" s="2027"/>
      <c r="AA90" s="2027"/>
      <c r="AB90" s="2027"/>
      <c r="AC90" s="2027"/>
      <c r="AD90" s="2148"/>
      <c r="AE90" s="2148"/>
      <c r="AF90" s="2148"/>
      <c r="AG90" s="2148"/>
      <c r="AH90" s="2149"/>
      <c r="AI90" s="947"/>
      <c r="AJ90" s="2135"/>
      <c r="AK90" s="2136"/>
      <c r="AL90" s="2136"/>
      <c r="AM90" s="2136"/>
      <c r="AN90" s="2136"/>
      <c r="AO90" s="2122"/>
      <c r="AP90" s="2122"/>
      <c r="AQ90" s="2122"/>
      <c r="AR90" s="2122"/>
      <c r="AS90" s="2122"/>
      <c r="AT90" s="2122"/>
      <c r="AU90" s="2122"/>
      <c r="AV90" s="2122"/>
      <c r="AW90" s="2122"/>
      <c r="AX90" s="2122"/>
      <c r="AY90" s="2122"/>
      <c r="AZ90" s="2122"/>
      <c r="BA90" s="2122"/>
      <c r="BB90" s="2122"/>
      <c r="BC90" s="2122"/>
      <c r="BD90" s="2122"/>
      <c r="BE90" s="2122"/>
      <c r="BF90" s="2122"/>
      <c r="BG90" s="2122"/>
      <c r="BH90" s="2122"/>
      <c r="BI90" s="2119"/>
      <c r="BJ90" s="2119"/>
      <c r="BK90" s="2119"/>
      <c r="BL90" s="2119"/>
      <c r="BM90" s="2120"/>
      <c r="BN90" s="947"/>
      <c r="BO90" s="1858"/>
      <c r="BP90" s="1859"/>
      <c r="BQ90" s="1859"/>
      <c r="BR90" s="1859"/>
      <c r="BS90" s="1859"/>
      <c r="BT90" s="1859"/>
      <c r="BU90" s="1859"/>
      <c r="BV90" s="1859"/>
      <c r="BW90" s="1859"/>
      <c r="BX90" s="1859"/>
      <c r="BY90" s="1859"/>
      <c r="BZ90" s="1859"/>
      <c r="CA90" s="1859"/>
      <c r="CB90" s="1859"/>
      <c r="CC90" s="1859"/>
      <c r="CD90" s="1859"/>
      <c r="CE90" s="1859"/>
      <c r="CF90" s="1859"/>
      <c r="CG90" s="1859"/>
      <c r="CH90" s="1859"/>
      <c r="CI90" s="1859"/>
      <c r="CJ90" s="1859"/>
      <c r="CK90" s="1859"/>
      <c r="CL90" s="1859"/>
      <c r="CM90" s="1859"/>
      <c r="CN90" s="1859"/>
      <c r="CO90" s="1859"/>
      <c r="CP90" s="1859"/>
      <c r="CQ90" s="1859"/>
      <c r="CR90" s="1859"/>
      <c r="CS90" s="1859"/>
      <c r="CT90" s="1859"/>
      <c r="CU90" s="1860"/>
      <c r="CV90" s="953"/>
      <c r="CW90" s="1858"/>
      <c r="CX90" s="1859"/>
      <c r="CY90" s="1859"/>
      <c r="CZ90" s="1859"/>
      <c r="DA90" s="1859"/>
      <c r="DB90" s="1859"/>
      <c r="DC90" s="1859"/>
      <c r="DD90" s="1859"/>
      <c r="DE90" s="1859"/>
      <c r="DF90" s="1859"/>
      <c r="DG90" s="1859"/>
      <c r="DH90" s="1859"/>
      <c r="DI90" s="1859"/>
      <c r="DJ90" s="1859"/>
      <c r="DK90" s="1859"/>
      <c r="DL90" s="1859"/>
      <c r="DM90" s="1859"/>
      <c r="DN90" s="1859"/>
      <c r="DO90" s="1859"/>
      <c r="DP90" s="1859"/>
      <c r="DQ90" s="1859"/>
      <c r="DR90" s="1859"/>
      <c r="DS90" s="1859"/>
      <c r="DT90" s="1859"/>
      <c r="DU90" s="1859"/>
      <c r="DV90" s="1859"/>
      <c r="DW90" s="1859"/>
      <c r="DX90" s="1859"/>
      <c r="DY90" s="1859"/>
      <c r="DZ90" s="1859"/>
      <c r="EA90" s="1859"/>
      <c r="EB90" s="1859"/>
      <c r="EC90" s="1860"/>
    </row>
    <row r="91" spans="2:153" ht="6.75" customHeight="1">
      <c r="AI91" s="947"/>
      <c r="BN91" s="947"/>
      <c r="BO91" s="149"/>
      <c r="BP91" s="246"/>
      <c r="BQ91" s="246"/>
      <c r="BR91" s="246"/>
      <c r="BS91" s="246"/>
      <c r="BT91" s="309"/>
      <c r="BU91" s="309"/>
      <c r="BV91" s="309"/>
      <c r="BW91" s="309"/>
      <c r="BX91" s="309"/>
      <c r="BY91" s="309"/>
      <c r="BZ91" s="309"/>
      <c r="CA91" s="309"/>
      <c r="CB91" s="309"/>
      <c r="CC91" s="309"/>
      <c r="CD91" s="309"/>
      <c r="CE91" s="309"/>
      <c r="CF91" s="246"/>
      <c r="CG91" s="246"/>
      <c r="CH91" s="246"/>
      <c r="CI91" s="246"/>
      <c r="CJ91" s="246"/>
      <c r="CK91" s="246"/>
      <c r="CL91" s="149"/>
      <c r="CM91" s="246"/>
      <c r="CN91" s="246"/>
      <c r="CO91" s="246"/>
      <c r="CP91" s="246"/>
      <c r="CQ91" s="309"/>
      <c r="CR91" s="309"/>
      <c r="CS91" s="309"/>
      <c r="CT91" s="309"/>
      <c r="CU91" s="309"/>
      <c r="CV91" s="309"/>
      <c r="CW91" s="309"/>
      <c r="CX91" s="309"/>
      <c r="CY91" s="309"/>
      <c r="CZ91" s="309"/>
      <c r="DA91" s="309"/>
      <c r="DB91" s="309"/>
      <c r="DC91" s="246"/>
      <c r="DD91" s="246"/>
      <c r="DE91" s="246"/>
      <c r="DF91" s="246"/>
      <c r="DG91" s="246"/>
      <c r="DH91" s="246"/>
      <c r="DI91" s="309"/>
      <c r="DJ91" s="309"/>
      <c r="DK91" s="309"/>
      <c r="DL91" s="309"/>
      <c r="DM91" s="309"/>
      <c r="DN91" s="309"/>
      <c r="DO91" s="246"/>
      <c r="DP91" s="246"/>
      <c r="DQ91" s="246"/>
      <c r="DR91" s="246"/>
      <c r="DS91" s="246"/>
      <c r="DT91" s="246"/>
      <c r="DU91" s="309"/>
      <c r="DV91" s="309"/>
      <c r="DW91" s="309"/>
      <c r="DX91" s="309"/>
      <c r="DY91" s="309"/>
      <c r="DZ91" s="309"/>
      <c r="EA91" s="246"/>
      <c r="EB91" s="246"/>
      <c r="EC91" s="246"/>
      <c r="ED91" s="246"/>
    </row>
    <row r="92" spans="2:153" ht="6.75" customHeight="1">
      <c r="AI92" s="947"/>
      <c r="BN92" s="947"/>
      <c r="BO92" s="149"/>
      <c r="BP92" s="246"/>
      <c r="BQ92" s="246"/>
      <c r="BR92" s="246"/>
      <c r="BS92" s="246"/>
      <c r="BT92" s="309"/>
      <c r="BU92" s="309"/>
      <c r="BV92" s="309"/>
      <c r="BW92" s="309"/>
      <c r="BX92" s="309"/>
      <c r="BY92" s="309"/>
      <c r="BZ92" s="309"/>
      <c r="CA92" s="309"/>
      <c r="CB92" s="309"/>
      <c r="CC92" s="309"/>
      <c r="CD92" s="309"/>
      <c r="CE92" s="309"/>
      <c r="CF92" s="246"/>
      <c r="CG92" s="246"/>
      <c r="CH92" s="246"/>
      <c r="CI92" s="246"/>
      <c r="CJ92" s="246"/>
      <c r="CK92" s="246"/>
      <c r="CL92" s="149"/>
      <c r="CM92" s="246"/>
      <c r="CN92" s="246"/>
      <c r="CO92" s="246"/>
      <c r="CP92" s="246"/>
      <c r="CQ92" s="309"/>
      <c r="CR92" s="309"/>
      <c r="CS92" s="309"/>
      <c r="CT92" s="309"/>
      <c r="CU92" s="309"/>
      <c r="CV92" s="309"/>
      <c r="CW92" s="309"/>
      <c r="CX92" s="309"/>
      <c r="CY92" s="309"/>
      <c r="CZ92" s="309"/>
      <c r="DA92" s="309"/>
      <c r="DB92" s="309"/>
      <c r="DC92" s="246"/>
      <c r="DD92" s="246"/>
      <c r="DE92" s="246"/>
      <c r="DF92" s="246"/>
      <c r="DG92" s="246"/>
      <c r="DH92" s="246"/>
      <c r="DI92" s="309"/>
      <c r="DJ92" s="309"/>
      <c r="DK92" s="309"/>
      <c r="DL92" s="309"/>
      <c r="DM92" s="309"/>
      <c r="DN92" s="309"/>
      <c r="DO92" s="246"/>
      <c r="DP92" s="246"/>
      <c r="DQ92" s="246"/>
      <c r="DR92" s="246"/>
      <c r="DS92" s="246"/>
      <c r="DT92" s="246"/>
      <c r="DU92" s="309"/>
      <c r="DV92" s="309"/>
      <c r="DW92" s="309"/>
      <c r="DX92" s="309"/>
      <c r="DY92" s="309"/>
      <c r="DZ92" s="309"/>
      <c r="EA92" s="246"/>
      <c r="EB92" s="246"/>
      <c r="EC92" s="246"/>
      <c r="ED92" s="246"/>
    </row>
    <row r="93" spans="2:153" ht="15" customHeight="1">
      <c r="C93" s="1861" t="s">
        <v>1607</v>
      </c>
      <c r="D93" s="1861"/>
      <c r="E93" s="1861"/>
      <c r="F93" s="1861"/>
      <c r="G93" s="1861"/>
      <c r="H93" s="1861"/>
      <c r="I93" s="1861"/>
      <c r="J93" s="1861"/>
      <c r="K93" s="1861"/>
      <c r="L93" s="1861"/>
      <c r="M93" s="1861"/>
      <c r="N93" s="1861"/>
      <c r="O93" s="1861"/>
      <c r="P93" s="1861"/>
      <c r="Q93" s="1861"/>
      <c r="R93" s="1861"/>
      <c r="S93" s="1861"/>
      <c r="T93" s="1861"/>
      <c r="U93" s="1861"/>
      <c r="V93" s="1861"/>
      <c r="W93" s="1861"/>
      <c r="X93" s="1861"/>
      <c r="Y93" s="1861"/>
      <c r="Z93" s="1861"/>
      <c r="AA93" s="1861"/>
      <c r="AB93" s="1861"/>
      <c r="AC93" s="1861"/>
      <c r="AD93" s="1861"/>
      <c r="AE93" s="1861"/>
      <c r="AF93" s="1861"/>
      <c r="AG93" s="1861"/>
      <c r="AH93" s="1861"/>
      <c r="AI93" s="1861"/>
      <c r="AJ93" s="1861"/>
      <c r="AK93" s="1861"/>
      <c r="AL93" s="1861"/>
      <c r="AM93" s="1861"/>
      <c r="AN93" s="1861"/>
      <c r="AO93" s="1861"/>
      <c r="AP93" s="1861"/>
      <c r="AQ93" s="1861"/>
      <c r="AR93" s="1861"/>
      <c r="AS93" s="1861"/>
      <c r="AT93" s="1861"/>
      <c r="AU93" s="1861"/>
      <c r="AV93" s="1861"/>
      <c r="AW93" s="1861"/>
      <c r="AX93" s="1861"/>
      <c r="AY93" s="1861"/>
      <c r="AZ93" s="1861"/>
      <c r="BA93" s="1861"/>
      <c r="BB93" s="1861"/>
      <c r="BC93" s="1861"/>
      <c r="BD93" s="1861"/>
      <c r="BE93" s="1861"/>
      <c r="BF93" s="1861"/>
      <c r="BG93" s="1861"/>
      <c r="BH93" s="1861"/>
      <c r="BI93" s="1861"/>
      <c r="BJ93" s="1861"/>
      <c r="BK93" s="1861"/>
      <c r="BL93" s="1861"/>
      <c r="BM93" s="1861"/>
      <c r="BN93" s="1861"/>
      <c r="BO93" s="1861"/>
      <c r="BP93" s="1861"/>
      <c r="BQ93" s="1861"/>
      <c r="BR93" s="1861"/>
      <c r="BS93" s="1861"/>
      <c r="BT93" s="1861"/>
      <c r="BU93" s="1861"/>
      <c r="BV93" s="1861"/>
      <c r="BW93" s="1861"/>
      <c r="BX93" s="1861"/>
      <c r="BY93" s="1861"/>
      <c r="BZ93" s="1861"/>
      <c r="CA93" s="1861"/>
      <c r="CB93" s="1861"/>
      <c r="CC93" s="1861"/>
      <c r="CD93" s="1861"/>
      <c r="CE93" s="1861"/>
      <c r="CF93" s="1861"/>
      <c r="CG93" s="1861"/>
      <c r="CH93" s="1861"/>
      <c r="CI93" s="1861"/>
      <c r="CJ93" s="1861"/>
      <c r="CK93" s="1861"/>
      <c r="CL93" s="1861"/>
      <c r="CM93" s="1861"/>
      <c r="CN93" s="1861"/>
      <c r="CO93" s="1861"/>
      <c r="CP93" s="1861"/>
      <c r="CQ93" s="1861"/>
      <c r="CR93" s="1861"/>
      <c r="CS93" s="1861"/>
      <c r="CT93" s="1861"/>
      <c r="CU93" s="1861"/>
      <c r="CV93" s="1861"/>
      <c r="CW93" s="1861"/>
      <c r="CX93" s="1861"/>
      <c r="CY93" s="1861"/>
      <c r="CZ93" s="1861"/>
      <c r="DA93" s="1861"/>
      <c r="DB93" s="1861"/>
      <c r="DC93" s="1861"/>
      <c r="DD93" s="1861"/>
      <c r="DE93" s="1861"/>
      <c r="DF93" s="1861"/>
      <c r="DG93" s="1861"/>
      <c r="DH93" s="1861"/>
      <c r="DI93" s="1861"/>
      <c r="DJ93" s="1861"/>
      <c r="DK93" s="1861"/>
      <c r="DL93" s="1861"/>
      <c r="DM93" s="1861"/>
      <c r="DN93" s="1861"/>
      <c r="DO93" s="1861"/>
      <c r="DP93" s="1861"/>
      <c r="DQ93" s="1861"/>
      <c r="DR93" s="1861"/>
      <c r="DS93" s="1861"/>
      <c r="DT93" s="1861"/>
      <c r="DU93" s="1861"/>
      <c r="DV93" s="1861"/>
      <c r="DW93" s="1861"/>
      <c r="DX93" s="1861"/>
      <c r="DY93" s="1861"/>
      <c r="DZ93" s="1861"/>
      <c r="EA93" s="1861"/>
      <c r="EB93" s="1861"/>
      <c r="EC93" s="1861"/>
      <c r="EE93" s="149"/>
      <c r="EF93" s="149"/>
      <c r="EG93" s="149"/>
      <c r="EH93" s="149"/>
      <c r="EI93" s="149"/>
      <c r="EJ93" s="149"/>
      <c r="EK93" s="149"/>
      <c r="EL93" s="149"/>
      <c r="EM93" s="149"/>
      <c r="EN93" s="149"/>
      <c r="EO93" s="149"/>
      <c r="EP93" s="149"/>
      <c r="EQ93" s="149"/>
      <c r="ER93" s="149"/>
      <c r="ES93" s="149"/>
      <c r="ET93" s="149"/>
      <c r="EU93" s="149"/>
      <c r="EV93" s="149"/>
      <c r="EW93" s="149"/>
    </row>
    <row r="94" spans="2:153" ht="14.25" customHeight="1">
      <c r="C94" s="1861"/>
      <c r="D94" s="1861"/>
      <c r="E94" s="1861"/>
      <c r="F94" s="1861"/>
      <c r="G94" s="1861"/>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c r="AI94" s="1861"/>
      <c r="AJ94" s="1861"/>
      <c r="AK94" s="1861"/>
      <c r="AL94" s="1861"/>
      <c r="AM94" s="1861"/>
      <c r="AN94" s="1861"/>
      <c r="AO94" s="1861"/>
      <c r="AP94" s="1861"/>
      <c r="AQ94" s="1861"/>
      <c r="AR94" s="1861"/>
      <c r="AS94" s="1861"/>
      <c r="AT94" s="1861"/>
      <c r="AU94" s="1861"/>
      <c r="AV94" s="1861"/>
      <c r="AW94" s="1861"/>
      <c r="AX94" s="1861"/>
      <c r="AY94" s="1861"/>
      <c r="AZ94" s="1861"/>
      <c r="BA94" s="1861"/>
      <c r="BB94" s="1861"/>
      <c r="BC94" s="1861"/>
      <c r="BD94" s="1861"/>
      <c r="BE94" s="1861"/>
      <c r="BF94" s="1861"/>
      <c r="BG94" s="1861"/>
      <c r="BH94" s="1861"/>
      <c r="BI94" s="1861"/>
      <c r="BJ94" s="1861"/>
      <c r="BK94" s="1861"/>
      <c r="BL94" s="1861"/>
      <c r="BM94" s="1861"/>
      <c r="BN94" s="1861"/>
      <c r="BO94" s="1861"/>
      <c r="BP94" s="1861"/>
      <c r="BQ94" s="1861"/>
      <c r="BR94" s="1861"/>
      <c r="BS94" s="1861"/>
      <c r="BT94" s="1861"/>
      <c r="BU94" s="1861"/>
      <c r="BV94" s="1861"/>
      <c r="BW94" s="1861"/>
      <c r="BX94" s="1861"/>
      <c r="BY94" s="1861"/>
      <c r="BZ94" s="1861"/>
      <c r="CA94" s="1861"/>
      <c r="CB94" s="1861"/>
      <c r="CC94" s="1861"/>
      <c r="CD94" s="1861"/>
      <c r="CE94" s="1861"/>
      <c r="CF94" s="1861"/>
      <c r="CG94" s="1861"/>
      <c r="CH94" s="1861"/>
      <c r="CI94" s="1861"/>
      <c r="CJ94" s="1861"/>
      <c r="CK94" s="1861"/>
      <c r="CL94" s="1861"/>
      <c r="CM94" s="1861"/>
      <c r="CN94" s="1861"/>
      <c r="CO94" s="1861"/>
      <c r="CP94" s="1861"/>
      <c r="CQ94" s="1861"/>
      <c r="CR94" s="1861"/>
      <c r="CS94" s="1861"/>
      <c r="CT94" s="1861"/>
      <c r="CU94" s="1861"/>
      <c r="CV94" s="1861"/>
      <c r="CW94" s="1861"/>
      <c r="CX94" s="1861"/>
      <c r="CY94" s="1861"/>
      <c r="CZ94" s="1861"/>
      <c r="DA94" s="1861"/>
      <c r="DB94" s="1861"/>
      <c r="DC94" s="1861"/>
      <c r="DD94" s="1861"/>
      <c r="DE94" s="1861"/>
      <c r="DF94" s="1861"/>
      <c r="DG94" s="1861"/>
      <c r="DH94" s="1861"/>
      <c r="DI94" s="1861"/>
      <c r="DJ94" s="1861"/>
      <c r="DK94" s="1861"/>
      <c r="DL94" s="1861"/>
      <c r="DM94" s="1861"/>
      <c r="DN94" s="1861"/>
      <c r="DO94" s="1861"/>
      <c r="DP94" s="1861"/>
      <c r="DQ94" s="1861"/>
      <c r="DR94" s="1861"/>
      <c r="DS94" s="1861"/>
      <c r="DT94" s="1861"/>
      <c r="DU94" s="1861"/>
      <c r="DV94" s="1861"/>
      <c r="DW94" s="1861"/>
      <c r="DX94" s="1861"/>
      <c r="DY94" s="1861"/>
      <c r="DZ94" s="1861"/>
      <c r="EA94" s="1861"/>
      <c r="EB94" s="1861"/>
      <c r="EC94" s="1861"/>
      <c r="EE94" s="149"/>
      <c r="EF94" s="149"/>
      <c r="EG94" s="149"/>
      <c r="EH94" s="149"/>
      <c r="EI94" s="149"/>
      <c r="EJ94" s="149"/>
      <c r="EK94" s="149"/>
      <c r="EL94" s="149"/>
      <c r="EM94" s="149"/>
      <c r="EN94" s="149"/>
      <c r="EO94" s="149"/>
      <c r="EP94" s="149"/>
      <c r="EQ94" s="149"/>
      <c r="ER94" s="149"/>
      <c r="ES94" s="149"/>
      <c r="ET94" s="149"/>
      <c r="EU94" s="149"/>
      <c r="EV94" s="149"/>
      <c r="EW94" s="149"/>
    </row>
    <row r="95" spans="2:153" ht="7.5" customHeight="1">
      <c r="CW95" s="361"/>
      <c r="CX95" s="361"/>
      <c r="CY95" s="361"/>
      <c r="CZ95" s="361"/>
      <c r="DA95" s="361"/>
      <c r="DB95" s="361"/>
      <c r="DC95" s="361"/>
      <c r="DD95" s="361"/>
      <c r="DE95" s="361"/>
      <c r="DF95" s="361"/>
      <c r="DG95" s="361"/>
      <c r="DH95" s="361"/>
      <c r="DI95" s="361"/>
      <c r="DJ95" s="361"/>
      <c r="DK95" s="361"/>
      <c r="DL95" s="361"/>
      <c r="DM95" s="361"/>
      <c r="DN95" s="361"/>
      <c r="DO95" s="361"/>
      <c r="DP95" s="361"/>
      <c r="DQ95" s="361"/>
      <c r="DR95" s="361"/>
      <c r="DS95" s="361"/>
      <c r="DT95" s="361"/>
      <c r="DU95" s="361"/>
      <c r="DV95" s="361"/>
      <c r="DW95" s="361"/>
      <c r="DX95" s="361"/>
      <c r="DY95" s="361"/>
      <c r="DZ95" s="361"/>
      <c r="EA95" s="361"/>
      <c r="EB95" s="361"/>
      <c r="EC95" s="361"/>
      <c r="EE95" s="149"/>
      <c r="EF95" s="149"/>
      <c r="EG95" s="149"/>
      <c r="EH95" s="149"/>
      <c r="EI95" s="149"/>
      <c r="EJ95" s="149"/>
      <c r="EK95" s="149"/>
      <c r="EL95" s="149"/>
      <c r="EM95" s="149"/>
      <c r="EN95" s="149"/>
      <c r="EO95" s="149"/>
      <c r="EP95" s="149"/>
      <c r="EQ95" s="149"/>
      <c r="ER95" s="149"/>
      <c r="ES95" s="149"/>
      <c r="ET95" s="149"/>
      <c r="EU95" s="149"/>
      <c r="EV95" s="149"/>
      <c r="EW95" s="149"/>
    </row>
    <row r="96" spans="2:153" hidden="1"/>
    <row r="97" spans="11:102" ht="14.35" hidden="1">
      <c r="K97" s="580" t="s">
        <v>501</v>
      </c>
      <c r="L97" s="580"/>
      <c r="M97" s="580"/>
      <c r="N97" s="580"/>
      <c r="O97" s="580"/>
      <c r="P97" s="580"/>
      <c r="Q97" s="580"/>
      <c r="R97" s="1882" t="s">
        <v>37</v>
      </c>
      <c r="S97" s="1882"/>
      <c r="T97" s="1882"/>
      <c r="U97" s="1882"/>
      <c r="V97" s="1882"/>
      <c r="W97" s="1882" t="s">
        <v>462</v>
      </c>
      <c r="X97" s="1882"/>
      <c r="Y97" s="1882"/>
      <c r="Z97" s="1882"/>
      <c r="AA97" s="1882"/>
      <c r="AB97" s="1882" t="s">
        <v>38</v>
      </c>
      <c r="AC97" s="1882"/>
      <c r="AD97" s="1882"/>
      <c r="AE97" s="1882"/>
      <c r="AF97" s="1882"/>
      <c r="AG97" s="1882" t="s">
        <v>1582</v>
      </c>
      <c r="AH97" s="1882"/>
      <c r="AI97" s="1882"/>
      <c r="AJ97" s="1882"/>
      <c r="AK97" s="1882"/>
      <c r="AL97" s="1882" t="s">
        <v>1581</v>
      </c>
      <c r="AM97" s="1882"/>
      <c r="AN97" s="1882"/>
      <c r="AO97" s="1882"/>
      <c r="AP97" s="1882"/>
      <c r="AQ97" s="1882" t="s">
        <v>413</v>
      </c>
      <c r="AR97" s="1882"/>
      <c r="AS97" s="1882"/>
      <c r="AT97" s="1882"/>
      <c r="AU97" s="1882"/>
      <c r="AV97" s="150"/>
      <c r="AW97" s="150"/>
      <c r="AX97" s="150"/>
      <c r="AY97" s="150"/>
      <c r="AZ97" s="150"/>
      <c r="BA97" s="150"/>
      <c r="BB97" s="150"/>
      <c r="BC97" s="150"/>
      <c r="BD97" s="150"/>
      <c r="BE97" s="150"/>
      <c r="BF97" s="150"/>
      <c r="BG97" s="150"/>
      <c r="BM97" s="150"/>
    </row>
    <row r="98" spans="11:102" ht="14" hidden="1" customHeight="1">
      <c r="K98" s="2028" t="str">
        <f>T('2 REPAIR ESTIMATOR'!N75:T75)</f>
        <v>GENERAL CONDITIONS</v>
      </c>
      <c r="L98" s="2028"/>
      <c r="M98" s="2028"/>
      <c r="N98" s="2028"/>
      <c r="O98" s="2028"/>
      <c r="P98" s="2028"/>
      <c r="Q98" s="2028"/>
      <c r="R98" s="1817">
        <f>IF($AY$57="SUBBED",'2 REPAIR ESTIMATOR'!BN1198,'2 REPAIR ESTIMATOR'!BM1198)</f>
        <v>0</v>
      </c>
      <c r="S98" s="1817"/>
      <c r="T98" s="1817"/>
      <c r="U98" s="1817"/>
      <c r="V98" s="1817"/>
      <c r="W98" s="1817">
        <f>'2 REPAIR ESTIMATOR'!BB129</f>
        <v>0</v>
      </c>
      <c r="X98" s="1817"/>
      <c r="Y98" s="1817"/>
      <c r="Z98" s="1817"/>
      <c r="AA98" s="1817"/>
      <c r="AB98" s="1817">
        <f>'2 REPAIR ESTIMATOR'!BC129</f>
        <v>0</v>
      </c>
      <c r="AC98" s="1817"/>
      <c r="AD98" s="1817"/>
      <c r="AE98" s="1817"/>
      <c r="AF98" s="1817"/>
      <c r="AG98" s="1817">
        <f>SUM(R98:AF98)</f>
        <v>0</v>
      </c>
      <c r="AH98" s="1817"/>
      <c r="AI98" s="1817"/>
      <c r="AJ98" s="1817"/>
      <c r="AK98" s="1817"/>
      <c r="AL98" s="1817">
        <f>BG9</f>
        <v>0</v>
      </c>
      <c r="AM98" s="1817"/>
      <c r="AN98" s="1817"/>
      <c r="AO98" s="1817"/>
      <c r="AP98" s="1817"/>
      <c r="AQ98" s="1817">
        <f t="shared" ref="AQ98:AQ121" si="0">IF(Repair_Cost_Calculation_Method="Quick Bid",AL98,AG98)</f>
        <v>0</v>
      </c>
      <c r="AR98" s="1817"/>
      <c r="AS98" s="1817"/>
      <c r="AT98" s="1817"/>
      <c r="AU98" s="1817"/>
      <c r="AV98" s="150"/>
      <c r="AW98" s="150"/>
      <c r="AX98" s="150"/>
      <c r="AY98" s="150"/>
      <c r="AZ98" s="150"/>
      <c r="BA98" s="150"/>
      <c r="BB98" s="150"/>
      <c r="BC98" s="150"/>
      <c r="BD98" s="150"/>
      <c r="BE98" s="150"/>
      <c r="BF98" s="150"/>
      <c r="BG98" s="150"/>
      <c r="CX98" s="248"/>
    </row>
    <row r="99" spans="11:102" ht="14.35" hidden="1" customHeight="1">
      <c r="K99" s="2028" t="str">
        <f>T('2 REPAIR ESTIMATOR'!N76:T76)</f>
        <v>DEMOLITION</v>
      </c>
      <c r="L99" s="2028"/>
      <c r="M99" s="2028"/>
      <c r="N99" s="2028"/>
      <c r="O99" s="2028"/>
      <c r="P99" s="2028"/>
      <c r="Q99" s="2028"/>
      <c r="R99" s="1817">
        <f>IF($AY$57="SUBBED",'2 REPAIR ESTIMATOR'!BN1199,'2 REPAIR ESTIMATOR'!BM1199)</f>
        <v>0</v>
      </c>
      <c r="S99" s="1817"/>
      <c r="T99" s="1817"/>
      <c r="U99" s="1817"/>
      <c r="V99" s="1817"/>
      <c r="W99" s="1817">
        <f>'2 REPAIR ESTIMATOR'!BB174</f>
        <v>0</v>
      </c>
      <c r="X99" s="1817"/>
      <c r="Y99" s="1817"/>
      <c r="Z99" s="1817"/>
      <c r="AA99" s="1817"/>
      <c r="AB99" s="1817">
        <f>'2 REPAIR ESTIMATOR'!BC174</f>
        <v>0</v>
      </c>
      <c r="AC99" s="1817"/>
      <c r="AD99" s="1817"/>
      <c r="AE99" s="1817"/>
      <c r="AF99" s="1817"/>
      <c r="AG99" s="1817">
        <f t="shared" ref="AG99:AG121" si="1">SUM(R99:AF99)</f>
        <v>0</v>
      </c>
      <c r="AH99" s="1817"/>
      <c r="AI99" s="1817"/>
      <c r="AJ99" s="1817"/>
      <c r="AK99" s="1817"/>
      <c r="AL99" s="1817">
        <f>BG11</f>
        <v>0</v>
      </c>
      <c r="AM99" s="1817"/>
      <c r="AN99" s="1817"/>
      <c r="AO99" s="1817"/>
      <c r="AP99" s="1817"/>
      <c r="AQ99" s="1817">
        <f t="shared" si="0"/>
        <v>0</v>
      </c>
      <c r="AR99" s="1817"/>
      <c r="AS99" s="1817"/>
      <c r="AT99" s="1817"/>
      <c r="AU99" s="1817"/>
      <c r="AX99" s="1821" t="s">
        <v>872</v>
      </c>
      <c r="AY99" s="1821"/>
      <c r="AZ99" s="1821"/>
      <c r="BA99" s="1821"/>
      <c r="BB99" s="1821"/>
      <c r="CX99" s="248"/>
    </row>
    <row r="100" spans="11:102" ht="14.7" hidden="1" customHeight="1">
      <c r="K100" s="2028" t="str">
        <f>T('2 REPAIR ESTIMATOR'!N77:T77)</f>
        <v>STRUCTURAL CONCRETE</v>
      </c>
      <c r="L100" s="2028"/>
      <c r="M100" s="2028"/>
      <c r="N100" s="2028"/>
      <c r="O100" s="2028"/>
      <c r="P100" s="2028"/>
      <c r="Q100" s="2028"/>
      <c r="R100" s="1817">
        <f>IF($AY$57="SUBBED",'2 REPAIR ESTIMATOR'!BN1200,'2 REPAIR ESTIMATOR'!BM1200)</f>
        <v>0</v>
      </c>
      <c r="S100" s="1817"/>
      <c r="T100" s="1817"/>
      <c r="U100" s="1817"/>
      <c r="V100" s="1817"/>
      <c r="W100" s="1817">
        <f>'2 REPAIR ESTIMATOR'!BB219</f>
        <v>0</v>
      </c>
      <c r="X100" s="1817"/>
      <c r="Y100" s="1817"/>
      <c r="Z100" s="1817"/>
      <c r="AA100" s="1817"/>
      <c r="AB100" s="1817">
        <f>'2 REPAIR ESTIMATOR'!BC219</f>
        <v>0</v>
      </c>
      <c r="AC100" s="1817"/>
      <c r="AD100" s="1817"/>
      <c r="AE100" s="1817"/>
      <c r="AF100" s="1817"/>
      <c r="AG100" s="1817">
        <f t="shared" si="1"/>
        <v>0</v>
      </c>
      <c r="AH100" s="1817"/>
      <c r="AI100" s="1817"/>
      <c r="AJ100" s="1817"/>
      <c r="AK100" s="1817"/>
      <c r="AL100" s="1817">
        <f>BG13</f>
        <v>0</v>
      </c>
      <c r="AM100" s="1817"/>
      <c r="AN100" s="1817"/>
      <c r="AO100" s="1817"/>
      <c r="AP100" s="1817"/>
      <c r="AQ100" s="1817">
        <f t="shared" si="0"/>
        <v>0</v>
      </c>
      <c r="AR100" s="1817"/>
      <c r="AS100" s="1817"/>
      <c r="AT100" s="1817"/>
      <c r="AU100" s="1817"/>
      <c r="AX100" s="1821" t="s">
        <v>898</v>
      </c>
      <c r="AY100" s="1821"/>
      <c r="AZ100" s="1821"/>
      <c r="BA100" s="1821"/>
      <c r="BB100" s="1821"/>
      <c r="CX100" s="248"/>
    </row>
    <row r="101" spans="11:102" ht="14" hidden="1" customHeight="1">
      <c r="K101" s="2028" t="str">
        <f>T('2 REPAIR ESTIMATOR'!N78:T78)</f>
        <v>CONCRETE &amp; FLATWORK</v>
      </c>
      <c r="L101" s="2028"/>
      <c r="M101" s="2028"/>
      <c r="N101" s="2028"/>
      <c r="O101" s="2028"/>
      <c r="P101" s="2028"/>
      <c r="Q101" s="2028"/>
      <c r="R101" s="1817">
        <f>IF($AY$57="SUBBED",'2 REPAIR ESTIMATOR'!BN1201,'2 REPAIR ESTIMATOR'!BM1201)</f>
        <v>0</v>
      </c>
      <c r="S101" s="1817"/>
      <c r="T101" s="1817"/>
      <c r="U101" s="1817"/>
      <c r="V101" s="1817"/>
      <c r="W101" s="1817">
        <f>'2 REPAIR ESTIMATOR'!BB264</f>
        <v>0</v>
      </c>
      <c r="X101" s="1817"/>
      <c r="Y101" s="1817"/>
      <c r="Z101" s="1817"/>
      <c r="AA101" s="1817"/>
      <c r="AB101" s="1817">
        <f>'2 REPAIR ESTIMATOR'!BC264</f>
        <v>0</v>
      </c>
      <c r="AC101" s="1817"/>
      <c r="AD101" s="1817"/>
      <c r="AE101" s="1817"/>
      <c r="AF101" s="1817"/>
      <c r="AG101" s="1817">
        <f t="shared" si="1"/>
        <v>0</v>
      </c>
      <c r="AH101" s="1817"/>
      <c r="AI101" s="1817"/>
      <c r="AJ101" s="1817"/>
      <c r="AK101" s="1817"/>
      <c r="AL101" s="1817">
        <f>BG15</f>
        <v>0</v>
      </c>
      <c r="AM101" s="1817"/>
      <c r="AN101" s="1817"/>
      <c r="AO101" s="1817"/>
      <c r="AP101" s="1817"/>
      <c r="AQ101" s="1817">
        <f t="shared" si="0"/>
        <v>0</v>
      </c>
      <c r="AR101" s="1817"/>
      <c r="AS101" s="1817"/>
      <c r="AT101" s="1817"/>
      <c r="AU101" s="1817"/>
      <c r="CW101" s="248"/>
      <c r="CX101" s="248"/>
    </row>
    <row r="102" spans="11:102" ht="14.35" hidden="1" customHeight="1">
      <c r="K102" s="2028" t="str">
        <f>T('2 REPAIR ESTIMATOR'!N79:T79)</f>
        <v>MASONRY</v>
      </c>
      <c r="L102" s="2028"/>
      <c r="M102" s="2028"/>
      <c r="N102" s="2028"/>
      <c r="O102" s="2028"/>
      <c r="P102" s="2028"/>
      <c r="Q102" s="2028"/>
      <c r="R102" s="1817">
        <f>IF($AY$57="SUBBED",'2 REPAIR ESTIMATOR'!BN1202,'2 REPAIR ESTIMATOR'!BM1202)</f>
        <v>0</v>
      </c>
      <c r="S102" s="1817"/>
      <c r="T102" s="1817"/>
      <c r="U102" s="1817"/>
      <c r="V102" s="1817"/>
      <c r="W102" s="1817">
        <f>'2 REPAIR ESTIMATOR'!BB309</f>
        <v>0</v>
      </c>
      <c r="X102" s="1817"/>
      <c r="Y102" s="1817"/>
      <c r="Z102" s="1817"/>
      <c r="AA102" s="1817"/>
      <c r="AB102" s="1817">
        <f>'2 REPAIR ESTIMATOR'!BC309</f>
        <v>0</v>
      </c>
      <c r="AC102" s="1817"/>
      <c r="AD102" s="1817"/>
      <c r="AE102" s="1817"/>
      <c r="AF102" s="1817"/>
      <c r="AG102" s="1817">
        <f t="shared" si="1"/>
        <v>0</v>
      </c>
      <c r="AH102" s="1817"/>
      <c r="AI102" s="1817"/>
      <c r="AJ102" s="1817"/>
      <c r="AK102" s="1817"/>
      <c r="AL102" s="1817">
        <f>BG17</f>
        <v>0</v>
      </c>
      <c r="AM102" s="1817"/>
      <c r="AN102" s="1817"/>
      <c r="AO102" s="1817"/>
      <c r="AP102" s="1817"/>
      <c r="AQ102" s="1817">
        <f t="shared" si="0"/>
        <v>0</v>
      </c>
      <c r="AR102" s="1817"/>
      <c r="AS102" s="1817"/>
      <c r="AT102" s="1817"/>
      <c r="AU102" s="1817"/>
      <c r="AX102" s="1821" t="s">
        <v>872</v>
      </c>
      <c r="AY102" s="1821"/>
      <c r="AZ102" s="1821"/>
      <c r="BA102" s="1821"/>
      <c r="BB102" s="1821"/>
    </row>
    <row r="103" spans="11:102" ht="14.35" hidden="1" customHeight="1">
      <c r="K103" s="2028" t="str">
        <f>T('2 REPAIR ESTIMATOR'!N80:T80)</f>
        <v>SIDING</v>
      </c>
      <c r="L103" s="2028"/>
      <c r="M103" s="2028"/>
      <c r="N103" s="2028"/>
      <c r="O103" s="2028"/>
      <c r="P103" s="2028"/>
      <c r="Q103" s="2028"/>
      <c r="R103" s="1817">
        <f>IF($AY$57="SUBBED",'2 REPAIR ESTIMATOR'!BN1203,'2 REPAIR ESTIMATOR'!BM1203)</f>
        <v>0</v>
      </c>
      <c r="S103" s="1817"/>
      <c r="T103" s="1817"/>
      <c r="U103" s="1817"/>
      <c r="V103" s="1817"/>
      <c r="W103" s="1817">
        <f>'2 REPAIR ESTIMATOR'!BB354</f>
        <v>0</v>
      </c>
      <c r="X103" s="1817"/>
      <c r="Y103" s="1817"/>
      <c r="Z103" s="1817"/>
      <c r="AA103" s="1817"/>
      <c r="AB103" s="1817">
        <f>'2 REPAIR ESTIMATOR'!BC354</f>
        <v>0</v>
      </c>
      <c r="AC103" s="1817"/>
      <c r="AD103" s="1817"/>
      <c r="AE103" s="1817"/>
      <c r="AF103" s="1817"/>
      <c r="AG103" s="1817">
        <f t="shared" si="1"/>
        <v>0</v>
      </c>
      <c r="AH103" s="1817"/>
      <c r="AI103" s="1817"/>
      <c r="AJ103" s="1817"/>
      <c r="AK103" s="1817"/>
      <c r="AL103" s="1817">
        <f>BG19</f>
        <v>0</v>
      </c>
      <c r="AM103" s="1817"/>
      <c r="AN103" s="1817"/>
      <c r="AO103" s="1817"/>
      <c r="AP103" s="1817"/>
      <c r="AQ103" s="1817">
        <f t="shared" si="0"/>
        <v>0</v>
      </c>
      <c r="AR103" s="1817"/>
      <c r="AS103" s="1817"/>
      <c r="AT103" s="1817"/>
      <c r="AU103" s="1817"/>
      <c r="AX103" s="1821" t="s">
        <v>874</v>
      </c>
      <c r="AY103" s="1821"/>
      <c r="AZ103" s="1821"/>
      <c r="BA103" s="1821"/>
      <c r="BB103" s="1821"/>
    </row>
    <row r="104" spans="11:102" ht="14.35" hidden="1" customHeight="1">
      <c r="K104" s="2028" t="str">
        <f>T('2 REPAIR ESTIMATOR'!N81:T81)</f>
        <v>DECKING AND PATIOS</v>
      </c>
      <c r="L104" s="2028"/>
      <c r="M104" s="2028"/>
      <c r="N104" s="2028"/>
      <c r="O104" s="2028"/>
      <c r="P104" s="2028"/>
      <c r="Q104" s="2028"/>
      <c r="R104" s="1817">
        <f>IF($AY$57="SUBBED",'2 REPAIR ESTIMATOR'!BN1204,'2 REPAIR ESTIMATOR'!BM1204)</f>
        <v>0</v>
      </c>
      <c r="S104" s="1817"/>
      <c r="T104" s="1817"/>
      <c r="U104" s="1817"/>
      <c r="V104" s="1817"/>
      <c r="W104" s="1817">
        <f>'2 REPAIR ESTIMATOR'!BB399</f>
        <v>0</v>
      </c>
      <c r="X104" s="1817"/>
      <c r="Y104" s="1817"/>
      <c r="Z104" s="1817"/>
      <c r="AA104" s="1817"/>
      <c r="AB104" s="1817">
        <f>'2 REPAIR ESTIMATOR'!BC399</f>
        <v>0</v>
      </c>
      <c r="AC104" s="1817"/>
      <c r="AD104" s="1817"/>
      <c r="AE104" s="1817"/>
      <c r="AF104" s="1817"/>
      <c r="AG104" s="1817">
        <f t="shared" si="1"/>
        <v>0</v>
      </c>
      <c r="AH104" s="1817"/>
      <c r="AI104" s="1817"/>
      <c r="AJ104" s="1817"/>
      <c r="AK104" s="1817"/>
      <c r="AL104" s="1817">
        <f>BG21</f>
        <v>0</v>
      </c>
      <c r="AM104" s="1817"/>
      <c r="AN104" s="1817"/>
      <c r="AO104" s="1817"/>
      <c r="AP104" s="1817"/>
      <c r="AQ104" s="1817">
        <f t="shared" si="0"/>
        <v>0</v>
      </c>
      <c r="AR104" s="1817"/>
      <c r="AS104" s="1817"/>
      <c r="AT104" s="1817"/>
      <c r="AU104" s="1817"/>
      <c r="AX104" s="1821" t="s">
        <v>873</v>
      </c>
      <c r="AY104" s="1821"/>
      <c r="AZ104" s="1821"/>
      <c r="BA104" s="1821"/>
      <c r="BB104" s="1821"/>
    </row>
    <row r="105" spans="11:102" ht="13.7" hidden="1" customHeight="1">
      <c r="K105" s="2028" t="str">
        <f>T('2 REPAIR ESTIMATOR'!N82:T82)</f>
        <v>ROOFING</v>
      </c>
      <c r="L105" s="2028"/>
      <c r="M105" s="2028"/>
      <c r="N105" s="2028"/>
      <c r="O105" s="2028"/>
      <c r="P105" s="2028"/>
      <c r="Q105" s="2028"/>
      <c r="R105" s="1817">
        <f>IF($AY$57="SUBBED",'2 REPAIR ESTIMATOR'!BN1205,'2 REPAIR ESTIMATOR'!BM1205)</f>
        <v>0</v>
      </c>
      <c r="S105" s="1817"/>
      <c r="T105" s="1817"/>
      <c r="U105" s="1817"/>
      <c r="V105" s="1817"/>
      <c r="W105" s="1817">
        <f>'2 REPAIR ESTIMATOR'!BB444</f>
        <v>0</v>
      </c>
      <c r="X105" s="1817"/>
      <c r="Y105" s="1817"/>
      <c r="Z105" s="1817"/>
      <c r="AA105" s="1817"/>
      <c r="AB105" s="1817">
        <f>'2 REPAIR ESTIMATOR'!BC444</f>
        <v>0</v>
      </c>
      <c r="AC105" s="1817"/>
      <c r="AD105" s="1817"/>
      <c r="AE105" s="1817"/>
      <c r="AF105" s="1817"/>
      <c r="AG105" s="1817">
        <f t="shared" si="1"/>
        <v>0</v>
      </c>
      <c r="AH105" s="1817"/>
      <c r="AI105" s="1817"/>
      <c r="AJ105" s="1817"/>
      <c r="AK105" s="1817"/>
      <c r="AL105" s="1817">
        <f>BG23</f>
        <v>0</v>
      </c>
      <c r="AM105" s="1817"/>
      <c r="AN105" s="1817"/>
      <c r="AO105" s="1817"/>
      <c r="AP105" s="1817"/>
      <c r="AQ105" s="1817">
        <f t="shared" si="0"/>
        <v>0</v>
      </c>
      <c r="AR105" s="1817"/>
      <c r="AS105" s="1817"/>
      <c r="AT105" s="1817"/>
      <c r="AU105" s="1817"/>
    </row>
    <row r="106" spans="11:102" ht="14.35" hidden="1" customHeight="1">
      <c r="K106" s="2028" t="str">
        <f>T('2 REPAIR ESTIMATOR'!Y75:AE75)</f>
        <v>EXTERIOR DOORS &amp; WINDOWS</v>
      </c>
      <c r="L106" s="2028"/>
      <c r="M106" s="2028"/>
      <c r="N106" s="2028"/>
      <c r="O106" s="2028"/>
      <c r="P106" s="2028"/>
      <c r="Q106" s="2028"/>
      <c r="R106" s="1817">
        <f>IF($AY$57="subbed",'2 REPAIR ESTIMATOR'!BN1206,'2 REPAIR ESTIMATOR'!BM1206)</f>
        <v>0</v>
      </c>
      <c r="S106" s="1817"/>
      <c r="T106" s="1817"/>
      <c r="U106" s="1817"/>
      <c r="V106" s="1817"/>
      <c r="W106" s="1817">
        <f>'2 REPAIR ESTIMATOR'!BB489</f>
        <v>0</v>
      </c>
      <c r="X106" s="1817"/>
      <c r="Y106" s="1817"/>
      <c r="Z106" s="1817"/>
      <c r="AA106" s="1817"/>
      <c r="AB106" s="1817">
        <f>'2 REPAIR ESTIMATOR'!BC489</f>
        <v>0</v>
      </c>
      <c r="AC106" s="1817"/>
      <c r="AD106" s="1817"/>
      <c r="AE106" s="1817"/>
      <c r="AF106" s="1817"/>
      <c r="AG106" s="1817">
        <f t="shared" si="1"/>
        <v>0</v>
      </c>
      <c r="AH106" s="1817"/>
      <c r="AI106" s="1817"/>
      <c r="AJ106" s="1817"/>
      <c r="AK106" s="1817"/>
      <c r="AL106" s="1817">
        <f>BG25</f>
        <v>0</v>
      </c>
      <c r="AM106" s="1817"/>
      <c r="AN106" s="1817"/>
      <c r="AO106" s="1817"/>
      <c r="AP106" s="1817"/>
      <c r="AQ106" s="1817">
        <f t="shared" si="0"/>
        <v>0</v>
      </c>
      <c r="AR106" s="1817"/>
      <c r="AS106" s="1817"/>
      <c r="AT106" s="1817"/>
      <c r="AU106" s="1817"/>
      <c r="AX106" s="1821" t="s">
        <v>468</v>
      </c>
      <c r="AY106" s="1821"/>
      <c r="AZ106" s="1821"/>
      <c r="BA106" s="1821"/>
      <c r="BB106" s="1821"/>
    </row>
    <row r="107" spans="11:102" ht="14.7" hidden="1" customHeight="1">
      <c r="K107" s="2028" t="str">
        <f>T('2 REPAIR ESTIMATOR'!Y76:AE76)</f>
        <v>GARAGE DOORS</v>
      </c>
      <c r="L107" s="2028"/>
      <c r="M107" s="2028"/>
      <c r="N107" s="2028"/>
      <c r="O107" s="2028"/>
      <c r="P107" s="2028"/>
      <c r="Q107" s="2028"/>
      <c r="R107" s="1817">
        <f>IF($AY$57="subbed",'2 REPAIR ESTIMATOR'!BN1207,'2 REPAIR ESTIMATOR'!BM1207)</f>
        <v>0</v>
      </c>
      <c r="S107" s="1817"/>
      <c r="T107" s="1817"/>
      <c r="U107" s="1817"/>
      <c r="V107" s="1817"/>
      <c r="W107" s="1817">
        <f>'2 REPAIR ESTIMATOR'!BB534</f>
        <v>0</v>
      </c>
      <c r="X107" s="1817"/>
      <c r="Y107" s="1817"/>
      <c r="Z107" s="1817"/>
      <c r="AA107" s="1817"/>
      <c r="AB107" s="1817">
        <f>'2 REPAIR ESTIMATOR'!BC534</f>
        <v>0</v>
      </c>
      <c r="AC107" s="1817"/>
      <c r="AD107" s="1817"/>
      <c r="AE107" s="1817"/>
      <c r="AF107" s="1817"/>
      <c r="AG107" s="1817">
        <f t="shared" si="1"/>
        <v>0</v>
      </c>
      <c r="AH107" s="1817"/>
      <c r="AI107" s="1817"/>
      <c r="AJ107" s="1817"/>
      <c r="AK107" s="1817"/>
      <c r="AL107" s="1817">
        <f>BG27</f>
        <v>0</v>
      </c>
      <c r="AM107" s="1817"/>
      <c r="AN107" s="1817"/>
      <c r="AO107" s="1817"/>
      <c r="AP107" s="1817"/>
      <c r="AQ107" s="1817">
        <f t="shared" si="0"/>
        <v>0</v>
      </c>
      <c r="AR107" s="1817"/>
      <c r="AS107" s="1817"/>
      <c r="AT107" s="1817"/>
      <c r="AU107" s="1817"/>
      <c r="AX107" s="1821" t="s">
        <v>467</v>
      </c>
      <c r="AY107" s="1821"/>
      <c r="AZ107" s="1821"/>
      <c r="BA107" s="1821"/>
      <c r="BB107" s="1821"/>
    </row>
    <row r="108" spans="11:102" ht="13.7" hidden="1" customHeight="1">
      <c r="K108" s="2028" t="str">
        <f>T('2 REPAIR ESTIMATOR'!Y77:AE77)</f>
        <v>LANDSCAPING</v>
      </c>
      <c r="L108" s="2028"/>
      <c r="M108" s="2028"/>
      <c r="N108" s="2028"/>
      <c r="O108" s="2028"/>
      <c r="P108" s="2028"/>
      <c r="Q108" s="2028"/>
      <c r="R108" s="1817">
        <f>IF($AY$57="subbed",'2 REPAIR ESTIMATOR'!BN1208,'2 REPAIR ESTIMATOR'!BM1208)</f>
        <v>0</v>
      </c>
      <c r="S108" s="1817"/>
      <c r="T108" s="1817"/>
      <c r="U108" s="1817"/>
      <c r="V108" s="1817"/>
      <c r="W108" s="1817">
        <f>'2 REPAIR ESTIMATOR'!BB579</f>
        <v>0</v>
      </c>
      <c r="X108" s="1817"/>
      <c r="Y108" s="1817"/>
      <c r="Z108" s="1817"/>
      <c r="AA108" s="1817"/>
      <c r="AB108" s="1817">
        <f>'2 REPAIR ESTIMATOR'!BC579</f>
        <v>0</v>
      </c>
      <c r="AC108" s="1817"/>
      <c r="AD108" s="1817"/>
      <c r="AE108" s="1817"/>
      <c r="AF108" s="1817"/>
      <c r="AG108" s="1817">
        <f t="shared" si="1"/>
        <v>0</v>
      </c>
      <c r="AH108" s="1817"/>
      <c r="AI108" s="1817"/>
      <c r="AJ108" s="1817"/>
      <c r="AK108" s="1817"/>
      <c r="AL108" s="1817">
        <f>BG29</f>
        <v>0</v>
      </c>
      <c r="AM108" s="1817"/>
      <c r="AN108" s="1817"/>
      <c r="AO108" s="1817"/>
      <c r="AP108" s="1817"/>
      <c r="AQ108" s="1817">
        <f t="shared" si="0"/>
        <v>0</v>
      </c>
      <c r="AR108" s="1817"/>
      <c r="AS108" s="1817"/>
      <c r="AT108" s="1817"/>
      <c r="AU108" s="1817"/>
    </row>
    <row r="109" spans="11:102" ht="14.35" hidden="1" customHeight="1">
      <c r="K109" s="2028" t="str">
        <f>T('2 REPAIR ESTIMATOR'!Y78:AE78)</f>
        <v>MISC. EXTERIOR ITEMS</v>
      </c>
      <c r="L109" s="2028"/>
      <c r="M109" s="2028"/>
      <c r="N109" s="2028"/>
      <c r="O109" s="2028"/>
      <c r="P109" s="2028"/>
      <c r="Q109" s="2028"/>
      <c r="R109" s="1817">
        <f>IF($AY$57="subbed",'2 REPAIR ESTIMATOR'!BN1209,'2 REPAIR ESTIMATOR'!BM1209)</f>
        <v>0</v>
      </c>
      <c r="S109" s="1817"/>
      <c r="T109" s="1817"/>
      <c r="U109" s="1817"/>
      <c r="V109" s="1817"/>
      <c r="W109" s="1817">
        <f>'2 REPAIR ESTIMATOR'!BB624</f>
        <v>0</v>
      </c>
      <c r="X109" s="1817"/>
      <c r="Y109" s="1817"/>
      <c r="Z109" s="1817"/>
      <c r="AA109" s="1817"/>
      <c r="AB109" s="1817">
        <f>'2 REPAIR ESTIMATOR'!BC624</f>
        <v>0</v>
      </c>
      <c r="AC109" s="1817"/>
      <c r="AD109" s="1817"/>
      <c r="AE109" s="1817"/>
      <c r="AF109" s="1817"/>
      <c r="AG109" s="1817">
        <f t="shared" si="1"/>
        <v>0</v>
      </c>
      <c r="AH109" s="1817"/>
      <c r="AI109" s="1817"/>
      <c r="AJ109" s="1817"/>
      <c r="AK109" s="1817"/>
      <c r="AL109" s="1817">
        <f>BG31</f>
        <v>0</v>
      </c>
      <c r="AM109" s="1817"/>
      <c r="AN109" s="1817"/>
      <c r="AO109" s="1817"/>
      <c r="AP109" s="1817"/>
      <c r="AQ109" s="1817">
        <f t="shared" si="0"/>
        <v>0</v>
      </c>
      <c r="AR109" s="1817"/>
      <c r="AS109" s="1817"/>
      <c r="AT109" s="1817"/>
      <c r="AU109" s="1817"/>
      <c r="AX109" s="2123" t="s">
        <v>1357</v>
      </c>
      <c r="AY109" s="1822"/>
      <c r="AZ109" s="1822"/>
      <c r="BA109" s="1822"/>
      <c r="BB109" s="1822"/>
      <c r="BC109" s="1822"/>
      <c r="BD109" s="1822"/>
      <c r="BE109" s="1822"/>
      <c r="BF109" s="1822"/>
      <c r="BG109" s="1822"/>
      <c r="BH109" s="1822"/>
      <c r="BI109" s="1822"/>
    </row>
    <row r="110" spans="11:102" ht="14" hidden="1" customHeight="1">
      <c r="K110" s="2028" t="str">
        <f>T('2 REPAIR ESTIMATOR'!Y79:AE79)</f>
        <v>FRAMING &amp; DRYWALL</v>
      </c>
      <c r="L110" s="2028"/>
      <c r="M110" s="2028"/>
      <c r="N110" s="2028"/>
      <c r="O110" s="2028"/>
      <c r="P110" s="2028"/>
      <c r="Q110" s="2028"/>
      <c r="R110" s="1817">
        <f>IF($AY$57="subbed",'2 REPAIR ESTIMATOR'!BN1210,'2 REPAIR ESTIMATOR'!BM1210)</f>
        <v>0</v>
      </c>
      <c r="S110" s="1817"/>
      <c r="T110" s="1817"/>
      <c r="U110" s="1817"/>
      <c r="V110" s="1817"/>
      <c r="W110" s="1817">
        <f>'2 REPAIR ESTIMATOR'!BB669</f>
        <v>0</v>
      </c>
      <c r="X110" s="1817"/>
      <c r="Y110" s="1817"/>
      <c r="Z110" s="1817"/>
      <c r="AA110" s="1817"/>
      <c r="AB110" s="1817">
        <f>'2 REPAIR ESTIMATOR'!BC669</f>
        <v>0</v>
      </c>
      <c r="AC110" s="1817"/>
      <c r="AD110" s="1817"/>
      <c r="AE110" s="1817"/>
      <c r="AF110" s="1817"/>
      <c r="AG110" s="1817">
        <f t="shared" si="1"/>
        <v>0</v>
      </c>
      <c r="AH110" s="1817"/>
      <c r="AI110" s="1817"/>
      <c r="AJ110" s="1817"/>
      <c r="AK110" s="1817"/>
      <c r="AL110" s="1817">
        <f>BG33</f>
        <v>0</v>
      </c>
      <c r="AM110" s="1817"/>
      <c r="AN110" s="1817"/>
      <c r="AO110" s="1817"/>
      <c r="AP110" s="1817"/>
      <c r="AQ110" s="1817">
        <f t="shared" si="0"/>
        <v>0</v>
      </c>
      <c r="AR110" s="1817"/>
      <c r="AS110" s="1817"/>
      <c r="AT110" s="1817"/>
      <c r="AU110" s="1817"/>
      <c r="AX110" s="1820" t="str">
        <f>C81</f>
        <v>TOTAL FIXED COSTS</v>
      </c>
      <c r="AY110" s="1820"/>
      <c r="AZ110" s="1820"/>
      <c r="BA110" s="1820"/>
      <c r="BB110" s="1820"/>
      <c r="BC110" s="1820"/>
      <c r="BD110" s="1820"/>
      <c r="BE110" s="1820"/>
      <c r="BF110" s="1820"/>
      <c r="BG110" s="2025">
        <f>Total_Fixed_Costs_Result</f>
        <v>0</v>
      </c>
      <c r="BH110" s="2025"/>
      <c r="BI110" s="2025"/>
    </row>
    <row r="111" spans="11:102" ht="15" hidden="1" customHeight="1">
      <c r="K111" s="2028" t="str">
        <f>T('2 REPAIR ESTIMATOR'!Y80:AE80)</f>
        <v>CABINETS &amp; COUNTERTOPS</v>
      </c>
      <c r="L111" s="2028"/>
      <c r="M111" s="2028"/>
      <c r="N111" s="2028"/>
      <c r="O111" s="2028"/>
      <c r="P111" s="2028"/>
      <c r="Q111" s="2028"/>
      <c r="R111" s="1817">
        <f>IF($AY$57="subbed",'2 REPAIR ESTIMATOR'!BN1211,'2 REPAIR ESTIMATOR'!BM1211)</f>
        <v>0</v>
      </c>
      <c r="S111" s="1817"/>
      <c r="T111" s="1817"/>
      <c r="U111" s="1817"/>
      <c r="V111" s="1817"/>
      <c r="W111" s="1817">
        <f>'2 REPAIR ESTIMATOR'!BB714</f>
        <v>0</v>
      </c>
      <c r="X111" s="1817"/>
      <c r="Y111" s="1817"/>
      <c r="Z111" s="1817"/>
      <c r="AA111" s="1817"/>
      <c r="AB111" s="1817">
        <f>'2 REPAIR ESTIMATOR'!BC714</f>
        <v>0</v>
      </c>
      <c r="AC111" s="1817"/>
      <c r="AD111" s="1817"/>
      <c r="AE111" s="1817"/>
      <c r="AF111" s="1817"/>
      <c r="AG111" s="1817">
        <f t="shared" si="1"/>
        <v>0</v>
      </c>
      <c r="AH111" s="1817"/>
      <c r="AI111" s="1817"/>
      <c r="AJ111" s="1817"/>
      <c r="AK111" s="1817"/>
      <c r="AL111" s="1817">
        <f>BG35</f>
        <v>0</v>
      </c>
      <c r="AM111" s="1817"/>
      <c r="AN111" s="1817"/>
      <c r="AO111" s="1817"/>
      <c r="AP111" s="1817"/>
      <c r="AQ111" s="1817">
        <f t="shared" si="0"/>
        <v>0</v>
      </c>
      <c r="AR111" s="1817"/>
      <c r="AS111" s="1817"/>
      <c r="AT111" s="1817"/>
      <c r="AU111" s="1817"/>
      <c r="AX111" s="1820" t="str">
        <f>BO6</f>
        <v>STEP 4: REHAB PROFIT</v>
      </c>
      <c r="AY111" s="1820"/>
      <c r="AZ111" s="1820"/>
      <c r="BA111" s="1820"/>
      <c r="BB111" s="1820"/>
      <c r="BC111" s="1820"/>
      <c r="BD111" s="1820"/>
      <c r="BE111" s="1820"/>
      <c r="BF111" s="1820"/>
      <c r="BG111" s="2025">
        <f>Total_Profit_Result</f>
        <v>0</v>
      </c>
      <c r="BH111" s="2025"/>
      <c r="BI111" s="2025"/>
    </row>
    <row r="112" spans="11:102" ht="15" hidden="1" customHeight="1">
      <c r="K112" s="2028" t="str">
        <f>T('2 REPAIR ESTIMATOR'!Y81:AE81)</f>
        <v>DOORS &amp; TRIM</v>
      </c>
      <c r="L112" s="2028"/>
      <c r="M112" s="2028"/>
      <c r="N112" s="2028"/>
      <c r="O112" s="2028"/>
      <c r="P112" s="2028"/>
      <c r="Q112" s="2028"/>
      <c r="R112" s="1817">
        <f>IF($AY$57="subbed",'2 REPAIR ESTIMATOR'!BN1212,'2 REPAIR ESTIMATOR'!BM1212)</f>
        <v>0</v>
      </c>
      <c r="S112" s="1817"/>
      <c r="T112" s="1817"/>
      <c r="U112" s="1817"/>
      <c r="V112" s="1817"/>
      <c r="W112" s="1817">
        <f>'2 REPAIR ESTIMATOR'!BB759</f>
        <v>0</v>
      </c>
      <c r="X112" s="1817"/>
      <c r="Y112" s="1817"/>
      <c r="Z112" s="1817"/>
      <c r="AA112" s="1817"/>
      <c r="AB112" s="1817">
        <f>'2 REPAIR ESTIMATOR'!BC759</f>
        <v>0</v>
      </c>
      <c r="AC112" s="1817"/>
      <c r="AD112" s="1817"/>
      <c r="AE112" s="1817"/>
      <c r="AF112" s="1817"/>
      <c r="AG112" s="1817">
        <f t="shared" si="1"/>
        <v>0</v>
      </c>
      <c r="AH112" s="1817"/>
      <c r="AI112" s="1817"/>
      <c r="AJ112" s="1817"/>
      <c r="AK112" s="1817"/>
      <c r="AL112" s="1817">
        <f>BG37</f>
        <v>0</v>
      </c>
      <c r="AM112" s="1817"/>
      <c r="AN112" s="1817"/>
      <c r="AO112" s="1817"/>
      <c r="AP112" s="1817"/>
      <c r="AQ112" s="1817">
        <f t="shared" si="0"/>
        <v>0</v>
      </c>
      <c r="AR112" s="1817"/>
      <c r="AS112" s="1817"/>
      <c r="AT112" s="1817"/>
      <c r="AU112" s="1817"/>
      <c r="AX112" s="1820" t="s">
        <v>842</v>
      </c>
      <c r="AY112" s="1820"/>
      <c r="AZ112" s="1820"/>
      <c r="BA112" s="1820"/>
      <c r="BB112" s="1820"/>
      <c r="BC112" s="1820"/>
      <c r="BD112" s="1820"/>
      <c r="BE112" s="1820"/>
      <c r="BF112" s="1820"/>
      <c r="BG112" s="2025">
        <f>TOTAL_REPAIRS_ESTIMATE</f>
        <v>0</v>
      </c>
      <c r="BH112" s="2025"/>
      <c r="BI112" s="2025"/>
    </row>
    <row r="113" spans="11:102" ht="15" hidden="1" customHeight="1">
      <c r="K113" s="2028" t="str">
        <f>T('2 REPAIR ESTIMATOR'!Y82:AE82)</f>
        <v>CARPET &amp; RESILIENT</v>
      </c>
      <c r="L113" s="2028"/>
      <c r="M113" s="2028"/>
      <c r="N113" s="2028"/>
      <c r="O113" s="2028"/>
      <c r="P113" s="2028"/>
      <c r="Q113" s="2028"/>
      <c r="R113" s="2137">
        <f>IF($AY$57="subbed",'2 REPAIR ESTIMATOR'!BN1213,'2 REPAIR ESTIMATOR'!BM1213)</f>
        <v>0</v>
      </c>
      <c r="S113" s="2138"/>
      <c r="T113" s="2138"/>
      <c r="U113" s="2138"/>
      <c r="V113" s="2139"/>
      <c r="W113" s="1817">
        <f>'2 REPAIR ESTIMATOR'!BB804</f>
        <v>0</v>
      </c>
      <c r="X113" s="1817"/>
      <c r="Y113" s="1817"/>
      <c r="Z113" s="1817"/>
      <c r="AA113" s="1817"/>
      <c r="AB113" s="1817">
        <f>'2 REPAIR ESTIMATOR'!BC804</f>
        <v>0</v>
      </c>
      <c r="AC113" s="1817"/>
      <c r="AD113" s="1817"/>
      <c r="AE113" s="1817"/>
      <c r="AF113" s="1817"/>
      <c r="AG113" s="1817">
        <f t="shared" si="1"/>
        <v>0</v>
      </c>
      <c r="AH113" s="1817"/>
      <c r="AI113" s="1817"/>
      <c r="AJ113" s="1817"/>
      <c r="AK113" s="1817"/>
      <c r="AL113" s="1817">
        <f>BG39</f>
        <v>0</v>
      </c>
      <c r="AM113" s="1817"/>
      <c r="AN113" s="1817"/>
      <c r="AO113" s="1817"/>
      <c r="AP113" s="1817"/>
      <c r="AQ113" s="1817">
        <f t="shared" si="0"/>
        <v>0</v>
      </c>
      <c r="AR113" s="1817"/>
      <c r="AS113" s="1817"/>
      <c r="AT113" s="1817"/>
      <c r="AU113" s="1817"/>
      <c r="AX113" s="1820" t="str">
        <f>BO29</f>
        <v>MAXIMUM PURCHASE PRICE</v>
      </c>
      <c r="AY113" s="1820"/>
      <c r="AZ113" s="1820"/>
      <c r="BA113" s="1820"/>
      <c r="BB113" s="1820"/>
      <c r="BC113" s="1820"/>
      <c r="BD113" s="1820"/>
      <c r="BE113" s="1820"/>
      <c r="BF113" s="1820"/>
      <c r="BG113" s="2025">
        <f>Purchase_Price_Result</f>
        <v>0</v>
      </c>
      <c r="BH113" s="2025"/>
      <c r="BI113" s="2025"/>
    </row>
    <row r="114" spans="11:102" ht="15" hidden="1" customHeight="1">
      <c r="K114" s="2028" t="str">
        <f>T('2 REPAIR ESTIMATOR'!AJ75:AP75)</f>
        <v>HARDWOOD FLOORING</v>
      </c>
      <c r="L114" s="2028"/>
      <c r="M114" s="2028"/>
      <c r="N114" s="2028"/>
      <c r="O114" s="2028"/>
      <c r="P114" s="2028"/>
      <c r="Q114" s="2028"/>
      <c r="R114" s="1817">
        <f>IF($AY$57="subbed",'2 REPAIR ESTIMATOR'!BN1214,'2 REPAIR ESTIMATOR'!BM1214)</f>
        <v>0</v>
      </c>
      <c r="S114" s="1817"/>
      <c r="T114" s="1817"/>
      <c r="U114" s="1817"/>
      <c r="V114" s="1817"/>
      <c r="W114" s="1817">
        <f>'2 REPAIR ESTIMATOR'!BB849</f>
        <v>0</v>
      </c>
      <c r="X114" s="1817"/>
      <c r="Y114" s="1817"/>
      <c r="Z114" s="1817"/>
      <c r="AA114" s="1817"/>
      <c r="AB114" s="1817">
        <f>'2 REPAIR ESTIMATOR'!BC849</f>
        <v>0</v>
      </c>
      <c r="AC114" s="1817"/>
      <c r="AD114" s="1817"/>
      <c r="AE114" s="1817"/>
      <c r="AF114" s="1817"/>
      <c r="AG114" s="1817">
        <f t="shared" si="1"/>
        <v>0</v>
      </c>
      <c r="AH114" s="1817"/>
      <c r="AI114" s="1817"/>
      <c r="AJ114" s="1817"/>
      <c r="AK114" s="1817"/>
      <c r="AL114" s="1817">
        <f>BG41</f>
        <v>0</v>
      </c>
      <c r="AM114" s="1817"/>
      <c r="AN114" s="1817"/>
      <c r="AO114" s="1817"/>
      <c r="AP114" s="1817"/>
      <c r="AQ114" s="1817">
        <f t="shared" si="0"/>
        <v>0</v>
      </c>
      <c r="AR114" s="1817"/>
      <c r="AS114" s="1817"/>
      <c r="AT114" s="1817"/>
      <c r="AU114" s="1817"/>
      <c r="AX114" s="2123" t="s">
        <v>1358</v>
      </c>
      <c r="AY114" s="1822"/>
      <c r="AZ114" s="1822"/>
      <c r="BA114" s="1822"/>
      <c r="BB114" s="1822"/>
      <c r="BC114" s="1822"/>
      <c r="BD114" s="1822"/>
      <c r="BE114" s="1822"/>
      <c r="BF114" s="1822"/>
      <c r="BG114" s="1822"/>
      <c r="BH114" s="1822"/>
      <c r="BI114" s="1822"/>
    </row>
    <row r="115" spans="11:102" ht="15" hidden="1" customHeight="1">
      <c r="K115" s="2028" t="str">
        <f>T('2 REPAIR ESTIMATOR'!AJ76:AP76)</f>
        <v>TILING</v>
      </c>
      <c r="L115" s="2028"/>
      <c r="M115" s="2028"/>
      <c r="N115" s="2028"/>
      <c r="O115" s="2028"/>
      <c r="P115" s="2028"/>
      <c r="Q115" s="2028"/>
      <c r="R115" s="1817">
        <f>IF($AY$57="subbed",'2 REPAIR ESTIMATOR'!BN1215,'2 REPAIR ESTIMATOR'!BM1215)</f>
        <v>0</v>
      </c>
      <c r="S115" s="1817"/>
      <c r="T115" s="1817"/>
      <c r="U115" s="1817"/>
      <c r="V115" s="1817"/>
      <c r="W115" s="1817">
        <f>'2 REPAIR ESTIMATOR'!BB894</f>
        <v>0</v>
      </c>
      <c r="X115" s="1817"/>
      <c r="Y115" s="1817"/>
      <c r="Z115" s="1817"/>
      <c r="AA115" s="1817"/>
      <c r="AB115" s="1817">
        <f>'2 REPAIR ESTIMATOR'!BC894</f>
        <v>0</v>
      </c>
      <c r="AC115" s="1817"/>
      <c r="AD115" s="1817"/>
      <c r="AE115" s="1817"/>
      <c r="AF115" s="1817"/>
      <c r="AG115" s="1817">
        <f t="shared" si="1"/>
        <v>0</v>
      </c>
      <c r="AH115" s="1817"/>
      <c r="AI115" s="1817"/>
      <c r="AJ115" s="1817"/>
      <c r="AK115" s="1817"/>
      <c r="AL115" s="1817">
        <f>BG43</f>
        <v>0</v>
      </c>
      <c r="AM115" s="1817"/>
      <c r="AN115" s="1817"/>
      <c r="AO115" s="1817"/>
      <c r="AP115" s="1817"/>
      <c r="AQ115" s="1817">
        <f t="shared" si="0"/>
        <v>0</v>
      </c>
      <c r="AR115" s="1817"/>
      <c r="AS115" s="1817"/>
      <c r="AT115" s="1817"/>
      <c r="AU115" s="1817"/>
      <c r="AX115" s="1820" t="str">
        <f>C81</f>
        <v>TOTAL FIXED COSTS</v>
      </c>
      <c r="AY115" s="1820"/>
      <c r="AZ115" s="1820"/>
      <c r="BA115" s="1820"/>
      <c r="BB115" s="1820"/>
      <c r="BC115" s="1820"/>
      <c r="BD115" s="1820"/>
      <c r="BE115" s="1820"/>
      <c r="BF115" s="1820"/>
      <c r="BG115" s="2025">
        <f>Total_Fixed_Costs_Result</f>
        <v>0</v>
      </c>
      <c r="BH115" s="2025"/>
      <c r="BI115" s="2025"/>
    </row>
    <row r="116" spans="11:102" ht="15" hidden="1" customHeight="1">
      <c r="K116" s="2028" t="str">
        <f>T('2 REPAIR ESTIMATOR'!AJ77:AP77)</f>
        <v>PAINTING</v>
      </c>
      <c r="L116" s="2028"/>
      <c r="M116" s="2028"/>
      <c r="N116" s="2028"/>
      <c r="O116" s="2028"/>
      <c r="P116" s="2028"/>
      <c r="Q116" s="2028"/>
      <c r="R116" s="1817">
        <f>IF($AY$57="subbed",'2 REPAIR ESTIMATOR'!BN1216,'2 REPAIR ESTIMATOR'!BM1216)</f>
        <v>0</v>
      </c>
      <c r="S116" s="1817"/>
      <c r="T116" s="1817"/>
      <c r="U116" s="1817"/>
      <c r="V116" s="1817"/>
      <c r="W116" s="1817">
        <f>'2 REPAIR ESTIMATOR'!BB939</f>
        <v>0</v>
      </c>
      <c r="X116" s="1817"/>
      <c r="Y116" s="1817"/>
      <c r="Z116" s="1817"/>
      <c r="AA116" s="1817"/>
      <c r="AB116" s="1817">
        <f>'2 REPAIR ESTIMATOR'!BC939</f>
        <v>0</v>
      </c>
      <c r="AC116" s="1817"/>
      <c r="AD116" s="1817"/>
      <c r="AE116" s="1817"/>
      <c r="AF116" s="1817"/>
      <c r="AG116" s="1817">
        <f t="shared" si="1"/>
        <v>0</v>
      </c>
      <c r="AH116" s="1817"/>
      <c r="AI116" s="1817"/>
      <c r="AJ116" s="1817"/>
      <c r="AK116" s="1817"/>
      <c r="AL116" s="1817">
        <f>BG45</f>
        <v>0</v>
      </c>
      <c r="AM116" s="1817"/>
      <c r="AN116" s="1817"/>
      <c r="AO116" s="1817"/>
      <c r="AP116" s="1817"/>
      <c r="AQ116" s="1817">
        <f t="shared" si="0"/>
        <v>0</v>
      </c>
      <c r="AR116" s="1817"/>
      <c r="AS116" s="1817"/>
      <c r="AT116" s="1817"/>
      <c r="AU116" s="1817"/>
      <c r="AX116" s="1820" t="str">
        <f>BO6</f>
        <v>STEP 4: REHAB PROFIT</v>
      </c>
      <c r="AY116" s="1820"/>
      <c r="AZ116" s="1820"/>
      <c r="BA116" s="1820"/>
      <c r="BB116" s="1820"/>
      <c r="BC116" s="1820"/>
      <c r="BD116" s="1820"/>
      <c r="BE116" s="1820"/>
      <c r="BF116" s="1820"/>
      <c r="BG116" s="2025">
        <f>DC51</f>
        <v>0</v>
      </c>
      <c r="BH116" s="2025"/>
      <c r="BI116" s="2025"/>
    </row>
    <row r="117" spans="11:102" ht="15" hidden="1" customHeight="1">
      <c r="K117" s="2028" t="str">
        <f>T('2 REPAIR ESTIMATOR'!AJ78:AP78)</f>
        <v>APPLIANCES</v>
      </c>
      <c r="L117" s="2028"/>
      <c r="M117" s="2028"/>
      <c r="N117" s="2028"/>
      <c r="O117" s="2028"/>
      <c r="P117" s="2028"/>
      <c r="Q117" s="2028"/>
      <c r="R117" s="1817">
        <f>IF($AY$57="subbed",'2 REPAIR ESTIMATOR'!BN1217,'2 REPAIR ESTIMATOR'!BM1217)</f>
        <v>0</v>
      </c>
      <c r="S117" s="1817"/>
      <c r="T117" s="1817"/>
      <c r="U117" s="1817"/>
      <c r="V117" s="1817"/>
      <c r="W117" s="1817">
        <f>'2 REPAIR ESTIMATOR'!BB984</f>
        <v>0</v>
      </c>
      <c r="X117" s="1817"/>
      <c r="Y117" s="1817"/>
      <c r="Z117" s="1817"/>
      <c r="AA117" s="1817"/>
      <c r="AB117" s="1817">
        <f>'2 REPAIR ESTIMATOR'!BC984</f>
        <v>0</v>
      </c>
      <c r="AC117" s="1817"/>
      <c r="AD117" s="1817"/>
      <c r="AE117" s="1817"/>
      <c r="AF117" s="1817"/>
      <c r="AG117" s="1817">
        <f t="shared" si="1"/>
        <v>0</v>
      </c>
      <c r="AH117" s="1817"/>
      <c r="AI117" s="1817"/>
      <c r="AJ117" s="1817"/>
      <c r="AK117" s="1817"/>
      <c r="AL117" s="1817">
        <f>BG47</f>
        <v>0</v>
      </c>
      <c r="AM117" s="1817"/>
      <c r="AN117" s="1817"/>
      <c r="AO117" s="1817"/>
      <c r="AP117" s="1817"/>
      <c r="AQ117" s="1817">
        <f t="shared" si="0"/>
        <v>0</v>
      </c>
      <c r="AR117" s="1817"/>
      <c r="AS117" s="1817"/>
      <c r="AT117" s="1817"/>
      <c r="AU117" s="1817"/>
      <c r="AX117" s="1820" t="s">
        <v>842</v>
      </c>
      <c r="AY117" s="1820"/>
      <c r="AZ117" s="1820"/>
      <c r="BA117" s="1820"/>
      <c r="BB117" s="1820"/>
      <c r="BC117" s="1820"/>
      <c r="BD117" s="1820"/>
      <c r="BE117" s="1820"/>
      <c r="BF117" s="1820"/>
      <c r="BG117" s="2025">
        <f>TOTAL_REPAIRS_ESTIMATE</f>
        <v>0</v>
      </c>
      <c r="BH117" s="2025"/>
      <c r="BI117" s="2025"/>
    </row>
    <row r="118" spans="11:102" ht="13.7" hidden="1" customHeight="1">
      <c r="K118" s="2028" t="str">
        <f>T('2 REPAIR ESTIMATOR'!AJ79:AP79)</f>
        <v>PLUMBING</v>
      </c>
      <c r="L118" s="2028"/>
      <c r="M118" s="2028"/>
      <c r="N118" s="2028"/>
      <c r="O118" s="2028"/>
      <c r="P118" s="2028"/>
      <c r="Q118" s="2028"/>
      <c r="R118" s="1817">
        <f>IF($AY$57="subbed",'2 REPAIR ESTIMATOR'!BN1218,'2 REPAIR ESTIMATOR'!BM1218)</f>
        <v>0</v>
      </c>
      <c r="S118" s="1817"/>
      <c r="T118" s="1817"/>
      <c r="U118" s="1817"/>
      <c r="V118" s="1817"/>
      <c r="W118" s="1817">
        <f>'2 REPAIR ESTIMATOR'!BB1029</f>
        <v>0</v>
      </c>
      <c r="X118" s="1817"/>
      <c r="Y118" s="1817"/>
      <c r="Z118" s="1817"/>
      <c r="AA118" s="1817"/>
      <c r="AB118" s="1817">
        <f>'2 REPAIR ESTIMATOR'!BC1029</f>
        <v>0</v>
      </c>
      <c r="AC118" s="1817"/>
      <c r="AD118" s="1817"/>
      <c r="AE118" s="1817"/>
      <c r="AF118" s="1817"/>
      <c r="AG118" s="1817">
        <f t="shared" si="1"/>
        <v>0</v>
      </c>
      <c r="AH118" s="1817"/>
      <c r="AI118" s="1817"/>
      <c r="AJ118" s="1817"/>
      <c r="AK118" s="1817"/>
      <c r="AL118" s="1817">
        <f>BG49</f>
        <v>0</v>
      </c>
      <c r="AM118" s="1817"/>
      <c r="AN118" s="1817"/>
      <c r="AO118" s="1817"/>
      <c r="AP118" s="1817"/>
      <c r="AQ118" s="1817">
        <f t="shared" si="0"/>
        <v>0</v>
      </c>
      <c r="AR118" s="1817"/>
      <c r="AS118" s="1817"/>
      <c r="AT118" s="1817"/>
      <c r="AU118" s="1817"/>
      <c r="AX118" s="1820" t="str">
        <f>BO29</f>
        <v>MAXIMUM PURCHASE PRICE</v>
      </c>
      <c r="AY118" s="1820"/>
      <c r="AZ118" s="1820"/>
      <c r="BA118" s="1820"/>
      <c r="BB118" s="1820"/>
      <c r="BC118" s="1820"/>
      <c r="BD118" s="1820"/>
      <c r="BE118" s="1820"/>
      <c r="BF118" s="1820"/>
      <c r="BG118" s="2025">
        <f>Known_Purchase_Price_Cell</f>
        <v>0</v>
      </c>
      <c r="BH118" s="2025"/>
      <c r="BI118" s="2025"/>
    </row>
    <row r="119" spans="11:102" ht="13.7" hidden="1" customHeight="1">
      <c r="K119" s="2028" t="str">
        <f>T('2 REPAIR ESTIMATOR'!AJ80:AP80)</f>
        <v>HVAC</v>
      </c>
      <c r="L119" s="2028"/>
      <c r="M119" s="2028"/>
      <c r="N119" s="2028"/>
      <c r="O119" s="2028"/>
      <c r="P119" s="2028"/>
      <c r="Q119" s="2028"/>
      <c r="R119" s="1817">
        <f>IF($AY$57="subbed",'2 REPAIR ESTIMATOR'!BN1219,'2 REPAIR ESTIMATOR'!BM1219)</f>
        <v>0</v>
      </c>
      <c r="S119" s="1817"/>
      <c r="T119" s="1817"/>
      <c r="U119" s="1817"/>
      <c r="V119" s="1817"/>
      <c r="W119" s="1817">
        <f>'2 REPAIR ESTIMATOR'!BB1074</f>
        <v>0</v>
      </c>
      <c r="X119" s="1817"/>
      <c r="Y119" s="1817"/>
      <c r="Z119" s="1817"/>
      <c r="AA119" s="1817"/>
      <c r="AB119" s="1817">
        <f>'2 REPAIR ESTIMATOR'!BC1074</f>
        <v>0</v>
      </c>
      <c r="AC119" s="1817"/>
      <c r="AD119" s="1817"/>
      <c r="AE119" s="1817"/>
      <c r="AF119" s="1817"/>
      <c r="AG119" s="1817">
        <f t="shared" si="1"/>
        <v>0</v>
      </c>
      <c r="AH119" s="1817"/>
      <c r="AI119" s="1817"/>
      <c r="AJ119" s="1817"/>
      <c r="AK119" s="1817"/>
      <c r="AL119" s="1817">
        <f>BG51</f>
        <v>0</v>
      </c>
      <c r="AM119" s="1817"/>
      <c r="AN119" s="1817"/>
      <c r="AO119" s="1817"/>
      <c r="AP119" s="1817"/>
      <c r="AQ119" s="1817">
        <f t="shared" si="0"/>
        <v>0</v>
      </c>
      <c r="AR119" s="1817"/>
      <c r="AS119" s="1817"/>
      <c r="AT119" s="1817"/>
      <c r="AU119" s="1817"/>
    </row>
    <row r="120" spans="11:102" ht="14.35" hidden="1">
      <c r="K120" s="2028" t="str">
        <f>T('2 REPAIR ESTIMATOR'!AJ81:AP81)</f>
        <v>ELECTRICAL</v>
      </c>
      <c r="L120" s="2028"/>
      <c r="M120" s="2028"/>
      <c r="N120" s="2028"/>
      <c r="O120" s="2028"/>
      <c r="P120" s="2028"/>
      <c r="Q120" s="2028"/>
      <c r="R120" s="1817">
        <f>IF($AY$57="subbed",'2 REPAIR ESTIMATOR'!BN1220,'2 REPAIR ESTIMATOR'!BM1220)</f>
        <v>0</v>
      </c>
      <c r="S120" s="1817"/>
      <c r="T120" s="1817"/>
      <c r="U120" s="1817"/>
      <c r="V120" s="1817"/>
      <c r="W120" s="1817">
        <f>'2 REPAIR ESTIMATOR'!BB1119</f>
        <v>0</v>
      </c>
      <c r="X120" s="1817"/>
      <c r="Y120" s="1817"/>
      <c r="Z120" s="1817"/>
      <c r="AA120" s="1817"/>
      <c r="AB120" s="1817">
        <f>'2 REPAIR ESTIMATOR'!BC1119</f>
        <v>0</v>
      </c>
      <c r="AC120" s="1817"/>
      <c r="AD120" s="1817"/>
      <c r="AE120" s="1817"/>
      <c r="AF120" s="1817"/>
      <c r="AG120" s="1817">
        <f t="shared" si="1"/>
        <v>0</v>
      </c>
      <c r="AH120" s="1817"/>
      <c r="AI120" s="1817"/>
      <c r="AJ120" s="1817"/>
      <c r="AK120" s="1817"/>
      <c r="AL120" s="1817">
        <f>BG53</f>
        <v>0</v>
      </c>
      <c r="AM120" s="1817"/>
      <c r="AN120" s="1817"/>
      <c r="AO120" s="1817"/>
      <c r="AP120" s="1817"/>
      <c r="AQ120" s="1817">
        <f t="shared" si="0"/>
        <v>0</v>
      </c>
      <c r="AR120" s="1817"/>
      <c r="AS120" s="1817"/>
      <c r="AT120" s="1817"/>
      <c r="AU120" s="1817"/>
      <c r="AX120" s="1822" t="s">
        <v>1255</v>
      </c>
      <c r="AY120" s="1822"/>
      <c r="AZ120" s="1822"/>
      <c r="BA120" s="1822"/>
      <c r="BB120" s="1822"/>
      <c r="BC120" s="1822"/>
      <c r="BD120" s="1822"/>
      <c r="BE120" s="1822"/>
      <c r="BF120" s="1822"/>
      <c r="BG120" s="1822"/>
      <c r="BH120" s="1822"/>
      <c r="BI120" s="1822"/>
    </row>
    <row r="121" spans="11:102" ht="13.7" hidden="1" customHeight="1">
      <c r="K121" s="2028" t="str">
        <f>T('2 REPAIR ESTIMATOR'!AJ82:AP82)</f>
        <v>MISCELLANEOUS</v>
      </c>
      <c r="L121" s="2028"/>
      <c r="M121" s="2028"/>
      <c r="N121" s="2028"/>
      <c r="O121" s="2028"/>
      <c r="P121" s="2028"/>
      <c r="Q121" s="2028"/>
      <c r="R121" s="1817">
        <f>IF($AY$57="subbed",'2 REPAIR ESTIMATOR'!BN1221,'2 REPAIR ESTIMATOR'!BM1221)</f>
        <v>0</v>
      </c>
      <c r="S121" s="1817"/>
      <c r="T121" s="1817"/>
      <c r="U121" s="1817"/>
      <c r="V121" s="1817"/>
      <c r="W121" s="1817">
        <f>'2 REPAIR ESTIMATOR'!BB1164</f>
        <v>0</v>
      </c>
      <c r="X121" s="1817"/>
      <c r="Y121" s="1817"/>
      <c r="Z121" s="1817"/>
      <c r="AA121" s="1817"/>
      <c r="AB121" s="1817">
        <f>'2 REPAIR ESTIMATOR'!BC1164</f>
        <v>0</v>
      </c>
      <c r="AC121" s="1817"/>
      <c r="AD121" s="1817"/>
      <c r="AE121" s="1817"/>
      <c r="AF121" s="1817"/>
      <c r="AG121" s="1817">
        <f t="shared" si="1"/>
        <v>0</v>
      </c>
      <c r="AH121" s="1817"/>
      <c r="AI121" s="1817"/>
      <c r="AJ121" s="1817"/>
      <c r="AK121" s="1817"/>
      <c r="AL121" s="1817">
        <f>BG55</f>
        <v>0</v>
      </c>
      <c r="AM121" s="1817"/>
      <c r="AN121" s="1817"/>
      <c r="AO121" s="1817"/>
      <c r="AP121" s="1817"/>
      <c r="AQ121" s="1817">
        <f t="shared" si="0"/>
        <v>0</v>
      </c>
      <c r="AR121" s="1817"/>
      <c r="AS121" s="1817"/>
      <c r="AT121" s="1817"/>
      <c r="AU121" s="1817"/>
      <c r="AX121" s="1820" t="s">
        <v>343</v>
      </c>
      <c r="AY121" s="1820"/>
      <c r="AZ121" s="1820"/>
      <c r="BA121" s="1820"/>
      <c r="BB121" s="1820"/>
      <c r="BC121" s="1820"/>
      <c r="BD121" s="1820"/>
      <c r="BE121" s="1820"/>
      <c r="BF121" s="1820"/>
      <c r="BG121" s="1823" t="e">
        <f>1-BG122</f>
        <v>#DIV/0!</v>
      </c>
      <c r="BH121" s="1823"/>
      <c r="BI121" s="1823"/>
    </row>
    <row r="122" spans="11:102" ht="13.7" hidden="1" customHeight="1">
      <c r="K122" s="1819" t="s">
        <v>39</v>
      </c>
      <c r="L122" s="1819"/>
      <c r="M122" s="1819"/>
      <c r="N122" s="1819"/>
      <c r="O122" s="1819"/>
      <c r="P122" s="1819"/>
      <c r="Q122" s="1819"/>
      <c r="R122" s="1817">
        <f>SUM(R98:V121)</f>
        <v>0</v>
      </c>
      <c r="S122" s="1817"/>
      <c r="T122" s="1817"/>
      <c r="U122" s="1817"/>
      <c r="V122" s="1817"/>
      <c r="W122" s="1817">
        <f>SUM(W98:AA121)</f>
        <v>0</v>
      </c>
      <c r="X122" s="1817"/>
      <c r="Y122" s="1817"/>
      <c r="Z122" s="1817"/>
      <c r="AA122" s="1817"/>
      <c r="AB122" s="1817">
        <f>SUM(AB98:AF121)</f>
        <v>0</v>
      </c>
      <c r="AC122" s="1817"/>
      <c r="AD122" s="1817"/>
      <c r="AE122" s="1817"/>
      <c r="AF122" s="1817"/>
      <c r="AG122" s="1817">
        <f>SUM(AG98:AK121)</f>
        <v>0</v>
      </c>
      <c r="AH122" s="1817"/>
      <c r="AI122" s="1817"/>
      <c r="AJ122" s="1817"/>
      <c r="AK122" s="1817"/>
      <c r="AL122" s="1817">
        <f>SUM(AL98:AP121)</f>
        <v>0</v>
      </c>
      <c r="AM122" s="1817"/>
      <c r="AN122" s="1817"/>
      <c r="AO122" s="1817"/>
      <c r="AP122" s="1817"/>
      <c r="AQ122" s="1817">
        <f>SUM(AQ98:AU121)</f>
        <v>0</v>
      </c>
      <c r="AR122" s="1817"/>
      <c r="AS122" s="1817"/>
      <c r="AT122" s="1817"/>
      <c r="AU122" s="1817"/>
      <c r="AX122" s="1820" t="s">
        <v>344</v>
      </c>
      <c r="AY122" s="1820"/>
      <c r="AZ122" s="1820"/>
      <c r="BA122" s="1820"/>
      <c r="BB122" s="1820"/>
      <c r="BC122" s="1820"/>
      <c r="BD122" s="1820"/>
      <c r="BE122" s="1820"/>
      <c r="BF122" s="1820"/>
      <c r="BG122" s="1823" t="e">
        <f>TOTAL_FIXED_COSTS_ESTIMATED/AFTER_REPAIR_VALUE_CELL</f>
        <v>#DIV/0!</v>
      </c>
      <c r="BH122" s="1823"/>
      <c r="BI122" s="1823"/>
    </row>
    <row r="123" spans="11:102" ht="13.7" hidden="1" customHeight="1">
      <c r="CW123" s="246"/>
      <c r="CX123" s="246"/>
    </row>
    <row r="124" spans="11:102" ht="15" hidden="1" customHeight="1">
      <c r="N124" s="1912" t="str">
        <f>IF(Fixed_Cost_Calculation_Method="% of ARV",CONCATENATE("Fixed Costs are being Calculated at ",TEXT(AE16,"0%")," of the ARV"),"")</f>
        <v/>
      </c>
      <c r="O124" s="1912"/>
      <c r="P124" s="1912"/>
      <c r="Q124" s="1912"/>
      <c r="R124" s="1912"/>
      <c r="S124" s="1912"/>
      <c r="T124" s="1912"/>
      <c r="U124" s="1912"/>
      <c r="V124" s="1912"/>
      <c r="W124" s="1912"/>
      <c r="X124" s="1912"/>
      <c r="Y124" s="1912"/>
      <c r="Z124" s="1912"/>
      <c r="AA124" s="1912"/>
      <c r="AB124" s="1912"/>
      <c r="AC124" s="1912"/>
      <c r="AD124" s="1912"/>
      <c r="AE124" s="1912"/>
      <c r="AF124" s="1912"/>
      <c r="AG124" s="1912"/>
      <c r="AH124" s="1912"/>
      <c r="AI124" s="1912"/>
      <c r="AJ124" s="1912"/>
      <c r="AK124" s="1912"/>
      <c r="AL124" s="1912"/>
      <c r="AM124" s="1912"/>
      <c r="AN124" s="1912"/>
      <c r="AO124" s="1912"/>
      <c r="AS124" s="2124" t="s">
        <v>1136</v>
      </c>
      <c r="AT124" s="2124"/>
      <c r="AU124" s="2124"/>
      <c r="AV124" s="2124"/>
      <c r="AW124" s="2124"/>
      <c r="AX124" s="2124"/>
      <c r="AY124" s="2124"/>
      <c r="AZ124" s="2124"/>
      <c r="BA124" s="2124"/>
      <c r="BB124" s="2124"/>
      <c r="BC124" s="2124"/>
      <c r="BD124" s="2125"/>
      <c r="BE124" s="2126">
        <f>ESTIMATE_SUBTOTAL</f>
        <v>0</v>
      </c>
      <c r="BF124" s="2127"/>
      <c r="BG124" s="2127"/>
      <c r="BH124" s="2127"/>
      <c r="BI124" s="2128"/>
      <c r="CW124" s="246"/>
      <c r="CX124" s="246"/>
    </row>
    <row r="125" spans="11:102" ht="13.7" hidden="1" customHeight="1">
      <c r="AS125" s="2124"/>
      <c r="AT125" s="2124"/>
      <c r="AU125" s="2124"/>
      <c r="AV125" s="2124"/>
      <c r="AW125" s="2124"/>
      <c r="AX125" s="2124"/>
      <c r="AY125" s="2124"/>
      <c r="AZ125" s="2124"/>
      <c r="BA125" s="2124"/>
      <c r="BB125" s="2124"/>
      <c r="BC125" s="2124"/>
      <c r="BD125" s="2125"/>
      <c r="BE125" s="2126"/>
      <c r="BF125" s="2127"/>
      <c r="BG125" s="2127"/>
      <c r="BH125" s="2127"/>
      <c r="BI125" s="2128"/>
      <c r="CW125" s="248"/>
    </row>
    <row r="126" spans="11:102" ht="14" hidden="1" thickBot="1">
      <c r="AS126" s="2124"/>
      <c r="AT126" s="2124"/>
      <c r="AU126" s="2124"/>
      <c r="AV126" s="2124"/>
      <c r="AW126" s="2124"/>
      <c r="AX126" s="2124"/>
      <c r="AY126" s="2124"/>
      <c r="AZ126" s="2124"/>
      <c r="BA126" s="2124"/>
      <c r="BB126" s="2124"/>
      <c r="BC126" s="2124"/>
      <c r="BD126" s="2125"/>
      <c r="BE126" s="2129"/>
      <c r="BF126" s="2130"/>
      <c r="BG126" s="2130"/>
      <c r="BH126" s="2130"/>
      <c r="BI126" s="2131"/>
      <c r="CW126" s="246"/>
    </row>
    <row r="127" spans="11:102" ht="14" hidden="1" thickTop="1">
      <c r="AS127" s="504"/>
      <c r="AT127" s="2124" t="s">
        <v>993</v>
      </c>
      <c r="AU127" s="2124"/>
      <c r="AV127" s="2124"/>
      <c r="AW127" s="2124"/>
      <c r="AX127" s="2124"/>
      <c r="AY127" s="2124"/>
      <c r="AZ127" s="2124"/>
      <c r="BA127" s="2124"/>
      <c r="BB127" s="2124"/>
      <c r="BC127" s="2124"/>
      <c r="BD127" s="2125"/>
      <c r="BE127" s="2126">
        <f>BG76+BE124</f>
        <v>0</v>
      </c>
      <c r="BF127" s="2127"/>
      <c r="BG127" s="2127"/>
      <c r="BH127" s="2127"/>
      <c r="BI127" s="2128"/>
    </row>
    <row r="128" spans="11:102" hidden="1">
      <c r="AS128" s="504"/>
      <c r="AT128" s="2124"/>
      <c r="AU128" s="2124"/>
      <c r="AV128" s="2124"/>
      <c r="AW128" s="2124"/>
      <c r="AX128" s="2124"/>
      <c r="AY128" s="2124"/>
      <c r="AZ128" s="2124"/>
      <c r="BA128" s="2124"/>
      <c r="BB128" s="2124"/>
      <c r="BC128" s="2124"/>
      <c r="BD128" s="2125"/>
      <c r="BE128" s="2126"/>
      <c r="BF128" s="2127"/>
      <c r="BG128" s="2127"/>
      <c r="BH128" s="2127"/>
      <c r="BI128" s="2128"/>
    </row>
    <row r="129" spans="45:134" hidden="1">
      <c r="AS129" s="429"/>
      <c r="AT129" s="2124"/>
      <c r="AU129" s="2124"/>
      <c r="AV129" s="2124"/>
      <c r="AW129" s="2124"/>
      <c r="AX129" s="2124"/>
      <c r="AY129" s="2124"/>
      <c r="AZ129" s="2124"/>
      <c r="BA129" s="2124"/>
      <c r="BB129" s="2124"/>
      <c r="BC129" s="2124"/>
      <c r="BD129" s="2125"/>
      <c r="BE129" s="2218"/>
      <c r="BF129" s="2219"/>
      <c r="BG129" s="2219"/>
      <c r="BH129" s="2219"/>
      <c r="BI129" s="2220"/>
    </row>
    <row r="130" spans="45:134" hidden="1">
      <c r="BE130" s="1888">
        <f>IFERROR(BG76/ESTIMATE_SUBTOTAL,0)</f>
        <v>0</v>
      </c>
      <c r="BF130" s="1889"/>
      <c r="BG130" s="1889"/>
      <c r="BH130" s="1890"/>
    </row>
    <row r="131" spans="45:134" hidden="1">
      <c r="BE131" s="1888"/>
      <c r="BF131" s="1889"/>
      <c r="BG131" s="1889"/>
      <c r="BH131" s="1890"/>
    </row>
    <row r="132" spans="45:134" hidden="1">
      <c r="BE132" s="1891"/>
      <c r="BF132" s="1892"/>
      <c r="BG132" s="1892"/>
      <c r="BH132" s="1893"/>
    </row>
    <row r="133" spans="45:134" hidden="1"/>
    <row r="136" spans="45:134">
      <c r="ED136" s="148"/>
    </row>
    <row r="137" spans="45:134">
      <c r="ED137" s="148"/>
    </row>
    <row r="138" spans="45:134">
      <c r="ED138" s="148"/>
    </row>
    <row r="139" spans="45:134">
      <c r="ED139" s="148"/>
    </row>
    <row r="140" spans="45:134">
      <c r="ED140" s="148"/>
    </row>
    <row r="141" spans="45:134">
      <c r="ED141" s="148"/>
    </row>
    <row r="142" spans="45:134">
      <c r="ED142" s="148"/>
    </row>
    <row r="143" spans="45:134">
      <c r="ED143" s="148"/>
    </row>
    <row r="144" spans="45:134">
      <c r="ED144" s="148"/>
    </row>
    <row r="150" spans="134:134">
      <c r="ED150" s="148"/>
    </row>
    <row r="151" spans="134:134">
      <c r="ED151" s="148"/>
    </row>
    <row r="152" spans="134:134">
      <c r="ED152" s="148"/>
    </row>
    <row r="153" spans="134:134">
      <c r="ED153" s="148"/>
    </row>
    <row r="154" spans="134:134">
      <c r="ED154" s="148"/>
    </row>
    <row r="155" spans="134:134">
      <c r="ED155" s="148"/>
    </row>
    <row r="156" spans="134:134">
      <c r="ED156" s="148"/>
    </row>
  </sheetData>
  <sheetProtection formatCells="0" formatColumns="0" formatRows="0" insertHyperlinks="0" sort="0" autoFilter="0"/>
  <mergeCells count="446">
    <mergeCell ref="BE127:BI129"/>
    <mergeCell ref="W43:Z44"/>
    <mergeCell ref="W45:Z46"/>
    <mergeCell ref="R49:V50"/>
    <mergeCell ref="W49:Z50"/>
    <mergeCell ref="BG6:BM8"/>
    <mergeCell ref="BG57:BM59"/>
    <mergeCell ref="AY57:BE59"/>
    <mergeCell ref="AJ9:BF10"/>
    <mergeCell ref="AJ11:BF12"/>
    <mergeCell ref="AJ13:BF14"/>
    <mergeCell ref="AJ19:BF20"/>
    <mergeCell ref="AJ21:BF22"/>
    <mergeCell ref="AJ27:BF28"/>
    <mergeCell ref="R35:V36"/>
    <mergeCell ref="AA31:AH32"/>
    <mergeCell ref="C23:Z24"/>
    <mergeCell ref="R39:V40"/>
    <mergeCell ref="C39:J40"/>
    <mergeCell ref="C29:Z30"/>
    <mergeCell ref="C31:Z32"/>
    <mergeCell ref="AA33:AH34"/>
    <mergeCell ref="C25:Z26"/>
    <mergeCell ref="AA77:AH78"/>
    <mergeCell ref="DM74:DT80"/>
    <mergeCell ref="DE74:DL80"/>
    <mergeCell ref="CW74:DD80"/>
    <mergeCell ref="DU74:EC80"/>
    <mergeCell ref="B72:B81"/>
    <mergeCell ref="AJ29:BF30"/>
    <mergeCell ref="AJ35:BF36"/>
    <mergeCell ref="AJ37:BF38"/>
    <mergeCell ref="AJ43:BF44"/>
    <mergeCell ref="AJ45:BF46"/>
    <mergeCell ref="R43:V44"/>
    <mergeCell ref="R41:V42"/>
    <mergeCell ref="AA59:AH60"/>
    <mergeCell ref="AA61:AH62"/>
    <mergeCell ref="W47:Z48"/>
    <mergeCell ref="AA47:AH48"/>
    <mergeCell ref="AA51:AH52"/>
    <mergeCell ref="R77:Z78"/>
    <mergeCell ref="CW48:EC50"/>
    <mergeCell ref="CW51:DB52"/>
    <mergeCell ref="DC51:DW57"/>
    <mergeCell ref="DX51:EC52"/>
    <mergeCell ref="CW53:DB57"/>
    <mergeCell ref="DX53:EC57"/>
    <mergeCell ref="A3:G3"/>
    <mergeCell ref="CW68:EC70"/>
    <mergeCell ref="DM71:DT73"/>
    <mergeCell ref="DE71:DL73"/>
    <mergeCell ref="CW71:DD73"/>
    <mergeCell ref="DU71:EC73"/>
    <mergeCell ref="AJ15:BF16"/>
    <mergeCell ref="AJ17:BF18"/>
    <mergeCell ref="AJ23:BF24"/>
    <mergeCell ref="AJ25:BF26"/>
    <mergeCell ref="AA25:AH26"/>
    <mergeCell ref="AA27:AH28"/>
    <mergeCell ref="AY64:BE66"/>
    <mergeCell ref="AY67:BE69"/>
    <mergeCell ref="AY70:BE72"/>
    <mergeCell ref="AY73:BE75"/>
    <mergeCell ref="AJ67:AX69"/>
    <mergeCell ref="AJ70:AX72"/>
    <mergeCell ref="AJ73:AX75"/>
    <mergeCell ref="C69:Z70"/>
    <mergeCell ref="C67:Z68"/>
    <mergeCell ref="AD16:AD18"/>
    <mergeCell ref="C9:AH15"/>
    <mergeCell ref="C19:AH20"/>
    <mergeCell ref="C84:G85"/>
    <mergeCell ref="C86:G90"/>
    <mergeCell ref="AD84:AH85"/>
    <mergeCell ref="AD86:AH90"/>
    <mergeCell ref="C41:J42"/>
    <mergeCell ref="R47:V48"/>
    <mergeCell ref="L47:Q48"/>
    <mergeCell ref="M44:P46"/>
    <mergeCell ref="C45:J46"/>
    <mergeCell ref="C47:J48"/>
    <mergeCell ref="C43:J44"/>
    <mergeCell ref="W51:Z52"/>
    <mergeCell ref="M49:P51"/>
    <mergeCell ref="M52:P52"/>
    <mergeCell ref="R57:V58"/>
    <mergeCell ref="C55:L56"/>
    <mergeCell ref="C77:K78"/>
    <mergeCell ref="L77:Q78"/>
    <mergeCell ref="AA41:AH42"/>
    <mergeCell ref="AA43:AH44"/>
    <mergeCell ref="R45:V46"/>
    <mergeCell ref="AA57:AH58"/>
    <mergeCell ref="AA63:AH64"/>
    <mergeCell ref="C79:Z80"/>
    <mergeCell ref="R119:V119"/>
    <mergeCell ref="R102:V102"/>
    <mergeCell ref="R103:V103"/>
    <mergeCell ref="R104:V104"/>
    <mergeCell ref="R105:V105"/>
    <mergeCell ref="R112:V112"/>
    <mergeCell ref="R113:V113"/>
    <mergeCell ref="R114:V114"/>
    <mergeCell ref="K104:Q104"/>
    <mergeCell ref="K103:Q103"/>
    <mergeCell ref="K119:Q119"/>
    <mergeCell ref="K105:Q105"/>
    <mergeCell ref="K106:Q106"/>
    <mergeCell ref="R109:V109"/>
    <mergeCell ref="K115:Q115"/>
    <mergeCell ref="K116:Q116"/>
    <mergeCell ref="R116:V116"/>
    <mergeCell ref="R117:V117"/>
    <mergeCell ref="R118:V118"/>
    <mergeCell ref="K117:Q117"/>
    <mergeCell ref="K118:Q118"/>
    <mergeCell ref="R115:V115"/>
    <mergeCell ref="AL108:AP108"/>
    <mergeCell ref="K101:Q101"/>
    <mergeCell ref="K102:Q102"/>
    <mergeCell ref="K112:Q112"/>
    <mergeCell ref="K114:Q114"/>
    <mergeCell ref="K113:Q113"/>
    <mergeCell ref="K110:Q110"/>
    <mergeCell ref="K111:Q111"/>
    <mergeCell ref="K98:Q98"/>
    <mergeCell ref="K99:Q99"/>
    <mergeCell ref="K100:Q100"/>
    <mergeCell ref="K107:Q107"/>
    <mergeCell ref="K108:Q108"/>
    <mergeCell ref="K109:Q109"/>
    <mergeCell ref="W105:AA105"/>
    <mergeCell ref="AG101:AK101"/>
    <mergeCell ref="AG102:AK102"/>
    <mergeCell ref="AL105:AP105"/>
    <mergeCell ref="AB104:AF104"/>
    <mergeCell ref="W103:AA103"/>
    <mergeCell ref="W104:AA104"/>
    <mergeCell ref="AL106:AP106"/>
    <mergeCell ref="AL107:AP107"/>
    <mergeCell ref="R97:V97"/>
    <mergeCell ref="R98:V98"/>
    <mergeCell ref="R99:V99"/>
    <mergeCell ref="R100:V100"/>
    <mergeCell ref="AL100:AP100"/>
    <mergeCell ref="AL101:AP101"/>
    <mergeCell ref="AL102:AP102"/>
    <mergeCell ref="AL103:AP103"/>
    <mergeCell ref="AL104:AP104"/>
    <mergeCell ref="W97:AA97"/>
    <mergeCell ref="AQ98:AU98"/>
    <mergeCell ref="AJ84:AN85"/>
    <mergeCell ref="AJ86:AN90"/>
    <mergeCell ref="AQ99:AU99"/>
    <mergeCell ref="W99:AA99"/>
    <mergeCell ref="W100:AA100"/>
    <mergeCell ref="W101:AA101"/>
    <mergeCell ref="W102:AA102"/>
    <mergeCell ref="AQ100:AU100"/>
    <mergeCell ref="AQ101:AU101"/>
    <mergeCell ref="AQ102:AU102"/>
    <mergeCell ref="AL97:AP97"/>
    <mergeCell ref="AL98:AP98"/>
    <mergeCell ref="AG97:AK97"/>
    <mergeCell ref="AG98:AK98"/>
    <mergeCell ref="AB97:AF97"/>
    <mergeCell ref="W98:AA98"/>
    <mergeCell ref="AQ103:AU103"/>
    <mergeCell ref="AG99:AK99"/>
    <mergeCell ref="AG100:AK100"/>
    <mergeCell ref="AL99:AP99"/>
    <mergeCell ref="AS124:BD126"/>
    <mergeCell ref="AT127:BD129"/>
    <mergeCell ref="BE124:BI126"/>
    <mergeCell ref="AB102:AF102"/>
    <mergeCell ref="AB113:AF113"/>
    <mergeCell ref="AB109:AF109"/>
    <mergeCell ref="AB110:AF110"/>
    <mergeCell ref="AB114:AF114"/>
    <mergeCell ref="AB107:AF107"/>
    <mergeCell ref="AB108:AF108"/>
    <mergeCell ref="AG115:AK115"/>
    <mergeCell ref="AG116:AK116"/>
    <mergeCell ref="AQ114:AU114"/>
    <mergeCell ref="AQ115:AU115"/>
    <mergeCell ref="AQ120:AU120"/>
    <mergeCell ref="BG110:BI110"/>
    <mergeCell ref="BG111:BI111"/>
    <mergeCell ref="BG112:BI112"/>
    <mergeCell ref="BG113:BI113"/>
    <mergeCell ref="AX109:BI109"/>
    <mergeCell ref="AX104:BB104"/>
    <mergeCell ref="AX114:BI114"/>
    <mergeCell ref="R121:V121"/>
    <mergeCell ref="W118:AA118"/>
    <mergeCell ref="AB122:AF122"/>
    <mergeCell ref="W109:AA109"/>
    <mergeCell ref="W110:AA110"/>
    <mergeCell ref="R110:V110"/>
    <mergeCell ref="R111:V111"/>
    <mergeCell ref="W111:AA111"/>
    <mergeCell ref="W112:AA112"/>
    <mergeCell ref="AB115:AF115"/>
    <mergeCell ref="AB116:AF116"/>
    <mergeCell ref="AB117:AF117"/>
    <mergeCell ref="AB111:AF111"/>
    <mergeCell ref="AB112:AF112"/>
    <mergeCell ref="R122:V122"/>
    <mergeCell ref="W122:AA122"/>
    <mergeCell ref="W117:AA117"/>
    <mergeCell ref="W115:AA115"/>
    <mergeCell ref="AG105:AK105"/>
    <mergeCell ref="AG106:AK106"/>
    <mergeCell ref="AG107:AK107"/>
    <mergeCell ref="AG108:AK108"/>
    <mergeCell ref="K121:Q121"/>
    <mergeCell ref="AB118:AF118"/>
    <mergeCell ref="AB119:AF119"/>
    <mergeCell ref="BO81:CU83"/>
    <mergeCell ref="BO84:CU90"/>
    <mergeCell ref="AJ33:BF34"/>
    <mergeCell ref="AJ39:BF40"/>
    <mergeCell ref="AJ41:BF42"/>
    <mergeCell ref="AJ47:BF48"/>
    <mergeCell ref="AJ49:BF50"/>
    <mergeCell ref="AJ51:BF52"/>
    <mergeCell ref="AJ53:BF54"/>
    <mergeCell ref="BG76:BM78"/>
    <mergeCell ref="BG61:BM63"/>
    <mergeCell ref="BG64:BM66"/>
    <mergeCell ref="BG67:BM69"/>
    <mergeCell ref="BG70:BM72"/>
    <mergeCell ref="BG73:BM75"/>
    <mergeCell ref="BO74:BV80"/>
    <mergeCell ref="BG43:BM44"/>
    <mergeCell ref="BI84:BM85"/>
    <mergeCell ref="BI86:BM90"/>
    <mergeCell ref="AO84:BH90"/>
    <mergeCell ref="AX102:BB102"/>
    <mergeCell ref="C21:Z22"/>
    <mergeCell ref="AH16:AH18"/>
    <mergeCell ref="X16:AC18"/>
    <mergeCell ref="AJ81:BM83"/>
    <mergeCell ref="BG47:BM48"/>
    <mergeCell ref="BG51:BM52"/>
    <mergeCell ref="BG55:BM56"/>
    <mergeCell ref="BG45:BM46"/>
    <mergeCell ref="BG49:BM50"/>
    <mergeCell ref="BG53:BM54"/>
    <mergeCell ref="AA79:AH80"/>
    <mergeCell ref="R75:Z76"/>
    <mergeCell ref="AJ31:BF32"/>
    <mergeCell ref="W57:Z58"/>
    <mergeCell ref="R51:V52"/>
    <mergeCell ref="W41:Z42"/>
    <mergeCell ref="AJ76:BF78"/>
    <mergeCell ref="AJ55:BF56"/>
    <mergeCell ref="AJ57:AW59"/>
    <mergeCell ref="AJ61:BF63"/>
    <mergeCell ref="AJ64:AX66"/>
    <mergeCell ref="W121:AA121"/>
    <mergeCell ref="W106:AA106"/>
    <mergeCell ref="W107:AA107"/>
    <mergeCell ref="W108:AA108"/>
    <mergeCell ref="W113:AA113"/>
    <mergeCell ref="W114:AA114"/>
    <mergeCell ref="W116:AA116"/>
    <mergeCell ref="AO6:BF8"/>
    <mergeCell ref="AE16:AG18"/>
    <mergeCell ref="C16:W18"/>
    <mergeCell ref="AA23:AH24"/>
    <mergeCell ref="C35:K36"/>
    <mergeCell ref="L35:Q36"/>
    <mergeCell ref="AA65:AH66"/>
    <mergeCell ref="C65:Z66"/>
    <mergeCell ref="AA49:AH50"/>
    <mergeCell ref="AA39:AH40"/>
    <mergeCell ref="C33:Z34"/>
    <mergeCell ref="W39:Z40"/>
    <mergeCell ref="C75:P76"/>
    <mergeCell ref="C49:L50"/>
    <mergeCell ref="C73:L74"/>
    <mergeCell ref="C6:AH8"/>
    <mergeCell ref="AA21:AH22"/>
    <mergeCell ref="R120:V120"/>
    <mergeCell ref="R101:V101"/>
    <mergeCell ref="R106:V106"/>
    <mergeCell ref="R107:V107"/>
    <mergeCell ref="R108:V108"/>
    <mergeCell ref="H84:AC90"/>
    <mergeCell ref="AG103:AK103"/>
    <mergeCell ref="AG104:AK104"/>
    <mergeCell ref="AX115:BF115"/>
    <mergeCell ref="AL109:AP109"/>
    <mergeCell ref="AL110:AP110"/>
    <mergeCell ref="AL111:AP111"/>
    <mergeCell ref="AL112:AP112"/>
    <mergeCell ref="AL113:AP113"/>
    <mergeCell ref="AL114:AP114"/>
    <mergeCell ref="AG109:AK109"/>
    <mergeCell ref="AG110:AK110"/>
    <mergeCell ref="AG111:AK111"/>
    <mergeCell ref="W119:AA119"/>
    <mergeCell ref="W120:AA120"/>
    <mergeCell ref="K120:Q120"/>
    <mergeCell ref="AG117:AK117"/>
    <mergeCell ref="AG118:AK118"/>
    <mergeCell ref="AX103:BB103"/>
    <mergeCell ref="BG115:BI115"/>
    <mergeCell ref="AX116:BF116"/>
    <mergeCell ref="BG116:BI116"/>
    <mergeCell ref="AX117:BF117"/>
    <mergeCell ref="BG117:BI117"/>
    <mergeCell ref="AX118:BF118"/>
    <mergeCell ref="BG118:BI118"/>
    <mergeCell ref="AL115:AP115"/>
    <mergeCell ref="AL116:AP116"/>
    <mergeCell ref="CW6:EC8"/>
    <mergeCell ref="CW12:EC18"/>
    <mergeCell ref="CW9:EC11"/>
    <mergeCell ref="CE39:CU40"/>
    <mergeCell ref="CK22:CU28"/>
    <mergeCell ref="BO19:BY21"/>
    <mergeCell ref="BZ19:CJ21"/>
    <mergeCell ref="CK19:CU21"/>
    <mergeCell ref="DM22:EC24"/>
    <mergeCell ref="BO29:CU31"/>
    <mergeCell ref="BO6:CU8"/>
    <mergeCell ref="CM9:CU11"/>
    <mergeCell ref="BZ22:CJ28"/>
    <mergeCell ref="DM19:EC21"/>
    <mergeCell ref="BO12:CU18"/>
    <mergeCell ref="CE41:CU44"/>
    <mergeCell ref="BO32:CU38"/>
    <mergeCell ref="CW61:DG67"/>
    <mergeCell ref="DH61:DR67"/>
    <mergeCell ref="DS61:EC67"/>
    <mergeCell ref="CW58:DG60"/>
    <mergeCell ref="DH58:DR60"/>
    <mergeCell ref="CW19:DL47"/>
    <mergeCell ref="DM25:EC47"/>
    <mergeCell ref="DS58:EC60"/>
    <mergeCell ref="BO22:BY28"/>
    <mergeCell ref="BE130:BH132"/>
    <mergeCell ref="CE71:CL73"/>
    <mergeCell ref="BW71:CD73"/>
    <mergeCell ref="CE45:CU67"/>
    <mergeCell ref="BO71:BV73"/>
    <mergeCell ref="CM71:CU73"/>
    <mergeCell ref="CM74:CU80"/>
    <mergeCell ref="AB98:AF98"/>
    <mergeCell ref="C81:AH83"/>
    <mergeCell ref="C71:Z72"/>
    <mergeCell ref="AQ106:AU106"/>
    <mergeCell ref="AB106:AF106"/>
    <mergeCell ref="AB120:AF120"/>
    <mergeCell ref="AB121:AF121"/>
    <mergeCell ref="N124:AO124"/>
    <mergeCell ref="C57:P58"/>
    <mergeCell ref="AQ122:AU122"/>
    <mergeCell ref="AQ107:AU107"/>
    <mergeCell ref="AQ108:AU108"/>
    <mergeCell ref="AQ109:AU109"/>
    <mergeCell ref="AQ110:AU110"/>
    <mergeCell ref="AQ111:AU111"/>
    <mergeCell ref="AQ112:AU112"/>
    <mergeCell ref="AQ113:AU113"/>
    <mergeCell ref="CW81:EC83"/>
    <mergeCell ref="CW84:EC90"/>
    <mergeCell ref="C93:EC94"/>
    <mergeCell ref="C63:Z64"/>
    <mergeCell ref="R59:V60"/>
    <mergeCell ref="W59:Z60"/>
    <mergeCell ref="AA67:AH68"/>
    <mergeCell ref="AA71:AH72"/>
    <mergeCell ref="AB105:AF105"/>
    <mergeCell ref="AQ105:AU105"/>
    <mergeCell ref="AB103:AF103"/>
    <mergeCell ref="AQ104:AU104"/>
    <mergeCell ref="AB99:AF99"/>
    <mergeCell ref="AB100:AF100"/>
    <mergeCell ref="AB101:AF101"/>
    <mergeCell ref="AQ97:AU97"/>
    <mergeCell ref="BO68:CU70"/>
    <mergeCell ref="C61:Z62"/>
    <mergeCell ref="C59:P60"/>
    <mergeCell ref="CE74:CL80"/>
    <mergeCell ref="BW74:CD80"/>
    <mergeCell ref="AA69:AH70"/>
    <mergeCell ref="AX99:BB99"/>
    <mergeCell ref="AX100:BB100"/>
    <mergeCell ref="H3:T3"/>
    <mergeCell ref="K122:Q122"/>
    <mergeCell ref="AX110:BF110"/>
    <mergeCell ref="AX111:BF111"/>
    <mergeCell ref="AX112:BF112"/>
    <mergeCell ref="AX113:BF113"/>
    <mergeCell ref="AX106:BB106"/>
    <mergeCell ref="AX107:BB107"/>
    <mergeCell ref="AX120:BI120"/>
    <mergeCell ref="AX121:BF121"/>
    <mergeCell ref="BG121:BI121"/>
    <mergeCell ref="AX122:BF122"/>
    <mergeCell ref="BG122:BI122"/>
    <mergeCell ref="AA45:AH46"/>
    <mergeCell ref="AQ116:AU116"/>
    <mergeCell ref="AQ117:AU117"/>
    <mergeCell ref="AQ118:AU118"/>
    <mergeCell ref="AQ119:AU119"/>
    <mergeCell ref="AQ121:AU121"/>
    <mergeCell ref="AA29:AH30"/>
    <mergeCell ref="AA75:AH76"/>
    <mergeCell ref="M39:P41"/>
    <mergeCell ref="L42:Q43"/>
    <mergeCell ref="C27:Z28"/>
    <mergeCell ref="AG121:AK121"/>
    <mergeCell ref="AG122:AK122"/>
    <mergeCell ref="AL117:AP117"/>
    <mergeCell ref="AL118:AP118"/>
    <mergeCell ref="AL119:AP119"/>
    <mergeCell ref="AL120:AP120"/>
    <mergeCell ref="AL121:AP121"/>
    <mergeCell ref="AL122:AP122"/>
    <mergeCell ref="AG112:AK112"/>
    <mergeCell ref="AG113:AK113"/>
    <mergeCell ref="AG114:AK114"/>
    <mergeCell ref="AG119:AK119"/>
    <mergeCell ref="AG120:AK120"/>
    <mergeCell ref="BG9:BM10"/>
    <mergeCell ref="BG13:BM14"/>
    <mergeCell ref="BG17:BM18"/>
    <mergeCell ref="BG21:BM22"/>
    <mergeCell ref="BG25:BM26"/>
    <mergeCell ref="BG29:BM30"/>
    <mergeCell ref="BG33:BM34"/>
    <mergeCell ref="BG37:BM38"/>
    <mergeCell ref="BG41:BM42"/>
    <mergeCell ref="BG11:BM12"/>
    <mergeCell ref="BG15:BM16"/>
    <mergeCell ref="BG19:BM20"/>
    <mergeCell ref="BG23:BM24"/>
    <mergeCell ref="BG27:BM28"/>
    <mergeCell ref="BG31:BM32"/>
    <mergeCell ref="BG35:BM36"/>
    <mergeCell ref="BG39:BM40"/>
  </mergeCells>
  <conditionalFormatting sqref="CE74:CE77">
    <cfRule type="expression" priority="275">
      <formula>"Select Loan Type"</formula>
    </cfRule>
  </conditionalFormatting>
  <conditionalFormatting sqref="BG9 BG13 BG11 AJ9 AJ11 AJ13">
    <cfRule type="expression" dxfId="246" priority="270">
      <formula>$BG$6="LUMP SUM"</formula>
    </cfRule>
  </conditionalFormatting>
  <conditionalFormatting sqref="AY57">
    <cfRule type="expression" dxfId="245" priority="265">
      <formula>$BG$6="QUICK BID"</formula>
    </cfRule>
    <cfRule type="expression" dxfId="244" priority="268">
      <formula>$BG$6="Lump Sum"</formula>
    </cfRule>
  </conditionalFormatting>
  <conditionalFormatting sqref="BG57">
    <cfRule type="expression" dxfId="243" priority="267">
      <formula>$BG$6="Lump Sum"</formula>
    </cfRule>
  </conditionalFormatting>
  <conditionalFormatting sqref="BG9 BG13 BG11">
    <cfRule type="expression" dxfId="242" priority="266">
      <formula>$BG$6="QUICK BID"</formula>
    </cfRule>
  </conditionalFormatting>
  <conditionalFormatting sqref="AE16:AG18">
    <cfRule type="expression" dxfId="241" priority="1364">
      <formula>$X$16="% OF ARV"</formula>
    </cfRule>
  </conditionalFormatting>
  <conditionalFormatting sqref="C57:AH72 C55 M55:AH56 C51:AH52 W39 W41 W43 W45 W47 W49 C75:AH76 C39:V50 C77:Q78 AA39:AH50 AA77:AH78 C19:AH36 M73:AH74">
    <cfRule type="expression" dxfId="240" priority="1365">
      <formula>$X$16="% OF ARV"</formula>
    </cfRule>
  </conditionalFormatting>
  <conditionalFormatting sqref="AA57:AH72 AA39:AH52 AA75:AH78 AA21:AH36">
    <cfRule type="expression" dxfId="239" priority="1379">
      <formula>$X$16="% OF ARV"</formula>
    </cfRule>
  </conditionalFormatting>
  <conditionalFormatting sqref="C77:Q78 C55:V60 C39:V52">
    <cfRule type="expression" dxfId="238" priority="1381">
      <formula>$X$16="% OF ARV"</formula>
    </cfRule>
  </conditionalFormatting>
  <conditionalFormatting sqref="CE74:CE77">
    <cfRule type="expression" dxfId="237" priority="1382">
      <formula>#REF!="% OF ARV"</formula>
    </cfRule>
  </conditionalFormatting>
  <conditionalFormatting sqref="DC51:DW57">
    <cfRule type="cellIs" dxfId="236" priority="79" operator="lessThan">
      <formula>0</formula>
    </cfRule>
  </conditionalFormatting>
  <conditionalFormatting sqref="CW61:DG67">
    <cfRule type="cellIs" dxfId="235" priority="78" operator="lessThan">
      <formula>0</formula>
    </cfRule>
  </conditionalFormatting>
  <conditionalFormatting sqref="DH61:EC67">
    <cfRule type="cellIs" dxfId="234" priority="77" operator="lessThan">
      <formula>0</formula>
    </cfRule>
  </conditionalFormatting>
  <conditionalFormatting sqref="BW74:BW77">
    <cfRule type="expression" priority="72">
      <formula>"Select Loan Type"</formula>
    </cfRule>
  </conditionalFormatting>
  <conditionalFormatting sqref="BW74:BW77">
    <cfRule type="expression" dxfId="233" priority="73">
      <formula>#REF!="% OF ARV"</formula>
    </cfRule>
  </conditionalFormatting>
  <conditionalFormatting sqref="BO74:BO77">
    <cfRule type="expression" priority="70">
      <formula>"Select Loan Type"</formula>
    </cfRule>
  </conditionalFormatting>
  <conditionalFormatting sqref="BO74:BO77">
    <cfRule type="expression" dxfId="232" priority="71">
      <formula>#REF!="% OF ARV"</formula>
    </cfRule>
  </conditionalFormatting>
  <conditionalFormatting sqref="CM74:CM77">
    <cfRule type="expression" priority="68">
      <formula>"Select Loan Type"</formula>
    </cfRule>
  </conditionalFormatting>
  <conditionalFormatting sqref="CM74:CM77">
    <cfRule type="expression" dxfId="231" priority="69">
      <formula>#REF!="% OF ARV"</formula>
    </cfRule>
  </conditionalFormatting>
  <conditionalFormatting sqref="DM74:DM77">
    <cfRule type="expression" priority="66">
      <formula>"Select Loan Type"</formula>
    </cfRule>
  </conditionalFormatting>
  <conditionalFormatting sqref="DM74:DM77">
    <cfRule type="expression" dxfId="230" priority="67">
      <formula>#REF!="% OF ARV"</formula>
    </cfRule>
  </conditionalFormatting>
  <conditionalFormatting sqref="DE74:DE77">
    <cfRule type="expression" priority="64">
      <formula>"Select Loan Type"</formula>
    </cfRule>
  </conditionalFormatting>
  <conditionalFormatting sqref="DE74:DE77">
    <cfRule type="expression" dxfId="229" priority="65">
      <formula>#REF!="% OF ARV"</formula>
    </cfRule>
  </conditionalFormatting>
  <conditionalFormatting sqref="CW74:CW77">
    <cfRule type="expression" priority="62">
      <formula>"Select Loan Type"</formula>
    </cfRule>
  </conditionalFormatting>
  <conditionalFormatting sqref="CW74:CW77">
    <cfRule type="expression" dxfId="228" priority="63">
      <formula>#REF!="% OF ARV"</formula>
    </cfRule>
  </conditionalFormatting>
  <conditionalFormatting sqref="DU74:DU77">
    <cfRule type="expression" priority="60">
      <formula>"Select Loan Type"</formula>
    </cfRule>
  </conditionalFormatting>
  <conditionalFormatting sqref="DU74:DU77">
    <cfRule type="expression" dxfId="227" priority="61">
      <formula>#REF!="% OF ARV"</formula>
    </cfRule>
  </conditionalFormatting>
  <conditionalFormatting sqref="C73">
    <cfRule type="expression" dxfId="226" priority="56">
      <formula>$X$16="% OF ARV"</formula>
    </cfRule>
  </conditionalFormatting>
  <conditionalFormatting sqref="C73:V74">
    <cfRule type="expression" dxfId="225" priority="57">
      <formula>$X$16="% OF ARV"</formula>
    </cfRule>
  </conditionalFormatting>
  <conditionalFormatting sqref="R77:Z78">
    <cfRule type="expression" dxfId="224" priority="55">
      <formula>$X$16="% OF ARV"</formula>
    </cfRule>
  </conditionalFormatting>
  <conditionalFormatting sqref="C79:AH80">
    <cfRule type="expression" dxfId="223" priority="53">
      <formula>$X$16="% OF ARV"</formula>
    </cfRule>
  </conditionalFormatting>
  <conditionalFormatting sqref="AA79:AH80">
    <cfRule type="expression" dxfId="222" priority="54">
      <formula>$X$16="% OF ARV"</formula>
    </cfRule>
  </conditionalFormatting>
  <conditionalFormatting sqref="BG55">
    <cfRule type="expression" dxfId="221" priority="10">
      <formula>$BG$6="LUMP SUM"</formula>
    </cfRule>
  </conditionalFormatting>
  <conditionalFormatting sqref="BG55">
    <cfRule type="expression" dxfId="220" priority="9">
      <formula>$BG$6="QUICK BID"</formula>
    </cfRule>
  </conditionalFormatting>
  <conditionalFormatting sqref="BG17">
    <cfRule type="expression" dxfId="219" priority="50">
      <formula>$BG$6="LUMP SUM"</formula>
    </cfRule>
  </conditionalFormatting>
  <conditionalFormatting sqref="BG17">
    <cfRule type="expression" dxfId="218" priority="49">
      <formula>$BG$6="QUICK BID"</formula>
    </cfRule>
  </conditionalFormatting>
  <conditionalFormatting sqref="BG21">
    <cfRule type="expression" dxfId="217" priority="48">
      <formula>$BG$6="LUMP SUM"</formula>
    </cfRule>
  </conditionalFormatting>
  <conditionalFormatting sqref="BG21">
    <cfRule type="expression" dxfId="216" priority="47">
      <formula>$BG$6="QUICK BID"</formula>
    </cfRule>
  </conditionalFormatting>
  <conditionalFormatting sqref="BG25">
    <cfRule type="expression" dxfId="215" priority="46">
      <formula>$BG$6="LUMP SUM"</formula>
    </cfRule>
  </conditionalFormatting>
  <conditionalFormatting sqref="BG25">
    <cfRule type="expression" dxfId="214" priority="45">
      <formula>$BG$6="QUICK BID"</formula>
    </cfRule>
  </conditionalFormatting>
  <conditionalFormatting sqref="BG29">
    <cfRule type="expression" dxfId="213" priority="44">
      <formula>$BG$6="LUMP SUM"</formula>
    </cfRule>
  </conditionalFormatting>
  <conditionalFormatting sqref="BG29">
    <cfRule type="expression" dxfId="212" priority="43">
      <formula>$BG$6="QUICK BID"</formula>
    </cfRule>
  </conditionalFormatting>
  <conditionalFormatting sqref="BG33">
    <cfRule type="expression" dxfId="211" priority="42">
      <formula>$BG$6="LUMP SUM"</formula>
    </cfRule>
  </conditionalFormatting>
  <conditionalFormatting sqref="BG33">
    <cfRule type="expression" dxfId="210" priority="41">
      <formula>$BG$6="QUICK BID"</formula>
    </cfRule>
  </conditionalFormatting>
  <conditionalFormatting sqref="BG37">
    <cfRule type="expression" dxfId="209" priority="40">
      <formula>$BG$6="LUMP SUM"</formula>
    </cfRule>
  </conditionalFormatting>
  <conditionalFormatting sqref="BG37">
    <cfRule type="expression" dxfId="208" priority="39">
      <formula>$BG$6="QUICK BID"</formula>
    </cfRule>
  </conditionalFormatting>
  <conditionalFormatting sqref="BG41">
    <cfRule type="expression" dxfId="207" priority="38">
      <formula>$BG$6="LUMP SUM"</formula>
    </cfRule>
  </conditionalFormatting>
  <conditionalFormatting sqref="BG41">
    <cfRule type="expression" dxfId="206" priority="37">
      <formula>$BG$6="QUICK BID"</formula>
    </cfRule>
  </conditionalFormatting>
  <conditionalFormatting sqref="BG45">
    <cfRule type="expression" dxfId="205" priority="36">
      <formula>$BG$6="LUMP SUM"</formula>
    </cfRule>
  </conditionalFormatting>
  <conditionalFormatting sqref="BG45">
    <cfRule type="expression" dxfId="204" priority="35">
      <formula>$BG$6="QUICK BID"</formula>
    </cfRule>
  </conditionalFormatting>
  <conditionalFormatting sqref="BG49">
    <cfRule type="expression" dxfId="203" priority="34">
      <formula>$BG$6="LUMP SUM"</formula>
    </cfRule>
  </conditionalFormatting>
  <conditionalFormatting sqref="BG49">
    <cfRule type="expression" dxfId="202" priority="33">
      <formula>$BG$6="QUICK BID"</formula>
    </cfRule>
  </conditionalFormatting>
  <conditionalFormatting sqref="BG53">
    <cfRule type="expression" dxfId="201" priority="32">
      <formula>$BG$6="LUMP SUM"</formula>
    </cfRule>
  </conditionalFormatting>
  <conditionalFormatting sqref="BG53">
    <cfRule type="expression" dxfId="200" priority="31">
      <formula>$BG$6="QUICK BID"</formula>
    </cfRule>
  </conditionalFormatting>
  <conditionalFormatting sqref="BG15">
    <cfRule type="expression" dxfId="199" priority="30">
      <formula>$BG$6="LUMP SUM"</formula>
    </cfRule>
  </conditionalFormatting>
  <conditionalFormatting sqref="BG15">
    <cfRule type="expression" dxfId="198" priority="29">
      <formula>$BG$6="QUICK BID"</formula>
    </cfRule>
  </conditionalFormatting>
  <conditionalFormatting sqref="BG19">
    <cfRule type="expression" dxfId="197" priority="28">
      <formula>$BG$6="LUMP SUM"</formula>
    </cfRule>
  </conditionalFormatting>
  <conditionalFormatting sqref="BG19">
    <cfRule type="expression" dxfId="196" priority="27">
      <formula>$BG$6="QUICK BID"</formula>
    </cfRule>
  </conditionalFormatting>
  <conditionalFormatting sqref="BG23">
    <cfRule type="expression" dxfId="195" priority="26">
      <formula>$BG$6="LUMP SUM"</formula>
    </cfRule>
  </conditionalFormatting>
  <conditionalFormatting sqref="BG23">
    <cfRule type="expression" dxfId="194" priority="25">
      <formula>$BG$6="QUICK BID"</formula>
    </cfRule>
  </conditionalFormatting>
  <conditionalFormatting sqref="BG27">
    <cfRule type="expression" dxfId="193" priority="24">
      <formula>$BG$6="LUMP SUM"</formula>
    </cfRule>
  </conditionalFormatting>
  <conditionalFormatting sqref="BG27">
    <cfRule type="expression" dxfId="192" priority="23">
      <formula>$BG$6="QUICK BID"</formula>
    </cfRule>
  </conditionalFormatting>
  <conditionalFormatting sqref="BG31">
    <cfRule type="expression" dxfId="191" priority="22">
      <formula>$BG$6="LUMP SUM"</formula>
    </cfRule>
  </conditionalFormatting>
  <conditionalFormatting sqref="BG31">
    <cfRule type="expression" dxfId="190" priority="21">
      <formula>$BG$6="QUICK BID"</formula>
    </cfRule>
  </conditionalFormatting>
  <conditionalFormatting sqref="BG35">
    <cfRule type="expression" dxfId="189" priority="20">
      <formula>$BG$6="LUMP SUM"</formula>
    </cfRule>
  </conditionalFormatting>
  <conditionalFormatting sqref="BG35">
    <cfRule type="expression" dxfId="188" priority="19">
      <formula>$BG$6="QUICK BID"</formula>
    </cfRule>
  </conditionalFormatting>
  <conditionalFormatting sqref="BG39">
    <cfRule type="expression" dxfId="187" priority="18">
      <formula>$BG$6="LUMP SUM"</formula>
    </cfRule>
  </conditionalFormatting>
  <conditionalFormatting sqref="BG39">
    <cfRule type="expression" dxfId="186" priority="17">
      <formula>$BG$6="QUICK BID"</formula>
    </cfRule>
  </conditionalFormatting>
  <conditionalFormatting sqref="BG43">
    <cfRule type="expression" dxfId="185" priority="16">
      <formula>$BG$6="LUMP SUM"</formula>
    </cfRule>
  </conditionalFormatting>
  <conditionalFormatting sqref="BG43">
    <cfRule type="expression" dxfId="184" priority="15">
      <formula>$BG$6="QUICK BID"</formula>
    </cfRule>
  </conditionalFormatting>
  <conditionalFormatting sqref="BG47">
    <cfRule type="expression" dxfId="183" priority="14">
      <formula>$BG$6="LUMP SUM"</formula>
    </cfRule>
  </conditionalFormatting>
  <conditionalFormatting sqref="BG47">
    <cfRule type="expression" dxfId="182" priority="13">
      <formula>$BG$6="QUICK BID"</formula>
    </cfRule>
  </conditionalFormatting>
  <conditionalFormatting sqref="BG51">
    <cfRule type="expression" dxfId="181" priority="12">
      <formula>$BG$6="LUMP SUM"</formula>
    </cfRule>
  </conditionalFormatting>
  <conditionalFormatting sqref="BG51">
    <cfRule type="expression" dxfId="180" priority="11">
      <formula>$BG$6="QUICK BID"</formula>
    </cfRule>
  </conditionalFormatting>
  <conditionalFormatting sqref="AJ15 AJ17">
    <cfRule type="expression" dxfId="179" priority="8">
      <formula>$BG$6="LUMP SUM"</formula>
    </cfRule>
  </conditionalFormatting>
  <conditionalFormatting sqref="AJ53">
    <cfRule type="expression" dxfId="178" priority="4">
      <formula>$BG$6="LUMP SUM"</formula>
    </cfRule>
  </conditionalFormatting>
  <conditionalFormatting sqref="AJ19 AJ27 AJ35 AJ43 AJ51 AJ21 AJ29 AJ37 AJ45">
    <cfRule type="expression" dxfId="177" priority="7">
      <formula>$BG$6="LUMP SUM"</formula>
    </cfRule>
  </conditionalFormatting>
  <conditionalFormatting sqref="AJ23 AJ31 AJ39 AJ47 AJ25 AJ33 AJ41 AJ49">
    <cfRule type="expression" dxfId="176" priority="6">
      <formula>$BG$6="LUMP SUM"</formula>
    </cfRule>
  </conditionalFormatting>
  <conditionalFormatting sqref="AJ55">
    <cfRule type="expression" dxfId="175" priority="5">
      <formula>$BG$6="LUMP SUM"</formula>
    </cfRule>
  </conditionalFormatting>
  <dataValidations xWindow="427" yWindow="745" count="4">
    <dataValidation allowBlank="1" showInputMessage="1" showErrorMessage="1" promptTitle="How is this calculated?" prompt="Repair Cost Contingency = Total Repair Costs x Repair Contingency %" sqref="BG73" xr:uid="{00000000-0002-0000-0B00-000001000000}"/>
    <dataValidation type="list" allowBlank="1" showErrorMessage="1" errorTitle="Select Fixed Costs Method" error="Select the Calculation Method for calculating your Fixed Costs." sqref="X16:AC18" xr:uid="{00000000-0002-0000-0B00-000002000000}">
      <formula1>Fixed_Costs_Dropdown</formula1>
    </dataValidation>
    <dataValidation type="list" allowBlank="1" showErrorMessage="1" sqref="BG6:BM8" xr:uid="{00000000-0002-0000-0B00-000003000000}">
      <formula1>$AX$102:$AX$104</formula1>
    </dataValidation>
    <dataValidation type="list" allowBlank="1" showErrorMessage="1" sqref="AY57" xr:uid="{00000000-0002-0000-0B00-000004000000}">
      <formula1>$AX$106:$AX$107</formula1>
    </dataValidation>
  </dataValidations>
  <printOptions horizontalCentered="1" verticalCentered="1"/>
  <pageMargins left="0.7" right="0.7" top="0.75" bottom="0.75" header="0.3" footer="0.3"/>
  <pageSetup scale="56" orientation="landscape" r:id="rId1"/>
  <ignoredErrors>
    <ignoredError sqref="AA33:AH60 AJ9:BF14 AJ16:BF56 AK15:BF15 AA76:AH80 AB75:AH75 AA67:AH74" unlockedFormula="1"/>
  </ignoredError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wsREPAIR_ESTIMATOR">
    <tabColor theme="4"/>
    <pageSetUpPr fitToPage="1"/>
  </sheetPr>
  <dimension ref="A1:BV1262"/>
  <sheetViews>
    <sheetView showGridLines="0" showRowColHeaders="0" zoomScaleNormal="100" workbookViewId="0">
      <pane ySplit="86" topLeftCell="A87" activePane="bottomLeft" state="frozen"/>
      <selection pane="bottomLeft" activeCell="D88" sqref="D88:O88"/>
    </sheetView>
  </sheetViews>
  <sheetFormatPr defaultColWidth="8.8984375" defaultRowHeight="15.7"/>
  <cols>
    <col min="1" max="1" width="17.44921875" style="2" customWidth="1"/>
    <col min="2" max="4" width="3.44921875" style="2" customWidth="1"/>
    <col min="5" max="6" width="3.44921875" style="22" customWidth="1"/>
    <col min="7" max="38" width="3.44921875" style="19" customWidth="1"/>
    <col min="39" max="46" width="3.44921875" style="20" customWidth="1"/>
    <col min="47" max="47" width="1.34765625" style="44" customWidth="1"/>
    <col min="48" max="48" width="20.34765625" style="44" hidden="1" customWidth="1"/>
    <col min="49" max="49" width="18.09765625" style="693" customWidth="1"/>
    <col min="50" max="51" width="16.546875" style="44" customWidth="1"/>
    <col min="52" max="52" width="37.8984375" style="44" customWidth="1"/>
    <col min="53" max="55" width="9.8984375" style="42" hidden="1" customWidth="1"/>
    <col min="56" max="56" width="9.8984375" style="43" hidden="1" customWidth="1"/>
    <col min="57" max="57" width="9.8984375" style="44" hidden="1" customWidth="1"/>
    <col min="58" max="59" width="12.8984375" style="44" hidden="1" customWidth="1"/>
    <col min="60" max="60" width="1.6484375" style="44" hidden="1" customWidth="1"/>
    <col min="61" max="62" width="12.34765625" style="44" hidden="1" customWidth="1"/>
    <col min="63" max="63" width="12.34765625" style="93" hidden="1" customWidth="1"/>
    <col min="64" max="65" width="8.8984375" style="11" customWidth="1"/>
    <col min="66" max="66" width="8.34765625" style="11" customWidth="1"/>
    <col min="67" max="74" width="3.09765625" style="11" customWidth="1"/>
    <col min="75" max="89" width="3.09765625" style="2" customWidth="1"/>
    <col min="90" max="16384" width="8.8984375" style="2"/>
  </cols>
  <sheetData>
    <row r="1" spans="1:74" s="349" customFormat="1" ht="45" customHeight="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690"/>
      <c r="AX1" s="372"/>
      <c r="AY1" s="372"/>
      <c r="AZ1" s="372"/>
    </row>
    <row r="2" spans="1:74" s="395" customFormat="1" ht="7.35" customHeight="1">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691"/>
      <c r="AX2" s="396"/>
      <c r="AY2" s="396"/>
      <c r="AZ2" s="396"/>
    </row>
    <row r="3" spans="1:74" s="406" customFormat="1" ht="22.35" customHeight="1">
      <c r="A3" s="397" t="s">
        <v>882</v>
      </c>
      <c r="B3" s="2426" t="s">
        <v>884</v>
      </c>
      <c r="C3" s="2426"/>
      <c r="D3" s="2426"/>
      <c r="E3" s="2426"/>
      <c r="F3" s="2426"/>
      <c r="G3" s="2426"/>
      <c r="H3" s="2426"/>
      <c r="I3" s="2426"/>
      <c r="J3" s="407"/>
      <c r="K3" s="407"/>
      <c r="L3" s="407"/>
      <c r="M3" s="407"/>
      <c r="N3" s="407"/>
      <c r="O3" s="2427"/>
      <c r="P3" s="242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07"/>
      <c r="AP3" s="407"/>
      <c r="AQ3" s="407"/>
      <c r="AR3" s="407"/>
      <c r="AS3" s="398"/>
      <c r="AT3" s="398"/>
      <c r="AU3" s="398"/>
      <c r="AV3" s="398"/>
      <c r="AW3" s="680"/>
      <c r="AX3" s="399"/>
      <c r="AY3" s="399"/>
      <c r="AZ3" s="399"/>
      <c r="BA3" s="400"/>
      <c r="BB3" s="400"/>
      <c r="BC3" s="401"/>
      <c r="BD3" s="402"/>
      <c r="BE3" s="399"/>
      <c r="BF3" s="400"/>
      <c r="BG3" s="403"/>
      <c r="BH3" s="403"/>
      <c r="BI3" s="403"/>
      <c r="BJ3" s="399"/>
      <c r="BK3" s="404"/>
      <c r="BL3" s="405"/>
      <c r="BM3" s="405"/>
      <c r="BN3" s="405"/>
      <c r="BO3" s="405"/>
      <c r="BP3" s="405"/>
      <c r="BQ3" s="405"/>
      <c r="BR3" s="405"/>
      <c r="BS3" s="405"/>
      <c r="BT3" s="405"/>
      <c r="BU3" s="405"/>
      <c r="BV3" s="405"/>
    </row>
    <row r="4" spans="1:74" s="532" customFormat="1" ht="7.5" customHeight="1">
      <c r="A4" s="523"/>
      <c r="B4" s="524"/>
      <c r="C4" s="525"/>
      <c r="D4" s="525"/>
      <c r="E4" s="525"/>
      <c r="F4" s="525"/>
      <c r="G4" s="525"/>
      <c r="H4" s="525"/>
      <c r="I4" s="525"/>
      <c r="J4" s="525"/>
      <c r="K4" s="525"/>
      <c r="L4" s="525"/>
      <c r="M4" s="525"/>
      <c r="N4" s="525"/>
      <c r="O4" s="2427"/>
      <c r="P4" s="2427"/>
      <c r="Q4" s="525"/>
      <c r="R4" s="525"/>
      <c r="S4" s="525"/>
      <c r="T4" s="525"/>
      <c r="U4" s="525"/>
      <c r="V4" s="525"/>
      <c r="W4" s="525"/>
      <c r="X4" s="525"/>
      <c r="Y4" s="525"/>
      <c r="Z4" s="525"/>
      <c r="AA4" s="525"/>
      <c r="AB4" s="525"/>
      <c r="AC4" s="525"/>
      <c r="AD4" s="525"/>
      <c r="AE4" s="525"/>
      <c r="AF4" s="525"/>
      <c r="AG4" s="525"/>
      <c r="AH4" s="525"/>
      <c r="AI4" s="525"/>
      <c r="AJ4" s="525"/>
      <c r="AK4" s="525"/>
      <c r="AL4" s="525"/>
      <c r="AM4" s="525"/>
      <c r="AN4" s="525"/>
      <c r="AO4" s="525"/>
      <c r="AP4" s="525"/>
      <c r="AQ4" s="525"/>
      <c r="AR4" s="525"/>
      <c r="AS4" s="524"/>
      <c r="AT4" s="524"/>
      <c r="AU4" s="524"/>
      <c r="AV4" s="524"/>
      <c r="AW4" s="692"/>
      <c r="AX4" s="526"/>
      <c r="AY4" s="526"/>
      <c r="AZ4" s="526"/>
      <c r="BA4" s="527"/>
      <c r="BB4" s="527"/>
      <c r="BC4" s="528"/>
      <c r="BD4" s="529"/>
      <c r="BE4" s="526"/>
      <c r="BF4" s="527"/>
      <c r="BG4" s="527"/>
      <c r="BH4" s="527"/>
      <c r="BI4" s="527"/>
      <c r="BJ4" s="526"/>
      <c r="BK4" s="530"/>
      <c r="BL4" s="531"/>
      <c r="BM4" s="531"/>
      <c r="BN4" s="531"/>
      <c r="BO4" s="531"/>
      <c r="BP4" s="531"/>
      <c r="BQ4" s="531"/>
      <c r="BR4" s="531"/>
      <c r="BS4" s="531"/>
      <c r="BT4" s="531"/>
      <c r="BU4" s="531"/>
      <c r="BV4" s="531"/>
    </row>
    <row r="5" spans="1:74" ht="11.25" customHeight="1" thickBot="1">
      <c r="A5" s="362"/>
      <c r="B5" s="123"/>
      <c r="C5" s="394"/>
      <c r="D5" s="394"/>
      <c r="E5" s="394"/>
      <c r="F5" s="394"/>
      <c r="G5" s="394"/>
      <c r="H5" s="394"/>
      <c r="I5" s="394"/>
      <c r="J5" s="394"/>
      <c r="K5" s="394"/>
      <c r="L5" s="394"/>
      <c r="M5" s="394"/>
      <c r="N5" s="394"/>
      <c r="O5" s="676"/>
      <c r="P5" s="638"/>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123"/>
      <c r="AT5" s="123"/>
      <c r="AU5" s="123"/>
      <c r="AV5" s="123"/>
      <c r="BA5" s="39"/>
      <c r="BB5" s="39"/>
      <c r="BF5" s="39"/>
      <c r="BG5" s="41"/>
      <c r="BH5" s="41"/>
      <c r="BI5" s="41"/>
    </row>
    <row r="6" spans="1:74" ht="24" hidden="1" customHeight="1">
      <c r="B6" s="123"/>
      <c r="C6" s="2481"/>
      <c r="D6" s="2482"/>
      <c r="E6" s="2482"/>
      <c r="F6" s="2482"/>
      <c r="G6" s="2482"/>
      <c r="H6" s="2482"/>
      <c r="I6" s="2482"/>
      <c r="J6" s="2482"/>
      <c r="K6" s="2482"/>
      <c r="L6" s="2482"/>
      <c r="M6" s="2482"/>
      <c r="N6" s="2482"/>
      <c r="O6" s="2483"/>
      <c r="P6" s="2482"/>
      <c r="Q6" s="2482"/>
      <c r="R6" s="2482"/>
      <c r="S6" s="2482"/>
      <c r="T6" s="2482"/>
      <c r="U6" s="2482"/>
      <c r="V6" s="2482"/>
      <c r="W6" s="2482"/>
      <c r="X6" s="2482"/>
      <c r="Y6" s="2482"/>
      <c r="Z6" s="2482"/>
      <c r="AA6" s="2482"/>
      <c r="AB6" s="2482"/>
      <c r="AC6" s="2482"/>
      <c r="AD6" s="2482"/>
      <c r="AE6" s="2482"/>
      <c r="AF6" s="2482"/>
      <c r="AG6" s="2482"/>
      <c r="AH6" s="2482"/>
      <c r="AI6" s="2482"/>
      <c r="AJ6" s="2482"/>
      <c r="AK6" s="2482"/>
      <c r="AL6" s="2482"/>
      <c r="AM6" s="2482"/>
      <c r="AN6" s="2482"/>
      <c r="AO6" s="2482"/>
      <c r="AP6" s="2482"/>
      <c r="AQ6" s="2482"/>
      <c r="AR6" s="2482"/>
      <c r="AS6" s="2484"/>
      <c r="AT6" s="123"/>
      <c r="AU6" s="123"/>
      <c r="AV6" s="123"/>
    </row>
    <row r="7" spans="1:74" ht="24" hidden="1" customHeight="1">
      <c r="B7" s="123"/>
      <c r="C7" s="312"/>
      <c r="D7" s="2479" t="s">
        <v>1114</v>
      </c>
      <c r="E7" s="2479"/>
      <c r="F7" s="2479"/>
      <c r="G7" s="2479"/>
      <c r="H7" s="2479"/>
      <c r="I7" s="2479"/>
      <c r="J7" s="2479"/>
      <c r="K7" s="2479"/>
      <c r="L7" s="2479"/>
      <c r="M7" s="2479"/>
      <c r="N7" s="2479"/>
      <c r="O7" s="2479"/>
      <c r="P7" s="2479"/>
      <c r="Q7" s="2479"/>
      <c r="R7" s="2479"/>
      <c r="S7" s="2479"/>
      <c r="T7" s="2479"/>
      <c r="U7" s="2479"/>
      <c r="V7" s="2479"/>
      <c r="W7" s="2479"/>
      <c r="X7" s="2479"/>
      <c r="Y7" s="2479"/>
      <c r="Z7" s="2479"/>
      <c r="AA7" s="2479"/>
      <c r="AB7" s="2479"/>
      <c r="AC7" s="2479"/>
      <c r="AD7" s="2479"/>
      <c r="AE7" s="318"/>
      <c r="AF7" s="318"/>
      <c r="AG7" s="318"/>
      <c r="AH7" s="318"/>
      <c r="AI7" s="318"/>
      <c r="AJ7" s="318"/>
      <c r="AK7" s="318"/>
      <c r="AL7" s="318"/>
      <c r="AM7" s="318"/>
      <c r="AN7" s="318"/>
      <c r="AO7" s="318"/>
      <c r="AP7" s="318"/>
      <c r="AQ7" s="318"/>
      <c r="AR7" s="318"/>
      <c r="AS7" s="313"/>
      <c r="AT7" s="123"/>
      <c r="AU7" s="123"/>
      <c r="AV7" s="123"/>
    </row>
    <row r="8" spans="1:74" ht="24" hidden="1" customHeight="1">
      <c r="B8" s="123"/>
      <c r="C8" s="312"/>
      <c r="D8" s="2314" t="s">
        <v>1079</v>
      </c>
      <c r="E8" s="2314"/>
      <c r="F8" s="2314"/>
      <c r="G8" s="2314"/>
      <c r="H8" s="2314"/>
      <c r="I8" s="2314"/>
      <c r="J8" s="2314"/>
      <c r="K8" s="2314"/>
      <c r="L8" s="2314"/>
      <c r="M8" s="2314"/>
      <c r="N8" s="2314"/>
      <c r="O8" s="2314"/>
      <c r="P8" s="2314"/>
      <c r="Q8" s="2314"/>
      <c r="R8" s="2314"/>
      <c r="S8" s="2314"/>
      <c r="T8" s="2314"/>
      <c r="U8" s="2314"/>
      <c r="V8" s="2314"/>
      <c r="W8" s="2314"/>
      <c r="X8" s="2314"/>
      <c r="Y8" s="2314"/>
      <c r="Z8" s="2314"/>
      <c r="AA8" s="2314"/>
      <c r="AB8" s="2314"/>
      <c r="AC8" s="2314"/>
      <c r="AD8" s="2314"/>
      <c r="AE8" s="319"/>
      <c r="AF8" s="942"/>
      <c r="AG8" s="942"/>
      <c r="AH8" s="942"/>
      <c r="AI8" s="942"/>
      <c r="AJ8" s="942"/>
      <c r="AK8" s="942"/>
      <c r="AL8" s="942"/>
      <c r="AM8" s="942"/>
      <c r="AN8" s="942"/>
      <c r="AO8" s="942"/>
      <c r="AP8" s="319"/>
      <c r="AQ8" s="942"/>
      <c r="AR8" s="942"/>
      <c r="AS8" s="313"/>
      <c r="AT8" s="123"/>
      <c r="AU8" s="123"/>
      <c r="AV8" s="123"/>
    </row>
    <row r="9" spans="1:74" ht="24" hidden="1" customHeight="1">
      <c r="B9" s="123"/>
      <c r="C9" s="312"/>
      <c r="D9" s="2315"/>
      <c r="E9" s="2315"/>
      <c r="F9" s="2315"/>
      <c r="G9" s="2315"/>
      <c r="H9" s="2315"/>
      <c r="I9" s="2315"/>
      <c r="J9" s="2315"/>
      <c r="K9" s="2315"/>
      <c r="L9" s="2315"/>
      <c r="M9" s="2315"/>
      <c r="N9" s="2315"/>
      <c r="O9" s="2315"/>
      <c r="P9" s="2315"/>
      <c r="Q9" s="2315"/>
      <c r="R9" s="2315"/>
      <c r="S9" s="2315"/>
      <c r="T9" s="2315"/>
      <c r="U9" s="2315"/>
      <c r="V9" s="2315"/>
      <c r="W9" s="2315"/>
      <c r="X9" s="2315"/>
      <c r="Y9" s="2315"/>
      <c r="Z9" s="2315"/>
      <c r="AA9" s="2315"/>
      <c r="AB9" s="2315"/>
      <c r="AC9" s="2315"/>
      <c r="AD9" s="2315"/>
      <c r="AE9" s="942"/>
      <c r="AF9" s="942"/>
      <c r="AG9" s="942"/>
      <c r="AH9" s="942"/>
      <c r="AI9" s="942"/>
      <c r="AJ9" s="942"/>
      <c r="AK9" s="942"/>
      <c r="AL9" s="942"/>
      <c r="AM9" s="942"/>
      <c r="AN9" s="942"/>
      <c r="AO9" s="942"/>
      <c r="AP9" s="942"/>
      <c r="AQ9" s="942"/>
      <c r="AR9" s="942"/>
      <c r="AS9" s="313"/>
      <c r="AT9" s="123"/>
      <c r="AU9" s="123"/>
      <c r="AV9" s="123"/>
    </row>
    <row r="10" spans="1:74" ht="24" hidden="1" customHeight="1">
      <c r="B10" s="123"/>
      <c r="C10" s="312"/>
      <c r="D10" s="2315"/>
      <c r="E10" s="2315"/>
      <c r="F10" s="2315"/>
      <c r="G10" s="2315"/>
      <c r="H10" s="2315"/>
      <c r="I10" s="2315"/>
      <c r="J10" s="2315"/>
      <c r="K10" s="2315"/>
      <c r="L10" s="2315"/>
      <c r="M10" s="2315"/>
      <c r="N10" s="2315"/>
      <c r="O10" s="2315"/>
      <c r="P10" s="2315"/>
      <c r="Q10" s="2315"/>
      <c r="R10" s="2315"/>
      <c r="S10" s="2315"/>
      <c r="T10" s="2315"/>
      <c r="U10" s="2315"/>
      <c r="V10" s="2315"/>
      <c r="W10" s="2315"/>
      <c r="X10" s="2315"/>
      <c r="Y10" s="2315"/>
      <c r="Z10" s="2315"/>
      <c r="AA10" s="2315"/>
      <c r="AB10" s="2315"/>
      <c r="AC10" s="2315"/>
      <c r="AD10" s="2315"/>
      <c r="AE10" s="942"/>
      <c r="AF10" s="942"/>
      <c r="AG10" s="942"/>
      <c r="AH10" s="942"/>
      <c r="AI10" s="942"/>
      <c r="AJ10" s="942"/>
      <c r="AK10" s="942"/>
      <c r="AL10" s="942"/>
      <c r="AM10" s="942"/>
      <c r="AN10" s="942"/>
      <c r="AO10" s="942"/>
      <c r="AP10" s="942"/>
      <c r="AQ10" s="942"/>
      <c r="AR10" s="942"/>
      <c r="AS10" s="313"/>
      <c r="AT10" s="123"/>
      <c r="AU10" s="123"/>
      <c r="AV10" s="123"/>
    </row>
    <row r="11" spans="1:74" ht="24" hidden="1" customHeight="1">
      <c r="B11" s="123"/>
      <c r="C11" s="312"/>
      <c r="D11" s="2315"/>
      <c r="E11" s="2315"/>
      <c r="F11" s="2315"/>
      <c r="G11" s="2315"/>
      <c r="H11" s="2315"/>
      <c r="I11" s="2315"/>
      <c r="J11" s="2315"/>
      <c r="K11" s="2315"/>
      <c r="L11" s="2315"/>
      <c r="M11" s="2315"/>
      <c r="N11" s="2315"/>
      <c r="O11" s="2315"/>
      <c r="P11" s="2315"/>
      <c r="Q11" s="2315"/>
      <c r="R11" s="2315"/>
      <c r="S11" s="2315"/>
      <c r="T11" s="2315"/>
      <c r="U11" s="2315"/>
      <c r="V11" s="2315"/>
      <c r="W11" s="2315"/>
      <c r="X11" s="2315"/>
      <c r="Y11" s="2315"/>
      <c r="Z11" s="2315"/>
      <c r="AA11" s="2315"/>
      <c r="AB11" s="2315"/>
      <c r="AC11" s="2315"/>
      <c r="AD11" s="2315"/>
      <c r="AE11" s="942"/>
      <c r="AF11" s="942"/>
      <c r="AG11" s="942"/>
      <c r="AH11" s="942"/>
      <c r="AI11" s="942"/>
      <c r="AJ11" s="942"/>
      <c r="AK11" s="942"/>
      <c r="AL11" s="942"/>
      <c r="AM11" s="942"/>
      <c r="AN11" s="942"/>
      <c r="AO11" s="942"/>
      <c r="AP11" s="942"/>
      <c r="AQ11" s="942"/>
      <c r="AR11" s="942"/>
      <c r="AS11" s="313"/>
      <c r="AT11" s="123"/>
      <c r="AU11" s="123"/>
      <c r="AV11" s="123"/>
    </row>
    <row r="12" spans="1:74" ht="24" hidden="1" customHeight="1">
      <c r="B12" s="123"/>
      <c r="C12" s="312"/>
      <c r="D12" s="2462" t="s">
        <v>1095</v>
      </c>
      <c r="E12" s="2462"/>
      <c r="F12" s="2462"/>
      <c r="G12" s="2462"/>
      <c r="H12" s="2462"/>
      <c r="I12" s="2462"/>
      <c r="J12" s="2462"/>
      <c r="K12" s="2462"/>
      <c r="L12" s="2462"/>
      <c r="M12" s="2462"/>
      <c r="N12" s="2462"/>
      <c r="O12" s="2462"/>
      <c r="P12" s="2462"/>
      <c r="Q12" s="2462"/>
      <c r="R12" s="2462"/>
      <c r="S12" s="2462"/>
      <c r="T12" s="2462"/>
      <c r="U12" s="2462"/>
      <c r="V12" s="2462"/>
      <c r="W12" s="2462"/>
      <c r="X12" s="2462"/>
      <c r="Y12" s="2462"/>
      <c r="Z12" s="2462"/>
      <c r="AA12" s="2462"/>
      <c r="AB12" s="2462"/>
      <c r="AC12" s="2462"/>
      <c r="AD12" s="2462"/>
      <c r="AE12" s="350"/>
      <c r="AF12" s="942"/>
      <c r="AG12" s="942"/>
      <c r="AH12" s="942"/>
      <c r="AI12" s="942"/>
      <c r="AJ12" s="942"/>
      <c r="AK12" s="942"/>
      <c r="AL12" s="942"/>
      <c r="AM12" s="942"/>
      <c r="AN12" s="942"/>
      <c r="AO12" s="942"/>
      <c r="AP12" s="942"/>
      <c r="AQ12" s="942"/>
      <c r="AR12" s="942"/>
      <c r="AS12" s="313"/>
      <c r="AT12" s="123"/>
      <c r="AU12" s="123"/>
      <c r="AV12" s="123"/>
      <c r="AW12" s="694"/>
      <c r="AX12" s="2"/>
      <c r="AY12" s="2"/>
      <c r="AZ12" s="2"/>
      <c r="BA12" s="2"/>
      <c r="BB12" s="2"/>
      <c r="BC12" s="2"/>
      <c r="BD12" s="2"/>
      <c r="BE12" s="2"/>
      <c r="BF12" s="2"/>
      <c r="BG12" s="2"/>
      <c r="BH12" s="2"/>
    </row>
    <row r="13" spans="1:74" ht="24" hidden="1" customHeight="1">
      <c r="B13" s="123"/>
      <c r="C13" s="312"/>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942"/>
      <c r="AF13" s="942"/>
      <c r="AG13" s="35"/>
      <c r="AH13" s="35"/>
      <c r="AI13" s="35"/>
      <c r="AJ13" s="35"/>
      <c r="AK13" s="35"/>
      <c r="AL13" s="35"/>
      <c r="AM13" s="35"/>
      <c r="AN13" s="35"/>
      <c r="AO13" s="35"/>
      <c r="AP13" s="35"/>
      <c r="AQ13" s="35"/>
      <c r="AR13" s="942"/>
      <c r="AS13" s="313"/>
      <c r="AT13" s="123"/>
      <c r="AU13" s="123"/>
      <c r="AV13" s="123"/>
      <c r="AW13" s="694"/>
      <c r="AX13" s="2"/>
      <c r="AY13" s="2"/>
      <c r="AZ13" s="2"/>
      <c r="BA13" s="2"/>
      <c r="BB13" s="2"/>
      <c r="BC13" s="2"/>
      <c r="BD13" s="2"/>
      <c r="BE13" s="2"/>
      <c r="BF13" s="2"/>
      <c r="BG13" s="2"/>
      <c r="BH13" s="2"/>
      <c r="BI13" s="2"/>
      <c r="BJ13" s="2"/>
      <c r="BK13" s="2"/>
      <c r="BL13" s="2"/>
      <c r="BM13" s="2"/>
      <c r="BN13" s="2"/>
      <c r="BO13" s="2"/>
      <c r="BP13" s="2"/>
      <c r="BQ13" s="2"/>
      <c r="BR13" s="2"/>
      <c r="BS13" s="2"/>
      <c r="BT13" s="2"/>
      <c r="BU13" s="2"/>
      <c r="BV13" s="2"/>
    </row>
    <row r="14" spans="1:74" ht="24" hidden="1" customHeight="1">
      <c r="B14" s="123"/>
      <c r="C14" s="312"/>
      <c r="D14" s="2313" t="s">
        <v>1108</v>
      </c>
      <c r="E14" s="2313"/>
      <c r="F14" s="2313"/>
      <c r="G14" s="2313"/>
      <c r="H14" s="2313"/>
      <c r="I14" s="2313"/>
      <c r="J14" s="2313"/>
      <c r="K14" s="2313"/>
      <c r="L14" s="2313"/>
      <c r="M14" s="2313"/>
      <c r="N14" s="2313"/>
      <c r="O14" s="2313"/>
      <c r="P14" s="2313"/>
      <c r="Q14" s="2313"/>
      <c r="R14" s="2313"/>
      <c r="S14" s="2313"/>
      <c r="T14" s="2313"/>
      <c r="U14" s="2313"/>
      <c r="V14" s="2313"/>
      <c r="W14" s="2313"/>
      <c r="X14" s="2313"/>
      <c r="Y14" s="2313"/>
      <c r="Z14" s="2313"/>
      <c r="AA14" s="2313"/>
      <c r="AB14" s="2313"/>
      <c r="AC14" s="2313"/>
      <c r="AD14" s="2313"/>
      <c r="AE14" s="942"/>
      <c r="AF14" s="942"/>
      <c r="AG14" s="2446" t="s">
        <v>1027</v>
      </c>
      <c r="AH14" s="2447"/>
      <c r="AI14" s="2447"/>
      <c r="AJ14" s="2447"/>
      <c r="AK14" s="2447"/>
      <c r="AL14" s="2447"/>
      <c r="AM14" s="2447"/>
      <c r="AN14" s="2447"/>
      <c r="AO14" s="2447"/>
      <c r="AP14" s="2447"/>
      <c r="AQ14" s="2448"/>
      <c r="AR14" s="942"/>
      <c r="AS14" s="313"/>
      <c r="AT14" s="123"/>
      <c r="AU14" s="123"/>
      <c r="AV14" s="123"/>
      <c r="AW14" s="694"/>
      <c r="AX14" s="2"/>
      <c r="AY14" s="2"/>
      <c r="AZ14" s="2"/>
      <c r="BA14" s="2"/>
      <c r="BB14" s="2"/>
      <c r="BC14" s="2"/>
      <c r="BD14" s="2"/>
      <c r="BE14" s="2"/>
      <c r="BF14" s="2"/>
      <c r="BG14" s="2"/>
      <c r="BH14" s="2"/>
      <c r="BI14" s="2"/>
      <c r="BJ14" s="2"/>
      <c r="BK14" s="2"/>
      <c r="BL14" s="2"/>
      <c r="BM14" s="2"/>
      <c r="BN14" s="2"/>
      <c r="BO14" s="2"/>
      <c r="BP14" s="2"/>
      <c r="BQ14" s="2"/>
      <c r="BR14" s="2"/>
      <c r="BS14" s="2"/>
      <c r="BT14" s="2"/>
      <c r="BU14" s="2"/>
      <c r="BV14" s="2"/>
    </row>
    <row r="15" spans="1:74" ht="24" hidden="1" customHeight="1">
      <c r="B15" s="123"/>
      <c r="C15" s="312"/>
      <c r="D15" s="2478" t="s">
        <v>1109</v>
      </c>
      <c r="E15" s="2478"/>
      <c r="F15" s="2478"/>
      <c r="G15" s="2478"/>
      <c r="H15" s="2478"/>
      <c r="I15" s="2478"/>
      <c r="J15" s="2478"/>
      <c r="K15" s="2478"/>
      <c r="L15" s="2478"/>
      <c r="M15" s="2478"/>
      <c r="N15" s="2478"/>
      <c r="O15" s="2478"/>
      <c r="P15" s="2478"/>
      <c r="Q15" s="2478"/>
      <c r="R15" s="2478"/>
      <c r="S15" s="2478"/>
      <c r="T15" s="2478"/>
      <c r="U15" s="2478"/>
      <c r="V15" s="2478"/>
      <c r="W15" s="2478"/>
      <c r="X15" s="2478"/>
      <c r="Y15" s="2478"/>
      <c r="Z15" s="2478"/>
      <c r="AA15" s="2478"/>
      <c r="AB15" s="2478"/>
      <c r="AC15" s="2478"/>
      <c r="AD15" s="2478"/>
      <c r="AE15" s="942"/>
      <c r="AF15" s="942"/>
      <c r="AG15" s="2449"/>
      <c r="AH15" s="2450"/>
      <c r="AI15" s="2450"/>
      <c r="AJ15" s="2450"/>
      <c r="AK15" s="2450"/>
      <c r="AL15" s="2450"/>
      <c r="AM15" s="2450"/>
      <c r="AN15" s="2450"/>
      <c r="AO15" s="2450"/>
      <c r="AP15" s="2450"/>
      <c r="AQ15" s="2451"/>
      <c r="AR15" s="942"/>
      <c r="AS15" s="313"/>
      <c r="AT15" s="123"/>
      <c r="AU15" s="123"/>
      <c r="AV15" s="123"/>
      <c r="AW15" s="694"/>
      <c r="AX15" s="2"/>
      <c r="AY15" s="2"/>
      <c r="AZ15" s="2"/>
      <c r="BA15" s="2"/>
      <c r="BB15" s="2"/>
      <c r="BC15" s="2"/>
      <c r="BD15" s="2"/>
      <c r="BE15" s="2"/>
      <c r="BF15" s="2"/>
      <c r="BG15" s="2"/>
      <c r="BH15" s="2"/>
      <c r="BI15" s="2"/>
      <c r="BJ15" s="2"/>
      <c r="BK15" s="2"/>
      <c r="BL15" s="2"/>
      <c r="BM15" s="2"/>
      <c r="BN15" s="2"/>
      <c r="BO15" s="2"/>
      <c r="BP15" s="2"/>
      <c r="BQ15" s="2"/>
      <c r="BR15" s="2"/>
      <c r="BS15" s="2"/>
      <c r="BT15" s="2"/>
      <c r="BU15" s="2"/>
      <c r="BV15" s="2"/>
    </row>
    <row r="16" spans="1:74" ht="24" hidden="1" customHeight="1">
      <c r="B16" s="123"/>
      <c r="C16" s="312"/>
      <c r="D16" s="350"/>
      <c r="E16" s="350"/>
      <c r="F16" s="350"/>
      <c r="G16" s="350"/>
      <c r="H16" s="350"/>
      <c r="I16" s="350"/>
      <c r="J16" s="350"/>
      <c r="K16" s="350"/>
      <c r="L16" s="350"/>
      <c r="M16" s="350"/>
      <c r="N16" s="350"/>
      <c r="O16" s="350"/>
      <c r="P16" s="350"/>
      <c r="Q16" s="350"/>
      <c r="R16" s="350"/>
      <c r="S16" s="350"/>
      <c r="T16" s="350"/>
      <c r="U16" s="350"/>
      <c r="V16" s="350"/>
      <c r="W16" s="350"/>
      <c r="X16" s="350"/>
      <c r="Y16" s="350"/>
      <c r="Z16" s="350"/>
      <c r="AA16" s="350"/>
      <c r="AB16" s="350"/>
      <c r="AC16" s="350"/>
      <c r="AD16" s="350"/>
      <c r="AE16" s="942"/>
      <c r="AF16" s="942"/>
      <c r="AG16" s="320"/>
      <c r="AH16" s="2316" t="s">
        <v>991</v>
      </c>
      <c r="AI16" s="2316"/>
      <c r="AJ16" s="2316"/>
      <c r="AK16" s="2316"/>
      <c r="AL16" s="2316"/>
      <c r="AM16" s="2316"/>
      <c r="AN16" s="2316"/>
      <c r="AO16" s="2316"/>
      <c r="AP16" s="2316"/>
      <c r="AQ16" s="321"/>
      <c r="AR16" s="942"/>
      <c r="AS16" s="313"/>
      <c r="AT16" s="123"/>
      <c r="AU16" s="123"/>
      <c r="AV16" s="123"/>
      <c r="AW16" s="694"/>
      <c r="AX16" s="2"/>
      <c r="AY16" s="2"/>
      <c r="AZ16" s="2"/>
      <c r="BA16" s="2"/>
      <c r="BB16" s="2"/>
      <c r="BC16" s="2"/>
      <c r="BD16" s="2"/>
      <c r="BE16" s="2"/>
      <c r="BF16" s="2"/>
      <c r="BG16" s="2"/>
      <c r="BH16" s="2"/>
      <c r="BI16" s="2"/>
      <c r="BJ16" s="2"/>
      <c r="BK16" s="2"/>
      <c r="BL16" s="2"/>
      <c r="BM16" s="2"/>
      <c r="BN16" s="2"/>
      <c r="BO16" s="2"/>
      <c r="BP16" s="2"/>
      <c r="BQ16" s="2"/>
      <c r="BR16" s="2"/>
      <c r="BS16" s="2"/>
      <c r="BT16" s="2"/>
      <c r="BU16" s="2"/>
      <c r="BV16" s="2"/>
    </row>
    <row r="17" spans="2:74" ht="24" hidden="1" customHeight="1">
      <c r="B17" s="123"/>
      <c r="C17" s="312"/>
      <c r="D17" s="2313" t="s">
        <v>1111</v>
      </c>
      <c r="E17" s="2313"/>
      <c r="F17" s="2313"/>
      <c r="G17" s="2313"/>
      <c r="H17" s="2313"/>
      <c r="I17" s="2313"/>
      <c r="J17" s="2313"/>
      <c r="K17" s="2313"/>
      <c r="L17" s="2313"/>
      <c r="M17" s="2313"/>
      <c r="N17" s="2313"/>
      <c r="O17" s="2313"/>
      <c r="P17" s="2313"/>
      <c r="Q17" s="2313"/>
      <c r="R17" s="2313"/>
      <c r="S17" s="2313"/>
      <c r="T17" s="2313"/>
      <c r="U17" s="2313"/>
      <c r="V17" s="2313"/>
      <c r="W17" s="2313"/>
      <c r="X17" s="2313"/>
      <c r="Y17" s="2313"/>
      <c r="Z17" s="2313"/>
      <c r="AA17" s="2313"/>
      <c r="AB17" s="2313"/>
      <c r="AC17" s="2313"/>
      <c r="AD17" s="2313"/>
      <c r="AE17" s="942"/>
      <c r="AF17" s="942"/>
      <c r="AG17" s="320"/>
      <c r="AH17" s="2316" t="s">
        <v>1028</v>
      </c>
      <c r="AI17" s="2316"/>
      <c r="AJ17" s="2316"/>
      <c r="AK17" s="2316"/>
      <c r="AL17" s="2316"/>
      <c r="AM17" s="2316"/>
      <c r="AN17" s="2316"/>
      <c r="AO17" s="2316"/>
      <c r="AP17" s="2316"/>
      <c r="AQ17" s="321"/>
      <c r="AR17" s="942"/>
      <c r="AS17" s="313"/>
      <c r="AT17" s="123"/>
      <c r="AU17" s="123"/>
      <c r="AV17" s="123"/>
      <c r="AW17" s="694"/>
      <c r="AX17" s="2"/>
      <c r="AY17" s="2"/>
      <c r="AZ17" s="2"/>
      <c r="BA17" s="2"/>
      <c r="BB17" s="2"/>
      <c r="BC17" s="2"/>
      <c r="BD17" s="2"/>
      <c r="BE17" s="2"/>
      <c r="BF17" s="2"/>
      <c r="BG17" s="2"/>
      <c r="BH17" s="2"/>
      <c r="BI17" s="2"/>
      <c r="BJ17" s="2"/>
      <c r="BK17" s="2"/>
      <c r="BL17" s="2"/>
      <c r="BM17" s="2"/>
      <c r="BN17" s="2"/>
      <c r="BO17" s="2"/>
      <c r="BP17" s="2"/>
      <c r="BQ17" s="2"/>
      <c r="BR17" s="2"/>
      <c r="BS17" s="2"/>
      <c r="BT17" s="2"/>
      <c r="BU17" s="2"/>
      <c r="BV17" s="2"/>
    </row>
    <row r="18" spans="2:74" ht="24" hidden="1" customHeight="1">
      <c r="B18" s="123"/>
      <c r="C18" s="312"/>
      <c r="D18" s="2478" t="s">
        <v>1110</v>
      </c>
      <c r="E18" s="2478"/>
      <c r="F18" s="2478"/>
      <c r="G18" s="2478"/>
      <c r="H18" s="2478"/>
      <c r="I18" s="2478"/>
      <c r="J18" s="2478"/>
      <c r="K18" s="2478"/>
      <c r="L18" s="2478"/>
      <c r="M18" s="2478"/>
      <c r="N18" s="2478"/>
      <c r="O18" s="2478"/>
      <c r="P18" s="2478"/>
      <c r="Q18" s="2478"/>
      <c r="R18" s="2478"/>
      <c r="S18" s="2478"/>
      <c r="T18" s="2478"/>
      <c r="U18" s="2478"/>
      <c r="V18" s="2478"/>
      <c r="W18" s="2478"/>
      <c r="X18" s="2478"/>
      <c r="Y18" s="2478"/>
      <c r="Z18" s="2478"/>
      <c r="AA18" s="2478"/>
      <c r="AB18" s="2478"/>
      <c r="AC18" s="2478"/>
      <c r="AD18" s="2478"/>
      <c r="AE18" s="942"/>
      <c r="AF18" s="942"/>
      <c r="AG18" s="320"/>
      <c r="AH18" s="2316" t="s">
        <v>1029</v>
      </c>
      <c r="AI18" s="2316"/>
      <c r="AJ18" s="2316"/>
      <c r="AK18" s="2316"/>
      <c r="AL18" s="2316"/>
      <c r="AM18" s="2316"/>
      <c r="AN18" s="2316"/>
      <c r="AO18" s="2316"/>
      <c r="AP18" s="2316"/>
      <c r="AQ18" s="321"/>
      <c r="AR18" s="942"/>
      <c r="AS18" s="313"/>
      <c r="AT18" s="123"/>
      <c r="AU18" s="123"/>
      <c r="AV18" s="123"/>
      <c r="AW18" s="694"/>
      <c r="AX18" s="2"/>
      <c r="AY18" s="2"/>
      <c r="AZ18" s="2"/>
      <c r="BA18" s="2"/>
      <c r="BB18" s="2"/>
      <c r="BC18" s="2"/>
      <c r="BD18" s="2"/>
      <c r="BE18" s="2"/>
      <c r="BF18" s="2"/>
      <c r="BG18" s="2"/>
      <c r="BH18" s="2"/>
      <c r="BI18" s="2"/>
      <c r="BJ18" s="2"/>
      <c r="BK18" s="2"/>
      <c r="BL18" s="2"/>
      <c r="BM18" s="2"/>
      <c r="BN18" s="2"/>
      <c r="BO18" s="2"/>
      <c r="BP18" s="2"/>
      <c r="BQ18" s="2"/>
      <c r="BR18" s="2"/>
      <c r="BS18" s="2"/>
      <c r="BT18" s="2"/>
      <c r="BU18" s="2"/>
      <c r="BV18" s="2"/>
    </row>
    <row r="19" spans="2:74" ht="24" hidden="1" customHeight="1">
      <c r="B19" s="123"/>
      <c r="C19" s="312"/>
      <c r="D19" s="350"/>
      <c r="E19" s="350"/>
      <c r="F19" s="350"/>
      <c r="G19" s="350"/>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942"/>
      <c r="AF19" s="942"/>
      <c r="AG19" s="320"/>
      <c r="AH19" s="2316" t="s">
        <v>1563</v>
      </c>
      <c r="AI19" s="2316"/>
      <c r="AJ19" s="2316"/>
      <c r="AK19" s="2316"/>
      <c r="AL19" s="2316"/>
      <c r="AM19" s="2316"/>
      <c r="AN19" s="2316"/>
      <c r="AO19" s="2316"/>
      <c r="AP19" s="2316"/>
      <c r="AQ19" s="321"/>
      <c r="AR19" s="942"/>
      <c r="AS19" s="313"/>
      <c r="AT19" s="123"/>
      <c r="AU19" s="123"/>
      <c r="AV19" s="123"/>
      <c r="AW19" s="694"/>
      <c r="AX19" s="2"/>
      <c r="AY19" s="2"/>
      <c r="AZ19" s="2"/>
      <c r="BA19" s="2"/>
      <c r="BB19" s="2"/>
      <c r="BC19" s="2"/>
      <c r="BD19" s="2"/>
      <c r="BE19" s="2"/>
      <c r="BF19" s="2"/>
      <c r="BG19" s="2"/>
      <c r="BH19" s="2"/>
      <c r="BI19" s="2"/>
      <c r="BJ19" s="2"/>
      <c r="BK19" s="2"/>
      <c r="BL19" s="2"/>
      <c r="BM19" s="2"/>
      <c r="BN19" s="2"/>
      <c r="BO19" s="2"/>
      <c r="BP19" s="2"/>
      <c r="BQ19" s="2"/>
      <c r="BR19" s="2"/>
      <c r="BS19" s="2"/>
      <c r="BT19" s="2"/>
      <c r="BU19" s="2"/>
      <c r="BV19" s="2"/>
    </row>
    <row r="20" spans="2:74" ht="24" hidden="1" customHeight="1">
      <c r="B20" s="123"/>
      <c r="C20" s="312"/>
      <c r="D20" s="2313" t="s">
        <v>1112</v>
      </c>
      <c r="E20" s="2313"/>
      <c r="F20" s="2313"/>
      <c r="G20" s="2313"/>
      <c r="H20" s="2313"/>
      <c r="I20" s="2313"/>
      <c r="J20" s="2313"/>
      <c r="K20" s="2313"/>
      <c r="L20" s="2313"/>
      <c r="M20" s="2313"/>
      <c r="N20" s="2313"/>
      <c r="O20" s="2313"/>
      <c r="P20" s="2313"/>
      <c r="Q20" s="2313"/>
      <c r="R20" s="2313"/>
      <c r="S20" s="2313"/>
      <c r="T20" s="2313"/>
      <c r="U20" s="2313"/>
      <c r="V20" s="2313"/>
      <c r="W20" s="2313"/>
      <c r="X20" s="2313"/>
      <c r="Y20" s="2313"/>
      <c r="Z20" s="2313"/>
      <c r="AA20" s="2313"/>
      <c r="AB20" s="2313"/>
      <c r="AC20" s="2313"/>
      <c r="AD20" s="2313"/>
      <c r="AE20" s="942"/>
      <c r="AF20" s="942"/>
      <c r="AG20" s="320"/>
      <c r="AH20" s="2317"/>
      <c r="AI20" s="2317"/>
      <c r="AJ20" s="2317"/>
      <c r="AK20" s="2317"/>
      <c r="AL20" s="2317"/>
      <c r="AM20" s="2317"/>
      <c r="AN20" s="2317"/>
      <c r="AO20" s="2317"/>
      <c r="AP20" s="2317"/>
      <c r="AQ20" s="321"/>
      <c r="AR20" s="942"/>
      <c r="AS20" s="313"/>
      <c r="AT20" s="123"/>
      <c r="AU20" s="123"/>
      <c r="AV20" s="123"/>
      <c r="AW20" s="694"/>
      <c r="AX20" s="2"/>
      <c r="AY20" s="2"/>
      <c r="AZ20" s="2"/>
      <c r="BA20" s="2"/>
      <c r="BB20" s="2"/>
      <c r="BC20" s="2"/>
      <c r="BD20" s="2"/>
      <c r="BE20" s="2"/>
      <c r="BF20" s="2"/>
      <c r="BG20" s="2"/>
      <c r="BH20" s="2"/>
      <c r="BI20" s="2"/>
      <c r="BJ20" s="2"/>
      <c r="BK20" s="2"/>
      <c r="BL20" s="2"/>
      <c r="BM20" s="2"/>
      <c r="BN20" s="2"/>
      <c r="BO20" s="2"/>
      <c r="BP20" s="2"/>
      <c r="BQ20" s="2"/>
      <c r="BR20" s="2"/>
      <c r="BS20" s="2"/>
      <c r="BT20" s="2"/>
      <c r="BU20" s="2"/>
      <c r="BV20" s="2"/>
    </row>
    <row r="21" spans="2:74" ht="24" hidden="1" customHeight="1">
      <c r="B21" s="123"/>
      <c r="C21" s="312"/>
      <c r="D21" s="2478" t="s">
        <v>1113</v>
      </c>
      <c r="E21" s="2478"/>
      <c r="F21" s="2478"/>
      <c r="G21" s="2478"/>
      <c r="H21" s="2478"/>
      <c r="I21" s="2478"/>
      <c r="J21" s="2478"/>
      <c r="K21" s="2478"/>
      <c r="L21" s="2478"/>
      <c r="M21" s="2478"/>
      <c r="N21" s="2478"/>
      <c r="O21" s="2478"/>
      <c r="P21" s="2478"/>
      <c r="Q21" s="2478"/>
      <c r="R21" s="2478"/>
      <c r="S21" s="2478"/>
      <c r="T21" s="2478"/>
      <c r="U21" s="2478"/>
      <c r="V21" s="2478"/>
      <c r="W21" s="2478"/>
      <c r="X21" s="2478"/>
      <c r="Y21" s="2478"/>
      <c r="Z21" s="2478"/>
      <c r="AA21" s="2478"/>
      <c r="AB21" s="2478"/>
      <c r="AC21" s="2478"/>
      <c r="AD21" s="2478"/>
      <c r="AE21" s="942"/>
      <c r="AF21" s="942"/>
      <c r="AG21" s="324"/>
      <c r="AH21" s="318"/>
      <c r="AI21" s="318"/>
      <c r="AJ21" s="318"/>
      <c r="AK21" s="318"/>
      <c r="AL21" s="318"/>
      <c r="AM21" s="318"/>
      <c r="AN21" s="318"/>
      <c r="AO21" s="318"/>
      <c r="AP21" s="318"/>
      <c r="AQ21" s="322"/>
      <c r="AR21" s="942"/>
      <c r="AS21" s="313"/>
      <c r="AT21" s="123"/>
      <c r="AU21" s="123"/>
      <c r="AV21" s="123"/>
      <c r="AW21" s="694"/>
      <c r="AX21" s="2"/>
      <c r="AY21" s="2"/>
      <c r="AZ21" s="2"/>
      <c r="BA21" s="2"/>
      <c r="BB21" s="2"/>
      <c r="BC21" s="2"/>
      <c r="BD21" s="2"/>
      <c r="BE21" s="2"/>
      <c r="BF21" s="2"/>
      <c r="BG21" s="2"/>
      <c r="BH21" s="2"/>
    </row>
    <row r="22" spans="2:74" ht="24" hidden="1" customHeight="1">
      <c r="B22" s="123"/>
      <c r="C22" s="312"/>
      <c r="D22" s="350"/>
      <c r="E22" s="350"/>
      <c r="F22" s="350"/>
      <c r="G22" s="350"/>
      <c r="H22" s="350"/>
      <c r="I22" s="350"/>
      <c r="J22" s="350"/>
      <c r="K22" s="350"/>
      <c r="L22" s="350"/>
      <c r="M22" s="350"/>
      <c r="N22" s="350"/>
      <c r="O22" s="350"/>
      <c r="P22" s="350"/>
      <c r="Q22" s="350"/>
      <c r="R22" s="350"/>
      <c r="S22" s="350"/>
      <c r="T22" s="350"/>
      <c r="U22" s="350"/>
      <c r="V22" s="350"/>
      <c r="W22" s="350"/>
      <c r="X22" s="350"/>
      <c r="Y22" s="350"/>
      <c r="Z22" s="350"/>
      <c r="AA22" s="350"/>
      <c r="AB22" s="350"/>
      <c r="AC22" s="350"/>
      <c r="AD22" s="350"/>
      <c r="AE22" s="942"/>
      <c r="AF22" s="942"/>
      <c r="AG22" s="942"/>
      <c r="AH22" s="942"/>
      <c r="AI22" s="942"/>
      <c r="AJ22" s="942"/>
      <c r="AK22" s="942"/>
      <c r="AL22" s="942"/>
      <c r="AM22" s="942"/>
      <c r="AN22" s="942"/>
      <c r="AO22" s="942"/>
      <c r="AP22" s="942"/>
      <c r="AQ22" s="942"/>
      <c r="AR22" s="942"/>
      <c r="AS22" s="313"/>
      <c r="AT22" s="123"/>
      <c r="AU22" s="123"/>
      <c r="AV22" s="123"/>
      <c r="AW22" s="694"/>
      <c r="AX22" s="2"/>
      <c r="AY22" s="2"/>
      <c r="AZ22" s="2"/>
      <c r="BA22" s="2"/>
      <c r="BB22" s="2"/>
      <c r="BC22" s="2"/>
      <c r="BD22" s="2"/>
      <c r="BE22" s="2"/>
      <c r="BF22" s="2"/>
      <c r="BG22" s="2"/>
      <c r="BH22" s="2"/>
    </row>
    <row r="23" spans="2:74" ht="24" hidden="1" customHeight="1">
      <c r="B23" s="123"/>
      <c r="C23" s="312"/>
      <c r="D23" s="2462" t="s">
        <v>1094</v>
      </c>
      <c r="E23" s="2462"/>
      <c r="F23" s="2462"/>
      <c r="G23" s="2462"/>
      <c r="H23" s="2462"/>
      <c r="I23" s="2462"/>
      <c r="J23" s="2462"/>
      <c r="K23" s="2462"/>
      <c r="L23" s="2462"/>
      <c r="M23" s="2462"/>
      <c r="N23" s="2462"/>
      <c r="O23" s="2462"/>
      <c r="P23" s="2462"/>
      <c r="Q23" s="2462"/>
      <c r="R23" s="2462"/>
      <c r="S23" s="2462"/>
      <c r="T23" s="2462"/>
      <c r="U23" s="2462"/>
      <c r="V23" s="2462"/>
      <c r="W23" s="2462"/>
      <c r="X23" s="2462"/>
      <c r="Y23" s="2462"/>
      <c r="Z23" s="2462"/>
      <c r="AA23" s="2462"/>
      <c r="AB23" s="2462"/>
      <c r="AC23" s="2462"/>
      <c r="AD23" s="2462"/>
      <c r="AE23" s="2462"/>
      <c r="AF23" s="2462"/>
      <c r="AG23" s="2462"/>
      <c r="AH23" s="2462"/>
      <c r="AI23" s="2462"/>
      <c r="AJ23" s="2462"/>
      <c r="AK23" s="2462"/>
      <c r="AL23" s="2462"/>
      <c r="AM23" s="2462"/>
      <c r="AN23" s="2462"/>
      <c r="AO23" s="2462"/>
      <c r="AP23" s="2462"/>
      <c r="AQ23" s="2462"/>
      <c r="AR23" s="2462"/>
      <c r="AS23" s="313"/>
      <c r="AT23" s="123"/>
      <c r="AU23" s="123"/>
      <c r="AV23" s="123"/>
    </row>
    <row r="24" spans="2:74" ht="27" hidden="1" customHeight="1">
      <c r="B24" s="123"/>
      <c r="C24" s="312"/>
      <c r="D24" s="2303" t="s">
        <v>1023</v>
      </c>
      <c r="E24" s="2303"/>
      <c r="F24" s="2303"/>
      <c r="G24" s="2303"/>
      <c r="H24" s="2303"/>
      <c r="I24" s="2303"/>
      <c r="J24" s="317"/>
      <c r="K24" s="2303" t="s">
        <v>1024</v>
      </c>
      <c r="L24" s="2303"/>
      <c r="M24" s="2303"/>
      <c r="N24" s="2303"/>
      <c r="O24" s="2303"/>
      <c r="P24" s="2303"/>
      <c r="Q24" s="206"/>
      <c r="R24" s="2303" t="s">
        <v>1026</v>
      </c>
      <c r="S24" s="2303"/>
      <c r="T24" s="2303"/>
      <c r="U24" s="2303"/>
      <c r="V24" s="2303"/>
      <c r="W24" s="2303"/>
      <c r="X24" s="206"/>
      <c r="Y24" s="2303" t="s">
        <v>1103</v>
      </c>
      <c r="Z24" s="2303"/>
      <c r="AA24" s="2303"/>
      <c r="AB24" s="2303"/>
      <c r="AC24" s="2303"/>
      <c r="AD24" s="2303"/>
      <c r="AE24" s="942"/>
      <c r="AF24" s="2303" t="s">
        <v>1106</v>
      </c>
      <c r="AG24" s="2303"/>
      <c r="AH24" s="2303"/>
      <c r="AI24" s="2303"/>
      <c r="AJ24" s="2303"/>
      <c r="AK24" s="2303"/>
      <c r="AL24" s="942"/>
      <c r="AM24" s="2303" t="s">
        <v>1096</v>
      </c>
      <c r="AN24" s="2303"/>
      <c r="AO24" s="2303"/>
      <c r="AP24" s="2303"/>
      <c r="AQ24" s="2303"/>
      <c r="AR24" s="2303"/>
      <c r="AS24" s="313"/>
      <c r="AT24" s="123"/>
      <c r="AU24" s="123"/>
      <c r="AV24" s="123"/>
    </row>
    <row r="25" spans="2:74" ht="24" hidden="1" customHeight="1">
      <c r="B25" s="123"/>
      <c r="C25" s="312"/>
      <c r="D25" s="2304" t="s">
        <v>1085</v>
      </c>
      <c r="E25" s="2305"/>
      <c r="F25" s="2305"/>
      <c r="G25" s="2305"/>
      <c r="H25" s="2305"/>
      <c r="I25" s="2306"/>
      <c r="J25" s="206"/>
      <c r="K25" s="2304" t="s">
        <v>1104</v>
      </c>
      <c r="L25" s="2305"/>
      <c r="M25" s="2305"/>
      <c r="N25" s="2305"/>
      <c r="O25" s="2305"/>
      <c r="P25" s="2306"/>
      <c r="Q25" s="206"/>
      <c r="R25" s="2304" t="s">
        <v>1086</v>
      </c>
      <c r="S25" s="2305"/>
      <c r="T25" s="2305"/>
      <c r="U25" s="2305"/>
      <c r="V25" s="2305"/>
      <c r="W25" s="2306"/>
      <c r="X25" s="206"/>
      <c r="Y25" s="2304" t="s">
        <v>1105</v>
      </c>
      <c r="Z25" s="2305"/>
      <c r="AA25" s="2305"/>
      <c r="AB25" s="2305"/>
      <c r="AC25" s="2305"/>
      <c r="AD25" s="2306"/>
      <c r="AE25" s="942"/>
      <c r="AF25" s="2304" t="s">
        <v>1107</v>
      </c>
      <c r="AG25" s="2305"/>
      <c r="AH25" s="2305"/>
      <c r="AI25" s="2305"/>
      <c r="AJ25" s="2305"/>
      <c r="AK25" s="2306"/>
      <c r="AL25" s="317"/>
      <c r="AM25" s="2463"/>
      <c r="AN25" s="2464"/>
      <c r="AO25" s="2464"/>
      <c r="AP25" s="2464"/>
      <c r="AQ25" s="2464"/>
      <c r="AR25" s="2465"/>
      <c r="AS25" s="313"/>
      <c r="AT25" s="123"/>
      <c r="AU25" s="123"/>
      <c r="AV25" s="123"/>
      <c r="AW25" s="694"/>
      <c r="AX25" s="2"/>
      <c r="AY25" s="2"/>
      <c r="AZ25" s="2"/>
      <c r="BA25" s="2"/>
      <c r="BB25" s="2"/>
      <c r="BC25" s="2"/>
      <c r="BD25" s="2"/>
      <c r="BE25" s="2"/>
      <c r="BF25" s="2"/>
      <c r="BG25" s="2"/>
      <c r="BH25" s="2"/>
    </row>
    <row r="26" spans="2:74" ht="24" hidden="1" customHeight="1">
      <c r="B26" s="123"/>
      <c r="C26" s="312"/>
      <c r="D26" s="2307"/>
      <c r="E26" s="2308"/>
      <c r="F26" s="2308"/>
      <c r="G26" s="2308"/>
      <c r="H26" s="2308"/>
      <c r="I26" s="2309"/>
      <c r="J26" s="206"/>
      <c r="K26" s="2307"/>
      <c r="L26" s="2308"/>
      <c r="M26" s="2308"/>
      <c r="N26" s="2308"/>
      <c r="O26" s="2308"/>
      <c r="P26" s="2309"/>
      <c r="Q26" s="206"/>
      <c r="R26" s="2307"/>
      <c r="S26" s="2308"/>
      <c r="T26" s="2308"/>
      <c r="U26" s="2308"/>
      <c r="V26" s="2308"/>
      <c r="W26" s="2309"/>
      <c r="X26" s="206"/>
      <c r="Y26" s="2307"/>
      <c r="Z26" s="2308"/>
      <c r="AA26" s="2308"/>
      <c r="AB26" s="2308"/>
      <c r="AC26" s="2308"/>
      <c r="AD26" s="2309"/>
      <c r="AE26" s="942"/>
      <c r="AF26" s="2307"/>
      <c r="AG26" s="2308"/>
      <c r="AH26" s="2308"/>
      <c r="AI26" s="2308"/>
      <c r="AJ26" s="2308"/>
      <c r="AK26" s="2309"/>
      <c r="AL26" s="317"/>
      <c r="AM26" s="2466" t="s">
        <v>1098</v>
      </c>
      <c r="AN26" s="2467"/>
      <c r="AO26" s="2467"/>
      <c r="AP26" s="2467"/>
      <c r="AQ26" s="2467"/>
      <c r="AR26" s="2468"/>
      <c r="AS26" s="313"/>
      <c r="AT26" s="123"/>
      <c r="AU26" s="123"/>
      <c r="AV26" s="123"/>
      <c r="AW26" s="694"/>
      <c r="AX26" s="2"/>
      <c r="AY26" s="2"/>
      <c r="AZ26" s="2"/>
      <c r="BA26" s="2"/>
      <c r="BB26" s="2"/>
      <c r="BC26" s="2"/>
      <c r="BD26" s="123"/>
    </row>
    <row r="27" spans="2:74" ht="24" hidden="1" customHeight="1">
      <c r="B27" s="123"/>
      <c r="C27" s="312"/>
      <c r="D27" s="2307"/>
      <c r="E27" s="2308"/>
      <c r="F27" s="2308"/>
      <c r="G27" s="2308"/>
      <c r="H27" s="2308"/>
      <c r="I27" s="2309"/>
      <c r="J27" s="942"/>
      <c r="K27" s="2307"/>
      <c r="L27" s="2308"/>
      <c r="M27" s="2308"/>
      <c r="N27" s="2308"/>
      <c r="O27" s="2308"/>
      <c r="P27" s="2309"/>
      <c r="Q27" s="317"/>
      <c r="R27" s="2307"/>
      <c r="S27" s="2308"/>
      <c r="T27" s="2308"/>
      <c r="U27" s="2308"/>
      <c r="V27" s="2308"/>
      <c r="W27" s="2309"/>
      <c r="X27" s="942"/>
      <c r="Y27" s="2307"/>
      <c r="Z27" s="2308"/>
      <c r="AA27" s="2308"/>
      <c r="AB27" s="2308"/>
      <c r="AC27" s="2308"/>
      <c r="AD27" s="2309"/>
      <c r="AE27" s="942"/>
      <c r="AF27" s="2307"/>
      <c r="AG27" s="2308"/>
      <c r="AH27" s="2308"/>
      <c r="AI27" s="2308"/>
      <c r="AJ27" s="2308"/>
      <c r="AK27" s="2309"/>
      <c r="AL27" s="317"/>
      <c r="AM27" s="2466" t="s">
        <v>1099</v>
      </c>
      <c r="AN27" s="2467"/>
      <c r="AO27" s="2467"/>
      <c r="AP27" s="2467"/>
      <c r="AQ27" s="2467"/>
      <c r="AR27" s="2468"/>
      <c r="AS27" s="313"/>
      <c r="AT27" s="123"/>
      <c r="AU27" s="123"/>
      <c r="AV27" s="123"/>
      <c r="AW27" s="694"/>
      <c r="AX27" s="2"/>
      <c r="AY27" s="2"/>
      <c r="AZ27" s="2"/>
      <c r="BA27" s="2"/>
      <c r="BB27" s="2"/>
      <c r="BC27" s="2"/>
      <c r="BD27" s="123"/>
    </row>
    <row r="28" spans="2:74" ht="24" hidden="1" customHeight="1">
      <c r="B28" s="123"/>
      <c r="C28" s="312"/>
      <c r="D28" s="2307"/>
      <c r="E28" s="2308"/>
      <c r="F28" s="2308"/>
      <c r="G28" s="2308"/>
      <c r="H28" s="2308"/>
      <c r="I28" s="2309"/>
      <c r="J28" s="942"/>
      <c r="K28" s="2307"/>
      <c r="L28" s="2308"/>
      <c r="M28" s="2308"/>
      <c r="N28" s="2308"/>
      <c r="O28" s="2308"/>
      <c r="P28" s="2309"/>
      <c r="Q28" s="942"/>
      <c r="R28" s="2307"/>
      <c r="S28" s="2308"/>
      <c r="T28" s="2308"/>
      <c r="U28" s="2308"/>
      <c r="V28" s="2308"/>
      <c r="W28" s="2309"/>
      <c r="X28" s="942"/>
      <c r="Y28" s="2307"/>
      <c r="Z28" s="2308"/>
      <c r="AA28" s="2308"/>
      <c r="AB28" s="2308"/>
      <c r="AC28" s="2308"/>
      <c r="AD28" s="2309"/>
      <c r="AE28" s="942"/>
      <c r="AF28" s="2307"/>
      <c r="AG28" s="2308"/>
      <c r="AH28" s="2308"/>
      <c r="AI28" s="2308"/>
      <c r="AJ28" s="2308"/>
      <c r="AK28" s="2309"/>
      <c r="AL28" s="317"/>
      <c r="AM28" s="2466" t="s">
        <v>1100</v>
      </c>
      <c r="AN28" s="2467"/>
      <c r="AO28" s="2467"/>
      <c r="AP28" s="2467"/>
      <c r="AQ28" s="2467"/>
      <c r="AR28" s="2468"/>
      <c r="AS28" s="313"/>
      <c r="AT28" s="123"/>
      <c r="AU28" s="123"/>
      <c r="AV28" s="123"/>
      <c r="AW28" s="694"/>
      <c r="AX28" s="2"/>
      <c r="AY28" s="2"/>
      <c r="AZ28" s="2"/>
      <c r="BA28" s="2"/>
      <c r="BB28" s="2"/>
      <c r="BC28" s="2"/>
      <c r="BD28" s="123"/>
    </row>
    <row r="29" spans="2:74" ht="24" hidden="1" customHeight="1">
      <c r="B29" s="123"/>
      <c r="C29" s="312"/>
      <c r="D29" s="2307"/>
      <c r="E29" s="2308"/>
      <c r="F29" s="2308"/>
      <c r="G29" s="2308"/>
      <c r="H29" s="2308"/>
      <c r="I29" s="2309"/>
      <c r="J29" s="942"/>
      <c r="K29" s="2307"/>
      <c r="L29" s="2308"/>
      <c r="M29" s="2308"/>
      <c r="N29" s="2308"/>
      <c r="O29" s="2308"/>
      <c r="P29" s="2309"/>
      <c r="Q29" s="942"/>
      <c r="R29" s="2307"/>
      <c r="S29" s="2308"/>
      <c r="T29" s="2308"/>
      <c r="U29" s="2308"/>
      <c r="V29" s="2308"/>
      <c r="W29" s="2309"/>
      <c r="X29" s="942"/>
      <c r="Y29" s="2307"/>
      <c r="Z29" s="2308"/>
      <c r="AA29" s="2308"/>
      <c r="AB29" s="2308"/>
      <c r="AC29" s="2308"/>
      <c r="AD29" s="2309"/>
      <c r="AE29" s="942"/>
      <c r="AF29" s="2307"/>
      <c r="AG29" s="2308"/>
      <c r="AH29" s="2308"/>
      <c r="AI29" s="2308"/>
      <c r="AJ29" s="2308"/>
      <c r="AK29" s="2309"/>
      <c r="AL29" s="317"/>
      <c r="AM29" s="2469" t="s">
        <v>1097</v>
      </c>
      <c r="AN29" s="2470"/>
      <c r="AO29" s="2470"/>
      <c r="AP29" s="2470"/>
      <c r="AQ29" s="2470"/>
      <c r="AR29" s="2471"/>
      <c r="AS29" s="313"/>
      <c r="AT29" s="123"/>
      <c r="AU29" s="123"/>
      <c r="AV29" s="123"/>
      <c r="AW29" s="694"/>
      <c r="AX29" s="2"/>
      <c r="AY29" s="2"/>
      <c r="AZ29" s="2"/>
      <c r="BA29" s="2"/>
      <c r="BB29" s="2"/>
      <c r="BC29" s="2"/>
      <c r="BD29" s="123"/>
    </row>
    <row r="30" spans="2:74" ht="24" hidden="1" customHeight="1">
      <c r="B30" s="123"/>
      <c r="C30" s="312"/>
      <c r="D30" s="2307"/>
      <c r="E30" s="2308"/>
      <c r="F30" s="2308"/>
      <c r="G30" s="2308"/>
      <c r="H30" s="2308"/>
      <c r="I30" s="2309"/>
      <c r="J30" s="942"/>
      <c r="K30" s="2307"/>
      <c r="L30" s="2308"/>
      <c r="M30" s="2308"/>
      <c r="N30" s="2308"/>
      <c r="O30" s="2308"/>
      <c r="P30" s="2309"/>
      <c r="Q30" s="942"/>
      <c r="R30" s="2307"/>
      <c r="S30" s="2308"/>
      <c r="T30" s="2308"/>
      <c r="U30" s="2308"/>
      <c r="V30" s="2308"/>
      <c r="W30" s="2309"/>
      <c r="X30" s="942"/>
      <c r="Y30" s="2307"/>
      <c r="Z30" s="2308"/>
      <c r="AA30" s="2308"/>
      <c r="AB30" s="2308"/>
      <c r="AC30" s="2308"/>
      <c r="AD30" s="2309"/>
      <c r="AE30" s="942"/>
      <c r="AF30" s="2307"/>
      <c r="AG30" s="2308"/>
      <c r="AH30" s="2308"/>
      <c r="AI30" s="2308"/>
      <c r="AJ30" s="2308"/>
      <c r="AK30" s="2309"/>
      <c r="AL30" s="317"/>
      <c r="AM30" s="2472" t="s">
        <v>1101</v>
      </c>
      <c r="AN30" s="2473"/>
      <c r="AO30" s="2473"/>
      <c r="AP30" s="2473"/>
      <c r="AQ30" s="2473"/>
      <c r="AR30" s="2474"/>
      <c r="AS30" s="313"/>
      <c r="AT30" s="123"/>
      <c r="AU30" s="123"/>
      <c r="AV30" s="123"/>
      <c r="AW30" s="694"/>
      <c r="AX30" s="2"/>
      <c r="AY30" s="2"/>
      <c r="AZ30" s="2"/>
      <c r="BA30" s="2"/>
      <c r="BB30" s="2"/>
      <c r="BC30" s="2"/>
      <c r="BD30" s="123"/>
    </row>
    <row r="31" spans="2:74" ht="24" hidden="1" customHeight="1">
      <c r="B31" s="123"/>
      <c r="C31" s="312"/>
      <c r="D31" s="2307"/>
      <c r="E31" s="2308"/>
      <c r="F31" s="2308"/>
      <c r="G31" s="2308"/>
      <c r="H31" s="2308"/>
      <c r="I31" s="2309"/>
      <c r="J31" s="942"/>
      <c r="K31" s="2307"/>
      <c r="L31" s="2308"/>
      <c r="M31" s="2308"/>
      <c r="N31" s="2308"/>
      <c r="O31" s="2308"/>
      <c r="P31" s="2309"/>
      <c r="Q31" s="942"/>
      <c r="R31" s="2307"/>
      <c r="S31" s="2308"/>
      <c r="T31" s="2308"/>
      <c r="U31" s="2308"/>
      <c r="V31" s="2308"/>
      <c r="W31" s="2309"/>
      <c r="X31" s="942"/>
      <c r="Y31" s="2307"/>
      <c r="Z31" s="2308"/>
      <c r="AA31" s="2308"/>
      <c r="AB31" s="2308"/>
      <c r="AC31" s="2308"/>
      <c r="AD31" s="2309"/>
      <c r="AE31" s="942"/>
      <c r="AF31" s="2307"/>
      <c r="AG31" s="2308"/>
      <c r="AH31" s="2308"/>
      <c r="AI31" s="2308"/>
      <c r="AJ31" s="2308"/>
      <c r="AK31" s="2309"/>
      <c r="AL31" s="317"/>
      <c r="AM31" s="2472" t="s">
        <v>1102</v>
      </c>
      <c r="AN31" s="2473"/>
      <c r="AO31" s="2473"/>
      <c r="AP31" s="2473"/>
      <c r="AQ31" s="2473"/>
      <c r="AR31" s="2474"/>
      <c r="AS31" s="313"/>
      <c r="AT31" s="123"/>
      <c r="AU31" s="123"/>
      <c r="AV31" s="123"/>
      <c r="AW31" s="694"/>
      <c r="AX31" s="2"/>
      <c r="AY31" s="2"/>
      <c r="AZ31" s="2"/>
      <c r="BA31" s="2"/>
      <c r="BB31" s="2"/>
      <c r="BC31" s="2"/>
      <c r="BD31" s="123"/>
    </row>
    <row r="32" spans="2:74" ht="24" hidden="1" customHeight="1">
      <c r="B32" s="123"/>
      <c r="C32" s="312"/>
      <c r="D32" s="2310"/>
      <c r="E32" s="2311"/>
      <c r="F32" s="2311"/>
      <c r="G32" s="2311"/>
      <c r="H32" s="2311"/>
      <c r="I32" s="2312"/>
      <c r="J32" s="942"/>
      <c r="K32" s="2310"/>
      <c r="L32" s="2311"/>
      <c r="M32" s="2311"/>
      <c r="N32" s="2311"/>
      <c r="O32" s="2311"/>
      <c r="P32" s="2312"/>
      <c r="Q32" s="942"/>
      <c r="R32" s="2310"/>
      <c r="S32" s="2311"/>
      <c r="T32" s="2311"/>
      <c r="U32" s="2311"/>
      <c r="V32" s="2311"/>
      <c r="W32" s="2312"/>
      <c r="X32" s="942"/>
      <c r="Y32" s="2310"/>
      <c r="Z32" s="2311"/>
      <c r="AA32" s="2311"/>
      <c r="AB32" s="2311"/>
      <c r="AC32" s="2311"/>
      <c r="AD32" s="2312"/>
      <c r="AE32" s="942"/>
      <c r="AF32" s="2310"/>
      <c r="AG32" s="2311"/>
      <c r="AH32" s="2311"/>
      <c r="AI32" s="2311"/>
      <c r="AJ32" s="2311"/>
      <c r="AK32" s="2312"/>
      <c r="AL32" s="317"/>
      <c r="AM32" s="2475"/>
      <c r="AN32" s="2476"/>
      <c r="AO32" s="2476"/>
      <c r="AP32" s="2476"/>
      <c r="AQ32" s="2476"/>
      <c r="AR32" s="2477"/>
      <c r="AS32" s="313"/>
      <c r="AT32" s="123"/>
      <c r="AU32" s="123"/>
      <c r="AV32" s="123"/>
      <c r="AW32" s="688"/>
      <c r="AX32" s="123"/>
      <c r="AY32" s="123"/>
      <c r="AZ32" s="123"/>
      <c r="BA32" s="123"/>
      <c r="BB32" s="123"/>
      <c r="BC32" s="123"/>
      <c r="BD32" s="123"/>
    </row>
    <row r="33" spans="1:56" ht="33" hidden="1" customHeight="1">
      <c r="B33" s="123"/>
      <c r="C33" s="312"/>
      <c r="D33" s="347"/>
      <c r="E33" s="347"/>
      <c r="F33" s="347"/>
      <c r="G33" s="347"/>
      <c r="H33" s="347"/>
      <c r="I33" s="347"/>
      <c r="J33" s="942"/>
      <c r="K33" s="347"/>
      <c r="L33" s="347"/>
      <c r="M33" s="347"/>
      <c r="N33" s="347"/>
      <c r="O33" s="347"/>
      <c r="P33" s="347"/>
      <c r="Q33" s="942"/>
      <c r="R33" s="2461"/>
      <c r="S33" s="2461"/>
      <c r="T33" s="2461"/>
      <c r="U33" s="2461"/>
      <c r="V33" s="2461"/>
      <c r="W33" s="2461"/>
      <c r="X33" s="942"/>
      <c r="Y33" s="347"/>
      <c r="Z33" s="347"/>
      <c r="AA33" s="347"/>
      <c r="AB33" s="347"/>
      <c r="AC33" s="347"/>
      <c r="AD33" s="347"/>
      <c r="AE33" s="942"/>
      <c r="AF33" s="942"/>
      <c r="AG33" s="942"/>
      <c r="AH33" s="942"/>
      <c r="AI33" s="942"/>
      <c r="AJ33" s="942"/>
      <c r="AK33" s="942"/>
      <c r="AL33" s="942"/>
      <c r="AM33" s="942"/>
      <c r="AN33" s="942"/>
      <c r="AO33" s="942"/>
      <c r="AP33" s="942"/>
      <c r="AQ33" s="942"/>
      <c r="AR33" s="942"/>
      <c r="AS33" s="313"/>
      <c r="AT33" s="123"/>
      <c r="AU33" s="123"/>
      <c r="AV33" s="123"/>
      <c r="AW33" s="688"/>
      <c r="AX33" s="123"/>
      <c r="AY33" s="123"/>
      <c r="AZ33" s="123"/>
      <c r="BA33" s="123"/>
      <c r="BB33" s="123"/>
      <c r="BC33" s="123"/>
      <c r="BD33" s="123"/>
    </row>
    <row r="34" spans="1:56" ht="20.7" hidden="1">
      <c r="B34" s="123"/>
      <c r="C34" s="312"/>
      <c r="D34" s="2313" t="s">
        <v>1089</v>
      </c>
      <c r="E34" s="2313"/>
      <c r="F34" s="2313"/>
      <c r="G34" s="2313"/>
      <c r="H34" s="2313"/>
      <c r="I34" s="2313"/>
      <c r="J34" s="2313"/>
      <c r="K34" s="2313"/>
      <c r="L34" s="2313"/>
      <c r="M34" s="2313"/>
      <c r="N34" s="2313"/>
      <c r="O34" s="2313"/>
      <c r="P34" s="2313"/>
      <c r="Q34" s="2313"/>
      <c r="R34" s="2313"/>
      <c r="S34" s="2313"/>
      <c r="T34" s="2313"/>
      <c r="U34" s="2313"/>
      <c r="V34" s="2313"/>
      <c r="W34" s="2313"/>
      <c r="X34" s="2313"/>
      <c r="Y34" s="2313"/>
      <c r="Z34" s="2313"/>
      <c r="AA34" s="2313"/>
      <c r="AB34" s="2313"/>
      <c r="AC34" s="2313"/>
      <c r="AD34" s="2313"/>
      <c r="AE34" s="942"/>
      <c r="AF34" s="942"/>
      <c r="AG34" s="942"/>
      <c r="AH34" s="942"/>
      <c r="AI34" s="942"/>
      <c r="AJ34" s="942"/>
      <c r="AK34" s="942"/>
      <c r="AL34" s="942"/>
      <c r="AM34" s="942"/>
      <c r="AN34" s="942"/>
      <c r="AO34" s="942"/>
      <c r="AP34" s="942"/>
      <c r="AQ34" s="942"/>
      <c r="AR34" s="942"/>
      <c r="AS34" s="313"/>
      <c r="AT34" s="123"/>
      <c r="AU34" s="123"/>
      <c r="AV34" s="123"/>
      <c r="AW34" s="688"/>
      <c r="AX34" s="123"/>
      <c r="AY34" s="123"/>
      <c r="AZ34" s="123"/>
      <c r="BA34" s="123"/>
      <c r="BB34" s="123"/>
      <c r="BC34" s="123"/>
      <c r="BD34" s="123"/>
    </row>
    <row r="35" spans="1:56" ht="29.25" hidden="1" customHeight="1">
      <c r="B35" s="123"/>
      <c r="C35" s="312"/>
      <c r="D35" s="2452" t="s">
        <v>1090</v>
      </c>
      <c r="E35" s="2453"/>
      <c r="F35" s="2453"/>
      <c r="G35" s="2453"/>
      <c r="H35" s="2453"/>
      <c r="I35" s="2453"/>
      <c r="J35" s="2453"/>
      <c r="K35" s="2453"/>
      <c r="L35" s="2453"/>
      <c r="M35" s="2453"/>
      <c r="N35" s="2453"/>
      <c r="O35" s="2453"/>
      <c r="P35" s="2453"/>
      <c r="Q35" s="2453"/>
      <c r="R35" s="2453"/>
      <c r="S35" s="2453"/>
      <c r="T35" s="2453"/>
      <c r="U35" s="2453"/>
      <c r="V35" s="2453"/>
      <c r="W35" s="2453"/>
      <c r="X35" s="2453"/>
      <c r="Y35" s="2453"/>
      <c r="Z35" s="2453"/>
      <c r="AA35" s="2453"/>
      <c r="AB35" s="2453"/>
      <c r="AC35" s="2453"/>
      <c r="AD35" s="2453"/>
      <c r="AE35" s="2453"/>
      <c r="AF35" s="2453"/>
      <c r="AG35" s="2453"/>
      <c r="AH35" s="2453"/>
      <c r="AI35" s="2453"/>
      <c r="AJ35" s="2453"/>
      <c r="AK35" s="2453"/>
      <c r="AL35" s="2453"/>
      <c r="AM35" s="2453"/>
      <c r="AN35" s="2453"/>
      <c r="AO35" s="2453"/>
      <c r="AP35" s="2453"/>
      <c r="AQ35" s="2453"/>
      <c r="AR35" s="2454"/>
      <c r="AS35" s="313"/>
      <c r="AT35" s="123"/>
      <c r="AU35" s="123"/>
      <c r="AV35" s="123"/>
      <c r="AW35" s="688"/>
      <c r="AX35" s="123"/>
      <c r="AY35" s="123"/>
      <c r="AZ35" s="123"/>
      <c r="BA35" s="123"/>
      <c r="BB35" s="123"/>
      <c r="BC35" s="123"/>
      <c r="BD35" s="123"/>
    </row>
    <row r="36" spans="1:56" ht="29.25" hidden="1" customHeight="1">
      <c r="B36" s="123"/>
      <c r="C36" s="312"/>
      <c r="D36" s="2455" t="s">
        <v>1091</v>
      </c>
      <c r="E36" s="2456"/>
      <c r="F36" s="2456"/>
      <c r="G36" s="2456"/>
      <c r="H36" s="2456"/>
      <c r="I36" s="2456"/>
      <c r="J36" s="2456"/>
      <c r="K36" s="2456"/>
      <c r="L36" s="2456"/>
      <c r="M36" s="2456"/>
      <c r="N36" s="2456"/>
      <c r="O36" s="2456"/>
      <c r="P36" s="2456"/>
      <c r="Q36" s="2456"/>
      <c r="R36" s="2456"/>
      <c r="S36" s="2456"/>
      <c r="T36" s="2456"/>
      <c r="U36" s="2456"/>
      <c r="V36" s="2456"/>
      <c r="W36" s="2456"/>
      <c r="X36" s="2456"/>
      <c r="Y36" s="2456"/>
      <c r="Z36" s="2456"/>
      <c r="AA36" s="2456"/>
      <c r="AB36" s="2456"/>
      <c r="AC36" s="2456"/>
      <c r="AD36" s="2456"/>
      <c r="AE36" s="2456"/>
      <c r="AF36" s="2456"/>
      <c r="AG36" s="2456"/>
      <c r="AH36" s="2456"/>
      <c r="AI36" s="2456"/>
      <c r="AJ36" s="2456"/>
      <c r="AK36" s="2456"/>
      <c r="AL36" s="2456"/>
      <c r="AM36" s="2456"/>
      <c r="AN36" s="2456"/>
      <c r="AO36" s="2456"/>
      <c r="AP36" s="2456"/>
      <c r="AQ36" s="2456"/>
      <c r="AR36" s="2457"/>
      <c r="AS36" s="313"/>
      <c r="AT36" s="123"/>
      <c r="AU36" s="123"/>
      <c r="AV36" s="123"/>
      <c r="AW36" s="688"/>
      <c r="AX36" s="123"/>
      <c r="AY36" s="123"/>
      <c r="AZ36" s="123"/>
      <c r="BA36" s="123"/>
      <c r="BB36" s="123"/>
      <c r="BC36" s="123"/>
      <c r="BD36" s="123"/>
    </row>
    <row r="37" spans="1:56" ht="29.25" hidden="1" customHeight="1">
      <c r="B37" s="123"/>
      <c r="C37" s="312"/>
      <c r="D37" s="2455"/>
      <c r="E37" s="2456"/>
      <c r="F37" s="2456"/>
      <c r="G37" s="2456"/>
      <c r="H37" s="2456"/>
      <c r="I37" s="2456"/>
      <c r="J37" s="2456"/>
      <c r="K37" s="2456"/>
      <c r="L37" s="2456"/>
      <c r="M37" s="2456"/>
      <c r="N37" s="2456"/>
      <c r="O37" s="2456"/>
      <c r="P37" s="2456"/>
      <c r="Q37" s="2456"/>
      <c r="R37" s="2456"/>
      <c r="S37" s="2456"/>
      <c r="T37" s="2456"/>
      <c r="U37" s="2456"/>
      <c r="V37" s="2456"/>
      <c r="W37" s="2456"/>
      <c r="X37" s="2456"/>
      <c r="Y37" s="2456"/>
      <c r="Z37" s="2456"/>
      <c r="AA37" s="2456"/>
      <c r="AB37" s="2456"/>
      <c r="AC37" s="2456"/>
      <c r="AD37" s="2456"/>
      <c r="AE37" s="2456"/>
      <c r="AF37" s="2456"/>
      <c r="AG37" s="2456"/>
      <c r="AH37" s="2456"/>
      <c r="AI37" s="2456"/>
      <c r="AJ37" s="2456"/>
      <c r="AK37" s="2456"/>
      <c r="AL37" s="2456"/>
      <c r="AM37" s="2456"/>
      <c r="AN37" s="2456"/>
      <c r="AO37" s="2456"/>
      <c r="AP37" s="2456"/>
      <c r="AQ37" s="2456"/>
      <c r="AR37" s="2457"/>
      <c r="AS37" s="313"/>
      <c r="AT37" s="123"/>
      <c r="AU37" s="123"/>
      <c r="AV37" s="123"/>
      <c r="AW37" s="688"/>
      <c r="AX37" s="123"/>
      <c r="AY37" s="123"/>
      <c r="AZ37" s="123"/>
      <c r="BA37" s="123"/>
      <c r="BB37" s="123"/>
      <c r="BC37" s="123"/>
      <c r="BD37" s="123"/>
    </row>
    <row r="38" spans="1:56" ht="29.25" hidden="1" customHeight="1">
      <c r="B38" s="123"/>
      <c r="C38" s="312"/>
      <c r="D38" s="2458"/>
      <c r="E38" s="2459"/>
      <c r="F38" s="2459"/>
      <c r="G38" s="2459"/>
      <c r="H38" s="2459"/>
      <c r="I38" s="2459"/>
      <c r="J38" s="2459"/>
      <c r="K38" s="2459"/>
      <c r="L38" s="2459"/>
      <c r="M38" s="2459"/>
      <c r="N38" s="2459"/>
      <c r="O38" s="2459"/>
      <c r="P38" s="2459"/>
      <c r="Q38" s="2459"/>
      <c r="R38" s="2459"/>
      <c r="S38" s="2459"/>
      <c r="T38" s="2459"/>
      <c r="U38" s="2459"/>
      <c r="V38" s="2459"/>
      <c r="W38" s="2459"/>
      <c r="X38" s="2459"/>
      <c r="Y38" s="2459"/>
      <c r="Z38" s="2459"/>
      <c r="AA38" s="2459"/>
      <c r="AB38" s="2459"/>
      <c r="AC38" s="2459"/>
      <c r="AD38" s="2459"/>
      <c r="AE38" s="2459"/>
      <c r="AF38" s="2459"/>
      <c r="AG38" s="2459"/>
      <c r="AH38" s="2459"/>
      <c r="AI38" s="2459"/>
      <c r="AJ38" s="2459"/>
      <c r="AK38" s="2459"/>
      <c r="AL38" s="2459"/>
      <c r="AM38" s="2459"/>
      <c r="AN38" s="2459"/>
      <c r="AO38" s="2459"/>
      <c r="AP38" s="2459"/>
      <c r="AQ38" s="2459"/>
      <c r="AR38" s="2460"/>
      <c r="AS38" s="313"/>
      <c r="AT38" s="123"/>
      <c r="AU38" s="123"/>
      <c r="AV38" s="123"/>
      <c r="AW38" s="688"/>
      <c r="AX38" s="123"/>
      <c r="AY38" s="123"/>
      <c r="AZ38" s="123"/>
      <c r="BA38" s="123"/>
      <c r="BB38" s="123"/>
      <c r="BC38" s="123"/>
      <c r="BD38" s="123"/>
    </row>
    <row r="39" spans="1:56" ht="18" hidden="1" customHeight="1">
      <c r="B39" s="123"/>
      <c r="C39" s="312"/>
      <c r="D39" s="347"/>
      <c r="E39" s="347"/>
      <c r="F39" s="347"/>
      <c r="G39" s="347"/>
      <c r="H39" s="347"/>
      <c r="I39" s="347"/>
      <c r="J39" s="942"/>
      <c r="K39" s="347"/>
      <c r="L39" s="347"/>
      <c r="M39" s="347"/>
      <c r="N39" s="347"/>
      <c r="O39" s="347"/>
      <c r="P39" s="347"/>
      <c r="Q39" s="942"/>
      <c r="R39" s="943"/>
      <c r="S39" s="943"/>
      <c r="T39" s="943"/>
      <c r="U39" s="943"/>
      <c r="V39" s="943"/>
      <c r="W39" s="943"/>
      <c r="X39" s="942"/>
      <c r="Y39" s="347"/>
      <c r="Z39" s="347"/>
      <c r="AA39" s="347"/>
      <c r="AB39" s="347"/>
      <c r="AC39" s="347"/>
      <c r="AD39" s="347"/>
      <c r="AE39" s="942"/>
      <c r="AF39" s="942"/>
      <c r="AG39" s="942"/>
      <c r="AH39" s="942"/>
      <c r="AI39" s="942"/>
      <c r="AJ39" s="942"/>
      <c r="AK39" s="942"/>
      <c r="AL39" s="942"/>
      <c r="AM39" s="942"/>
      <c r="AN39" s="942"/>
      <c r="AO39" s="942"/>
      <c r="AP39" s="942"/>
      <c r="AQ39" s="942"/>
      <c r="AR39" s="942"/>
      <c r="AS39" s="313"/>
      <c r="AT39" s="123"/>
      <c r="AU39" s="123"/>
      <c r="AV39" s="123"/>
      <c r="AW39" s="688"/>
      <c r="AX39" s="123"/>
      <c r="AY39" s="123"/>
      <c r="AZ39" s="123"/>
      <c r="BA39" s="123"/>
      <c r="BB39" s="123"/>
      <c r="BC39" s="123"/>
      <c r="BD39" s="123"/>
    </row>
    <row r="40" spans="1:56" ht="24" hidden="1" customHeight="1">
      <c r="B40" s="123"/>
      <c r="C40" s="312"/>
      <c r="D40" s="2313" t="s">
        <v>1025</v>
      </c>
      <c r="E40" s="2313"/>
      <c r="F40" s="2313"/>
      <c r="G40" s="2313"/>
      <c r="H40" s="2313"/>
      <c r="I40" s="2313"/>
      <c r="J40" s="2313"/>
      <c r="K40" s="2313"/>
      <c r="L40" s="2313"/>
      <c r="M40" s="2313"/>
      <c r="N40" s="2313"/>
      <c r="O40" s="2313"/>
      <c r="P40" s="2313"/>
      <c r="Q40" s="2313"/>
      <c r="R40" s="2313"/>
      <c r="S40" s="2313"/>
      <c r="T40" s="2313"/>
      <c r="U40" s="2313"/>
      <c r="V40" s="2313"/>
      <c r="W40" s="2313"/>
      <c r="X40" s="2313"/>
      <c r="Y40" s="2313"/>
      <c r="Z40" s="2313"/>
      <c r="AA40" s="2313"/>
      <c r="AB40" s="2313"/>
      <c r="AC40" s="2313"/>
      <c r="AD40" s="2313"/>
      <c r="AE40" s="942"/>
      <c r="AF40" s="942"/>
      <c r="AG40" s="942"/>
      <c r="AH40" s="942"/>
      <c r="AI40" s="942"/>
      <c r="AJ40" s="942"/>
      <c r="AK40" s="942"/>
      <c r="AL40" s="942"/>
      <c r="AM40" s="942"/>
      <c r="AN40" s="942"/>
      <c r="AO40" s="942"/>
      <c r="AP40" s="942"/>
      <c r="AQ40" s="942"/>
      <c r="AR40" s="942"/>
      <c r="AS40" s="313"/>
      <c r="AT40" s="123"/>
      <c r="AU40" s="123"/>
      <c r="AV40" s="123"/>
      <c r="AW40" s="688"/>
      <c r="AX40" s="123"/>
      <c r="AY40" s="123"/>
      <c r="AZ40" s="123"/>
      <c r="BA40" s="123"/>
      <c r="BB40" s="123"/>
      <c r="BC40" s="123"/>
      <c r="BD40" s="123"/>
    </row>
    <row r="41" spans="1:56" ht="28.5" hidden="1" customHeight="1">
      <c r="B41" s="123"/>
      <c r="C41" s="312"/>
      <c r="D41" s="2261" t="s">
        <v>1092</v>
      </c>
      <c r="E41" s="2262"/>
      <c r="F41" s="2262"/>
      <c r="G41" s="2262"/>
      <c r="H41" s="2262"/>
      <c r="I41" s="2262"/>
      <c r="J41" s="2262"/>
      <c r="K41" s="2262"/>
      <c r="L41" s="2262"/>
      <c r="M41" s="2262"/>
      <c r="N41" s="2262"/>
      <c r="O41" s="2262"/>
      <c r="P41" s="2262"/>
      <c r="Q41" s="2262"/>
      <c r="R41" s="2262"/>
      <c r="S41" s="2262"/>
      <c r="T41" s="2262"/>
      <c r="U41" s="2262"/>
      <c r="V41" s="2262"/>
      <c r="W41" s="2262"/>
      <c r="X41" s="2262"/>
      <c r="Y41" s="2262"/>
      <c r="Z41" s="2262"/>
      <c r="AA41" s="2262"/>
      <c r="AB41" s="2262"/>
      <c r="AC41" s="2262"/>
      <c r="AD41" s="2262"/>
      <c r="AE41" s="2262"/>
      <c r="AF41" s="2262"/>
      <c r="AG41" s="2262"/>
      <c r="AH41" s="2262"/>
      <c r="AI41" s="2262"/>
      <c r="AJ41" s="2262"/>
      <c r="AK41" s="2262"/>
      <c r="AL41" s="2262"/>
      <c r="AM41" s="2262"/>
      <c r="AN41" s="2262"/>
      <c r="AO41" s="2262"/>
      <c r="AP41" s="2262"/>
      <c r="AQ41" s="2262"/>
      <c r="AR41" s="2263"/>
      <c r="AS41" s="313"/>
      <c r="AT41" s="123"/>
      <c r="AU41" s="123"/>
      <c r="AV41" s="123"/>
      <c r="AW41" s="688"/>
      <c r="AX41" s="123"/>
      <c r="AY41" s="123"/>
      <c r="AZ41" s="123"/>
      <c r="BA41" s="123"/>
      <c r="BB41" s="123"/>
      <c r="BC41" s="123"/>
      <c r="BD41" s="123"/>
    </row>
    <row r="42" spans="1:56" ht="28.5" hidden="1" customHeight="1">
      <c r="B42" s="123"/>
      <c r="C42" s="312"/>
      <c r="D42" s="2264"/>
      <c r="E42" s="2265"/>
      <c r="F42" s="2265"/>
      <c r="G42" s="2265"/>
      <c r="H42" s="2265"/>
      <c r="I42" s="2265"/>
      <c r="J42" s="2265"/>
      <c r="K42" s="2265"/>
      <c r="L42" s="2265"/>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65"/>
      <c r="AM42" s="2265"/>
      <c r="AN42" s="2265"/>
      <c r="AO42" s="2265"/>
      <c r="AP42" s="2265"/>
      <c r="AQ42" s="2265"/>
      <c r="AR42" s="2266"/>
      <c r="AS42" s="313"/>
      <c r="AT42" s="123"/>
      <c r="AU42" s="123"/>
      <c r="AV42" s="123"/>
      <c r="AW42" s="688"/>
      <c r="AX42" s="123"/>
      <c r="AY42" s="123"/>
      <c r="AZ42" s="123"/>
      <c r="BA42" s="123"/>
      <c r="BB42" s="123"/>
      <c r="BC42" s="123"/>
      <c r="BD42" s="123"/>
    </row>
    <row r="43" spans="1:56" ht="28.5" hidden="1" customHeight="1">
      <c r="B43" s="123"/>
      <c r="C43" s="312"/>
      <c r="D43" s="2264"/>
      <c r="E43" s="2265"/>
      <c r="F43" s="2265"/>
      <c r="G43" s="2265"/>
      <c r="H43" s="2265"/>
      <c r="I43" s="2265"/>
      <c r="J43" s="2265"/>
      <c r="K43" s="2265"/>
      <c r="L43" s="2265"/>
      <c r="M43" s="2265"/>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6"/>
      <c r="AS43" s="313"/>
      <c r="AT43" s="123"/>
      <c r="AU43" s="123"/>
      <c r="AV43" s="123"/>
      <c r="AW43" s="688"/>
      <c r="AX43" s="123"/>
      <c r="AY43" s="123"/>
      <c r="AZ43" s="123"/>
      <c r="BA43" s="123"/>
      <c r="BB43" s="123"/>
      <c r="BC43" s="123"/>
      <c r="BD43" s="123"/>
    </row>
    <row r="44" spans="1:56" ht="28.5" hidden="1" customHeight="1">
      <c r="B44" s="123"/>
      <c r="C44" s="312"/>
      <c r="D44" s="2267"/>
      <c r="E44" s="2268"/>
      <c r="F44" s="2268"/>
      <c r="G44" s="2268"/>
      <c r="H44" s="2268"/>
      <c r="I44" s="2268"/>
      <c r="J44" s="2268"/>
      <c r="K44" s="2268"/>
      <c r="L44" s="2268"/>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9"/>
      <c r="AS44" s="313"/>
      <c r="AT44" s="123"/>
      <c r="AU44" s="123"/>
      <c r="AV44" s="123"/>
      <c r="AW44" s="688"/>
      <c r="AX44" s="123"/>
      <c r="AY44" s="123"/>
      <c r="AZ44" s="123"/>
      <c r="BA44" s="123"/>
      <c r="BB44" s="123"/>
      <c r="BC44" s="123"/>
      <c r="BD44" s="123"/>
    </row>
    <row r="45" spans="1:56" ht="24" hidden="1" customHeight="1" thickBot="1">
      <c r="B45" s="123"/>
      <c r="C45" s="314"/>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c r="AF45" s="315"/>
      <c r="AG45" s="315"/>
      <c r="AH45" s="315"/>
      <c r="AI45" s="315"/>
      <c r="AJ45" s="315"/>
      <c r="AK45" s="315"/>
      <c r="AL45" s="315"/>
      <c r="AM45" s="315"/>
      <c r="AN45" s="315"/>
      <c r="AO45" s="315"/>
      <c r="AP45" s="315"/>
      <c r="AQ45" s="315"/>
      <c r="AR45" s="315"/>
      <c r="AS45" s="316"/>
      <c r="AT45" s="123"/>
      <c r="AU45" s="123"/>
      <c r="AV45" s="123"/>
      <c r="AW45" s="688"/>
      <c r="AX45" s="123"/>
      <c r="AY45" s="123"/>
      <c r="AZ45" s="123"/>
      <c r="BA45" s="123"/>
      <c r="BB45" s="123"/>
      <c r="BC45" s="123"/>
      <c r="BD45" s="123"/>
    </row>
    <row r="46" spans="1:56" ht="20.25" hidden="1" customHeight="1" thickBot="1">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123"/>
      <c r="AV46" s="123"/>
      <c r="AW46" s="688"/>
      <c r="AX46" s="123"/>
      <c r="AY46" s="123"/>
      <c r="AZ46" s="123"/>
      <c r="BA46" s="123"/>
      <c r="BB46" s="123"/>
      <c r="BC46" s="123"/>
      <c r="BD46" s="123"/>
    </row>
    <row r="47" spans="1:56" ht="24" hidden="1" customHeight="1">
      <c r="A47" s="354"/>
      <c r="B47" s="351"/>
      <c r="C47" s="351"/>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5"/>
      <c r="AU47" s="123"/>
      <c r="AV47" s="123"/>
      <c r="AW47" s="688"/>
      <c r="AX47" s="123"/>
      <c r="AY47" s="123"/>
      <c r="AZ47" s="123"/>
      <c r="BA47" s="123"/>
      <c r="BB47" s="123"/>
      <c r="BC47" s="123"/>
      <c r="BD47" s="123"/>
    </row>
    <row r="48" spans="1:56" ht="24" hidden="1" customHeight="1">
      <c r="A48" s="354"/>
      <c r="B48" s="352" t="s">
        <v>1088</v>
      </c>
      <c r="C48" s="2479" t="s">
        <v>1115</v>
      </c>
      <c r="D48" s="2479"/>
      <c r="E48" s="2479"/>
      <c r="F48" s="2479"/>
      <c r="G48" s="2479"/>
      <c r="H48" s="2479"/>
      <c r="I48" s="2479"/>
      <c r="J48" s="2479"/>
      <c r="K48" s="2479"/>
      <c r="L48" s="2479"/>
      <c r="M48" s="2479"/>
      <c r="N48" s="2479"/>
      <c r="O48" s="2479"/>
      <c r="P48" s="2479"/>
      <c r="Q48" s="2479"/>
      <c r="R48" s="2479"/>
      <c r="S48" s="2479"/>
      <c r="T48" s="2479"/>
      <c r="U48" s="2479"/>
      <c r="V48" s="2479"/>
      <c r="W48" s="2479"/>
      <c r="X48" s="2479"/>
      <c r="Y48" s="2479"/>
      <c r="Z48" s="2479"/>
      <c r="AA48" s="2479"/>
      <c r="AB48" s="2479"/>
      <c r="AC48" s="2479"/>
      <c r="AD48" s="357"/>
      <c r="AE48" s="357"/>
      <c r="AF48" s="357"/>
      <c r="AG48" s="357"/>
      <c r="AH48" s="357"/>
      <c r="AI48" s="357"/>
      <c r="AJ48" s="357"/>
      <c r="AK48" s="357"/>
      <c r="AL48" s="357"/>
      <c r="AM48" s="357"/>
      <c r="AN48" s="357"/>
      <c r="AO48" s="357"/>
      <c r="AP48" s="357"/>
      <c r="AQ48" s="357"/>
      <c r="AR48" s="357"/>
      <c r="AS48" s="357"/>
      <c r="AT48" s="353"/>
      <c r="AU48" s="123"/>
      <c r="AV48" s="123"/>
      <c r="AW48" s="688"/>
      <c r="AX48" s="123"/>
      <c r="AY48" s="123"/>
      <c r="AZ48" s="123"/>
      <c r="BA48" s="123"/>
      <c r="BB48" s="123"/>
      <c r="BC48" s="123"/>
      <c r="BD48" s="123"/>
    </row>
    <row r="49" spans="2:56" ht="13.5" hidden="1" customHeight="1" thickBot="1">
      <c r="B49" s="338"/>
      <c r="C49" s="328"/>
      <c r="D49" s="328"/>
      <c r="E49" s="328"/>
      <c r="F49" s="328"/>
      <c r="G49" s="328"/>
      <c r="H49" s="328"/>
      <c r="I49" s="328"/>
      <c r="J49" s="328"/>
      <c r="K49" s="328"/>
      <c r="L49" s="328"/>
      <c r="M49" s="328"/>
      <c r="N49" s="328"/>
      <c r="O49" s="328"/>
      <c r="P49" s="328"/>
      <c r="Q49" s="323"/>
      <c r="R49" s="323"/>
      <c r="S49" s="323"/>
      <c r="T49" s="323"/>
      <c r="U49" s="323"/>
      <c r="V49" s="323"/>
      <c r="W49" s="323"/>
      <c r="X49" s="323"/>
      <c r="Y49" s="323"/>
      <c r="Z49" s="323"/>
      <c r="AA49" s="323"/>
      <c r="AB49" s="323"/>
      <c r="AC49" s="323"/>
      <c r="AD49" s="323"/>
      <c r="AE49" s="323"/>
      <c r="AF49" s="323"/>
      <c r="AG49" s="323"/>
      <c r="AH49" s="323"/>
      <c r="AI49" s="323"/>
      <c r="AJ49" s="333"/>
      <c r="AK49" s="333"/>
      <c r="AL49" s="333"/>
      <c r="AM49" s="333"/>
      <c r="AN49" s="333"/>
      <c r="AO49" s="333"/>
      <c r="AP49" s="333"/>
      <c r="AQ49" s="333"/>
      <c r="AR49" s="333"/>
      <c r="AS49" s="333"/>
      <c r="AT49" s="334"/>
      <c r="AU49" s="123"/>
      <c r="AV49" s="123"/>
      <c r="AW49" s="688"/>
      <c r="AX49" s="123"/>
      <c r="AY49" s="123"/>
      <c r="AZ49" s="123"/>
      <c r="BA49" s="123"/>
      <c r="BB49" s="123"/>
      <c r="BC49" s="123"/>
      <c r="BD49" s="123"/>
    </row>
    <row r="50" spans="2:56" ht="20.25" hidden="1" customHeight="1">
      <c r="B50" s="338"/>
      <c r="C50" s="340"/>
      <c r="D50" s="340"/>
      <c r="E50" s="2252" t="s">
        <v>1122</v>
      </c>
      <c r="F50" s="2253"/>
      <c r="G50" s="2253"/>
      <c r="H50" s="2253"/>
      <c r="I50" s="2253"/>
      <c r="J50" s="2253"/>
      <c r="K50" s="2253"/>
      <c r="L50" s="2253"/>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2253"/>
      <c r="AM50" s="2253"/>
      <c r="AN50" s="2253"/>
      <c r="AO50" s="2253"/>
      <c r="AP50" s="2253"/>
      <c r="AQ50" s="2254"/>
      <c r="AR50" s="340"/>
      <c r="AS50" s="340"/>
      <c r="AT50" s="334"/>
      <c r="AU50" s="123"/>
      <c r="AV50" s="123"/>
      <c r="AW50" s="688"/>
      <c r="AX50" s="123"/>
      <c r="AY50" s="123"/>
      <c r="AZ50" s="123"/>
      <c r="BA50" s="123"/>
      <c r="BB50" s="123"/>
      <c r="BC50" s="123"/>
      <c r="BD50" s="123"/>
    </row>
    <row r="51" spans="2:56" ht="20.25" hidden="1" customHeight="1">
      <c r="B51" s="338"/>
      <c r="C51" s="340"/>
      <c r="D51" s="340"/>
      <c r="E51" s="2255"/>
      <c r="F51" s="2256"/>
      <c r="G51" s="2256"/>
      <c r="H51" s="2256"/>
      <c r="I51" s="2256"/>
      <c r="J51" s="2256"/>
      <c r="K51" s="2256"/>
      <c r="L51" s="2256"/>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2256"/>
      <c r="AM51" s="2256"/>
      <c r="AN51" s="2256"/>
      <c r="AO51" s="2256"/>
      <c r="AP51" s="2256"/>
      <c r="AQ51" s="2257"/>
      <c r="AR51" s="340"/>
      <c r="AS51" s="340"/>
      <c r="AT51" s="334"/>
      <c r="AU51" s="123"/>
      <c r="AV51" s="123"/>
      <c r="AW51" s="688"/>
      <c r="AX51" s="123"/>
      <c r="AY51" s="123"/>
      <c r="AZ51" s="123"/>
      <c r="BA51" s="123"/>
      <c r="BB51" s="123"/>
      <c r="BC51" s="123"/>
      <c r="BD51" s="123"/>
    </row>
    <row r="52" spans="2:56" ht="20.25" hidden="1" customHeight="1" thickBot="1">
      <c r="B52" s="338"/>
      <c r="C52" s="340"/>
      <c r="D52" s="340"/>
      <c r="E52" s="2258"/>
      <c r="F52" s="2259"/>
      <c r="G52" s="2259"/>
      <c r="H52" s="2259"/>
      <c r="I52" s="2259"/>
      <c r="J52" s="2259"/>
      <c r="K52" s="2259"/>
      <c r="L52" s="2259"/>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c r="AM52" s="2259"/>
      <c r="AN52" s="2259"/>
      <c r="AO52" s="2259"/>
      <c r="AP52" s="2259"/>
      <c r="AQ52" s="2260"/>
      <c r="AR52" s="340"/>
      <c r="AS52" s="340"/>
      <c r="AT52" s="334"/>
      <c r="AU52" s="123"/>
      <c r="AV52" s="123"/>
      <c r="AW52" s="688"/>
      <c r="AX52" s="123"/>
      <c r="AY52" s="123"/>
      <c r="AZ52" s="123"/>
      <c r="BA52" s="123"/>
      <c r="BB52" s="123"/>
      <c r="BC52" s="123"/>
      <c r="BD52" s="123"/>
    </row>
    <row r="53" spans="2:56" ht="20.25" hidden="1" customHeight="1">
      <c r="B53" s="338"/>
      <c r="C53" s="340"/>
      <c r="D53" s="340"/>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c r="AH53" s="341"/>
      <c r="AI53" s="341"/>
      <c r="AJ53" s="341"/>
      <c r="AK53" s="341"/>
      <c r="AL53" s="341"/>
      <c r="AM53" s="341"/>
      <c r="AN53" s="341"/>
      <c r="AO53" s="341"/>
      <c r="AP53" s="341"/>
      <c r="AQ53" s="341"/>
      <c r="AR53" s="340"/>
      <c r="AS53" s="340"/>
      <c r="AT53" s="334"/>
      <c r="AU53" s="123"/>
      <c r="AV53" s="123"/>
      <c r="AW53" s="688"/>
      <c r="AX53" s="123"/>
      <c r="AY53" s="123"/>
      <c r="AZ53" s="123"/>
      <c r="BA53" s="123"/>
      <c r="BB53" s="123"/>
      <c r="BC53" s="123"/>
      <c r="BD53" s="123"/>
    </row>
    <row r="54" spans="2:56" ht="13.5" hidden="1" customHeight="1">
      <c r="B54" s="338"/>
      <c r="C54" s="328"/>
      <c r="D54" s="328"/>
      <c r="E54" s="328"/>
      <c r="F54" s="328"/>
      <c r="G54" s="328"/>
      <c r="H54" s="328"/>
      <c r="I54" s="328"/>
      <c r="J54" s="328"/>
      <c r="K54" s="328"/>
      <c r="L54" s="328"/>
      <c r="M54" s="328"/>
      <c r="N54" s="328"/>
      <c r="O54" s="328"/>
      <c r="P54" s="328"/>
      <c r="Q54" s="323"/>
      <c r="R54" s="323"/>
      <c r="S54" s="323"/>
      <c r="T54" s="323"/>
      <c r="U54" s="323"/>
      <c r="V54" s="323"/>
      <c r="W54" s="323"/>
      <c r="X54" s="323"/>
      <c r="Y54" s="323"/>
      <c r="Z54" s="323"/>
      <c r="AA54" s="323"/>
      <c r="AB54" s="323"/>
      <c r="AC54" s="323"/>
      <c r="AD54" s="323"/>
      <c r="AE54" s="323"/>
      <c r="AF54" s="323"/>
      <c r="AG54" s="323"/>
      <c r="AH54" s="323"/>
      <c r="AI54" s="323"/>
      <c r="AJ54" s="333"/>
      <c r="AK54" s="333"/>
      <c r="AL54" s="333"/>
      <c r="AM54" s="333"/>
      <c r="AN54" s="333"/>
      <c r="AO54" s="333"/>
      <c r="AP54" s="333"/>
      <c r="AQ54" s="333"/>
      <c r="AR54" s="333"/>
      <c r="AS54" s="333"/>
      <c r="AT54" s="334"/>
      <c r="AU54" s="123"/>
      <c r="AV54" s="123"/>
      <c r="AW54" s="688"/>
      <c r="AX54" s="123"/>
      <c r="AY54" s="123"/>
      <c r="AZ54" s="123"/>
      <c r="BA54" s="123"/>
      <c r="BB54" s="123"/>
      <c r="BC54" s="123"/>
      <c r="BD54" s="123"/>
    </row>
    <row r="55" spans="2:56" ht="20.25" hidden="1" customHeight="1">
      <c r="B55" s="338"/>
      <c r="C55" s="2280" t="s">
        <v>1031</v>
      </c>
      <c r="D55" s="2280"/>
      <c r="E55" s="2280"/>
      <c r="F55" s="2280"/>
      <c r="G55" s="2280"/>
      <c r="H55" s="2280"/>
      <c r="I55" s="2280"/>
      <c r="J55" s="2280"/>
      <c r="K55" s="2280"/>
      <c r="L55" s="2280"/>
      <c r="M55" s="2280"/>
      <c r="N55" s="325"/>
      <c r="O55" s="325"/>
      <c r="P55" s="325"/>
      <c r="Q55" s="323"/>
      <c r="R55" s="2280" t="s">
        <v>1042</v>
      </c>
      <c r="S55" s="2280"/>
      <c r="T55" s="2280"/>
      <c r="U55" s="2280"/>
      <c r="V55" s="2280"/>
      <c r="W55" s="2280"/>
      <c r="X55" s="2280"/>
      <c r="Y55" s="2280"/>
      <c r="Z55" s="2280"/>
      <c r="AA55" s="2280"/>
      <c r="AB55" s="2280"/>
      <c r="AC55" s="329"/>
      <c r="AD55" s="329"/>
      <c r="AE55" s="323"/>
      <c r="AF55" s="323"/>
      <c r="AG55" s="2280" t="s">
        <v>1063</v>
      </c>
      <c r="AH55" s="2280"/>
      <c r="AI55" s="2280"/>
      <c r="AJ55" s="2280"/>
      <c r="AK55" s="2280"/>
      <c r="AL55" s="2280"/>
      <c r="AM55" s="2280"/>
      <c r="AN55" s="2280"/>
      <c r="AO55" s="2280"/>
      <c r="AP55" s="2280"/>
      <c r="AQ55" s="2280"/>
      <c r="AR55" s="329"/>
      <c r="AS55" s="329"/>
      <c r="AT55" s="335"/>
      <c r="AW55" s="688"/>
      <c r="AX55" s="123"/>
      <c r="AY55" s="123"/>
      <c r="AZ55" s="123"/>
      <c r="BA55" s="35"/>
      <c r="BB55" s="35"/>
      <c r="BC55" s="35"/>
      <c r="BD55" s="326"/>
    </row>
    <row r="56" spans="2:56" ht="20.25" hidden="1" customHeight="1">
      <c r="B56" s="338"/>
      <c r="C56" s="2281" t="s">
        <v>1032</v>
      </c>
      <c r="D56" s="2281"/>
      <c r="E56" s="2281"/>
      <c r="F56" s="2281"/>
      <c r="G56" s="2281"/>
      <c r="H56" s="2281"/>
      <c r="I56" s="2281"/>
      <c r="J56" s="2281"/>
      <c r="K56" s="2282" t="s">
        <v>1041</v>
      </c>
      <c r="L56" s="2282"/>
      <c r="M56" s="2282"/>
      <c r="N56" s="2282"/>
      <c r="O56" s="2282"/>
      <c r="P56" s="325"/>
      <c r="Q56" s="323"/>
      <c r="R56" s="2281" t="s">
        <v>1032</v>
      </c>
      <c r="S56" s="2281"/>
      <c r="T56" s="2281"/>
      <c r="U56" s="2281"/>
      <c r="V56" s="2281"/>
      <c r="W56" s="2281"/>
      <c r="X56" s="2281"/>
      <c r="Y56" s="2281"/>
      <c r="Z56" s="2282" t="s">
        <v>1041</v>
      </c>
      <c r="AA56" s="2282"/>
      <c r="AB56" s="2282"/>
      <c r="AC56" s="2282"/>
      <c r="AD56" s="2282"/>
      <c r="AE56" s="323"/>
      <c r="AF56" s="323"/>
      <c r="AG56" s="2281" t="s">
        <v>1032</v>
      </c>
      <c r="AH56" s="2281"/>
      <c r="AI56" s="2281"/>
      <c r="AJ56" s="2281"/>
      <c r="AK56" s="2281"/>
      <c r="AL56" s="2281"/>
      <c r="AM56" s="2281"/>
      <c r="AN56" s="2281"/>
      <c r="AO56" s="2282" t="s">
        <v>1041</v>
      </c>
      <c r="AP56" s="2282"/>
      <c r="AQ56" s="2282"/>
      <c r="AR56" s="2282"/>
      <c r="AS56" s="2282"/>
      <c r="AT56" s="335"/>
      <c r="AW56" s="688"/>
      <c r="AX56" s="123"/>
      <c r="AY56" s="123"/>
      <c r="AZ56" s="123"/>
      <c r="BA56" s="325"/>
      <c r="BB56" s="325"/>
      <c r="BC56" s="325"/>
      <c r="BD56" s="326"/>
    </row>
    <row r="57" spans="2:56" ht="20.25" hidden="1" customHeight="1">
      <c r="B57" s="338"/>
      <c r="C57" s="2270" t="s">
        <v>1034</v>
      </c>
      <c r="D57" s="2270"/>
      <c r="E57" s="2270"/>
      <c r="F57" s="2270"/>
      <c r="G57" s="2270"/>
      <c r="H57" s="2270"/>
      <c r="I57" s="2270"/>
      <c r="J57" s="2270"/>
      <c r="K57" s="2271">
        <v>1.35</v>
      </c>
      <c r="L57" s="2272"/>
      <c r="M57" s="2272"/>
      <c r="N57" s="2272"/>
      <c r="O57" s="2273"/>
      <c r="P57" s="167"/>
      <c r="Q57" s="323"/>
      <c r="R57" s="2270" t="s">
        <v>1053</v>
      </c>
      <c r="S57" s="2270"/>
      <c r="T57" s="2270"/>
      <c r="U57" s="2270"/>
      <c r="V57" s="2270"/>
      <c r="W57" s="2270"/>
      <c r="X57" s="2270"/>
      <c r="Y57" s="2270"/>
      <c r="Z57" s="2271">
        <v>1.25</v>
      </c>
      <c r="AA57" s="2272"/>
      <c r="AB57" s="2272"/>
      <c r="AC57" s="2272"/>
      <c r="AD57" s="2273"/>
      <c r="AE57" s="323"/>
      <c r="AF57" s="323"/>
      <c r="AG57" s="2270" t="s">
        <v>1064</v>
      </c>
      <c r="AH57" s="2270"/>
      <c r="AI57" s="2270"/>
      <c r="AJ57" s="2270"/>
      <c r="AK57" s="2270"/>
      <c r="AL57" s="2270"/>
      <c r="AM57" s="2270"/>
      <c r="AN57" s="2270"/>
      <c r="AO57" s="2283">
        <v>1.35</v>
      </c>
      <c r="AP57" s="2284"/>
      <c r="AQ57" s="2284"/>
      <c r="AR57" s="2284"/>
      <c r="AS57" s="2285"/>
      <c r="AT57" s="335"/>
      <c r="AW57" s="688"/>
      <c r="AX57" s="123"/>
      <c r="AY57" s="123"/>
      <c r="AZ57" s="123"/>
      <c r="BA57" s="325"/>
      <c r="BB57" s="325"/>
      <c r="BC57" s="325"/>
      <c r="BD57" s="326"/>
    </row>
    <row r="58" spans="2:56" ht="20.25" hidden="1" customHeight="1">
      <c r="B58" s="338"/>
      <c r="C58" s="2270" t="s">
        <v>1035</v>
      </c>
      <c r="D58" s="2270"/>
      <c r="E58" s="2270"/>
      <c r="F58" s="2270"/>
      <c r="G58" s="2270"/>
      <c r="H58" s="2270"/>
      <c r="I58" s="2270"/>
      <c r="J58" s="2270"/>
      <c r="K58" s="2292">
        <v>1.25</v>
      </c>
      <c r="L58" s="2293"/>
      <c r="M58" s="2293"/>
      <c r="N58" s="2293"/>
      <c r="O58" s="2294"/>
      <c r="P58" s="167"/>
      <c r="Q58" s="323"/>
      <c r="R58" s="2270" t="s">
        <v>1060</v>
      </c>
      <c r="S58" s="2270"/>
      <c r="T58" s="2270"/>
      <c r="U58" s="2270"/>
      <c r="V58" s="2270"/>
      <c r="W58" s="2270"/>
      <c r="X58" s="2270"/>
      <c r="Y58" s="2270"/>
      <c r="Z58" s="2274">
        <v>1.1499999999999999</v>
      </c>
      <c r="AA58" s="2275"/>
      <c r="AB58" s="2275"/>
      <c r="AC58" s="2275"/>
      <c r="AD58" s="2276"/>
      <c r="AE58" s="323"/>
      <c r="AF58" s="323"/>
      <c r="AG58" s="2270" t="s">
        <v>1071</v>
      </c>
      <c r="AH58" s="2270"/>
      <c r="AI58" s="2270"/>
      <c r="AJ58" s="2270"/>
      <c r="AK58" s="2270"/>
      <c r="AL58" s="2270"/>
      <c r="AM58" s="2270"/>
      <c r="AN58" s="2270"/>
      <c r="AO58" s="2274">
        <v>1.3</v>
      </c>
      <c r="AP58" s="2275"/>
      <c r="AQ58" s="2275"/>
      <c r="AR58" s="2275"/>
      <c r="AS58" s="2276"/>
      <c r="AT58" s="335"/>
      <c r="AW58" s="688"/>
      <c r="AX58" s="123"/>
      <c r="AY58" s="123"/>
      <c r="AZ58" s="123"/>
      <c r="BA58" s="325"/>
      <c r="BB58" s="325"/>
      <c r="BC58" s="325"/>
      <c r="BD58" s="326"/>
    </row>
    <row r="59" spans="2:56" ht="20.25" hidden="1" customHeight="1">
      <c r="B59" s="338"/>
      <c r="C59" s="2270" t="s">
        <v>1036</v>
      </c>
      <c r="D59" s="2270"/>
      <c r="E59" s="2270"/>
      <c r="F59" s="2270"/>
      <c r="G59" s="2270"/>
      <c r="H59" s="2270"/>
      <c r="I59" s="2270"/>
      <c r="J59" s="2270"/>
      <c r="K59" s="2274">
        <v>1.2</v>
      </c>
      <c r="L59" s="2275"/>
      <c r="M59" s="2275"/>
      <c r="N59" s="2275"/>
      <c r="O59" s="2276"/>
      <c r="P59" s="167"/>
      <c r="Q59" s="323"/>
      <c r="R59" s="2270" t="s">
        <v>1059</v>
      </c>
      <c r="S59" s="2270"/>
      <c r="T59" s="2270"/>
      <c r="U59" s="2270"/>
      <c r="V59" s="2270"/>
      <c r="W59" s="2270"/>
      <c r="X59" s="2270"/>
      <c r="Y59" s="2270"/>
      <c r="Z59" s="2274">
        <v>1.1000000000000001</v>
      </c>
      <c r="AA59" s="2275"/>
      <c r="AB59" s="2275"/>
      <c r="AC59" s="2275"/>
      <c r="AD59" s="2276"/>
      <c r="AE59" s="323"/>
      <c r="AF59" s="323"/>
      <c r="AG59" s="2270" t="s">
        <v>1065</v>
      </c>
      <c r="AH59" s="2270"/>
      <c r="AI59" s="2270"/>
      <c r="AJ59" s="2270"/>
      <c r="AK59" s="2270"/>
      <c r="AL59" s="2270"/>
      <c r="AM59" s="2270"/>
      <c r="AN59" s="2270"/>
      <c r="AO59" s="2274">
        <v>1.25</v>
      </c>
      <c r="AP59" s="2275"/>
      <c r="AQ59" s="2275"/>
      <c r="AR59" s="2275"/>
      <c r="AS59" s="2276"/>
      <c r="AT59" s="335"/>
      <c r="AW59" s="688"/>
      <c r="AX59" s="123"/>
      <c r="AY59" s="123"/>
      <c r="AZ59" s="123"/>
      <c r="BA59" s="325"/>
      <c r="BB59" s="325"/>
      <c r="BC59" s="325"/>
      <c r="BD59" s="326"/>
    </row>
    <row r="60" spans="2:56" ht="20.25" hidden="1" customHeight="1">
      <c r="B60" s="338"/>
      <c r="C60" s="2270" t="s">
        <v>1033</v>
      </c>
      <c r="D60" s="2270"/>
      <c r="E60" s="2270"/>
      <c r="F60" s="2270"/>
      <c r="G60" s="2270"/>
      <c r="H60" s="2270"/>
      <c r="I60" s="2270"/>
      <c r="J60" s="2270"/>
      <c r="K60" s="2274">
        <v>1.2</v>
      </c>
      <c r="L60" s="2275"/>
      <c r="M60" s="2275"/>
      <c r="N60" s="2275"/>
      <c r="O60" s="2276"/>
      <c r="P60" s="167"/>
      <c r="Q60" s="323"/>
      <c r="R60" s="2270" t="s">
        <v>1057</v>
      </c>
      <c r="S60" s="2270"/>
      <c r="T60" s="2270"/>
      <c r="U60" s="2270"/>
      <c r="V60" s="2270"/>
      <c r="W60" s="2270"/>
      <c r="X60" s="2270"/>
      <c r="Y60" s="2270"/>
      <c r="Z60" s="2274">
        <v>1.05</v>
      </c>
      <c r="AA60" s="2275"/>
      <c r="AB60" s="2275"/>
      <c r="AC60" s="2275"/>
      <c r="AD60" s="2276"/>
      <c r="AE60" s="323"/>
      <c r="AF60" s="323"/>
      <c r="AG60" s="2270" t="s">
        <v>1062</v>
      </c>
      <c r="AH60" s="2270"/>
      <c r="AI60" s="2270"/>
      <c r="AJ60" s="2270"/>
      <c r="AK60" s="2270"/>
      <c r="AL60" s="2270"/>
      <c r="AM60" s="2270"/>
      <c r="AN60" s="2270"/>
      <c r="AO60" s="2274">
        <v>1.2</v>
      </c>
      <c r="AP60" s="2275"/>
      <c r="AQ60" s="2275"/>
      <c r="AR60" s="2275"/>
      <c r="AS60" s="2276"/>
      <c r="AT60" s="335"/>
      <c r="AW60" s="688"/>
      <c r="AX60" s="123"/>
      <c r="AY60" s="123"/>
      <c r="AZ60" s="123"/>
      <c r="BA60" s="325"/>
      <c r="BB60" s="325"/>
      <c r="BC60" s="325"/>
      <c r="BD60" s="326"/>
    </row>
    <row r="61" spans="2:56" ht="20.25" hidden="1" customHeight="1">
      <c r="B61" s="338"/>
      <c r="C61" s="2270" t="s">
        <v>1037</v>
      </c>
      <c r="D61" s="2270"/>
      <c r="E61" s="2270"/>
      <c r="F61" s="2270"/>
      <c r="G61" s="2270"/>
      <c r="H61" s="2270"/>
      <c r="I61" s="2270"/>
      <c r="J61" s="2270"/>
      <c r="K61" s="2292">
        <v>1.05</v>
      </c>
      <c r="L61" s="2293"/>
      <c r="M61" s="2293"/>
      <c r="N61" s="2293"/>
      <c r="O61" s="2294"/>
      <c r="P61" s="167"/>
      <c r="Q61" s="323"/>
      <c r="R61" s="2270" t="s">
        <v>1056</v>
      </c>
      <c r="S61" s="2270"/>
      <c r="T61" s="2270"/>
      <c r="U61" s="2270"/>
      <c r="V61" s="2270"/>
      <c r="W61" s="2270"/>
      <c r="X61" s="2270"/>
      <c r="Y61" s="2270"/>
      <c r="Z61" s="2274">
        <v>1.05</v>
      </c>
      <c r="AA61" s="2275"/>
      <c r="AB61" s="2275"/>
      <c r="AC61" s="2275"/>
      <c r="AD61" s="2276"/>
      <c r="AE61" s="323"/>
      <c r="AF61" s="323"/>
      <c r="AG61" s="2270" t="s">
        <v>1074</v>
      </c>
      <c r="AH61" s="2270"/>
      <c r="AI61" s="2270"/>
      <c r="AJ61" s="2270"/>
      <c r="AK61" s="2270"/>
      <c r="AL61" s="2270"/>
      <c r="AM61" s="2270"/>
      <c r="AN61" s="2270"/>
      <c r="AO61" s="2274">
        <v>1.2</v>
      </c>
      <c r="AP61" s="2275"/>
      <c r="AQ61" s="2275"/>
      <c r="AR61" s="2275"/>
      <c r="AS61" s="2276"/>
      <c r="AT61" s="335"/>
      <c r="AW61" s="688"/>
      <c r="AX61" s="123"/>
      <c r="AY61" s="123"/>
      <c r="AZ61" s="123"/>
      <c r="BA61" s="325"/>
      <c r="BB61" s="325"/>
      <c r="BC61" s="325"/>
      <c r="BD61" s="326"/>
    </row>
    <row r="62" spans="2:56" ht="20.25" hidden="1" customHeight="1">
      <c r="B62" s="338"/>
      <c r="C62" s="2270" t="s">
        <v>1038</v>
      </c>
      <c r="D62" s="2270"/>
      <c r="E62" s="2270"/>
      <c r="F62" s="2270"/>
      <c r="G62" s="2270"/>
      <c r="H62" s="2270"/>
      <c r="I62" s="2270"/>
      <c r="J62" s="2270"/>
      <c r="K62" s="2274">
        <v>1</v>
      </c>
      <c r="L62" s="2275"/>
      <c r="M62" s="2275"/>
      <c r="N62" s="2275"/>
      <c r="O62" s="2276"/>
      <c r="P62" s="167"/>
      <c r="Q62" s="323"/>
      <c r="R62" s="2270" t="s">
        <v>1052</v>
      </c>
      <c r="S62" s="2270"/>
      <c r="T62" s="2270"/>
      <c r="U62" s="2270"/>
      <c r="V62" s="2270"/>
      <c r="W62" s="2270"/>
      <c r="X62" s="2270"/>
      <c r="Y62" s="2270"/>
      <c r="Z62" s="2274">
        <v>1.05</v>
      </c>
      <c r="AA62" s="2275"/>
      <c r="AB62" s="2275"/>
      <c r="AC62" s="2275"/>
      <c r="AD62" s="2276"/>
      <c r="AE62" s="323"/>
      <c r="AF62" s="323"/>
      <c r="AG62" s="2270" t="s">
        <v>1067</v>
      </c>
      <c r="AH62" s="2270"/>
      <c r="AI62" s="2270"/>
      <c r="AJ62" s="2270"/>
      <c r="AK62" s="2270"/>
      <c r="AL62" s="2270"/>
      <c r="AM62" s="2270"/>
      <c r="AN62" s="2270"/>
      <c r="AO62" s="2274">
        <v>1.1499999999999999</v>
      </c>
      <c r="AP62" s="2275"/>
      <c r="AQ62" s="2275"/>
      <c r="AR62" s="2275"/>
      <c r="AS62" s="2276"/>
      <c r="AT62" s="335"/>
      <c r="AW62" s="688"/>
      <c r="AX62" s="123"/>
      <c r="AY62" s="123"/>
      <c r="AZ62" s="123"/>
      <c r="BA62" s="325"/>
      <c r="BB62" s="325"/>
      <c r="BC62" s="325"/>
      <c r="BD62" s="326"/>
    </row>
    <row r="63" spans="2:56" ht="20.25" hidden="1" customHeight="1">
      <c r="B63" s="338"/>
      <c r="C63" s="2270" t="s">
        <v>1040</v>
      </c>
      <c r="D63" s="2270"/>
      <c r="E63" s="2270"/>
      <c r="F63" s="2270"/>
      <c r="G63" s="2270"/>
      <c r="H63" s="2270"/>
      <c r="I63" s="2270"/>
      <c r="J63" s="2270"/>
      <c r="K63" s="2274">
        <v>1</v>
      </c>
      <c r="L63" s="2275"/>
      <c r="M63" s="2275"/>
      <c r="N63" s="2275"/>
      <c r="O63" s="2276"/>
      <c r="P63" s="167"/>
      <c r="Q63" s="323"/>
      <c r="R63" s="2270" t="s">
        <v>1054</v>
      </c>
      <c r="S63" s="2270"/>
      <c r="T63" s="2270"/>
      <c r="U63" s="2270"/>
      <c r="V63" s="2270"/>
      <c r="W63" s="2270"/>
      <c r="X63" s="2270"/>
      <c r="Y63" s="2270"/>
      <c r="Z63" s="2274">
        <v>1</v>
      </c>
      <c r="AA63" s="2275"/>
      <c r="AB63" s="2275"/>
      <c r="AC63" s="2275"/>
      <c r="AD63" s="2276"/>
      <c r="AE63" s="323"/>
      <c r="AF63" s="323"/>
      <c r="AG63" s="2270" t="s">
        <v>1066</v>
      </c>
      <c r="AH63" s="2270"/>
      <c r="AI63" s="2270"/>
      <c r="AJ63" s="2270"/>
      <c r="AK63" s="2270"/>
      <c r="AL63" s="2270"/>
      <c r="AM63" s="2270"/>
      <c r="AN63" s="2270"/>
      <c r="AO63" s="2274">
        <v>1.1499999999999999</v>
      </c>
      <c r="AP63" s="2275"/>
      <c r="AQ63" s="2275"/>
      <c r="AR63" s="2275"/>
      <c r="AS63" s="2276"/>
      <c r="AT63" s="335"/>
      <c r="AW63" s="688"/>
      <c r="AX63" s="123"/>
      <c r="AY63" s="123"/>
      <c r="AZ63" s="123"/>
      <c r="BA63" s="325"/>
      <c r="BB63" s="325"/>
      <c r="BC63" s="325"/>
      <c r="BD63" s="326"/>
    </row>
    <row r="64" spans="2:56" ht="20.25" hidden="1" customHeight="1">
      <c r="B64" s="338"/>
      <c r="C64" s="2270" t="s">
        <v>1039</v>
      </c>
      <c r="D64" s="2270"/>
      <c r="E64" s="2270"/>
      <c r="F64" s="2270"/>
      <c r="G64" s="2270"/>
      <c r="H64" s="2270"/>
      <c r="I64" s="2270"/>
      <c r="J64" s="2270"/>
      <c r="K64" s="2274">
        <v>1</v>
      </c>
      <c r="L64" s="2275"/>
      <c r="M64" s="2275"/>
      <c r="N64" s="2275"/>
      <c r="O64" s="2276"/>
      <c r="P64" s="167"/>
      <c r="Q64" s="323"/>
      <c r="R64" s="2270" t="s">
        <v>1055</v>
      </c>
      <c r="S64" s="2270"/>
      <c r="T64" s="2270"/>
      <c r="U64" s="2270"/>
      <c r="V64" s="2270"/>
      <c r="W64" s="2270"/>
      <c r="X64" s="2270"/>
      <c r="Y64" s="2270"/>
      <c r="Z64" s="2292">
        <v>0.95</v>
      </c>
      <c r="AA64" s="2293"/>
      <c r="AB64" s="2293"/>
      <c r="AC64" s="2293"/>
      <c r="AD64" s="2294"/>
      <c r="AE64" s="323"/>
      <c r="AF64" s="323"/>
      <c r="AG64" s="2270" t="s">
        <v>1070</v>
      </c>
      <c r="AH64" s="2270"/>
      <c r="AI64" s="2270"/>
      <c r="AJ64" s="2270"/>
      <c r="AK64" s="2270"/>
      <c r="AL64" s="2270"/>
      <c r="AM64" s="2270"/>
      <c r="AN64" s="2270"/>
      <c r="AO64" s="2274">
        <v>1.1499999999999999</v>
      </c>
      <c r="AP64" s="2275"/>
      <c r="AQ64" s="2275"/>
      <c r="AR64" s="2275"/>
      <c r="AS64" s="2276"/>
      <c r="AT64" s="335"/>
      <c r="AW64" s="688"/>
      <c r="AX64" s="123"/>
      <c r="AY64" s="123"/>
      <c r="AZ64" s="123"/>
      <c r="BA64" s="325"/>
      <c r="BB64" s="325"/>
      <c r="BC64" s="325"/>
      <c r="BD64" s="326"/>
    </row>
    <row r="65" spans="1:63" ht="20.25" hidden="1" customHeight="1">
      <c r="B65" s="338"/>
      <c r="C65" s="2270" t="s">
        <v>1046</v>
      </c>
      <c r="D65" s="2270"/>
      <c r="E65" s="2270"/>
      <c r="F65" s="2270"/>
      <c r="G65" s="2270"/>
      <c r="H65" s="2270"/>
      <c r="I65" s="2270"/>
      <c r="J65" s="2270"/>
      <c r="K65" s="2292">
        <v>1</v>
      </c>
      <c r="L65" s="2293"/>
      <c r="M65" s="2293"/>
      <c r="N65" s="2293"/>
      <c r="O65" s="2294"/>
      <c r="P65" s="167"/>
      <c r="Q65" s="323"/>
      <c r="R65" s="2270" t="s">
        <v>1058</v>
      </c>
      <c r="S65" s="2270"/>
      <c r="T65" s="2270"/>
      <c r="U65" s="2270"/>
      <c r="V65" s="2270"/>
      <c r="W65" s="2270"/>
      <c r="X65" s="2270"/>
      <c r="Y65" s="2270"/>
      <c r="Z65" s="2292">
        <v>0.95</v>
      </c>
      <c r="AA65" s="2293"/>
      <c r="AB65" s="2293"/>
      <c r="AC65" s="2293"/>
      <c r="AD65" s="2294"/>
      <c r="AE65" s="323"/>
      <c r="AF65" s="323"/>
      <c r="AG65" s="2270" t="s">
        <v>1072</v>
      </c>
      <c r="AH65" s="2270"/>
      <c r="AI65" s="2270"/>
      <c r="AJ65" s="2270"/>
      <c r="AK65" s="2270"/>
      <c r="AL65" s="2270"/>
      <c r="AM65" s="2270"/>
      <c r="AN65" s="2270"/>
      <c r="AO65" s="2274">
        <v>1.1000000000000001</v>
      </c>
      <c r="AP65" s="2275"/>
      <c r="AQ65" s="2275"/>
      <c r="AR65" s="2275"/>
      <c r="AS65" s="2276"/>
      <c r="AT65" s="335"/>
      <c r="AW65" s="688"/>
      <c r="AX65" s="123"/>
      <c r="AY65" s="123"/>
      <c r="AZ65" s="123"/>
      <c r="BA65" s="325"/>
      <c r="BB65" s="325"/>
      <c r="BC65" s="325"/>
      <c r="BD65" s="326"/>
    </row>
    <row r="66" spans="1:63" ht="20.25" hidden="1" customHeight="1">
      <c r="B66" s="338"/>
      <c r="C66" s="2270" t="s">
        <v>1044</v>
      </c>
      <c r="D66" s="2270"/>
      <c r="E66" s="2270"/>
      <c r="F66" s="2270"/>
      <c r="G66" s="2270"/>
      <c r="H66" s="2270"/>
      <c r="I66" s="2270"/>
      <c r="J66" s="2270"/>
      <c r="K66" s="2292">
        <v>0.95</v>
      </c>
      <c r="L66" s="2293"/>
      <c r="M66" s="2293"/>
      <c r="N66" s="2293"/>
      <c r="O66" s="2294"/>
      <c r="P66" s="167"/>
      <c r="Q66" s="323"/>
      <c r="R66" s="2270" t="s">
        <v>1049</v>
      </c>
      <c r="S66" s="2270"/>
      <c r="T66" s="2270"/>
      <c r="U66" s="2270"/>
      <c r="V66" s="2270"/>
      <c r="W66" s="2270"/>
      <c r="X66" s="2270"/>
      <c r="Y66" s="2270"/>
      <c r="Z66" s="2292">
        <v>0.95</v>
      </c>
      <c r="AA66" s="2293"/>
      <c r="AB66" s="2293"/>
      <c r="AC66" s="2293"/>
      <c r="AD66" s="2294"/>
      <c r="AE66" s="323"/>
      <c r="AF66" s="323"/>
      <c r="AG66" s="2270" t="s">
        <v>1073</v>
      </c>
      <c r="AH66" s="2270"/>
      <c r="AI66" s="2270"/>
      <c r="AJ66" s="2270"/>
      <c r="AK66" s="2270"/>
      <c r="AL66" s="2270"/>
      <c r="AM66" s="2270"/>
      <c r="AN66" s="2270"/>
      <c r="AO66" s="2274">
        <v>1.1000000000000001</v>
      </c>
      <c r="AP66" s="2275"/>
      <c r="AQ66" s="2275"/>
      <c r="AR66" s="2275"/>
      <c r="AS66" s="2276"/>
      <c r="AT66" s="335"/>
      <c r="AW66" s="688"/>
      <c r="AX66" s="123"/>
      <c r="AY66" s="123"/>
      <c r="AZ66" s="123"/>
      <c r="BA66" s="325"/>
      <c r="BB66" s="325"/>
      <c r="BC66" s="325"/>
      <c r="BD66" s="326"/>
    </row>
    <row r="67" spans="1:63" ht="21" hidden="1" customHeight="1">
      <c r="B67" s="338"/>
      <c r="C67" s="2270" t="s">
        <v>1045</v>
      </c>
      <c r="D67" s="2270"/>
      <c r="E67" s="2270"/>
      <c r="F67" s="2270"/>
      <c r="G67" s="2270"/>
      <c r="H67" s="2270"/>
      <c r="I67" s="2270"/>
      <c r="J67" s="2270"/>
      <c r="K67" s="2292">
        <v>0.95</v>
      </c>
      <c r="L67" s="2293"/>
      <c r="M67" s="2293"/>
      <c r="N67" s="2293"/>
      <c r="O67" s="2294"/>
      <c r="P67" s="167"/>
      <c r="Q67" s="323"/>
      <c r="R67" s="2270" t="s">
        <v>1050</v>
      </c>
      <c r="S67" s="2270"/>
      <c r="T67" s="2270"/>
      <c r="U67" s="2270"/>
      <c r="V67" s="2270"/>
      <c r="W67" s="2270"/>
      <c r="X67" s="2270"/>
      <c r="Y67" s="2270"/>
      <c r="Z67" s="2292">
        <v>0.95</v>
      </c>
      <c r="AA67" s="2293"/>
      <c r="AB67" s="2293"/>
      <c r="AC67" s="2293"/>
      <c r="AD67" s="2294"/>
      <c r="AE67" s="323"/>
      <c r="AF67" s="323"/>
      <c r="AG67" s="2270" t="s">
        <v>1068</v>
      </c>
      <c r="AH67" s="2270"/>
      <c r="AI67" s="2270"/>
      <c r="AJ67" s="2270"/>
      <c r="AK67" s="2270"/>
      <c r="AL67" s="2270"/>
      <c r="AM67" s="2270"/>
      <c r="AN67" s="2270"/>
      <c r="AO67" s="2274">
        <v>1.05</v>
      </c>
      <c r="AP67" s="2275"/>
      <c r="AQ67" s="2275"/>
      <c r="AR67" s="2275"/>
      <c r="AS67" s="2276"/>
      <c r="AT67" s="335"/>
      <c r="AW67" s="688"/>
      <c r="AX67" s="123"/>
      <c r="AY67" s="123"/>
      <c r="AZ67" s="123"/>
      <c r="BA67" s="325"/>
      <c r="BB67" s="325"/>
      <c r="BC67" s="325"/>
      <c r="BD67" s="326"/>
    </row>
    <row r="68" spans="1:63" ht="21" hidden="1" customHeight="1">
      <c r="B68" s="338"/>
      <c r="C68" s="2270" t="s">
        <v>1047</v>
      </c>
      <c r="D68" s="2270"/>
      <c r="E68" s="2270"/>
      <c r="F68" s="2270"/>
      <c r="G68" s="2270"/>
      <c r="H68" s="2270"/>
      <c r="I68" s="2270"/>
      <c r="J68" s="2270"/>
      <c r="K68" s="2296">
        <v>0.95</v>
      </c>
      <c r="L68" s="2297"/>
      <c r="M68" s="2297"/>
      <c r="N68" s="2297"/>
      <c r="O68" s="2298"/>
      <c r="P68" s="167"/>
      <c r="Q68" s="323"/>
      <c r="R68" s="2270" t="s">
        <v>1051</v>
      </c>
      <c r="S68" s="2270"/>
      <c r="T68" s="2270"/>
      <c r="U68" s="2270"/>
      <c r="V68" s="2270"/>
      <c r="W68" s="2270"/>
      <c r="X68" s="2270"/>
      <c r="Y68" s="2270"/>
      <c r="Z68" s="2296">
        <v>0.95</v>
      </c>
      <c r="AA68" s="2297"/>
      <c r="AB68" s="2297"/>
      <c r="AC68" s="2297"/>
      <c r="AD68" s="2298"/>
      <c r="AE68" s="323"/>
      <c r="AF68" s="323"/>
      <c r="AG68" s="944" t="s">
        <v>1069</v>
      </c>
      <c r="AH68" s="944"/>
      <c r="AI68" s="944"/>
      <c r="AJ68" s="944"/>
      <c r="AK68" s="944"/>
      <c r="AL68" s="944"/>
      <c r="AM68" s="944"/>
      <c r="AN68" s="944"/>
      <c r="AO68" s="2286">
        <v>1.05</v>
      </c>
      <c r="AP68" s="2287"/>
      <c r="AQ68" s="2287"/>
      <c r="AR68" s="2287"/>
      <c r="AS68" s="2288"/>
      <c r="AT68" s="335"/>
      <c r="AW68" s="688"/>
      <c r="AX68" s="123"/>
      <c r="AY68" s="123"/>
      <c r="AZ68" s="123"/>
      <c r="BA68" s="325"/>
      <c r="BB68" s="325"/>
      <c r="BC68" s="325"/>
      <c r="BD68" s="326"/>
    </row>
    <row r="69" spans="1:63" ht="21" hidden="1" customHeight="1">
      <c r="B69" s="338"/>
      <c r="C69" s="944"/>
      <c r="D69" s="2299" t="s">
        <v>1076</v>
      </c>
      <c r="E69" s="2299"/>
      <c r="F69" s="2299"/>
      <c r="G69" s="2299"/>
      <c r="H69" s="2299"/>
      <c r="I69" s="2299"/>
      <c r="J69" s="2299"/>
      <c r="K69" s="2300">
        <f>AVERAGE(K57:O68)</f>
        <v>1.075</v>
      </c>
      <c r="L69" s="2301"/>
      <c r="M69" s="2301"/>
      <c r="N69" s="2301"/>
      <c r="O69" s="2302"/>
      <c r="P69" s="167"/>
      <c r="Q69" s="323"/>
      <c r="R69" s="944"/>
      <c r="S69" s="2299" t="s">
        <v>1076</v>
      </c>
      <c r="T69" s="2299"/>
      <c r="U69" s="2299"/>
      <c r="V69" s="2299"/>
      <c r="W69" s="2299"/>
      <c r="X69" s="2299"/>
      <c r="Y69" s="2299"/>
      <c r="Z69" s="2300">
        <f>AVERAGE(Z57:AD68)</f>
        <v>1.033333333333333</v>
      </c>
      <c r="AA69" s="2301"/>
      <c r="AB69" s="2301"/>
      <c r="AC69" s="2301"/>
      <c r="AD69" s="2302"/>
      <c r="AE69" s="323"/>
      <c r="AF69" s="323"/>
      <c r="AG69" s="944"/>
      <c r="AH69" s="2299" t="s">
        <v>1076</v>
      </c>
      <c r="AI69" s="2299"/>
      <c r="AJ69" s="2299"/>
      <c r="AK69" s="2299"/>
      <c r="AL69" s="2299"/>
      <c r="AM69" s="2299"/>
      <c r="AN69" s="2299"/>
      <c r="AO69" s="2300">
        <f>AVERAGE(AO57:AS68)</f>
        <v>1.1708333333333336</v>
      </c>
      <c r="AP69" s="2301"/>
      <c r="AQ69" s="2301"/>
      <c r="AR69" s="2301"/>
      <c r="AS69" s="2302"/>
      <c r="AT69" s="335"/>
      <c r="AW69" s="688"/>
      <c r="AX69" s="123"/>
      <c r="AY69" s="123"/>
      <c r="AZ69" s="123"/>
      <c r="BA69" s="325"/>
      <c r="BB69" s="325"/>
      <c r="BC69" s="325"/>
      <c r="BD69" s="326"/>
    </row>
    <row r="70" spans="1:63" ht="20.25" hidden="1" customHeight="1">
      <c r="B70" s="338"/>
      <c r="C70" s="944"/>
      <c r="D70" s="944"/>
      <c r="E70" s="944"/>
      <c r="F70" s="944"/>
      <c r="G70" s="944"/>
      <c r="H70" s="944"/>
      <c r="I70" s="944"/>
      <c r="J70" s="944"/>
      <c r="K70" s="329"/>
      <c r="L70" s="329"/>
      <c r="M70" s="329"/>
      <c r="N70" s="329"/>
      <c r="O70" s="329"/>
      <c r="P70" s="167"/>
      <c r="Q70" s="323"/>
      <c r="R70" s="944"/>
      <c r="S70" s="944"/>
      <c r="T70" s="944"/>
      <c r="U70" s="944"/>
      <c r="V70" s="944"/>
      <c r="W70" s="944"/>
      <c r="X70" s="944"/>
      <c r="Y70" s="944"/>
      <c r="Z70" s="329"/>
      <c r="AA70" s="329"/>
      <c r="AB70" s="329"/>
      <c r="AC70" s="329"/>
      <c r="AD70" s="329"/>
      <c r="AE70" s="323"/>
      <c r="AF70" s="323"/>
      <c r="AG70" s="944"/>
      <c r="AH70" s="944"/>
      <c r="AI70" s="944"/>
      <c r="AJ70" s="944"/>
      <c r="AK70" s="944"/>
      <c r="AL70" s="944"/>
      <c r="AM70" s="944"/>
      <c r="AN70" s="944"/>
      <c r="AO70" s="329"/>
      <c r="AP70" s="329"/>
      <c r="AQ70" s="329"/>
      <c r="AR70" s="329"/>
      <c r="AS70" s="329"/>
      <c r="AT70" s="335"/>
      <c r="AW70" s="688"/>
      <c r="AX70" s="123"/>
      <c r="AY70" s="123"/>
      <c r="AZ70" s="123"/>
      <c r="BA70" s="35"/>
      <c r="BB70" s="35"/>
      <c r="BC70" s="35"/>
      <c r="BD70" s="326"/>
    </row>
    <row r="71" spans="1:63" ht="20.25" hidden="1" customHeight="1">
      <c r="B71" s="338"/>
      <c r="C71" s="2281" t="s">
        <v>1043</v>
      </c>
      <c r="D71" s="2281"/>
      <c r="E71" s="2281"/>
      <c r="F71" s="2281"/>
      <c r="G71" s="2281"/>
      <c r="H71" s="2281"/>
      <c r="I71" s="2281"/>
      <c r="J71" s="2281"/>
      <c r="K71" s="2277" t="s">
        <v>1048</v>
      </c>
      <c r="L71" s="2278"/>
      <c r="M71" s="2278"/>
      <c r="N71" s="2278"/>
      <c r="O71" s="2279"/>
      <c r="P71" s="167"/>
      <c r="Q71" s="323"/>
      <c r="R71" s="2281" t="s">
        <v>1043</v>
      </c>
      <c r="S71" s="2281"/>
      <c r="T71" s="2281"/>
      <c r="U71" s="2281"/>
      <c r="V71" s="2281"/>
      <c r="W71" s="2281"/>
      <c r="X71" s="2281"/>
      <c r="Y71" s="2281"/>
      <c r="Z71" s="2277" t="s">
        <v>1061</v>
      </c>
      <c r="AA71" s="2278"/>
      <c r="AB71" s="2278"/>
      <c r="AC71" s="2278"/>
      <c r="AD71" s="2279"/>
      <c r="AE71" s="323"/>
      <c r="AF71" s="323"/>
      <c r="AG71" s="2281" t="s">
        <v>1075</v>
      </c>
      <c r="AH71" s="2281"/>
      <c r="AI71" s="2281"/>
      <c r="AJ71" s="2281"/>
      <c r="AK71" s="2281"/>
      <c r="AL71" s="2281"/>
      <c r="AM71" s="2281"/>
      <c r="AN71" s="2281"/>
      <c r="AO71" s="2289">
        <v>1</v>
      </c>
      <c r="AP71" s="2290"/>
      <c r="AQ71" s="2290"/>
      <c r="AR71" s="2290"/>
      <c r="AS71" s="2291"/>
      <c r="AT71" s="335"/>
      <c r="AW71" s="688"/>
      <c r="AX71" s="123"/>
      <c r="AY71" s="123"/>
      <c r="AZ71" s="123"/>
      <c r="BA71" s="35"/>
      <c r="BB71" s="35"/>
      <c r="BC71" s="35"/>
      <c r="BD71" s="326"/>
    </row>
    <row r="72" spans="1:63" ht="20.25" hidden="1" customHeight="1" thickBot="1">
      <c r="B72" s="339"/>
      <c r="C72" s="330"/>
      <c r="D72" s="330"/>
      <c r="E72" s="330"/>
      <c r="F72" s="330"/>
      <c r="G72" s="330"/>
      <c r="H72" s="330"/>
      <c r="I72" s="330"/>
      <c r="J72" s="330"/>
      <c r="K72" s="331"/>
      <c r="L72" s="331"/>
      <c r="M72" s="331"/>
      <c r="N72" s="331"/>
      <c r="O72" s="331"/>
      <c r="P72" s="332"/>
      <c r="Q72" s="336"/>
      <c r="R72" s="2295"/>
      <c r="S72" s="2295"/>
      <c r="T72" s="2295"/>
      <c r="U72" s="2295"/>
      <c r="V72" s="2295"/>
      <c r="W72" s="2295"/>
      <c r="X72" s="2295"/>
      <c r="Y72" s="2295"/>
      <c r="Z72" s="2295"/>
      <c r="AA72" s="2295"/>
      <c r="AB72" s="2295"/>
      <c r="AC72" s="327"/>
      <c r="AD72" s="327"/>
      <c r="AE72" s="336"/>
      <c r="AF72" s="336"/>
      <c r="AG72" s="2295"/>
      <c r="AH72" s="2295"/>
      <c r="AI72" s="2295"/>
      <c r="AJ72" s="2295"/>
      <c r="AK72" s="2295"/>
      <c r="AL72" s="2295"/>
      <c r="AM72" s="2295"/>
      <c r="AN72" s="2295"/>
      <c r="AO72" s="2295"/>
      <c r="AP72" s="2295"/>
      <c r="AQ72" s="2295"/>
      <c r="AR72" s="327"/>
      <c r="AS72" s="327"/>
      <c r="AT72" s="337"/>
      <c r="AW72" s="688"/>
      <c r="AX72" s="123"/>
      <c r="AY72" s="123"/>
      <c r="AZ72" s="123"/>
      <c r="BA72" s="325"/>
      <c r="BB72" s="325"/>
      <c r="BC72" s="325"/>
      <c r="BD72" s="325"/>
    </row>
    <row r="73" spans="1:63" ht="18" hidden="1" customHeight="1" thickBot="1">
      <c r="B73" s="123"/>
      <c r="C73" s="123"/>
      <c r="D73" s="123"/>
      <c r="E73" s="123"/>
      <c r="F73" s="123"/>
      <c r="G73" s="276"/>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688"/>
      <c r="AX73" s="123"/>
      <c r="AY73" s="123"/>
      <c r="AZ73" s="123"/>
      <c r="BA73" s="123"/>
      <c r="BB73" s="123"/>
      <c r="BC73" s="123"/>
      <c r="BD73" s="123"/>
    </row>
    <row r="74" spans="1:63" ht="22.5" customHeight="1">
      <c r="B74" s="2403" t="s">
        <v>995</v>
      </c>
      <c r="C74" s="2404"/>
      <c r="D74" s="2404"/>
      <c r="E74" s="2404"/>
      <c r="F74" s="2404"/>
      <c r="G74" s="2404"/>
      <c r="H74" s="2404"/>
      <c r="I74" s="2404"/>
      <c r="J74" s="2404"/>
      <c r="K74" s="2404"/>
      <c r="L74" s="2404"/>
      <c r="M74" s="2404"/>
      <c r="N74" s="2397" t="s">
        <v>718</v>
      </c>
      <c r="O74" s="2397"/>
      <c r="P74" s="2397"/>
      <c r="Q74" s="2397"/>
      <c r="R74" s="2397"/>
      <c r="S74" s="2397"/>
      <c r="T74" s="2397"/>
      <c r="U74" s="2397"/>
      <c r="V74" s="2397"/>
      <c r="W74" s="2397"/>
      <c r="X74" s="2397"/>
      <c r="Y74" s="2397"/>
      <c r="Z74" s="2397"/>
      <c r="AA74" s="2397"/>
      <c r="AB74" s="2397"/>
      <c r="AC74" s="2397"/>
      <c r="AD74" s="2397"/>
      <c r="AE74" s="2397"/>
      <c r="AF74" s="2397"/>
      <c r="AG74" s="2397"/>
      <c r="AH74" s="2397"/>
      <c r="AI74" s="2397"/>
      <c r="AJ74" s="2397"/>
      <c r="AK74" s="2397"/>
      <c r="AL74" s="2397"/>
      <c r="AM74" s="2397"/>
      <c r="AN74" s="2397"/>
      <c r="AO74" s="2397"/>
      <c r="AP74" s="2397"/>
      <c r="AQ74" s="2397"/>
      <c r="AR74" s="2397"/>
      <c r="AS74" s="2397"/>
      <c r="AT74" s="2398"/>
      <c r="AU74" s="45"/>
      <c r="AW74" s="678" t="s">
        <v>1093</v>
      </c>
      <c r="AX74" s="683" t="s">
        <v>39</v>
      </c>
      <c r="BA74" s="39"/>
      <c r="BB74" s="39"/>
      <c r="BF74" s="39"/>
      <c r="BG74" s="41"/>
      <c r="BH74" s="41"/>
      <c r="BI74" s="41"/>
      <c r="BJ74" s="41"/>
      <c r="BK74" s="92"/>
    </row>
    <row r="75" spans="1:63" s="3" customFormat="1" ht="18.600000000000001" customHeight="1">
      <c r="B75" s="2414" t="s">
        <v>994</v>
      </c>
      <c r="C75" s="2415"/>
      <c r="D75" s="2415"/>
      <c r="E75" s="2415"/>
      <c r="F75" s="2415"/>
      <c r="G75" s="2415"/>
      <c r="H75" s="2415"/>
      <c r="I75" s="2416"/>
      <c r="J75" s="2411">
        <f>AQ84</f>
        <v>0</v>
      </c>
      <c r="K75" s="2411"/>
      <c r="L75" s="2411"/>
      <c r="M75" s="2411"/>
      <c r="N75" s="2380" t="str">
        <f>T('CATEGORY SETUP'!AD10:AZ10)</f>
        <v>GENERAL CONDITIONS</v>
      </c>
      <c r="O75" s="2380"/>
      <c r="P75" s="2380"/>
      <c r="Q75" s="2380"/>
      <c r="R75" s="2380"/>
      <c r="S75" s="2380"/>
      <c r="T75" s="2380"/>
      <c r="U75" s="2382">
        <f>AQ129</f>
        <v>0</v>
      </c>
      <c r="V75" s="2382"/>
      <c r="W75" s="2382"/>
      <c r="X75" s="2382"/>
      <c r="Y75" s="2380" t="str">
        <f>T('CATEGORY SETUP'!AD18:AZ18)</f>
        <v>EXTERIOR DOORS &amp; WINDOWS</v>
      </c>
      <c r="Z75" s="2380"/>
      <c r="AA75" s="2380"/>
      <c r="AB75" s="2380"/>
      <c r="AC75" s="2380"/>
      <c r="AD75" s="2380"/>
      <c r="AE75" s="2380"/>
      <c r="AF75" s="2382">
        <f>AQ489</f>
        <v>0</v>
      </c>
      <c r="AG75" s="2382"/>
      <c r="AH75" s="2382"/>
      <c r="AI75" s="2382"/>
      <c r="AJ75" s="2380" t="str">
        <f>T('CATEGORY SETUP'!AD26:AZ26)</f>
        <v>HARDWOOD FLOORING</v>
      </c>
      <c r="AK75" s="2380"/>
      <c r="AL75" s="2380"/>
      <c r="AM75" s="2380"/>
      <c r="AN75" s="2380"/>
      <c r="AO75" s="2380"/>
      <c r="AP75" s="2380"/>
      <c r="AQ75" s="2382">
        <f>AQ849</f>
        <v>0</v>
      </c>
      <c r="AR75" s="2382"/>
      <c r="AS75" s="2382"/>
      <c r="AT75" s="2383"/>
      <c r="AV75" s="45"/>
      <c r="AW75" s="684" t="s">
        <v>45</v>
      </c>
      <c r="AX75" s="685">
        <f t="shared" ref="AX75:AX82" si="0">SUMIF($AW$87:$AW$1165,AW75,$AQ$87:$AQ$1165)</f>
        <v>0</v>
      </c>
      <c r="BA75" s="2378" t="s">
        <v>352</v>
      </c>
      <c r="BB75" s="2378"/>
      <c r="BC75" s="45"/>
    </row>
    <row r="76" spans="1:63" s="3" customFormat="1" ht="18.75" customHeight="1">
      <c r="A76" s="15"/>
      <c r="B76" s="2439" t="s">
        <v>1120</v>
      </c>
      <c r="C76" s="2440"/>
      <c r="D76" s="2440"/>
      <c r="E76" s="2440"/>
      <c r="F76" s="2440"/>
      <c r="G76" s="2440"/>
      <c r="H76" s="2441"/>
      <c r="I76" s="2441"/>
      <c r="J76" s="2413">
        <f>IF(Estimator_Location_Multiplier_Cell=0,0,J75*(H76-1))</f>
        <v>0</v>
      </c>
      <c r="K76" s="2413"/>
      <c r="L76" s="2413"/>
      <c r="M76" s="2413"/>
      <c r="N76" s="2380" t="str">
        <f>T('CATEGORY SETUP'!AD11:AZ11)</f>
        <v>DEMOLITION</v>
      </c>
      <c r="O76" s="2380"/>
      <c r="P76" s="2380"/>
      <c r="Q76" s="2380"/>
      <c r="R76" s="2380"/>
      <c r="S76" s="2380"/>
      <c r="T76" s="2380"/>
      <c r="U76" s="2382">
        <f>AQ174</f>
        <v>0</v>
      </c>
      <c r="V76" s="2382"/>
      <c r="W76" s="2382"/>
      <c r="X76" s="2382"/>
      <c r="Y76" s="2380" t="str">
        <f>T('CATEGORY SETUP'!AD19:AZ19)</f>
        <v>GARAGE DOORS</v>
      </c>
      <c r="Z76" s="2380"/>
      <c r="AA76" s="2380"/>
      <c r="AB76" s="2380"/>
      <c r="AC76" s="2380"/>
      <c r="AD76" s="2380"/>
      <c r="AE76" s="2380"/>
      <c r="AF76" s="2382">
        <f>AQ534</f>
        <v>0</v>
      </c>
      <c r="AG76" s="2382"/>
      <c r="AH76" s="2382"/>
      <c r="AI76" s="2382"/>
      <c r="AJ76" s="2380" t="str">
        <f>T('CATEGORY SETUP'!AD27:AZ27)</f>
        <v>TILING</v>
      </c>
      <c r="AK76" s="2380"/>
      <c r="AL76" s="2380"/>
      <c r="AM76" s="2380"/>
      <c r="AN76" s="2380"/>
      <c r="AO76" s="2380"/>
      <c r="AP76" s="2380"/>
      <c r="AQ76" s="2382">
        <f>AQ894</f>
        <v>0</v>
      </c>
      <c r="AR76" s="2382"/>
      <c r="AS76" s="2382"/>
      <c r="AT76" s="2383"/>
      <c r="AV76" s="45"/>
      <c r="AW76" s="684" t="s">
        <v>46</v>
      </c>
      <c r="AX76" s="685">
        <f t="shared" si="0"/>
        <v>0</v>
      </c>
      <c r="BA76" s="46" t="s">
        <v>468</v>
      </c>
      <c r="BB76" s="47">
        <f>BF84</f>
        <v>0</v>
      </c>
      <c r="BC76" s="45"/>
    </row>
    <row r="77" spans="1:63" s="3" customFormat="1" ht="18.75" customHeight="1">
      <c r="A77" s="15"/>
      <c r="B77" s="2395" t="s">
        <v>1121</v>
      </c>
      <c r="C77" s="2396"/>
      <c r="D77" s="2396"/>
      <c r="E77" s="2396"/>
      <c r="F77" s="2396"/>
      <c r="G77" s="2396"/>
      <c r="H77" s="2412"/>
      <c r="I77" s="2412"/>
      <c r="J77" s="2413">
        <f>SUM(J75:M76)*H77</f>
        <v>0</v>
      </c>
      <c r="K77" s="2413"/>
      <c r="L77" s="2413"/>
      <c r="M77" s="2413"/>
      <c r="N77" s="2380" t="str">
        <f>T('CATEGORY SETUP'!AD12:AZ12)</f>
        <v>STRUCTURAL CONCRETE</v>
      </c>
      <c r="O77" s="2380"/>
      <c r="P77" s="2380"/>
      <c r="Q77" s="2380"/>
      <c r="R77" s="2380"/>
      <c r="S77" s="2380"/>
      <c r="T77" s="2380"/>
      <c r="U77" s="2382">
        <f>AQ219</f>
        <v>0</v>
      </c>
      <c r="V77" s="2382"/>
      <c r="W77" s="2382"/>
      <c r="X77" s="2382"/>
      <c r="Y77" s="2380" t="str">
        <f>T('CATEGORY SETUP'!AD20:AZ20)</f>
        <v>LANDSCAPING</v>
      </c>
      <c r="Z77" s="2380"/>
      <c r="AA77" s="2380"/>
      <c r="AB77" s="2380"/>
      <c r="AC77" s="2380"/>
      <c r="AD77" s="2380"/>
      <c r="AE77" s="2380"/>
      <c r="AF77" s="2382">
        <f>AQ579</f>
        <v>0</v>
      </c>
      <c r="AG77" s="2382"/>
      <c r="AH77" s="2382"/>
      <c r="AI77" s="2382"/>
      <c r="AJ77" s="2380" t="str">
        <f>T('CATEGORY SETUP'!AD28:AZ28)</f>
        <v>PAINTING</v>
      </c>
      <c r="AK77" s="2380"/>
      <c r="AL77" s="2380"/>
      <c r="AM77" s="2380"/>
      <c r="AN77" s="2380"/>
      <c r="AO77" s="2380"/>
      <c r="AP77" s="2380"/>
      <c r="AQ77" s="2382">
        <f>AQ939</f>
        <v>0</v>
      </c>
      <c r="AR77" s="2382"/>
      <c r="AS77" s="2382"/>
      <c r="AT77" s="2383"/>
      <c r="AU77" s="45"/>
      <c r="AV77" s="45"/>
      <c r="AW77" s="684" t="s">
        <v>1371</v>
      </c>
      <c r="AX77" s="685">
        <f t="shared" si="0"/>
        <v>0</v>
      </c>
      <c r="BA77" s="46" t="s">
        <v>412</v>
      </c>
      <c r="BB77" s="47">
        <f>DIY_Savings</f>
        <v>0</v>
      </c>
      <c r="BC77" s="45"/>
      <c r="BD77" s="45"/>
    </row>
    <row r="78" spans="1:63" ht="18.75" customHeight="1">
      <c r="A78" s="15"/>
      <c r="B78" s="2395" t="s">
        <v>1375</v>
      </c>
      <c r="C78" s="2396"/>
      <c r="D78" s="2396"/>
      <c r="E78" s="2396"/>
      <c r="F78" s="2396"/>
      <c r="G78" s="2396"/>
      <c r="H78" s="2412"/>
      <c r="I78" s="2412"/>
      <c r="J78" s="2413">
        <f>H78*SUM(J75:M77)</f>
        <v>0</v>
      </c>
      <c r="K78" s="2413"/>
      <c r="L78" s="2413"/>
      <c r="M78" s="2413"/>
      <c r="N78" s="2380" t="str">
        <f>T('CATEGORY SETUP'!AD13:AZ13)</f>
        <v>CONCRETE &amp; FLATWORK</v>
      </c>
      <c r="O78" s="2380"/>
      <c r="P78" s="2380"/>
      <c r="Q78" s="2380"/>
      <c r="R78" s="2380"/>
      <c r="S78" s="2380"/>
      <c r="T78" s="2380"/>
      <c r="U78" s="2382">
        <f>AQ264</f>
        <v>0</v>
      </c>
      <c r="V78" s="2382"/>
      <c r="W78" s="2382"/>
      <c r="X78" s="2382"/>
      <c r="Y78" s="2380" t="str">
        <f>T('CATEGORY SETUP'!AD21:AZ21)</f>
        <v>MISC. EXTERIOR ITEMS</v>
      </c>
      <c r="Z78" s="2380"/>
      <c r="AA78" s="2380"/>
      <c r="AB78" s="2380"/>
      <c r="AC78" s="2380"/>
      <c r="AD78" s="2380"/>
      <c r="AE78" s="2380"/>
      <c r="AF78" s="2382">
        <f>AQ624</f>
        <v>0</v>
      </c>
      <c r="AG78" s="2382"/>
      <c r="AH78" s="2382"/>
      <c r="AI78" s="2382"/>
      <c r="AJ78" s="2380" t="str">
        <f>T('CATEGORY SETUP'!AD29:AZ29)</f>
        <v>APPLIANCES</v>
      </c>
      <c r="AK78" s="2380"/>
      <c r="AL78" s="2380"/>
      <c r="AM78" s="2380"/>
      <c r="AN78" s="2380"/>
      <c r="AO78" s="2380"/>
      <c r="AP78" s="2380"/>
      <c r="AQ78" s="2382">
        <f>AQ984</f>
        <v>0</v>
      </c>
      <c r="AR78" s="2382"/>
      <c r="AS78" s="2382"/>
      <c r="AT78" s="2383"/>
      <c r="AW78" s="684" t="s">
        <v>1370</v>
      </c>
      <c r="AX78" s="685">
        <f t="shared" si="0"/>
        <v>0</v>
      </c>
      <c r="BA78" s="46" t="s">
        <v>467</v>
      </c>
      <c r="BB78" s="47">
        <f>DIYED+BB77</f>
        <v>0</v>
      </c>
    </row>
    <row r="79" spans="1:63" ht="18.75" customHeight="1" thickBot="1">
      <c r="A79" s="159">
        <f>IFERROR(J75/Square_Feet,0)</f>
        <v>0</v>
      </c>
      <c r="B79" s="2421" t="s">
        <v>1135</v>
      </c>
      <c r="C79" s="2422"/>
      <c r="D79" s="2422"/>
      <c r="E79" s="2422"/>
      <c r="F79" s="2422"/>
      <c r="G79" s="2422"/>
      <c r="H79" s="2405"/>
      <c r="I79" s="2405"/>
      <c r="J79" s="2408">
        <f>H79*SUM(J75:M78)</f>
        <v>0</v>
      </c>
      <c r="K79" s="2408"/>
      <c r="L79" s="2408"/>
      <c r="M79" s="2408"/>
      <c r="N79" s="2380" t="str">
        <f>T('CATEGORY SETUP'!AD14:AZ14)</f>
        <v>MASONRY</v>
      </c>
      <c r="O79" s="2380"/>
      <c r="P79" s="2380"/>
      <c r="Q79" s="2380"/>
      <c r="R79" s="2380"/>
      <c r="S79" s="2380"/>
      <c r="T79" s="2380"/>
      <c r="U79" s="2382">
        <f>AQ309</f>
        <v>0</v>
      </c>
      <c r="V79" s="2382"/>
      <c r="W79" s="2382"/>
      <c r="X79" s="2382"/>
      <c r="Y79" s="2380" t="str">
        <f>T('CATEGORY SETUP'!AD22:AZ22)</f>
        <v>FRAMING &amp; DRYWALL</v>
      </c>
      <c r="Z79" s="2380"/>
      <c r="AA79" s="2380"/>
      <c r="AB79" s="2380"/>
      <c r="AC79" s="2380"/>
      <c r="AD79" s="2380"/>
      <c r="AE79" s="2380"/>
      <c r="AF79" s="2382">
        <f>AQ669</f>
        <v>0</v>
      </c>
      <c r="AG79" s="2382"/>
      <c r="AH79" s="2382"/>
      <c r="AI79" s="2382"/>
      <c r="AJ79" s="2380" t="str">
        <f>T('CATEGORY SETUP'!AD30:AZ30)</f>
        <v>PLUMBING</v>
      </c>
      <c r="AK79" s="2380"/>
      <c r="AL79" s="2380"/>
      <c r="AM79" s="2380"/>
      <c r="AN79" s="2380"/>
      <c r="AO79" s="2380"/>
      <c r="AP79" s="2380"/>
      <c r="AQ79" s="2382">
        <f>AQ1029</f>
        <v>0</v>
      </c>
      <c r="AR79" s="2382"/>
      <c r="AS79" s="2382"/>
      <c r="AT79" s="2383"/>
      <c r="AW79" s="684" t="s">
        <v>1372</v>
      </c>
      <c r="AX79" s="685">
        <f t="shared" si="0"/>
        <v>0</v>
      </c>
      <c r="BA79" s="2378"/>
      <c r="BB79" s="2378"/>
    </row>
    <row r="80" spans="1:63" ht="18.75" customHeight="1" thickTop="1">
      <c r="A80" s="15"/>
      <c r="B80" s="2418" t="s">
        <v>1133</v>
      </c>
      <c r="C80" s="2419"/>
      <c r="D80" s="2419"/>
      <c r="E80" s="2419"/>
      <c r="F80" s="2419"/>
      <c r="G80" s="2420"/>
      <c r="H80" s="2407">
        <f>IFERROR(Estimator_Total_Adder_Amount/J75,0)</f>
        <v>0</v>
      </c>
      <c r="I80" s="2407"/>
      <c r="J80" s="2406">
        <f>SUM(J76:M79)</f>
        <v>0</v>
      </c>
      <c r="K80" s="2406"/>
      <c r="L80" s="2406"/>
      <c r="M80" s="2406"/>
      <c r="N80" s="2380" t="str">
        <f>T('CATEGORY SETUP'!AD15:AZ15)</f>
        <v>SIDING</v>
      </c>
      <c r="O80" s="2380"/>
      <c r="P80" s="2380"/>
      <c r="Q80" s="2380"/>
      <c r="R80" s="2380"/>
      <c r="S80" s="2380"/>
      <c r="T80" s="2380"/>
      <c r="U80" s="2382">
        <f>AQ354</f>
        <v>0</v>
      </c>
      <c r="V80" s="2382"/>
      <c r="W80" s="2382"/>
      <c r="X80" s="2382"/>
      <c r="Y80" s="2380" t="str">
        <f>T('CATEGORY SETUP'!AD23:AZ23)</f>
        <v>CABINETS &amp; COUNTERTOPS</v>
      </c>
      <c r="Z80" s="2380"/>
      <c r="AA80" s="2380"/>
      <c r="AB80" s="2380"/>
      <c r="AC80" s="2380"/>
      <c r="AD80" s="2380"/>
      <c r="AE80" s="2380"/>
      <c r="AF80" s="2382">
        <f>AQ714</f>
        <v>0</v>
      </c>
      <c r="AG80" s="2382"/>
      <c r="AH80" s="2382"/>
      <c r="AI80" s="2382"/>
      <c r="AJ80" s="2380" t="str">
        <f>T('CATEGORY SETUP'!AD31:AZ31)</f>
        <v>HVAC</v>
      </c>
      <c r="AK80" s="2380"/>
      <c r="AL80" s="2380"/>
      <c r="AM80" s="2380"/>
      <c r="AN80" s="2380"/>
      <c r="AO80" s="2380"/>
      <c r="AP80" s="2380"/>
      <c r="AQ80" s="2382">
        <f>AQ1074</f>
        <v>0</v>
      </c>
      <c r="AR80" s="2382"/>
      <c r="AS80" s="2382"/>
      <c r="AT80" s="2383"/>
      <c r="AV80" s="2485"/>
      <c r="AW80" s="684" t="s">
        <v>1373</v>
      </c>
      <c r="AX80" s="685">
        <f t="shared" si="0"/>
        <v>0</v>
      </c>
      <c r="BA80" s="2378"/>
      <c r="BB80" s="2378"/>
      <c r="BC80" s="47"/>
    </row>
    <row r="81" spans="1:64" s="3" customFormat="1" ht="18.75" customHeight="1">
      <c r="A81" s="15"/>
      <c r="B81" s="2432" t="s">
        <v>995</v>
      </c>
      <c r="C81" s="2433"/>
      <c r="D81" s="2433"/>
      <c r="E81" s="2433"/>
      <c r="F81" s="2433"/>
      <c r="G81" s="2434"/>
      <c r="H81" s="2428">
        <f>J75+J80</f>
        <v>0</v>
      </c>
      <c r="I81" s="2428"/>
      <c r="J81" s="2428"/>
      <c r="K81" s="2428"/>
      <c r="L81" s="2428"/>
      <c r="M81" s="2429"/>
      <c r="N81" s="2380" t="str">
        <f>T('CATEGORY SETUP'!AD16:AZ16)</f>
        <v>DECKING AND PATIOS</v>
      </c>
      <c r="O81" s="2380"/>
      <c r="P81" s="2380"/>
      <c r="Q81" s="2380"/>
      <c r="R81" s="2380"/>
      <c r="S81" s="2380"/>
      <c r="T81" s="2380"/>
      <c r="U81" s="2382">
        <f>AQ399</f>
        <v>0</v>
      </c>
      <c r="V81" s="2382"/>
      <c r="W81" s="2382"/>
      <c r="X81" s="2382"/>
      <c r="Y81" s="2380" t="str">
        <f>T('CATEGORY SETUP'!AD24:AZ24)</f>
        <v>DOORS &amp; TRIM</v>
      </c>
      <c r="Z81" s="2380"/>
      <c r="AA81" s="2380"/>
      <c r="AB81" s="2380"/>
      <c r="AC81" s="2380"/>
      <c r="AD81" s="2380"/>
      <c r="AE81" s="2380"/>
      <c r="AF81" s="2382">
        <f>AQ759</f>
        <v>0</v>
      </c>
      <c r="AG81" s="2382"/>
      <c r="AH81" s="2382"/>
      <c r="AI81" s="2382"/>
      <c r="AJ81" s="2380" t="str">
        <f>T('CATEGORY SETUP'!AD32:AZ32)</f>
        <v>ELECTRICAL</v>
      </c>
      <c r="AK81" s="2380"/>
      <c r="AL81" s="2380"/>
      <c r="AM81" s="2380"/>
      <c r="AN81" s="2380"/>
      <c r="AO81" s="2380"/>
      <c r="AP81" s="2380"/>
      <c r="AQ81" s="2382">
        <f>AQ1119</f>
        <v>0</v>
      </c>
      <c r="AR81" s="2382"/>
      <c r="AS81" s="2382"/>
      <c r="AT81" s="2383"/>
      <c r="AU81" s="45"/>
      <c r="AV81" s="2485"/>
      <c r="AW81" s="684" t="s">
        <v>157</v>
      </c>
      <c r="AX81" s="685">
        <f t="shared" si="0"/>
        <v>0</v>
      </c>
      <c r="BA81" s="2378"/>
      <c r="BB81" s="2378"/>
      <c r="BC81" s="47"/>
      <c r="BD81" s="48"/>
      <c r="BE81" s="41"/>
      <c r="BF81" s="41"/>
      <c r="BG81" s="41"/>
      <c r="BH81" s="41"/>
      <c r="BI81" s="41"/>
      <c r="BJ81" s="41"/>
      <c r="BK81" s="92"/>
    </row>
    <row r="82" spans="1:64" s="3" customFormat="1" ht="18.75" customHeight="1" thickBot="1">
      <c r="A82" s="15"/>
      <c r="B82" s="2435"/>
      <c r="C82" s="2436"/>
      <c r="D82" s="2436"/>
      <c r="E82" s="2436"/>
      <c r="F82" s="2436"/>
      <c r="G82" s="2437"/>
      <c r="H82" s="2430"/>
      <c r="I82" s="2430"/>
      <c r="J82" s="2430"/>
      <c r="K82" s="2430"/>
      <c r="L82" s="2430"/>
      <c r="M82" s="2431"/>
      <c r="N82" s="2381" t="str">
        <f>T('CATEGORY SETUP'!AD17:AZ17)</f>
        <v>ROOFING</v>
      </c>
      <c r="O82" s="2381"/>
      <c r="P82" s="2381"/>
      <c r="Q82" s="2381"/>
      <c r="R82" s="2381"/>
      <c r="S82" s="2381"/>
      <c r="T82" s="2381"/>
      <c r="U82" s="2401">
        <f>AQ444</f>
        <v>0</v>
      </c>
      <c r="V82" s="2401"/>
      <c r="W82" s="2401"/>
      <c r="X82" s="2401"/>
      <c r="Y82" s="2381" t="str">
        <f>T('CATEGORY SETUP'!AD25:AZ25)</f>
        <v>CARPET &amp; RESILIENT</v>
      </c>
      <c r="Z82" s="2381"/>
      <c r="AA82" s="2381"/>
      <c r="AB82" s="2381"/>
      <c r="AC82" s="2381"/>
      <c r="AD82" s="2381"/>
      <c r="AE82" s="2381"/>
      <c r="AF82" s="2401">
        <f>AQ804</f>
        <v>0</v>
      </c>
      <c r="AG82" s="2401"/>
      <c r="AH82" s="2401"/>
      <c r="AI82" s="2401"/>
      <c r="AJ82" s="2381" t="str">
        <f>T('CATEGORY SETUP'!AD33:AZ33)</f>
        <v>MISCELLANEOUS</v>
      </c>
      <c r="AK82" s="2381"/>
      <c r="AL82" s="2381"/>
      <c r="AM82" s="2381"/>
      <c r="AN82" s="2381"/>
      <c r="AO82" s="2381"/>
      <c r="AP82" s="2381"/>
      <c r="AQ82" s="2401">
        <f>AQ1164</f>
        <v>0</v>
      </c>
      <c r="AR82" s="2401"/>
      <c r="AS82" s="2401"/>
      <c r="AT82" s="2402"/>
      <c r="AU82" s="45"/>
      <c r="AV82" s="2486"/>
      <c r="AW82" s="686" t="s">
        <v>158</v>
      </c>
      <c r="AX82" s="687">
        <f t="shared" si="0"/>
        <v>0</v>
      </c>
      <c r="BA82" s="2379" t="s">
        <v>312</v>
      </c>
      <c r="BB82" s="2379"/>
      <c r="BC82" s="2379"/>
      <c r="BD82" s="48"/>
      <c r="BE82" s="41"/>
      <c r="BF82" s="41"/>
      <c r="BG82" s="41"/>
      <c r="BH82" s="41"/>
      <c r="BI82" s="41"/>
      <c r="BJ82" s="41"/>
      <c r="BK82" s="92"/>
    </row>
    <row r="83" spans="1:64" s="3" customFormat="1" ht="6" customHeight="1">
      <c r="A83" s="15"/>
      <c r="B83" s="280"/>
      <c r="C83" s="280"/>
      <c r="D83" s="280"/>
      <c r="E83" s="280"/>
      <c r="F83" s="280"/>
      <c r="G83" s="280"/>
      <c r="H83" s="280"/>
      <c r="I83" s="280"/>
      <c r="J83" s="280"/>
      <c r="K83" s="280"/>
      <c r="L83" s="280"/>
      <c r="M83" s="280"/>
      <c r="N83" s="281"/>
      <c r="O83" s="281"/>
      <c r="P83" s="281"/>
      <c r="Q83" s="281"/>
      <c r="R83" s="281"/>
      <c r="S83" s="281"/>
      <c r="T83" s="281"/>
      <c r="U83" s="363"/>
      <c r="V83" s="363"/>
      <c r="W83" s="363"/>
      <c r="X83" s="363"/>
      <c r="Y83" s="281"/>
      <c r="Z83" s="281"/>
      <c r="AA83" s="281"/>
      <c r="AB83" s="281"/>
      <c r="AC83" s="281"/>
      <c r="AD83" s="281"/>
      <c r="AE83" s="281"/>
      <c r="AF83" s="363"/>
      <c r="AG83" s="363"/>
      <c r="AH83" s="363"/>
      <c r="AI83" s="363"/>
      <c r="AJ83" s="281"/>
      <c r="AK83" s="281"/>
      <c r="AL83" s="281"/>
      <c r="AM83" s="281"/>
      <c r="AN83" s="281"/>
      <c r="AO83" s="281"/>
      <c r="AP83" s="281"/>
      <c r="AQ83" s="363"/>
      <c r="AR83" s="363"/>
      <c r="AS83" s="363"/>
      <c r="AT83" s="363"/>
      <c r="AU83" s="45"/>
      <c r="AV83" s="660"/>
      <c r="AW83" s="689"/>
      <c r="AX83" s="660"/>
      <c r="AY83" s="660"/>
      <c r="AZ83" s="660"/>
      <c r="BA83" s="275"/>
      <c r="BB83" s="275"/>
      <c r="BC83" s="275"/>
      <c r="BD83" s="48"/>
      <c r="BE83" s="41"/>
      <c r="BF83" s="41"/>
      <c r="BG83" s="41"/>
      <c r="BH83" s="41"/>
      <c r="BI83" s="41"/>
      <c r="BJ83" s="41"/>
      <c r="BK83" s="92"/>
    </row>
    <row r="84" spans="1:64" s="21" customFormat="1" ht="18.600000000000001" customHeight="1">
      <c r="A84" s="277"/>
      <c r="B84" s="2442" t="s">
        <v>269</v>
      </c>
      <c r="C84" s="2443"/>
      <c r="D84" s="2423" t="s">
        <v>721</v>
      </c>
      <c r="E84" s="2423"/>
      <c r="F84" s="2423"/>
      <c r="G84" s="2423"/>
      <c r="H84" s="2423"/>
      <c r="I84" s="2423"/>
      <c r="J84" s="2423"/>
      <c r="K84" s="2423"/>
      <c r="L84" s="2423"/>
      <c r="M84" s="2423"/>
      <c r="N84" s="2423"/>
      <c r="O84" s="2423"/>
      <c r="P84" s="2423" t="s">
        <v>40</v>
      </c>
      <c r="Q84" s="2423"/>
      <c r="R84" s="2423"/>
      <c r="S84" s="2423" t="s">
        <v>720</v>
      </c>
      <c r="T84" s="2423"/>
      <c r="U84" s="2409" t="s">
        <v>719</v>
      </c>
      <c r="V84" s="2409"/>
      <c r="W84" s="2409"/>
      <c r="X84" s="2409"/>
      <c r="Y84" s="2409"/>
      <c r="Z84" s="2409"/>
      <c r="AA84" s="2409"/>
      <c r="AB84" s="2409"/>
      <c r="AC84" s="2409"/>
      <c r="AD84" s="2377">
        <f>AD129+AD174+AD219+AD264+AD309+AD354+AD399+AD444+AD489+AD534+AD579+AD624+AD669+AD714+AD759+AD804+AD849+AD894+AD939+AD984+AD1029+AD1074+AD1119+AD1164</f>
        <v>0</v>
      </c>
      <c r="AE84" s="2377"/>
      <c r="AF84" s="2377"/>
      <c r="AG84" s="2377">
        <f>AG129+AG174+AG219+AG264+AG309+AG354+AG399+AG444+AG489+AG534+AG579+AG624+AG669+AG714+AG759+AG804+AG849+AG894+AG939+AG984+AG1029+AG1074+AG1119+AG1164</f>
        <v>0</v>
      </c>
      <c r="AH84" s="2377"/>
      <c r="AI84" s="2377"/>
      <c r="AJ84" s="2377">
        <f>AJ129+AJ174+AJ219+AJ264+AJ309+AJ354+AJ399+AJ444+AJ489+AJ534+AJ579+AJ624+AJ669+AJ714+AJ759+AJ804+AJ849+AJ894+AJ939+AJ984+AJ1029+AJ1074+AJ1119+AJ1164</f>
        <v>0</v>
      </c>
      <c r="AK84" s="2377"/>
      <c r="AL84" s="2377"/>
      <c r="AM84" s="2377">
        <f>AM129+AM174+AM219+AM264+AM309+AM354+AM399+AM444+AM489+AM534+AM579+AM624+AM669+AM714+AM759+AM804+AM849+AM894+AM939+AM984+AM1029+AM1074+AM1119+AM1164</f>
        <v>0</v>
      </c>
      <c r="AN84" s="2377"/>
      <c r="AO84" s="2377"/>
      <c r="AP84" s="2377"/>
      <c r="AQ84" s="2377">
        <f>Labor_Estimate+Material_Estimate+Sub_Estimate</f>
        <v>0</v>
      </c>
      <c r="AR84" s="2377"/>
      <c r="AS84" s="2377"/>
      <c r="AT84" s="2377"/>
      <c r="AU84" s="364"/>
      <c r="AV84" s="2385" t="s">
        <v>612</v>
      </c>
      <c r="AW84" s="2356" t="s">
        <v>1093</v>
      </c>
      <c r="AX84" s="2356" t="s">
        <v>1699</v>
      </c>
      <c r="AY84" s="2356" t="s">
        <v>1374</v>
      </c>
      <c r="AZ84" s="2356" t="s">
        <v>801</v>
      </c>
      <c r="BA84" s="278"/>
      <c r="BB84" s="124"/>
      <c r="BC84" s="124"/>
      <c r="BD84" s="124"/>
      <c r="BE84" s="124"/>
      <c r="BF84" s="121">
        <f>BF129+BF174+BF219+BF264+BF309+BF354+BF399+BF444+BF489+BF534+BF579+BF624+BF669+BF714+BF759+BF804+BF849+BF894+BF939+BF984+BF1029+BF1074+BF1119+BF1164</f>
        <v>0</v>
      </c>
      <c r="BG84" s="2357" t="s">
        <v>412</v>
      </c>
      <c r="BI84" s="2357" t="s">
        <v>802</v>
      </c>
      <c r="BJ84" s="2357" t="s">
        <v>412</v>
      </c>
      <c r="BK84" s="2357" t="s">
        <v>803</v>
      </c>
      <c r="BL84" s="17"/>
    </row>
    <row r="85" spans="1:64" s="21" customFormat="1" ht="18.600000000000001" customHeight="1">
      <c r="A85" s="277"/>
      <c r="B85" s="2444"/>
      <c r="C85" s="2445"/>
      <c r="D85" s="2423"/>
      <c r="E85" s="2423"/>
      <c r="F85" s="2423"/>
      <c r="G85" s="2423"/>
      <c r="H85" s="2423"/>
      <c r="I85" s="2423"/>
      <c r="J85" s="2423"/>
      <c r="K85" s="2423"/>
      <c r="L85" s="2423"/>
      <c r="M85" s="2423"/>
      <c r="N85" s="2423"/>
      <c r="O85" s="2423"/>
      <c r="P85" s="2423"/>
      <c r="Q85" s="2423"/>
      <c r="R85" s="2423"/>
      <c r="S85" s="2423"/>
      <c r="T85" s="2423"/>
      <c r="U85" s="2410" t="s">
        <v>421</v>
      </c>
      <c r="V85" s="2410"/>
      <c r="W85" s="2410"/>
      <c r="X85" s="596" t="s">
        <v>36</v>
      </c>
      <c r="Y85" s="2417">
        <v>7.0000000000000007E-2</v>
      </c>
      <c r="Z85" s="2417"/>
      <c r="AA85" s="2410" t="s">
        <v>38</v>
      </c>
      <c r="AB85" s="2410"/>
      <c r="AC85" s="2410"/>
      <c r="AD85" s="2399" t="s">
        <v>421</v>
      </c>
      <c r="AE85" s="2399"/>
      <c r="AF85" s="2399"/>
      <c r="AG85" s="2399" t="s">
        <v>36</v>
      </c>
      <c r="AH85" s="2399"/>
      <c r="AI85" s="2399"/>
      <c r="AJ85" s="2399" t="s">
        <v>38</v>
      </c>
      <c r="AK85" s="2399"/>
      <c r="AL85" s="2399"/>
      <c r="AM85" s="2384" t="s">
        <v>412</v>
      </c>
      <c r="AN85" s="2384"/>
      <c r="AO85" s="2384"/>
      <c r="AP85" s="2384"/>
      <c r="AQ85" s="2400" t="s">
        <v>413</v>
      </c>
      <c r="AR85" s="2400"/>
      <c r="AS85" s="2400"/>
      <c r="AT85" s="2400"/>
      <c r="AU85" s="364"/>
      <c r="AV85" s="2386"/>
      <c r="AW85" s="2356"/>
      <c r="AX85" s="2356"/>
      <c r="AY85" s="2356"/>
      <c r="AZ85" s="2356"/>
      <c r="BA85" s="279" t="s">
        <v>37</v>
      </c>
      <c r="BB85" s="122" t="s">
        <v>36</v>
      </c>
      <c r="BC85" s="122" t="s">
        <v>38</v>
      </c>
      <c r="BD85" s="122" t="s">
        <v>704</v>
      </c>
      <c r="BE85" s="122" t="s">
        <v>413</v>
      </c>
      <c r="BF85" s="122" t="str">
        <f>AQ85</f>
        <v>TOTAL</v>
      </c>
      <c r="BG85" s="2358" t="str">
        <f>AM85</f>
        <v>DIY SAVINGS</v>
      </c>
      <c r="BI85" s="2358" t="s">
        <v>802</v>
      </c>
      <c r="BJ85" s="2358" t="s">
        <v>412</v>
      </c>
      <c r="BK85" s="2358" t="s">
        <v>803</v>
      </c>
      <c r="BL85" s="17"/>
    </row>
    <row r="86" spans="1:64" s="21" customFormat="1" ht="7.35" customHeight="1">
      <c r="A86" s="17"/>
      <c r="B86" s="2359"/>
      <c r="C86" s="2360"/>
      <c r="D86" s="2361"/>
      <c r="E86" s="2361"/>
      <c r="F86" s="2361"/>
      <c r="G86" s="2361"/>
      <c r="H86" s="2361"/>
      <c r="I86" s="2361"/>
      <c r="J86" s="2361"/>
      <c r="K86" s="2361"/>
      <c r="L86" s="2361"/>
      <c r="M86" s="2361"/>
      <c r="N86" s="2361"/>
      <c r="O86" s="2362"/>
      <c r="P86" s="2359"/>
      <c r="Q86" s="2363"/>
      <c r="R86" s="2364"/>
      <c r="S86" s="2359"/>
      <c r="T86" s="2364"/>
      <c r="U86" s="2365"/>
      <c r="V86" s="2366"/>
      <c r="W86" s="2367"/>
      <c r="X86" s="2365"/>
      <c r="Y86" s="2366"/>
      <c r="Z86" s="2367"/>
      <c r="AA86" s="2365"/>
      <c r="AB86" s="2366"/>
      <c r="AC86" s="2367"/>
      <c r="AD86" s="2368"/>
      <c r="AE86" s="2369"/>
      <c r="AF86" s="2370"/>
      <c r="AG86" s="2368"/>
      <c r="AH86" s="2369"/>
      <c r="AI86" s="2370"/>
      <c r="AJ86" s="2368"/>
      <c r="AK86" s="2369"/>
      <c r="AL86" s="2370"/>
      <c r="AM86" s="2371"/>
      <c r="AN86" s="2372"/>
      <c r="AO86" s="2372"/>
      <c r="AP86" s="2373"/>
      <c r="AQ86" s="2374"/>
      <c r="AR86" s="2375"/>
      <c r="AS86" s="2375"/>
      <c r="AT86" s="2376"/>
      <c r="AU86" s="364"/>
      <c r="AV86" s="38"/>
      <c r="AW86" s="38"/>
      <c r="AX86" s="38"/>
      <c r="AY86" s="38"/>
      <c r="AZ86" s="38"/>
      <c r="BA86" s="38"/>
      <c r="BB86" s="38"/>
      <c r="BC86" s="38"/>
      <c r="BD86" s="38"/>
      <c r="BE86" s="38"/>
      <c r="BF86" s="38"/>
      <c r="BG86" s="38"/>
      <c r="BI86" s="38"/>
      <c r="BJ86" s="38"/>
      <c r="BK86" s="38"/>
      <c r="BL86" s="17"/>
    </row>
    <row r="87" spans="1:64" ht="21" customHeight="1">
      <c r="A87" s="186" t="s">
        <v>1905</v>
      </c>
      <c r="B87" s="2350"/>
      <c r="C87" s="2351"/>
      <c r="D87" s="2392" t="str">
        <f>T(N75)</f>
        <v>GENERAL CONDITIONS</v>
      </c>
      <c r="E87" s="2393"/>
      <c r="F87" s="2393"/>
      <c r="G87" s="2393"/>
      <c r="H87" s="2393"/>
      <c r="I87" s="2393"/>
      <c r="J87" s="2393"/>
      <c r="K87" s="2393"/>
      <c r="L87" s="2393"/>
      <c r="M87" s="2393"/>
      <c r="N87" s="2393"/>
      <c r="O87" s="2394"/>
      <c r="P87" s="2352"/>
      <c r="Q87" s="2352"/>
      <c r="R87" s="2352"/>
      <c r="S87" s="2353"/>
      <c r="T87" s="2354"/>
      <c r="U87" s="2355"/>
      <c r="V87" s="2355"/>
      <c r="W87" s="2355"/>
      <c r="X87" s="2355"/>
      <c r="Y87" s="2355"/>
      <c r="Z87" s="2355"/>
      <c r="AA87" s="2355"/>
      <c r="AB87" s="2355"/>
      <c r="AC87" s="2355"/>
      <c r="AD87" s="2342">
        <f>AD129</f>
        <v>0</v>
      </c>
      <c r="AE87" s="2342"/>
      <c r="AF87" s="2342"/>
      <c r="AG87" s="2342">
        <f>AG129</f>
        <v>0</v>
      </c>
      <c r="AH87" s="2342"/>
      <c r="AI87" s="2342"/>
      <c r="AJ87" s="2342">
        <f>AJ129</f>
        <v>0</v>
      </c>
      <c r="AK87" s="2342"/>
      <c r="AL87" s="2342"/>
      <c r="AM87" s="2342">
        <f>AM129</f>
        <v>0</v>
      </c>
      <c r="AN87" s="2342"/>
      <c r="AO87" s="2342"/>
      <c r="AP87" s="2342"/>
      <c r="AQ87" s="2336">
        <f>AQ129</f>
        <v>0</v>
      </c>
      <c r="AR87" s="2336"/>
      <c r="AS87" s="2336"/>
      <c r="AT87" s="2336" t="e">
        <f>SUM(#REF!)</f>
        <v>#REF!</v>
      </c>
      <c r="AU87" s="365"/>
      <c r="AV87" s="151" t="str">
        <f t="shared" ref="AV87:AV130" si="1">$D$87</f>
        <v>GENERAL CONDITIONS</v>
      </c>
      <c r="AW87" s="700"/>
      <c r="AX87" s="700"/>
      <c r="AY87" s="700"/>
      <c r="AZ87" s="701"/>
      <c r="BA87" s="49">
        <f>SUM(BA88:BA127)</f>
        <v>0</v>
      </c>
      <c r="BB87" s="49">
        <f>SUM(BB88:BB127)</f>
        <v>0</v>
      </c>
      <c r="BC87" s="49">
        <f>SUM(BC88:BC127)</f>
        <v>0</v>
      </c>
      <c r="BD87" s="49">
        <f>SUM(BD88:BD127)</f>
        <v>0</v>
      </c>
      <c r="BE87" s="49">
        <f>SUM(BE88:BE127)</f>
        <v>0</v>
      </c>
      <c r="BF87" s="49">
        <f t="shared" ref="BF87:BF122" si="2">AQ87</f>
        <v>0</v>
      </c>
      <c r="BG87" s="49">
        <f t="shared" ref="BG87:BG122" si="3">AM87</f>
        <v>0</v>
      </c>
      <c r="BI87" s="134">
        <f>AD87</f>
        <v>0</v>
      </c>
      <c r="BJ87" s="134">
        <f>AM87</f>
        <v>0</v>
      </c>
      <c r="BK87" s="134">
        <f>BJ87+BI87</f>
        <v>0</v>
      </c>
    </row>
    <row r="88" spans="1:64">
      <c r="A88" s="187"/>
      <c r="B88" s="2333"/>
      <c r="C88" s="2333"/>
      <c r="D88" s="2334" t="s">
        <v>270</v>
      </c>
      <c r="E88" s="2334"/>
      <c r="F88" s="2334"/>
      <c r="G88" s="2334"/>
      <c r="H88" s="2334"/>
      <c r="I88" s="2334"/>
      <c r="J88" s="2334"/>
      <c r="K88" s="2334"/>
      <c r="L88" s="2334"/>
      <c r="M88" s="2334"/>
      <c r="N88" s="2334"/>
      <c r="O88" s="2334"/>
      <c r="P88" s="2324"/>
      <c r="Q88" s="2324"/>
      <c r="R88" s="2325"/>
      <c r="S88" s="2324" t="s">
        <v>2</v>
      </c>
      <c r="T88" s="2324"/>
      <c r="U88" s="2326"/>
      <c r="V88" s="2327"/>
      <c r="W88" s="2327"/>
      <c r="X88" s="2328">
        <v>425</v>
      </c>
      <c r="Y88" s="2329"/>
      <c r="Z88" s="2326"/>
      <c r="AA88" s="2328"/>
      <c r="AB88" s="2329"/>
      <c r="AC88" s="2326"/>
      <c r="AD88" s="2330">
        <f>((P88*U88)-AM88)</f>
        <v>0</v>
      </c>
      <c r="AE88" s="2330"/>
      <c r="AF88" s="2330"/>
      <c r="AG88" s="2330">
        <f>P88*X88*(1+$Y$85)</f>
        <v>0</v>
      </c>
      <c r="AH88" s="2330"/>
      <c r="AI88" s="2330"/>
      <c r="AJ88" s="2330">
        <f>P88*AA88</f>
        <v>0</v>
      </c>
      <c r="AK88" s="2330"/>
      <c r="AL88" s="2330"/>
      <c r="AM88" s="2331">
        <f t="shared" ref="AM88:AM127" si="4">IF($B88="x",$P88*$U88,0)</f>
        <v>0</v>
      </c>
      <c r="AN88" s="2331"/>
      <c r="AO88" s="2331"/>
      <c r="AP88" s="2331"/>
      <c r="AQ88" s="2332">
        <f>SUM(AD88:AL88)</f>
        <v>0</v>
      </c>
      <c r="AR88" s="2332"/>
      <c r="AS88" s="2332"/>
      <c r="AT88" s="2332"/>
      <c r="AU88" s="365"/>
      <c r="AV88" s="151" t="str">
        <f t="shared" si="1"/>
        <v>GENERAL CONDITIONS</v>
      </c>
      <c r="AW88" s="681"/>
      <c r="AX88" s="230"/>
      <c r="AY88" s="230"/>
      <c r="AZ88" s="679"/>
      <c r="BA88" s="49">
        <f t="shared" ref="BA88:BA122" si="5">AD88</f>
        <v>0</v>
      </c>
      <c r="BB88" s="49">
        <f>AG88</f>
        <v>0</v>
      </c>
      <c r="BC88" s="49">
        <f>AJ88</f>
        <v>0</v>
      </c>
      <c r="BD88" s="49">
        <f t="shared" ref="BD88:BD122" si="6">IF(B88="x",1,0)</f>
        <v>0</v>
      </c>
      <c r="BE88" s="49">
        <f>SUM(BA88:BC88)</f>
        <v>0</v>
      </c>
      <c r="BF88" s="49">
        <f t="shared" si="2"/>
        <v>0</v>
      </c>
      <c r="BG88" s="49">
        <f t="shared" si="3"/>
        <v>0</v>
      </c>
      <c r="BI88" s="134">
        <f>AD88</f>
        <v>0</v>
      </c>
      <c r="BJ88" s="134">
        <f>AM88</f>
        <v>0</v>
      </c>
      <c r="BK88" s="134">
        <f>BJ88+BI88</f>
        <v>0</v>
      </c>
    </row>
    <row r="89" spans="1:64">
      <c r="A89" s="187"/>
      <c r="B89" s="2333"/>
      <c r="C89" s="2333"/>
      <c r="D89" s="2334" t="s">
        <v>4</v>
      </c>
      <c r="E89" s="2334"/>
      <c r="F89" s="2334"/>
      <c r="G89" s="2334"/>
      <c r="H89" s="2334"/>
      <c r="I89" s="2334"/>
      <c r="J89" s="2334"/>
      <c r="K89" s="2334"/>
      <c r="L89" s="2334"/>
      <c r="M89" s="2334"/>
      <c r="N89" s="2334"/>
      <c r="O89" s="2334"/>
      <c r="P89" s="2324"/>
      <c r="Q89" s="2324"/>
      <c r="R89" s="2325"/>
      <c r="S89" s="2324" t="s">
        <v>5</v>
      </c>
      <c r="T89" s="2324" t="s">
        <v>5</v>
      </c>
      <c r="U89" s="2326"/>
      <c r="V89" s="2327"/>
      <c r="W89" s="2327"/>
      <c r="X89" s="2328">
        <v>200</v>
      </c>
      <c r="Y89" s="2329"/>
      <c r="Z89" s="2326">
        <v>200</v>
      </c>
      <c r="AA89" s="2328"/>
      <c r="AB89" s="2329"/>
      <c r="AC89" s="2326"/>
      <c r="AD89" s="2330">
        <f t="shared" ref="AD89:AD122" si="7">((P89*U89)-AM89)</f>
        <v>0</v>
      </c>
      <c r="AE89" s="2330"/>
      <c r="AF89" s="2330"/>
      <c r="AG89" s="2330">
        <f t="shared" ref="AG89:AG127" si="8">P89*X89*(1+$Y$85)</f>
        <v>0</v>
      </c>
      <c r="AH89" s="2330"/>
      <c r="AI89" s="2330"/>
      <c r="AJ89" s="2330">
        <f t="shared" ref="AJ89:AJ122" si="9">P89*AA89</f>
        <v>0</v>
      </c>
      <c r="AK89" s="2330"/>
      <c r="AL89" s="2330"/>
      <c r="AM89" s="2331">
        <f t="shared" si="4"/>
        <v>0</v>
      </c>
      <c r="AN89" s="2331"/>
      <c r="AO89" s="2331"/>
      <c r="AP89" s="2331"/>
      <c r="AQ89" s="2332">
        <f t="shared" ref="AQ89:AQ122" si="10">SUM(AD89:AL89)</f>
        <v>0</v>
      </c>
      <c r="AR89" s="2332"/>
      <c r="AS89" s="2332"/>
      <c r="AT89" s="2332"/>
      <c r="AU89" s="45"/>
      <c r="AV89" s="151" t="str">
        <f t="shared" si="1"/>
        <v>GENERAL CONDITIONS</v>
      </c>
      <c r="AW89" s="681"/>
      <c r="AX89" s="230"/>
      <c r="AY89" s="230"/>
      <c r="AZ89" s="679"/>
      <c r="BA89" s="49">
        <f t="shared" si="5"/>
        <v>0</v>
      </c>
      <c r="BB89" s="49">
        <f t="shared" ref="BB89:BB122" si="11">AG89</f>
        <v>0</v>
      </c>
      <c r="BC89" s="49">
        <f t="shared" ref="BC89:BC122" si="12">AJ89</f>
        <v>0</v>
      </c>
      <c r="BD89" s="49">
        <f t="shared" si="6"/>
        <v>0</v>
      </c>
      <c r="BE89" s="49">
        <f t="shared" ref="BE89:BE120" si="13">SUM(BA89:BC89)</f>
        <v>0</v>
      </c>
      <c r="BF89" s="49">
        <f t="shared" si="2"/>
        <v>0</v>
      </c>
      <c r="BG89" s="49">
        <f t="shared" si="3"/>
        <v>0</v>
      </c>
      <c r="BI89" s="134">
        <f t="shared" ref="BI89:BI122" si="14">AD89</f>
        <v>0</v>
      </c>
      <c r="BJ89" s="134">
        <f t="shared" ref="BJ89:BJ122" si="15">AM89</f>
        <v>0</v>
      </c>
      <c r="BK89" s="134">
        <f t="shared" ref="BK89:BK122" si="16">BJ89+BI89</f>
        <v>0</v>
      </c>
    </row>
    <row r="90" spans="1:64">
      <c r="A90" s="187"/>
      <c r="B90" s="2333"/>
      <c r="C90" s="2333"/>
      <c r="D90" s="2334" t="s">
        <v>6</v>
      </c>
      <c r="E90" s="2334"/>
      <c r="F90" s="2334"/>
      <c r="G90" s="2334"/>
      <c r="H90" s="2334"/>
      <c r="I90" s="2334"/>
      <c r="J90" s="2334"/>
      <c r="K90" s="2334"/>
      <c r="L90" s="2334"/>
      <c r="M90" s="2334"/>
      <c r="N90" s="2334"/>
      <c r="O90" s="2334"/>
      <c r="P90" s="2324"/>
      <c r="Q90" s="2324"/>
      <c r="R90" s="2325"/>
      <c r="S90" s="2324" t="s">
        <v>7</v>
      </c>
      <c r="T90" s="2324" t="s">
        <v>7</v>
      </c>
      <c r="U90" s="2326"/>
      <c r="V90" s="2327"/>
      <c r="W90" s="2327"/>
      <c r="X90" s="2328">
        <v>85</v>
      </c>
      <c r="Y90" s="2329"/>
      <c r="Z90" s="2326">
        <v>85</v>
      </c>
      <c r="AA90" s="2328"/>
      <c r="AB90" s="2329"/>
      <c r="AC90" s="2326"/>
      <c r="AD90" s="2330">
        <f t="shared" si="7"/>
        <v>0</v>
      </c>
      <c r="AE90" s="2330"/>
      <c r="AF90" s="2330"/>
      <c r="AG90" s="2330">
        <f t="shared" si="8"/>
        <v>0</v>
      </c>
      <c r="AH90" s="2330"/>
      <c r="AI90" s="2330"/>
      <c r="AJ90" s="2330">
        <f t="shared" si="9"/>
        <v>0</v>
      </c>
      <c r="AK90" s="2330"/>
      <c r="AL90" s="2330"/>
      <c r="AM90" s="2331">
        <f t="shared" si="4"/>
        <v>0</v>
      </c>
      <c r="AN90" s="2331"/>
      <c r="AO90" s="2331"/>
      <c r="AP90" s="2331"/>
      <c r="AQ90" s="2332">
        <f t="shared" si="10"/>
        <v>0</v>
      </c>
      <c r="AR90" s="2332"/>
      <c r="AS90" s="2332"/>
      <c r="AT90" s="2332"/>
      <c r="AV90" s="151" t="str">
        <f t="shared" si="1"/>
        <v>GENERAL CONDITIONS</v>
      </c>
      <c r="AW90" s="681"/>
      <c r="AX90" s="230"/>
      <c r="AY90" s="230"/>
      <c r="AZ90" s="679"/>
      <c r="BA90" s="49">
        <f t="shared" si="5"/>
        <v>0</v>
      </c>
      <c r="BB90" s="49">
        <f t="shared" si="11"/>
        <v>0</v>
      </c>
      <c r="BC90" s="49">
        <f t="shared" si="12"/>
        <v>0</v>
      </c>
      <c r="BD90" s="49">
        <f t="shared" si="6"/>
        <v>0</v>
      </c>
      <c r="BE90" s="49">
        <f t="shared" si="13"/>
        <v>0</v>
      </c>
      <c r="BF90" s="49">
        <f t="shared" si="2"/>
        <v>0</v>
      </c>
      <c r="BG90" s="49">
        <f t="shared" si="3"/>
        <v>0</v>
      </c>
      <c r="BI90" s="134">
        <f t="shared" si="14"/>
        <v>0</v>
      </c>
      <c r="BJ90" s="134">
        <f t="shared" si="15"/>
        <v>0</v>
      </c>
      <c r="BK90" s="134">
        <f t="shared" si="16"/>
        <v>0</v>
      </c>
    </row>
    <row r="91" spans="1:64">
      <c r="A91" s="187"/>
      <c r="B91" s="2333"/>
      <c r="C91" s="2333"/>
      <c r="D91" s="2334" t="s">
        <v>497</v>
      </c>
      <c r="E91" s="2334"/>
      <c r="F91" s="2334"/>
      <c r="G91" s="2334"/>
      <c r="H91" s="2334"/>
      <c r="I91" s="2334"/>
      <c r="J91" s="2334"/>
      <c r="K91" s="2334"/>
      <c r="L91" s="2334"/>
      <c r="M91" s="2334"/>
      <c r="N91" s="2334"/>
      <c r="O91" s="2334"/>
      <c r="P91" s="2324"/>
      <c r="Q91" s="2324"/>
      <c r="R91" s="2325"/>
      <c r="S91" s="2324" t="s">
        <v>3</v>
      </c>
      <c r="T91" s="2324" t="s">
        <v>7</v>
      </c>
      <c r="U91" s="2326"/>
      <c r="V91" s="2327"/>
      <c r="W91" s="2327"/>
      <c r="X91" s="2328">
        <v>250</v>
      </c>
      <c r="Y91" s="2329"/>
      <c r="Z91" s="2326">
        <v>250</v>
      </c>
      <c r="AA91" s="2328"/>
      <c r="AB91" s="2329"/>
      <c r="AC91" s="2326"/>
      <c r="AD91" s="2330">
        <f t="shared" si="7"/>
        <v>0</v>
      </c>
      <c r="AE91" s="2330"/>
      <c r="AF91" s="2330"/>
      <c r="AG91" s="2330">
        <f t="shared" si="8"/>
        <v>0</v>
      </c>
      <c r="AH91" s="2330"/>
      <c r="AI91" s="2330"/>
      <c r="AJ91" s="2330">
        <f t="shared" si="9"/>
        <v>0</v>
      </c>
      <c r="AK91" s="2330"/>
      <c r="AL91" s="2330"/>
      <c r="AM91" s="2331">
        <f t="shared" si="4"/>
        <v>0</v>
      </c>
      <c r="AN91" s="2331"/>
      <c r="AO91" s="2331"/>
      <c r="AP91" s="2331"/>
      <c r="AQ91" s="2332">
        <f t="shared" si="10"/>
        <v>0</v>
      </c>
      <c r="AR91" s="2332"/>
      <c r="AS91" s="2332"/>
      <c r="AT91" s="2332"/>
      <c r="AV91" s="151" t="str">
        <f t="shared" si="1"/>
        <v>GENERAL CONDITIONS</v>
      </c>
      <c r="AW91" s="681"/>
      <c r="AX91" s="230"/>
      <c r="AY91" s="230"/>
      <c r="AZ91" s="679"/>
      <c r="BA91" s="49">
        <f t="shared" si="5"/>
        <v>0</v>
      </c>
      <c r="BB91" s="49">
        <f t="shared" si="11"/>
        <v>0</v>
      </c>
      <c r="BC91" s="49">
        <f t="shared" si="12"/>
        <v>0</v>
      </c>
      <c r="BD91" s="49">
        <f t="shared" si="6"/>
        <v>0</v>
      </c>
      <c r="BE91" s="49">
        <f t="shared" si="13"/>
        <v>0</v>
      </c>
      <c r="BF91" s="49">
        <f t="shared" si="2"/>
        <v>0</v>
      </c>
      <c r="BG91" s="49">
        <f t="shared" si="3"/>
        <v>0</v>
      </c>
      <c r="BI91" s="134">
        <f t="shared" si="14"/>
        <v>0</v>
      </c>
      <c r="BJ91" s="134">
        <f t="shared" si="15"/>
        <v>0</v>
      </c>
      <c r="BK91" s="134">
        <f t="shared" si="16"/>
        <v>0</v>
      </c>
    </row>
    <row r="92" spans="1:64">
      <c r="A92" s="187"/>
      <c r="B92" s="2333"/>
      <c r="C92" s="2333"/>
      <c r="D92" s="2334" t="s">
        <v>498</v>
      </c>
      <c r="E92" s="2334"/>
      <c r="F92" s="2334"/>
      <c r="G92" s="2334"/>
      <c r="H92" s="2334"/>
      <c r="I92" s="2334"/>
      <c r="J92" s="2334"/>
      <c r="K92" s="2334"/>
      <c r="L92" s="2334"/>
      <c r="M92" s="2334"/>
      <c r="N92" s="2334"/>
      <c r="O92" s="2334"/>
      <c r="P92" s="2324"/>
      <c r="Q92" s="2324"/>
      <c r="R92" s="2325"/>
      <c r="S92" s="2324" t="s">
        <v>2</v>
      </c>
      <c r="T92" s="2324" t="s">
        <v>7</v>
      </c>
      <c r="U92" s="2326">
        <v>45</v>
      </c>
      <c r="V92" s="2327"/>
      <c r="W92" s="2327"/>
      <c r="X92" s="2328">
        <v>50</v>
      </c>
      <c r="Y92" s="2329"/>
      <c r="Z92" s="2326">
        <v>50</v>
      </c>
      <c r="AA92" s="2328"/>
      <c r="AB92" s="2329"/>
      <c r="AC92" s="2326"/>
      <c r="AD92" s="2330">
        <f t="shared" si="7"/>
        <v>0</v>
      </c>
      <c r="AE92" s="2330"/>
      <c r="AF92" s="2330"/>
      <c r="AG92" s="2330">
        <f t="shared" si="8"/>
        <v>0</v>
      </c>
      <c r="AH92" s="2330"/>
      <c r="AI92" s="2330"/>
      <c r="AJ92" s="2330">
        <f t="shared" si="9"/>
        <v>0</v>
      </c>
      <c r="AK92" s="2330"/>
      <c r="AL92" s="2330"/>
      <c r="AM92" s="2331">
        <f t="shared" si="4"/>
        <v>0</v>
      </c>
      <c r="AN92" s="2331"/>
      <c r="AO92" s="2331"/>
      <c r="AP92" s="2331"/>
      <c r="AQ92" s="2332">
        <f t="shared" si="10"/>
        <v>0</v>
      </c>
      <c r="AR92" s="2332"/>
      <c r="AS92" s="2332"/>
      <c r="AT92" s="2332"/>
      <c r="AV92" s="151" t="str">
        <f t="shared" si="1"/>
        <v>GENERAL CONDITIONS</v>
      </c>
      <c r="AW92" s="681"/>
      <c r="AX92" s="230"/>
      <c r="AY92" s="230"/>
      <c r="AZ92" s="679"/>
      <c r="BA92" s="49">
        <f t="shared" si="5"/>
        <v>0</v>
      </c>
      <c r="BB92" s="49">
        <f t="shared" si="11"/>
        <v>0</v>
      </c>
      <c r="BC92" s="49">
        <f t="shared" si="12"/>
        <v>0</v>
      </c>
      <c r="BD92" s="49">
        <f t="shared" si="6"/>
        <v>0</v>
      </c>
      <c r="BE92" s="49">
        <f t="shared" si="13"/>
        <v>0</v>
      </c>
      <c r="BF92" s="49">
        <f t="shared" si="2"/>
        <v>0</v>
      </c>
      <c r="BG92" s="49">
        <f t="shared" si="3"/>
        <v>0</v>
      </c>
      <c r="BI92" s="134">
        <f t="shared" si="14"/>
        <v>0</v>
      </c>
      <c r="BJ92" s="134">
        <f t="shared" si="15"/>
        <v>0</v>
      </c>
      <c r="BK92" s="134">
        <f t="shared" si="16"/>
        <v>0</v>
      </c>
    </row>
    <row r="93" spans="1:64">
      <c r="A93" s="187"/>
      <c r="B93" s="2333"/>
      <c r="C93" s="2333"/>
      <c r="D93" s="2334" t="s">
        <v>49</v>
      </c>
      <c r="E93" s="2334"/>
      <c r="F93" s="2334"/>
      <c r="G93" s="2334"/>
      <c r="H93" s="2334"/>
      <c r="I93" s="2334"/>
      <c r="J93" s="2334"/>
      <c r="K93" s="2334"/>
      <c r="L93" s="2334"/>
      <c r="M93" s="2334"/>
      <c r="N93" s="2334"/>
      <c r="O93" s="2334"/>
      <c r="P93" s="2324"/>
      <c r="Q93" s="2324"/>
      <c r="R93" s="2325"/>
      <c r="S93" s="2324" t="s">
        <v>3</v>
      </c>
      <c r="T93" s="2324" t="s">
        <v>7</v>
      </c>
      <c r="U93" s="2326"/>
      <c r="V93" s="2327"/>
      <c r="W93" s="2327"/>
      <c r="X93" s="2328">
        <v>125</v>
      </c>
      <c r="Y93" s="2329"/>
      <c r="Z93" s="2326">
        <v>125</v>
      </c>
      <c r="AA93" s="2328"/>
      <c r="AB93" s="2329"/>
      <c r="AC93" s="2326"/>
      <c r="AD93" s="2330">
        <f t="shared" si="7"/>
        <v>0</v>
      </c>
      <c r="AE93" s="2330"/>
      <c r="AF93" s="2330"/>
      <c r="AG93" s="2330">
        <f t="shared" si="8"/>
        <v>0</v>
      </c>
      <c r="AH93" s="2330"/>
      <c r="AI93" s="2330"/>
      <c r="AJ93" s="2330">
        <f t="shared" si="9"/>
        <v>0</v>
      </c>
      <c r="AK93" s="2330"/>
      <c r="AL93" s="2330"/>
      <c r="AM93" s="2331">
        <f t="shared" si="4"/>
        <v>0</v>
      </c>
      <c r="AN93" s="2331"/>
      <c r="AO93" s="2331"/>
      <c r="AP93" s="2331"/>
      <c r="AQ93" s="2332">
        <f t="shared" si="10"/>
        <v>0</v>
      </c>
      <c r="AR93" s="2332"/>
      <c r="AS93" s="2332"/>
      <c r="AT93" s="2332"/>
      <c r="AV93" s="151" t="str">
        <f t="shared" si="1"/>
        <v>GENERAL CONDITIONS</v>
      </c>
      <c r="AW93" s="681"/>
      <c r="AX93" s="230"/>
      <c r="AY93" s="230"/>
      <c r="AZ93" s="679"/>
      <c r="BA93" s="49">
        <f t="shared" si="5"/>
        <v>0</v>
      </c>
      <c r="BB93" s="49">
        <f t="shared" si="11"/>
        <v>0</v>
      </c>
      <c r="BC93" s="49">
        <f t="shared" si="12"/>
        <v>0</v>
      </c>
      <c r="BD93" s="49">
        <f t="shared" si="6"/>
        <v>0</v>
      </c>
      <c r="BE93" s="49">
        <f t="shared" si="13"/>
        <v>0</v>
      </c>
      <c r="BF93" s="49">
        <f t="shared" si="2"/>
        <v>0</v>
      </c>
      <c r="BG93" s="49">
        <f t="shared" si="3"/>
        <v>0</v>
      </c>
      <c r="BI93" s="134">
        <f t="shared" si="14"/>
        <v>0</v>
      </c>
      <c r="BJ93" s="134">
        <f t="shared" si="15"/>
        <v>0</v>
      </c>
      <c r="BK93" s="134">
        <f t="shared" si="16"/>
        <v>0</v>
      </c>
    </row>
    <row r="94" spans="1:64">
      <c r="A94" s="187"/>
      <c r="B94" s="2333"/>
      <c r="C94" s="2333"/>
      <c r="D94" s="2334" t="s">
        <v>66</v>
      </c>
      <c r="E94" s="2334"/>
      <c r="F94" s="2334"/>
      <c r="G94" s="2334"/>
      <c r="H94" s="2334"/>
      <c r="I94" s="2334"/>
      <c r="J94" s="2334"/>
      <c r="K94" s="2334"/>
      <c r="L94" s="2334"/>
      <c r="M94" s="2334"/>
      <c r="N94" s="2334"/>
      <c r="O94" s="2334"/>
      <c r="P94" s="2324"/>
      <c r="Q94" s="2324"/>
      <c r="R94" s="2325"/>
      <c r="S94" s="2324" t="s">
        <v>623</v>
      </c>
      <c r="T94" s="2324" t="s">
        <v>7</v>
      </c>
      <c r="U94" s="2326"/>
      <c r="V94" s="2327"/>
      <c r="W94" s="2327"/>
      <c r="X94" s="2328">
        <v>250</v>
      </c>
      <c r="Y94" s="2329"/>
      <c r="Z94" s="2326">
        <v>250</v>
      </c>
      <c r="AA94" s="2328"/>
      <c r="AB94" s="2329"/>
      <c r="AC94" s="2326"/>
      <c r="AD94" s="2330">
        <f t="shared" si="7"/>
        <v>0</v>
      </c>
      <c r="AE94" s="2330"/>
      <c r="AF94" s="2330"/>
      <c r="AG94" s="2330">
        <f t="shared" si="8"/>
        <v>0</v>
      </c>
      <c r="AH94" s="2330"/>
      <c r="AI94" s="2330"/>
      <c r="AJ94" s="2330">
        <f t="shared" si="9"/>
        <v>0</v>
      </c>
      <c r="AK94" s="2330"/>
      <c r="AL94" s="2330"/>
      <c r="AM94" s="2331">
        <f t="shared" si="4"/>
        <v>0</v>
      </c>
      <c r="AN94" s="2331"/>
      <c r="AO94" s="2331"/>
      <c r="AP94" s="2331"/>
      <c r="AQ94" s="2332">
        <f t="shared" si="10"/>
        <v>0</v>
      </c>
      <c r="AR94" s="2332"/>
      <c r="AS94" s="2332"/>
      <c r="AT94" s="2332"/>
      <c r="AV94" s="151" t="str">
        <f t="shared" si="1"/>
        <v>GENERAL CONDITIONS</v>
      </c>
      <c r="AW94" s="681"/>
      <c r="AX94" s="230"/>
      <c r="AY94" s="230"/>
      <c r="AZ94" s="679"/>
      <c r="BA94" s="49">
        <f t="shared" si="5"/>
        <v>0</v>
      </c>
      <c r="BB94" s="49">
        <f t="shared" si="11"/>
        <v>0</v>
      </c>
      <c r="BC94" s="49">
        <f t="shared" si="12"/>
        <v>0</v>
      </c>
      <c r="BD94" s="49">
        <f t="shared" si="6"/>
        <v>0</v>
      </c>
      <c r="BE94" s="49">
        <f t="shared" si="13"/>
        <v>0</v>
      </c>
      <c r="BF94" s="49">
        <f t="shared" si="2"/>
        <v>0</v>
      </c>
      <c r="BG94" s="49">
        <f t="shared" si="3"/>
        <v>0</v>
      </c>
      <c r="BI94" s="134">
        <f t="shared" si="14"/>
        <v>0</v>
      </c>
      <c r="BJ94" s="134">
        <f t="shared" si="15"/>
        <v>0</v>
      </c>
      <c r="BK94" s="134">
        <f t="shared" si="16"/>
        <v>0</v>
      </c>
    </row>
    <row r="95" spans="1:64">
      <c r="A95" s="187"/>
      <c r="B95" s="2333"/>
      <c r="C95" s="2333"/>
      <c r="D95" s="2334" t="s">
        <v>414</v>
      </c>
      <c r="E95" s="2334"/>
      <c r="F95" s="2334"/>
      <c r="G95" s="2334"/>
      <c r="H95" s="2334"/>
      <c r="I95" s="2334"/>
      <c r="J95" s="2334"/>
      <c r="K95" s="2334"/>
      <c r="L95" s="2334"/>
      <c r="M95" s="2334"/>
      <c r="N95" s="2334"/>
      <c r="O95" s="2334"/>
      <c r="P95" s="2324"/>
      <c r="Q95" s="2324"/>
      <c r="R95" s="2325"/>
      <c r="S95" s="2324" t="s">
        <v>65</v>
      </c>
      <c r="T95" s="2324" t="s">
        <v>7</v>
      </c>
      <c r="U95" s="2326"/>
      <c r="V95" s="2327"/>
      <c r="W95" s="2327"/>
      <c r="X95" s="2328">
        <v>50</v>
      </c>
      <c r="Y95" s="2329"/>
      <c r="Z95" s="2326">
        <v>50</v>
      </c>
      <c r="AA95" s="2328"/>
      <c r="AB95" s="2329"/>
      <c r="AC95" s="2326"/>
      <c r="AD95" s="2330">
        <f t="shared" si="7"/>
        <v>0</v>
      </c>
      <c r="AE95" s="2330"/>
      <c r="AF95" s="2330"/>
      <c r="AG95" s="2330">
        <f t="shared" si="8"/>
        <v>0</v>
      </c>
      <c r="AH95" s="2330"/>
      <c r="AI95" s="2330"/>
      <c r="AJ95" s="2330">
        <f t="shared" si="9"/>
        <v>0</v>
      </c>
      <c r="AK95" s="2330"/>
      <c r="AL95" s="2330"/>
      <c r="AM95" s="2331">
        <f t="shared" si="4"/>
        <v>0</v>
      </c>
      <c r="AN95" s="2331"/>
      <c r="AO95" s="2331"/>
      <c r="AP95" s="2331"/>
      <c r="AQ95" s="2332">
        <f t="shared" si="10"/>
        <v>0</v>
      </c>
      <c r="AR95" s="2332"/>
      <c r="AS95" s="2332"/>
      <c r="AT95" s="2332"/>
      <c r="AV95" s="151" t="str">
        <f t="shared" si="1"/>
        <v>GENERAL CONDITIONS</v>
      </c>
      <c r="AW95" s="681"/>
      <c r="AX95" s="230"/>
      <c r="AY95" s="230"/>
      <c r="AZ95" s="679"/>
      <c r="BA95" s="49">
        <f t="shared" si="5"/>
        <v>0</v>
      </c>
      <c r="BB95" s="49">
        <f t="shared" si="11"/>
        <v>0</v>
      </c>
      <c r="BC95" s="49">
        <f t="shared" si="12"/>
        <v>0</v>
      </c>
      <c r="BD95" s="49">
        <f t="shared" si="6"/>
        <v>0</v>
      </c>
      <c r="BE95" s="49">
        <f t="shared" si="13"/>
        <v>0</v>
      </c>
      <c r="BF95" s="49">
        <f t="shared" si="2"/>
        <v>0</v>
      </c>
      <c r="BG95" s="49">
        <f t="shared" si="3"/>
        <v>0</v>
      </c>
      <c r="BI95" s="134">
        <f t="shared" si="14"/>
        <v>0</v>
      </c>
      <c r="BJ95" s="134">
        <f t="shared" si="15"/>
        <v>0</v>
      </c>
      <c r="BK95" s="134">
        <f t="shared" si="16"/>
        <v>0</v>
      </c>
    </row>
    <row r="96" spans="1:64">
      <c r="A96" s="187"/>
      <c r="B96" s="2333"/>
      <c r="C96" s="2333"/>
      <c r="D96" s="2334" t="s">
        <v>79</v>
      </c>
      <c r="E96" s="2334"/>
      <c r="F96" s="2334"/>
      <c r="G96" s="2334"/>
      <c r="H96" s="2334"/>
      <c r="I96" s="2334"/>
      <c r="J96" s="2334"/>
      <c r="K96" s="2334"/>
      <c r="L96" s="2334"/>
      <c r="M96" s="2334"/>
      <c r="N96" s="2334"/>
      <c r="O96" s="2334"/>
      <c r="P96" s="2324"/>
      <c r="Q96" s="2324"/>
      <c r="R96" s="2325"/>
      <c r="S96" s="2324" t="s">
        <v>65</v>
      </c>
      <c r="T96" s="2324" t="s">
        <v>7</v>
      </c>
      <c r="U96" s="2326">
        <v>1250</v>
      </c>
      <c r="V96" s="2327"/>
      <c r="W96" s="2327"/>
      <c r="X96" s="2328"/>
      <c r="Y96" s="2329"/>
      <c r="Z96" s="2326"/>
      <c r="AA96" s="2328"/>
      <c r="AB96" s="2329"/>
      <c r="AC96" s="2326"/>
      <c r="AD96" s="2330">
        <f t="shared" si="7"/>
        <v>0</v>
      </c>
      <c r="AE96" s="2330"/>
      <c r="AF96" s="2330"/>
      <c r="AG96" s="2330">
        <f t="shared" si="8"/>
        <v>0</v>
      </c>
      <c r="AH96" s="2330"/>
      <c r="AI96" s="2330"/>
      <c r="AJ96" s="2330">
        <f t="shared" si="9"/>
        <v>0</v>
      </c>
      <c r="AK96" s="2330"/>
      <c r="AL96" s="2330"/>
      <c r="AM96" s="2331">
        <f t="shared" si="4"/>
        <v>0</v>
      </c>
      <c r="AN96" s="2331"/>
      <c r="AO96" s="2331"/>
      <c r="AP96" s="2331"/>
      <c r="AQ96" s="2332">
        <f t="shared" si="10"/>
        <v>0</v>
      </c>
      <c r="AR96" s="2332"/>
      <c r="AS96" s="2332"/>
      <c r="AT96" s="2332"/>
      <c r="AV96" s="151" t="str">
        <f t="shared" si="1"/>
        <v>GENERAL CONDITIONS</v>
      </c>
      <c r="AW96" s="681"/>
      <c r="AX96" s="230"/>
      <c r="AY96" s="230"/>
      <c r="AZ96" s="679"/>
      <c r="BA96" s="49">
        <f t="shared" si="5"/>
        <v>0</v>
      </c>
      <c r="BB96" s="49">
        <f t="shared" si="11"/>
        <v>0</v>
      </c>
      <c r="BC96" s="49">
        <f t="shared" si="12"/>
        <v>0</v>
      </c>
      <c r="BD96" s="49">
        <f t="shared" si="6"/>
        <v>0</v>
      </c>
      <c r="BE96" s="49">
        <f t="shared" si="13"/>
        <v>0</v>
      </c>
      <c r="BF96" s="49">
        <f t="shared" si="2"/>
        <v>0</v>
      </c>
      <c r="BG96" s="49">
        <f t="shared" si="3"/>
        <v>0</v>
      </c>
      <c r="BI96" s="134">
        <f t="shared" si="14"/>
        <v>0</v>
      </c>
      <c r="BJ96" s="134">
        <f t="shared" si="15"/>
        <v>0</v>
      </c>
      <c r="BK96" s="134">
        <f t="shared" si="16"/>
        <v>0</v>
      </c>
    </row>
    <row r="97" spans="1:63">
      <c r="A97" s="187"/>
      <c r="B97" s="2333"/>
      <c r="C97" s="2333"/>
      <c r="D97" s="2334" t="s">
        <v>626</v>
      </c>
      <c r="E97" s="2334"/>
      <c r="F97" s="2334"/>
      <c r="G97" s="2334"/>
      <c r="H97" s="2334"/>
      <c r="I97" s="2334"/>
      <c r="J97" s="2334"/>
      <c r="K97" s="2334"/>
      <c r="L97" s="2334"/>
      <c r="M97" s="2334"/>
      <c r="N97" s="2334"/>
      <c r="O97" s="2334"/>
      <c r="P97" s="2324"/>
      <c r="Q97" s="2324"/>
      <c r="R97" s="2325"/>
      <c r="S97" s="2324" t="s">
        <v>18</v>
      </c>
      <c r="T97" s="2324" t="s">
        <v>7</v>
      </c>
      <c r="U97" s="2326"/>
      <c r="V97" s="2327"/>
      <c r="W97" s="2327"/>
      <c r="X97" s="2328"/>
      <c r="Y97" s="2329"/>
      <c r="Z97" s="2326"/>
      <c r="AA97" s="2328">
        <v>100</v>
      </c>
      <c r="AB97" s="2329"/>
      <c r="AC97" s="2326"/>
      <c r="AD97" s="2330">
        <f t="shared" si="7"/>
        <v>0</v>
      </c>
      <c r="AE97" s="2330"/>
      <c r="AF97" s="2330"/>
      <c r="AG97" s="2330">
        <f t="shared" si="8"/>
        <v>0</v>
      </c>
      <c r="AH97" s="2330"/>
      <c r="AI97" s="2330"/>
      <c r="AJ97" s="2330">
        <f t="shared" si="9"/>
        <v>0</v>
      </c>
      <c r="AK97" s="2330"/>
      <c r="AL97" s="2330"/>
      <c r="AM97" s="2331">
        <f t="shared" si="4"/>
        <v>0</v>
      </c>
      <c r="AN97" s="2331"/>
      <c r="AO97" s="2331"/>
      <c r="AP97" s="2331"/>
      <c r="AQ97" s="2332">
        <f t="shared" si="10"/>
        <v>0</v>
      </c>
      <c r="AR97" s="2332"/>
      <c r="AS97" s="2332"/>
      <c r="AT97" s="2332"/>
      <c r="AV97" s="151" t="str">
        <f t="shared" si="1"/>
        <v>GENERAL CONDITIONS</v>
      </c>
      <c r="AW97" s="681"/>
      <c r="AX97" s="230"/>
      <c r="AY97" s="230"/>
      <c r="AZ97" s="679"/>
      <c r="BA97" s="49">
        <f t="shared" si="5"/>
        <v>0</v>
      </c>
      <c r="BB97" s="49">
        <f t="shared" si="11"/>
        <v>0</v>
      </c>
      <c r="BC97" s="49">
        <f t="shared" si="12"/>
        <v>0</v>
      </c>
      <c r="BD97" s="49">
        <f t="shared" si="6"/>
        <v>0</v>
      </c>
      <c r="BE97" s="49">
        <f t="shared" si="13"/>
        <v>0</v>
      </c>
      <c r="BF97" s="49">
        <f t="shared" si="2"/>
        <v>0</v>
      </c>
      <c r="BG97" s="49">
        <f t="shared" si="3"/>
        <v>0</v>
      </c>
      <c r="BI97" s="134">
        <f t="shared" si="14"/>
        <v>0</v>
      </c>
      <c r="BJ97" s="134">
        <f t="shared" si="15"/>
        <v>0</v>
      </c>
      <c r="BK97" s="134">
        <f t="shared" si="16"/>
        <v>0</v>
      </c>
    </row>
    <row r="98" spans="1:63">
      <c r="A98" s="187"/>
      <c r="B98" s="2333"/>
      <c r="C98" s="2333"/>
      <c r="D98" s="2334" t="s">
        <v>627</v>
      </c>
      <c r="E98" s="2334"/>
      <c r="F98" s="2334"/>
      <c r="G98" s="2334"/>
      <c r="H98" s="2334"/>
      <c r="I98" s="2334"/>
      <c r="J98" s="2334"/>
      <c r="K98" s="2334"/>
      <c r="L98" s="2334"/>
      <c r="M98" s="2334"/>
      <c r="N98" s="2334"/>
      <c r="O98" s="2334"/>
      <c r="P98" s="2324"/>
      <c r="Q98" s="2324"/>
      <c r="R98" s="2325"/>
      <c r="S98" s="2324" t="s">
        <v>18</v>
      </c>
      <c r="T98" s="2324" t="s">
        <v>7</v>
      </c>
      <c r="U98" s="2326"/>
      <c r="V98" s="2327"/>
      <c r="W98" s="2327"/>
      <c r="X98" s="2328"/>
      <c r="Y98" s="2329"/>
      <c r="Z98" s="2326"/>
      <c r="AA98" s="2328">
        <v>125</v>
      </c>
      <c r="AB98" s="2329"/>
      <c r="AC98" s="2326"/>
      <c r="AD98" s="2330">
        <f t="shared" si="7"/>
        <v>0</v>
      </c>
      <c r="AE98" s="2330"/>
      <c r="AF98" s="2330"/>
      <c r="AG98" s="2330">
        <f t="shared" si="8"/>
        <v>0</v>
      </c>
      <c r="AH98" s="2330"/>
      <c r="AI98" s="2330"/>
      <c r="AJ98" s="2330">
        <f t="shared" si="9"/>
        <v>0</v>
      </c>
      <c r="AK98" s="2330"/>
      <c r="AL98" s="2330"/>
      <c r="AM98" s="2331">
        <f t="shared" si="4"/>
        <v>0</v>
      </c>
      <c r="AN98" s="2331"/>
      <c r="AO98" s="2331"/>
      <c r="AP98" s="2331"/>
      <c r="AQ98" s="2332">
        <f t="shared" si="10"/>
        <v>0</v>
      </c>
      <c r="AR98" s="2332"/>
      <c r="AS98" s="2332"/>
      <c r="AT98" s="2332"/>
      <c r="AV98" s="151" t="str">
        <f t="shared" si="1"/>
        <v>GENERAL CONDITIONS</v>
      </c>
      <c r="AW98" s="681"/>
      <c r="AX98" s="230"/>
      <c r="AY98" s="230"/>
      <c r="AZ98" s="679"/>
      <c r="BA98" s="49">
        <f t="shared" si="5"/>
        <v>0</v>
      </c>
      <c r="BB98" s="49">
        <f t="shared" si="11"/>
        <v>0</v>
      </c>
      <c r="BC98" s="49">
        <f t="shared" si="12"/>
        <v>0</v>
      </c>
      <c r="BD98" s="49">
        <f t="shared" si="6"/>
        <v>0</v>
      </c>
      <c r="BE98" s="49">
        <f t="shared" si="13"/>
        <v>0</v>
      </c>
      <c r="BF98" s="49">
        <f t="shared" si="2"/>
        <v>0</v>
      </c>
      <c r="BG98" s="49">
        <f t="shared" si="3"/>
        <v>0</v>
      </c>
      <c r="BI98" s="134">
        <f t="shared" si="14"/>
        <v>0</v>
      </c>
      <c r="BJ98" s="134">
        <f t="shared" si="15"/>
        <v>0</v>
      </c>
      <c r="BK98" s="134">
        <f t="shared" si="16"/>
        <v>0</v>
      </c>
    </row>
    <row r="99" spans="1:63">
      <c r="A99" s="187"/>
      <c r="B99" s="2333"/>
      <c r="C99" s="2333"/>
      <c r="D99" s="2334" t="s">
        <v>80</v>
      </c>
      <c r="E99" s="2334"/>
      <c r="F99" s="2334"/>
      <c r="G99" s="2334"/>
      <c r="H99" s="2334"/>
      <c r="I99" s="2334"/>
      <c r="J99" s="2334"/>
      <c r="K99" s="2334"/>
      <c r="L99" s="2334"/>
      <c r="M99" s="2334"/>
      <c r="N99" s="2334"/>
      <c r="O99" s="2334"/>
      <c r="P99" s="2324"/>
      <c r="Q99" s="2324"/>
      <c r="R99" s="2325"/>
      <c r="S99" s="2324" t="s">
        <v>3</v>
      </c>
      <c r="T99" s="2324" t="s">
        <v>7</v>
      </c>
      <c r="U99" s="2326"/>
      <c r="V99" s="2327"/>
      <c r="W99" s="2327"/>
      <c r="X99" s="2328"/>
      <c r="Y99" s="2329"/>
      <c r="Z99" s="2326"/>
      <c r="AA99" s="2328">
        <v>350</v>
      </c>
      <c r="AB99" s="2329"/>
      <c r="AC99" s="2326"/>
      <c r="AD99" s="2330">
        <f t="shared" si="7"/>
        <v>0</v>
      </c>
      <c r="AE99" s="2330"/>
      <c r="AF99" s="2330"/>
      <c r="AG99" s="2330">
        <f t="shared" si="8"/>
        <v>0</v>
      </c>
      <c r="AH99" s="2330"/>
      <c r="AI99" s="2330"/>
      <c r="AJ99" s="2330">
        <f t="shared" si="9"/>
        <v>0</v>
      </c>
      <c r="AK99" s="2330"/>
      <c r="AL99" s="2330"/>
      <c r="AM99" s="2331">
        <f t="shared" si="4"/>
        <v>0</v>
      </c>
      <c r="AN99" s="2331"/>
      <c r="AO99" s="2331"/>
      <c r="AP99" s="2331"/>
      <c r="AQ99" s="2332">
        <f t="shared" si="10"/>
        <v>0</v>
      </c>
      <c r="AR99" s="2332"/>
      <c r="AS99" s="2332"/>
      <c r="AT99" s="2332"/>
      <c r="AV99" s="151" t="str">
        <f t="shared" si="1"/>
        <v>GENERAL CONDITIONS</v>
      </c>
      <c r="AW99" s="681"/>
      <c r="AX99" s="230"/>
      <c r="AY99" s="230"/>
      <c r="AZ99" s="679"/>
      <c r="BA99" s="49">
        <f t="shared" si="5"/>
        <v>0</v>
      </c>
      <c r="BB99" s="49">
        <f t="shared" si="11"/>
        <v>0</v>
      </c>
      <c r="BC99" s="49">
        <f t="shared" si="12"/>
        <v>0</v>
      </c>
      <c r="BD99" s="49">
        <f t="shared" si="6"/>
        <v>0</v>
      </c>
      <c r="BE99" s="49">
        <f t="shared" si="13"/>
        <v>0</v>
      </c>
      <c r="BF99" s="49">
        <f t="shared" si="2"/>
        <v>0</v>
      </c>
      <c r="BG99" s="49">
        <f t="shared" si="3"/>
        <v>0</v>
      </c>
      <c r="BI99" s="134">
        <f t="shared" si="14"/>
        <v>0</v>
      </c>
      <c r="BJ99" s="134">
        <f t="shared" si="15"/>
        <v>0</v>
      </c>
      <c r="BK99" s="134">
        <f t="shared" si="16"/>
        <v>0</v>
      </c>
    </row>
    <row r="100" spans="1:63">
      <c r="A100" s="187"/>
      <c r="B100" s="2333"/>
      <c r="C100" s="2333"/>
      <c r="D100" s="2334" t="s">
        <v>210</v>
      </c>
      <c r="E100" s="2334"/>
      <c r="F100" s="2334"/>
      <c r="G100" s="2334"/>
      <c r="H100" s="2334"/>
      <c r="I100" s="2334"/>
      <c r="J100" s="2334"/>
      <c r="K100" s="2334"/>
      <c r="L100" s="2334"/>
      <c r="M100" s="2334"/>
      <c r="N100" s="2334"/>
      <c r="O100" s="2334"/>
      <c r="P100" s="2324"/>
      <c r="Q100" s="2324"/>
      <c r="R100" s="2325"/>
      <c r="S100" s="2324" t="s">
        <v>2</v>
      </c>
      <c r="T100" s="2324" t="s">
        <v>7</v>
      </c>
      <c r="U100" s="2326"/>
      <c r="V100" s="2327"/>
      <c r="W100" s="2327"/>
      <c r="X100" s="2328">
        <v>75</v>
      </c>
      <c r="Y100" s="2329"/>
      <c r="Z100" s="2326"/>
      <c r="AA100" s="2328"/>
      <c r="AB100" s="2329"/>
      <c r="AC100" s="2326"/>
      <c r="AD100" s="2330">
        <f t="shared" si="7"/>
        <v>0</v>
      </c>
      <c r="AE100" s="2330"/>
      <c r="AF100" s="2330"/>
      <c r="AG100" s="2330">
        <f t="shared" si="8"/>
        <v>0</v>
      </c>
      <c r="AH100" s="2330"/>
      <c r="AI100" s="2330"/>
      <c r="AJ100" s="2330">
        <f t="shared" si="9"/>
        <v>0</v>
      </c>
      <c r="AK100" s="2330"/>
      <c r="AL100" s="2330"/>
      <c r="AM100" s="2331">
        <f t="shared" si="4"/>
        <v>0</v>
      </c>
      <c r="AN100" s="2331"/>
      <c r="AO100" s="2331"/>
      <c r="AP100" s="2331"/>
      <c r="AQ100" s="2332">
        <f t="shared" si="10"/>
        <v>0</v>
      </c>
      <c r="AR100" s="2332"/>
      <c r="AS100" s="2332"/>
      <c r="AT100" s="2332"/>
      <c r="AV100" s="151" t="str">
        <f t="shared" si="1"/>
        <v>GENERAL CONDITIONS</v>
      </c>
      <c r="AW100" s="681"/>
      <c r="AX100" s="230"/>
      <c r="AY100" s="230"/>
      <c r="AZ100" s="679"/>
      <c r="BA100" s="49">
        <f t="shared" si="5"/>
        <v>0</v>
      </c>
      <c r="BB100" s="49">
        <f t="shared" si="11"/>
        <v>0</v>
      </c>
      <c r="BC100" s="49">
        <f t="shared" si="12"/>
        <v>0</v>
      </c>
      <c r="BD100" s="49">
        <f t="shared" si="6"/>
        <v>0</v>
      </c>
      <c r="BE100" s="49">
        <f t="shared" si="13"/>
        <v>0</v>
      </c>
      <c r="BF100" s="49">
        <f t="shared" si="2"/>
        <v>0</v>
      </c>
      <c r="BG100" s="49">
        <f t="shared" si="3"/>
        <v>0</v>
      </c>
      <c r="BI100" s="134">
        <f t="shared" si="14"/>
        <v>0</v>
      </c>
      <c r="BJ100" s="134">
        <f t="shared" si="15"/>
        <v>0</v>
      </c>
      <c r="BK100" s="134">
        <f t="shared" si="16"/>
        <v>0</v>
      </c>
    </row>
    <row r="101" spans="1:63">
      <c r="A101" s="187"/>
      <c r="B101" s="2333"/>
      <c r="C101" s="2333"/>
      <c r="D101" s="2334" t="s">
        <v>211</v>
      </c>
      <c r="E101" s="2334"/>
      <c r="F101" s="2334"/>
      <c r="G101" s="2334"/>
      <c r="H101" s="2334"/>
      <c r="I101" s="2334"/>
      <c r="J101" s="2334"/>
      <c r="K101" s="2334"/>
      <c r="L101" s="2334"/>
      <c r="M101" s="2334"/>
      <c r="N101" s="2334"/>
      <c r="O101" s="2334"/>
      <c r="P101" s="2324"/>
      <c r="Q101" s="2324"/>
      <c r="R101" s="2325"/>
      <c r="S101" s="2324" t="s">
        <v>18</v>
      </c>
      <c r="T101" s="2324"/>
      <c r="U101" s="2326">
        <v>20</v>
      </c>
      <c r="V101" s="2327"/>
      <c r="W101" s="2327"/>
      <c r="X101" s="2327"/>
      <c r="Y101" s="2327"/>
      <c r="Z101" s="2327"/>
      <c r="AA101" s="2328"/>
      <c r="AB101" s="2329"/>
      <c r="AC101" s="2326"/>
      <c r="AD101" s="2330">
        <f t="shared" si="7"/>
        <v>0</v>
      </c>
      <c r="AE101" s="2330"/>
      <c r="AF101" s="2330"/>
      <c r="AG101" s="2330">
        <f t="shared" si="8"/>
        <v>0</v>
      </c>
      <c r="AH101" s="2330"/>
      <c r="AI101" s="2330"/>
      <c r="AJ101" s="2330">
        <f t="shared" si="9"/>
        <v>0</v>
      </c>
      <c r="AK101" s="2330"/>
      <c r="AL101" s="2330"/>
      <c r="AM101" s="2331">
        <f t="shared" si="4"/>
        <v>0</v>
      </c>
      <c r="AN101" s="2331"/>
      <c r="AO101" s="2331"/>
      <c r="AP101" s="2331"/>
      <c r="AQ101" s="2332">
        <f t="shared" si="10"/>
        <v>0</v>
      </c>
      <c r="AR101" s="2332"/>
      <c r="AS101" s="2332"/>
      <c r="AT101" s="2332"/>
      <c r="AV101" s="151" t="str">
        <f t="shared" si="1"/>
        <v>GENERAL CONDITIONS</v>
      </c>
      <c r="AW101" s="681"/>
      <c r="AX101" s="230"/>
      <c r="AY101" s="230"/>
      <c r="AZ101" s="679"/>
      <c r="BA101" s="49">
        <f t="shared" si="5"/>
        <v>0</v>
      </c>
      <c r="BB101" s="49">
        <f t="shared" si="11"/>
        <v>0</v>
      </c>
      <c r="BC101" s="49">
        <f t="shared" si="12"/>
        <v>0</v>
      </c>
      <c r="BD101" s="49">
        <f t="shared" si="6"/>
        <v>0</v>
      </c>
      <c r="BE101" s="49">
        <f t="shared" si="13"/>
        <v>0</v>
      </c>
      <c r="BF101" s="49">
        <f t="shared" si="2"/>
        <v>0</v>
      </c>
      <c r="BG101" s="49">
        <f t="shared" si="3"/>
        <v>0</v>
      </c>
      <c r="BI101" s="134">
        <f t="shared" si="14"/>
        <v>0</v>
      </c>
      <c r="BJ101" s="134">
        <f t="shared" si="15"/>
        <v>0</v>
      </c>
      <c r="BK101" s="134">
        <f t="shared" si="16"/>
        <v>0</v>
      </c>
    </row>
    <row r="102" spans="1:63">
      <c r="A102" s="187"/>
      <c r="B102" s="2333"/>
      <c r="C102" s="2333"/>
      <c r="D102" s="2334"/>
      <c r="E102" s="2334"/>
      <c r="F102" s="2334"/>
      <c r="G102" s="2334"/>
      <c r="H102" s="2334"/>
      <c r="I102" s="2334"/>
      <c r="J102" s="2334"/>
      <c r="K102" s="2334"/>
      <c r="L102" s="2334"/>
      <c r="M102" s="2334"/>
      <c r="N102" s="2334"/>
      <c r="O102" s="2334"/>
      <c r="P102" s="2324"/>
      <c r="Q102" s="2324"/>
      <c r="R102" s="2325"/>
      <c r="S102" s="2324"/>
      <c r="T102" s="2324"/>
      <c r="U102" s="2326"/>
      <c r="V102" s="2327"/>
      <c r="W102" s="2327"/>
      <c r="X102" s="2328"/>
      <c r="Y102" s="2329"/>
      <c r="Z102" s="2326"/>
      <c r="AA102" s="2328"/>
      <c r="AB102" s="2329"/>
      <c r="AC102" s="2326"/>
      <c r="AD102" s="2330">
        <f t="shared" si="7"/>
        <v>0</v>
      </c>
      <c r="AE102" s="2330"/>
      <c r="AF102" s="2330"/>
      <c r="AG102" s="2330">
        <f t="shared" si="8"/>
        <v>0</v>
      </c>
      <c r="AH102" s="2330"/>
      <c r="AI102" s="2330"/>
      <c r="AJ102" s="2330">
        <f t="shared" si="9"/>
        <v>0</v>
      </c>
      <c r="AK102" s="2330"/>
      <c r="AL102" s="2330"/>
      <c r="AM102" s="2331">
        <f t="shared" si="4"/>
        <v>0</v>
      </c>
      <c r="AN102" s="2331"/>
      <c r="AO102" s="2331"/>
      <c r="AP102" s="2331"/>
      <c r="AQ102" s="2332">
        <f t="shared" si="10"/>
        <v>0</v>
      </c>
      <c r="AR102" s="2332"/>
      <c r="AS102" s="2332"/>
      <c r="AT102" s="2332"/>
      <c r="AV102" s="151" t="str">
        <f t="shared" si="1"/>
        <v>GENERAL CONDITIONS</v>
      </c>
      <c r="AW102" s="681"/>
      <c r="AX102" s="230"/>
      <c r="AY102" s="230"/>
      <c r="AZ102" s="679"/>
      <c r="BA102" s="49">
        <f t="shared" si="5"/>
        <v>0</v>
      </c>
      <c r="BB102" s="49">
        <f t="shared" si="11"/>
        <v>0</v>
      </c>
      <c r="BC102" s="49">
        <f t="shared" si="12"/>
        <v>0</v>
      </c>
      <c r="BD102" s="49">
        <f t="shared" si="6"/>
        <v>0</v>
      </c>
      <c r="BE102" s="49">
        <f t="shared" si="13"/>
        <v>0</v>
      </c>
      <c r="BF102" s="49">
        <f t="shared" si="2"/>
        <v>0</v>
      </c>
      <c r="BG102" s="49">
        <f t="shared" si="3"/>
        <v>0</v>
      </c>
      <c r="BI102" s="134">
        <f t="shared" si="14"/>
        <v>0</v>
      </c>
      <c r="BJ102" s="134">
        <f t="shared" si="15"/>
        <v>0</v>
      </c>
      <c r="BK102" s="134">
        <f t="shared" si="16"/>
        <v>0</v>
      </c>
    </row>
    <row r="103" spans="1:63">
      <c r="A103" s="187"/>
      <c r="B103" s="2333"/>
      <c r="C103" s="2333"/>
      <c r="D103" s="2334"/>
      <c r="E103" s="2334"/>
      <c r="F103" s="2334"/>
      <c r="G103" s="2334"/>
      <c r="H103" s="2334"/>
      <c r="I103" s="2334"/>
      <c r="J103" s="2334"/>
      <c r="K103" s="2334"/>
      <c r="L103" s="2334"/>
      <c r="M103" s="2334"/>
      <c r="N103" s="2334"/>
      <c r="O103" s="2334"/>
      <c r="P103" s="2324"/>
      <c r="Q103" s="2324"/>
      <c r="R103" s="2325"/>
      <c r="S103" s="2324"/>
      <c r="T103" s="2324"/>
      <c r="U103" s="2326"/>
      <c r="V103" s="2327"/>
      <c r="W103" s="2327"/>
      <c r="X103" s="2328"/>
      <c r="Y103" s="2329"/>
      <c r="Z103" s="2326"/>
      <c r="AA103" s="2328"/>
      <c r="AB103" s="2329"/>
      <c r="AC103" s="2326"/>
      <c r="AD103" s="2330">
        <f t="shared" si="7"/>
        <v>0</v>
      </c>
      <c r="AE103" s="2330"/>
      <c r="AF103" s="2330"/>
      <c r="AG103" s="2330">
        <f t="shared" si="8"/>
        <v>0</v>
      </c>
      <c r="AH103" s="2330"/>
      <c r="AI103" s="2330"/>
      <c r="AJ103" s="2330">
        <f t="shared" si="9"/>
        <v>0</v>
      </c>
      <c r="AK103" s="2330"/>
      <c r="AL103" s="2330"/>
      <c r="AM103" s="2331">
        <f t="shared" si="4"/>
        <v>0</v>
      </c>
      <c r="AN103" s="2331"/>
      <c r="AO103" s="2331"/>
      <c r="AP103" s="2331"/>
      <c r="AQ103" s="2332">
        <f t="shared" si="10"/>
        <v>0</v>
      </c>
      <c r="AR103" s="2332"/>
      <c r="AS103" s="2332"/>
      <c r="AT103" s="2332"/>
      <c r="AV103" s="151" t="str">
        <f t="shared" si="1"/>
        <v>GENERAL CONDITIONS</v>
      </c>
      <c r="AW103" s="681"/>
      <c r="AX103" s="230"/>
      <c r="AY103" s="230"/>
      <c r="AZ103" s="679"/>
      <c r="BA103" s="49">
        <f t="shared" si="5"/>
        <v>0</v>
      </c>
      <c r="BB103" s="49">
        <f t="shared" si="11"/>
        <v>0</v>
      </c>
      <c r="BC103" s="49">
        <f t="shared" si="12"/>
        <v>0</v>
      </c>
      <c r="BD103" s="49">
        <f t="shared" si="6"/>
        <v>0</v>
      </c>
      <c r="BE103" s="49">
        <f t="shared" si="13"/>
        <v>0</v>
      </c>
      <c r="BF103" s="49">
        <f t="shared" si="2"/>
        <v>0</v>
      </c>
      <c r="BG103" s="49">
        <f t="shared" si="3"/>
        <v>0</v>
      </c>
      <c r="BI103" s="134">
        <f t="shared" si="14"/>
        <v>0</v>
      </c>
      <c r="BJ103" s="134">
        <f t="shared" si="15"/>
        <v>0</v>
      </c>
      <c r="BK103" s="134">
        <f t="shared" si="16"/>
        <v>0</v>
      </c>
    </row>
    <row r="104" spans="1:63">
      <c r="A104" s="187"/>
      <c r="B104" s="2333"/>
      <c r="C104" s="2333"/>
      <c r="D104" s="2334"/>
      <c r="E104" s="2334"/>
      <c r="F104" s="2334"/>
      <c r="G104" s="2334"/>
      <c r="H104" s="2334"/>
      <c r="I104" s="2334"/>
      <c r="J104" s="2334"/>
      <c r="K104" s="2334"/>
      <c r="L104" s="2334"/>
      <c r="M104" s="2334"/>
      <c r="N104" s="2334"/>
      <c r="O104" s="2334"/>
      <c r="P104" s="2324"/>
      <c r="Q104" s="2324"/>
      <c r="R104" s="2325"/>
      <c r="S104" s="2324"/>
      <c r="T104" s="2324"/>
      <c r="U104" s="2326"/>
      <c r="V104" s="2327"/>
      <c r="W104" s="2327"/>
      <c r="X104" s="2327"/>
      <c r="Y104" s="2327"/>
      <c r="Z104" s="2327"/>
      <c r="AA104" s="2328"/>
      <c r="AB104" s="2329"/>
      <c r="AC104" s="2326"/>
      <c r="AD104" s="2330">
        <f t="shared" si="7"/>
        <v>0</v>
      </c>
      <c r="AE104" s="2330"/>
      <c r="AF104" s="2330"/>
      <c r="AG104" s="2330">
        <f t="shared" si="8"/>
        <v>0</v>
      </c>
      <c r="AH104" s="2330"/>
      <c r="AI104" s="2330"/>
      <c r="AJ104" s="2330">
        <f t="shared" si="9"/>
        <v>0</v>
      </c>
      <c r="AK104" s="2330"/>
      <c r="AL104" s="2330"/>
      <c r="AM104" s="2331">
        <f t="shared" si="4"/>
        <v>0</v>
      </c>
      <c r="AN104" s="2331"/>
      <c r="AO104" s="2331"/>
      <c r="AP104" s="2331"/>
      <c r="AQ104" s="2332">
        <f t="shared" si="10"/>
        <v>0</v>
      </c>
      <c r="AR104" s="2332"/>
      <c r="AS104" s="2332"/>
      <c r="AT104" s="2332"/>
      <c r="AV104" s="151" t="str">
        <f t="shared" si="1"/>
        <v>GENERAL CONDITIONS</v>
      </c>
      <c r="AW104" s="681"/>
      <c r="AX104" s="230"/>
      <c r="AY104" s="230"/>
      <c r="AZ104" s="679"/>
      <c r="BA104" s="49">
        <f t="shared" si="5"/>
        <v>0</v>
      </c>
      <c r="BB104" s="49">
        <f t="shared" si="11"/>
        <v>0</v>
      </c>
      <c r="BC104" s="49">
        <f t="shared" si="12"/>
        <v>0</v>
      </c>
      <c r="BD104" s="49">
        <f t="shared" si="6"/>
        <v>0</v>
      </c>
      <c r="BE104" s="49">
        <f t="shared" si="13"/>
        <v>0</v>
      </c>
      <c r="BF104" s="49">
        <f t="shared" si="2"/>
        <v>0</v>
      </c>
      <c r="BG104" s="49">
        <f t="shared" si="3"/>
        <v>0</v>
      </c>
      <c r="BI104" s="134">
        <f t="shared" si="14"/>
        <v>0</v>
      </c>
      <c r="BJ104" s="134">
        <f t="shared" si="15"/>
        <v>0</v>
      </c>
      <c r="BK104" s="134">
        <f t="shared" si="16"/>
        <v>0</v>
      </c>
    </row>
    <row r="105" spans="1:63">
      <c r="A105" s="187"/>
      <c r="B105" s="2333"/>
      <c r="C105" s="2333"/>
      <c r="D105" s="2334"/>
      <c r="E105" s="2334"/>
      <c r="F105" s="2334"/>
      <c r="G105" s="2334"/>
      <c r="H105" s="2334"/>
      <c r="I105" s="2334"/>
      <c r="J105" s="2334"/>
      <c r="K105" s="2334"/>
      <c r="L105" s="2334"/>
      <c r="M105" s="2334"/>
      <c r="N105" s="2334"/>
      <c r="O105" s="2334"/>
      <c r="P105" s="2324"/>
      <c r="Q105" s="2324"/>
      <c r="R105" s="2325"/>
      <c r="S105" s="2324"/>
      <c r="T105" s="2324"/>
      <c r="U105" s="2326"/>
      <c r="V105" s="2327"/>
      <c r="W105" s="2327"/>
      <c r="X105" s="2327"/>
      <c r="Y105" s="2327"/>
      <c r="Z105" s="2327"/>
      <c r="AA105" s="2328"/>
      <c r="AB105" s="2329"/>
      <c r="AC105" s="2326"/>
      <c r="AD105" s="2330">
        <f t="shared" ref="AD105:AD113" si="17">((P105*U105)-AM105)</f>
        <v>0</v>
      </c>
      <c r="AE105" s="2330"/>
      <c r="AF105" s="2330"/>
      <c r="AG105" s="2330">
        <f t="shared" si="8"/>
        <v>0</v>
      </c>
      <c r="AH105" s="2330"/>
      <c r="AI105" s="2330"/>
      <c r="AJ105" s="2330">
        <f t="shared" ref="AJ105:AJ113" si="18">P105*AA105</f>
        <v>0</v>
      </c>
      <c r="AK105" s="2330"/>
      <c r="AL105" s="2330"/>
      <c r="AM105" s="2331">
        <f t="shared" si="4"/>
        <v>0</v>
      </c>
      <c r="AN105" s="2331"/>
      <c r="AO105" s="2331"/>
      <c r="AP105" s="2331"/>
      <c r="AQ105" s="2332">
        <f t="shared" ref="AQ105:AQ113" si="19">SUM(AD105:AL105)</f>
        <v>0</v>
      </c>
      <c r="AR105" s="2332"/>
      <c r="AS105" s="2332"/>
      <c r="AT105" s="2332"/>
      <c r="AV105" s="151" t="str">
        <f t="shared" si="1"/>
        <v>GENERAL CONDITIONS</v>
      </c>
      <c r="AW105" s="681"/>
      <c r="AX105" s="230"/>
      <c r="AY105" s="230"/>
      <c r="AZ105" s="679"/>
      <c r="BA105" s="49">
        <f t="shared" ref="BA105:BA113" si="20">AD105</f>
        <v>0</v>
      </c>
      <c r="BB105" s="49">
        <f t="shared" ref="BB105:BB113" si="21">AG105</f>
        <v>0</v>
      </c>
      <c r="BC105" s="49">
        <f t="shared" ref="BC105:BC113" si="22">AJ105</f>
        <v>0</v>
      </c>
      <c r="BD105" s="49">
        <f t="shared" ref="BD105:BD113" si="23">IF(B105="x",1,0)</f>
        <v>0</v>
      </c>
      <c r="BE105" s="49">
        <f t="shared" ref="BE105:BE113" si="24">SUM(BA105:BC105)</f>
        <v>0</v>
      </c>
      <c r="BF105" s="49">
        <f t="shared" ref="BF105:BF113" si="25">AQ105</f>
        <v>0</v>
      </c>
      <c r="BG105" s="49">
        <f t="shared" ref="BG105:BG113" si="26">AM105</f>
        <v>0</v>
      </c>
      <c r="BI105" s="134">
        <f t="shared" ref="BI105:BI113" si="27">AD105</f>
        <v>0</v>
      </c>
      <c r="BJ105" s="134">
        <f t="shared" ref="BJ105:BJ113" si="28">AM105</f>
        <v>0</v>
      </c>
      <c r="BK105" s="134">
        <f t="shared" ref="BK105:BK113" si="29">BJ105+BI105</f>
        <v>0</v>
      </c>
    </row>
    <row r="106" spans="1:63">
      <c r="A106" s="187"/>
      <c r="B106" s="2333"/>
      <c r="C106" s="2333"/>
      <c r="D106" s="2334"/>
      <c r="E106" s="2334"/>
      <c r="F106" s="2334"/>
      <c r="G106" s="2334"/>
      <c r="H106" s="2334"/>
      <c r="I106" s="2334"/>
      <c r="J106" s="2334"/>
      <c r="K106" s="2334"/>
      <c r="L106" s="2334"/>
      <c r="M106" s="2334"/>
      <c r="N106" s="2334"/>
      <c r="O106" s="2334"/>
      <c r="P106" s="2324"/>
      <c r="Q106" s="2324"/>
      <c r="R106" s="2325"/>
      <c r="S106" s="2324"/>
      <c r="T106" s="2324"/>
      <c r="U106" s="2326"/>
      <c r="V106" s="2327"/>
      <c r="W106" s="2327"/>
      <c r="X106" s="2327"/>
      <c r="Y106" s="2327"/>
      <c r="Z106" s="2327"/>
      <c r="AA106" s="2328"/>
      <c r="AB106" s="2329"/>
      <c r="AC106" s="2326"/>
      <c r="AD106" s="2330">
        <f t="shared" si="17"/>
        <v>0</v>
      </c>
      <c r="AE106" s="2330"/>
      <c r="AF106" s="2330"/>
      <c r="AG106" s="2330">
        <f t="shared" si="8"/>
        <v>0</v>
      </c>
      <c r="AH106" s="2330"/>
      <c r="AI106" s="2330"/>
      <c r="AJ106" s="2330">
        <f t="shared" si="18"/>
        <v>0</v>
      </c>
      <c r="AK106" s="2330"/>
      <c r="AL106" s="2330"/>
      <c r="AM106" s="2331">
        <f t="shared" si="4"/>
        <v>0</v>
      </c>
      <c r="AN106" s="2331"/>
      <c r="AO106" s="2331"/>
      <c r="AP106" s="2331"/>
      <c r="AQ106" s="2332">
        <f t="shared" si="19"/>
        <v>0</v>
      </c>
      <c r="AR106" s="2332"/>
      <c r="AS106" s="2332"/>
      <c r="AT106" s="2332"/>
      <c r="AV106" s="151" t="str">
        <f t="shared" si="1"/>
        <v>GENERAL CONDITIONS</v>
      </c>
      <c r="AW106" s="681"/>
      <c r="AX106" s="230"/>
      <c r="AY106" s="230"/>
      <c r="AZ106" s="679"/>
      <c r="BA106" s="49">
        <f t="shared" si="20"/>
        <v>0</v>
      </c>
      <c r="BB106" s="49">
        <f t="shared" si="21"/>
        <v>0</v>
      </c>
      <c r="BC106" s="49">
        <f t="shared" si="22"/>
        <v>0</v>
      </c>
      <c r="BD106" s="49">
        <f t="shared" si="23"/>
        <v>0</v>
      </c>
      <c r="BE106" s="49">
        <f t="shared" si="24"/>
        <v>0</v>
      </c>
      <c r="BF106" s="49">
        <f t="shared" si="25"/>
        <v>0</v>
      </c>
      <c r="BG106" s="49">
        <f t="shared" si="26"/>
        <v>0</v>
      </c>
      <c r="BI106" s="134">
        <f t="shared" si="27"/>
        <v>0</v>
      </c>
      <c r="BJ106" s="134">
        <f t="shared" si="28"/>
        <v>0</v>
      </c>
      <c r="BK106" s="134">
        <f t="shared" si="29"/>
        <v>0</v>
      </c>
    </row>
    <row r="107" spans="1:63">
      <c r="A107" s="187"/>
      <c r="B107" s="2333"/>
      <c r="C107" s="2333"/>
      <c r="D107" s="2334"/>
      <c r="E107" s="2334"/>
      <c r="F107" s="2334"/>
      <c r="G107" s="2334"/>
      <c r="H107" s="2334"/>
      <c r="I107" s="2334"/>
      <c r="J107" s="2334"/>
      <c r="K107" s="2334"/>
      <c r="L107" s="2334"/>
      <c r="M107" s="2334"/>
      <c r="N107" s="2334"/>
      <c r="O107" s="2334"/>
      <c r="P107" s="2324"/>
      <c r="Q107" s="2324"/>
      <c r="R107" s="2325"/>
      <c r="S107" s="2324"/>
      <c r="T107" s="2324"/>
      <c r="U107" s="2326"/>
      <c r="V107" s="2327"/>
      <c r="W107" s="2327"/>
      <c r="X107" s="2327"/>
      <c r="Y107" s="2327"/>
      <c r="Z107" s="2327"/>
      <c r="AA107" s="2328"/>
      <c r="AB107" s="2329"/>
      <c r="AC107" s="2326"/>
      <c r="AD107" s="2330">
        <f t="shared" si="17"/>
        <v>0</v>
      </c>
      <c r="AE107" s="2330"/>
      <c r="AF107" s="2330"/>
      <c r="AG107" s="2330">
        <f t="shared" si="8"/>
        <v>0</v>
      </c>
      <c r="AH107" s="2330"/>
      <c r="AI107" s="2330"/>
      <c r="AJ107" s="2330">
        <f t="shared" si="18"/>
        <v>0</v>
      </c>
      <c r="AK107" s="2330"/>
      <c r="AL107" s="2330"/>
      <c r="AM107" s="2331">
        <f t="shared" si="4"/>
        <v>0</v>
      </c>
      <c r="AN107" s="2331"/>
      <c r="AO107" s="2331"/>
      <c r="AP107" s="2331"/>
      <c r="AQ107" s="2332">
        <f t="shared" si="19"/>
        <v>0</v>
      </c>
      <c r="AR107" s="2332"/>
      <c r="AS107" s="2332"/>
      <c r="AT107" s="2332"/>
      <c r="AV107" s="151" t="str">
        <f t="shared" si="1"/>
        <v>GENERAL CONDITIONS</v>
      </c>
      <c r="AW107" s="681"/>
      <c r="AX107" s="230"/>
      <c r="AY107" s="230"/>
      <c r="AZ107" s="679"/>
      <c r="BA107" s="49">
        <f t="shared" si="20"/>
        <v>0</v>
      </c>
      <c r="BB107" s="49">
        <f t="shared" si="21"/>
        <v>0</v>
      </c>
      <c r="BC107" s="49">
        <f t="shared" si="22"/>
        <v>0</v>
      </c>
      <c r="BD107" s="49">
        <f t="shared" si="23"/>
        <v>0</v>
      </c>
      <c r="BE107" s="49">
        <f t="shared" si="24"/>
        <v>0</v>
      </c>
      <c r="BF107" s="49">
        <f t="shared" si="25"/>
        <v>0</v>
      </c>
      <c r="BG107" s="49">
        <f t="shared" si="26"/>
        <v>0</v>
      </c>
      <c r="BI107" s="134">
        <f t="shared" si="27"/>
        <v>0</v>
      </c>
      <c r="BJ107" s="134">
        <f t="shared" si="28"/>
        <v>0</v>
      </c>
      <c r="BK107" s="134">
        <f t="shared" si="29"/>
        <v>0</v>
      </c>
    </row>
    <row r="108" spans="1:63">
      <c r="A108" s="187"/>
      <c r="B108" s="2333"/>
      <c r="C108" s="2333"/>
      <c r="D108" s="2334"/>
      <c r="E108" s="2334"/>
      <c r="F108" s="2334"/>
      <c r="G108" s="2334"/>
      <c r="H108" s="2334"/>
      <c r="I108" s="2334"/>
      <c r="J108" s="2334"/>
      <c r="K108" s="2334"/>
      <c r="L108" s="2334"/>
      <c r="M108" s="2334"/>
      <c r="N108" s="2334"/>
      <c r="O108" s="2334"/>
      <c r="P108" s="2324"/>
      <c r="Q108" s="2324"/>
      <c r="R108" s="2325"/>
      <c r="S108" s="2324"/>
      <c r="T108" s="2324"/>
      <c r="U108" s="2326"/>
      <c r="V108" s="2327"/>
      <c r="W108" s="2327"/>
      <c r="X108" s="2328"/>
      <c r="Y108" s="2329"/>
      <c r="Z108" s="2326"/>
      <c r="AA108" s="2328"/>
      <c r="AB108" s="2329"/>
      <c r="AC108" s="2326"/>
      <c r="AD108" s="2330">
        <f t="shared" si="17"/>
        <v>0</v>
      </c>
      <c r="AE108" s="2330"/>
      <c r="AF108" s="2330"/>
      <c r="AG108" s="2330">
        <f t="shared" si="8"/>
        <v>0</v>
      </c>
      <c r="AH108" s="2330"/>
      <c r="AI108" s="2330"/>
      <c r="AJ108" s="2330">
        <f t="shared" si="18"/>
        <v>0</v>
      </c>
      <c r="AK108" s="2330"/>
      <c r="AL108" s="2330"/>
      <c r="AM108" s="2331">
        <f t="shared" si="4"/>
        <v>0</v>
      </c>
      <c r="AN108" s="2331"/>
      <c r="AO108" s="2331"/>
      <c r="AP108" s="2331"/>
      <c r="AQ108" s="2332">
        <f t="shared" si="19"/>
        <v>0</v>
      </c>
      <c r="AR108" s="2332"/>
      <c r="AS108" s="2332"/>
      <c r="AT108" s="2332"/>
      <c r="AV108" s="151" t="str">
        <f t="shared" si="1"/>
        <v>GENERAL CONDITIONS</v>
      </c>
      <c r="AW108" s="681"/>
      <c r="AX108" s="230"/>
      <c r="AY108" s="230"/>
      <c r="AZ108" s="679"/>
      <c r="BA108" s="49">
        <f t="shared" si="20"/>
        <v>0</v>
      </c>
      <c r="BB108" s="49">
        <f t="shared" si="21"/>
        <v>0</v>
      </c>
      <c r="BC108" s="49">
        <f t="shared" si="22"/>
        <v>0</v>
      </c>
      <c r="BD108" s="49">
        <f t="shared" si="23"/>
        <v>0</v>
      </c>
      <c r="BE108" s="49">
        <f t="shared" si="24"/>
        <v>0</v>
      </c>
      <c r="BF108" s="49">
        <f t="shared" si="25"/>
        <v>0</v>
      </c>
      <c r="BG108" s="49">
        <f t="shared" si="26"/>
        <v>0</v>
      </c>
      <c r="BI108" s="134">
        <f t="shared" si="27"/>
        <v>0</v>
      </c>
      <c r="BJ108" s="134">
        <f t="shared" si="28"/>
        <v>0</v>
      </c>
      <c r="BK108" s="134">
        <f t="shared" si="29"/>
        <v>0</v>
      </c>
    </row>
    <row r="109" spans="1:63">
      <c r="A109" s="187"/>
      <c r="B109" s="2333"/>
      <c r="C109" s="2333"/>
      <c r="D109" s="2334"/>
      <c r="E109" s="2334"/>
      <c r="F109" s="2334"/>
      <c r="G109" s="2334"/>
      <c r="H109" s="2334"/>
      <c r="I109" s="2334"/>
      <c r="J109" s="2334"/>
      <c r="K109" s="2334"/>
      <c r="L109" s="2334"/>
      <c r="M109" s="2334"/>
      <c r="N109" s="2334"/>
      <c r="O109" s="2334"/>
      <c r="P109" s="2324"/>
      <c r="Q109" s="2324"/>
      <c r="R109" s="2325"/>
      <c r="S109" s="2324"/>
      <c r="T109" s="2324"/>
      <c r="U109" s="2326"/>
      <c r="V109" s="2327"/>
      <c r="W109" s="2327"/>
      <c r="X109" s="2328"/>
      <c r="Y109" s="2329"/>
      <c r="Z109" s="2326"/>
      <c r="AA109" s="2328"/>
      <c r="AB109" s="2329"/>
      <c r="AC109" s="2326"/>
      <c r="AD109" s="2330">
        <f t="shared" si="17"/>
        <v>0</v>
      </c>
      <c r="AE109" s="2330"/>
      <c r="AF109" s="2330"/>
      <c r="AG109" s="2330">
        <f t="shared" si="8"/>
        <v>0</v>
      </c>
      <c r="AH109" s="2330"/>
      <c r="AI109" s="2330"/>
      <c r="AJ109" s="2330">
        <f t="shared" si="18"/>
        <v>0</v>
      </c>
      <c r="AK109" s="2330"/>
      <c r="AL109" s="2330"/>
      <c r="AM109" s="2331">
        <f t="shared" si="4"/>
        <v>0</v>
      </c>
      <c r="AN109" s="2331"/>
      <c r="AO109" s="2331"/>
      <c r="AP109" s="2331"/>
      <c r="AQ109" s="2332">
        <f t="shared" si="19"/>
        <v>0</v>
      </c>
      <c r="AR109" s="2332"/>
      <c r="AS109" s="2332"/>
      <c r="AT109" s="2332"/>
      <c r="AV109" s="151" t="str">
        <f t="shared" si="1"/>
        <v>GENERAL CONDITIONS</v>
      </c>
      <c r="AW109" s="681"/>
      <c r="AX109" s="230"/>
      <c r="AY109" s="230"/>
      <c r="AZ109" s="679"/>
      <c r="BA109" s="49">
        <f t="shared" si="20"/>
        <v>0</v>
      </c>
      <c r="BB109" s="49">
        <f t="shared" si="21"/>
        <v>0</v>
      </c>
      <c r="BC109" s="49">
        <f t="shared" si="22"/>
        <v>0</v>
      </c>
      <c r="BD109" s="49">
        <f t="shared" si="23"/>
        <v>0</v>
      </c>
      <c r="BE109" s="49">
        <f t="shared" si="24"/>
        <v>0</v>
      </c>
      <c r="BF109" s="49">
        <f t="shared" si="25"/>
        <v>0</v>
      </c>
      <c r="BG109" s="49">
        <f t="shared" si="26"/>
        <v>0</v>
      </c>
      <c r="BI109" s="134">
        <f t="shared" si="27"/>
        <v>0</v>
      </c>
      <c r="BJ109" s="134">
        <f t="shared" si="28"/>
        <v>0</v>
      </c>
      <c r="BK109" s="134">
        <f t="shared" si="29"/>
        <v>0</v>
      </c>
    </row>
    <row r="110" spans="1:63">
      <c r="A110" s="187"/>
      <c r="B110" s="2333"/>
      <c r="C110" s="2333"/>
      <c r="D110" s="2334"/>
      <c r="E110" s="2334"/>
      <c r="F110" s="2334"/>
      <c r="G110" s="2334"/>
      <c r="H110" s="2334"/>
      <c r="I110" s="2334"/>
      <c r="J110" s="2334"/>
      <c r="K110" s="2334"/>
      <c r="L110" s="2334"/>
      <c r="M110" s="2334"/>
      <c r="N110" s="2334"/>
      <c r="O110" s="2334"/>
      <c r="P110" s="2324"/>
      <c r="Q110" s="2324"/>
      <c r="R110" s="2325"/>
      <c r="S110" s="2324"/>
      <c r="T110" s="2324"/>
      <c r="U110" s="2326"/>
      <c r="V110" s="2327"/>
      <c r="W110" s="2327"/>
      <c r="X110" s="2328"/>
      <c r="Y110" s="2329"/>
      <c r="Z110" s="2326"/>
      <c r="AA110" s="2328"/>
      <c r="AB110" s="2329"/>
      <c r="AC110" s="2326"/>
      <c r="AD110" s="2330">
        <f t="shared" si="17"/>
        <v>0</v>
      </c>
      <c r="AE110" s="2330"/>
      <c r="AF110" s="2330"/>
      <c r="AG110" s="2330">
        <f t="shared" si="8"/>
        <v>0</v>
      </c>
      <c r="AH110" s="2330"/>
      <c r="AI110" s="2330"/>
      <c r="AJ110" s="2330">
        <f t="shared" si="18"/>
        <v>0</v>
      </c>
      <c r="AK110" s="2330"/>
      <c r="AL110" s="2330"/>
      <c r="AM110" s="2331">
        <f t="shared" si="4"/>
        <v>0</v>
      </c>
      <c r="AN110" s="2331"/>
      <c r="AO110" s="2331"/>
      <c r="AP110" s="2331"/>
      <c r="AQ110" s="2332">
        <f t="shared" si="19"/>
        <v>0</v>
      </c>
      <c r="AR110" s="2332"/>
      <c r="AS110" s="2332"/>
      <c r="AT110" s="2332"/>
      <c r="AV110" s="151" t="str">
        <f t="shared" si="1"/>
        <v>GENERAL CONDITIONS</v>
      </c>
      <c r="AW110" s="681"/>
      <c r="AX110" s="230"/>
      <c r="AY110" s="230"/>
      <c r="AZ110" s="679"/>
      <c r="BA110" s="49">
        <f t="shared" si="20"/>
        <v>0</v>
      </c>
      <c r="BB110" s="49">
        <f t="shared" si="21"/>
        <v>0</v>
      </c>
      <c r="BC110" s="49">
        <f t="shared" si="22"/>
        <v>0</v>
      </c>
      <c r="BD110" s="49">
        <f t="shared" si="23"/>
        <v>0</v>
      </c>
      <c r="BE110" s="49">
        <f t="shared" si="24"/>
        <v>0</v>
      </c>
      <c r="BF110" s="49">
        <f t="shared" si="25"/>
        <v>0</v>
      </c>
      <c r="BG110" s="49">
        <f t="shared" si="26"/>
        <v>0</v>
      </c>
      <c r="BI110" s="134">
        <f t="shared" si="27"/>
        <v>0</v>
      </c>
      <c r="BJ110" s="134">
        <f t="shared" si="28"/>
        <v>0</v>
      </c>
      <c r="BK110" s="134">
        <f t="shared" si="29"/>
        <v>0</v>
      </c>
    </row>
    <row r="111" spans="1:63">
      <c r="A111" s="187"/>
      <c r="B111" s="2333"/>
      <c r="C111" s="2333"/>
      <c r="D111" s="2334"/>
      <c r="E111" s="2334"/>
      <c r="F111" s="2334"/>
      <c r="G111" s="2334"/>
      <c r="H111" s="2334"/>
      <c r="I111" s="2334"/>
      <c r="J111" s="2334"/>
      <c r="K111" s="2334"/>
      <c r="L111" s="2334"/>
      <c r="M111" s="2334"/>
      <c r="N111" s="2334"/>
      <c r="O111" s="2334"/>
      <c r="P111" s="2324"/>
      <c r="Q111" s="2324"/>
      <c r="R111" s="2325"/>
      <c r="S111" s="2324"/>
      <c r="T111" s="2324"/>
      <c r="U111" s="2326"/>
      <c r="V111" s="2327"/>
      <c r="W111" s="2327"/>
      <c r="X111" s="2328"/>
      <c r="Y111" s="2329"/>
      <c r="Z111" s="2326"/>
      <c r="AA111" s="2328"/>
      <c r="AB111" s="2329"/>
      <c r="AC111" s="2326"/>
      <c r="AD111" s="2330">
        <f t="shared" si="17"/>
        <v>0</v>
      </c>
      <c r="AE111" s="2330"/>
      <c r="AF111" s="2330"/>
      <c r="AG111" s="2330">
        <f t="shared" si="8"/>
        <v>0</v>
      </c>
      <c r="AH111" s="2330"/>
      <c r="AI111" s="2330"/>
      <c r="AJ111" s="2330">
        <f t="shared" si="18"/>
        <v>0</v>
      </c>
      <c r="AK111" s="2330"/>
      <c r="AL111" s="2330"/>
      <c r="AM111" s="2331">
        <f t="shared" si="4"/>
        <v>0</v>
      </c>
      <c r="AN111" s="2331"/>
      <c r="AO111" s="2331"/>
      <c r="AP111" s="2331"/>
      <c r="AQ111" s="2332">
        <f t="shared" si="19"/>
        <v>0</v>
      </c>
      <c r="AR111" s="2332"/>
      <c r="AS111" s="2332"/>
      <c r="AT111" s="2332"/>
      <c r="AV111" s="151" t="str">
        <f t="shared" si="1"/>
        <v>GENERAL CONDITIONS</v>
      </c>
      <c r="AW111" s="681"/>
      <c r="AX111" s="230"/>
      <c r="AY111" s="230"/>
      <c r="AZ111" s="679"/>
      <c r="BA111" s="49">
        <f t="shared" si="20"/>
        <v>0</v>
      </c>
      <c r="BB111" s="49">
        <f t="shared" si="21"/>
        <v>0</v>
      </c>
      <c r="BC111" s="49">
        <f t="shared" si="22"/>
        <v>0</v>
      </c>
      <c r="BD111" s="49">
        <f t="shared" si="23"/>
        <v>0</v>
      </c>
      <c r="BE111" s="49">
        <f t="shared" si="24"/>
        <v>0</v>
      </c>
      <c r="BF111" s="49">
        <f t="shared" si="25"/>
        <v>0</v>
      </c>
      <c r="BG111" s="49">
        <f t="shared" si="26"/>
        <v>0</v>
      </c>
      <c r="BI111" s="134">
        <f t="shared" si="27"/>
        <v>0</v>
      </c>
      <c r="BJ111" s="134">
        <f t="shared" si="28"/>
        <v>0</v>
      </c>
      <c r="BK111" s="134">
        <f t="shared" si="29"/>
        <v>0</v>
      </c>
    </row>
    <row r="112" spans="1:63">
      <c r="A112" s="187"/>
      <c r="B112" s="2333"/>
      <c r="C112" s="2333"/>
      <c r="D112" s="2334"/>
      <c r="E112" s="2334"/>
      <c r="F112" s="2334"/>
      <c r="G112" s="2334"/>
      <c r="H112" s="2334"/>
      <c r="I112" s="2334"/>
      <c r="J112" s="2334"/>
      <c r="K112" s="2334"/>
      <c r="L112" s="2334"/>
      <c r="M112" s="2334"/>
      <c r="N112" s="2334"/>
      <c r="O112" s="2334"/>
      <c r="P112" s="2324"/>
      <c r="Q112" s="2324"/>
      <c r="R112" s="2325"/>
      <c r="S112" s="2324"/>
      <c r="T112" s="2324"/>
      <c r="U112" s="2326"/>
      <c r="V112" s="2327"/>
      <c r="W112" s="2327"/>
      <c r="X112" s="2328"/>
      <c r="Y112" s="2329"/>
      <c r="Z112" s="2326"/>
      <c r="AA112" s="2328"/>
      <c r="AB112" s="2329"/>
      <c r="AC112" s="2326"/>
      <c r="AD112" s="2330">
        <f t="shared" si="17"/>
        <v>0</v>
      </c>
      <c r="AE112" s="2330"/>
      <c r="AF112" s="2330"/>
      <c r="AG112" s="2330">
        <f t="shared" si="8"/>
        <v>0</v>
      </c>
      <c r="AH112" s="2330"/>
      <c r="AI112" s="2330"/>
      <c r="AJ112" s="2330">
        <f t="shared" si="18"/>
        <v>0</v>
      </c>
      <c r="AK112" s="2330"/>
      <c r="AL112" s="2330"/>
      <c r="AM112" s="2331">
        <f t="shared" si="4"/>
        <v>0</v>
      </c>
      <c r="AN112" s="2331"/>
      <c r="AO112" s="2331"/>
      <c r="AP112" s="2331"/>
      <c r="AQ112" s="2332">
        <f t="shared" si="19"/>
        <v>0</v>
      </c>
      <c r="AR112" s="2332"/>
      <c r="AS112" s="2332"/>
      <c r="AT112" s="2332"/>
      <c r="AV112" s="151" t="str">
        <f t="shared" si="1"/>
        <v>GENERAL CONDITIONS</v>
      </c>
      <c r="AW112" s="681"/>
      <c r="AX112" s="230"/>
      <c r="AY112" s="230"/>
      <c r="AZ112" s="679"/>
      <c r="BA112" s="49">
        <f t="shared" si="20"/>
        <v>0</v>
      </c>
      <c r="BB112" s="49">
        <f t="shared" si="21"/>
        <v>0</v>
      </c>
      <c r="BC112" s="49">
        <f t="shared" si="22"/>
        <v>0</v>
      </c>
      <c r="BD112" s="49">
        <f t="shared" si="23"/>
        <v>0</v>
      </c>
      <c r="BE112" s="49">
        <f t="shared" si="24"/>
        <v>0</v>
      </c>
      <c r="BF112" s="49">
        <f t="shared" si="25"/>
        <v>0</v>
      </c>
      <c r="BG112" s="49">
        <f t="shared" si="26"/>
        <v>0</v>
      </c>
      <c r="BI112" s="134">
        <f t="shared" si="27"/>
        <v>0</v>
      </c>
      <c r="BJ112" s="134">
        <f t="shared" si="28"/>
        <v>0</v>
      </c>
      <c r="BK112" s="134">
        <f t="shared" si="29"/>
        <v>0</v>
      </c>
    </row>
    <row r="113" spans="1:63">
      <c r="A113" s="187"/>
      <c r="B113" s="2333"/>
      <c r="C113" s="2333"/>
      <c r="D113" s="2334"/>
      <c r="E113" s="2334"/>
      <c r="F113" s="2334"/>
      <c r="G113" s="2334"/>
      <c r="H113" s="2334"/>
      <c r="I113" s="2334"/>
      <c r="J113" s="2334"/>
      <c r="K113" s="2334"/>
      <c r="L113" s="2334"/>
      <c r="M113" s="2334"/>
      <c r="N113" s="2334"/>
      <c r="O113" s="2334"/>
      <c r="P113" s="2324"/>
      <c r="Q113" s="2324"/>
      <c r="R113" s="2325"/>
      <c r="S113" s="2324"/>
      <c r="T113" s="2324"/>
      <c r="U113" s="2326"/>
      <c r="V113" s="2327"/>
      <c r="W113" s="2327"/>
      <c r="X113" s="2328"/>
      <c r="Y113" s="2329"/>
      <c r="Z113" s="2326"/>
      <c r="AA113" s="2328"/>
      <c r="AB113" s="2329"/>
      <c r="AC113" s="2326"/>
      <c r="AD113" s="2330">
        <f t="shared" si="17"/>
        <v>0</v>
      </c>
      <c r="AE113" s="2330"/>
      <c r="AF113" s="2330"/>
      <c r="AG113" s="2330">
        <f t="shared" si="8"/>
        <v>0</v>
      </c>
      <c r="AH113" s="2330"/>
      <c r="AI113" s="2330"/>
      <c r="AJ113" s="2330">
        <f t="shared" si="18"/>
        <v>0</v>
      </c>
      <c r="AK113" s="2330"/>
      <c r="AL113" s="2330"/>
      <c r="AM113" s="2331">
        <f t="shared" si="4"/>
        <v>0</v>
      </c>
      <c r="AN113" s="2331"/>
      <c r="AO113" s="2331"/>
      <c r="AP113" s="2331"/>
      <c r="AQ113" s="2332">
        <f t="shared" si="19"/>
        <v>0</v>
      </c>
      <c r="AR113" s="2332"/>
      <c r="AS113" s="2332"/>
      <c r="AT113" s="2332"/>
      <c r="AV113" s="151" t="str">
        <f t="shared" si="1"/>
        <v>GENERAL CONDITIONS</v>
      </c>
      <c r="AW113" s="681"/>
      <c r="AX113" s="230"/>
      <c r="AY113" s="230"/>
      <c r="AZ113" s="679"/>
      <c r="BA113" s="49">
        <f t="shared" si="20"/>
        <v>0</v>
      </c>
      <c r="BB113" s="49">
        <f t="shared" si="21"/>
        <v>0</v>
      </c>
      <c r="BC113" s="49">
        <f t="shared" si="22"/>
        <v>0</v>
      </c>
      <c r="BD113" s="49">
        <f t="shared" si="23"/>
        <v>0</v>
      </c>
      <c r="BE113" s="49">
        <f t="shared" si="24"/>
        <v>0</v>
      </c>
      <c r="BF113" s="49">
        <f t="shared" si="25"/>
        <v>0</v>
      </c>
      <c r="BG113" s="49">
        <f t="shared" si="26"/>
        <v>0</v>
      </c>
      <c r="BI113" s="134">
        <f t="shared" si="27"/>
        <v>0</v>
      </c>
      <c r="BJ113" s="134">
        <f t="shared" si="28"/>
        <v>0</v>
      </c>
      <c r="BK113" s="134">
        <f t="shared" si="29"/>
        <v>0</v>
      </c>
    </row>
    <row r="114" spans="1:63">
      <c r="A114" s="187"/>
      <c r="B114" s="2333"/>
      <c r="C114" s="2333"/>
      <c r="D114" s="2334"/>
      <c r="E114" s="2334"/>
      <c r="F114" s="2334"/>
      <c r="G114" s="2334"/>
      <c r="H114" s="2334"/>
      <c r="I114" s="2334"/>
      <c r="J114" s="2334"/>
      <c r="K114" s="2334"/>
      <c r="L114" s="2334"/>
      <c r="M114" s="2334"/>
      <c r="N114" s="2334"/>
      <c r="O114" s="2334"/>
      <c r="P114" s="2324"/>
      <c r="Q114" s="2324"/>
      <c r="R114" s="2325"/>
      <c r="S114" s="2324"/>
      <c r="T114" s="2324"/>
      <c r="U114" s="2326"/>
      <c r="V114" s="2327"/>
      <c r="W114" s="2327"/>
      <c r="X114" s="2328"/>
      <c r="Y114" s="2329"/>
      <c r="Z114" s="2326"/>
      <c r="AA114" s="2328"/>
      <c r="AB114" s="2329"/>
      <c r="AC114" s="2326"/>
      <c r="AD114" s="2330">
        <f t="shared" si="7"/>
        <v>0</v>
      </c>
      <c r="AE114" s="2330"/>
      <c r="AF114" s="2330"/>
      <c r="AG114" s="2330">
        <f t="shared" si="8"/>
        <v>0</v>
      </c>
      <c r="AH114" s="2330"/>
      <c r="AI114" s="2330"/>
      <c r="AJ114" s="2330">
        <f t="shared" si="9"/>
        <v>0</v>
      </c>
      <c r="AK114" s="2330"/>
      <c r="AL114" s="2330"/>
      <c r="AM114" s="2331">
        <f t="shared" si="4"/>
        <v>0</v>
      </c>
      <c r="AN114" s="2331"/>
      <c r="AO114" s="2331"/>
      <c r="AP114" s="2331"/>
      <c r="AQ114" s="2332">
        <f t="shared" si="10"/>
        <v>0</v>
      </c>
      <c r="AR114" s="2332"/>
      <c r="AS114" s="2332"/>
      <c r="AT114" s="2332"/>
      <c r="AV114" s="151" t="str">
        <f t="shared" si="1"/>
        <v>GENERAL CONDITIONS</v>
      </c>
      <c r="AW114" s="681"/>
      <c r="AX114" s="230"/>
      <c r="AY114" s="230"/>
      <c r="AZ114" s="679"/>
      <c r="BA114" s="49">
        <f t="shared" si="5"/>
        <v>0</v>
      </c>
      <c r="BB114" s="49">
        <f t="shared" si="11"/>
        <v>0</v>
      </c>
      <c r="BC114" s="49">
        <f t="shared" si="12"/>
        <v>0</v>
      </c>
      <c r="BD114" s="49">
        <f t="shared" si="6"/>
        <v>0</v>
      </c>
      <c r="BE114" s="49">
        <f t="shared" si="13"/>
        <v>0</v>
      </c>
      <c r="BF114" s="49">
        <f t="shared" si="2"/>
        <v>0</v>
      </c>
      <c r="BG114" s="49">
        <f t="shared" si="3"/>
        <v>0</v>
      </c>
      <c r="BI114" s="134">
        <f t="shared" si="14"/>
        <v>0</v>
      </c>
      <c r="BJ114" s="134">
        <f t="shared" si="15"/>
        <v>0</v>
      </c>
      <c r="BK114" s="134">
        <f t="shared" si="16"/>
        <v>0</v>
      </c>
    </row>
    <row r="115" spans="1:63">
      <c r="A115" s="187"/>
      <c r="B115" s="2333"/>
      <c r="C115" s="2333"/>
      <c r="D115" s="2334"/>
      <c r="E115" s="2334"/>
      <c r="F115" s="2334"/>
      <c r="G115" s="2334"/>
      <c r="H115" s="2334"/>
      <c r="I115" s="2334"/>
      <c r="J115" s="2334"/>
      <c r="K115" s="2334"/>
      <c r="L115" s="2334"/>
      <c r="M115" s="2334"/>
      <c r="N115" s="2334"/>
      <c r="O115" s="2334"/>
      <c r="P115" s="2324"/>
      <c r="Q115" s="2324"/>
      <c r="R115" s="2325"/>
      <c r="S115" s="2324"/>
      <c r="T115" s="2324"/>
      <c r="U115" s="2326"/>
      <c r="V115" s="2327"/>
      <c r="W115" s="2327"/>
      <c r="X115" s="2328"/>
      <c r="Y115" s="2329"/>
      <c r="Z115" s="2326"/>
      <c r="AA115" s="2328"/>
      <c r="AB115" s="2329"/>
      <c r="AC115" s="2326"/>
      <c r="AD115" s="2330">
        <f t="shared" si="7"/>
        <v>0</v>
      </c>
      <c r="AE115" s="2330"/>
      <c r="AF115" s="2330"/>
      <c r="AG115" s="2330">
        <f t="shared" si="8"/>
        <v>0</v>
      </c>
      <c r="AH115" s="2330"/>
      <c r="AI115" s="2330"/>
      <c r="AJ115" s="2330">
        <f t="shared" si="9"/>
        <v>0</v>
      </c>
      <c r="AK115" s="2330"/>
      <c r="AL115" s="2330"/>
      <c r="AM115" s="2331">
        <f t="shared" si="4"/>
        <v>0</v>
      </c>
      <c r="AN115" s="2331"/>
      <c r="AO115" s="2331"/>
      <c r="AP115" s="2331"/>
      <c r="AQ115" s="2332">
        <f t="shared" si="10"/>
        <v>0</v>
      </c>
      <c r="AR115" s="2332"/>
      <c r="AS115" s="2332"/>
      <c r="AT115" s="2332"/>
      <c r="AV115" s="151" t="str">
        <f t="shared" si="1"/>
        <v>GENERAL CONDITIONS</v>
      </c>
      <c r="AW115" s="681"/>
      <c r="AX115" s="230"/>
      <c r="AY115" s="230"/>
      <c r="AZ115" s="679"/>
      <c r="BA115" s="49">
        <f t="shared" si="5"/>
        <v>0</v>
      </c>
      <c r="BB115" s="49">
        <f t="shared" si="11"/>
        <v>0</v>
      </c>
      <c r="BC115" s="49">
        <f t="shared" si="12"/>
        <v>0</v>
      </c>
      <c r="BD115" s="49">
        <f t="shared" si="6"/>
        <v>0</v>
      </c>
      <c r="BE115" s="49">
        <f>SUM(BA115:BC115)</f>
        <v>0</v>
      </c>
      <c r="BF115" s="49">
        <f t="shared" si="2"/>
        <v>0</v>
      </c>
      <c r="BG115" s="49">
        <f t="shared" si="3"/>
        <v>0</v>
      </c>
      <c r="BI115" s="134">
        <f t="shared" si="14"/>
        <v>0</v>
      </c>
      <c r="BJ115" s="134">
        <f t="shared" si="15"/>
        <v>0</v>
      </c>
      <c r="BK115" s="134">
        <f t="shared" si="16"/>
        <v>0</v>
      </c>
    </row>
    <row r="116" spans="1:63">
      <c r="A116" s="187"/>
      <c r="B116" s="2333"/>
      <c r="C116" s="2333"/>
      <c r="D116" s="2334"/>
      <c r="E116" s="2334"/>
      <c r="F116" s="2334"/>
      <c r="G116" s="2334"/>
      <c r="H116" s="2334"/>
      <c r="I116" s="2334"/>
      <c r="J116" s="2334"/>
      <c r="K116" s="2334"/>
      <c r="L116" s="2334"/>
      <c r="M116" s="2334"/>
      <c r="N116" s="2334"/>
      <c r="O116" s="2334"/>
      <c r="P116" s="2324"/>
      <c r="Q116" s="2324"/>
      <c r="R116" s="2325"/>
      <c r="S116" s="2324"/>
      <c r="T116" s="2324"/>
      <c r="U116" s="2326"/>
      <c r="V116" s="2327"/>
      <c r="W116" s="2327"/>
      <c r="X116" s="2328"/>
      <c r="Y116" s="2329"/>
      <c r="Z116" s="2326"/>
      <c r="AA116" s="2328"/>
      <c r="AB116" s="2329"/>
      <c r="AC116" s="2326"/>
      <c r="AD116" s="2330">
        <f t="shared" si="7"/>
        <v>0</v>
      </c>
      <c r="AE116" s="2330"/>
      <c r="AF116" s="2330"/>
      <c r="AG116" s="2330">
        <f t="shared" si="8"/>
        <v>0</v>
      </c>
      <c r="AH116" s="2330"/>
      <c r="AI116" s="2330"/>
      <c r="AJ116" s="2330">
        <f t="shared" si="9"/>
        <v>0</v>
      </c>
      <c r="AK116" s="2330"/>
      <c r="AL116" s="2330"/>
      <c r="AM116" s="2331">
        <f t="shared" si="4"/>
        <v>0</v>
      </c>
      <c r="AN116" s="2331"/>
      <c r="AO116" s="2331"/>
      <c r="AP116" s="2331"/>
      <c r="AQ116" s="2332">
        <f t="shared" si="10"/>
        <v>0</v>
      </c>
      <c r="AR116" s="2332"/>
      <c r="AS116" s="2332"/>
      <c r="AT116" s="2332"/>
      <c r="AV116" s="151" t="str">
        <f t="shared" si="1"/>
        <v>GENERAL CONDITIONS</v>
      </c>
      <c r="AW116" s="681"/>
      <c r="AX116" s="230"/>
      <c r="AY116" s="230"/>
      <c r="AZ116" s="679"/>
      <c r="BA116" s="49">
        <f t="shared" si="5"/>
        <v>0</v>
      </c>
      <c r="BB116" s="49">
        <f t="shared" si="11"/>
        <v>0</v>
      </c>
      <c r="BC116" s="49">
        <f t="shared" si="12"/>
        <v>0</v>
      </c>
      <c r="BD116" s="49">
        <f t="shared" si="6"/>
        <v>0</v>
      </c>
      <c r="BE116" s="49">
        <f>SUM(BA116:BC116)</f>
        <v>0</v>
      </c>
      <c r="BF116" s="49">
        <f t="shared" si="2"/>
        <v>0</v>
      </c>
      <c r="BG116" s="49">
        <f t="shared" si="3"/>
        <v>0</v>
      </c>
      <c r="BI116" s="134">
        <f t="shared" si="14"/>
        <v>0</v>
      </c>
      <c r="BJ116" s="134">
        <f t="shared" si="15"/>
        <v>0</v>
      </c>
      <c r="BK116" s="134">
        <f t="shared" si="16"/>
        <v>0</v>
      </c>
    </row>
    <row r="117" spans="1:63">
      <c r="A117" s="187"/>
      <c r="B117" s="2333"/>
      <c r="C117" s="2333"/>
      <c r="D117" s="2334"/>
      <c r="E117" s="2334"/>
      <c r="F117" s="2334"/>
      <c r="G117" s="2334"/>
      <c r="H117" s="2334"/>
      <c r="I117" s="2334"/>
      <c r="J117" s="2334"/>
      <c r="K117" s="2334"/>
      <c r="L117" s="2334"/>
      <c r="M117" s="2334"/>
      <c r="N117" s="2334"/>
      <c r="O117" s="2334"/>
      <c r="P117" s="2324"/>
      <c r="Q117" s="2324"/>
      <c r="R117" s="2325"/>
      <c r="S117" s="2324"/>
      <c r="T117" s="2324"/>
      <c r="U117" s="2326"/>
      <c r="V117" s="2327"/>
      <c r="W117" s="2327"/>
      <c r="X117" s="2328"/>
      <c r="Y117" s="2329"/>
      <c r="Z117" s="2326"/>
      <c r="AA117" s="2328"/>
      <c r="AB117" s="2329"/>
      <c r="AC117" s="2326"/>
      <c r="AD117" s="2330">
        <f>((P117*U117)-AM117)</f>
        <v>0</v>
      </c>
      <c r="AE117" s="2330"/>
      <c r="AF117" s="2330"/>
      <c r="AG117" s="2330">
        <f t="shared" si="8"/>
        <v>0</v>
      </c>
      <c r="AH117" s="2330"/>
      <c r="AI117" s="2330"/>
      <c r="AJ117" s="2330">
        <f>P117*AA117</f>
        <v>0</v>
      </c>
      <c r="AK117" s="2330"/>
      <c r="AL117" s="2330"/>
      <c r="AM117" s="2331">
        <f t="shared" si="4"/>
        <v>0</v>
      </c>
      <c r="AN117" s="2331"/>
      <c r="AO117" s="2331"/>
      <c r="AP117" s="2331"/>
      <c r="AQ117" s="2332">
        <f>SUM(AD117:AL117)</f>
        <v>0</v>
      </c>
      <c r="AR117" s="2332"/>
      <c r="AS117" s="2332"/>
      <c r="AT117" s="2332"/>
      <c r="AV117" s="151" t="str">
        <f t="shared" si="1"/>
        <v>GENERAL CONDITIONS</v>
      </c>
      <c r="AW117" s="681"/>
      <c r="AX117" s="230"/>
      <c r="AY117" s="230"/>
      <c r="AZ117" s="679"/>
      <c r="BA117" s="49">
        <f>AD117</f>
        <v>0</v>
      </c>
      <c r="BB117" s="49">
        <f>AG117</f>
        <v>0</v>
      </c>
      <c r="BC117" s="49">
        <f>AJ117</f>
        <v>0</v>
      </c>
      <c r="BD117" s="49">
        <f>IF(B117="x",1,0)</f>
        <v>0</v>
      </c>
      <c r="BE117" s="49">
        <f>SUM(BA117:BC117)</f>
        <v>0</v>
      </c>
      <c r="BF117" s="49">
        <f>AQ117</f>
        <v>0</v>
      </c>
      <c r="BG117" s="49">
        <f>AM117</f>
        <v>0</v>
      </c>
      <c r="BI117" s="134">
        <f>AD117</f>
        <v>0</v>
      </c>
      <c r="BJ117" s="134">
        <f>AM117</f>
        <v>0</v>
      </c>
      <c r="BK117" s="134">
        <f>BJ117+BI117</f>
        <v>0</v>
      </c>
    </row>
    <row r="118" spans="1:63">
      <c r="A118" s="187"/>
      <c r="B118" s="2333"/>
      <c r="C118" s="2333"/>
      <c r="D118" s="2334"/>
      <c r="E118" s="2334"/>
      <c r="F118" s="2334"/>
      <c r="G118" s="2334"/>
      <c r="H118" s="2334"/>
      <c r="I118" s="2334"/>
      <c r="J118" s="2334"/>
      <c r="K118" s="2334"/>
      <c r="L118" s="2334"/>
      <c r="M118" s="2334"/>
      <c r="N118" s="2334"/>
      <c r="O118" s="2334"/>
      <c r="P118" s="2324"/>
      <c r="Q118" s="2324"/>
      <c r="R118" s="2325"/>
      <c r="S118" s="2324"/>
      <c r="T118" s="2324"/>
      <c r="U118" s="2326"/>
      <c r="V118" s="2327"/>
      <c r="W118" s="2327"/>
      <c r="X118" s="2328"/>
      <c r="Y118" s="2329"/>
      <c r="Z118" s="2326"/>
      <c r="AA118" s="2328"/>
      <c r="AB118" s="2329"/>
      <c r="AC118" s="2326"/>
      <c r="AD118" s="2330">
        <f>((P118*U118)-AM118)</f>
        <v>0</v>
      </c>
      <c r="AE118" s="2330"/>
      <c r="AF118" s="2330"/>
      <c r="AG118" s="2330">
        <f t="shared" si="8"/>
        <v>0</v>
      </c>
      <c r="AH118" s="2330"/>
      <c r="AI118" s="2330"/>
      <c r="AJ118" s="2330">
        <f>P118*AA118</f>
        <v>0</v>
      </c>
      <c r="AK118" s="2330"/>
      <c r="AL118" s="2330"/>
      <c r="AM118" s="2331">
        <f t="shared" si="4"/>
        <v>0</v>
      </c>
      <c r="AN118" s="2331"/>
      <c r="AO118" s="2331"/>
      <c r="AP118" s="2331"/>
      <c r="AQ118" s="2332">
        <f>SUM(AD118:AL118)</f>
        <v>0</v>
      </c>
      <c r="AR118" s="2332"/>
      <c r="AS118" s="2332"/>
      <c r="AT118" s="2332"/>
      <c r="AV118" s="151" t="str">
        <f t="shared" si="1"/>
        <v>GENERAL CONDITIONS</v>
      </c>
      <c r="AW118" s="681"/>
      <c r="AX118" s="230"/>
      <c r="AY118" s="230"/>
      <c r="AZ118" s="679"/>
      <c r="BA118" s="49">
        <f>AD118</f>
        <v>0</v>
      </c>
      <c r="BB118" s="49">
        <f>AG118</f>
        <v>0</v>
      </c>
      <c r="BC118" s="49">
        <f>AJ118</f>
        <v>0</v>
      </c>
      <c r="BD118" s="49">
        <f>IF(B118="x",1,0)</f>
        <v>0</v>
      </c>
      <c r="BE118" s="49">
        <f>SUM(BA118:BC118)</f>
        <v>0</v>
      </c>
      <c r="BF118" s="49">
        <f>AQ118</f>
        <v>0</v>
      </c>
      <c r="BG118" s="49">
        <f>AM118</f>
        <v>0</v>
      </c>
      <c r="BI118" s="134">
        <f>AD118</f>
        <v>0</v>
      </c>
      <c r="BJ118" s="134">
        <f>AM118</f>
        <v>0</v>
      </c>
      <c r="BK118" s="134">
        <f>BJ118+BI118</f>
        <v>0</v>
      </c>
    </row>
    <row r="119" spans="1:63">
      <c r="A119" s="187"/>
      <c r="B119" s="2333"/>
      <c r="C119" s="2333"/>
      <c r="D119" s="2334"/>
      <c r="E119" s="2334"/>
      <c r="F119" s="2334"/>
      <c r="G119" s="2334"/>
      <c r="H119" s="2334"/>
      <c r="I119" s="2334"/>
      <c r="J119" s="2334"/>
      <c r="K119" s="2334"/>
      <c r="L119" s="2334"/>
      <c r="M119" s="2334"/>
      <c r="N119" s="2334"/>
      <c r="O119" s="2334"/>
      <c r="P119" s="2324"/>
      <c r="Q119" s="2324"/>
      <c r="R119" s="2325"/>
      <c r="S119" s="2324"/>
      <c r="T119" s="2324"/>
      <c r="U119" s="2326"/>
      <c r="V119" s="2327"/>
      <c r="W119" s="2327"/>
      <c r="X119" s="2328"/>
      <c r="Y119" s="2329"/>
      <c r="Z119" s="2326"/>
      <c r="AA119" s="2328"/>
      <c r="AB119" s="2329"/>
      <c r="AC119" s="2326"/>
      <c r="AD119" s="2330">
        <f>((P119*U119)-AM119)</f>
        <v>0</v>
      </c>
      <c r="AE119" s="2330"/>
      <c r="AF119" s="2330"/>
      <c r="AG119" s="2330">
        <f t="shared" si="8"/>
        <v>0</v>
      </c>
      <c r="AH119" s="2330"/>
      <c r="AI119" s="2330"/>
      <c r="AJ119" s="2330">
        <f>P119*AA119</f>
        <v>0</v>
      </c>
      <c r="AK119" s="2330"/>
      <c r="AL119" s="2330"/>
      <c r="AM119" s="2331">
        <f t="shared" si="4"/>
        <v>0</v>
      </c>
      <c r="AN119" s="2331"/>
      <c r="AO119" s="2331"/>
      <c r="AP119" s="2331"/>
      <c r="AQ119" s="2332">
        <f>SUM(AD119:AL119)</f>
        <v>0</v>
      </c>
      <c r="AR119" s="2332"/>
      <c r="AS119" s="2332"/>
      <c r="AT119" s="2332"/>
      <c r="AV119" s="151" t="str">
        <f t="shared" si="1"/>
        <v>GENERAL CONDITIONS</v>
      </c>
      <c r="AW119" s="681"/>
      <c r="AX119" s="230"/>
      <c r="AY119" s="230"/>
      <c r="AZ119" s="679"/>
      <c r="BA119" s="49">
        <f>AD119</f>
        <v>0</v>
      </c>
      <c r="BB119" s="49">
        <f>AG119</f>
        <v>0</v>
      </c>
      <c r="BC119" s="49">
        <f>AJ119</f>
        <v>0</v>
      </c>
      <c r="BD119" s="49">
        <f>IF(B119="x",1,0)</f>
        <v>0</v>
      </c>
      <c r="BE119" s="49">
        <f>SUM(BA119:BC119)</f>
        <v>0</v>
      </c>
      <c r="BF119" s="49">
        <f>AQ119</f>
        <v>0</v>
      </c>
      <c r="BG119" s="49">
        <f>AM119</f>
        <v>0</v>
      </c>
      <c r="BI119" s="134">
        <f>AD119</f>
        <v>0</v>
      </c>
      <c r="BJ119" s="134">
        <f>AM119</f>
        <v>0</v>
      </c>
      <c r="BK119" s="134">
        <f>BJ119+BI119</f>
        <v>0</v>
      </c>
    </row>
    <row r="120" spans="1:63">
      <c r="A120" s="187"/>
      <c r="B120" s="2333"/>
      <c r="C120" s="2333"/>
      <c r="D120" s="2334"/>
      <c r="E120" s="2334"/>
      <c r="F120" s="2334"/>
      <c r="G120" s="2334"/>
      <c r="H120" s="2334"/>
      <c r="I120" s="2334"/>
      <c r="J120" s="2334"/>
      <c r="K120" s="2334"/>
      <c r="L120" s="2334"/>
      <c r="M120" s="2334"/>
      <c r="N120" s="2334"/>
      <c r="O120" s="2334"/>
      <c r="P120" s="2324"/>
      <c r="Q120" s="2324"/>
      <c r="R120" s="2325"/>
      <c r="S120" s="2324"/>
      <c r="T120" s="2324"/>
      <c r="U120" s="2326"/>
      <c r="V120" s="2327"/>
      <c r="W120" s="2327"/>
      <c r="X120" s="2327"/>
      <c r="Y120" s="2327"/>
      <c r="Z120" s="2327"/>
      <c r="AA120" s="2328"/>
      <c r="AB120" s="2329"/>
      <c r="AC120" s="2326"/>
      <c r="AD120" s="2330">
        <f t="shared" si="7"/>
        <v>0</v>
      </c>
      <c r="AE120" s="2330"/>
      <c r="AF120" s="2330"/>
      <c r="AG120" s="2330">
        <f t="shared" si="8"/>
        <v>0</v>
      </c>
      <c r="AH120" s="2330"/>
      <c r="AI120" s="2330"/>
      <c r="AJ120" s="2330">
        <f t="shared" si="9"/>
        <v>0</v>
      </c>
      <c r="AK120" s="2330"/>
      <c r="AL120" s="2330"/>
      <c r="AM120" s="2331">
        <f t="shared" si="4"/>
        <v>0</v>
      </c>
      <c r="AN120" s="2331"/>
      <c r="AO120" s="2331"/>
      <c r="AP120" s="2331"/>
      <c r="AQ120" s="2332">
        <f t="shared" si="10"/>
        <v>0</v>
      </c>
      <c r="AR120" s="2332"/>
      <c r="AS120" s="2332"/>
      <c r="AT120" s="2332"/>
      <c r="AV120" s="151" t="str">
        <f t="shared" si="1"/>
        <v>GENERAL CONDITIONS</v>
      </c>
      <c r="AW120" s="681"/>
      <c r="AX120" s="230"/>
      <c r="AY120" s="230"/>
      <c r="AZ120" s="679"/>
      <c r="BA120" s="49">
        <f t="shared" si="5"/>
        <v>0</v>
      </c>
      <c r="BB120" s="49">
        <f t="shared" si="11"/>
        <v>0</v>
      </c>
      <c r="BC120" s="49">
        <f t="shared" si="12"/>
        <v>0</v>
      </c>
      <c r="BD120" s="49">
        <f t="shared" si="6"/>
        <v>0</v>
      </c>
      <c r="BE120" s="49">
        <f t="shared" si="13"/>
        <v>0</v>
      </c>
      <c r="BF120" s="49">
        <f t="shared" si="2"/>
        <v>0</v>
      </c>
      <c r="BG120" s="49">
        <f t="shared" si="3"/>
        <v>0</v>
      </c>
      <c r="BI120" s="134">
        <f t="shared" si="14"/>
        <v>0</v>
      </c>
      <c r="BJ120" s="134">
        <f t="shared" si="15"/>
        <v>0</v>
      </c>
      <c r="BK120" s="134">
        <f t="shared" si="16"/>
        <v>0</v>
      </c>
    </row>
    <row r="121" spans="1:63">
      <c r="A121" s="187"/>
      <c r="B121" s="2333"/>
      <c r="C121" s="2333"/>
      <c r="D121" s="2334"/>
      <c r="E121" s="2334"/>
      <c r="F121" s="2334"/>
      <c r="G121" s="2334"/>
      <c r="H121" s="2334"/>
      <c r="I121" s="2334"/>
      <c r="J121" s="2334"/>
      <c r="K121" s="2334"/>
      <c r="L121" s="2334"/>
      <c r="M121" s="2334"/>
      <c r="N121" s="2334"/>
      <c r="O121" s="2334"/>
      <c r="P121" s="2324"/>
      <c r="Q121" s="2324"/>
      <c r="R121" s="2325"/>
      <c r="S121" s="2324"/>
      <c r="T121" s="2324"/>
      <c r="U121" s="2326"/>
      <c r="V121" s="2327"/>
      <c r="W121" s="2327"/>
      <c r="X121" s="2327"/>
      <c r="Y121" s="2327"/>
      <c r="Z121" s="2327"/>
      <c r="AA121" s="2328"/>
      <c r="AB121" s="2329"/>
      <c r="AC121" s="2326"/>
      <c r="AD121" s="2330">
        <f t="shared" si="7"/>
        <v>0</v>
      </c>
      <c r="AE121" s="2330"/>
      <c r="AF121" s="2330"/>
      <c r="AG121" s="2330">
        <f t="shared" si="8"/>
        <v>0</v>
      </c>
      <c r="AH121" s="2330"/>
      <c r="AI121" s="2330"/>
      <c r="AJ121" s="2330">
        <f t="shared" si="9"/>
        <v>0</v>
      </c>
      <c r="AK121" s="2330"/>
      <c r="AL121" s="2330"/>
      <c r="AM121" s="2331">
        <f t="shared" si="4"/>
        <v>0</v>
      </c>
      <c r="AN121" s="2331"/>
      <c r="AO121" s="2331"/>
      <c r="AP121" s="2331"/>
      <c r="AQ121" s="2332">
        <f t="shared" si="10"/>
        <v>0</v>
      </c>
      <c r="AR121" s="2332"/>
      <c r="AS121" s="2332"/>
      <c r="AT121" s="2332"/>
      <c r="AV121" s="151" t="str">
        <f t="shared" si="1"/>
        <v>GENERAL CONDITIONS</v>
      </c>
      <c r="AW121" s="681"/>
      <c r="AX121" s="230"/>
      <c r="AY121" s="230"/>
      <c r="AZ121" s="679"/>
      <c r="BA121" s="49">
        <f t="shared" si="5"/>
        <v>0</v>
      </c>
      <c r="BB121" s="49">
        <f t="shared" si="11"/>
        <v>0</v>
      </c>
      <c r="BC121" s="49">
        <f t="shared" si="12"/>
        <v>0</v>
      </c>
      <c r="BD121" s="49">
        <f t="shared" si="6"/>
        <v>0</v>
      </c>
      <c r="BE121" s="49">
        <f t="shared" ref="BE121:BE127" si="30">SUM(BA121:BC121)</f>
        <v>0</v>
      </c>
      <c r="BF121" s="49">
        <f t="shared" si="2"/>
        <v>0</v>
      </c>
      <c r="BG121" s="49">
        <f t="shared" si="3"/>
        <v>0</v>
      </c>
      <c r="BI121" s="134">
        <f t="shared" si="14"/>
        <v>0</v>
      </c>
      <c r="BJ121" s="134">
        <f t="shared" si="15"/>
        <v>0</v>
      </c>
      <c r="BK121" s="134">
        <f t="shared" si="16"/>
        <v>0</v>
      </c>
    </row>
    <row r="122" spans="1:63">
      <c r="A122" s="187"/>
      <c r="B122" s="2333"/>
      <c r="C122" s="2333"/>
      <c r="D122" s="2334"/>
      <c r="E122" s="2334"/>
      <c r="F122" s="2334"/>
      <c r="G122" s="2334"/>
      <c r="H122" s="2334"/>
      <c r="I122" s="2334"/>
      <c r="J122" s="2334"/>
      <c r="K122" s="2334"/>
      <c r="L122" s="2334"/>
      <c r="M122" s="2334"/>
      <c r="N122" s="2334"/>
      <c r="O122" s="2334"/>
      <c r="P122" s="2324"/>
      <c r="Q122" s="2324"/>
      <c r="R122" s="2325"/>
      <c r="S122" s="2324"/>
      <c r="T122" s="2324"/>
      <c r="U122" s="2326"/>
      <c r="V122" s="2327"/>
      <c r="W122" s="2327"/>
      <c r="X122" s="2327"/>
      <c r="Y122" s="2327"/>
      <c r="Z122" s="2327"/>
      <c r="AA122" s="2328"/>
      <c r="AB122" s="2329"/>
      <c r="AC122" s="2326"/>
      <c r="AD122" s="2330">
        <f t="shared" si="7"/>
        <v>0</v>
      </c>
      <c r="AE122" s="2330"/>
      <c r="AF122" s="2330"/>
      <c r="AG122" s="2330">
        <f t="shared" si="8"/>
        <v>0</v>
      </c>
      <c r="AH122" s="2330"/>
      <c r="AI122" s="2330"/>
      <c r="AJ122" s="2330">
        <f t="shared" si="9"/>
        <v>0</v>
      </c>
      <c r="AK122" s="2330"/>
      <c r="AL122" s="2330"/>
      <c r="AM122" s="2331">
        <f t="shared" si="4"/>
        <v>0</v>
      </c>
      <c r="AN122" s="2331"/>
      <c r="AO122" s="2331"/>
      <c r="AP122" s="2331"/>
      <c r="AQ122" s="2332">
        <f t="shared" si="10"/>
        <v>0</v>
      </c>
      <c r="AR122" s="2332"/>
      <c r="AS122" s="2332"/>
      <c r="AT122" s="2332"/>
      <c r="AV122" s="151" t="str">
        <f t="shared" si="1"/>
        <v>GENERAL CONDITIONS</v>
      </c>
      <c r="AW122" s="681"/>
      <c r="AX122" s="230"/>
      <c r="AY122" s="230"/>
      <c r="AZ122" s="679"/>
      <c r="BA122" s="49">
        <f t="shared" si="5"/>
        <v>0</v>
      </c>
      <c r="BB122" s="49">
        <f t="shared" si="11"/>
        <v>0</v>
      </c>
      <c r="BC122" s="49">
        <f t="shared" si="12"/>
        <v>0</v>
      </c>
      <c r="BD122" s="49">
        <f t="shared" si="6"/>
        <v>0</v>
      </c>
      <c r="BE122" s="49">
        <f t="shared" si="30"/>
        <v>0</v>
      </c>
      <c r="BF122" s="49">
        <f t="shared" si="2"/>
        <v>0</v>
      </c>
      <c r="BG122" s="49">
        <f t="shared" si="3"/>
        <v>0</v>
      </c>
      <c r="BI122" s="134">
        <f t="shared" si="14"/>
        <v>0</v>
      </c>
      <c r="BJ122" s="134">
        <f t="shared" si="15"/>
        <v>0</v>
      </c>
      <c r="BK122" s="134">
        <f t="shared" si="16"/>
        <v>0</v>
      </c>
    </row>
    <row r="123" spans="1:63">
      <c r="A123" s="187"/>
      <c r="B123" s="2333"/>
      <c r="C123" s="2333"/>
      <c r="D123" s="2334"/>
      <c r="E123" s="2334"/>
      <c r="F123" s="2334"/>
      <c r="G123" s="2334"/>
      <c r="H123" s="2334"/>
      <c r="I123" s="2334"/>
      <c r="J123" s="2334"/>
      <c r="K123" s="2334"/>
      <c r="L123" s="2334"/>
      <c r="M123" s="2334"/>
      <c r="N123" s="2334"/>
      <c r="O123" s="2334"/>
      <c r="P123" s="2324"/>
      <c r="Q123" s="2324"/>
      <c r="R123" s="2325"/>
      <c r="S123" s="2324"/>
      <c r="T123" s="2324"/>
      <c r="U123" s="2326"/>
      <c r="V123" s="2327"/>
      <c r="W123" s="2327"/>
      <c r="X123" s="2327"/>
      <c r="Y123" s="2327"/>
      <c r="Z123" s="2327"/>
      <c r="AA123" s="2328"/>
      <c r="AB123" s="2329"/>
      <c r="AC123" s="2326"/>
      <c r="AD123" s="2330">
        <f>((P123*U123)-AM123)</f>
        <v>0</v>
      </c>
      <c r="AE123" s="2330"/>
      <c r="AF123" s="2330"/>
      <c r="AG123" s="2330">
        <f t="shared" si="8"/>
        <v>0</v>
      </c>
      <c r="AH123" s="2330"/>
      <c r="AI123" s="2330"/>
      <c r="AJ123" s="2330">
        <f>P123*AA123</f>
        <v>0</v>
      </c>
      <c r="AK123" s="2330"/>
      <c r="AL123" s="2330"/>
      <c r="AM123" s="2331">
        <f t="shared" si="4"/>
        <v>0</v>
      </c>
      <c r="AN123" s="2331"/>
      <c r="AO123" s="2331"/>
      <c r="AP123" s="2331"/>
      <c r="AQ123" s="2332">
        <f>SUM(AD123:AL123)</f>
        <v>0</v>
      </c>
      <c r="AR123" s="2332"/>
      <c r="AS123" s="2332"/>
      <c r="AT123" s="2332"/>
      <c r="AV123" s="151" t="str">
        <f t="shared" si="1"/>
        <v>GENERAL CONDITIONS</v>
      </c>
      <c r="AW123" s="681"/>
      <c r="AX123" s="230"/>
      <c r="AY123" s="230"/>
      <c r="AZ123" s="679"/>
      <c r="BA123" s="49">
        <f>AD123</f>
        <v>0</v>
      </c>
      <c r="BB123" s="49">
        <f>AG123</f>
        <v>0</v>
      </c>
      <c r="BC123" s="49">
        <f>AJ123</f>
        <v>0</v>
      </c>
      <c r="BD123" s="49">
        <f>IF(B123="x",1,0)</f>
        <v>0</v>
      </c>
      <c r="BE123" s="49">
        <f t="shared" si="30"/>
        <v>0</v>
      </c>
      <c r="BF123" s="49">
        <f>AQ123</f>
        <v>0</v>
      </c>
      <c r="BG123" s="49">
        <f>AM123</f>
        <v>0</v>
      </c>
      <c r="BI123" s="134">
        <f>AD123</f>
        <v>0</v>
      </c>
      <c r="BJ123" s="134">
        <f>AM123</f>
        <v>0</v>
      </c>
      <c r="BK123" s="134">
        <f>BJ123+BI123</f>
        <v>0</v>
      </c>
    </row>
    <row r="124" spans="1:63">
      <c r="A124" s="187"/>
      <c r="B124" s="2333"/>
      <c r="C124" s="2333"/>
      <c r="D124" s="2334"/>
      <c r="E124" s="2334"/>
      <c r="F124" s="2334"/>
      <c r="G124" s="2334"/>
      <c r="H124" s="2334"/>
      <c r="I124" s="2334"/>
      <c r="J124" s="2334"/>
      <c r="K124" s="2334"/>
      <c r="L124" s="2334"/>
      <c r="M124" s="2334"/>
      <c r="N124" s="2334"/>
      <c r="O124" s="2334"/>
      <c r="P124" s="2324"/>
      <c r="Q124" s="2324"/>
      <c r="R124" s="2325"/>
      <c r="S124" s="2324"/>
      <c r="T124" s="2324"/>
      <c r="U124" s="2326"/>
      <c r="V124" s="2327"/>
      <c r="W124" s="2327"/>
      <c r="X124" s="2327"/>
      <c r="Y124" s="2327"/>
      <c r="Z124" s="2327"/>
      <c r="AA124" s="2328"/>
      <c r="AB124" s="2329"/>
      <c r="AC124" s="2326"/>
      <c r="AD124" s="2330">
        <f>((P124*U124)-AM124)</f>
        <v>0</v>
      </c>
      <c r="AE124" s="2330"/>
      <c r="AF124" s="2330"/>
      <c r="AG124" s="2330">
        <f t="shared" si="8"/>
        <v>0</v>
      </c>
      <c r="AH124" s="2330"/>
      <c r="AI124" s="2330"/>
      <c r="AJ124" s="2330">
        <f>P124*AA124</f>
        <v>0</v>
      </c>
      <c r="AK124" s="2330"/>
      <c r="AL124" s="2330"/>
      <c r="AM124" s="2331">
        <f t="shared" si="4"/>
        <v>0</v>
      </c>
      <c r="AN124" s="2331"/>
      <c r="AO124" s="2331"/>
      <c r="AP124" s="2331"/>
      <c r="AQ124" s="2332">
        <f>SUM(AD124:AL124)</f>
        <v>0</v>
      </c>
      <c r="AR124" s="2332"/>
      <c r="AS124" s="2332"/>
      <c r="AT124" s="2332"/>
      <c r="AV124" s="151" t="str">
        <f t="shared" si="1"/>
        <v>GENERAL CONDITIONS</v>
      </c>
      <c r="AW124" s="681"/>
      <c r="AX124" s="230"/>
      <c r="AY124" s="230"/>
      <c r="AZ124" s="679"/>
      <c r="BA124" s="49">
        <f>AD124</f>
        <v>0</v>
      </c>
      <c r="BB124" s="49">
        <f>AG124</f>
        <v>0</v>
      </c>
      <c r="BC124" s="49">
        <f>AJ124</f>
        <v>0</v>
      </c>
      <c r="BD124" s="49">
        <f>IF(B124="x",1,0)</f>
        <v>0</v>
      </c>
      <c r="BE124" s="49">
        <f t="shared" si="30"/>
        <v>0</v>
      </c>
      <c r="BF124" s="49">
        <f>AQ124</f>
        <v>0</v>
      </c>
      <c r="BG124" s="49">
        <f>AM124</f>
        <v>0</v>
      </c>
      <c r="BI124" s="134">
        <f>AD124</f>
        <v>0</v>
      </c>
      <c r="BJ124" s="134">
        <f>AM124</f>
        <v>0</v>
      </c>
      <c r="BK124" s="134">
        <f>BJ124+BI124</f>
        <v>0</v>
      </c>
    </row>
    <row r="125" spans="1:63">
      <c r="A125" s="187"/>
      <c r="B125" s="2333"/>
      <c r="C125" s="2333"/>
      <c r="D125" s="2334"/>
      <c r="E125" s="2334"/>
      <c r="F125" s="2334"/>
      <c r="G125" s="2334"/>
      <c r="H125" s="2334"/>
      <c r="I125" s="2334"/>
      <c r="J125" s="2334"/>
      <c r="K125" s="2334"/>
      <c r="L125" s="2334"/>
      <c r="M125" s="2334"/>
      <c r="N125" s="2334"/>
      <c r="O125" s="2334"/>
      <c r="P125" s="2324"/>
      <c r="Q125" s="2324"/>
      <c r="R125" s="2325"/>
      <c r="S125" s="2324"/>
      <c r="T125" s="2324"/>
      <c r="U125" s="2326"/>
      <c r="V125" s="2327"/>
      <c r="W125" s="2327"/>
      <c r="X125" s="2327"/>
      <c r="Y125" s="2327"/>
      <c r="Z125" s="2327"/>
      <c r="AA125" s="2328"/>
      <c r="AB125" s="2329"/>
      <c r="AC125" s="2326"/>
      <c r="AD125" s="2330">
        <f>((P125*U125)-AM125)</f>
        <v>0</v>
      </c>
      <c r="AE125" s="2330"/>
      <c r="AF125" s="2330"/>
      <c r="AG125" s="2330">
        <f t="shared" si="8"/>
        <v>0</v>
      </c>
      <c r="AH125" s="2330"/>
      <c r="AI125" s="2330"/>
      <c r="AJ125" s="2330">
        <f>P125*AA125</f>
        <v>0</v>
      </c>
      <c r="AK125" s="2330"/>
      <c r="AL125" s="2330"/>
      <c r="AM125" s="2331">
        <f t="shared" si="4"/>
        <v>0</v>
      </c>
      <c r="AN125" s="2331"/>
      <c r="AO125" s="2331"/>
      <c r="AP125" s="2331"/>
      <c r="AQ125" s="2332">
        <f>SUM(AD125:AL125)</f>
        <v>0</v>
      </c>
      <c r="AR125" s="2332"/>
      <c r="AS125" s="2332"/>
      <c r="AT125" s="2332"/>
      <c r="AV125" s="151" t="str">
        <f t="shared" si="1"/>
        <v>GENERAL CONDITIONS</v>
      </c>
      <c r="AW125" s="681"/>
      <c r="AX125" s="230"/>
      <c r="AY125" s="230"/>
      <c r="AZ125" s="679"/>
      <c r="BA125" s="49">
        <f>AD125</f>
        <v>0</v>
      </c>
      <c r="BB125" s="49">
        <f>AG125</f>
        <v>0</v>
      </c>
      <c r="BC125" s="49">
        <f>AJ125</f>
        <v>0</v>
      </c>
      <c r="BD125" s="49">
        <f>IF(B125="x",1,0)</f>
        <v>0</v>
      </c>
      <c r="BE125" s="49">
        <f t="shared" si="30"/>
        <v>0</v>
      </c>
      <c r="BF125" s="49">
        <f>AQ125</f>
        <v>0</v>
      </c>
      <c r="BG125" s="49">
        <f>AM125</f>
        <v>0</v>
      </c>
      <c r="BI125" s="134">
        <f>AD125</f>
        <v>0</v>
      </c>
      <c r="BJ125" s="134">
        <f>AM125</f>
        <v>0</v>
      </c>
      <c r="BK125" s="134">
        <f>BJ125+BI125</f>
        <v>0</v>
      </c>
    </row>
    <row r="126" spans="1:63">
      <c r="A126" s="187"/>
      <c r="B126" s="2333"/>
      <c r="C126" s="2333"/>
      <c r="D126" s="2334"/>
      <c r="E126" s="2334"/>
      <c r="F126" s="2334"/>
      <c r="G126" s="2334"/>
      <c r="H126" s="2334"/>
      <c r="I126" s="2334"/>
      <c r="J126" s="2334"/>
      <c r="K126" s="2334"/>
      <c r="L126" s="2334"/>
      <c r="M126" s="2334"/>
      <c r="N126" s="2334"/>
      <c r="O126" s="2334"/>
      <c r="P126" s="2324"/>
      <c r="Q126" s="2324"/>
      <c r="R126" s="2325"/>
      <c r="S126" s="2324"/>
      <c r="T126" s="2324"/>
      <c r="U126" s="2326"/>
      <c r="V126" s="2327"/>
      <c r="W126" s="2327"/>
      <c r="X126" s="2327"/>
      <c r="Y126" s="2327"/>
      <c r="Z126" s="2327"/>
      <c r="AA126" s="2328"/>
      <c r="AB126" s="2329"/>
      <c r="AC126" s="2326"/>
      <c r="AD126" s="2330">
        <f>((P126*U126)-AM126)</f>
        <v>0</v>
      </c>
      <c r="AE126" s="2330"/>
      <c r="AF126" s="2330"/>
      <c r="AG126" s="2330">
        <f t="shared" si="8"/>
        <v>0</v>
      </c>
      <c r="AH126" s="2330"/>
      <c r="AI126" s="2330"/>
      <c r="AJ126" s="2330">
        <f>P126*AA126</f>
        <v>0</v>
      </c>
      <c r="AK126" s="2330"/>
      <c r="AL126" s="2330"/>
      <c r="AM126" s="2331">
        <f t="shared" si="4"/>
        <v>0</v>
      </c>
      <c r="AN126" s="2331"/>
      <c r="AO126" s="2331"/>
      <c r="AP126" s="2331"/>
      <c r="AQ126" s="2332">
        <f>SUM(AD126:AL126)</f>
        <v>0</v>
      </c>
      <c r="AR126" s="2332"/>
      <c r="AS126" s="2332"/>
      <c r="AT126" s="2332"/>
      <c r="AV126" s="151" t="str">
        <f t="shared" si="1"/>
        <v>GENERAL CONDITIONS</v>
      </c>
      <c r="AW126" s="681"/>
      <c r="AX126" s="230"/>
      <c r="AY126" s="230"/>
      <c r="AZ126" s="679"/>
      <c r="BA126" s="49">
        <f>AD126</f>
        <v>0</v>
      </c>
      <c r="BB126" s="49">
        <f>AG126</f>
        <v>0</v>
      </c>
      <c r="BC126" s="49">
        <f>AJ126</f>
        <v>0</v>
      </c>
      <c r="BD126" s="49">
        <f>IF(B126="x",1,0)</f>
        <v>0</v>
      </c>
      <c r="BE126" s="49">
        <f t="shared" si="30"/>
        <v>0</v>
      </c>
      <c r="BF126" s="49">
        <f>AQ126</f>
        <v>0</v>
      </c>
      <c r="BG126" s="49">
        <f>AM126</f>
        <v>0</v>
      </c>
      <c r="BI126" s="134">
        <f>AD126</f>
        <v>0</v>
      </c>
      <c r="BJ126" s="134">
        <f>AM126</f>
        <v>0</v>
      </c>
      <c r="BK126" s="134">
        <f>BJ126+BI126</f>
        <v>0</v>
      </c>
    </row>
    <row r="127" spans="1:63">
      <c r="A127" s="187"/>
      <c r="B127" s="2333"/>
      <c r="C127" s="2333"/>
      <c r="D127" s="2334"/>
      <c r="E127" s="2334"/>
      <c r="F127" s="2334"/>
      <c r="G127" s="2334"/>
      <c r="H127" s="2334"/>
      <c r="I127" s="2334"/>
      <c r="J127" s="2334"/>
      <c r="K127" s="2334"/>
      <c r="L127" s="2334"/>
      <c r="M127" s="2334"/>
      <c r="N127" s="2334"/>
      <c r="O127" s="2334"/>
      <c r="P127" s="2324"/>
      <c r="Q127" s="2324"/>
      <c r="R127" s="2325"/>
      <c r="S127" s="2324"/>
      <c r="T127" s="2324"/>
      <c r="U127" s="2326"/>
      <c r="V127" s="2327"/>
      <c r="W127" s="2327"/>
      <c r="X127" s="2327"/>
      <c r="Y127" s="2327"/>
      <c r="Z127" s="2327"/>
      <c r="AA127" s="2328"/>
      <c r="AB127" s="2329"/>
      <c r="AC127" s="2326"/>
      <c r="AD127" s="2330">
        <f>((P127*U127)-AM127)</f>
        <v>0</v>
      </c>
      <c r="AE127" s="2330"/>
      <c r="AF127" s="2330"/>
      <c r="AG127" s="2330">
        <f t="shared" si="8"/>
        <v>0</v>
      </c>
      <c r="AH127" s="2330"/>
      <c r="AI127" s="2330"/>
      <c r="AJ127" s="2330">
        <f>P127*AA127</f>
        <v>0</v>
      </c>
      <c r="AK127" s="2330"/>
      <c r="AL127" s="2330"/>
      <c r="AM127" s="2331">
        <f t="shared" si="4"/>
        <v>0</v>
      </c>
      <c r="AN127" s="2331"/>
      <c r="AO127" s="2331"/>
      <c r="AP127" s="2331"/>
      <c r="AQ127" s="2332">
        <f>SUM(AD127:AL127)</f>
        <v>0</v>
      </c>
      <c r="AR127" s="2332"/>
      <c r="AS127" s="2332"/>
      <c r="AT127" s="2332"/>
      <c r="AV127" s="151" t="str">
        <f t="shared" si="1"/>
        <v>GENERAL CONDITIONS</v>
      </c>
      <c r="AW127" s="681"/>
      <c r="AX127" s="230"/>
      <c r="AY127" s="230"/>
      <c r="AZ127" s="679"/>
      <c r="BA127" s="49">
        <f>AD127</f>
        <v>0</v>
      </c>
      <c r="BB127" s="49">
        <f>AG127</f>
        <v>0</v>
      </c>
      <c r="BC127" s="49">
        <f>AJ127</f>
        <v>0</v>
      </c>
      <c r="BD127" s="49">
        <f>IF(B127="x",1,0)</f>
        <v>0</v>
      </c>
      <c r="BE127" s="49">
        <f t="shared" si="30"/>
        <v>0</v>
      </c>
      <c r="BF127" s="49">
        <f>AQ127</f>
        <v>0</v>
      </c>
      <c r="BG127" s="49">
        <f>AM127</f>
        <v>0</v>
      </c>
      <c r="BI127" s="134">
        <f>AD127</f>
        <v>0</v>
      </c>
      <c r="BJ127" s="134">
        <f>AM127</f>
        <v>0</v>
      </c>
      <c r="BK127" s="134">
        <f>BJ127+BI127</f>
        <v>0</v>
      </c>
    </row>
    <row r="128" spans="1:63" ht="5.0999999999999996" customHeight="1">
      <c r="A128" s="187"/>
      <c r="B128" s="64"/>
      <c r="C128" s="64"/>
      <c r="D128" s="885"/>
      <c r="E128" s="885"/>
      <c r="F128" s="885"/>
      <c r="G128" s="885"/>
      <c r="H128" s="885"/>
      <c r="I128" s="885"/>
      <c r="J128" s="885"/>
      <c r="K128" s="885"/>
      <c r="L128" s="885"/>
      <c r="M128" s="885"/>
      <c r="N128" s="885"/>
      <c r="O128" s="885"/>
      <c r="P128" s="66"/>
      <c r="Q128" s="66"/>
      <c r="R128" s="66"/>
      <c r="S128" s="66"/>
      <c r="T128" s="66"/>
      <c r="U128" s="67"/>
      <c r="V128" s="67"/>
      <c r="W128" s="67"/>
      <c r="X128" s="67"/>
      <c r="Y128" s="67"/>
      <c r="Z128" s="67"/>
      <c r="AA128" s="67"/>
      <c r="AB128" s="67"/>
      <c r="AC128" s="67"/>
      <c r="AD128" s="68"/>
      <c r="AE128" s="68"/>
      <c r="AF128" s="68"/>
      <c r="AG128" s="68"/>
      <c r="AH128" s="68"/>
      <c r="AI128" s="68"/>
      <c r="AJ128" s="68"/>
      <c r="AK128" s="68"/>
      <c r="AL128" s="68"/>
      <c r="AM128" s="69"/>
      <c r="AN128" s="69"/>
      <c r="AO128" s="69"/>
      <c r="AP128" s="69"/>
      <c r="AQ128" s="661"/>
      <c r="AR128" s="661"/>
      <c r="AS128" s="661"/>
      <c r="AT128" s="661"/>
      <c r="AV128" s="369" t="str">
        <f t="shared" si="1"/>
        <v>GENERAL CONDITIONS</v>
      </c>
      <c r="AW128" s="696"/>
      <c r="AX128" s="696"/>
      <c r="AY128" s="696"/>
      <c r="AZ128" s="369"/>
      <c r="BA128" s="75">
        <f>BA87</f>
        <v>0</v>
      </c>
      <c r="BB128" s="75">
        <f>BB87</f>
        <v>0</v>
      </c>
      <c r="BC128" s="75">
        <f>BC87</f>
        <v>0</v>
      </c>
      <c r="BD128" s="75">
        <f>BD87</f>
        <v>0</v>
      </c>
      <c r="BE128" s="75">
        <f>BE87</f>
        <v>0</v>
      </c>
      <c r="BF128" s="75"/>
      <c r="BG128" s="75"/>
      <c r="BI128" s="75"/>
      <c r="BJ128" s="75"/>
      <c r="BK128" s="75"/>
    </row>
    <row r="129" spans="1:63" ht="21.6" customHeight="1">
      <c r="A129" s="187"/>
      <c r="B129" s="2341"/>
      <c r="C129" s="2341"/>
      <c r="D129" s="886"/>
      <c r="E129" s="886"/>
      <c r="F129" s="886"/>
      <c r="G129" s="886"/>
      <c r="H129" s="886"/>
      <c r="I129" s="886"/>
      <c r="J129" s="886"/>
      <c r="K129" s="886"/>
      <c r="L129" s="886"/>
      <c r="M129" s="886"/>
      <c r="N129" s="886"/>
      <c r="O129" s="886"/>
      <c r="P129" s="37"/>
      <c r="Q129" s="37"/>
      <c r="R129" s="37"/>
      <c r="S129" s="37"/>
      <c r="T129" s="37"/>
      <c r="U129" s="37"/>
      <c r="V129" s="37"/>
      <c r="W129" s="37"/>
      <c r="X129" s="37"/>
      <c r="Y129" s="37"/>
      <c r="Z129" s="37"/>
      <c r="AA129" s="37"/>
      <c r="AB129" s="37"/>
      <c r="AC129" s="370" t="str">
        <f>CONCATENATE(D87," ","TOTAL")</f>
        <v>GENERAL CONDITIONS TOTAL</v>
      </c>
      <c r="AD129" s="2342">
        <f>SUBTOTAL(9,AD88:AD128)</f>
        <v>0</v>
      </c>
      <c r="AE129" s="2342"/>
      <c r="AF129" s="2342"/>
      <c r="AG129" s="2342">
        <f>SUBTOTAL(9,AG88:AG128)</f>
        <v>0</v>
      </c>
      <c r="AH129" s="2342"/>
      <c r="AI129" s="2342"/>
      <c r="AJ129" s="2342">
        <f>SUBTOTAL(9,AJ88:AJ128)</f>
        <v>0</v>
      </c>
      <c r="AK129" s="2342"/>
      <c r="AL129" s="2342"/>
      <c r="AM129" s="2342">
        <f>SUBTOTAL(9,AM88:AM128)</f>
        <v>0</v>
      </c>
      <c r="AN129" s="2342"/>
      <c r="AO129" s="2342"/>
      <c r="AP129" s="2342"/>
      <c r="AQ129" s="2336">
        <f>SUBTOTAL(9,AQ88:AQ128)</f>
        <v>0</v>
      </c>
      <c r="AR129" s="2336"/>
      <c r="AS129" s="2336"/>
      <c r="AT129" s="2336" t="e">
        <f>SUM(AT85:AT120)</f>
        <v>#REF!</v>
      </c>
      <c r="AV129" s="274" t="str">
        <f t="shared" si="1"/>
        <v>GENERAL CONDITIONS</v>
      </c>
      <c r="AW129" s="682"/>
      <c r="AX129" s="695"/>
      <c r="AY129" s="695"/>
      <c r="AZ129" s="274"/>
      <c r="BA129" s="74">
        <f>BA87</f>
        <v>0</v>
      </c>
      <c r="BB129" s="74">
        <f>BB87</f>
        <v>0</v>
      </c>
      <c r="BC129" s="74">
        <f>BC87</f>
        <v>0</v>
      </c>
      <c r="BD129" s="74">
        <f>BD87</f>
        <v>0</v>
      </c>
      <c r="BE129" s="74">
        <f>BE87</f>
        <v>0</v>
      </c>
      <c r="BF129" s="74">
        <f>SUM(BF87:BF128)</f>
        <v>0</v>
      </c>
      <c r="BG129" s="74">
        <f>SUM(BG87:BG128)</f>
        <v>0</v>
      </c>
      <c r="BI129" s="74">
        <f>SUM(BI88:BI128)</f>
        <v>0</v>
      </c>
      <c r="BJ129" s="74">
        <f>SUM(BJ88:BJ128)</f>
        <v>0</v>
      </c>
      <c r="BK129" s="74">
        <f>SUM(BK88:BK128)</f>
        <v>0</v>
      </c>
    </row>
    <row r="130" spans="1:63" ht="5.0999999999999996" customHeight="1">
      <c r="A130" s="187"/>
      <c r="B130" s="64"/>
      <c r="C130" s="64"/>
      <c r="D130" s="885"/>
      <c r="E130" s="885"/>
      <c r="F130" s="885"/>
      <c r="G130" s="885"/>
      <c r="H130" s="885"/>
      <c r="I130" s="885"/>
      <c r="J130" s="885"/>
      <c r="K130" s="885"/>
      <c r="L130" s="885"/>
      <c r="M130" s="885"/>
      <c r="N130" s="885"/>
      <c r="O130" s="885"/>
      <c r="P130" s="66"/>
      <c r="Q130" s="66"/>
      <c r="R130" s="66"/>
      <c r="S130" s="66"/>
      <c r="T130" s="66"/>
      <c r="U130" s="67"/>
      <c r="V130" s="67"/>
      <c r="W130" s="67"/>
      <c r="X130" s="67"/>
      <c r="Y130" s="67"/>
      <c r="Z130" s="67"/>
      <c r="AA130" s="67"/>
      <c r="AB130" s="67"/>
      <c r="AC130" s="67"/>
      <c r="AD130" s="68"/>
      <c r="AE130" s="68"/>
      <c r="AF130" s="68"/>
      <c r="AG130" s="68"/>
      <c r="AH130" s="68"/>
      <c r="AI130" s="68"/>
      <c r="AJ130" s="68"/>
      <c r="AK130" s="68"/>
      <c r="AL130" s="68"/>
      <c r="AM130" s="69"/>
      <c r="AN130" s="69"/>
      <c r="AO130" s="69"/>
      <c r="AP130" s="69"/>
      <c r="AQ130" s="661"/>
      <c r="AR130" s="661"/>
      <c r="AS130" s="661"/>
      <c r="AT130" s="661"/>
      <c r="AV130" s="369" t="str">
        <f t="shared" si="1"/>
        <v>GENERAL CONDITIONS</v>
      </c>
      <c r="AW130" s="696"/>
      <c r="AX130" s="696"/>
      <c r="AY130" s="696"/>
      <c r="AZ130" s="369"/>
      <c r="BA130" s="75">
        <f>BA87</f>
        <v>0</v>
      </c>
      <c r="BB130" s="75">
        <f>BB87</f>
        <v>0</v>
      </c>
      <c r="BC130" s="75">
        <f>BC87</f>
        <v>0</v>
      </c>
      <c r="BD130" s="75">
        <f>BD87</f>
        <v>0</v>
      </c>
      <c r="BE130" s="75">
        <f>BE87</f>
        <v>0</v>
      </c>
      <c r="BF130" s="75"/>
      <c r="BG130" s="75"/>
      <c r="BI130" s="75"/>
      <c r="BJ130" s="75"/>
      <c r="BK130" s="75"/>
    </row>
    <row r="131" spans="1:63" ht="9.6" customHeight="1">
      <c r="A131" s="187"/>
      <c r="B131" s="71"/>
      <c r="C131" s="71"/>
      <c r="D131" s="887"/>
      <c r="E131" s="887"/>
      <c r="F131" s="887"/>
      <c r="G131" s="887"/>
      <c r="H131" s="887"/>
      <c r="I131" s="887"/>
      <c r="J131" s="887"/>
      <c r="K131" s="887"/>
      <c r="L131" s="887"/>
      <c r="M131" s="887"/>
      <c r="N131" s="887"/>
      <c r="O131" s="887"/>
      <c r="P131" s="72"/>
      <c r="Q131" s="72"/>
      <c r="R131" s="72"/>
      <c r="S131" s="72"/>
      <c r="T131" s="72"/>
      <c r="U131" s="72"/>
      <c r="V131" s="72"/>
      <c r="W131" s="72"/>
      <c r="X131" s="72"/>
      <c r="Y131" s="72"/>
      <c r="Z131" s="72"/>
      <c r="AA131" s="72"/>
      <c r="AB131" s="72"/>
      <c r="AC131" s="73"/>
      <c r="AD131" s="662"/>
      <c r="AE131" s="662"/>
      <c r="AF131" s="662"/>
      <c r="AG131" s="662"/>
      <c r="AH131" s="662"/>
      <c r="AI131" s="662"/>
      <c r="AJ131" s="662"/>
      <c r="AK131" s="662"/>
      <c r="AL131" s="662"/>
      <c r="AM131" s="662"/>
      <c r="AN131" s="662"/>
      <c r="AO131" s="662"/>
      <c r="AP131" s="662"/>
      <c r="AQ131" s="663"/>
      <c r="AR131" s="663"/>
      <c r="AS131" s="663"/>
      <c r="AT131" s="663"/>
      <c r="AV131" s="371"/>
      <c r="AW131" s="699"/>
      <c r="AX131" s="801"/>
      <c r="AY131" s="801"/>
      <c r="AZ131" s="371"/>
      <c r="BA131" s="125">
        <f>BA129</f>
        <v>0</v>
      </c>
      <c r="BB131" s="125">
        <f t="shared" ref="BB131:BG131" si="31">BB129</f>
        <v>0</v>
      </c>
      <c r="BC131" s="125">
        <f>BC129</f>
        <v>0</v>
      </c>
      <c r="BD131" s="125">
        <f t="shared" si="31"/>
        <v>0</v>
      </c>
      <c r="BE131" s="125">
        <f t="shared" si="31"/>
        <v>0</v>
      </c>
      <c r="BF131" s="125">
        <f t="shared" si="31"/>
        <v>0</v>
      </c>
      <c r="BG131" s="125">
        <f t="shared" si="31"/>
        <v>0</v>
      </c>
      <c r="BI131" s="125"/>
      <c r="BJ131" s="125"/>
      <c r="BK131" s="125"/>
    </row>
    <row r="132" spans="1:63" ht="21.6" customHeight="1">
      <c r="A132" s="186" t="s">
        <v>952</v>
      </c>
      <c r="B132" s="2350"/>
      <c r="C132" s="2351"/>
      <c r="D132" s="2392" t="str">
        <f>T(N76)</f>
        <v>DEMOLITION</v>
      </c>
      <c r="E132" s="2393"/>
      <c r="F132" s="2393"/>
      <c r="G132" s="2393"/>
      <c r="H132" s="2393"/>
      <c r="I132" s="2393"/>
      <c r="J132" s="2393"/>
      <c r="K132" s="2393"/>
      <c r="L132" s="2393"/>
      <c r="M132" s="2393"/>
      <c r="N132" s="2393"/>
      <c r="O132" s="2394"/>
      <c r="P132" s="2352"/>
      <c r="Q132" s="2352"/>
      <c r="R132" s="2352"/>
      <c r="S132" s="2353"/>
      <c r="T132" s="2354"/>
      <c r="U132" s="2355"/>
      <c r="V132" s="2355"/>
      <c r="W132" s="2355"/>
      <c r="X132" s="2355"/>
      <c r="Y132" s="2355"/>
      <c r="Z132" s="2355"/>
      <c r="AA132" s="2355"/>
      <c r="AB132" s="2355"/>
      <c r="AC132" s="2355"/>
      <c r="AD132" s="2342">
        <f>AD174</f>
        <v>0</v>
      </c>
      <c r="AE132" s="2342"/>
      <c r="AF132" s="2342"/>
      <c r="AG132" s="2342">
        <f>AG174</f>
        <v>0</v>
      </c>
      <c r="AH132" s="2342"/>
      <c r="AI132" s="2342"/>
      <c r="AJ132" s="2342">
        <f>AJ174</f>
        <v>0</v>
      </c>
      <c r="AK132" s="2342"/>
      <c r="AL132" s="2342"/>
      <c r="AM132" s="2342">
        <f>AM174</f>
        <v>0</v>
      </c>
      <c r="AN132" s="2342"/>
      <c r="AO132" s="2342"/>
      <c r="AP132" s="2342"/>
      <c r="AQ132" s="2336">
        <f>AQ174</f>
        <v>0</v>
      </c>
      <c r="AR132" s="2336"/>
      <c r="AS132" s="2336"/>
      <c r="AT132" s="2336" t="e">
        <f>SUM(#REF!)</f>
        <v>#REF!</v>
      </c>
      <c r="AV132" s="151" t="str">
        <f t="shared" ref="AV132:AV176" si="32">$D$132</f>
        <v>DEMOLITION</v>
      </c>
      <c r="AW132" s="700"/>
      <c r="AX132" s="700"/>
      <c r="AY132" s="700"/>
      <c r="AZ132" s="701"/>
      <c r="BA132" s="49">
        <f>SUM(BA133:BA172)</f>
        <v>0</v>
      </c>
      <c r="BB132" s="49">
        <f>SUM(BB133:BB172)</f>
        <v>0</v>
      </c>
      <c r="BC132" s="49">
        <f>SUM(BC133:BC172)</f>
        <v>0</v>
      </c>
      <c r="BD132" s="49">
        <f>SUM(BD133:BD172)</f>
        <v>0</v>
      </c>
      <c r="BE132" s="49">
        <f>SUM(BE133:BE172)</f>
        <v>0</v>
      </c>
      <c r="BF132" s="49">
        <f t="shared" ref="BF132:BF172" si="33">AQ132</f>
        <v>0</v>
      </c>
      <c r="BG132" s="49">
        <f t="shared" ref="BG132:BG172" si="34">AM132</f>
        <v>0</v>
      </c>
      <c r="BI132" s="134">
        <f>AD132</f>
        <v>0</v>
      </c>
      <c r="BJ132" s="134">
        <f>AM132</f>
        <v>0</v>
      </c>
      <c r="BK132" s="134">
        <f>BJ132+BI132</f>
        <v>0</v>
      </c>
    </row>
    <row r="133" spans="1:63" ht="17.100000000000001" hidden="1" customHeight="1">
      <c r="A133" s="187"/>
      <c r="B133" s="2333"/>
      <c r="C133" s="2333"/>
      <c r="D133" s="2337" t="s">
        <v>99</v>
      </c>
      <c r="E133" s="2337"/>
      <c r="F133" s="2337"/>
      <c r="G133" s="2337"/>
      <c r="H133" s="2337"/>
      <c r="I133" s="2337"/>
      <c r="J133" s="2337"/>
      <c r="K133" s="2337"/>
      <c r="L133" s="2337"/>
      <c r="M133" s="2337"/>
      <c r="N133" s="2337"/>
      <c r="O133" s="2337"/>
      <c r="P133" s="2324"/>
      <c r="Q133" s="2324"/>
      <c r="R133" s="2325"/>
      <c r="S133" s="2324" t="s">
        <v>3</v>
      </c>
      <c r="T133" s="2324" t="s">
        <v>18</v>
      </c>
      <c r="U133" s="2326"/>
      <c r="V133" s="2327"/>
      <c r="W133" s="2327"/>
      <c r="X133" s="2327"/>
      <c r="Y133" s="2327"/>
      <c r="Z133" s="2327"/>
      <c r="AA133" s="2328"/>
      <c r="AB133" s="2329"/>
      <c r="AC133" s="2326"/>
      <c r="AD133" s="2330">
        <f t="shared" ref="AD133:AD172" si="35">((P133*U133)-AM133)</f>
        <v>0</v>
      </c>
      <c r="AE133" s="2330"/>
      <c r="AF133" s="2330"/>
      <c r="AG133" s="2330">
        <f>P133*X133*(1+$Y$85)</f>
        <v>0</v>
      </c>
      <c r="AH133" s="2330"/>
      <c r="AI133" s="2330"/>
      <c r="AJ133" s="2330">
        <f t="shared" ref="AJ133:AJ172" si="36">P133*AA133</f>
        <v>0</v>
      </c>
      <c r="AK133" s="2330"/>
      <c r="AL133" s="2330"/>
      <c r="AM133" s="2331">
        <f t="shared" ref="AM133:AM172" si="37">IF($B133="x",$P133*$U133,0)</f>
        <v>0</v>
      </c>
      <c r="AN133" s="2331"/>
      <c r="AO133" s="2331"/>
      <c r="AP133" s="2331"/>
      <c r="AQ133" s="2332">
        <f t="shared" ref="AQ133:AQ172" si="38">SUM(AD133:AL133)</f>
        <v>0</v>
      </c>
      <c r="AR133" s="2332"/>
      <c r="AS133" s="2332"/>
      <c r="AT133" s="2332">
        <f t="shared" ref="AT133:AT172" si="39">SUM(AD133:AL133)</f>
        <v>0</v>
      </c>
      <c r="AV133" s="151" t="str">
        <f t="shared" si="32"/>
        <v>DEMOLITION</v>
      </c>
      <c r="AW133" s="681"/>
      <c r="AX133" s="230"/>
      <c r="AY133" s="230"/>
      <c r="AZ133" s="679"/>
      <c r="BA133" s="49">
        <f t="shared" ref="BA133:BA172" si="40">AD133</f>
        <v>0</v>
      </c>
      <c r="BB133" s="49">
        <f>AG133</f>
        <v>0</v>
      </c>
      <c r="BC133" s="49">
        <f>AJ133</f>
        <v>0</v>
      </c>
      <c r="BD133" s="49">
        <f t="shared" ref="BD133:BD172" si="41">IF(B133="x",1,0)</f>
        <v>0</v>
      </c>
      <c r="BE133" s="49">
        <f>SUM(BA133:BC133)</f>
        <v>0</v>
      </c>
      <c r="BF133" s="49">
        <f t="shared" si="33"/>
        <v>0</v>
      </c>
      <c r="BG133" s="49">
        <f t="shared" si="34"/>
        <v>0</v>
      </c>
      <c r="BI133" s="134">
        <f>AD133</f>
        <v>0</v>
      </c>
      <c r="BJ133" s="134">
        <f t="shared" ref="BJ133:BJ172" si="42">AM133</f>
        <v>0</v>
      </c>
      <c r="BK133" s="134">
        <f>BJ133+BI133</f>
        <v>0</v>
      </c>
    </row>
    <row r="134" spans="1:63" ht="17.100000000000001" hidden="1" customHeight="1">
      <c r="A134" s="187"/>
      <c r="B134" s="2333"/>
      <c r="C134" s="2333"/>
      <c r="D134" s="2338" t="s">
        <v>212</v>
      </c>
      <c r="E134" s="2338"/>
      <c r="F134" s="2338"/>
      <c r="G134" s="2338"/>
      <c r="H134" s="2338"/>
      <c r="I134" s="2338"/>
      <c r="J134" s="2338"/>
      <c r="K134" s="2338"/>
      <c r="L134" s="2338"/>
      <c r="M134" s="2338"/>
      <c r="N134" s="2338"/>
      <c r="O134" s="2338"/>
      <c r="P134" s="2324"/>
      <c r="Q134" s="2324"/>
      <c r="R134" s="2325"/>
      <c r="S134" s="2324" t="s">
        <v>3</v>
      </c>
      <c r="T134" s="2324" t="s">
        <v>3</v>
      </c>
      <c r="U134" s="2326"/>
      <c r="V134" s="2327"/>
      <c r="W134" s="2327"/>
      <c r="X134" s="2327"/>
      <c r="Y134" s="2327"/>
      <c r="Z134" s="2327"/>
      <c r="AA134" s="2328"/>
      <c r="AB134" s="2329"/>
      <c r="AC134" s="2326"/>
      <c r="AD134" s="2330">
        <f t="shared" si="35"/>
        <v>0</v>
      </c>
      <c r="AE134" s="2330"/>
      <c r="AF134" s="2330"/>
      <c r="AG134" s="2330">
        <f t="shared" ref="AG134:AG172" si="43">P134*X134*(1+$Y$85)</f>
        <v>0</v>
      </c>
      <c r="AH134" s="2330"/>
      <c r="AI134" s="2330"/>
      <c r="AJ134" s="2330">
        <f t="shared" si="36"/>
        <v>0</v>
      </c>
      <c r="AK134" s="2330"/>
      <c r="AL134" s="2330"/>
      <c r="AM134" s="2331">
        <f t="shared" si="37"/>
        <v>0</v>
      </c>
      <c r="AN134" s="2331"/>
      <c r="AO134" s="2331"/>
      <c r="AP134" s="2331"/>
      <c r="AQ134" s="2332">
        <f t="shared" si="38"/>
        <v>0</v>
      </c>
      <c r="AR134" s="2332"/>
      <c r="AS134" s="2332"/>
      <c r="AT134" s="2332">
        <f t="shared" si="39"/>
        <v>0</v>
      </c>
      <c r="AV134" s="151" t="str">
        <f t="shared" si="32"/>
        <v>DEMOLITION</v>
      </c>
      <c r="AW134" s="681"/>
      <c r="AX134" s="230"/>
      <c r="AY134" s="230"/>
      <c r="AZ134" s="679"/>
      <c r="BA134" s="49">
        <f t="shared" si="40"/>
        <v>0</v>
      </c>
      <c r="BB134" s="49">
        <f t="shared" ref="BB134:BB172" si="44">AG134</f>
        <v>0</v>
      </c>
      <c r="BC134" s="49">
        <f t="shared" ref="BC134:BC172" si="45">AJ134</f>
        <v>0</v>
      </c>
      <c r="BD134" s="49">
        <f t="shared" si="41"/>
        <v>0</v>
      </c>
      <c r="BE134" s="49">
        <f t="shared" ref="BE134:BE150" si="46">SUM(BA134:BC134)</f>
        <v>0</v>
      </c>
      <c r="BF134" s="49">
        <f t="shared" si="33"/>
        <v>0</v>
      </c>
      <c r="BG134" s="49">
        <f t="shared" si="34"/>
        <v>0</v>
      </c>
      <c r="BI134" s="134">
        <f t="shared" ref="BI134:BI172" si="47">AD134</f>
        <v>0</v>
      </c>
      <c r="BJ134" s="134">
        <f t="shared" si="42"/>
        <v>0</v>
      </c>
      <c r="BK134" s="134">
        <f t="shared" ref="BK134:BK172" si="48">BJ134+BI134</f>
        <v>0</v>
      </c>
    </row>
    <row r="135" spans="1:63" ht="17.100000000000001" hidden="1" customHeight="1">
      <c r="A135" s="187"/>
      <c r="B135" s="2333"/>
      <c r="C135" s="2333"/>
      <c r="D135" s="2334" t="s">
        <v>274</v>
      </c>
      <c r="E135" s="2334"/>
      <c r="F135" s="2334"/>
      <c r="G135" s="2334"/>
      <c r="H135" s="2334"/>
      <c r="I135" s="2334"/>
      <c r="J135" s="2334"/>
      <c r="K135" s="2334"/>
      <c r="L135" s="2334"/>
      <c r="M135" s="2334"/>
      <c r="N135" s="2334"/>
      <c r="O135" s="2334"/>
      <c r="P135" s="2324"/>
      <c r="Q135" s="2324"/>
      <c r="R135" s="2325"/>
      <c r="S135" s="2324" t="s">
        <v>18</v>
      </c>
      <c r="T135" s="2324"/>
      <c r="U135" s="2326">
        <v>20</v>
      </c>
      <c r="V135" s="2327"/>
      <c r="W135" s="2327"/>
      <c r="X135" s="2327"/>
      <c r="Y135" s="2327"/>
      <c r="Z135" s="2327"/>
      <c r="AA135" s="2328"/>
      <c r="AB135" s="2329"/>
      <c r="AC135" s="2326"/>
      <c r="AD135" s="2330">
        <f t="shared" si="35"/>
        <v>0</v>
      </c>
      <c r="AE135" s="2330"/>
      <c r="AF135" s="2330"/>
      <c r="AG135" s="2330">
        <f t="shared" si="43"/>
        <v>0</v>
      </c>
      <c r="AH135" s="2330"/>
      <c r="AI135" s="2330"/>
      <c r="AJ135" s="2330">
        <f t="shared" si="36"/>
        <v>0</v>
      </c>
      <c r="AK135" s="2330"/>
      <c r="AL135" s="2330"/>
      <c r="AM135" s="2331">
        <f t="shared" si="37"/>
        <v>0</v>
      </c>
      <c r="AN135" s="2331"/>
      <c r="AO135" s="2331"/>
      <c r="AP135" s="2331"/>
      <c r="AQ135" s="2332">
        <f t="shared" si="38"/>
        <v>0</v>
      </c>
      <c r="AR135" s="2332"/>
      <c r="AS135" s="2332"/>
      <c r="AT135" s="2332">
        <f t="shared" si="39"/>
        <v>0</v>
      </c>
      <c r="AV135" s="151" t="str">
        <f t="shared" si="32"/>
        <v>DEMOLITION</v>
      </c>
      <c r="AW135" s="681"/>
      <c r="AX135" s="230"/>
      <c r="AY135" s="230"/>
      <c r="AZ135" s="679"/>
      <c r="BA135" s="49">
        <f t="shared" si="40"/>
        <v>0</v>
      </c>
      <c r="BB135" s="49">
        <f t="shared" si="44"/>
        <v>0</v>
      </c>
      <c r="BC135" s="49">
        <f t="shared" si="45"/>
        <v>0</v>
      </c>
      <c r="BD135" s="49">
        <f t="shared" si="41"/>
        <v>0</v>
      </c>
      <c r="BE135" s="49">
        <f t="shared" si="46"/>
        <v>0</v>
      </c>
      <c r="BF135" s="49">
        <f t="shared" si="33"/>
        <v>0</v>
      </c>
      <c r="BG135" s="49">
        <f t="shared" si="34"/>
        <v>0</v>
      </c>
      <c r="BI135" s="134">
        <f t="shared" si="47"/>
        <v>0</v>
      </c>
      <c r="BJ135" s="134">
        <f t="shared" si="42"/>
        <v>0</v>
      </c>
      <c r="BK135" s="134">
        <f t="shared" si="48"/>
        <v>0</v>
      </c>
    </row>
    <row r="136" spans="1:63" ht="17.100000000000001" hidden="1" customHeight="1">
      <c r="A136" s="187"/>
      <c r="B136" s="2333"/>
      <c r="C136" s="2333"/>
      <c r="D136" s="2334" t="s">
        <v>628</v>
      </c>
      <c r="E136" s="2334"/>
      <c r="F136" s="2334"/>
      <c r="G136" s="2334"/>
      <c r="H136" s="2334"/>
      <c r="I136" s="2334"/>
      <c r="J136" s="2334"/>
      <c r="K136" s="2334"/>
      <c r="L136" s="2334"/>
      <c r="M136" s="2334"/>
      <c r="N136" s="2334"/>
      <c r="O136" s="2334"/>
      <c r="P136" s="2324"/>
      <c r="Q136" s="2324"/>
      <c r="R136" s="2325"/>
      <c r="S136" s="2324" t="s">
        <v>11</v>
      </c>
      <c r="T136" s="2324"/>
      <c r="U136" s="2326">
        <v>0.5</v>
      </c>
      <c r="V136" s="2327"/>
      <c r="W136" s="2327"/>
      <c r="X136" s="2327"/>
      <c r="Y136" s="2327"/>
      <c r="Z136" s="2327"/>
      <c r="AA136" s="2328"/>
      <c r="AB136" s="2329"/>
      <c r="AC136" s="2326"/>
      <c r="AD136" s="2330">
        <f t="shared" si="35"/>
        <v>0</v>
      </c>
      <c r="AE136" s="2330"/>
      <c r="AF136" s="2330"/>
      <c r="AG136" s="2330">
        <f t="shared" si="43"/>
        <v>0</v>
      </c>
      <c r="AH136" s="2330"/>
      <c r="AI136" s="2330"/>
      <c r="AJ136" s="2330">
        <f t="shared" si="36"/>
        <v>0</v>
      </c>
      <c r="AK136" s="2330"/>
      <c r="AL136" s="2330"/>
      <c r="AM136" s="2331">
        <f t="shared" si="37"/>
        <v>0</v>
      </c>
      <c r="AN136" s="2331"/>
      <c r="AO136" s="2331"/>
      <c r="AP136" s="2331"/>
      <c r="AQ136" s="2332">
        <f t="shared" si="38"/>
        <v>0</v>
      </c>
      <c r="AR136" s="2332"/>
      <c r="AS136" s="2332"/>
      <c r="AT136" s="2332">
        <f t="shared" si="39"/>
        <v>0</v>
      </c>
      <c r="AV136" s="151" t="str">
        <f t="shared" si="32"/>
        <v>DEMOLITION</v>
      </c>
      <c r="AW136" s="681"/>
      <c r="AX136" s="230"/>
      <c r="AY136" s="230"/>
      <c r="AZ136" s="679"/>
      <c r="BA136" s="49">
        <f t="shared" si="40"/>
        <v>0</v>
      </c>
      <c r="BB136" s="49">
        <f t="shared" si="44"/>
        <v>0</v>
      </c>
      <c r="BC136" s="49">
        <f t="shared" si="45"/>
        <v>0</v>
      </c>
      <c r="BD136" s="49">
        <f t="shared" si="41"/>
        <v>0</v>
      </c>
      <c r="BE136" s="49">
        <f t="shared" si="46"/>
        <v>0</v>
      </c>
      <c r="BF136" s="49">
        <f t="shared" si="33"/>
        <v>0</v>
      </c>
      <c r="BG136" s="49">
        <f t="shared" si="34"/>
        <v>0</v>
      </c>
      <c r="BI136" s="134">
        <f t="shared" si="47"/>
        <v>0</v>
      </c>
      <c r="BJ136" s="134">
        <f t="shared" si="42"/>
        <v>0</v>
      </c>
      <c r="BK136" s="134">
        <f t="shared" si="48"/>
        <v>0</v>
      </c>
    </row>
    <row r="137" spans="1:63" ht="17.100000000000001" hidden="1" customHeight="1">
      <c r="A137" s="187"/>
      <c r="B137" s="2333"/>
      <c r="C137" s="2333"/>
      <c r="D137" s="2334" t="s">
        <v>630</v>
      </c>
      <c r="E137" s="2334"/>
      <c r="F137" s="2334"/>
      <c r="G137" s="2334"/>
      <c r="H137" s="2334"/>
      <c r="I137" s="2334"/>
      <c r="J137" s="2334"/>
      <c r="K137" s="2334"/>
      <c r="L137" s="2334"/>
      <c r="M137" s="2334"/>
      <c r="N137" s="2334"/>
      <c r="O137" s="2334"/>
      <c r="P137" s="2324"/>
      <c r="Q137" s="2324"/>
      <c r="R137" s="2325"/>
      <c r="S137" s="2324" t="s">
        <v>11</v>
      </c>
      <c r="T137" s="2324"/>
      <c r="U137" s="2326">
        <v>5</v>
      </c>
      <c r="V137" s="2327"/>
      <c r="W137" s="2327"/>
      <c r="X137" s="2327"/>
      <c r="Y137" s="2327"/>
      <c r="Z137" s="2327"/>
      <c r="AA137" s="2328"/>
      <c r="AB137" s="2329"/>
      <c r="AC137" s="2326"/>
      <c r="AD137" s="2330">
        <f t="shared" si="35"/>
        <v>0</v>
      </c>
      <c r="AE137" s="2330"/>
      <c r="AF137" s="2330"/>
      <c r="AG137" s="2330">
        <f t="shared" si="43"/>
        <v>0</v>
      </c>
      <c r="AH137" s="2330"/>
      <c r="AI137" s="2330"/>
      <c r="AJ137" s="2330">
        <f t="shared" si="36"/>
        <v>0</v>
      </c>
      <c r="AK137" s="2330"/>
      <c r="AL137" s="2330"/>
      <c r="AM137" s="2331">
        <f t="shared" si="37"/>
        <v>0</v>
      </c>
      <c r="AN137" s="2331"/>
      <c r="AO137" s="2331"/>
      <c r="AP137" s="2331"/>
      <c r="AQ137" s="2332">
        <f t="shared" si="38"/>
        <v>0</v>
      </c>
      <c r="AR137" s="2332"/>
      <c r="AS137" s="2332"/>
      <c r="AT137" s="2332">
        <f t="shared" si="39"/>
        <v>0</v>
      </c>
      <c r="AV137" s="151" t="str">
        <f t="shared" si="32"/>
        <v>DEMOLITION</v>
      </c>
      <c r="AW137" s="681"/>
      <c r="AX137" s="230"/>
      <c r="AY137" s="230"/>
      <c r="AZ137" s="679"/>
      <c r="BA137" s="49">
        <f t="shared" si="40"/>
        <v>0</v>
      </c>
      <c r="BB137" s="49">
        <f t="shared" si="44"/>
        <v>0</v>
      </c>
      <c r="BC137" s="49">
        <f t="shared" si="45"/>
        <v>0</v>
      </c>
      <c r="BD137" s="49">
        <f t="shared" si="41"/>
        <v>0</v>
      </c>
      <c r="BE137" s="49">
        <f t="shared" si="46"/>
        <v>0</v>
      </c>
      <c r="BF137" s="49">
        <f t="shared" si="33"/>
        <v>0</v>
      </c>
      <c r="BG137" s="49">
        <f t="shared" si="34"/>
        <v>0</v>
      </c>
      <c r="BI137" s="134">
        <f t="shared" si="47"/>
        <v>0</v>
      </c>
      <c r="BJ137" s="134">
        <f t="shared" si="42"/>
        <v>0</v>
      </c>
      <c r="BK137" s="134">
        <f t="shared" si="48"/>
        <v>0</v>
      </c>
    </row>
    <row r="138" spans="1:63" ht="17.100000000000001" hidden="1" customHeight="1">
      <c r="A138" s="187"/>
      <c r="B138" s="2333"/>
      <c r="C138" s="2333"/>
      <c r="D138" s="2334" t="s">
        <v>629</v>
      </c>
      <c r="E138" s="2334"/>
      <c r="F138" s="2334"/>
      <c r="G138" s="2334"/>
      <c r="H138" s="2334"/>
      <c r="I138" s="2334"/>
      <c r="J138" s="2334"/>
      <c r="K138" s="2334"/>
      <c r="L138" s="2334"/>
      <c r="M138" s="2334"/>
      <c r="N138" s="2334"/>
      <c r="O138" s="2334"/>
      <c r="P138" s="2324"/>
      <c r="Q138" s="2324"/>
      <c r="R138" s="2325"/>
      <c r="S138" s="2324" t="s">
        <v>11</v>
      </c>
      <c r="T138" s="2324"/>
      <c r="U138" s="2326">
        <v>4</v>
      </c>
      <c r="V138" s="2327"/>
      <c r="W138" s="2327"/>
      <c r="X138" s="2327"/>
      <c r="Y138" s="2327"/>
      <c r="Z138" s="2327"/>
      <c r="AA138" s="2328"/>
      <c r="AB138" s="2329"/>
      <c r="AC138" s="2326"/>
      <c r="AD138" s="2330">
        <f t="shared" si="35"/>
        <v>0</v>
      </c>
      <c r="AE138" s="2330"/>
      <c r="AF138" s="2330"/>
      <c r="AG138" s="2330">
        <f t="shared" si="43"/>
        <v>0</v>
      </c>
      <c r="AH138" s="2330"/>
      <c r="AI138" s="2330"/>
      <c r="AJ138" s="2330">
        <f t="shared" si="36"/>
        <v>0</v>
      </c>
      <c r="AK138" s="2330"/>
      <c r="AL138" s="2330"/>
      <c r="AM138" s="2331">
        <f t="shared" si="37"/>
        <v>0</v>
      </c>
      <c r="AN138" s="2331"/>
      <c r="AO138" s="2331"/>
      <c r="AP138" s="2331"/>
      <c r="AQ138" s="2332">
        <f t="shared" si="38"/>
        <v>0</v>
      </c>
      <c r="AR138" s="2332"/>
      <c r="AS138" s="2332"/>
      <c r="AT138" s="2332">
        <f t="shared" si="39"/>
        <v>0</v>
      </c>
      <c r="AV138" s="151" t="str">
        <f t="shared" si="32"/>
        <v>DEMOLITION</v>
      </c>
      <c r="AW138" s="681"/>
      <c r="AX138" s="230"/>
      <c r="AY138" s="230"/>
      <c r="AZ138" s="679"/>
      <c r="BA138" s="49">
        <f t="shared" si="40"/>
        <v>0</v>
      </c>
      <c r="BB138" s="49">
        <f t="shared" si="44"/>
        <v>0</v>
      </c>
      <c r="BC138" s="49">
        <f t="shared" si="45"/>
        <v>0</v>
      </c>
      <c r="BD138" s="49">
        <f t="shared" si="41"/>
        <v>0</v>
      </c>
      <c r="BE138" s="49">
        <f t="shared" si="46"/>
        <v>0</v>
      </c>
      <c r="BF138" s="49">
        <f t="shared" si="33"/>
        <v>0</v>
      </c>
      <c r="BG138" s="49">
        <f t="shared" si="34"/>
        <v>0</v>
      </c>
      <c r="BI138" s="134">
        <f t="shared" si="47"/>
        <v>0</v>
      </c>
      <c r="BJ138" s="134">
        <f t="shared" si="42"/>
        <v>0</v>
      </c>
      <c r="BK138" s="134">
        <f t="shared" si="48"/>
        <v>0</v>
      </c>
    </row>
    <row r="139" spans="1:63" ht="17.100000000000001" hidden="1" customHeight="1">
      <c r="A139" s="187"/>
      <c r="B139" s="2333"/>
      <c r="C139" s="2333"/>
      <c r="D139" s="2334" t="s">
        <v>632</v>
      </c>
      <c r="E139" s="2334"/>
      <c r="F139" s="2334"/>
      <c r="G139" s="2334"/>
      <c r="H139" s="2334"/>
      <c r="I139" s="2334"/>
      <c r="J139" s="2334"/>
      <c r="K139" s="2334"/>
      <c r="L139" s="2334"/>
      <c r="M139" s="2334"/>
      <c r="N139" s="2334"/>
      <c r="O139" s="2334"/>
      <c r="P139" s="2324"/>
      <c r="Q139" s="2324"/>
      <c r="R139" s="2325"/>
      <c r="S139" s="2324" t="s">
        <v>11</v>
      </c>
      <c r="T139" s="2324"/>
      <c r="U139" s="2326">
        <v>4</v>
      </c>
      <c r="V139" s="2327"/>
      <c r="W139" s="2327"/>
      <c r="X139" s="2327"/>
      <c r="Y139" s="2327"/>
      <c r="Z139" s="2327"/>
      <c r="AA139" s="2328"/>
      <c r="AB139" s="2329"/>
      <c r="AC139" s="2326"/>
      <c r="AD139" s="2330">
        <f t="shared" si="35"/>
        <v>0</v>
      </c>
      <c r="AE139" s="2330"/>
      <c r="AF139" s="2330"/>
      <c r="AG139" s="2330">
        <f t="shared" si="43"/>
        <v>0</v>
      </c>
      <c r="AH139" s="2330"/>
      <c r="AI139" s="2330"/>
      <c r="AJ139" s="2330">
        <f t="shared" si="36"/>
        <v>0</v>
      </c>
      <c r="AK139" s="2330"/>
      <c r="AL139" s="2330"/>
      <c r="AM139" s="2331">
        <f t="shared" si="37"/>
        <v>0</v>
      </c>
      <c r="AN139" s="2331"/>
      <c r="AO139" s="2331"/>
      <c r="AP139" s="2331"/>
      <c r="AQ139" s="2332">
        <f t="shared" si="38"/>
        <v>0</v>
      </c>
      <c r="AR139" s="2332"/>
      <c r="AS139" s="2332"/>
      <c r="AT139" s="2332">
        <f t="shared" si="39"/>
        <v>0</v>
      </c>
      <c r="AV139" s="151" t="str">
        <f t="shared" si="32"/>
        <v>DEMOLITION</v>
      </c>
      <c r="AW139" s="681"/>
      <c r="AX139" s="230"/>
      <c r="AY139" s="230"/>
      <c r="AZ139" s="679"/>
      <c r="BA139" s="49">
        <f t="shared" si="40"/>
        <v>0</v>
      </c>
      <c r="BB139" s="49">
        <f t="shared" si="44"/>
        <v>0</v>
      </c>
      <c r="BC139" s="49">
        <f t="shared" si="45"/>
        <v>0</v>
      </c>
      <c r="BD139" s="49">
        <f t="shared" si="41"/>
        <v>0</v>
      </c>
      <c r="BE139" s="49">
        <f t="shared" si="46"/>
        <v>0</v>
      </c>
      <c r="BF139" s="49">
        <f t="shared" si="33"/>
        <v>0</v>
      </c>
      <c r="BG139" s="49">
        <f t="shared" si="34"/>
        <v>0</v>
      </c>
      <c r="BI139" s="134">
        <f t="shared" si="47"/>
        <v>0</v>
      </c>
      <c r="BJ139" s="134">
        <f t="shared" si="42"/>
        <v>0</v>
      </c>
      <c r="BK139" s="134">
        <f t="shared" si="48"/>
        <v>0</v>
      </c>
    </row>
    <row r="140" spans="1:63" ht="17.100000000000001" hidden="1" customHeight="1">
      <c r="A140" s="187"/>
      <c r="B140" s="2333"/>
      <c r="C140" s="2333"/>
      <c r="D140" s="2334" t="s">
        <v>633</v>
      </c>
      <c r="E140" s="2334"/>
      <c r="F140" s="2334"/>
      <c r="G140" s="2334"/>
      <c r="H140" s="2334"/>
      <c r="I140" s="2334"/>
      <c r="J140" s="2334"/>
      <c r="K140" s="2334"/>
      <c r="L140" s="2334"/>
      <c r="M140" s="2334"/>
      <c r="N140" s="2334"/>
      <c r="O140" s="2334"/>
      <c r="P140" s="2324"/>
      <c r="Q140" s="2324"/>
      <c r="R140" s="2325"/>
      <c r="S140" s="2324" t="s">
        <v>11</v>
      </c>
      <c r="T140" s="2324"/>
      <c r="U140" s="2326">
        <v>4.25</v>
      </c>
      <c r="V140" s="2327"/>
      <c r="W140" s="2327"/>
      <c r="X140" s="2327"/>
      <c r="Y140" s="2327"/>
      <c r="Z140" s="2327"/>
      <c r="AA140" s="2328"/>
      <c r="AB140" s="2329"/>
      <c r="AC140" s="2326"/>
      <c r="AD140" s="2330">
        <f t="shared" si="35"/>
        <v>0</v>
      </c>
      <c r="AE140" s="2330"/>
      <c r="AF140" s="2330"/>
      <c r="AG140" s="2330">
        <f t="shared" si="43"/>
        <v>0</v>
      </c>
      <c r="AH140" s="2330"/>
      <c r="AI140" s="2330"/>
      <c r="AJ140" s="2330">
        <f t="shared" si="36"/>
        <v>0</v>
      </c>
      <c r="AK140" s="2330"/>
      <c r="AL140" s="2330"/>
      <c r="AM140" s="2331">
        <f t="shared" si="37"/>
        <v>0</v>
      </c>
      <c r="AN140" s="2331"/>
      <c r="AO140" s="2331"/>
      <c r="AP140" s="2331"/>
      <c r="AQ140" s="2332">
        <f t="shared" si="38"/>
        <v>0</v>
      </c>
      <c r="AR140" s="2332"/>
      <c r="AS140" s="2332"/>
      <c r="AT140" s="2332">
        <f t="shared" si="39"/>
        <v>0</v>
      </c>
      <c r="AV140" s="151" t="str">
        <f t="shared" si="32"/>
        <v>DEMOLITION</v>
      </c>
      <c r="AW140" s="681"/>
      <c r="AX140" s="230"/>
      <c r="AY140" s="230"/>
      <c r="AZ140" s="679"/>
      <c r="BA140" s="49">
        <f t="shared" si="40"/>
        <v>0</v>
      </c>
      <c r="BB140" s="49">
        <f t="shared" si="44"/>
        <v>0</v>
      </c>
      <c r="BC140" s="49">
        <f t="shared" si="45"/>
        <v>0</v>
      </c>
      <c r="BD140" s="49">
        <f t="shared" si="41"/>
        <v>0</v>
      </c>
      <c r="BE140" s="49">
        <f t="shared" si="46"/>
        <v>0</v>
      </c>
      <c r="BF140" s="49">
        <f t="shared" si="33"/>
        <v>0</v>
      </c>
      <c r="BG140" s="49">
        <f t="shared" si="34"/>
        <v>0</v>
      </c>
      <c r="BI140" s="134">
        <f t="shared" si="47"/>
        <v>0</v>
      </c>
      <c r="BJ140" s="134">
        <f t="shared" si="42"/>
        <v>0</v>
      </c>
      <c r="BK140" s="134">
        <f t="shared" si="48"/>
        <v>0</v>
      </c>
    </row>
    <row r="141" spans="1:63" ht="17.100000000000001" hidden="1" customHeight="1">
      <c r="A141" s="187"/>
      <c r="B141" s="2333"/>
      <c r="C141" s="2333"/>
      <c r="D141" s="2334" t="s">
        <v>634</v>
      </c>
      <c r="E141" s="2334"/>
      <c r="F141" s="2334"/>
      <c r="G141" s="2334"/>
      <c r="H141" s="2334"/>
      <c r="I141" s="2334"/>
      <c r="J141" s="2334"/>
      <c r="K141" s="2334"/>
      <c r="L141" s="2334"/>
      <c r="M141" s="2334"/>
      <c r="N141" s="2334"/>
      <c r="O141" s="2334"/>
      <c r="P141" s="2324"/>
      <c r="Q141" s="2324"/>
      <c r="R141" s="2325"/>
      <c r="S141" s="2324" t="s">
        <v>11</v>
      </c>
      <c r="T141" s="2324"/>
      <c r="U141" s="2326">
        <v>5</v>
      </c>
      <c r="V141" s="2327"/>
      <c r="W141" s="2327"/>
      <c r="X141" s="2327"/>
      <c r="Y141" s="2327"/>
      <c r="Z141" s="2327"/>
      <c r="AA141" s="2328"/>
      <c r="AB141" s="2329"/>
      <c r="AC141" s="2326"/>
      <c r="AD141" s="2330">
        <f t="shared" si="35"/>
        <v>0</v>
      </c>
      <c r="AE141" s="2330"/>
      <c r="AF141" s="2330"/>
      <c r="AG141" s="2330">
        <f t="shared" si="43"/>
        <v>0</v>
      </c>
      <c r="AH141" s="2330"/>
      <c r="AI141" s="2330"/>
      <c r="AJ141" s="2330">
        <f t="shared" si="36"/>
        <v>0</v>
      </c>
      <c r="AK141" s="2330"/>
      <c r="AL141" s="2330"/>
      <c r="AM141" s="2331">
        <f t="shared" si="37"/>
        <v>0</v>
      </c>
      <c r="AN141" s="2331"/>
      <c r="AO141" s="2331"/>
      <c r="AP141" s="2331"/>
      <c r="AQ141" s="2332">
        <f t="shared" si="38"/>
        <v>0</v>
      </c>
      <c r="AR141" s="2332"/>
      <c r="AS141" s="2332"/>
      <c r="AT141" s="2332">
        <f t="shared" si="39"/>
        <v>0</v>
      </c>
      <c r="AV141" s="151" t="str">
        <f t="shared" si="32"/>
        <v>DEMOLITION</v>
      </c>
      <c r="AW141" s="681"/>
      <c r="AX141" s="230"/>
      <c r="AY141" s="230"/>
      <c r="AZ141" s="679"/>
      <c r="BA141" s="49">
        <f t="shared" si="40"/>
        <v>0</v>
      </c>
      <c r="BB141" s="49">
        <f t="shared" si="44"/>
        <v>0</v>
      </c>
      <c r="BC141" s="49">
        <f t="shared" si="45"/>
        <v>0</v>
      </c>
      <c r="BD141" s="49">
        <f t="shared" si="41"/>
        <v>0</v>
      </c>
      <c r="BE141" s="49">
        <f t="shared" si="46"/>
        <v>0</v>
      </c>
      <c r="BF141" s="49">
        <f t="shared" si="33"/>
        <v>0</v>
      </c>
      <c r="BG141" s="49">
        <f t="shared" si="34"/>
        <v>0</v>
      </c>
      <c r="BI141" s="134">
        <f t="shared" si="47"/>
        <v>0</v>
      </c>
      <c r="BJ141" s="134">
        <f t="shared" si="42"/>
        <v>0</v>
      </c>
      <c r="BK141" s="134">
        <f t="shared" si="48"/>
        <v>0</v>
      </c>
    </row>
    <row r="142" spans="1:63" ht="17.100000000000001" hidden="1" customHeight="1">
      <c r="A142" s="187"/>
      <c r="B142" s="2333"/>
      <c r="C142" s="2333"/>
      <c r="D142" s="2334" t="s">
        <v>635</v>
      </c>
      <c r="E142" s="2334"/>
      <c r="F142" s="2334"/>
      <c r="G142" s="2334"/>
      <c r="H142" s="2334"/>
      <c r="I142" s="2334"/>
      <c r="J142" s="2334"/>
      <c r="K142" s="2334"/>
      <c r="L142" s="2334"/>
      <c r="M142" s="2334"/>
      <c r="N142" s="2334"/>
      <c r="O142" s="2334"/>
      <c r="P142" s="2324"/>
      <c r="Q142" s="2324"/>
      <c r="R142" s="2325"/>
      <c r="S142" s="2324" t="s">
        <v>11</v>
      </c>
      <c r="T142" s="2324"/>
      <c r="U142" s="2326">
        <v>6</v>
      </c>
      <c r="V142" s="2327"/>
      <c r="W142" s="2327"/>
      <c r="X142" s="2327"/>
      <c r="Y142" s="2327"/>
      <c r="Z142" s="2327"/>
      <c r="AA142" s="2328"/>
      <c r="AB142" s="2329"/>
      <c r="AC142" s="2326"/>
      <c r="AD142" s="2330">
        <f t="shared" si="35"/>
        <v>0</v>
      </c>
      <c r="AE142" s="2330"/>
      <c r="AF142" s="2330"/>
      <c r="AG142" s="2330">
        <f t="shared" si="43"/>
        <v>0</v>
      </c>
      <c r="AH142" s="2330"/>
      <c r="AI142" s="2330"/>
      <c r="AJ142" s="2330">
        <f t="shared" si="36"/>
        <v>0</v>
      </c>
      <c r="AK142" s="2330"/>
      <c r="AL142" s="2330"/>
      <c r="AM142" s="2331">
        <f t="shared" si="37"/>
        <v>0</v>
      </c>
      <c r="AN142" s="2331"/>
      <c r="AO142" s="2331"/>
      <c r="AP142" s="2331"/>
      <c r="AQ142" s="2332">
        <f t="shared" si="38"/>
        <v>0</v>
      </c>
      <c r="AR142" s="2332"/>
      <c r="AS142" s="2332"/>
      <c r="AT142" s="2332">
        <f t="shared" si="39"/>
        <v>0</v>
      </c>
      <c r="AV142" s="151" t="str">
        <f t="shared" si="32"/>
        <v>DEMOLITION</v>
      </c>
      <c r="AW142" s="681"/>
      <c r="AX142" s="230"/>
      <c r="AY142" s="230"/>
      <c r="AZ142" s="679"/>
      <c r="BA142" s="49">
        <f t="shared" si="40"/>
        <v>0</v>
      </c>
      <c r="BB142" s="49">
        <f t="shared" si="44"/>
        <v>0</v>
      </c>
      <c r="BC142" s="49">
        <f t="shared" si="45"/>
        <v>0</v>
      </c>
      <c r="BD142" s="49">
        <f t="shared" si="41"/>
        <v>0</v>
      </c>
      <c r="BE142" s="49">
        <f t="shared" si="46"/>
        <v>0</v>
      </c>
      <c r="BF142" s="49">
        <f t="shared" si="33"/>
        <v>0</v>
      </c>
      <c r="BG142" s="49">
        <f t="shared" si="34"/>
        <v>0</v>
      </c>
      <c r="BI142" s="134">
        <f t="shared" si="47"/>
        <v>0</v>
      </c>
      <c r="BJ142" s="134">
        <f t="shared" si="42"/>
        <v>0</v>
      </c>
      <c r="BK142" s="134">
        <f t="shared" si="48"/>
        <v>0</v>
      </c>
    </row>
    <row r="143" spans="1:63" ht="17.100000000000001" hidden="1" customHeight="1">
      <c r="A143" s="187"/>
      <c r="B143" s="2333"/>
      <c r="C143" s="2333"/>
      <c r="D143" s="2334" t="s">
        <v>631</v>
      </c>
      <c r="E143" s="2334"/>
      <c r="F143" s="2334"/>
      <c r="G143" s="2334"/>
      <c r="H143" s="2334"/>
      <c r="I143" s="2334"/>
      <c r="J143" s="2334"/>
      <c r="K143" s="2334"/>
      <c r="L143" s="2334"/>
      <c r="M143" s="2334"/>
      <c r="N143" s="2334"/>
      <c r="O143" s="2334"/>
      <c r="P143" s="2324"/>
      <c r="Q143" s="2324"/>
      <c r="R143" s="2325"/>
      <c r="S143" s="2324"/>
      <c r="T143" s="2324"/>
      <c r="U143" s="2326">
        <v>4</v>
      </c>
      <c r="V143" s="2327"/>
      <c r="W143" s="2327"/>
      <c r="X143" s="2327"/>
      <c r="Y143" s="2327"/>
      <c r="Z143" s="2327"/>
      <c r="AA143" s="2328"/>
      <c r="AB143" s="2329"/>
      <c r="AC143" s="2326"/>
      <c r="AD143" s="2330">
        <f t="shared" si="35"/>
        <v>0</v>
      </c>
      <c r="AE143" s="2330"/>
      <c r="AF143" s="2330"/>
      <c r="AG143" s="2330">
        <f t="shared" si="43"/>
        <v>0</v>
      </c>
      <c r="AH143" s="2330"/>
      <c r="AI143" s="2330"/>
      <c r="AJ143" s="2330">
        <f t="shared" si="36"/>
        <v>0</v>
      </c>
      <c r="AK143" s="2330"/>
      <c r="AL143" s="2330"/>
      <c r="AM143" s="2331">
        <f t="shared" si="37"/>
        <v>0</v>
      </c>
      <c r="AN143" s="2331"/>
      <c r="AO143" s="2331"/>
      <c r="AP143" s="2331"/>
      <c r="AQ143" s="2332">
        <f t="shared" si="38"/>
        <v>0</v>
      </c>
      <c r="AR143" s="2332"/>
      <c r="AS143" s="2332"/>
      <c r="AT143" s="2332">
        <f t="shared" si="39"/>
        <v>0</v>
      </c>
      <c r="AV143" s="151" t="str">
        <f t="shared" si="32"/>
        <v>DEMOLITION</v>
      </c>
      <c r="AW143" s="681"/>
      <c r="AX143" s="230"/>
      <c r="AY143" s="230"/>
      <c r="AZ143" s="679"/>
      <c r="BA143" s="49">
        <f t="shared" si="40"/>
        <v>0</v>
      </c>
      <c r="BB143" s="49">
        <f t="shared" si="44"/>
        <v>0</v>
      </c>
      <c r="BC143" s="49">
        <f t="shared" si="45"/>
        <v>0</v>
      </c>
      <c r="BD143" s="49">
        <f t="shared" si="41"/>
        <v>0</v>
      </c>
      <c r="BE143" s="49">
        <f t="shared" si="46"/>
        <v>0</v>
      </c>
      <c r="BF143" s="49">
        <f t="shared" si="33"/>
        <v>0</v>
      </c>
      <c r="BG143" s="49">
        <f t="shared" si="34"/>
        <v>0</v>
      </c>
      <c r="BI143" s="134">
        <f t="shared" si="47"/>
        <v>0</v>
      </c>
      <c r="BJ143" s="134">
        <f t="shared" si="42"/>
        <v>0</v>
      </c>
      <c r="BK143" s="134">
        <f t="shared" si="48"/>
        <v>0</v>
      </c>
    </row>
    <row r="144" spans="1:63" ht="17.100000000000001" hidden="1" customHeight="1">
      <c r="A144" s="187"/>
      <c r="B144" s="2333"/>
      <c r="C144" s="2333"/>
      <c r="D144" s="2318"/>
      <c r="E144" s="2319"/>
      <c r="F144" s="2319"/>
      <c r="G144" s="2319"/>
      <c r="H144" s="2319"/>
      <c r="I144" s="2319"/>
      <c r="J144" s="2319"/>
      <c r="K144" s="2319"/>
      <c r="L144" s="2319"/>
      <c r="M144" s="2319"/>
      <c r="N144" s="2319"/>
      <c r="O144" s="2320"/>
      <c r="P144" s="2324"/>
      <c r="Q144" s="2324"/>
      <c r="R144" s="2325"/>
      <c r="S144" s="2324"/>
      <c r="T144" s="2324"/>
      <c r="U144" s="2326"/>
      <c r="V144" s="2327"/>
      <c r="W144" s="2327"/>
      <c r="X144" s="2327"/>
      <c r="Y144" s="2327"/>
      <c r="Z144" s="2327"/>
      <c r="AA144" s="2328"/>
      <c r="AB144" s="2329"/>
      <c r="AC144" s="2326"/>
      <c r="AD144" s="2330">
        <f t="shared" si="35"/>
        <v>0</v>
      </c>
      <c r="AE144" s="2330"/>
      <c r="AF144" s="2330"/>
      <c r="AG144" s="2330">
        <f t="shared" si="43"/>
        <v>0</v>
      </c>
      <c r="AH144" s="2330"/>
      <c r="AI144" s="2330"/>
      <c r="AJ144" s="2330">
        <f t="shared" si="36"/>
        <v>0</v>
      </c>
      <c r="AK144" s="2330"/>
      <c r="AL144" s="2330"/>
      <c r="AM144" s="2331">
        <f t="shared" si="37"/>
        <v>0</v>
      </c>
      <c r="AN144" s="2331"/>
      <c r="AO144" s="2331"/>
      <c r="AP144" s="2331"/>
      <c r="AQ144" s="2332">
        <f t="shared" si="38"/>
        <v>0</v>
      </c>
      <c r="AR144" s="2332"/>
      <c r="AS144" s="2332"/>
      <c r="AT144" s="2332">
        <f t="shared" si="39"/>
        <v>0</v>
      </c>
      <c r="AV144" s="151" t="str">
        <f t="shared" si="32"/>
        <v>DEMOLITION</v>
      </c>
      <c r="AW144" s="681"/>
      <c r="AX144" s="230"/>
      <c r="AY144" s="230"/>
      <c r="AZ144" s="679"/>
      <c r="BA144" s="49">
        <f t="shared" si="40"/>
        <v>0</v>
      </c>
      <c r="BB144" s="49">
        <f t="shared" si="44"/>
        <v>0</v>
      </c>
      <c r="BC144" s="49">
        <f t="shared" si="45"/>
        <v>0</v>
      </c>
      <c r="BD144" s="49">
        <f t="shared" si="41"/>
        <v>0</v>
      </c>
      <c r="BE144" s="49">
        <f t="shared" si="46"/>
        <v>0</v>
      </c>
      <c r="BF144" s="49">
        <f t="shared" si="33"/>
        <v>0</v>
      </c>
      <c r="BG144" s="49">
        <f t="shared" si="34"/>
        <v>0</v>
      </c>
      <c r="BI144" s="134">
        <f t="shared" si="47"/>
        <v>0</v>
      </c>
      <c r="BJ144" s="134">
        <f t="shared" si="42"/>
        <v>0</v>
      </c>
      <c r="BK144" s="134">
        <f t="shared" si="48"/>
        <v>0</v>
      </c>
    </row>
    <row r="145" spans="1:63" ht="17.100000000000001" hidden="1" customHeight="1">
      <c r="A145" s="187"/>
      <c r="B145" s="2333"/>
      <c r="C145" s="2333"/>
      <c r="D145" s="2337"/>
      <c r="E145" s="2337"/>
      <c r="F145" s="2337"/>
      <c r="G145" s="2337"/>
      <c r="H145" s="2337"/>
      <c r="I145" s="2337"/>
      <c r="J145" s="2337"/>
      <c r="K145" s="2337"/>
      <c r="L145" s="2337"/>
      <c r="M145" s="2337"/>
      <c r="N145" s="2337"/>
      <c r="O145" s="2337"/>
      <c r="P145" s="2324"/>
      <c r="Q145" s="2324"/>
      <c r="R145" s="2325"/>
      <c r="S145" s="2324"/>
      <c r="T145" s="2324"/>
      <c r="U145" s="2326"/>
      <c r="V145" s="2327"/>
      <c r="W145" s="2327"/>
      <c r="X145" s="2327"/>
      <c r="Y145" s="2327"/>
      <c r="Z145" s="2327"/>
      <c r="AA145" s="2328"/>
      <c r="AB145" s="2329"/>
      <c r="AC145" s="2326"/>
      <c r="AD145" s="2330">
        <f t="shared" si="35"/>
        <v>0</v>
      </c>
      <c r="AE145" s="2330"/>
      <c r="AF145" s="2330"/>
      <c r="AG145" s="2330">
        <f t="shared" si="43"/>
        <v>0</v>
      </c>
      <c r="AH145" s="2330"/>
      <c r="AI145" s="2330"/>
      <c r="AJ145" s="2330">
        <f t="shared" si="36"/>
        <v>0</v>
      </c>
      <c r="AK145" s="2330"/>
      <c r="AL145" s="2330"/>
      <c r="AM145" s="2331">
        <f t="shared" si="37"/>
        <v>0</v>
      </c>
      <c r="AN145" s="2331"/>
      <c r="AO145" s="2331"/>
      <c r="AP145" s="2331"/>
      <c r="AQ145" s="2332">
        <f t="shared" si="38"/>
        <v>0</v>
      </c>
      <c r="AR145" s="2332"/>
      <c r="AS145" s="2332"/>
      <c r="AT145" s="2332">
        <f t="shared" si="39"/>
        <v>0</v>
      </c>
      <c r="AV145" s="151" t="str">
        <f t="shared" si="32"/>
        <v>DEMOLITION</v>
      </c>
      <c r="AW145" s="681"/>
      <c r="AX145" s="230"/>
      <c r="AY145" s="230"/>
      <c r="AZ145" s="679"/>
      <c r="BA145" s="49">
        <f t="shared" si="40"/>
        <v>0</v>
      </c>
      <c r="BB145" s="49">
        <f t="shared" si="44"/>
        <v>0</v>
      </c>
      <c r="BC145" s="49">
        <f t="shared" si="45"/>
        <v>0</v>
      </c>
      <c r="BD145" s="49">
        <f t="shared" si="41"/>
        <v>0</v>
      </c>
      <c r="BE145" s="49">
        <f t="shared" si="46"/>
        <v>0</v>
      </c>
      <c r="BF145" s="49">
        <f t="shared" si="33"/>
        <v>0</v>
      </c>
      <c r="BG145" s="49">
        <f t="shared" si="34"/>
        <v>0</v>
      </c>
      <c r="BI145" s="134">
        <f t="shared" si="47"/>
        <v>0</v>
      </c>
      <c r="BJ145" s="134">
        <f t="shared" si="42"/>
        <v>0</v>
      </c>
      <c r="BK145" s="134">
        <f t="shared" si="48"/>
        <v>0</v>
      </c>
    </row>
    <row r="146" spans="1:63" ht="17.100000000000001" hidden="1" customHeight="1">
      <c r="A146" s="187"/>
      <c r="B146" s="2333"/>
      <c r="C146" s="2333"/>
      <c r="D146" s="2337" t="s">
        <v>637</v>
      </c>
      <c r="E146" s="2337"/>
      <c r="F146" s="2337"/>
      <c r="G146" s="2337"/>
      <c r="H146" s="2337"/>
      <c r="I146" s="2337"/>
      <c r="J146" s="2337"/>
      <c r="K146" s="2337"/>
      <c r="L146" s="2337"/>
      <c r="M146" s="2337"/>
      <c r="N146" s="2337"/>
      <c r="O146" s="2337"/>
      <c r="P146" s="2325"/>
      <c r="Q146" s="2339"/>
      <c r="R146" s="2340"/>
      <c r="S146" s="2324" t="s">
        <v>3</v>
      </c>
      <c r="T146" s="2324"/>
      <c r="U146" s="2326"/>
      <c r="V146" s="2327"/>
      <c r="W146" s="2327"/>
      <c r="X146" s="2327"/>
      <c r="Y146" s="2327"/>
      <c r="Z146" s="2327"/>
      <c r="AA146" s="2328"/>
      <c r="AB146" s="2329"/>
      <c r="AC146" s="2326"/>
      <c r="AD146" s="2330">
        <f t="shared" si="35"/>
        <v>0</v>
      </c>
      <c r="AE146" s="2330"/>
      <c r="AF146" s="2330"/>
      <c r="AG146" s="2330">
        <f t="shared" si="43"/>
        <v>0</v>
      </c>
      <c r="AH146" s="2330"/>
      <c r="AI146" s="2330"/>
      <c r="AJ146" s="2330">
        <f t="shared" si="36"/>
        <v>0</v>
      </c>
      <c r="AK146" s="2330"/>
      <c r="AL146" s="2330"/>
      <c r="AM146" s="2331">
        <f t="shared" si="37"/>
        <v>0</v>
      </c>
      <c r="AN146" s="2331"/>
      <c r="AO146" s="2331"/>
      <c r="AP146" s="2331"/>
      <c r="AQ146" s="2332">
        <f t="shared" si="38"/>
        <v>0</v>
      </c>
      <c r="AR146" s="2332"/>
      <c r="AS146" s="2332"/>
      <c r="AT146" s="2332">
        <f t="shared" si="39"/>
        <v>0</v>
      </c>
      <c r="AV146" s="151" t="str">
        <f t="shared" si="32"/>
        <v>DEMOLITION</v>
      </c>
      <c r="AW146" s="681"/>
      <c r="AX146" s="230"/>
      <c r="AY146" s="230"/>
      <c r="AZ146" s="679"/>
      <c r="BA146" s="49">
        <f t="shared" si="40"/>
        <v>0</v>
      </c>
      <c r="BB146" s="49">
        <f t="shared" si="44"/>
        <v>0</v>
      </c>
      <c r="BC146" s="49">
        <f t="shared" si="45"/>
        <v>0</v>
      </c>
      <c r="BD146" s="49">
        <f t="shared" si="41"/>
        <v>0</v>
      </c>
      <c r="BE146" s="49">
        <f t="shared" si="46"/>
        <v>0</v>
      </c>
      <c r="BF146" s="49">
        <f t="shared" si="33"/>
        <v>0</v>
      </c>
      <c r="BG146" s="49">
        <f t="shared" si="34"/>
        <v>0</v>
      </c>
      <c r="BI146" s="134">
        <f t="shared" si="47"/>
        <v>0</v>
      </c>
      <c r="BJ146" s="134">
        <f t="shared" si="42"/>
        <v>0</v>
      </c>
      <c r="BK146" s="134">
        <f t="shared" si="48"/>
        <v>0</v>
      </c>
    </row>
    <row r="147" spans="1:63" ht="17.100000000000001" hidden="1" customHeight="1">
      <c r="A147" s="187"/>
      <c r="B147" s="2333"/>
      <c r="C147" s="2333"/>
      <c r="D147" s="2338" t="s">
        <v>638</v>
      </c>
      <c r="E147" s="2338"/>
      <c r="F147" s="2338"/>
      <c r="G147" s="2338"/>
      <c r="H147" s="2338"/>
      <c r="I147" s="2338"/>
      <c r="J147" s="2338"/>
      <c r="K147" s="2338"/>
      <c r="L147" s="2338"/>
      <c r="M147" s="2338"/>
      <c r="N147" s="2338"/>
      <c r="O147" s="2338"/>
      <c r="P147" s="2324"/>
      <c r="Q147" s="2324"/>
      <c r="R147" s="2325"/>
      <c r="S147" s="2324" t="s">
        <v>3</v>
      </c>
      <c r="T147" s="2324" t="s">
        <v>3</v>
      </c>
      <c r="U147" s="2326"/>
      <c r="V147" s="2327"/>
      <c r="W147" s="2327"/>
      <c r="X147" s="2327"/>
      <c r="Y147" s="2327"/>
      <c r="Z147" s="2327"/>
      <c r="AA147" s="2328"/>
      <c r="AB147" s="2329"/>
      <c r="AC147" s="2326"/>
      <c r="AD147" s="2330">
        <f t="shared" si="35"/>
        <v>0</v>
      </c>
      <c r="AE147" s="2330"/>
      <c r="AF147" s="2330"/>
      <c r="AG147" s="2330">
        <f t="shared" si="43"/>
        <v>0</v>
      </c>
      <c r="AH147" s="2330"/>
      <c r="AI147" s="2330"/>
      <c r="AJ147" s="2330">
        <f t="shared" si="36"/>
        <v>0</v>
      </c>
      <c r="AK147" s="2330"/>
      <c r="AL147" s="2330"/>
      <c r="AM147" s="2331">
        <f t="shared" si="37"/>
        <v>0</v>
      </c>
      <c r="AN147" s="2331"/>
      <c r="AO147" s="2331"/>
      <c r="AP147" s="2331"/>
      <c r="AQ147" s="2332">
        <f t="shared" si="38"/>
        <v>0</v>
      </c>
      <c r="AR147" s="2332"/>
      <c r="AS147" s="2332"/>
      <c r="AT147" s="2332">
        <f t="shared" si="39"/>
        <v>0</v>
      </c>
      <c r="AV147" s="151" t="str">
        <f t="shared" si="32"/>
        <v>DEMOLITION</v>
      </c>
      <c r="AW147" s="681"/>
      <c r="AX147" s="230"/>
      <c r="AY147" s="230"/>
      <c r="AZ147" s="679"/>
      <c r="BA147" s="49">
        <f t="shared" si="40"/>
        <v>0</v>
      </c>
      <c r="BB147" s="49">
        <f t="shared" si="44"/>
        <v>0</v>
      </c>
      <c r="BC147" s="49">
        <f t="shared" si="45"/>
        <v>0</v>
      </c>
      <c r="BD147" s="49">
        <f t="shared" si="41"/>
        <v>0</v>
      </c>
      <c r="BE147" s="49">
        <f t="shared" si="46"/>
        <v>0</v>
      </c>
      <c r="BF147" s="49">
        <f t="shared" si="33"/>
        <v>0</v>
      </c>
      <c r="BG147" s="49">
        <f t="shared" si="34"/>
        <v>0</v>
      </c>
      <c r="BI147" s="134">
        <f t="shared" si="47"/>
        <v>0</v>
      </c>
      <c r="BJ147" s="134">
        <f t="shared" si="42"/>
        <v>0</v>
      </c>
      <c r="BK147" s="134">
        <f t="shared" si="48"/>
        <v>0</v>
      </c>
    </row>
    <row r="148" spans="1:63" ht="17.100000000000001" hidden="1" customHeight="1">
      <c r="A148" s="187"/>
      <c r="B148" s="2333"/>
      <c r="C148" s="2333"/>
      <c r="D148" s="2334" t="s">
        <v>833</v>
      </c>
      <c r="E148" s="2334"/>
      <c r="F148" s="2334"/>
      <c r="G148" s="2334"/>
      <c r="H148" s="2334"/>
      <c r="I148" s="2334"/>
      <c r="J148" s="2334"/>
      <c r="K148" s="2334"/>
      <c r="L148" s="2334"/>
      <c r="M148" s="2334"/>
      <c r="N148" s="2334"/>
      <c r="O148" s="2334"/>
      <c r="P148" s="2324"/>
      <c r="Q148" s="2324"/>
      <c r="R148" s="2325"/>
      <c r="S148" s="2324" t="s">
        <v>2</v>
      </c>
      <c r="T148" s="2324"/>
      <c r="U148" s="2326"/>
      <c r="V148" s="2327"/>
      <c r="W148" s="2327"/>
      <c r="X148" s="2327"/>
      <c r="Y148" s="2327"/>
      <c r="Z148" s="2327"/>
      <c r="AA148" s="2328">
        <v>225</v>
      </c>
      <c r="AB148" s="2329"/>
      <c r="AC148" s="2326"/>
      <c r="AD148" s="2330">
        <f t="shared" si="35"/>
        <v>0</v>
      </c>
      <c r="AE148" s="2330"/>
      <c r="AF148" s="2330"/>
      <c r="AG148" s="2330">
        <f t="shared" si="43"/>
        <v>0</v>
      </c>
      <c r="AH148" s="2330"/>
      <c r="AI148" s="2330"/>
      <c r="AJ148" s="2330">
        <f t="shared" si="36"/>
        <v>0</v>
      </c>
      <c r="AK148" s="2330"/>
      <c r="AL148" s="2330"/>
      <c r="AM148" s="2331">
        <f t="shared" si="37"/>
        <v>0</v>
      </c>
      <c r="AN148" s="2331"/>
      <c r="AO148" s="2331"/>
      <c r="AP148" s="2331"/>
      <c r="AQ148" s="2332">
        <f t="shared" si="38"/>
        <v>0</v>
      </c>
      <c r="AR148" s="2332"/>
      <c r="AS148" s="2332"/>
      <c r="AT148" s="2332">
        <f t="shared" si="39"/>
        <v>0</v>
      </c>
      <c r="AV148" s="151" t="str">
        <f t="shared" si="32"/>
        <v>DEMOLITION</v>
      </c>
      <c r="AW148" s="681"/>
      <c r="AX148" s="230"/>
      <c r="AY148" s="230"/>
      <c r="AZ148" s="679"/>
      <c r="BA148" s="49">
        <f t="shared" si="40"/>
        <v>0</v>
      </c>
      <c r="BB148" s="49">
        <f t="shared" si="44"/>
        <v>0</v>
      </c>
      <c r="BC148" s="49">
        <f t="shared" si="45"/>
        <v>0</v>
      </c>
      <c r="BD148" s="49">
        <f t="shared" si="41"/>
        <v>0</v>
      </c>
      <c r="BE148" s="49">
        <f t="shared" si="46"/>
        <v>0</v>
      </c>
      <c r="BF148" s="49">
        <f t="shared" si="33"/>
        <v>0</v>
      </c>
      <c r="BG148" s="49">
        <f t="shared" si="34"/>
        <v>0</v>
      </c>
      <c r="BI148" s="134">
        <f t="shared" si="47"/>
        <v>0</v>
      </c>
      <c r="BJ148" s="134">
        <f t="shared" si="42"/>
        <v>0</v>
      </c>
      <c r="BK148" s="134">
        <f t="shared" si="48"/>
        <v>0</v>
      </c>
    </row>
    <row r="149" spans="1:63" ht="17.100000000000001" hidden="1" customHeight="1">
      <c r="A149" s="187"/>
      <c r="B149" s="2333"/>
      <c r="C149" s="2333"/>
      <c r="D149" s="2334" t="s">
        <v>834</v>
      </c>
      <c r="E149" s="2334"/>
      <c r="F149" s="2334"/>
      <c r="G149" s="2334"/>
      <c r="H149" s="2334"/>
      <c r="I149" s="2334"/>
      <c r="J149" s="2334"/>
      <c r="K149" s="2334"/>
      <c r="L149" s="2334"/>
      <c r="M149" s="2334"/>
      <c r="N149" s="2334"/>
      <c r="O149" s="2334"/>
      <c r="P149" s="2324"/>
      <c r="Q149" s="2324"/>
      <c r="R149" s="2325"/>
      <c r="S149" s="2324" t="s">
        <v>2</v>
      </c>
      <c r="T149" s="2324"/>
      <c r="U149" s="2326"/>
      <c r="V149" s="2327"/>
      <c r="W149" s="2327"/>
      <c r="X149" s="2327"/>
      <c r="Y149" s="2327"/>
      <c r="Z149" s="2327"/>
      <c r="AA149" s="2328">
        <v>2500</v>
      </c>
      <c r="AB149" s="2329"/>
      <c r="AC149" s="2326"/>
      <c r="AD149" s="2330">
        <f t="shared" si="35"/>
        <v>0</v>
      </c>
      <c r="AE149" s="2330"/>
      <c r="AF149" s="2330"/>
      <c r="AG149" s="2330">
        <f t="shared" si="43"/>
        <v>0</v>
      </c>
      <c r="AH149" s="2330"/>
      <c r="AI149" s="2330"/>
      <c r="AJ149" s="2330">
        <f t="shared" si="36"/>
        <v>0</v>
      </c>
      <c r="AK149" s="2330"/>
      <c r="AL149" s="2330"/>
      <c r="AM149" s="2331">
        <f t="shared" si="37"/>
        <v>0</v>
      </c>
      <c r="AN149" s="2331"/>
      <c r="AO149" s="2331"/>
      <c r="AP149" s="2331"/>
      <c r="AQ149" s="2332">
        <f t="shared" si="38"/>
        <v>0</v>
      </c>
      <c r="AR149" s="2332"/>
      <c r="AS149" s="2332"/>
      <c r="AT149" s="2332">
        <f t="shared" si="39"/>
        <v>0</v>
      </c>
      <c r="AV149" s="151" t="str">
        <f t="shared" si="32"/>
        <v>DEMOLITION</v>
      </c>
      <c r="AW149" s="681"/>
      <c r="AX149" s="230"/>
      <c r="AY149" s="230"/>
      <c r="AZ149" s="679"/>
      <c r="BA149" s="49">
        <f t="shared" si="40"/>
        <v>0</v>
      </c>
      <c r="BB149" s="49">
        <f t="shared" si="44"/>
        <v>0</v>
      </c>
      <c r="BC149" s="49">
        <f t="shared" si="45"/>
        <v>0</v>
      </c>
      <c r="BD149" s="49">
        <f t="shared" si="41"/>
        <v>0</v>
      </c>
      <c r="BE149" s="49">
        <f t="shared" si="46"/>
        <v>0</v>
      </c>
      <c r="BF149" s="49">
        <f t="shared" si="33"/>
        <v>0</v>
      </c>
      <c r="BG149" s="49">
        <f t="shared" si="34"/>
        <v>0</v>
      </c>
      <c r="BI149" s="134">
        <f t="shared" si="47"/>
        <v>0</v>
      </c>
      <c r="BJ149" s="134">
        <f t="shared" si="42"/>
        <v>0</v>
      </c>
      <c r="BK149" s="134">
        <f t="shared" si="48"/>
        <v>0</v>
      </c>
    </row>
    <row r="150" spans="1:63" ht="17.100000000000001" hidden="1" customHeight="1">
      <c r="A150" s="187"/>
      <c r="B150" s="2333"/>
      <c r="C150" s="2333"/>
      <c r="D150" s="2334" t="s">
        <v>636</v>
      </c>
      <c r="E150" s="2334"/>
      <c r="F150" s="2334"/>
      <c r="G150" s="2334"/>
      <c r="H150" s="2334"/>
      <c r="I150" s="2334"/>
      <c r="J150" s="2334"/>
      <c r="K150" s="2334"/>
      <c r="L150" s="2334"/>
      <c r="M150" s="2334"/>
      <c r="N150" s="2334"/>
      <c r="O150" s="2334"/>
      <c r="P150" s="2324"/>
      <c r="Q150" s="2324"/>
      <c r="R150" s="2325"/>
      <c r="S150" s="2324"/>
      <c r="T150" s="2324"/>
      <c r="U150" s="2326"/>
      <c r="V150" s="2327"/>
      <c r="W150" s="2327"/>
      <c r="X150" s="2327"/>
      <c r="Y150" s="2327"/>
      <c r="Z150" s="2327"/>
      <c r="AA150" s="2328">
        <v>2500</v>
      </c>
      <c r="AB150" s="2329"/>
      <c r="AC150" s="2326"/>
      <c r="AD150" s="2330">
        <f t="shared" si="35"/>
        <v>0</v>
      </c>
      <c r="AE150" s="2330"/>
      <c r="AF150" s="2330"/>
      <c r="AG150" s="2330">
        <f t="shared" si="43"/>
        <v>0</v>
      </c>
      <c r="AH150" s="2330"/>
      <c r="AI150" s="2330"/>
      <c r="AJ150" s="2330">
        <f t="shared" si="36"/>
        <v>0</v>
      </c>
      <c r="AK150" s="2330"/>
      <c r="AL150" s="2330"/>
      <c r="AM150" s="2331">
        <f t="shared" si="37"/>
        <v>0</v>
      </c>
      <c r="AN150" s="2331"/>
      <c r="AO150" s="2331"/>
      <c r="AP150" s="2331"/>
      <c r="AQ150" s="2332">
        <f t="shared" si="38"/>
        <v>0</v>
      </c>
      <c r="AR150" s="2332"/>
      <c r="AS150" s="2332"/>
      <c r="AT150" s="2332">
        <f t="shared" si="39"/>
        <v>0</v>
      </c>
      <c r="AV150" s="151" t="str">
        <f t="shared" si="32"/>
        <v>DEMOLITION</v>
      </c>
      <c r="AW150" s="681"/>
      <c r="AX150" s="230"/>
      <c r="AY150" s="230"/>
      <c r="AZ150" s="679"/>
      <c r="BA150" s="49">
        <f t="shared" si="40"/>
        <v>0</v>
      </c>
      <c r="BB150" s="49">
        <f t="shared" si="44"/>
        <v>0</v>
      </c>
      <c r="BC150" s="49">
        <f t="shared" si="45"/>
        <v>0</v>
      </c>
      <c r="BD150" s="49">
        <f t="shared" si="41"/>
        <v>0</v>
      </c>
      <c r="BE150" s="49">
        <f t="shared" si="46"/>
        <v>0</v>
      </c>
      <c r="BF150" s="49">
        <f t="shared" si="33"/>
        <v>0</v>
      </c>
      <c r="BG150" s="49">
        <f t="shared" si="34"/>
        <v>0</v>
      </c>
      <c r="BI150" s="134">
        <f t="shared" si="47"/>
        <v>0</v>
      </c>
      <c r="BJ150" s="134">
        <f t="shared" si="42"/>
        <v>0</v>
      </c>
      <c r="BK150" s="134">
        <f t="shared" si="48"/>
        <v>0</v>
      </c>
    </row>
    <row r="151" spans="1:63" ht="17.100000000000001" hidden="1" customHeight="1">
      <c r="A151" s="187"/>
      <c r="B151" s="2333"/>
      <c r="C151" s="2333"/>
      <c r="D151" s="2318"/>
      <c r="E151" s="2319"/>
      <c r="F151" s="2319"/>
      <c r="G151" s="2319"/>
      <c r="H151" s="2319"/>
      <c r="I151" s="2319"/>
      <c r="J151" s="2319"/>
      <c r="K151" s="2319"/>
      <c r="L151" s="2319"/>
      <c r="M151" s="2319"/>
      <c r="N151" s="2319"/>
      <c r="O151" s="2320"/>
      <c r="P151" s="2324"/>
      <c r="Q151" s="2324"/>
      <c r="R151" s="2325"/>
      <c r="S151" s="2324"/>
      <c r="T151" s="2324"/>
      <c r="U151" s="2326"/>
      <c r="V151" s="2327"/>
      <c r="W151" s="2327"/>
      <c r="X151" s="2327"/>
      <c r="Y151" s="2327"/>
      <c r="Z151" s="2327"/>
      <c r="AA151" s="2328"/>
      <c r="AB151" s="2329"/>
      <c r="AC151" s="2326"/>
      <c r="AD151" s="2330">
        <f t="shared" ref="AD151:AD158" si="49">((P151*U151)-AM151)</f>
        <v>0</v>
      </c>
      <c r="AE151" s="2330"/>
      <c r="AF151" s="2330"/>
      <c r="AG151" s="2330">
        <f t="shared" si="43"/>
        <v>0</v>
      </c>
      <c r="AH151" s="2330"/>
      <c r="AI151" s="2330"/>
      <c r="AJ151" s="2330">
        <f t="shared" ref="AJ151:AJ158" si="50">P151*AA151</f>
        <v>0</v>
      </c>
      <c r="AK151" s="2330"/>
      <c r="AL151" s="2330"/>
      <c r="AM151" s="2331">
        <f t="shared" si="37"/>
        <v>0</v>
      </c>
      <c r="AN151" s="2331"/>
      <c r="AO151" s="2331"/>
      <c r="AP151" s="2331"/>
      <c r="AQ151" s="2332">
        <f t="shared" ref="AQ151:AQ158" si="51">SUM(AD151:AL151)</f>
        <v>0</v>
      </c>
      <c r="AR151" s="2332"/>
      <c r="AS151" s="2332"/>
      <c r="AT151" s="2332">
        <f t="shared" ref="AT151:AT158" si="52">SUM(AD151:AL151)</f>
        <v>0</v>
      </c>
      <c r="AV151" s="151" t="str">
        <f t="shared" si="32"/>
        <v>DEMOLITION</v>
      </c>
      <c r="AW151" s="681"/>
      <c r="AX151" s="230"/>
      <c r="AY151" s="230"/>
      <c r="AZ151" s="679"/>
      <c r="BA151" s="49">
        <f t="shared" ref="BA151:BA158" si="53">AD151</f>
        <v>0</v>
      </c>
      <c r="BB151" s="49">
        <f t="shared" ref="BB151:BB158" si="54">AG151</f>
        <v>0</v>
      </c>
      <c r="BC151" s="49">
        <f t="shared" ref="BC151:BC158" si="55">AJ151</f>
        <v>0</v>
      </c>
      <c r="BD151" s="49">
        <f t="shared" ref="BD151:BD158" si="56">IF(B151="x",1,0)</f>
        <v>0</v>
      </c>
      <c r="BE151" s="49">
        <f t="shared" ref="BE151:BE172" si="57">SUM(BA151:BC151)</f>
        <v>0</v>
      </c>
      <c r="BF151" s="49">
        <f t="shared" ref="BF151:BF158" si="58">AQ151</f>
        <v>0</v>
      </c>
      <c r="BG151" s="49">
        <f t="shared" ref="BG151:BG158" si="59">AM151</f>
        <v>0</v>
      </c>
      <c r="BI151" s="134">
        <f t="shared" ref="BI151:BI158" si="60">AD151</f>
        <v>0</v>
      </c>
      <c r="BJ151" s="134">
        <f t="shared" ref="BJ151:BJ158" si="61">AM151</f>
        <v>0</v>
      </c>
      <c r="BK151" s="134">
        <f t="shared" ref="BK151:BK158" si="62">BJ151+BI151</f>
        <v>0</v>
      </c>
    </row>
    <row r="152" spans="1:63" ht="17.100000000000001" hidden="1" customHeight="1">
      <c r="A152" s="187"/>
      <c r="B152" s="2333"/>
      <c r="C152" s="2333"/>
      <c r="D152" s="2318"/>
      <c r="E152" s="2319"/>
      <c r="F152" s="2319"/>
      <c r="G152" s="2319"/>
      <c r="H152" s="2319"/>
      <c r="I152" s="2319"/>
      <c r="J152" s="2319"/>
      <c r="K152" s="2319"/>
      <c r="L152" s="2319"/>
      <c r="M152" s="2319"/>
      <c r="N152" s="2319"/>
      <c r="O152" s="2320"/>
      <c r="P152" s="2324"/>
      <c r="Q152" s="2324"/>
      <c r="R152" s="2325"/>
      <c r="S152" s="2324"/>
      <c r="T152" s="2324"/>
      <c r="U152" s="2326"/>
      <c r="V152" s="2327"/>
      <c r="W152" s="2327"/>
      <c r="X152" s="2327"/>
      <c r="Y152" s="2327"/>
      <c r="Z152" s="2327"/>
      <c r="AA152" s="2328"/>
      <c r="AB152" s="2329"/>
      <c r="AC152" s="2326"/>
      <c r="AD152" s="2330">
        <f t="shared" si="49"/>
        <v>0</v>
      </c>
      <c r="AE152" s="2330"/>
      <c r="AF152" s="2330"/>
      <c r="AG152" s="2330">
        <f t="shared" si="43"/>
        <v>0</v>
      </c>
      <c r="AH152" s="2330"/>
      <c r="AI152" s="2330"/>
      <c r="AJ152" s="2330">
        <f t="shared" si="50"/>
        <v>0</v>
      </c>
      <c r="AK152" s="2330"/>
      <c r="AL152" s="2330"/>
      <c r="AM152" s="2331">
        <f t="shared" si="37"/>
        <v>0</v>
      </c>
      <c r="AN152" s="2331"/>
      <c r="AO152" s="2331"/>
      <c r="AP152" s="2331"/>
      <c r="AQ152" s="2332">
        <f t="shared" si="51"/>
        <v>0</v>
      </c>
      <c r="AR152" s="2332"/>
      <c r="AS152" s="2332"/>
      <c r="AT152" s="2332">
        <f t="shared" si="52"/>
        <v>0</v>
      </c>
      <c r="AV152" s="151" t="str">
        <f t="shared" si="32"/>
        <v>DEMOLITION</v>
      </c>
      <c r="AW152" s="681"/>
      <c r="AX152" s="230"/>
      <c r="AY152" s="230"/>
      <c r="AZ152" s="679"/>
      <c r="BA152" s="49">
        <f t="shared" si="53"/>
        <v>0</v>
      </c>
      <c r="BB152" s="49">
        <f t="shared" si="54"/>
        <v>0</v>
      </c>
      <c r="BC152" s="49">
        <f t="shared" si="55"/>
        <v>0</v>
      </c>
      <c r="BD152" s="49">
        <f t="shared" si="56"/>
        <v>0</v>
      </c>
      <c r="BE152" s="49">
        <f t="shared" si="57"/>
        <v>0</v>
      </c>
      <c r="BF152" s="49">
        <f t="shared" si="58"/>
        <v>0</v>
      </c>
      <c r="BG152" s="49">
        <f t="shared" si="59"/>
        <v>0</v>
      </c>
      <c r="BI152" s="134">
        <f t="shared" si="60"/>
        <v>0</v>
      </c>
      <c r="BJ152" s="134">
        <f t="shared" si="61"/>
        <v>0</v>
      </c>
      <c r="BK152" s="134">
        <f t="shared" si="62"/>
        <v>0</v>
      </c>
    </row>
    <row r="153" spans="1:63" ht="17.100000000000001" hidden="1" customHeight="1">
      <c r="A153" s="187"/>
      <c r="B153" s="2333"/>
      <c r="C153" s="2333"/>
      <c r="D153" s="2318"/>
      <c r="E153" s="2319"/>
      <c r="F153" s="2319"/>
      <c r="G153" s="2319"/>
      <c r="H153" s="2319"/>
      <c r="I153" s="2319"/>
      <c r="J153" s="2319"/>
      <c r="K153" s="2319"/>
      <c r="L153" s="2319"/>
      <c r="M153" s="2319"/>
      <c r="N153" s="2319"/>
      <c r="O153" s="2320"/>
      <c r="P153" s="2324"/>
      <c r="Q153" s="2324"/>
      <c r="R153" s="2325"/>
      <c r="S153" s="2324"/>
      <c r="T153" s="2324"/>
      <c r="U153" s="2326"/>
      <c r="V153" s="2327"/>
      <c r="W153" s="2327"/>
      <c r="X153" s="2327"/>
      <c r="Y153" s="2327"/>
      <c r="Z153" s="2327"/>
      <c r="AA153" s="2328"/>
      <c r="AB153" s="2329"/>
      <c r="AC153" s="2326"/>
      <c r="AD153" s="2330">
        <f t="shared" si="49"/>
        <v>0</v>
      </c>
      <c r="AE153" s="2330"/>
      <c r="AF153" s="2330"/>
      <c r="AG153" s="2330">
        <f t="shared" si="43"/>
        <v>0</v>
      </c>
      <c r="AH153" s="2330"/>
      <c r="AI153" s="2330"/>
      <c r="AJ153" s="2330">
        <f t="shared" si="50"/>
        <v>0</v>
      </c>
      <c r="AK153" s="2330"/>
      <c r="AL153" s="2330"/>
      <c r="AM153" s="2331">
        <f t="shared" si="37"/>
        <v>0</v>
      </c>
      <c r="AN153" s="2331"/>
      <c r="AO153" s="2331"/>
      <c r="AP153" s="2331"/>
      <c r="AQ153" s="2332">
        <f t="shared" si="51"/>
        <v>0</v>
      </c>
      <c r="AR153" s="2332"/>
      <c r="AS153" s="2332"/>
      <c r="AT153" s="2332">
        <f t="shared" si="52"/>
        <v>0</v>
      </c>
      <c r="AV153" s="151" t="str">
        <f t="shared" si="32"/>
        <v>DEMOLITION</v>
      </c>
      <c r="AW153" s="681"/>
      <c r="AX153" s="230"/>
      <c r="AY153" s="230"/>
      <c r="AZ153" s="679"/>
      <c r="BA153" s="49">
        <f t="shared" si="53"/>
        <v>0</v>
      </c>
      <c r="BB153" s="49">
        <f t="shared" si="54"/>
        <v>0</v>
      </c>
      <c r="BC153" s="49">
        <f t="shared" si="55"/>
        <v>0</v>
      </c>
      <c r="BD153" s="49">
        <f t="shared" si="56"/>
        <v>0</v>
      </c>
      <c r="BE153" s="49">
        <f t="shared" si="57"/>
        <v>0</v>
      </c>
      <c r="BF153" s="49">
        <f t="shared" si="58"/>
        <v>0</v>
      </c>
      <c r="BG153" s="49">
        <f t="shared" si="59"/>
        <v>0</v>
      </c>
      <c r="BI153" s="134">
        <f t="shared" si="60"/>
        <v>0</v>
      </c>
      <c r="BJ153" s="134">
        <f t="shared" si="61"/>
        <v>0</v>
      </c>
      <c r="BK153" s="134">
        <f t="shared" si="62"/>
        <v>0</v>
      </c>
    </row>
    <row r="154" spans="1:63" ht="17.100000000000001" hidden="1" customHeight="1">
      <c r="A154" s="187"/>
      <c r="B154" s="2333"/>
      <c r="C154" s="2333"/>
      <c r="D154" s="2318"/>
      <c r="E154" s="2319"/>
      <c r="F154" s="2319"/>
      <c r="G154" s="2319"/>
      <c r="H154" s="2319"/>
      <c r="I154" s="2319"/>
      <c r="J154" s="2319"/>
      <c r="K154" s="2319"/>
      <c r="L154" s="2319"/>
      <c r="M154" s="2319"/>
      <c r="N154" s="2319"/>
      <c r="O154" s="2320"/>
      <c r="P154" s="2324"/>
      <c r="Q154" s="2324"/>
      <c r="R154" s="2325"/>
      <c r="S154" s="2324"/>
      <c r="T154" s="2324"/>
      <c r="U154" s="2326"/>
      <c r="V154" s="2327"/>
      <c r="W154" s="2327"/>
      <c r="X154" s="2327"/>
      <c r="Y154" s="2327"/>
      <c r="Z154" s="2327"/>
      <c r="AA154" s="2328"/>
      <c r="AB154" s="2329"/>
      <c r="AC154" s="2326"/>
      <c r="AD154" s="2330">
        <f t="shared" si="49"/>
        <v>0</v>
      </c>
      <c r="AE154" s="2330"/>
      <c r="AF154" s="2330"/>
      <c r="AG154" s="2330">
        <f t="shared" si="43"/>
        <v>0</v>
      </c>
      <c r="AH154" s="2330"/>
      <c r="AI154" s="2330"/>
      <c r="AJ154" s="2330">
        <f t="shared" si="50"/>
        <v>0</v>
      </c>
      <c r="AK154" s="2330"/>
      <c r="AL154" s="2330"/>
      <c r="AM154" s="2331">
        <f t="shared" si="37"/>
        <v>0</v>
      </c>
      <c r="AN154" s="2331"/>
      <c r="AO154" s="2331"/>
      <c r="AP154" s="2331"/>
      <c r="AQ154" s="2332">
        <f t="shared" si="51"/>
        <v>0</v>
      </c>
      <c r="AR154" s="2332"/>
      <c r="AS154" s="2332"/>
      <c r="AT154" s="2332">
        <f t="shared" si="52"/>
        <v>0</v>
      </c>
      <c r="AV154" s="151" t="str">
        <f t="shared" si="32"/>
        <v>DEMOLITION</v>
      </c>
      <c r="AW154" s="681"/>
      <c r="AX154" s="230"/>
      <c r="AY154" s="230"/>
      <c r="AZ154" s="679"/>
      <c r="BA154" s="49">
        <f t="shared" si="53"/>
        <v>0</v>
      </c>
      <c r="BB154" s="49">
        <f t="shared" si="54"/>
        <v>0</v>
      </c>
      <c r="BC154" s="49">
        <f t="shared" si="55"/>
        <v>0</v>
      </c>
      <c r="BD154" s="49">
        <f t="shared" si="56"/>
        <v>0</v>
      </c>
      <c r="BE154" s="49">
        <f t="shared" si="57"/>
        <v>0</v>
      </c>
      <c r="BF154" s="49">
        <f t="shared" si="58"/>
        <v>0</v>
      </c>
      <c r="BG154" s="49">
        <f t="shared" si="59"/>
        <v>0</v>
      </c>
      <c r="BI154" s="134">
        <f t="shared" si="60"/>
        <v>0</v>
      </c>
      <c r="BJ154" s="134">
        <f t="shared" si="61"/>
        <v>0</v>
      </c>
      <c r="BK154" s="134">
        <f t="shared" si="62"/>
        <v>0</v>
      </c>
    </row>
    <row r="155" spans="1:63" ht="17.100000000000001" hidden="1" customHeight="1">
      <c r="A155" s="187"/>
      <c r="B155" s="2333"/>
      <c r="C155" s="2333"/>
      <c r="D155" s="2318"/>
      <c r="E155" s="2319"/>
      <c r="F155" s="2319"/>
      <c r="G155" s="2319"/>
      <c r="H155" s="2319"/>
      <c r="I155" s="2319"/>
      <c r="J155" s="2319"/>
      <c r="K155" s="2319"/>
      <c r="L155" s="2319"/>
      <c r="M155" s="2319"/>
      <c r="N155" s="2319"/>
      <c r="O155" s="2320"/>
      <c r="P155" s="2324"/>
      <c r="Q155" s="2324"/>
      <c r="R155" s="2325"/>
      <c r="S155" s="2324"/>
      <c r="T155" s="2324"/>
      <c r="U155" s="2326"/>
      <c r="V155" s="2327"/>
      <c r="W155" s="2327"/>
      <c r="X155" s="2327"/>
      <c r="Y155" s="2327"/>
      <c r="Z155" s="2327"/>
      <c r="AA155" s="2328"/>
      <c r="AB155" s="2329"/>
      <c r="AC155" s="2326"/>
      <c r="AD155" s="2330">
        <f t="shared" si="49"/>
        <v>0</v>
      </c>
      <c r="AE155" s="2330"/>
      <c r="AF155" s="2330"/>
      <c r="AG155" s="2330">
        <f t="shared" si="43"/>
        <v>0</v>
      </c>
      <c r="AH155" s="2330"/>
      <c r="AI155" s="2330"/>
      <c r="AJ155" s="2330">
        <f t="shared" si="50"/>
        <v>0</v>
      </c>
      <c r="AK155" s="2330"/>
      <c r="AL155" s="2330"/>
      <c r="AM155" s="2331">
        <f t="shared" si="37"/>
        <v>0</v>
      </c>
      <c r="AN155" s="2331"/>
      <c r="AO155" s="2331"/>
      <c r="AP155" s="2331"/>
      <c r="AQ155" s="2332">
        <f t="shared" si="51"/>
        <v>0</v>
      </c>
      <c r="AR155" s="2332"/>
      <c r="AS155" s="2332"/>
      <c r="AT155" s="2332">
        <f t="shared" si="52"/>
        <v>0</v>
      </c>
      <c r="AV155" s="151" t="str">
        <f t="shared" si="32"/>
        <v>DEMOLITION</v>
      </c>
      <c r="AW155" s="681"/>
      <c r="AX155" s="230"/>
      <c r="AY155" s="230"/>
      <c r="AZ155" s="679"/>
      <c r="BA155" s="49">
        <f t="shared" si="53"/>
        <v>0</v>
      </c>
      <c r="BB155" s="49">
        <f t="shared" si="54"/>
        <v>0</v>
      </c>
      <c r="BC155" s="49">
        <f t="shared" si="55"/>
        <v>0</v>
      </c>
      <c r="BD155" s="49">
        <f t="shared" si="56"/>
        <v>0</v>
      </c>
      <c r="BE155" s="49">
        <f t="shared" si="57"/>
        <v>0</v>
      </c>
      <c r="BF155" s="49">
        <f t="shared" si="58"/>
        <v>0</v>
      </c>
      <c r="BG155" s="49">
        <f t="shared" si="59"/>
        <v>0</v>
      </c>
      <c r="BI155" s="134">
        <f t="shared" si="60"/>
        <v>0</v>
      </c>
      <c r="BJ155" s="134">
        <f t="shared" si="61"/>
        <v>0</v>
      </c>
      <c r="BK155" s="134">
        <f t="shared" si="62"/>
        <v>0</v>
      </c>
    </row>
    <row r="156" spans="1:63" ht="17.100000000000001" hidden="1" customHeight="1">
      <c r="A156" s="187"/>
      <c r="B156" s="2333"/>
      <c r="C156" s="2333"/>
      <c r="D156" s="2318"/>
      <c r="E156" s="2319"/>
      <c r="F156" s="2319"/>
      <c r="G156" s="2319"/>
      <c r="H156" s="2319"/>
      <c r="I156" s="2319"/>
      <c r="J156" s="2319"/>
      <c r="K156" s="2319"/>
      <c r="L156" s="2319"/>
      <c r="M156" s="2319"/>
      <c r="N156" s="2319"/>
      <c r="O156" s="2320"/>
      <c r="P156" s="2324"/>
      <c r="Q156" s="2324"/>
      <c r="R156" s="2325"/>
      <c r="S156" s="2324"/>
      <c r="T156" s="2324"/>
      <c r="U156" s="2326"/>
      <c r="V156" s="2327"/>
      <c r="W156" s="2327"/>
      <c r="X156" s="2327"/>
      <c r="Y156" s="2327"/>
      <c r="Z156" s="2327"/>
      <c r="AA156" s="2328"/>
      <c r="AB156" s="2329"/>
      <c r="AC156" s="2326"/>
      <c r="AD156" s="2330">
        <f t="shared" si="49"/>
        <v>0</v>
      </c>
      <c r="AE156" s="2330"/>
      <c r="AF156" s="2330"/>
      <c r="AG156" s="2330">
        <f t="shared" si="43"/>
        <v>0</v>
      </c>
      <c r="AH156" s="2330"/>
      <c r="AI156" s="2330"/>
      <c r="AJ156" s="2330">
        <f t="shared" si="50"/>
        <v>0</v>
      </c>
      <c r="AK156" s="2330"/>
      <c r="AL156" s="2330"/>
      <c r="AM156" s="2331">
        <f t="shared" si="37"/>
        <v>0</v>
      </c>
      <c r="AN156" s="2331"/>
      <c r="AO156" s="2331"/>
      <c r="AP156" s="2331"/>
      <c r="AQ156" s="2332">
        <f t="shared" si="51"/>
        <v>0</v>
      </c>
      <c r="AR156" s="2332"/>
      <c r="AS156" s="2332"/>
      <c r="AT156" s="2332">
        <f t="shared" si="52"/>
        <v>0</v>
      </c>
      <c r="AV156" s="151" t="str">
        <f t="shared" si="32"/>
        <v>DEMOLITION</v>
      </c>
      <c r="AW156" s="681"/>
      <c r="AX156" s="230"/>
      <c r="AY156" s="230"/>
      <c r="AZ156" s="679"/>
      <c r="BA156" s="49">
        <f t="shared" si="53"/>
        <v>0</v>
      </c>
      <c r="BB156" s="49">
        <f t="shared" si="54"/>
        <v>0</v>
      </c>
      <c r="BC156" s="49">
        <f t="shared" si="55"/>
        <v>0</v>
      </c>
      <c r="BD156" s="49">
        <f t="shared" si="56"/>
        <v>0</v>
      </c>
      <c r="BE156" s="49">
        <f t="shared" si="57"/>
        <v>0</v>
      </c>
      <c r="BF156" s="49">
        <f t="shared" si="58"/>
        <v>0</v>
      </c>
      <c r="BG156" s="49">
        <f t="shared" si="59"/>
        <v>0</v>
      </c>
      <c r="BI156" s="134">
        <f t="shared" si="60"/>
        <v>0</v>
      </c>
      <c r="BJ156" s="134">
        <f t="shared" si="61"/>
        <v>0</v>
      </c>
      <c r="BK156" s="134">
        <f t="shared" si="62"/>
        <v>0</v>
      </c>
    </row>
    <row r="157" spans="1:63" ht="17.100000000000001" hidden="1" customHeight="1">
      <c r="A157" s="187"/>
      <c r="B157" s="2333"/>
      <c r="C157" s="2333"/>
      <c r="D157" s="2318"/>
      <c r="E157" s="2319"/>
      <c r="F157" s="2319"/>
      <c r="G157" s="2319"/>
      <c r="H157" s="2319"/>
      <c r="I157" s="2319"/>
      <c r="J157" s="2319"/>
      <c r="K157" s="2319"/>
      <c r="L157" s="2319"/>
      <c r="M157" s="2319"/>
      <c r="N157" s="2319"/>
      <c r="O157" s="2320"/>
      <c r="P157" s="2324"/>
      <c r="Q157" s="2324"/>
      <c r="R157" s="2325"/>
      <c r="S157" s="2324"/>
      <c r="T157" s="2324"/>
      <c r="U157" s="2326"/>
      <c r="V157" s="2327"/>
      <c r="W157" s="2327"/>
      <c r="X157" s="2327"/>
      <c r="Y157" s="2327"/>
      <c r="Z157" s="2327"/>
      <c r="AA157" s="2328"/>
      <c r="AB157" s="2329"/>
      <c r="AC157" s="2326"/>
      <c r="AD157" s="2330">
        <f t="shared" si="49"/>
        <v>0</v>
      </c>
      <c r="AE157" s="2330"/>
      <c r="AF157" s="2330"/>
      <c r="AG157" s="2330">
        <f t="shared" si="43"/>
        <v>0</v>
      </c>
      <c r="AH157" s="2330"/>
      <c r="AI157" s="2330"/>
      <c r="AJ157" s="2330">
        <f t="shared" si="50"/>
        <v>0</v>
      </c>
      <c r="AK157" s="2330"/>
      <c r="AL157" s="2330"/>
      <c r="AM157" s="2331">
        <f t="shared" si="37"/>
        <v>0</v>
      </c>
      <c r="AN157" s="2331"/>
      <c r="AO157" s="2331"/>
      <c r="AP157" s="2331"/>
      <c r="AQ157" s="2332">
        <f t="shared" si="51"/>
        <v>0</v>
      </c>
      <c r="AR157" s="2332"/>
      <c r="AS157" s="2332"/>
      <c r="AT157" s="2332">
        <f t="shared" si="52"/>
        <v>0</v>
      </c>
      <c r="AV157" s="151" t="str">
        <f t="shared" si="32"/>
        <v>DEMOLITION</v>
      </c>
      <c r="AW157" s="681"/>
      <c r="AX157" s="230"/>
      <c r="AY157" s="230"/>
      <c r="AZ157" s="679"/>
      <c r="BA157" s="49">
        <f t="shared" si="53"/>
        <v>0</v>
      </c>
      <c r="BB157" s="49">
        <f t="shared" si="54"/>
        <v>0</v>
      </c>
      <c r="BC157" s="49">
        <f t="shared" si="55"/>
        <v>0</v>
      </c>
      <c r="BD157" s="49">
        <f t="shared" si="56"/>
        <v>0</v>
      </c>
      <c r="BE157" s="49">
        <f t="shared" si="57"/>
        <v>0</v>
      </c>
      <c r="BF157" s="49">
        <f t="shared" si="58"/>
        <v>0</v>
      </c>
      <c r="BG157" s="49">
        <f t="shared" si="59"/>
        <v>0</v>
      </c>
      <c r="BI157" s="134">
        <f t="shared" si="60"/>
        <v>0</v>
      </c>
      <c r="BJ157" s="134">
        <f t="shared" si="61"/>
        <v>0</v>
      </c>
      <c r="BK157" s="134">
        <f t="shared" si="62"/>
        <v>0</v>
      </c>
    </row>
    <row r="158" spans="1:63" ht="17.100000000000001" hidden="1" customHeight="1">
      <c r="A158" s="187"/>
      <c r="B158" s="2333"/>
      <c r="C158" s="2333"/>
      <c r="D158" s="2318"/>
      <c r="E158" s="2319"/>
      <c r="F158" s="2319"/>
      <c r="G158" s="2319"/>
      <c r="H158" s="2319"/>
      <c r="I158" s="2319"/>
      <c r="J158" s="2319"/>
      <c r="K158" s="2319"/>
      <c r="L158" s="2319"/>
      <c r="M158" s="2319"/>
      <c r="N158" s="2319"/>
      <c r="O158" s="2320"/>
      <c r="P158" s="2324"/>
      <c r="Q158" s="2324"/>
      <c r="R158" s="2325"/>
      <c r="S158" s="2324"/>
      <c r="T158" s="2324"/>
      <c r="U158" s="2326"/>
      <c r="V158" s="2327"/>
      <c r="W158" s="2327"/>
      <c r="X158" s="2327"/>
      <c r="Y158" s="2327"/>
      <c r="Z158" s="2327"/>
      <c r="AA158" s="2328"/>
      <c r="AB158" s="2329"/>
      <c r="AC158" s="2326"/>
      <c r="AD158" s="2330">
        <f t="shared" si="49"/>
        <v>0</v>
      </c>
      <c r="AE158" s="2330"/>
      <c r="AF158" s="2330"/>
      <c r="AG158" s="2330">
        <f t="shared" si="43"/>
        <v>0</v>
      </c>
      <c r="AH158" s="2330"/>
      <c r="AI158" s="2330"/>
      <c r="AJ158" s="2330">
        <f t="shared" si="50"/>
        <v>0</v>
      </c>
      <c r="AK158" s="2330"/>
      <c r="AL158" s="2330"/>
      <c r="AM158" s="2331">
        <f t="shared" si="37"/>
        <v>0</v>
      </c>
      <c r="AN158" s="2331"/>
      <c r="AO158" s="2331"/>
      <c r="AP158" s="2331"/>
      <c r="AQ158" s="2332">
        <f t="shared" si="51"/>
        <v>0</v>
      </c>
      <c r="AR158" s="2332"/>
      <c r="AS158" s="2332"/>
      <c r="AT158" s="2332">
        <f t="shared" si="52"/>
        <v>0</v>
      </c>
      <c r="AV158" s="151" t="str">
        <f t="shared" si="32"/>
        <v>DEMOLITION</v>
      </c>
      <c r="AW158" s="681"/>
      <c r="AX158" s="230"/>
      <c r="AY158" s="230"/>
      <c r="AZ158" s="679"/>
      <c r="BA158" s="49">
        <f t="shared" si="53"/>
        <v>0</v>
      </c>
      <c r="BB158" s="49">
        <f t="shared" si="54"/>
        <v>0</v>
      </c>
      <c r="BC158" s="49">
        <f t="shared" si="55"/>
        <v>0</v>
      </c>
      <c r="BD158" s="49">
        <f t="shared" si="56"/>
        <v>0</v>
      </c>
      <c r="BE158" s="49">
        <f t="shared" si="57"/>
        <v>0</v>
      </c>
      <c r="BF158" s="49">
        <f t="shared" si="58"/>
        <v>0</v>
      </c>
      <c r="BG158" s="49">
        <f t="shared" si="59"/>
        <v>0</v>
      </c>
      <c r="BI158" s="134">
        <f t="shared" si="60"/>
        <v>0</v>
      </c>
      <c r="BJ158" s="134">
        <f t="shared" si="61"/>
        <v>0</v>
      </c>
      <c r="BK158" s="134">
        <f t="shared" si="62"/>
        <v>0</v>
      </c>
    </row>
    <row r="159" spans="1:63" ht="17.100000000000001" hidden="1" customHeight="1">
      <c r="A159" s="187"/>
      <c r="B159" s="2333"/>
      <c r="C159" s="2333"/>
      <c r="D159" s="2318"/>
      <c r="E159" s="2319"/>
      <c r="F159" s="2319"/>
      <c r="G159" s="2319"/>
      <c r="H159" s="2319"/>
      <c r="I159" s="2319"/>
      <c r="J159" s="2319"/>
      <c r="K159" s="2319"/>
      <c r="L159" s="2319"/>
      <c r="M159" s="2319"/>
      <c r="N159" s="2319"/>
      <c r="O159" s="2320"/>
      <c r="P159" s="2324"/>
      <c r="Q159" s="2324"/>
      <c r="R159" s="2325"/>
      <c r="S159" s="2324"/>
      <c r="T159" s="2324"/>
      <c r="U159" s="2326"/>
      <c r="V159" s="2327"/>
      <c r="W159" s="2327"/>
      <c r="X159" s="2327"/>
      <c r="Y159" s="2327"/>
      <c r="Z159" s="2327"/>
      <c r="AA159" s="2328"/>
      <c r="AB159" s="2329"/>
      <c r="AC159" s="2326"/>
      <c r="AD159" s="2330">
        <f t="shared" si="35"/>
        <v>0</v>
      </c>
      <c r="AE159" s="2330"/>
      <c r="AF159" s="2330"/>
      <c r="AG159" s="2330">
        <f t="shared" si="43"/>
        <v>0</v>
      </c>
      <c r="AH159" s="2330"/>
      <c r="AI159" s="2330"/>
      <c r="AJ159" s="2330">
        <f t="shared" si="36"/>
        <v>0</v>
      </c>
      <c r="AK159" s="2330"/>
      <c r="AL159" s="2330"/>
      <c r="AM159" s="2331">
        <f t="shared" si="37"/>
        <v>0</v>
      </c>
      <c r="AN159" s="2331"/>
      <c r="AO159" s="2331"/>
      <c r="AP159" s="2331"/>
      <c r="AQ159" s="2332">
        <f t="shared" si="38"/>
        <v>0</v>
      </c>
      <c r="AR159" s="2332"/>
      <c r="AS159" s="2332"/>
      <c r="AT159" s="2332">
        <f t="shared" si="39"/>
        <v>0</v>
      </c>
      <c r="AV159" s="151" t="str">
        <f t="shared" si="32"/>
        <v>DEMOLITION</v>
      </c>
      <c r="AW159" s="681"/>
      <c r="AX159" s="230"/>
      <c r="AY159" s="230"/>
      <c r="AZ159" s="679"/>
      <c r="BA159" s="49">
        <f t="shared" si="40"/>
        <v>0</v>
      </c>
      <c r="BB159" s="49">
        <f t="shared" si="44"/>
        <v>0</v>
      </c>
      <c r="BC159" s="49">
        <f t="shared" si="45"/>
        <v>0</v>
      </c>
      <c r="BD159" s="49">
        <f t="shared" si="41"/>
        <v>0</v>
      </c>
      <c r="BE159" s="49">
        <f t="shared" si="57"/>
        <v>0</v>
      </c>
      <c r="BF159" s="49">
        <f t="shared" si="33"/>
        <v>0</v>
      </c>
      <c r="BG159" s="49">
        <f t="shared" si="34"/>
        <v>0</v>
      </c>
      <c r="BI159" s="134">
        <f t="shared" si="47"/>
        <v>0</v>
      </c>
      <c r="BJ159" s="134">
        <f t="shared" si="42"/>
        <v>0</v>
      </c>
      <c r="BK159" s="134">
        <f t="shared" si="48"/>
        <v>0</v>
      </c>
    </row>
    <row r="160" spans="1:63" ht="17.100000000000001" hidden="1" customHeight="1">
      <c r="A160" s="187"/>
      <c r="B160" s="2333"/>
      <c r="C160" s="2333"/>
      <c r="D160" s="2318"/>
      <c r="E160" s="2319"/>
      <c r="F160" s="2319"/>
      <c r="G160" s="2319"/>
      <c r="H160" s="2319"/>
      <c r="I160" s="2319"/>
      <c r="J160" s="2319"/>
      <c r="K160" s="2319"/>
      <c r="L160" s="2319"/>
      <c r="M160" s="2319"/>
      <c r="N160" s="2319"/>
      <c r="O160" s="2320"/>
      <c r="P160" s="2324"/>
      <c r="Q160" s="2324"/>
      <c r="R160" s="2325"/>
      <c r="S160" s="2324"/>
      <c r="T160" s="2324"/>
      <c r="U160" s="2326"/>
      <c r="V160" s="2327"/>
      <c r="W160" s="2327"/>
      <c r="X160" s="2327"/>
      <c r="Y160" s="2327"/>
      <c r="Z160" s="2327"/>
      <c r="AA160" s="2328"/>
      <c r="AB160" s="2329"/>
      <c r="AC160" s="2326"/>
      <c r="AD160" s="2330">
        <f t="shared" si="35"/>
        <v>0</v>
      </c>
      <c r="AE160" s="2330"/>
      <c r="AF160" s="2330"/>
      <c r="AG160" s="2330">
        <f t="shared" si="43"/>
        <v>0</v>
      </c>
      <c r="AH160" s="2330"/>
      <c r="AI160" s="2330"/>
      <c r="AJ160" s="2330">
        <f t="shared" si="36"/>
        <v>0</v>
      </c>
      <c r="AK160" s="2330"/>
      <c r="AL160" s="2330"/>
      <c r="AM160" s="2331">
        <f t="shared" si="37"/>
        <v>0</v>
      </c>
      <c r="AN160" s="2331"/>
      <c r="AO160" s="2331"/>
      <c r="AP160" s="2331"/>
      <c r="AQ160" s="2332">
        <f t="shared" si="38"/>
        <v>0</v>
      </c>
      <c r="AR160" s="2332"/>
      <c r="AS160" s="2332"/>
      <c r="AT160" s="2332">
        <f t="shared" si="39"/>
        <v>0</v>
      </c>
      <c r="AV160" s="151" t="str">
        <f t="shared" si="32"/>
        <v>DEMOLITION</v>
      </c>
      <c r="AW160" s="681"/>
      <c r="AX160" s="230"/>
      <c r="AY160" s="230"/>
      <c r="AZ160" s="679"/>
      <c r="BA160" s="49">
        <f t="shared" si="40"/>
        <v>0</v>
      </c>
      <c r="BB160" s="49">
        <f t="shared" si="44"/>
        <v>0</v>
      </c>
      <c r="BC160" s="49">
        <f t="shared" si="45"/>
        <v>0</v>
      </c>
      <c r="BD160" s="49">
        <f t="shared" si="41"/>
        <v>0</v>
      </c>
      <c r="BE160" s="49">
        <f t="shared" si="57"/>
        <v>0</v>
      </c>
      <c r="BF160" s="49">
        <f t="shared" si="33"/>
        <v>0</v>
      </c>
      <c r="BG160" s="49">
        <f t="shared" si="34"/>
        <v>0</v>
      </c>
      <c r="BI160" s="134">
        <f t="shared" si="47"/>
        <v>0</v>
      </c>
      <c r="BJ160" s="134">
        <f t="shared" si="42"/>
        <v>0</v>
      </c>
      <c r="BK160" s="134">
        <f t="shared" si="48"/>
        <v>0</v>
      </c>
    </row>
    <row r="161" spans="1:63" ht="17.100000000000001" hidden="1" customHeight="1">
      <c r="A161" s="187"/>
      <c r="B161" s="2333"/>
      <c r="C161" s="2333"/>
      <c r="D161" s="2318"/>
      <c r="E161" s="2319"/>
      <c r="F161" s="2319"/>
      <c r="G161" s="2319"/>
      <c r="H161" s="2319"/>
      <c r="I161" s="2319"/>
      <c r="J161" s="2319"/>
      <c r="K161" s="2319"/>
      <c r="L161" s="2319"/>
      <c r="M161" s="2319"/>
      <c r="N161" s="2319"/>
      <c r="O161" s="2320"/>
      <c r="P161" s="2324"/>
      <c r="Q161" s="2324"/>
      <c r="R161" s="2325"/>
      <c r="S161" s="2324"/>
      <c r="T161" s="2324"/>
      <c r="U161" s="2326"/>
      <c r="V161" s="2327"/>
      <c r="W161" s="2327"/>
      <c r="X161" s="2327"/>
      <c r="Y161" s="2327"/>
      <c r="Z161" s="2327"/>
      <c r="AA161" s="2328"/>
      <c r="AB161" s="2329"/>
      <c r="AC161" s="2326"/>
      <c r="AD161" s="2330">
        <f t="shared" ref="AD161:AD168" si="63">((P161*U161)-AM161)</f>
        <v>0</v>
      </c>
      <c r="AE161" s="2330"/>
      <c r="AF161" s="2330"/>
      <c r="AG161" s="2330">
        <f t="shared" si="43"/>
        <v>0</v>
      </c>
      <c r="AH161" s="2330"/>
      <c r="AI161" s="2330"/>
      <c r="AJ161" s="2330">
        <f t="shared" ref="AJ161:AJ168" si="64">P161*AA161</f>
        <v>0</v>
      </c>
      <c r="AK161" s="2330"/>
      <c r="AL161" s="2330"/>
      <c r="AM161" s="2331">
        <f t="shared" si="37"/>
        <v>0</v>
      </c>
      <c r="AN161" s="2331"/>
      <c r="AO161" s="2331"/>
      <c r="AP161" s="2331"/>
      <c r="AQ161" s="2332">
        <f t="shared" ref="AQ161:AQ168" si="65">SUM(AD161:AL161)</f>
        <v>0</v>
      </c>
      <c r="AR161" s="2332"/>
      <c r="AS161" s="2332"/>
      <c r="AT161" s="2332">
        <f t="shared" ref="AT161:AT168" si="66">SUM(AD161:AL161)</f>
        <v>0</v>
      </c>
      <c r="AV161" s="151" t="str">
        <f t="shared" si="32"/>
        <v>DEMOLITION</v>
      </c>
      <c r="AW161" s="681"/>
      <c r="AX161" s="230"/>
      <c r="AY161" s="230"/>
      <c r="AZ161" s="679"/>
      <c r="BA161" s="49">
        <f t="shared" ref="BA161:BA168" si="67">AD161</f>
        <v>0</v>
      </c>
      <c r="BB161" s="49">
        <f t="shared" ref="BB161:BB168" si="68">AG161</f>
        <v>0</v>
      </c>
      <c r="BC161" s="49">
        <f t="shared" ref="BC161:BC168" si="69">AJ161</f>
        <v>0</v>
      </c>
      <c r="BD161" s="49">
        <f t="shared" ref="BD161:BD168" si="70">IF(B161="x",1,0)</f>
        <v>0</v>
      </c>
      <c r="BE161" s="49">
        <f t="shared" si="57"/>
        <v>0</v>
      </c>
      <c r="BF161" s="49">
        <f t="shared" ref="BF161:BF168" si="71">AQ161</f>
        <v>0</v>
      </c>
      <c r="BG161" s="49">
        <f t="shared" ref="BG161:BG168" si="72">AM161</f>
        <v>0</v>
      </c>
      <c r="BI161" s="134">
        <f t="shared" ref="BI161:BI168" si="73">AD161</f>
        <v>0</v>
      </c>
      <c r="BJ161" s="134">
        <f t="shared" ref="BJ161:BJ168" si="74">AM161</f>
        <v>0</v>
      </c>
      <c r="BK161" s="134">
        <f t="shared" ref="BK161:BK168" si="75">BJ161+BI161</f>
        <v>0</v>
      </c>
    </row>
    <row r="162" spans="1:63" ht="17.100000000000001" hidden="1" customHeight="1">
      <c r="A162" s="187"/>
      <c r="B162" s="2333"/>
      <c r="C162" s="2333"/>
      <c r="D162" s="2318"/>
      <c r="E162" s="2319"/>
      <c r="F162" s="2319"/>
      <c r="G162" s="2319"/>
      <c r="H162" s="2319"/>
      <c r="I162" s="2319"/>
      <c r="J162" s="2319"/>
      <c r="K162" s="2319"/>
      <c r="L162" s="2319"/>
      <c r="M162" s="2319"/>
      <c r="N162" s="2319"/>
      <c r="O162" s="2320"/>
      <c r="P162" s="2324"/>
      <c r="Q162" s="2324"/>
      <c r="R162" s="2325"/>
      <c r="S162" s="2324"/>
      <c r="T162" s="2324"/>
      <c r="U162" s="2326"/>
      <c r="V162" s="2327"/>
      <c r="W162" s="2327"/>
      <c r="X162" s="2327"/>
      <c r="Y162" s="2327"/>
      <c r="Z162" s="2327"/>
      <c r="AA162" s="2328"/>
      <c r="AB162" s="2329"/>
      <c r="AC162" s="2326"/>
      <c r="AD162" s="2330">
        <f t="shared" si="63"/>
        <v>0</v>
      </c>
      <c r="AE162" s="2330"/>
      <c r="AF162" s="2330"/>
      <c r="AG162" s="2330">
        <f t="shared" si="43"/>
        <v>0</v>
      </c>
      <c r="AH162" s="2330"/>
      <c r="AI162" s="2330"/>
      <c r="AJ162" s="2330">
        <f t="shared" si="64"/>
        <v>0</v>
      </c>
      <c r="AK162" s="2330"/>
      <c r="AL162" s="2330"/>
      <c r="AM162" s="2331">
        <f t="shared" si="37"/>
        <v>0</v>
      </c>
      <c r="AN162" s="2331"/>
      <c r="AO162" s="2331"/>
      <c r="AP162" s="2331"/>
      <c r="AQ162" s="2332">
        <f t="shared" si="65"/>
        <v>0</v>
      </c>
      <c r="AR162" s="2332"/>
      <c r="AS162" s="2332"/>
      <c r="AT162" s="2332">
        <f t="shared" si="66"/>
        <v>0</v>
      </c>
      <c r="AV162" s="151" t="str">
        <f t="shared" si="32"/>
        <v>DEMOLITION</v>
      </c>
      <c r="AW162" s="681"/>
      <c r="AX162" s="230"/>
      <c r="AY162" s="230"/>
      <c r="AZ162" s="679"/>
      <c r="BA162" s="49">
        <f t="shared" si="67"/>
        <v>0</v>
      </c>
      <c r="BB162" s="49">
        <f t="shared" si="68"/>
        <v>0</v>
      </c>
      <c r="BC162" s="49">
        <f t="shared" si="69"/>
        <v>0</v>
      </c>
      <c r="BD162" s="49">
        <f t="shared" si="70"/>
        <v>0</v>
      </c>
      <c r="BE162" s="49">
        <f t="shared" si="57"/>
        <v>0</v>
      </c>
      <c r="BF162" s="49">
        <f t="shared" si="71"/>
        <v>0</v>
      </c>
      <c r="BG162" s="49">
        <f t="shared" si="72"/>
        <v>0</v>
      </c>
      <c r="BI162" s="134">
        <f t="shared" si="73"/>
        <v>0</v>
      </c>
      <c r="BJ162" s="134">
        <f t="shared" si="74"/>
        <v>0</v>
      </c>
      <c r="BK162" s="134">
        <f t="shared" si="75"/>
        <v>0</v>
      </c>
    </row>
    <row r="163" spans="1:63" ht="17.100000000000001" hidden="1" customHeight="1">
      <c r="A163" s="187"/>
      <c r="B163" s="2333"/>
      <c r="C163" s="2333"/>
      <c r="D163" s="2318"/>
      <c r="E163" s="2319"/>
      <c r="F163" s="2319"/>
      <c r="G163" s="2319"/>
      <c r="H163" s="2319"/>
      <c r="I163" s="2319"/>
      <c r="J163" s="2319"/>
      <c r="K163" s="2319"/>
      <c r="L163" s="2319"/>
      <c r="M163" s="2319"/>
      <c r="N163" s="2319"/>
      <c r="O163" s="2320"/>
      <c r="P163" s="2324"/>
      <c r="Q163" s="2324"/>
      <c r="R163" s="2325"/>
      <c r="S163" s="2324"/>
      <c r="T163" s="2324"/>
      <c r="U163" s="2326"/>
      <c r="V163" s="2327"/>
      <c r="W163" s="2327"/>
      <c r="X163" s="2327"/>
      <c r="Y163" s="2327"/>
      <c r="Z163" s="2327"/>
      <c r="AA163" s="2328"/>
      <c r="AB163" s="2329"/>
      <c r="AC163" s="2326"/>
      <c r="AD163" s="2330">
        <f>((P163*U163)-AM163)</f>
        <v>0</v>
      </c>
      <c r="AE163" s="2330"/>
      <c r="AF163" s="2330"/>
      <c r="AG163" s="2330">
        <f t="shared" si="43"/>
        <v>0</v>
      </c>
      <c r="AH163" s="2330"/>
      <c r="AI163" s="2330"/>
      <c r="AJ163" s="2330">
        <f>P163*AA163</f>
        <v>0</v>
      </c>
      <c r="AK163" s="2330"/>
      <c r="AL163" s="2330"/>
      <c r="AM163" s="2331">
        <f t="shared" si="37"/>
        <v>0</v>
      </c>
      <c r="AN163" s="2331"/>
      <c r="AO163" s="2331"/>
      <c r="AP163" s="2331"/>
      <c r="AQ163" s="2332">
        <f>SUM(AD163:AL163)</f>
        <v>0</v>
      </c>
      <c r="AR163" s="2332"/>
      <c r="AS163" s="2332"/>
      <c r="AT163" s="2332">
        <f>SUM(AD163:AL163)</f>
        <v>0</v>
      </c>
      <c r="AV163" s="151" t="str">
        <f t="shared" si="32"/>
        <v>DEMOLITION</v>
      </c>
      <c r="AW163" s="681"/>
      <c r="AX163" s="230"/>
      <c r="AY163" s="230"/>
      <c r="AZ163" s="679"/>
      <c r="BA163" s="49">
        <f>AD163</f>
        <v>0</v>
      </c>
      <c r="BB163" s="49">
        <f>AG163</f>
        <v>0</v>
      </c>
      <c r="BC163" s="49">
        <f>AJ163</f>
        <v>0</v>
      </c>
      <c r="BD163" s="49">
        <f>IF(B163="x",1,0)</f>
        <v>0</v>
      </c>
      <c r="BE163" s="49">
        <f t="shared" si="57"/>
        <v>0</v>
      </c>
      <c r="BF163" s="49">
        <f>AQ163</f>
        <v>0</v>
      </c>
      <c r="BG163" s="49">
        <f>AM163</f>
        <v>0</v>
      </c>
      <c r="BI163" s="134">
        <f>AD163</f>
        <v>0</v>
      </c>
      <c r="BJ163" s="134">
        <f>AM163</f>
        <v>0</v>
      </c>
      <c r="BK163" s="134">
        <f>BJ163+BI163</f>
        <v>0</v>
      </c>
    </row>
    <row r="164" spans="1:63" ht="17.100000000000001" hidden="1" customHeight="1">
      <c r="A164" s="187"/>
      <c r="B164" s="2333"/>
      <c r="C164" s="2333"/>
      <c r="D164" s="2318"/>
      <c r="E164" s="2319"/>
      <c r="F164" s="2319"/>
      <c r="G164" s="2319"/>
      <c r="H164" s="2319"/>
      <c r="I164" s="2319"/>
      <c r="J164" s="2319"/>
      <c r="K164" s="2319"/>
      <c r="L164" s="2319"/>
      <c r="M164" s="2319"/>
      <c r="N164" s="2319"/>
      <c r="O164" s="2320"/>
      <c r="P164" s="2324"/>
      <c r="Q164" s="2324"/>
      <c r="R164" s="2325"/>
      <c r="S164" s="2324"/>
      <c r="T164" s="2324"/>
      <c r="U164" s="2326"/>
      <c r="V164" s="2327"/>
      <c r="W164" s="2327"/>
      <c r="X164" s="2327"/>
      <c r="Y164" s="2327"/>
      <c r="Z164" s="2327"/>
      <c r="AA164" s="2328"/>
      <c r="AB164" s="2329"/>
      <c r="AC164" s="2326"/>
      <c r="AD164" s="2330">
        <f>((P164*U164)-AM164)</f>
        <v>0</v>
      </c>
      <c r="AE164" s="2330"/>
      <c r="AF164" s="2330"/>
      <c r="AG164" s="2330">
        <f t="shared" si="43"/>
        <v>0</v>
      </c>
      <c r="AH164" s="2330"/>
      <c r="AI164" s="2330"/>
      <c r="AJ164" s="2330">
        <f>P164*AA164</f>
        <v>0</v>
      </c>
      <c r="AK164" s="2330"/>
      <c r="AL164" s="2330"/>
      <c r="AM164" s="2331">
        <f t="shared" si="37"/>
        <v>0</v>
      </c>
      <c r="AN164" s="2331"/>
      <c r="AO164" s="2331"/>
      <c r="AP164" s="2331"/>
      <c r="AQ164" s="2332">
        <f>SUM(AD164:AL164)</f>
        <v>0</v>
      </c>
      <c r="AR164" s="2332"/>
      <c r="AS164" s="2332"/>
      <c r="AT164" s="2332">
        <f>SUM(AD164:AL164)</f>
        <v>0</v>
      </c>
      <c r="AV164" s="151" t="str">
        <f t="shared" si="32"/>
        <v>DEMOLITION</v>
      </c>
      <c r="AW164" s="681"/>
      <c r="AX164" s="230"/>
      <c r="AY164" s="230"/>
      <c r="AZ164" s="679"/>
      <c r="BA164" s="49">
        <f>AD164</f>
        <v>0</v>
      </c>
      <c r="BB164" s="49">
        <f>AG164</f>
        <v>0</v>
      </c>
      <c r="BC164" s="49">
        <f>AJ164</f>
        <v>0</v>
      </c>
      <c r="BD164" s="49">
        <f>IF(B164="x",1,0)</f>
        <v>0</v>
      </c>
      <c r="BE164" s="49">
        <f t="shared" si="57"/>
        <v>0</v>
      </c>
      <c r="BF164" s="49">
        <f>AQ164</f>
        <v>0</v>
      </c>
      <c r="BG164" s="49">
        <f>AM164</f>
        <v>0</v>
      </c>
      <c r="BI164" s="134">
        <f>AD164</f>
        <v>0</v>
      </c>
      <c r="BJ164" s="134">
        <f>AM164</f>
        <v>0</v>
      </c>
      <c r="BK164" s="134">
        <f>BJ164+BI164</f>
        <v>0</v>
      </c>
    </row>
    <row r="165" spans="1:63" ht="17.100000000000001" hidden="1" customHeight="1">
      <c r="A165" s="187"/>
      <c r="B165" s="2333"/>
      <c r="C165" s="2333"/>
      <c r="D165" s="2318"/>
      <c r="E165" s="2319"/>
      <c r="F165" s="2319"/>
      <c r="G165" s="2319"/>
      <c r="H165" s="2319"/>
      <c r="I165" s="2319"/>
      <c r="J165" s="2319"/>
      <c r="K165" s="2319"/>
      <c r="L165" s="2319"/>
      <c r="M165" s="2319"/>
      <c r="N165" s="2319"/>
      <c r="O165" s="2320"/>
      <c r="P165" s="2324"/>
      <c r="Q165" s="2324"/>
      <c r="R165" s="2325"/>
      <c r="S165" s="2324"/>
      <c r="T165" s="2324"/>
      <c r="U165" s="2326"/>
      <c r="V165" s="2327"/>
      <c r="W165" s="2327"/>
      <c r="X165" s="2327"/>
      <c r="Y165" s="2327"/>
      <c r="Z165" s="2327"/>
      <c r="AA165" s="2328"/>
      <c r="AB165" s="2329"/>
      <c r="AC165" s="2326"/>
      <c r="AD165" s="2330">
        <f t="shared" si="63"/>
        <v>0</v>
      </c>
      <c r="AE165" s="2330"/>
      <c r="AF165" s="2330"/>
      <c r="AG165" s="2330">
        <f t="shared" si="43"/>
        <v>0</v>
      </c>
      <c r="AH165" s="2330"/>
      <c r="AI165" s="2330"/>
      <c r="AJ165" s="2330">
        <f t="shared" si="64"/>
        <v>0</v>
      </c>
      <c r="AK165" s="2330"/>
      <c r="AL165" s="2330"/>
      <c r="AM165" s="2331">
        <f t="shared" si="37"/>
        <v>0</v>
      </c>
      <c r="AN165" s="2331"/>
      <c r="AO165" s="2331"/>
      <c r="AP165" s="2331"/>
      <c r="AQ165" s="2332">
        <f t="shared" si="65"/>
        <v>0</v>
      </c>
      <c r="AR165" s="2332"/>
      <c r="AS165" s="2332"/>
      <c r="AT165" s="2332">
        <f t="shared" si="66"/>
        <v>0</v>
      </c>
      <c r="AV165" s="151" t="str">
        <f t="shared" si="32"/>
        <v>DEMOLITION</v>
      </c>
      <c r="AW165" s="681"/>
      <c r="AX165" s="230"/>
      <c r="AY165" s="230"/>
      <c r="AZ165" s="679"/>
      <c r="BA165" s="49">
        <f t="shared" si="67"/>
        <v>0</v>
      </c>
      <c r="BB165" s="49">
        <f t="shared" si="68"/>
        <v>0</v>
      </c>
      <c r="BC165" s="49">
        <f t="shared" si="69"/>
        <v>0</v>
      </c>
      <c r="BD165" s="49">
        <f t="shared" si="70"/>
        <v>0</v>
      </c>
      <c r="BE165" s="49">
        <f t="shared" si="57"/>
        <v>0</v>
      </c>
      <c r="BF165" s="49">
        <f t="shared" si="71"/>
        <v>0</v>
      </c>
      <c r="BG165" s="49">
        <f t="shared" si="72"/>
        <v>0</v>
      </c>
      <c r="BI165" s="134">
        <f t="shared" si="73"/>
        <v>0</v>
      </c>
      <c r="BJ165" s="134">
        <f t="shared" si="74"/>
        <v>0</v>
      </c>
      <c r="BK165" s="134">
        <f t="shared" si="75"/>
        <v>0</v>
      </c>
    </row>
    <row r="166" spans="1:63" ht="17.100000000000001" hidden="1" customHeight="1">
      <c r="A166" s="187"/>
      <c r="B166" s="2333"/>
      <c r="C166" s="2333"/>
      <c r="D166" s="2318"/>
      <c r="E166" s="2319"/>
      <c r="F166" s="2319"/>
      <c r="G166" s="2319"/>
      <c r="H166" s="2319"/>
      <c r="I166" s="2319"/>
      <c r="J166" s="2319"/>
      <c r="K166" s="2319"/>
      <c r="L166" s="2319"/>
      <c r="M166" s="2319"/>
      <c r="N166" s="2319"/>
      <c r="O166" s="2320"/>
      <c r="P166" s="2324"/>
      <c r="Q166" s="2324"/>
      <c r="R166" s="2325"/>
      <c r="S166" s="2324"/>
      <c r="T166" s="2324"/>
      <c r="U166" s="2326"/>
      <c r="V166" s="2327"/>
      <c r="W166" s="2327"/>
      <c r="X166" s="2327"/>
      <c r="Y166" s="2327"/>
      <c r="Z166" s="2327"/>
      <c r="AA166" s="2328"/>
      <c r="AB166" s="2329"/>
      <c r="AC166" s="2326"/>
      <c r="AD166" s="2330">
        <f t="shared" si="63"/>
        <v>0</v>
      </c>
      <c r="AE166" s="2330"/>
      <c r="AF166" s="2330"/>
      <c r="AG166" s="2330">
        <f t="shared" si="43"/>
        <v>0</v>
      </c>
      <c r="AH166" s="2330"/>
      <c r="AI166" s="2330"/>
      <c r="AJ166" s="2330">
        <f t="shared" si="64"/>
        <v>0</v>
      </c>
      <c r="AK166" s="2330"/>
      <c r="AL166" s="2330"/>
      <c r="AM166" s="2331">
        <f t="shared" si="37"/>
        <v>0</v>
      </c>
      <c r="AN166" s="2331"/>
      <c r="AO166" s="2331"/>
      <c r="AP166" s="2331"/>
      <c r="AQ166" s="2332">
        <f t="shared" si="65"/>
        <v>0</v>
      </c>
      <c r="AR166" s="2332"/>
      <c r="AS166" s="2332"/>
      <c r="AT166" s="2332">
        <f t="shared" si="66"/>
        <v>0</v>
      </c>
      <c r="AV166" s="151" t="str">
        <f t="shared" si="32"/>
        <v>DEMOLITION</v>
      </c>
      <c r="AW166" s="681"/>
      <c r="AX166" s="230"/>
      <c r="AY166" s="230"/>
      <c r="AZ166" s="679"/>
      <c r="BA166" s="49">
        <f t="shared" si="67"/>
        <v>0</v>
      </c>
      <c r="BB166" s="49">
        <f t="shared" si="68"/>
        <v>0</v>
      </c>
      <c r="BC166" s="49">
        <f t="shared" si="69"/>
        <v>0</v>
      </c>
      <c r="BD166" s="49">
        <f t="shared" si="70"/>
        <v>0</v>
      </c>
      <c r="BE166" s="49">
        <f t="shared" si="57"/>
        <v>0</v>
      </c>
      <c r="BF166" s="49">
        <f t="shared" si="71"/>
        <v>0</v>
      </c>
      <c r="BG166" s="49">
        <f t="shared" si="72"/>
        <v>0</v>
      </c>
      <c r="BI166" s="134">
        <f t="shared" si="73"/>
        <v>0</v>
      </c>
      <c r="BJ166" s="134">
        <f t="shared" si="74"/>
        <v>0</v>
      </c>
      <c r="BK166" s="134">
        <f t="shared" si="75"/>
        <v>0</v>
      </c>
    </row>
    <row r="167" spans="1:63" ht="17.100000000000001" hidden="1" customHeight="1">
      <c r="A167" s="187"/>
      <c r="B167" s="2333"/>
      <c r="C167" s="2333"/>
      <c r="D167" s="2318"/>
      <c r="E167" s="2319"/>
      <c r="F167" s="2319"/>
      <c r="G167" s="2319"/>
      <c r="H167" s="2319"/>
      <c r="I167" s="2319"/>
      <c r="J167" s="2319"/>
      <c r="K167" s="2319"/>
      <c r="L167" s="2319"/>
      <c r="M167" s="2319"/>
      <c r="N167" s="2319"/>
      <c r="O167" s="2320"/>
      <c r="P167" s="2324"/>
      <c r="Q167" s="2324"/>
      <c r="R167" s="2325"/>
      <c r="S167" s="2324"/>
      <c r="T167" s="2324"/>
      <c r="U167" s="2326"/>
      <c r="V167" s="2327"/>
      <c r="W167" s="2327"/>
      <c r="X167" s="2327"/>
      <c r="Y167" s="2327"/>
      <c r="Z167" s="2327"/>
      <c r="AA167" s="2328"/>
      <c r="AB167" s="2329"/>
      <c r="AC167" s="2326"/>
      <c r="AD167" s="2330">
        <f t="shared" si="63"/>
        <v>0</v>
      </c>
      <c r="AE167" s="2330"/>
      <c r="AF167" s="2330"/>
      <c r="AG167" s="2330">
        <f t="shared" si="43"/>
        <v>0</v>
      </c>
      <c r="AH167" s="2330"/>
      <c r="AI167" s="2330"/>
      <c r="AJ167" s="2330">
        <f t="shared" si="64"/>
        <v>0</v>
      </c>
      <c r="AK167" s="2330"/>
      <c r="AL167" s="2330"/>
      <c r="AM167" s="2331">
        <f t="shared" si="37"/>
        <v>0</v>
      </c>
      <c r="AN167" s="2331"/>
      <c r="AO167" s="2331"/>
      <c r="AP167" s="2331"/>
      <c r="AQ167" s="2332">
        <f t="shared" si="65"/>
        <v>0</v>
      </c>
      <c r="AR167" s="2332"/>
      <c r="AS167" s="2332"/>
      <c r="AT167" s="2332">
        <f t="shared" si="66"/>
        <v>0</v>
      </c>
      <c r="AV167" s="151" t="str">
        <f t="shared" si="32"/>
        <v>DEMOLITION</v>
      </c>
      <c r="AW167" s="681"/>
      <c r="AX167" s="230"/>
      <c r="AY167" s="230"/>
      <c r="AZ167" s="679"/>
      <c r="BA167" s="49">
        <f t="shared" si="67"/>
        <v>0</v>
      </c>
      <c r="BB167" s="49">
        <f t="shared" si="68"/>
        <v>0</v>
      </c>
      <c r="BC167" s="49">
        <f t="shared" si="69"/>
        <v>0</v>
      </c>
      <c r="BD167" s="49">
        <f t="shared" si="70"/>
        <v>0</v>
      </c>
      <c r="BE167" s="49">
        <f t="shared" si="57"/>
        <v>0</v>
      </c>
      <c r="BF167" s="49">
        <f t="shared" si="71"/>
        <v>0</v>
      </c>
      <c r="BG167" s="49">
        <f t="shared" si="72"/>
        <v>0</v>
      </c>
      <c r="BI167" s="134">
        <f t="shared" si="73"/>
        <v>0</v>
      </c>
      <c r="BJ167" s="134">
        <f t="shared" si="74"/>
        <v>0</v>
      </c>
      <c r="BK167" s="134">
        <f t="shared" si="75"/>
        <v>0</v>
      </c>
    </row>
    <row r="168" spans="1:63" ht="17.100000000000001" hidden="1" customHeight="1">
      <c r="A168" s="187"/>
      <c r="B168" s="2333"/>
      <c r="C168" s="2333"/>
      <c r="D168" s="2318"/>
      <c r="E168" s="2319"/>
      <c r="F168" s="2319"/>
      <c r="G168" s="2319"/>
      <c r="H168" s="2319"/>
      <c r="I168" s="2319"/>
      <c r="J168" s="2319"/>
      <c r="K168" s="2319"/>
      <c r="L168" s="2319"/>
      <c r="M168" s="2319"/>
      <c r="N168" s="2319"/>
      <c r="O168" s="2320"/>
      <c r="P168" s="2324"/>
      <c r="Q168" s="2324"/>
      <c r="R168" s="2325"/>
      <c r="S168" s="2324"/>
      <c r="T168" s="2324"/>
      <c r="U168" s="2326"/>
      <c r="V168" s="2327"/>
      <c r="W168" s="2327"/>
      <c r="X168" s="2327"/>
      <c r="Y168" s="2327"/>
      <c r="Z168" s="2327"/>
      <c r="AA168" s="2328"/>
      <c r="AB168" s="2329"/>
      <c r="AC168" s="2326"/>
      <c r="AD168" s="2330">
        <f t="shared" si="63"/>
        <v>0</v>
      </c>
      <c r="AE168" s="2330"/>
      <c r="AF168" s="2330"/>
      <c r="AG168" s="2330">
        <f t="shared" si="43"/>
        <v>0</v>
      </c>
      <c r="AH168" s="2330"/>
      <c r="AI168" s="2330"/>
      <c r="AJ168" s="2330">
        <f t="shared" si="64"/>
        <v>0</v>
      </c>
      <c r="AK168" s="2330"/>
      <c r="AL168" s="2330"/>
      <c r="AM168" s="2331">
        <f t="shared" si="37"/>
        <v>0</v>
      </c>
      <c r="AN168" s="2331"/>
      <c r="AO168" s="2331"/>
      <c r="AP168" s="2331"/>
      <c r="AQ168" s="2332">
        <f t="shared" si="65"/>
        <v>0</v>
      </c>
      <c r="AR168" s="2332"/>
      <c r="AS168" s="2332"/>
      <c r="AT168" s="2332">
        <f t="shared" si="66"/>
        <v>0</v>
      </c>
      <c r="AV168" s="151" t="str">
        <f t="shared" si="32"/>
        <v>DEMOLITION</v>
      </c>
      <c r="AW168" s="681"/>
      <c r="AX168" s="230"/>
      <c r="AY168" s="230"/>
      <c r="AZ168" s="679"/>
      <c r="BA168" s="49">
        <f t="shared" si="67"/>
        <v>0</v>
      </c>
      <c r="BB168" s="49">
        <f t="shared" si="68"/>
        <v>0</v>
      </c>
      <c r="BC168" s="49">
        <f t="shared" si="69"/>
        <v>0</v>
      </c>
      <c r="BD168" s="49">
        <f t="shared" si="70"/>
        <v>0</v>
      </c>
      <c r="BE168" s="49">
        <f t="shared" si="57"/>
        <v>0</v>
      </c>
      <c r="BF168" s="49">
        <f t="shared" si="71"/>
        <v>0</v>
      </c>
      <c r="BG168" s="49">
        <f t="shared" si="72"/>
        <v>0</v>
      </c>
      <c r="BI168" s="134">
        <f t="shared" si="73"/>
        <v>0</v>
      </c>
      <c r="BJ168" s="134">
        <f t="shared" si="74"/>
        <v>0</v>
      </c>
      <c r="BK168" s="134">
        <f t="shared" si="75"/>
        <v>0</v>
      </c>
    </row>
    <row r="169" spans="1:63" ht="17.100000000000001" hidden="1" customHeight="1">
      <c r="A169" s="187"/>
      <c r="B169" s="2333"/>
      <c r="C169" s="2333"/>
      <c r="D169" s="2318"/>
      <c r="E169" s="2319"/>
      <c r="F169" s="2319"/>
      <c r="G169" s="2319"/>
      <c r="H169" s="2319"/>
      <c r="I169" s="2319"/>
      <c r="J169" s="2319"/>
      <c r="K169" s="2319"/>
      <c r="L169" s="2319"/>
      <c r="M169" s="2319"/>
      <c r="N169" s="2319"/>
      <c r="O169" s="2320"/>
      <c r="P169" s="2324"/>
      <c r="Q169" s="2324"/>
      <c r="R169" s="2325"/>
      <c r="S169" s="2324"/>
      <c r="T169" s="2324"/>
      <c r="U169" s="2326"/>
      <c r="V169" s="2327"/>
      <c r="W169" s="2327"/>
      <c r="X169" s="2327"/>
      <c r="Y169" s="2327"/>
      <c r="Z169" s="2327"/>
      <c r="AA169" s="2328"/>
      <c r="AB169" s="2329"/>
      <c r="AC169" s="2326"/>
      <c r="AD169" s="2330">
        <f>((P169*U169)-AM169)</f>
        <v>0</v>
      </c>
      <c r="AE169" s="2330"/>
      <c r="AF169" s="2330"/>
      <c r="AG169" s="2330">
        <f t="shared" si="43"/>
        <v>0</v>
      </c>
      <c r="AH169" s="2330"/>
      <c r="AI169" s="2330"/>
      <c r="AJ169" s="2330">
        <f>P169*AA169</f>
        <v>0</v>
      </c>
      <c r="AK169" s="2330"/>
      <c r="AL169" s="2330"/>
      <c r="AM169" s="2331">
        <f t="shared" si="37"/>
        <v>0</v>
      </c>
      <c r="AN169" s="2331"/>
      <c r="AO169" s="2331"/>
      <c r="AP169" s="2331"/>
      <c r="AQ169" s="2332">
        <f>SUM(AD169:AL169)</f>
        <v>0</v>
      </c>
      <c r="AR169" s="2332"/>
      <c r="AS169" s="2332"/>
      <c r="AT169" s="2332">
        <f>SUM(AD169:AL169)</f>
        <v>0</v>
      </c>
      <c r="AV169" s="151" t="str">
        <f t="shared" si="32"/>
        <v>DEMOLITION</v>
      </c>
      <c r="AW169" s="681"/>
      <c r="AX169" s="230"/>
      <c r="AY169" s="230"/>
      <c r="AZ169" s="679"/>
      <c r="BA169" s="49">
        <f>AD169</f>
        <v>0</v>
      </c>
      <c r="BB169" s="49">
        <f>AG169</f>
        <v>0</v>
      </c>
      <c r="BC169" s="49">
        <f>AJ169</f>
        <v>0</v>
      </c>
      <c r="BD169" s="49">
        <f>IF(B169="x",1,0)</f>
        <v>0</v>
      </c>
      <c r="BE169" s="49">
        <f t="shared" si="57"/>
        <v>0</v>
      </c>
      <c r="BF169" s="49">
        <f>AQ169</f>
        <v>0</v>
      </c>
      <c r="BG169" s="49">
        <f>AM169</f>
        <v>0</v>
      </c>
      <c r="BI169" s="134">
        <f>AD169</f>
        <v>0</v>
      </c>
      <c r="BJ169" s="134">
        <f>AM169</f>
        <v>0</v>
      </c>
      <c r="BK169" s="134">
        <f>BJ169+BI169</f>
        <v>0</v>
      </c>
    </row>
    <row r="170" spans="1:63" ht="17.100000000000001" hidden="1" customHeight="1">
      <c r="A170" s="187"/>
      <c r="B170" s="2333"/>
      <c r="C170" s="2333"/>
      <c r="D170" s="2318"/>
      <c r="E170" s="2319"/>
      <c r="F170" s="2319"/>
      <c r="G170" s="2319"/>
      <c r="H170" s="2319"/>
      <c r="I170" s="2319"/>
      <c r="J170" s="2319"/>
      <c r="K170" s="2319"/>
      <c r="L170" s="2319"/>
      <c r="M170" s="2319"/>
      <c r="N170" s="2319"/>
      <c r="O170" s="2320"/>
      <c r="P170" s="2324"/>
      <c r="Q170" s="2324"/>
      <c r="R170" s="2325"/>
      <c r="S170" s="2324"/>
      <c r="T170" s="2324"/>
      <c r="U170" s="2326"/>
      <c r="V170" s="2327"/>
      <c r="W170" s="2327"/>
      <c r="X170" s="2327"/>
      <c r="Y170" s="2327"/>
      <c r="Z170" s="2327"/>
      <c r="AA170" s="2328"/>
      <c r="AB170" s="2329"/>
      <c r="AC170" s="2326"/>
      <c r="AD170" s="2330">
        <f>((P170*U170)-AM170)</f>
        <v>0</v>
      </c>
      <c r="AE170" s="2330"/>
      <c r="AF170" s="2330"/>
      <c r="AG170" s="2330">
        <f t="shared" si="43"/>
        <v>0</v>
      </c>
      <c r="AH170" s="2330"/>
      <c r="AI170" s="2330"/>
      <c r="AJ170" s="2330">
        <f>P170*AA170</f>
        <v>0</v>
      </c>
      <c r="AK170" s="2330"/>
      <c r="AL170" s="2330"/>
      <c r="AM170" s="2331">
        <f t="shared" si="37"/>
        <v>0</v>
      </c>
      <c r="AN170" s="2331"/>
      <c r="AO170" s="2331"/>
      <c r="AP170" s="2331"/>
      <c r="AQ170" s="2332">
        <f>SUM(AD170:AL170)</f>
        <v>0</v>
      </c>
      <c r="AR170" s="2332"/>
      <c r="AS170" s="2332"/>
      <c r="AT170" s="2332">
        <f>SUM(AD170:AL170)</f>
        <v>0</v>
      </c>
      <c r="AV170" s="151" t="str">
        <f t="shared" si="32"/>
        <v>DEMOLITION</v>
      </c>
      <c r="AW170" s="681"/>
      <c r="AX170" s="230"/>
      <c r="AY170" s="230"/>
      <c r="AZ170" s="679"/>
      <c r="BA170" s="49">
        <f>AD170</f>
        <v>0</v>
      </c>
      <c r="BB170" s="49">
        <f>AG170</f>
        <v>0</v>
      </c>
      <c r="BC170" s="49">
        <f>AJ170</f>
        <v>0</v>
      </c>
      <c r="BD170" s="49">
        <f>IF(B170="x",1,0)</f>
        <v>0</v>
      </c>
      <c r="BE170" s="49">
        <f t="shared" si="57"/>
        <v>0</v>
      </c>
      <c r="BF170" s="49">
        <f>AQ170</f>
        <v>0</v>
      </c>
      <c r="BG170" s="49">
        <f>AM170</f>
        <v>0</v>
      </c>
      <c r="BI170" s="134">
        <f>AD170</f>
        <v>0</v>
      </c>
      <c r="BJ170" s="134">
        <f>AM170</f>
        <v>0</v>
      </c>
      <c r="BK170" s="134">
        <f>BJ170+BI170</f>
        <v>0</v>
      </c>
    </row>
    <row r="171" spans="1:63" ht="17.100000000000001" hidden="1" customHeight="1">
      <c r="A171" s="187"/>
      <c r="B171" s="2333"/>
      <c r="C171" s="2333"/>
      <c r="D171" s="2318"/>
      <c r="E171" s="2319"/>
      <c r="F171" s="2319"/>
      <c r="G171" s="2319"/>
      <c r="H171" s="2319"/>
      <c r="I171" s="2319"/>
      <c r="J171" s="2319"/>
      <c r="K171" s="2319"/>
      <c r="L171" s="2319"/>
      <c r="M171" s="2319"/>
      <c r="N171" s="2319"/>
      <c r="O171" s="2320"/>
      <c r="P171" s="2324"/>
      <c r="Q171" s="2324"/>
      <c r="R171" s="2325"/>
      <c r="S171" s="2324"/>
      <c r="T171" s="2324"/>
      <c r="U171" s="2326"/>
      <c r="V171" s="2327"/>
      <c r="W171" s="2327"/>
      <c r="X171" s="2327"/>
      <c r="Y171" s="2327"/>
      <c r="Z171" s="2327"/>
      <c r="AA171" s="2328"/>
      <c r="AB171" s="2329"/>
      <c r="AC171" s="2326"/>
      <c r="AD171" s="2330">
        <f t="shared" si="35"/>
        <v>0</v>
      </c>
      <c r="AE171" s="2330"/>
      <c r="AF171" s="2330"/>
      <c r="AG171" s="2330">
        <f t="shared" si="43"/>
        <v>0</v>
      </c>
      <c r="AH171" s="2330"/>
      <c r="AI171" s="2330"/>
      <c r="AJ171" s="2330">
        <f t="shared" si="36"/>
        <v>0</v>
      </c>
      <c r="AK171" s="2330"/>
      <c r="AL171" s="2330"/>
      <c r="AM171" s="2331">
        <f t="shared" si="37"/>
        <v>0</v>
      </c>
      <c r="AN171" s="2331"/>
      <c r="AO171" s="2331"/>
      <c r="AP171" s="2331"/>
      <c r="AQ171" s="2332">
        <f t="shared" si="38"/>
        <v>0</v>
      </c>
      <c r="AR171" s="2332"/>
      <c r="AS171" s="2332"/>
      <c r="AT171" s="2332">
        <f t="shared" si="39"/>
        <v>0</v>
      </c>
      <c r="AV171" s="151" t="str">
        <f t="shared" si="32"/>
        <v>DEMOLITION</v>
      </c>
      <c r="AW171" s="681"/>
      <c r="AX171" s="230"/>
      <c r="AY171" s="230"/>
      <c r="AZ171" s="679"/>
      <c r="BA171" s="49">
        <f t="shared" si="40"/>
        <v>0</v>
      </c>
      <c r="BB171" s="49">
        <f t="shared" si="44"/>
        <v>0</v>
      </c>
      <c r="BC171" s="49">
        <f t="shared" si="45"/>
        <v>0</v>
      </c>
      <c r="BD171" s="49">
        <f t="shared" si="41"/>
        <v>0</v>
      </c>
      <c r="BE171" s="49">
        <f t="shared" si="57"/>
        <v>0</v>
      </c>
      <c r="BF171" s="49">
        <f t="shared" si="33"/>
        <v>0</v>
      </c>
      <c r="BG171" s="49">
        <f t="shared" si="34"/>
        <v>0</v>
      </c>
      <c r="BI171" s="134">
        <f t="shared" si="47"/>
        <v>0</v>
      </c>
      <c r="BJ171" s="134">
        <f t="shared" si="42"/>
        <v>0</v>
      </c>
      <c r="BK171" s="134">
        <f t="shared" si="48"/>
        <v>0</v>
      </c>
    </row>
    <row r="172" spans="1:63" ht="17.100000000000001" hidden="1" customHeight="1">
      <c r="A172" s="187"/>
      <c r="B172" s="2333"/>
      <c r="C172" s="2333"/>
      <c r="D172" s="2318"/>
      <c r="E172" s="2319"/>
      <c r="F172" s="2319"/>
      <c r="G172" s="2319"/>
      <c r="H172" s="2319"/>
      <c r="I172" s="2319"/>
      <c r="J172" s="2319"/>
      <c r="K172" s="2319"/>
      <c r="L172" s="2319"/>
      <c r="M172" s="2319"/>
      <c r="N172" s="2319"/>
      <c r="O172" s="2320"/>
      <c r="P172" s="2324"/>
      <c r="Q172" s="2324"/>
      <c r="R172" s="2325"/>
      <c r="S172" s="2324"/>
      <c r="T172" s="2324"/>
      <c r="U172" s="2326"/>
      <c r="V172" s="2327"/>
      <c r="W172" s="2327"/>
      <c r="X172" s="2327"/>
      <c r="Y172" s="2327"/>
      <c r="Z172" s="2327"/>
      <c r="AA172" s="2328"/>
      <c r="AB172" s="2329"/>
      <c r="AC172" s="2326"/>
      <c r="AD172" s="2330">
        <f t="shared" si="35"/>
        <v>0</v>
      </c>
      <c r="AE172" s="2330"/>
      <c r="AF172" s="2330"/>
      <c r="AG172" s="2330">
        <f t="shared" si="43"/>
        <v>0</v>
      </c>
      <c r="AH172" s="2330"/>
      <c r="AI172" s="2330"/>
      <c r="AJ172" s="2330">
        <f t="shared" si="36"/>
        <v>0</v>
      </c>
      <c r="AK172" s="2330"/>
      <c r="AL172" s="2330"/>
      <c r="AM172" s="2331">
        <f t="shared" si="37"/>
        <v>0</v>
      </c>
      <c r="AN172" s="2331"/>
      <c r="AO172" s="2331"/>
      <c r="AP172" s="2331"/>
      <c r="AQ172" s="2332">
        <f t="shared" si="38"/>
        <v>0</v>
      </c>
      <c r="AR172" s="2332"/>
      <c r="AS172" s="2332"/>
      <c r="AT172" s="2332">
        <f t="shared" si="39"/>
        <v>0</v>
      </c>
      <c r="AV172" s="151" t="str">
        <f t="shared" si="32"/>
        <v>DEMOLITION</v>
      </c>
      <c r="AW172" s="681"/>
      <c r="AX172" s="230"/>
      <c r="AY172" s="230"/>
      <c r="AZ172" s="679"/>
      <c r="BA172" s="49">
        <f t="shared" si="40"/>
        <v>0</v>
      </c>
      <c r="BB172" s="49">
        <f t="shared" si="44"/>
        <v>0</v>
      </c>
      <c r="BC172" s="49">
        <f t="shared" si="45"/>
        <v>0</v>
      </c>
      <c r="BD172" s="49">
        <f t="shared" si="41"/>
        <v>0</v>
      </c>
      <c r="BE172" s="49">
        <f t="shared" si="57"/>
        <v>0</v>
      </c>
      <c r="BF172" s="49">
        <f t="shared" si="33"/>
        <v>0</v>
      </c>
      <c r="BG172" s="49">
        <f t="shared" si="34"/>
        <v>0</v>
      </c>
      <c r="BI172" s="134">
        <f t="shared" si="47"/>
        <v>0</v>
      </c>
      <c r="BJ172" s="134">
        <f t="shared" si="42"/>
        <v>0</v>
      </c>
      <c r="BK172" s="134">
        <f t="shared" si="48"/>
        <v>0</v>
      </c>
    </row>
    <row r="173" spans="1:63" ht="5.0999999999999996" hidden="1" customHeight="1">
      <c r="A173" s="187"/>
      <c r="B173" s="64"/>
      <c r="C173" s="64"/>
      <c r="D173" s="885"/>
      <c r="E173" s="885"/>
      <c r="F173" s="885"/>
      <c r="G173" s="885"/>
      <c r="H173" s="885"/>
      <c r="I173" s="885"/>
      <c r="J173" s="885"/>
      <c r="K173" s="885"/>
      <c r="L173" s="885"/>
      <c r="M173" s="885"/>
      <c r="N173" s="885"/>
      <c r="O173" s="885"/>
      <c r="P173" s="66"/>
      <c r="Q173" s="66"/>
      <c r="R173" s="66"/>
      <c r="S173" s="66"/>
      <c r="T173" s="66"/>
      <c r="U173" s="67"/>
      <c r="V173" s="67"/>
      <c r="W173" s="67"/>
      <c r="X173" s="67"/>
      <c r="Y173" s="67"/>
      <c r="Z173" s="67"/>
      <c r="AA173" s="67"/>
      <c r="AB173" s="67"/>
      <c r="AC173" s="67"/>
      <c r="AD173" s="68"/>
      <c r="AE173" s="68"/>
      <c r="AF173" s="68"/>
      <c r="AG173" s="68"/>
      <c r="AH173" s="68"/>
      <c r="AI173" s="68"/>
      <c r="AJ173" s="68"/>
      <c r="AK173" s="68"/>
      <c r="AL173" s="68"/>
      <c r="AM173" s="69"/>
      <c r="AN173" s="69"/>
      <c r="AO173" s="69"/>
      <c r="AP173" s="69"/>
      <c r="AQ173" s="661"/>
      <c r="AR173" s="661"/>
      <c r="AS173" s="661"/>
      <c r="AT173" s="661"/>
      <c r="AV173" s="369" t="str">
        <f t="shared" si="32"/>
        <v>DEMOLITION</v>
      </c>
      <c r="AW173" s="696"/>
      <c r="AX173" s="696"/>
      <c r="AY173" s="696"/>
      <c r="AZ173" s="369"/>
      <c r="BA173" s="75">
        <f>BA132</f>
        <v>0</v>
      </c>
      <c r="BB173" s="75">
        <f>BB132</f>
        <v>0</v>
      </c>
      <c r="BC173" s="75">
        <f>BC132</f>
        <v>0</v>
      </c>
      <c r="BD173" s="75">
        <f>BD132</f>
        <v>0</v>
      </c>
      <c r="BE173" s="75">
        <f>BE132</f>
        <v>0</v>
      </c>
      <c r="BF173" s="75"/>
      <c r="BG173" s="75"/>
      <c r="BI173" s="75"/>
      <c r="BJ173" s="75"/>
      <c r="BK173" s="75"/>
    </row>
    <row r="174" spans="1:63" ht="21.6" hidden="1" customHeight="1">
      <c r="A174" s="187"/>
      <c r="B174" s="2341"/>
      <c r="C174" s="2341"/>
      <c r="D174" s="886"/>
      <c r="E174" s="886"/>
      <c r="F174" s="886"/>
      <c r="G174" s="886"/>
      <c r="H174" s="886"/>
      <c r="I174" s="886"/>
      <c r="J174" s="886"/>
      <c r="K174" s="886"/>
      <c r="L174" s="886"/>
      <c r="M174" s="886"/>
      <c r="N174" s="886"/>
      <c r="O174" s="886"/>
      <c r="P174" s="37"/>
      <c r="Q174" s="37"/>
      <c r="R174" s="37"/>
      <c r="S174" s="37"/>
      <c r="T174" s="37"/>
      <c r="U174" s="37"/>
      <c r="V174" s="37"/>
      <c r="W174" s="37"/>
      <c r="X174" s="37"/>
      <c r="Y174" s="37"/>
      <c r="Z174" s="37"/>
      <c r="AA174" s="37"/>
      <c r="AB174" s="37"/>
      <c r="AC174" s="370" t="str">
        <f>CONCATENATE(D132," ","TOTAL")</f>
        <v>DEMOLITION TOTAL</v>
      </c>
      <c r="AD174" s="2342">
        <f>SUBTOTAL(9,AD133:AD173)</f>
        <v>0</v>
      </c>
      <c r="AE174" s="2342"/>
      <c r="AF174" s="2342"/>
      <c r="AG174" s="2342">
        <f>SUBTOTAL(9,AG133:AG173)</f>
        <v>0</v>
      </c>
      <c r="AH174" s="2342"/>
      <c r="AI174" s="2342"/>
      <c r="AJ174" s="2342">
        <f>SUBTOTAL(9,AJ133:AJ173)</f>
        <v>0</v>
      </c>
      <c r="AK174" s="2342"/>
      <c r="AL174" s="2342"/>
      <c r="AM174" s="2342">
        <f>SUBTOTAL(9,AM133:AM173)</f>
        <v>0</v>
      </c>
      <c r="AN174" s="2342"/>
      <c r="AO174" s="2342"/>
      <c r="AP174" s="2342"/>
      <c r="AQ174" s="2336">
        <f>SUBTOTAL(9,AQ133:AQ173)</f>
        <v>0</v>
      </c>
      <c r="AR174" s="2336"/>
      <c r="AS174" s="2336"/>
      <c r="AT174" s="2336" t="e">
        <f>SUM(AT130:AT165)</f>
        <v>#REF!</v>
      </c>
      <c r="AV174" s="151" t="str">
        <f t="shared" si="32"/>
        <v>DEMOLITION</v>
      </c>
      <c r="AW174" s="682"/>
      <c r="AX174" s="695"/>
      <c r="AY174" s="695"/>
      <c r="AZ174" s="274"/>
      <c r="BA174" s="74">
        <f>BA132</f>
        <v>0</v>
      </c>
      <c r="BB174" s="74">
        <f>BB132</f>
        <v>0</v>
      </c>
      <c r="BC174" s="74">
        <f>BC132</f>
        <v>0</v>
      </c>
      <c r="BD174" s="74">
        <f>BD132</f>
        <v>0</v>
      </c>
      <c r="BE174" s="74">
        <f>BE132</f>
        <v>0</v>
      </c>
      <c r="BF174" s="74">
        <f>SUM(BF132:BF173)</f>
        <v>0</v>
      </c>
      <c r="BG174" s="49">
        <f>SUM(BG132:BG173)</f>
        <v>0</v>
      </c>
      <c r="BI174" s="74">
        <f>SUM(BI133:BI173)</f>
        <v>0</v>
      </c>
      <c r="BJ174" s="74">
        <f>SUM(BJ133:BJ173)</f>
        <v>0</v>
      </c>
      <c r="BK174" s="49">
        <f>SUM(BK133:BK173)</f>
        <v>0</v>
      </c>
    </row>
    <row r="175" spans="1:63" ht="5.0999999999999996" hidden="1" customHeight="1">
      <c r="A175" s="187"/>
      <c r="B175" s="64"/>
      <c r="C175" s="64"/>
      <c r="D175" s="885"/>
      <c r="E175" s="885"/>
      <c r="F175" s="885"/>
      <c r="G175" s="885"/>
      <c r="H175" s="885"/>
      <c r="I175" s="885"/>
      <c r="J175" s="885"/>
      <c r="K175" s="885"/>
      <c r="L175" s="885"/>
      <c r="M175" s="885"/>
      <c r="N175" s="885"/>
      <c r="O175" s="885"/>
      <c r="P175" s="66"/>
      <c r="Q175" s="66"/>
      <c r="R175" s="66"/>
      <c r="S175" s="66"/>
      <c r="T175" s="66"/>
      <c r="U175" s="67"/>
      <c r="V175" s="67"/>
      <c r="W175" s="67"/>
      <c r="X175" s="67"/>
      <c r="Y175" s="67"/>
      <c r="Z175" s="67"/>
      <c r="AA175" s="67"/>
      <c r="AB175" s="67"/>
      <c r="AC175" s="67"/>
      <c r="AD175" s="68"/>
      <c r="AE175" s="68"/>
      <c r="AF175" s="68"/>
      <c r="AG175" s="68"/>
      <c r="AH175" s="68"/>
      <c r="AI175" s="68"/>
      <c r="AJ175" s="68"/>
      <c r="AK175" s="68"/>
      <c r="AL175" s="68"/>
      <c r="AM175" s="69"/>
      <c r="AN175" s="69"/>
      <c r="AO175" s="69"/>
      <c r="AP175" s="69"/>
      <c r="AQ175" s="661"/>
      <c r="AR175" s="661"/>
      <c r="AS175" s="661"/>
      <c r="AT175" s="661"/>
      <c r="AV175" s="369" t="str">
        <f t="shared" si="32"/>
        <v>DEMOLITION</v>
      </c>
      <c r="AW175" s="696"/>
      <c r="AX175" s="696"/>
      <c r="AY175" s="696"/>
      <c r="AZ175" s="369"/>
      <c r="BA175" s="75">
        <f>BA132</f>
        <v>0</v>
      </c>
      <c r="BB175" s="75">
        <f>BB132</f>
        <v>0</v>
      </c>
      <c r="BC175" s="75">
        <f>BC132</f>
        <v>0</v>
      </c>
      <c r="BD175" s="75">
        <f>BD132</f>
        <v>0</v>
      </c>
      <c r="BE175" s="75">
        <f>BE132</f>
        <v>0</v>
      </c>
      <c r="BF175" s="75"/>
      <c r="BG175" s="75"/>
      <c r="BI175" s="75"/>
      <c r="BJ175" s="75"/>
      <c r="BK175" s="75"/>
    </row>
    <row r="176" spans="1:63" ht="9.6" hidden="1" customHeight="1">
      <c r="A176" s="187"/>
      <c r="B176" s="71"/>
      <c r="C176" s="71"/>
      <c r="D176" s="887"/>
      <c r="E176" s="887"/>
      <c r="F176" s="887"/>
      <c r="G176" s="887"/>
      <c r="H176" s="887"/>
      <c r="I176" s="887"/>
      <c r="J176" s="887"/>
      <c r="K176" s="887"/>
      <c r="L176" s="887"/>
      <c r="M176" s="887"/>
      <c r="N176" s="887"/>
      <c r="O176" s="887"/>
      <c r="P176" s="72"/>
      <c r="Q176" s="72"/>
      <c r="R176" s="72"/>
      <c r="S176" s="72"/>
      <c r="T176" s="72"/>
      <c r="U176" s="72"/>
      <c r="V176" s="72"/>
      <c r="W176" s="72"/>
      <c r="X176" s="72"/>
      <c r="Y176" s="72"/>
      <c r="Z176" s="72"/>
      <c r="AA176" s="72"/>
      <c r="AB176" s="72"/>
      <c r="AC176" s="73"/>
      <c r="AD176" s="662"/>
      <c r="AE176" s="662"/>
      <c r="AF176" s="662"/>
      <c r="AG176" s="662"/>
      <c r="AH176" s="662"/>
      <c r="AI176" s="662"/>
      <c r="AJ176" s="662"/>
      <c r="AK176" s="662"/>
      <c r="AL176" s="662"/>
      <c r="AM176" s="662"/>
      <c r="AN176" s="662"/>
      <c r="AO176" s="662"/>
      <c r="AP176" s="662"/>
      <c r="AQ176" s="663"/>
      <c r="AR176" s="663"/>
      <c r="AS176" s="663"/>
      <c r="AT176" s="663"/>
      <c r="AV176" s="371" t="str">
        <f t="shared" si="32"/>
        <v>DEMOLITION</v>
      </c>
      <c r="AW176" s="699"/>
      <c r="AX176" s="801"/>
      <c r="AY176" s="801"/>
      <c r="AZ176" s="371"/>
      <c r="BA176" s="125">
        <f>BA174</f>
        <v>0</v>
      </c>
      <c r="BB176" s="125">
        <f t="shared" ref="BB176:BG176" si="76">BB174</f>
        <v>0</v>
      </c>
      <c r="BC176" s="125">
        <f>BC174</f>
        <v>0</v>
      </c>
      <c r="BD176" s="125">
        <f t="shared" si="76"/>
        <v>0</v>
      </c>
      <c r="BE176" s="125">
        <f t="shared" si="76"/>
        <v>0</v>
      </c>
      <c r="BF176" s="125">
        <f t="shared" si="76"/>
        <v>0</v>
      </c>
      <c r="BG176" s="125">
        <f t="shared" si="76"/>
        <v>0</v>
      </c>
      <c r="BI176" s="125"/>
      <c r="BJ176" s="125"/>
      <c r="BK176" s="125"/>
    </row>
    <row r="177" spans="1:63" ht="21" customHeight="1">
      <c r="A177" s="186" t="s">
        <v>952</v>
      </c>
      <c r="B177" s="2350"/>
      <c r="C177" s="2351"/>
      <c r="D177" s="2392" t="str">
        <f>T(N77)</f>
        <v>STRUCTURAL CONCRETE</v>
      </c>
      <c r="E177" s="2393"/>
      <c r="F177" s="2393"/>
      <c r="G177" s="2393"/>
      <c r="H177" s="2393"/>
      <c r="I177" s="2393"/>
      <c r="J177" s="2393"/>
      <c r="K177" s="2393"/>
      <c r="L177" s="2393"/>
      <c r="M177" s="2393"/>
      <c r="N177" s="2393"/>
      <c r="O177" s="2394"/>
      <c r="P177" s="2352"/>
      <c r="Q177" s="2352"/>
      <c r="R177" s="2352"/>
      <c r="S177" s="2353"/>
      <c r="T177" s="2354"/>
      <c r="U177" s="2355"/>
      <c r="V177" s="2355"/>
      <c r="W177" s="2355"/>
      <c r="X177" s="2355"/>
      <c r="Y177" s="2355"/>
      <c r="Z177" s="2355"/>
      <c r="AA177" s="2355"/>
      <c r="AB177" s="2355"/>
      <c r="AC177" s="2355"/>
      <c r="AD177" s="2342">
        <f>AD219</f>
        <v>0</v>
      </c>
      <c r="AE177" s="2342"/>
      <c r="AF177" s="2342"/>
      <c r="AG177" s="2342">
        <f>AG219</f>
        <v>0</v>
      </c>
      <c r="AH177" s="2342"/>
      <c r="AI177" s="2342"/>
      <c r="AJ177" s="2342">
        <f>AJ219</f>
        <v>0</v>
      </c>
      <c r="AK177" s="2342"/>
      <c r="AL177" s="2342"/>
      <c r="AM177" s="2342">
        <f>AM219</f>
        <v>0</v>
      </c>
      <c r="AN177" s="2342"/>
      <c r="AO177" s="2342"/>
      <c r="AP177" s="2342"/>
      <c r="AQ177" s="2336">
        <f>AQ219</f>
        <v>0</v>
      </c>
      <c r="AR177" s="2336"/>
      <c r="AS177" s="2336"/>
      <c r="AT177" s="2336" t="e">
        <f>SUM(#REF!)</f>
        <v>#REF!</v>
      </c>
      <c r="AV177" s="151" t="str">
        <f t="shared" ref="AV177:AV221" si="77">$D$177</f>
        <v>STRUCTURAL CONCRETE</v>
      </c>
      <c r="AW177" s="700"/>
      <c r="AX177" s="700"/>
      <c r="AY177" s="700"/>
      <c r="AZ177" s="701"/>
      <c r="BA177" s="49">
        <f>SUM(BA178:BA217)</f>
        <v>0</v>
      </c>
      <c r="BB177" s="49">
        <f>SUM(BB178:BB217)</f>
        <v>0</v>
      </c>
      <c r="BC177" s="49">
        <f>SUM(BC178:BC217)</f>
        <v>0</v>
      </c>
      <c r="BD177" s="49">
        <f>SUM(BD178:BD217)</f>
        <v>0</v>
      </c>
      <c r="BE177" s="49">
        <f>SUM(BE178:BE217)</f>
        <v>0</v>
      </c>
      <c r="BF177" s="49">
        <f t="shared" ref="BF177:BF215" si="78">AQ177</f>
        <v>0</v>
      </c>
      <c r="BG177" s="49">
        <f t="shared" ref="BG177:BG215" si="79">AM177</f>
        <v>0</v>
      </c>
      <c r="BI177" s="134">
        <f>AD177</f>
        <v>0</v>
      </c>
      <c r="BJ177" s="134">
        <f>AM177</f>
        <v>0</v>
      </c>
      <c r="BK177" s="134">
        <f>BJ177+BI177</f>
        <v>0</v>
      </c>
    </row>
    <row r="178" spans="1:63" hidden="1">
      <c r="A178" s="187"/>
      <c r="B178" s="2333"/>
      <c r="C178" s="2333"/>
      <c r="D178" s="2337" t="s">
        <v>460</v>
      </c>
      <c r="E178" s="2337"/>
      <c r="F178" s="2337"/>
      <c r="G178" s="2337"/>
      <c r="H178" s="2337"/>
      <c r="I178" s="2337"/>
      <c r="J178" s="2337"/>
      <c r="K178" s="2337"/>
      <c r="L178" s="2337"/>
      <c r="M178" s="2337"/>
      <c r="N178" s="2337"/>
      <c r="O178" s="2337"/>
      <c r="P178" s="2324"/>
      <c r="Q178" s="2324"/>
      <c r="R178" s="2325"/>
      <c r="S178" s="2324"/>
      <c r="T178" s="2324"/>
      <c r="U178" s="2326"/>
      <c r="V178" s="2327"/>
      <c r="W178" s="2327"/>
      <c r="X178" s="2327"/>
      <c r="Y178" s="2327"/>
      <c r="Z178" s="2327"/>
      <c r="AA178" s="2328"/>
      <c r="AB178" s="2329"/>
      <c r="AC178" s="2326"/>
      <c r="AD178" s="2330">
        <f t="shared" ref="AD178:AD215" si="80">((P178*U178)-AM178)</f>
        <v>0</v>
      </c>
      <c r="AE178" s="2330"/>
      <c r="AF178" s="2330"/>
      <c r="AG178" s="2330">
        <f>P178*X178*(1+$Y$85)</f>
        <v>0</v>
      </c>
      <c r="AH178" s="2330"/>
      <c r="AI178" s="2330"/>
      <c r="AJ178" s="2330">
        <f t="shared" ref="AJ178:AJ215" si="81">P178*AA178</f>
        <v>0</v>
      </c>
      <c r="AK178" s="2330"/>
      <c r="AL178" s="2330"/>
      <c r="AM178" s="2331">
        <f t="shared" ref="AM178:AM217" si="82">IF($B178="x",$P178*$U178,0)</f>
        <v>0</v>
      </c>
      <c r="AN178" s="2331"/>
      <c r="AO178" s="2331"/>
      <c r="AP178" s="2331"/>
      <c r="AQ178" s="2332">
        <f t="shared" ref="AQ178:AQ215" si="83">SUM(AD178:AL178)</f>
        <v>0</v>
      </c>
      <c r="AR178" s="2332"/>
      <c r="AS178" s="2332"/>
      <c r="AT178" s="2332">
        <f t="shared" ref="AT178:AT215" si="84">SUM(AD178:AL178)</f>
        <v>0</v>
      </c>
      <c r="AV178" s="151" t="str">
        <f t="shared" si="77"/>
        <v>STRUCTURAL CONCRETE</v>
      </c>
      <c r="AW178" s="681"/>
      <c r="AX178" s="230"/>
      <c r="AY178" s="230"/>
      <c r="AZ178" s="679"/>
      <c r="BA178" s="49">
        <f t="shared" ref="BA178:BA215" si="85">AD178</f>
        <v>0</v>
      </c>
      <c r="BB178" s="49">
        <f>AG178</f>
        <v>0</v>
      </c>
      <c r="BC178" s="49">
        <f>AJ178</f>
        <v>0</v>
      </c>
      <c r="BD178" s="49">
        <f t="shared" ref="BD178:BD215" si="86">IF(B178="x",1,0)</f>
        <v>0</v>
      </c>
      <c r="BE178" s="49">
        <f>SUM(BA178:BC178)</f>
        <v>0</v>
      </c>
      <c r="BF178" s="49">
        <f t="shared" si="78"/>
        <v>0</v>
      </c>
      <c r="BG178" s="49">
        <f t="shared" si="79"/>
        <v>0</v>
      </c>
      <c r="BI178" s="134">
        <f>AD178</f>
        <v>0</v>
      </c>
      <c r="BJ178" s="134">
        <f t="shared" ref="BJ178:BJ215" si="87">AM178</f>
        <v>0</v>
      </c>
      <c r="BK178" s="134">
        <f>BJ178+BI178</f>
        <v>0</v>
      </c>
    </row>
    <row r="179" spans="1:63" hidden="1">
      <c r="A179" s="187"/>
      <c r="B179" s="2333"/>
      <c r="C179" s="2333"/>
      <c r="D179" s="2338" t="s">
        <v>417</v>
      </c>
      <c r="E179" s="2338"/>
      <c r="F179" s="2338"/>
      <c r="G179" s="2338"/>
      <c r="H179" s="2338"/>
      <c r="I179" s="2338"/>
      <c r="J179" s="2338"/>
      <c r="K179" s="2338"/>
      <c r="L179" s="2338"/>
      <c r="M179" s="2338"/>
      <c r="N179" s="2338"/>
      <c r="O179" s="2338"/>
      <c r="P179" s="2324"/>
      <c r="Q179" s="2324"/>
      <c r="R179" s="2325"/>
      <c r="S179" s="2324" t="s">
        <v>3</v>
      </c>
      <c r="T179" s="2324" t="s">
        <v>3</v>
      </c>
      <c r="U179" s="2326"/>
      <c r="V179" s="2327"/>
      <c r="W179" s="2327"/>
      <c r="X179" s="2327"/>
      <c r="Y179" s="2327"/>
      <c r="Z179" s="2327"/>
      <c r="AA179" s="2328"/>
      <c r="AB179" s="2329"/>
      <c r="AC179" s="2326"/>
      <c r="AD179" s="2330">
        <f t="shared" si="80"/>
        <v>0</v>
      </c>
      <c r="AE179" s="2330"/>
      <c r="AF179" s="2330"/>
      <c r="AG179" s="2330">
        <f t="shared" ref="AG179:AG217" si="88">P179*X179*(1+$Y$85)</f>
        <v>0</v>
      </c>
      <c r="AH179" s="2330"/>
      <c r="AI179" s="2330"/>
      <c r="AJ179" s="2330">
        <f t="shared" si="81"/>
        <v>0</v>
      </c>
      <c r="AK179" s="2330"/>
      <c r="AL179" s="2330"/>
      <c r="AM179" s="2331">
        <f t="shared" si="82"/>
        <v>0</v>
      </c>
      <c r="AN179" s="2331"/>
      <c r="AO179" s="2331"/>
      <c r="AP179" s="2331"/>
      <c r="AQ179" s="2332">
        <f t="shared" si="83"/>
        <v>0</v>
      </c>
      <c r="AR179" s="2332"/>
      <c r="AS179" s="2332"/>
      <c r="AT179" s="2332">
        <f t="shared" si="84"/>
        <v>0</v>
      </c>
      <c r="AV179" s="151" t="str">
        <f t="shared" si="77"/>
        <v>STRUCTURAL CONCRETE</v>
      </c>
      <c r="AW179" s="681"/>
      <c r="AX179" s="230"/>
      <c r="AY179" s="230"/>
      <c r="AZ179" s="679"/>
      <c r="BA179" s="49">
        <f t="shared" si="85"/>
        <v>0</v>
      </c>
      <c r="BB179" s="49">
        <f t="shared" ref="BB179:BB215" si="89">AG179</f>
        <v>0</v>
      </c>
      <c r="BC179" s="49">
        <f t="shared" ref="BC179:BC215" si="90">AJ179</f>
        <v>0</v>
      </c>
      <c r="BD179" s="49">
        <f t="shared" si="86"/>
        <v>0</v>
      </c>
      <c r="BE179" s="49">
        <f t="shared" ref="BE179:BE195" si="91">SUM(BA179:BC179)</f>
        <v>0</v>
      </c>
      <c r="BF179" s="49">
        <f t="shared" si="78"/>
        <v>0</v>
      </c>
      <c r="BG179" s="49">
        <f t="shared" si="79"/>
        <v>0</v>
      </c>
      <c r="BI179" s="134">
        <f t="shared" ref="BI179:BI215" si="92">AD179</f>
        <v>0</v>
      </c>
      <c r="BJ179" s="134">
        <f t="shared" si="87"/>
        <v>0</v>
      </c>
      <c r="BK179" s="134">
        <f t="shared" ref="BK179:BK215" si="93">BJ179+BI179</f>
        <v>0</v>
      </c>
    </row>
    <row r="180" spans="1:63" hidden="1">
      <c r="A180" s="187"/>
      <c r="B180" s="2333"/>
      <c r="C180" s="2333"/>
      <c r="D180" s="2334" t="s">
        <v>416</v>
      </c>
      <c r="E180" s="2334"/>
      <c r="F180" s="2334"/>
      <c r="G180" s="2334"/>
      <c r="H180" s="2334"/>
      <c r="I180" s="2334"/>
      <c r="J180" s="2334"/>
      <c r="K180" s="2334"/>
      <c r="L180" s="2334"/>
      <c r="M180" s="2334"/>
      <c r="N180" s="2334"/>
      <c r="O180" s="2334"/>
      <c r="P180" s="2324"/>
      <c r="Q180" s="2324"/>
      <c r="R180" s="2325"/>
      <c r="S180" s="2324" t="s">
        <v>625</v>
      </c>
      <c r="T180" s="2324" t="s">
        <v>12</v>
      </c>
      <c r="U180" s="2326">
        <v>25</v>
      </c>
      <c r="V180" s="2327"/>
      <c r="W180" s="2327"/>
      <c r="X180" s="2327"/>
      <c r="Y180" s="2327"/>
      <c r="Z180" s="2327"/>
      <c r="AA180" s="2328"/>
      <c r="AB180" s="2329"/>
      <c r="AC180" s="2326"/>
      <c r="AD180" s="2330">
        <f t="shared" si="80"/>
        <v>0</v>
      </c>
      <c r="AE180" s="2330"/>
      <c r="AF180" s="2330"/>
      <c r="AG180" s="2330">
        <f t="shared" si="88"/>
        <v>0</v>
      </c>
      <c r="AH180" s="2330"/>
      <c r="AI180" s="2330"/>
      <c r="AJ180" s="2330">
        <f t="shared" si="81"/>
        <v>0</v>
      </c>
      <c r="AK180" s="2330"/>
      <c r="AL180" s="2330"/>
      <c r="AM180" s="2331">
        <f t="shared" si="82"/>
        <v>0</v>
      </c>
      <c r="AN180" s="2331"/>
      <c r="AO180" s="2331"/>
      <c r="AP180" s="2331"/>
      <c r="AQ180" s="2332">
        <f t="shared" si="83"/>
        <v>0</v>
      </c>
      <c r="AR180" s="2332"/>
      <c r="AS180" s="2332"/>
      <c r="AT180" s="2332">
        <f t="shared" si="84"/>
        <v>0</v>
      </c>
      <c r="AV180" s="151" t="str">
        <f t="shared" si="77"/>
        <v>STRUCTURAL CONCRETE</v>
      </c>
      <c r="AW180" s="681"/>
      <c r="AX180" s="230"/>
      <c r="AY180" s="230"/>
      <c r="AZ180" s="679"/>
      <c r="BA180" s="49">
        <f t="shared" si="85"/>
        <v>0</v>
      </c>
      <c r="BB180" s="49">
        <f t="shared" si="89"/>
        <v>0</v>
      </c>
      <c r="BC180" s="49">
        <f t="shared" si="90"/>
        <v>0</v>
      </c>
      <c r="BD180" s="49">
        <f t="shared" si="86"/>
        <v>0</v>
      </c>
      <c r="BE180" s="49">
        <f t="shared" si="91"/>
        <v>0</v>
      </c>
      <c r="BF180" s="49">
        <f t="shared" si="78"/>
        <v>0</v>
      </c>
      <c r="BG180" s="49">
        <f t="shared" si="79"/>
        <v>0</v>
      </c>
      <c r="BI180" s="134">
        <f t="shared" si="92"/>
        <v>0</v>
      </c>
      <c r="BJ180" s="134">
        <f t="shared" si="87"/>
        <v>0</v>
      </c>
      <c r="BK180" s="134">
        <f t="shared" si="93"/>
        <v>0</v>
      </c>
    </row>
    <row r="181" spans="1:63" hidden="1">
      <c r="A181" s="187"/>
      <c r="B181" s="2333"/>
      <c r="C181" s="2333"/>
      <c r="D181" s="2334" t="s">
        <v>418</v>
      </c>
      <c r="E181" s="2334"/>
      <c r="F181" s="2334"/>
      <c r="G181" s="2334"/>
      <c r="H181" s="2334"/>
      <c r="I181" s="2334"/>
      <c r="J181" s="2334"/>
      <c r="K181" s="2334"/>
      <c r="L181" s="2334"/>
      <c r="M181" s="2334"/>
      <c r="N181" s="2334"/>
      <c r="O181" s="2334"/>
      <c r="P181" s="2324"/>
      <c r="Q181" s="2324"/>
      <c r="R181" s="2325"/>
      <c r="S181" s="2324" t="s">
        <v>625</v>
      </c>
      <c r="T181" s="2324" t="s">
        <v>12</v>
      </c>
      <c r="U181" s="2326">
        <v>15</v>
      </c>
      <c r="V181" s="2327"/>
      <c r="W181" s="2327"/>
      <c r="X181" s="2327"/>
      <c r="Y181" s="2327"/>
      <c r="Z181" s="2327"/>
      <c r="AA181" s="2328"/>
      <c r="AB181" s="2329"/>
      <c r="AC181" s="2326"/>
      <c r="AD181" s="2330">
        <f t="shared" si="80"/>
        <v>0</v>
      </c>
      <c r="AE181" s="2330"/>
      <c r="AF181" s="2330"/>
      <c r="AG181" s="2330">
        <f t="shared" si="88"/>
        <v>0</v>
      </c>
      <c r="AH181" s="2330"/>
      <c r="AI181" s="2330"/>
      <c r="AJ181" s="2330">
        <f t="shared" si="81"/>
        <v>0</v>
      </c>
      <c r="AK181" s="2330"/>
      <c r="AL181" s="2330"/>
      <c r="AM181" s="2331">
        <f t="shared" si="82"/>
        <v>0</v>
      </c>
      <c r="AN181" s="2331"/>
      <c r="AO181" s="2331"/>
      <c r="AP181" s="2331"/>
      <c r="AQ181" s="2332">
        <f t="shared" si="83"/>
        <v>0</v>
      </c>
      <c r="AR181" s="2332"/>
      <c r="AS181" s="2332"/>
      <c r="AT181" s="2332">
        <f t="shared" si="84"/>
        <v>0</v>
      </c>
      <c r="AV181" s="151" t="str">
        <f t="shared" si="77"/>
        <v>STRUCTURAL CONCRETE</v>
      </c>
      <c r="AW181" s="681"/>
      <c r="AX181" s="230"/>
      <c r="AY181" s="230"/>
      <c r="AZ181" s="679"/>
      <c r="BA181" s="49">
        <f t="shared" si="85"/>
        <v>0</v>
      </c>
      <c r="BB181" s="49">
        <f t="shared" si="89"/>
        <v>0</v>
      </c>
      <c r="BC181" s="49">
        <f t="shared" si="90"/>
        <v>0</v>
      </c>
      <c r="BD181" s="49">
        <f t="shared" si="86"/>
        <v>0</v>
      </c>
      <c r="BE181" s="49">
        <f t="shared" si="91"/>
        <v>0</v>
      </c>
      <c r="BF181" s="49">
        <f t="shared" si="78"/>
        <v>0</v>
      </c>
      <c r="BG181" s="49">
        <f t="shared" si="79"/>
        <v>0</v>
      </c>
      <c r="BI181" s="134">
        <f t="shared" si="92"/>
        <v>0</v>
      </c>
      <c r="BJ181" s="134">
        <f t="shared" si="87"/>
        <v>0</v>
      </c>
      <c r="BK181" s="134">
        <f t="shared" si="93"/>
        <v>0</v>
      </c>
    </row>
    <row r="182" spans="1:63" hidden="1">
      <c r="A182" s="187"/>
      <c r="B182" s="2333"/>
      <c r="C182" s="2333"/>
      <c r="D182" s="2334"/>
      <c r="E182" s="2334"/>
      <c r="F182" s="2334"/>
      <c r="G182" s="2334"/>
      <c r="H182" s="2334"/>
      <c r="I182" s="2334"/>
      <c r="J182" s="2334"/>
      <c r="K182" s="2334"/>
      <c r="L182" s="2334"/>
      <c r="M182" s="2334"/>
      <c r="N182" s="2334"/>
      <c r="O182" s="2334"/>
      <c r="P182" s="2324"/>
      <c r="Q182" s="2324"/>
      <c r="R182" s="2325"/>
      <c r="S182" s="2324"/>
      <c r="T182" s="2324"/>
      <c r="U182" s="2326"/>
      <c r="V182" s="2327"/>
      <c r="W182" s="2327"/>
      <c r="X182" s="2327"/>
      <c r="Y182" s="2327"/>
      <c r="Z182" s="2327"/>
      <c r="AA182" s="2328"/>
      <c r="AB182" s="2329"/>
      <c r="AC182" s="2326"/>
      <c r="AD182" s="2330">
        <f t="shared" si="80"/>
        <v>0</v>
      </c>
      <c r="AE182" s="2330"/>
      <c r="AF182" s="2330"/>
      <c r="AG182" s="2330">
        <f t="shared" si="88"/>
        <v>0</v>
      </c>
      <c r="AH182" s="2330"/>
      <c r="AI182" s="2330"/>
      <c r="AJ182" s="2330">
        <f t="shared" si="81"/>
        <v>0</v>
      </c>
      <c r="AK182" s="2330"/>
      <c r="AL182" s="2330"/>
      <c r="AM182" s="2331">
        <f t="shared" si="82"/>
        <v>0</v>
      </c>
      <c r="AN182" s="2331"/>
      <c r="AO182" s="2331"/>
      <c r="AP182" s="2331"/>
      <c r="AQ182" s="2332">
        <f t="shared" si="83"/>
        <v>0</v>
      </c>
      <c r="AR182" s="2332"/>
      <c r="AS182" s="2332"/>
      <c r="AT182" s="2332">
        <f t="shared" si="84"/>
        <v>0</v>
      </c>
      <c r="AV182" s="151" t="str">
        <f t="shared" si="77"/>
        <v>STRUCTURAL CONCRETE</v>
      </c>
      <c r="AW182" s="681"/>
      <c r="AX182" s="230"/>
      <c r="AY182" s="230"/>
      <c r="AZ182" s="679"/>
      <c r="BA182" s="49">
        <f t="shared" si="85"/>
        <v>0</v>
      </c>
      <c r="BB182" s="49">
        <f t="shared" si="89"/>
        <v>0</v>
      </c>
      <c r="BC182" s="49">
        <f t="shared" si="90"/>
        <v>0</v>
      </c>
      <c r="BD182" s="49">
        <f t="shared" si="86"/>
        <v>0</v>
      </c>
      <c r="BE182" s="49">
        <f t="shared" si="91"/>
        <v>0</v>
      </c>
      <c r="BF182" s="49">
        <f t="shared" si="78"/>
        <v>0</v>
      </c>
      <c r="BG182" s="49">
        <f t="shared" si="79"/>
        <v>0</v>
      </c>
      <c r="BI182" s="134">
        <f t="shared" si="92"/>
        <v>0</v>
      </c>
      <c r="BJ182" s="134">
        <f t="shared" si="87"/>
        <v>0</v>
      </c>
      <c r="BK182" s="134">
        <f t="shared" si="93"/>
        <v>0</v>
      </c>
    </row>
    <row r="183" spans="1:63" hidden="1">
      <c r="A183" s="187"/>
      <c r="B183" s="2333"/>
      <c r="C183" s="2333"/>
      <c r="D183" s="2334"/>
      <c r="E183" s="2334"/>
      <c r="F183" s="2334"/>
      <c r="G183" s="2334"/>
      <c r="H183" s="2334"/>
      <c r="I183" s="2334"/>
      <c r="J183" s="2334"/>
      <c r="K183" s="2334"/>
      <c r="L183" s="2334"/>
      <c r="M183" s="2334"/>
      <c r="N183" s="2334"/>
      <c r="O183" s="2334"/>
      <c r="P183" s="2324"/>
      <c r="Q183" s="2324"/>
      <c r="R183" s="2325"/>
      <c r="S183" s="2324"/>
      <c r="T183" s="2324"/>
      <c r="U183" s="2326"/>
      <c r="V183" s="2327"/>
      <c r="W183" s="2327"/>
      <c r="X183" s="2327"/>
      <c r="Y183" s="2327"/>
      <c r="Z183" s="2327"/>
      <c r="AA183" s="2328"/>
      <c r="AB183" s="2329"/>
      <c r="AC183" s="2326"/>
      <c r="AD183" s="2330">
        <f t="shared" si="80"/>
        <v>0</v>
      </c>
      <c r="AE183" s="2330"/>
      <c r="AF183" s="2330"/>
      <c r="AG183" s="2330">
        <f t="shared" si="88"/>
        <v>0</v>
      </c>
      <c r="AH183" s="2330"/>
      <c r="AI183" s="2330"/>
      <c r="AJ183" s="2330">
        <f t="shared" si="81"/>
        <v>0</v>
      </c>
      <c r="AK183" s="2330"/>
      <c r="AL183" s="2330"/>
      <c r="AM183" s="2331">
        <f t="shared" si="82"/>
        <v>0</v>
      </c>
      <c r="AN183" s="2331"/>
      <c r="AO183" s="2331"/>
      <c r="AP183" s="2331"/>
      <c r="AQ183" s="2332">
        <f t="shared" si="83"/>
        <v>0</v>
      </c>
      <c r="AR183" s="2332"/>
      <c r="AS183" s="2332"/>
      <c r="AT183" s="2332">
        <f t="shared" si="84"/>
        <v>0</v>
      </c>
      <c r="AV183" s="151" t="str">
        <f t="shared" si="77"/>
        <v>STRUCTURAL CONCRETE</v>
      </c>
      <c r="AW183" s="681"/>
      <c r="AX183" s="230"/>
      <c r="AY183" s="230"/>
      <c r="AZ183" s="679"/>
      <c r="BA183" s="49">
        <f t="shared" si="85"/>
        <v>0</v>
      </c>
      <c r="BB183" s="49">
        <f t="shared" si="89"/>
        <v>0</v>
      </c>
      <c r="BC183" s="49">
        <f t="shared" si="90"/>
        <v>0</v>
      </c>
      <c r="BD183" s="49">
        <f t="shared" si="86"/>
        <v>0</v>
      </c>
      <c r="BE183" s="49">
        <f t="shared" si="91"/>
        <v>0</v>
      </c>
      <c r="BF183" s="49">
        <f t="shared" si="78"/>
        <v>0</v>
      </c>
      <c r="BG183" s="49">
        <f t="shared" si="79"/>
        <v>0</v>
      </c>
      <c r="BI183" s="134">
        <f t="shared" si="92"/>
        <v>0</v>
      </c>
      <c r="BJ183" s="134">
        <f t="shared" si="87"/>
        <v>0</v>
      </c>
      <c r="BK183" s="134">
        <f t="shared" si="93"/>
        <v>0</v>
      </c>
    </row>
    <row r="184" spans="1:63" hidden="1">
      <c r="A184" s="187"/>
      <c r="B184" s="2333"/>
      <c r="C184" s="2333"/>
      <c r="D184" s="2337" t="s">
        <v>415</v>
      </c>
      <c r="E184" s="2337"/>
      <c r="F184" s="2337"/>
      <c r="G184" s="2337"/>
      <c r="H184" s="2337"/>
      <c r="I184" s="2337"/>
      <c r="J184" s="2337"/>
      <c r="K184" s="2337"/>
      <c r="L184" s="2337"/>
      <c r="M184" s="2337"/>
      <c r="N184" s="2337"/>
      <c r="O184" s="2337"/>
      <c r="P184" s="2324"/>
      <c r="Q184" s="2324"/>
      <c r="R184" s="2325"/>
      <c r="S184" s="2324"/>
      <c r="T184" s="2324"/>
      <c r="U184" s="2326"/>
      <c r="V184" s="2327"/>
      <c r="W184" s="2327"/>
      <c r="X184" s="2327"/>
      <c r="Y184" s="2327"/>
      <c r="Z184" s="2327"/>
      <c r="AA184" s="2328"/>
      <c r="AB184" s="2329"/>
      <c r="AC184" s="2326"/>
      <c r="AD184" s="2330">
        <f t="shared" si="80"/>
        <v>0</v>
      </c>
      <c r="AE184" s="2330"/>
      <c r="AF184" s="2330"/>
      <c r="AG184" s="2330">
        <f t="shared" si="88"/>
        <v>0</v>
      </c>
      <c r="AH184" s="2330"/>
      <c r="AI184" s="2330"/>
      <c r="AJ184" s="2330">
        <f t="shared" si="81"/>
        <v>0</v>
      </c>
      <c r="AK184" s="2330"/>
      <c r="AL184" s="2330"/>
      <c r="AM184" s="2331">
        <f t="shared" si="82"/>
        <v>0</v>
      </c>
      <c r="AN184" s="2331"/>
      <c r="AO184" s="2331"/>
      <c r="AP184" s="2331"/>
      <c r="AQ184" s="2332">
        <f t="shared" si="83"/>
        <v>0</v>
      </c>
      <c r="AR184" s="2332"/>
      <c r="AS184" s="2332"/>
      <c r="AT184" s="2332">
        <f t="shared" si="84"/>
        <v>0</v>
      </c>
      <c r="AV184" s="151" t="str">
        <f t="shared" si="77"/>
        <v>STRUCTURAL CONCRETE</v>
      </c>
      <c r="AW184" s="681"/>
      <c r="AX184" s="230"/>
      <c r="AY184" s="230"/>
      <c r="AZ184" s="679"/>
      <c r="BA184" s="49">
        <f t="shared" si="85"/>
        <v>0</v>
      </c>
      <c r="BB184" s="49">
        <f t="shared" si="89"/>
        <v>0</v>
      </c>
      <c r="BC184" s="49">
        <f t="shared" si="90"/>
        <v>0</v>
      </c>
      <c r="BD184" s="49">
        <f t="shared" si="86"/>
        <v>0</v>
      </c>
      <c r="BE184" s="49">
        <f t="shared" si="91"/>
        <v>0</v>
      </c>
      <c r="BF184" s="49">
        <f t="shared" si="78"/>
        <v>0</v>
      </c>
      <c r="BG184" s="49">
        <f t="shared" si="79"/>
        <v>0</v>
      </c>
      <c r="BI184" s="134">
        <f t="shared" si="92"/>
        <v>0</v>
      </c>
      <c r="BJ184" s="134">
        <f t="shared" si="87"/>
        <v>0</v>
      </c>
      <c r="BK184" s="134">
        <f t="shared" si="93"/>
        <v>0</v>
      </c>
    </row>
    <row r="185" spans="1:63" hidden="1">
      <c r="A185" s="187"/>
      <c r="B185" s="2333"/>
      <c r="C185" s="2333"/>
      <c r="D185" s="2338" t="s">
        <v>459</v>
      </c>
      <c r="E185" s="2338"/>
      <c r="F185" s="2338"/>
      <c r="G185" s="2338"/>
      <c r="H185" s="2338"/>
      <c r="I185" s="2338"/>
      <c r="J185" s="2338"/>
      <c r="K185" s="2338"/>
      <c r="L185" s="2338"/>
      <c r="M185" s="2338"/>
      <c r="N185" s="2338"/>
      <c r="O185" s="2338"/>
      <c r="P185" s="2324"/>
      <c r="Q185" s="2324"/>
      <c r="R185" s="2325"/>
      <c r="S185" s="2324" t="s">
        <v>3</v>
      </c>
      <c r="T185" s="2324" t="s">
        <v>3</v>
      </c>
      <c r="U185" s="2326"/>
      <c r="V185" s="2327"/>
      <c r="W185" s="2327"/>
      <c r="X185" s="2327"/>
      <c r="Y185" s="2327"/>
      <c r="Z185" s="2327"/>
      <c r="AA185" s="2328"/>
      <c r="AB185" s="2329"/>
      <c r="AC185" s="2326"/>
      <c r="AD185" s="2330">
        <f t="shared" si="80"/>
        <v>0</v>
      </c>
      <c r="AE185" s="2330"/>
      <c r="AF185" s="2330"/>
      <c r="AG185" s="2330">
        <f t="shared" si="88"/>
        <v>0</v>
      </c>
      <c r="AH185" s="2330"/>
      <c r="AI185" s="2330"/>
      <c r="AJ185" s="2330">
        <f t="shared" si="81"/>
        <v>0</v>
      </c>
      <c r="AK185" s="2330"/>
      <c r="AL185" s="2330"/>
      <c r="AM185" s="2331">
        <f t="shared" si="82"/>
        <v>0</v>
      </c>
      <c r="AN185" s="2331"/>
      <c r="AO185" s="2331"/>
      <c r="AP185" s="2331"/>
      <c r="AQ185" s="2332">
        <f t="shared" si="83"/>
        <v>0</v>
      </c>
      <c r="AR185" s="2332"/>
      <c r="AS185" s="2332"/>
      <c r="AT185" s="2332">
        <f t="shared" si="84"/>
        <v>0</v>
      </c>
      <c r="AV185" s="151" t="str">
        <f t="shared" si="77"/>
        <v>STRUCTURAL CONCRETE</v>
      </c>
      <c r="AW185" s="681"/>
      <c r="AX185" s="230"/>
      <c r="AY185" s="230"/>
      <c r="AZ185" s="679"/>
      <c r="BA185" s="49">
        <f t="shared" si="85"/>
        <v>0</v>
      </c>
      <c r="BB185" s="49">
        <f t="shared" si="89"/>
        <v>0</v>
      </c>
      <c r="BC185" s="49">
        <f t="shared" si="90"/>
        <v>0</v>
      </c>
      <c r="BD185" s="49">
        <f t="shared" si="86"/>
        <v>0</v>
      </c>
      <c r="BE185" s="49">
        <f t="shared" si="91"/>
        <v>0</v>
      </c>
      <c r="BF185" s="49">
        <f t="shared" si="78"/>
        <v>0</v>
      </c>
      <c r="BG185" s="49">
        <f t="shared" si="79"/>
        <v>0</v>
      </c>
      <c r="BI185" s="134">
        <f t="shared" si="92"/>
        <v>0</v>
      </c>
      <c r="BJ185" s="134">
        <f t="shared" si="87"/>
        <v>0</v>
      </c>
      <c r="BK185" s="134">
        <f t="shared" si="93"/>
        <v>0</v>
      </c>
    </row>
    <row r="186" spans="1:63" hidden="1">
      <c r="A186" s="187"/>
      <c r="B186" s="2333"/>
      <c r="C186" s="2333"/>
      <c r="D186" s="2334" t="s">
        <v>419</v>
      </c>
      <c r="E186" s="2334"/>
      <c r="F186" s="2334"/>
      <c r="G186" s="2334"/>
      <c r="H186" s="2334"/>
      <c r="I186" s="2334"/>
      <c r="J186" s="2334"/>
      <c r="K186" s="2334"/>
      <c r="L186" s="2334"/>
      <c r="M186" s="2334"/>
      <c r="N186" s="2334"/>
      <c r="O186" s="2334"/>
      <c r="P186" s="2324"/>
      <c r="Q186" s="2324"/>
      <c r="R186" s="2325"/>
      <c r="S186" s="2324" t="s">
        <v>11</v>
      </c>
      <c r="T186" s="2324" t="s">
        <v>3</v>
      </c>
      <c r="U186" s="2326">
        <v>3</v>
      </c>
      <c r="V186" s="2327"/>
      <c r="W186" s="2327"/>
      <c r="X186" s="2327">
        <v>2.5</v>
      </c>
      <c r="Y186" s="2327"/>
      <c r="Z186" s="2327">
        <v>2.5</v>
      </c>
      <c r="AA186" s="2328"/>
      <c r="AB186" s="2329"/>
      <c r="AC186" s="2326"/>
      <c r="AD186" s="2330">
        <f t="shared" si="80"/>
        <v>0</v>
      </c>
      <c r="AE186" s="2330"/>
      <c r="AF186" s="2330"/>
      <c r="AG186" s="2330">
        <f t="shared" si="88"/>
        <v>0</v>
      </c>
      <c r="AH186" s="2330"/>
      <c r="AI186" s="2330"/>
      <c r="AJ186" s="2330">
        <f t="shared" si="81"/>
        <v>0</v>
      </c>
      <c r="AK186" s="2330"/>
      <c r="AL186" s="2330"/>
      <c r="AM186" s="2331">
        <f t="shared" si="82"/>
        <v>0</v>
      </c>
      <c r="AN186" s="2331"/>
      <c r="AO186" s="2331"/>
      <c r="AP186" s="2331"/>
      <c r="AQ186" s="2332">
        <f t="shared" si="83"/>
        <v>0</v>
      </c>
      <c r="AR186" s="2332"/>
      <c r="AS186" s="2332"/>
      <c r="AT186" s="2332">
        <f t="shared" si="84"/>
        <v>0</v>
      </c>
      <c r="AV186" s="151" t="str">
        <f t="shared" si="77"/>
        <v>STRUCTURAL CONCRETE</v>
      </c>
      <c r="AW186" s="681"/>
      <c r="AX186" s="230"/>
      <c r="AY186" s="230"/>
      <c r="AZ186" s="679"/>
      <c r="BA186" s="49">
        <f t="shared" si="85"/>
        <v>0</v>
      </c>
      <c r="BB186" s="49">
        <f t="shared" si="89"/>
        <v>0</v>
      </c>
      <c r="BC186" s="49">
        <f t="shared" si="90"/>
        <v>0</v>
      </c>
      <c r="BD186" s="49">
        <f t="shared" si="86"/>
        <v>0</v>
      </c>
      <c r="BE186" s="49">
        <f t="shared" si="91"/>
        <v>0</v>
      </c>
      <c r="BF186" s="49">
        <f t="shared" si="78"/>
        <v>0</v>
      </c>
      <c r="BG186" s="49">
        <f t="shared" si="79"/>
        <v>0</v>
      </c>
      <c r="BI186" s="134">
        <f t="shared" si="92"/>
        <v>0</v>
      </c>
      <c r="BJ186" s="134">
        <f t="shared" si="87"/>
        <v>0</v>
      </c>
      <c r="BK186" s="134">
        <f t="shared" si="93"/>
        <v>0</v>
      </c>
    </row>
    <row r="187" spans="1:63" hidden="1">
      <c r="A187" s="187"/>
      <c r="B187" s="2333"/>
      <c r="C187" s="2333"/>
      <c r="D187" s="2334" t="s">
        <v>426</v>
      </c>
      <c r="E187" s="2334"/>
      <c r="F187" s="2334"/>
      <c r="G187" s="2334"/>
      <c r="H187" s="2334"/>
      <c r="I187" s="2334"/>
      <c r="J187" s="2334"/>
      <c r="K187" s="2334"/>
      <c r="L187" s="2334"/>
      <c r="M187" s="2334"/>
      <c r="N187" s="2334"/>
      <c r="O187" s="2334"/>
      <c r="P187" s="2324"/>
      <c r="Q187" s="2324"/>
      <c r="R187" s="2325"/>
      <c r="S187" s="2324" t="s">
        <v>12</v>
      </c>
      <c r="T187" s="2324" t="s">
        <v>12</v>
      </c>
      <c r="U187" s="2326">
        <v>25</v>
      </c>
      <c r="V187" s="2327"/>
      <c r="W187" s="2327"/>
      <c r="X187" s="2327">
        <v>15</v>
      </c>
      <c r="Y187" s="2327"/>
      <c r="Z187" s="2327">
        <v>10</v>
      </c>
      <c r="AA187" s="2328"/>
      <c r="AB187" s="2329"/>
      <c r="AC187" s="2326"/>
      <c r="AD187" s="2330">
        <f t="shared" si="80"/>
        <v>0</v>
      </c>
      <c r="AE187" s="2330"/>
      <c r="AF187" s="2330"/>
      <c r="AG187" s="2330">
        <f t="shared" si="88"/>
        <v>0</v>
      </c>
      <c r="AH187" s="2330"/>
      <c r="AI187" s="2330"/>
      <c r="AJ187" s="2330">
        <f t="shared" si="81"/>
        <v>0</v>
      </c>
      <c r="AK187" s="2330"/>
      <c r="AL187" s="2330"/>
      <c r="AM187" s="2331">
        <f t="shared" si="82"/>
        <v>0</v>
      </c>
      <c r="AN187" s="2331"/>
      <c r="AO187" s="2331"/>
      <c r="AP187" s="2331"/>
      <c r="AQ187" s="2332">
        <f t="shared" si="83"/>
        <v>0</v>
      </c>
      <c r="AR187" s="2332"/>
      <c r="AS187" s="2332"/>
      <c r="AT187" s="2332">
        <f t="shared" si="84"/>
        <v>0</v>
      </c>
      <c r="AV187" s="151" t="str">
        <f t="shared" si="77"/>
        <v>STRUCTURAL CONCRETE</v>
      </c>
      <c r="AW187" s="681"/>
      <c r="AX187" s="230"/>
      <c r="AY187" s="230"/>
      <c r="AZ187" s="679"/>
      <c r="BA187" s="49">
        <f t="shared" si="85"/>
        <v>0</v>
      </c>
      <c r="BB187" s="49">
        <f t="shared" si="89"/>
        <v>0</v>
      </c>
      <c r="BC187" s="49">
        <f t="shared" si="90"/>
        <v>0</v>
      </c>
      <c r="BD187" s="49">
        <f t="shared" si="86"/>
        <v>0</v>
      </c>
      <c r="BE187" s="49">
        <f t="shared" si="91"/>
        <v>0</v>
      </c>
      <c r="BF187" s="49">
        <f t="shared" si="78"/>
        <v>0</v>
      </c>
      <c r="BG187" s="49">
        <f t="shared" si="79"/>
        <v>0</v>
      </c>
      <c r="BI187" s="134">
        <f t="shared" si="92"/>
        <v>0</v>
      </c>
      <c r="BJ187" s="134">
        <f t="shared" si="87"/>
        <v>0</v>
      </c>
      <c r="BK187" s="134">
        <f t="shared" si="93"/>
        <v>0</v>
      </c>
    </row>
    <row r="188" spans="1:63" hidden="1">
      <c r="A188" s="187"/>
      <c r="B188" s="2333"/>
      <c r="C188" s="2333"/>
      <c r="D188" s="2334" t="s">
        <v>420</v>
      </c>
      <c r="E188" s="2334"/>
      <c r="F188" s="2334"/>
      <c r="G188" s="2334"/>
      <c r="H188" s="2334"/>
      <c r="I188" s="2334"/>
      <c r="J188" s="2334"/>
      <c r="K188" s="2334"/>
      <c r="L188" s="2334"/>
      <c r="M188" s="2334"/>
      <c r="N188" s="2334"/>
      <c r="O188" s="2334"/>
      <c r="P188" s="2324"/>
      <c r="Q188" s="2324"/>
      <c r="R188" s="2325"/>
      <c r="S188" s="2324" t="s">
        <v>12</v>
      </c>
      <c r="T188" s="2324" t="s">
        <v>12</v>
      </c>
      <c r="U188" s="2326">
        <v>115</v>
      </c>
      <c r="V188" s="2327"/>
      <c r="W188" s="2327"/>
      <c r="X188" s="2327">
        <v>30</v>
      </c>
      <c r="Y188" s="2327"/>
      <c r="Z188" s="2327">
        <v>30</v>
      </c>
      <c r="AA188" s="2328"/>
      <c r="AB188" s="2329"/>
      <c r="AC188" s="2326"/>
      <c r="AD188" s="2330">
        <f t="shared" si="80"/>
        <v>0</v>
      </c>
      <c r="AE188" s="2330"/>
      <c r="AF188" s="2330"/>
      <c r="AG188" s="2330">
        <f t="shared" si="88"/>
        <v>0</v>
      </c>
      <c r="AH188" s="2330"/>
      <c r="AI188" s="2330"/>
      <c r="AJ188" s="2330">
        <f t="shared" si="81"/>
        <v>0</v>
      </c>
      <c r="AK188" s="2330"/>
      <c r="AL188" s="2330"/>
      <c r="AM188" s="2331">
        <f t="shared" si="82"/>
        <v>0</v>
      </c>
      <c r="AN188" s="2331"/>
      <c r="AO188" s="2331"/>
      <c r="AP188" s="2331"/>
      <c r="AQ188" s="2332">
        <f t="shared" si="83"/>
        <v>0</v>
      </c>
      <c r="AR188" s="2332"/>
      <c r="AS188" s="2332"/>
      <c r="AT188" s="2332">
        <f t="shared" si="84"/>
        <v>0</v>
      </c>
      <c r="AV188" s="151" t="str">
        <f t="shared" si="77"/>
        <v>STRUCTURAL CONCRETE</v>
      </c>
      <c r="AW188" s="681"/>
      <c r="AX188" s="230"/>
      <c r="AY188" s="230"/>
      <c r="AZ188" s="679"/>
      <c r="BA188" s="49">
        <f t="shared" si="85"/>
        <v>0</v>
      </c>
      <c r="BB188" s="49">
        <f t="shared" si="89"/>
        <v>0</v>
      </c>
      <c r="BC188" s="49">
        <f t="shared" si="90"/>
        <v>0</v>
      </c>
      <c r="BD188" s="49">
        <f t="shared" si="86"/>
        <v>0</v>
      </c>
      <c r="BE188" s="49">
        <f t="shared" si="91"/>
        <v>0</v>
      </c>
      <c r="BF188" s="49">
        <f t="shared" si="78"/>
        <v>0</v>
      </c>
      <c r="BG188" s="49">
        <f t="shared" si="79"/>
        <v>0</v>
      </c>
      <c r="BI188" s="134">
        <f t="shared" si="92"/>
        <v>0</v>
      </c>
      <c r="BJ188" s="134">
        <f t="shared" si="87"/>
        <v>0</v>
      </c>
      <c r="BK188" s="134">
        <f t="shared" si="93"/>
        <v>0</v>
      </c>
    </row>
    <row r="189" spans="1:63" hidden="1">
      <c r="A189" s="187"/>
      <c r="B189" s="2333"/>
      <c r="C189" s="2333"/>
      <c r="D189" s="2334"/>
      <c r="E189" s="2334"/>
      <c r="F189" s="2334"/>
      <c r="G189" s="2334"/>
      <c r="H189" s="2334"/>
      <c r="I189" s="2334"/>
      <c r="J189" s="2334"/>
      <c r="K189" s="2334"/>
      <c r="L189" s="2334"/>
      <c r="M189" s="2334"/>
      <c r="N189" s="2334"/>
      <c r="O189" s="2334"/>
      <c r="P189" s="2324"/>
      <c r="Q189" s="2324"/>
      <c r="R189" s="2325"/>
      <c r="S189" s="2324"/>
      <c r="T189" s="2324"/>
      <c r="U189" s="2326"/>
      <c r="V189" s="2327"/>
      <c r="W189" s="2327"/>
      <c r="X189" s="2327"/>
      <c r="Y189" s="2327"/>
      <c r="Z189" s="2327"/>
      <c r="AA189" s="2328"/>
      <c r="AB189" s="2329"/>
      <c r="AC189" s="2326"/>
      <c r="AD189" s="2330">
        <f t="shared" si="80"/>
        <v>0</v>
      </c>
      <c r="AE189" s="2330"/>
      <c r="AF189" s="2330"/>
      <c r="AG189" s="2330">
        <f t="shared" si="88"/>
        <v>0</v>
      </c>
      <c r="AH189" s="2330"/>
      <c r="AI189" s="2330"/>
      <c r="AJ189" s="2330">
        <f t="shared" si="81"/>
        <v>0</v>
      </c>
      <c r="AK189" s="2330"/>
      <c r="AL189" s="2330"/>
      <c r="AM189" s="2331">
        <f t="shared" si="82"/>
        <v>0</v>
      </c>
      <c r="AN189" s="2331"/>
      <c r="AO189" s="2331"/>
      <c r="AP189" s="2331"/>
      <c r="AQ189" s="2332">
        <f t="shared" si="83"/>
        <v>0</v>
      </c>
      <c r="AR189" s="2332"/>
      <c r="AS189" s="2332"/>
      <c r="AT189" s="2332">
        <f t="shared" si="84"/>
        <v>0</v>
      </c>
      <c r="AV189" s="151" t="str">
        <f t="shared" si="77"/>
        <v>STRUCTURAL CONCRETE</v>
      </c>
      <c r="AW189" s="681"/>
      <c r="AX189" s="230"/>
      <c r="AY189" s="230"/>
      <c r="AZ189" s="679"/>
      <c r="BA189" s="49">
        <f t="shared" si="85"/>
        <v>0</v>
      </c>
      <c r="BB189" s="49">
        <f t="shared" si="89"/>
        <v>0</v>
      </c>
      <c r="BC189" s="49">
        <f t="shared" si="90"/>
        <v>0</v>
      </c>
      <c r="BD189" s="49">
        <f t="shared" si="86"/>
        <v>0</v>
      </c>
      <c r="BE189" s="49">
        <f t="shared" si="91"/>
        <v>0</v>
      </c>
      <c r="BF189" s="49">
        <f t="shared" si="78"/>
        <v>0</v>
      </c>
      <c r="BG189" s="49">
        <f t="shared" si="79"/>
        <v>0</v>
      </c>
      <c r="BI189" s="134">
        <f t="shared" si="92"/>
        <v>0</v>
      </c>
      <c r="BJ189" s="134">
        <f t="shared" si="87"/>
        <v>0</v>
      </c>
      <c r="BK189" s="134">
        <f t="shared" si="93"/>
        <v>0</v>
      </c>
    </row>
    <row r="190" spans="1:63" hidden="1">
      <c r="A190" s="187"/>
      <c r="B190" s="2333"/>
      <c r="C190" s="2333"/>
      <c r="D190" s="2349"/>
      <c r="E190" s="2349"/>
      <c r="F190" s="2349"/>
      <c r="G190" s="2349"/>
      <c r="H190" s="2349"/>
      <c r="I190" s="2349"/>
      <c r="J190" s="2349"/>
      <c r="K190" s="2349"/>
      <c r="L190" s="2349"/>
      <c r="M190" s="2349"/>
      <c r="N190" s="2349"/>
      <c r="O190" s="2349"/>
      <c r="P190" s="2324"/>
      <c r="Q190" s="2324"/>
      <c r="R190" s="2325"/>
      <c r="S190" s="2324"/>
      <c r="T190" s="2324"/>
      <c r="U190" s="2326"/>
      <c r="V190" s="2327"/>
      <c r="W190" s="2327"/>
      <c r="X190" s="2327"/>
      <c r="Y190" s="2327"/>
      <c r="Z190" s="2327"/>
      <c r="AA190" s="2328"/>
      <c r="AB190" s="2329"/>
      <c r="AC190" s="2326"/>
      <c r="AD190" s="2330">
        <f t="shared" si="80"/>
        <v>0</v>
      </c>
      <c r="AE190" s="2330"/>
      <c r="AF190" s="2330"/>
      <c r="AG190" s="2330">
        <f t="shared" si="88"/>
        <v>0</v>
      </c>
      <c r="AH190" s="2330"/>
      <c r="AI190" s="2330"/>
      <c r="AJ190" s="2330">
        <f t="shared" si="81"/>
        <v>0</v>
      </c>
      <c r="AK190" s="2330"/>
      <c r="AL190" s="2330"/>
      <c r="AM190" s="2331">
        <f t="shared" si="82"/>
        <v>0</v>
      </c>
      <c r="AN190" s="2331"/>
      <c r="AO190" s="2331"/>
      <c r="AP190" s="2331"/>
      <c r="AQ190" s="2332">
        <f t="shared" si="83"/>
        <v>0</v>
      </c>
      <c r="AR190" s="2332"/>
      <c r="AS190" s="2332"/>
      <c r="AT190" s="2332">
        <f t="shared" si="84"/>
        <v>0</v>
      </c>
      <c r="AV190" s="151" t="str">
        <f t="shared" si="77"/>
        <v>STRUCTURAL CONCRETE</v>
      </c>
      <c r="AW190" s="681"/>
      <c r="AX190" s="230"/>
      <c r="AY190" s="230"/>
      <c r="AZ190" s="679"/>
      <c r="BA190" s="49">
        <f t="shared" si="85"/>
        <v>0</v>
      </c>
      <c r="BB190" s="49">
        <f t="shared" si="89"/>
        <v>0</v>
      </c>
      <c r="BC190" s="49">
        <f t="shared" si="90"/>
        <v>0</v>
      </c>
      <c r="BD190" s="49">
        <f t="shared" si="86"/>
        <v>0</v>
      </c>
      <c r="BE190" s="49">
        <f t="shared" si="91"/>
        <v>0</v>
      </c>
      <c r="BF190" s="49">
        <f t="shared" si="78"/>
        <v>0</v>
      </c>
      <c r="BG190" s="49">
        <f t="shared" si="79"/>
        <v>0</v>
      </c>
      <c r="BI190" s="134">
        <f t="shared" si="92"/>
        <v>0</v>
      </c>
      <c r="BJ190" s="134">
        <f t="shared" si="87"/>
        <v>0</v>
      </c>
      <c r="BK190" s="134">
        <f t="shared" si="93"/>
        <v>0</v>
      </c>
    </row>
    <row r="191" spans="1:63" hidden="1">
      <c r="A191" s="187"/>
      <c r="B191" s="2333"/>
      <c r="C191" s="2333"/>
      <c r="D191" s="2337" t="s">
        <v>372</v>
      </c>
      <c r="E191" s="2337"/>
      <c r="F191" s="2337"/>
      <c r="G191" s="2337"/>
      <c r="H191" s="2337"/>
      <c r="I191" s="2337"/>
      <c r="J191" s="2337"/>
      <c r="K191" s="2337"/>
      <c r="L191" s="2337"/>
      <c r="M191" s="2337"/>
      <c r="N191" s="2337"/>
      <c r="O191" s="2337"/>
      <c r="P191" s="2324"/>
      <c r="Q191" s="2324"/>
      <c r="R191" s="2325"/>
      <c r="S191" s="2324"/>
      <c r="T191" s="2324"/>
      <c r="U191" s="2326"/>
      <c r="V191" s="2327"/>
      <c r="W191" s="2327"/>
      <c r="X191" s="2327"/>
      <c r="Y191" s="2327"/>
      <c r="Z191" s="2327"/>
      <c r="AA191" s="2328"/>
      <c r="AB191" s="2329"/>
      <c r="AC191" s="2326"/>
      <c r="AD191" s="2330">
        <f t="shared" si="80"/>
        <v>0</v>
      </c>
      <c r="AE191" s="2330"/>
      <c r="AF191" s="2330"/>
      <c r="AG191" s="2330">
        <f t="shared" si="88"/>
        <v>0</v>
      </c>
      <c r="AH191" s="2330"/>
      <c r="AI191" s="2330"/>
      <c r="AJ191" s="2330">
        <f t="shared" si="81"/>
        <v>0</v>
      </c>
      <c r="AK191" s="2330"/>
      <c r="AL191" s="2330"/>
      <c r="AM191" s="2331">
        <f t="shared" si="82"/>
        <v>0</v>
      </c>
      <c r="AN191" s="2331"/>
      <c r="AO191" s="2331"/>
      <c r="AP191" s="2331"/>
      <c r="AQ191" s="2332">
        <f t="shared" si="83"/>
        <v>0</v>
      </c>
      <c r="AR191" s="2332"/>
      <c r="AS191" s="2332"/>
      <c r="AT191" s="2332">
        <f t="shared" si="84"/>
        <v>0</v>
      </c>
      <c r="AV191" s="151" t="str">
        <f t="shared" si="77"/>
        <v>STRUCTURAL CONCRETE</v>
      </c>
      <c r="AW191" s="681"/>
      <c r="AX191" s="230"/>
      <c r="AY191" s="230"/>
      <c r="AZ191" s="679"/>
      <c r="BA191" s="49">
        <f t="shared" si="85"/>
        <v>0</v>
      </c>
      <c r="BB191" s="49">
        <f t="shared" si="89"/>
        <v>0</v>
      </c>
      <c r="BC191" s="49">
        <f t="shared" si="90"/>
        <v>0</v>
      </c>
      <c r="BD191" s="49">
        <f t="shared" si="86"/>
        <v>0</v>
      </c>
      <c r="BE191" s="49">
        <f t="shared" si="91"/>
        <v>0</v>
      </c>
      <c r="BF191" s="49">
        <f t="shared" si="78"/>
        <v>0</v>
      </c>
      <c r="BG191" s="49">
        <f t="shared" si="79"/>
        <v>0</v>
      </c>
      <c r="BI191" s="134">
        <f t="shared" si="92"/>
        <v>0</v>
      </c>
      <c r="BJ191" s="134">
        <f t="shared" si="87"/>
        <v>0</v>
      </c>
      <c r="BK191" s="134">
        <f t="shared" si="93"/>
        <v>0</v>
      </c>
    </row>
    <row r="192" spans="1:63" hidden="1">
      <c r="A192" s="187"/>
      <c r="B192" s="2333"/>
      <c r="C192" s="2333"/>
      <c r="D192" s="2338" t="s">
        <v>461</v>
      </c>
      <c r="E192" s="2338"/>
      <c r="F192" s="2338"/>
      <c r="G192" s="2338"/>
      <c r="H192" s="2338"/>
      <c r="I192" s="2338"/>
      <c r="J192" s="2338"/>
      <c r="K192" s="2338"/>
      <c r="L192" s="2338"/>
      <c r="M192" s="2338"/>
      <c r="N192" s="2338"/>
      <c r="O192" s="2338"/>
      <c r="P192" s="2324"/>
      <c r="Q192" s="2324"/>
      <c r="R192" s="2325"/>
      <c r="S192" s="2324" t="s">
        <v>3</v>
      </c>
      <c r="T192" s="2324" t="s">
        <v>3</v>
      </c>
      <c r="U192" s="2326"/>
      <c r="V192" s="2327"/>
      <c r="W192" s="2327"/>
      <c r="X192" s="2327"/>
      <c r="Y192" s="2327"/>
      <c r="Z192" s="2327"/>
      <c r="AA192" s="2328"/>
      <c r="AB192" s="2329"/>
      <c r="AC192" s="2326"/>
      <c r="AD192" s="2330">
        <f t="shared" si="80"/>
        <v>0</v>
      </c>
      <c r="AE192" s="2330"/>
      <c r="AF192" s="2330"/>
      <c r="AG192" s="2330">
        <f t="shared" si="88"/>
        <v>0</v>
      </c>
      <c r="AH192" s="2330"/>
      <c r="AI192" s="2330"/>
      <c r="AJ192" s="2330">
        <f t="shared" si="81"/>
        <v>0</v>
      </c>
      <c r="AK192" s="2330"/>
      <c r="AL192" s="2330"/>
      <c r="AM192" s="2331">
        <f t="shared" si="82"/>
        <v>0</v>
      </c>
      <c r="AN192" s="2331"/>
      <c r="AO192" s="2331"/>
      <c r="AP192" s="2331"/>
      <c r="AQ192" s="2332">
        <f t="shared" si="83"/>
        <v>0</v>
      </c>
      <c r="AR192" s="2332"/>
      <c r="AS192" s="2332"/>
      <c r="AT192" s="2332">
        <f t="shared" si="84"/>
        <v>0</v>
      </c>
      <c r="AV192" s="151" t="str">
        <f t="shared" si="77"/>
        <v>STRUCTURAL CONCRETE</v>
      </c>
      <c r="AW192" s="681"/>
      <c r="AX192" s="230"/>
      <c r="AY192" s="230"/>
      <c r="AZ192" s="679"/>
      <c r="BA192" s="49">
        <f t="shared" si="85"/>
        <v>0</v>
      </c>
      <c r="BB192" s="49">
        <f t="shared" si="89"/>
        <v>0</v>
      </c>
      <c r="BC192" s="49">
        <f t="shared" si="90"/>
        <v>0</v>
      </c>
      <c r="BD192" s="49">
        <f t="shared" si="86"/>
        <v>0</v>
      </c>
      <c r="BE192" s="49">
        <f t="shared" si="91"/>
        <v>0</v>
      </c>
      <c r="BF192" s="49">
        <f t="shared" si="78"/>
        <v>0</v>
      </c>
      <c r="BG192" s="49">
        <f t="shared" si="79"/>
        <v>0</v>
      </c>
      <c r="BI192" s="134">
        <f t="shared" si="92"/>
        <v>0</v>
      </c>
      <c r="BJ192" s="134">
        <f t="shared" si="87"/>
        <v>0</v>
      </c>
      <c r="BK192" s="134">
        <f t="shared" si="93"/>
        <v>0</v>
      </c>
    </row>
    <row r="193" spans="1:63" hidden="1">
      <c r="A193" s="187"/>
      <c r="B193" s="2333"/>
      <c r="C193" s="2333"/>
      <c r="D193" s="2334" t="s">
        <v>72</v>
      </c>
      <c r="E193" s="2334"/>
      <c r="F193" s="2334"/>
      <c r="G193" s="2334"/>
      <c r="H193" s="2334"/>
      <c r="I193" s="2334"/>
      <c r="J193" s="2334"/>
      <c r="K193" s="2334"/>
      <c r="L193" s="2334"/>
      <c r="M193" s="2334"/>
      <c r="N193" s="2334"/>
      <c r="O193" s="2334"/>
      <c r="P193" s="2324"/>
      <c r="Q193" s="2324"/>
      <c r="R193" s="2325"/>
      <c r="S193" s="2324" t="s">
        <v>2</v>
      </c>
      <c r="T193" s="2324" t="s">
        <v>3</v>
      </c>
      <c r="U193" s="2326"/>
      <c r="V193" s="2327"/>
      <c r="W193" s="2327"/>
      <c r="X193" s="2327"/>
      <c r="Y193" s="2327"/>
      <c r="Z193" s="2327"/>
      <c r="AA193" s="2328">
        <v>500</v>
      </c>
      <c r="AB193" s="2329"/>
      <c r="AC193" s="2326">
        <v>500</v>
      </c>
      <c r="AD193" s="2330">
        <f t="shared" si="80"/>
        <v>0</v>
      </c>
      <c r="AE193" s="2330"/>
      <c r="AF193" s="2330"/>
      <c r="AG193" s="2330">
        <f t="shared" si="88"/>
        <v>0</v>
      </c>
      <c r="AH193" s="2330"/>
      <c r="AI193" s="2330"/>
      <c r="AJ193" s="2330">
        <f t="shared" si="81"/>
        <v>0</v>
      </c>
      <c r="AK193" s="2330"/>
      <c r="AL193" s="2330"/>
      <c r="AM193" s="2331">
        <f t="shared" si="82"/>
        <v>0</v>
      </c>
      <c r="AN193" s="2331"/>
      <c r="AO193" s="2331"/>
      <c r="AP193" s="2331"/>
      <c r="AQ193" s="2332">
        <f t="shared" si="83"/>
        <v>0</v>
      </c>
      <c r="AR193" s="2332"/>
      <c r="AS193" s="2332"/>
      <c r="AT193" s="2332">
        <f t="shared" si="84"/>
        <v>0</v>
      </c>
      <c r="AV193" s="151" t="str">
        <f t="shared" si="77"/>
        <v>STRUCTURAL CONCRETE</v>
      </c>
      <c r="AW193" s="681"/>
      <c r="AX193" s="230"/>
      <c r="AY193" s="230"/>
      <c r="AZ193" s="679"/>
      <c r="BA193" s="49">
        <f t="shared" si="85"/>
        <v>0</v>
      </c>
      <c r="BB193" s="49">
        <f t="shared" si="89"/>
        <v>0</v>
      </c>
      <c r="BC193" s="49">
        <f t="shared" si="90"/>
        <v>0</v>
      </c>
      <c r="BD193" s="49">
        <f t="shared" si="86"/>
        <v>0</v>
      </c>
      <c r="BE193" s="49">
        <f t="shared" si="91"/>
        <v>0</v>
      </c>
      <c r="BF193" s="49">
        <f t="shared" si="78"/>
        <v>0</v>
      </c>
      <c r="BG193" s="49">
        <f t="shared" si="79"/>
        <v>0</v>
      </c>
      <c r="BI193" s="134">
        <f t="shared" si="92"/>
        <v>0</v>
      </c>
      <c r="BJ193" s="134">
        <f t="shared" si="87"/>
        <v>0</v>
      </c>
      <c r="BK193" s="134">
        <f t="shared" si="93"/>
        <v>0</v>
      </c>
    </row>
    <row r="194" spans="1:63" hidden="1">
      <c r="A194" s="187"/>
      <c r="B194" s="2333"/>
      <c r="C194" s="2333"/>
      <c r="D194" s="2334" t="s">
        <v>303</v>
      </c>
      <c r="E194" s="2334"/>
      <c r="F194" s="2334"/>
      <c r="G194" s="2334"/>
      <c r="H194" s="2334"/>
      <c r="I194" s="2334"/>
      <c r="J194" s="2334"/>
      <c r="K194" s="2334"/>
      <c r="L194" s="2334"/>
      <c r="M194" s="2334"/>
      <c r="N194" s="2334"/>
      <c r="O194" s="2334"/>
      <c r="P194" s="2324"/>
      <c r="Q194" s="2324"/>
      <c r="R194" s="2325"/>
      <c r="S194" s="2324" t="s">
        <v>2</v>
      </c>
      <c r="T194" s="2324" t="s">
        <v>2</v>
      </c>
      <c r="U194" s="2326"/>
      <c r="V194" s="2327"/>
      <c r="W194" s="2327"/>
      <c r="X194" s="2327"/>
      <c r="Y194" s="2327"/>
      <c r="Z194" s="2327"/>
      <c r="AA194" s="2328">
        <v>800</v>
      </c>
      <c r="AB194" s="2329"/>
      <c r="AC194" s="2326">
        <v>500</v>
      </c>
      <c r="AD194" s="2330">
        <f t="shared" si="80"/>
        <v>0</v>
      </c>
      <c r="AE194" s="2330"/>
      <c r="AF194" s="2330"/>
      <c r="AG194" s="2330">
        <f t="shared" si="88"/>
        <v>0</v>
      </c>
      <c r="AH194" s="2330"/>
      <c r="AI194" s="2330"/>
      <c r="AJ194" s="2330">
        <f t="shared" si="81"/>
        <v>0</v>
      </c>
      <c r="AK194" s="2330"/>
      <c r="AL194" s="2330"/>
      <c r="AM194" s="2331">
        <f t="shared" si="82"/>
        <v>0</v>
      </c>
      <c r="AN194" s="2331"/>
      <c r="AO194" s="2331"/>
      <c r="AP194" s="2331"/>
      <c r="AQ194" s="2332">
        <f t="shared" si="83"/>
        <v>0</v>
      </c>
      <c r="AR194" s="2332"/>
      <c r="AS194" s="2332"/>
      <c r="AT194" s="2332">
        <f t="shared" si="84"/>
        <v>0</v>
      </c>
      <c r="AV194" s="151" t="str">
        <f t="shared" si="77"/>
        <v>STRUCTURAL CONCRETE</v>
      </c>
      <c r="AW194" s="681"/>
      <c r="AX194" s="230"/>
      <c r="AY194" s="230"/>
      <c r="AZ194" s="679"/>
      <c r="BA194" s="49">
        <f t="shared" si="85"/>
        <v>0</v>
      </c>
      <c r="BB194" s="49">
        <f t="shared" si="89"/>
        <v>0</v>
      </c>
      <c r="BC194" s="49">
        <f t="shared" si="90"/>
        <v>0</v>
      </c>
      <c r="BD194" s="49">
        <f t="shared" si="86"/>
        <v>0</v>
      </c>
      <c r="BE194" s="49">
        <f t="shared" si="91"/>
        <v>0</v>
      </c>
      <c r="BF194" s="49">
        <f t="shared" si="78"/>
        <v>0</v>
      </c>
      <c r="BG194" s="49">
        <f t="shared" si="79"/>
        <v>0</v>
      </c>
      <c r="BI194" s="134">
        <f t="shared" si="92"/>
        <v>0</v>
      </c>
      <c r="BJ194" s="134">
        <f t="shared" si="87"/>
        <v>0</v>
      </c>
      <c r="BK194" s="134">
        <f t="shared" si="93"/>
        <v>0</v>
      </c>
    </row>
    <row r="195" spans="1:63" hidden="1">
      <c r="A195" s="187"/>
      <c r="B195" s="2333"/>
      <c r="C195" s="2333"/>
      <c r="D195" s="2334" t="s">
        <v>304</v>
      </c>
      <c r="E195" s="2334"/>
      <c r="F195" s="2334"/>
      <c r="G195" s="2334"/>
      <c r="H195" s="2334"/>
      <c r="I195" s="2334"/>
      <c r="J195" s="2334"/>
      <c r="K195" s="2334"/>
      <c r="L195" s="2334"/>
      <c r="M195" s="2334"/>
      <c r="N195" s="2334"/>
      <c r="O195" s="2334"/>
      <c r="P195" s="2324"/>
      <c r="Q195" s="2324"/>
      <c r="R195" s="2325"/>
      <c r="S195" s="2324" t="s">
        <v>2</v>
      </c>
      <c r="T195" s="2324" t="s">
        <v>2</v>
      </c>
      <c r="U195" s="2326"/>
      <c r="V195" s="2327"/>
      <c r="W195" s="2327"/>
      <c r="X195" s="2327"/>
      <c r="Y195" s="2327"/>
      <c r="Z195" s="2327"/>
      <c r="AA195" s="2328">
        <v>1100</v>
      </c>
      <c r="AB195" s="2329"/>
      <c r="AC195" s="2326">
        <v>850</v>
      </c>
      <c r="AD195" s="2330">
        <f t="shared" si="80"/>
        <v>0</v>
      </c>
      <c r="AE195" s="2330"/>
      <c r="AF195" s="2330"/>
      <c r="AG195" s="2330">
        <f t="shared" si="88"/>
        <v>0</v>
      </c>
      <c r="AH195" s="2330"/>
      <c r="AI195" s="2330"/>
      <c r="AJ195" s="2330">
        <f t="shared" si="81"/>
        <v>0</v>
      </c>
      <c r="AK195" s="2330"/>
      <c r="AL195" s="2330"/>
      <c r="AM195" s="2331">
        <f t="shared" si="82"/>
        <v>0</v>
      </c>
      <c r="AN195" s="2331"/>
      <c r="AO195" s="2331"/>
      <c r="AP195" s="2331"/>
      <c r="AQ195" s="2332">
        <f t="shared" si="83"/>
        <v>0</v>
      </c>
      <c r="AR195" s="2332"/>
      <c r="AS195" s="2332"/>
      <c r="AT195" s="2332">
        <f t="shared" si="84"/>
        <v>0</v>
      </c>
      <c r="AV195" s="151" t="str">
        <f t="shared" si="77"/>
        <v>STRUCTURAL CONCRETE</v>
      </c>
      <c r="AW195" s="681"/>
      <c r="AX195" s="230"/>
      <c r="AY195" s="230"/>
      <c r="AZ195" s="679"/>
      <c r="BA195" s="49">
        <f t="shared" si="85"/>
        <v>0</v>
      </c>
      <c r="BB195" s="49">
        <f t="shared" si="89"/>
        <v>0</v>
      </c>
      <c r="BC195" s="49">
        <f t="shared" si="90"/>
        <v>0</v>
      </c>
      <c r="BD195" s="49">
        <f t="shared" si="86"/>
        <v>0</v>
      </c>
      <c r="BE195" s="49">
        <f t="shared" si="91"/>
        <v>0</v>
      </c>
      <c r="BF195" s="49">
        <f t="shared" si="78"/>
        <v>0</v>
      </c>
      <c r="BG195" s="49">
        <f t="shared" si="79"/>
        <v>0</v>
      </c>
      <c r="BI195" s="134">
        <f t="shared" si="92"/>
        <v>0</v>
      </c>
      <c r="BJ195" s="134">
        <f t="shared" si="87"/>
        <v>0</v>
      </c>
      <c r="BK195" s="134">
        <f t="shared" si="93"/>
        <v>0</v>
      </c>
    </row>
    <row r="196" spans="1:63" hidden="1">
      <c r="A196" s="187"/>
      <c r="B196" s="2333"/>
      <c r="C196" s="2333"/>
      <c r="D196" s="2334" t="s">
        <v>640</v>
      </c>
      <c r="E196" s="2334"/>
      <c r="F196" s="2334"/>
      <c r="G196" s="2334"/>
      <c r="H196" s="2334"/>
      <c r="I196" s="2334"/>
      <c r="J196" s="2334"/>
      <c r="K196" s="2334"/>
      <c r="L196" s="2334"/>
      <c r="M196" s="2334"/>
      <c r="N196" s="2334"/>
      <c r="O196" s="2334"/>
      <c r="P196" s="2324"/>
      <c r="Q196" s="2324"/>
      <c r="R196" s="2325"/>
      <c r="S196" s="2324" t="s">
        <v>12</v>
      </c>
      <c r="T196" s="2324"/>
      <c r="U196" s="2326"/>
      <c r="V196" s="2327"/>
      <c r="W196" s="2327"/>
      <c r="X196" s="2327"/>
      <c r="Y196" s="2327"/>
      <c r="Z196" s="2327"/>
      <c r="AA196" s="2328">
        <v>145</v>
      </c>
      <c r="AB196" s="2329"/>
      <c r="AC196" s="2326"/>
      <c r="AD196" s="2330">
        <f t="shared" si="80"/>
        <v>0</v>
      </c>
      <c r="AE196" s="2330"/>
      <c r="AF196" s="2330"/>
      <c r="AG196" s="2330">
        <f t="shared" si="88"/>
        <v>0</v>
      </c>
      <c r="AH196" s="2330"/>
      <c r="AI196" s="2330"/>
      <c r="AJ196" s="2330">
        <f t="shared" si="81"/>
        <v>0</v>
      </c>
      <c r="AK196" s="2330"/>
      <c r="AL196" s="2330"/>
      <c r="AM196" s="2331">
        <f t="shared" si="82"/>
        <v>0</v>
      </c>
      <c r="AN196" s="2331"/>
      <c r="AO196" s="2331"/>
      <c r="AP196" s="2331"/>
      <c r="AQ196" s="2332">
        <f t="shared" si="83"/>
        <v>0</v>
      </c>
      <c r="AR196" s="2332"/>
      <c r="AS196" s="2332"/>
      <c r="AT196" s="2332">
        <f t="shared" si="84"/>
        <v>0</v>
      </c>
      <c r="AV196" s="151" t="str">
        <f t="shared" si="77"/>
        <v>STRUCTURAL CONCRETE</v>
      </c>
      <c r="AW196" s="681"/>
      <c r="AX196" s="230"/>
      <c r="AY196" s="230"/>
      <c r="AZ196" s="679"/>
      <c r="BA196" s="49">
        <f t="shared" si="85"/>
        <v>0</v>
      </c>
      <c r="BB196" s="49">
        <f t="shared" si="89"/>
        <v>0</v>
      </c>
      <c r="BC196" s="49">
        <f t="shared" si="90"/>
        <v>0</v>
      </c>
      <c r="BD196" s="49">
        <f t="shared" si="86"/>
        <v>0</v>
      </c>
      <c r="BE196" s="49">
        <f>SUM(BA196:BC196)</f>
        <v>0</v>
      </c>
      <c r="BF196" s="49">
        <f t="shared" si="78"/>
        <v>0</v>
      </c>
      <c r="BG196" s="49">
        <f t="shared" si="79"/>
        <v>0</v>
      </c>
      <c r="BI196" s="134">
        <f t="shared" si="92"/>
        <v>0</v>
      </c>
      <c r="BJ196" s="134">
        <f t="shared" si="87"/>
        <v>0</v>
      </c>
      <c r="BK196" s="134">
        <f t="shared" si="93"/>
        <v>0</v>
      </c>
    </row>
    <row r="197" spans="1:63" hidden="1">
      <c r="A197" s="187"/>
      <c r="B197" s="2333"/>
      <c r="C197" s="2333"/>
      <c r="D197" s="2334" t="s">
        <v>639</v>
      </c>
      <c r="E197" s="2334"/>
      <c r="F197" s="2334"/>
      <c r="G197" s="2334"/>
      <c r="H197" s="2334"/>
      <c r="I197" s="2334"/>
      <c r="J197" s="2334"/>
      <c r="K197" s="2334"/>
      <c r="L197" s="2334"/>
      <c r="M197" s="2334"/>
      <c r="N197" s="2334"/>
      <c r="O197" s="2334"/>
      <c r="P197" s="2324"/>
      <c r="Q197" s="2324"/>
      <c r="R197" s="2325"/>
      <c r="S197" s="2324" t="s">
        <v>12</v>
      </c>
      <c r="T197" s="2324"/>
      <c r="U197" s="2326"/>
      <c r="V197" s="2327"/>
      <c r="W197" s="2327"/>
      <c r="X197" s="2327"/>
      <c r="Y197" s="2327"/>
      <c r="Z197" s="2327"/>
      <c r="AA197" s="2328">
        <v>70</v>
      </c>
      <c r="AB197" s="2329"/>
      <c r="AC197" s="2326"/>
      <c r="AD197" s="2330">
        <f t="shared" si="80"/>
        <v>0</v>
      </c>
      <c r="AE197" s="2330"/>
      <c r="AF197" s="2330"/>
      <c r="AG197" s="2330">
        <f t="shared" si="88"/>
        <v>0</v>
      </c>
      <c r="AH197" s="2330"/>
      <c r="AI197" s="2330"/>
      <c r="AJ197" s="2330">
        <f t="shared" si="81"/>
        <v>0</v>
      </c>
      <c r="AK197" s="2330"/>
      <c r="AL197" s="2330"/>
      <c r="AM197" s="2331">
        <f t="shared" si="82"/>
        <v>0</v>
      </c>
      <c r="AN197" s="2331"/>
      <c r="AO197" s="2331"/>
      <c r="AP197" s="2331"/>
      <c r="AQ197" s="2332">
        <f t="shared" si="83"/>
        <v>0</v>
      </c>
      <c r="AR197" s="2332"/>
      <c r="AS197" s="2332"/>
      <c r="AT197" s="2332">
        <f t="shared" si="84"/>
        <v>0</v>
      </c>
      <c r="AV197" s="151" t="str">
        <f t="shared" si="77"/>
        <v>STRUCTURAL CONCRETE</v>
      </c>
      <c r="AW197" s="681"/>
      <c r="AX197" s="230"/>
      <c r="AY197" s="230"/>
      <c r="AZ197" s="679"/>
      <c r="BA197" s="49">
        <f t="shared" si="85"/>
        <v>0</v>
      </c>
      <c r="BB197" s="49">
        <f t="shared" si="89"/>
        <v>0</v>
      </c>
      <c r="BC197" s="49">
        <f t="shared" si="90"/>
        <v>0</v>
      </c>
      <c r="BD197" s="49">
        <f t="shared" si="86"/>
        <v>0</v>
      </c>
      <c r="BE197" s="49">
        <f>SUM(BA197:BC197)</f>
        <v>0</v>
      </c>
      <c r="BF197" s="49">
        <f t="shared" si="78"/>
        <v>0</v>
      </c>
      <c r="BG197" s="49">
        <f t="shared" si="79"/>
        <v>0</v>
      </c>
      <c r="BI197" s="134">
        <f t="shared" si="92"/>
        <v>0</v>
      </c>
      <c r="BJ197" s="134">
        <f t="shared" si="87"/>
        <v>0</v>
      </c>
      <c r="BK197" s="134">
        <f t="shared" si="93"/>
        <v>0</v>
      </c>
    </row>
    <row r="198" spans="1:63" hidden="1">
      <c r="A198" s="187"/>
      <c r="B198" s="2333"/>
      <c r="C198" s="2333"/>
      <c r="D198" s="2334"/>
      <c r="E198" s="2334"/>
      <c r="F198" s="2334"/>
      <c r="G198" s="2334"/>
      <c r="H198" s="2334"/>
      <c r="I198" s="2334"/>
      <c r="J198" s="2334"/>
      <c r="K198" s="2334"/>
      <c r="L198" s="2334"/>
      <c r="M198" s="2334"/>
      <c r="N198" s="2334"/>
      <c r="O198" s="2334"/>
      <c r="P198" s="2324"/>
      <c r="Q198" s="2324"/>
      <c r="R198" s="2325"/>
      <c r="S198" s="2324"/>
      <c r="T198" s="2324"/>
      <c r="U198" s="2326"/>
      <c r="V198" s="2327"/>
      <c r="W198" s="2327"/>
      <c r="X198" s="2327"/>
      <c r="Y198" s="2327"/>
      <c r="Z198" s="2327"/>
      <c r="AA198" s="2328"/>
      <c r="AB198" s="2329"/>
      <c r="AC198" s="2326"/>
      <c r="AD198" s="2330">
        <f t="shared" ref="AD198:AD207" si="94">((P198*U198)-AM198)</f>
        <v>0</v>
      </c>
      <c r="AE198" s="2330"/>
      <c r="AF198" s="2330"/>
      <c r="AG198" s="2330">
        <f t="shared" si="88"/>
        <v>0</v>
      </c>
      <c r="AH198" s="2330"/>
      <c r="AI198" s="2330"/>
      <c r="AJ198" s="2330">
        <f t="shared" ref="AJ198:AJ207" si="95">P198*AA198</f>
        <v>0</v>
      </c>
      <c r="AK198" s="2330"/>
      <c r="AL198" s="2330"/>
      <c r="AM198" s="2331">
        <f t="shared" si="82"/>
        <v>0</v>
      </c>
      <c r="AN198" s="2331"/>
      <c r="AO198" s="2331"/>
      <c r="AP198" s="2331"/>
      <c r="AQ198" s="2332">
        <f t="shared" ref="AQ198:AQ207" si="96">SUM(AD198:AL198)</f>
        <v>0</v>
      </c>
      <c r="AR198" s="2332"/>
      <c r="AS198" s="2332"/>
      <c r="AT198" s="2332">
        <f t="shared" ref="AT198:AT207" si="97">SUM(AD198:AL198)</f>
        <v>0</v>
      </c>
      <c r="AV198" s="151" t="str">
        <f t="shared" si="77"/>
        <v>STRUCTURAL CONCRETE</v>
      </c>
      <c r="AW198" s="681"/>
      <c r="AX198" s="230"/>
      <c r="AY198" s="230"/>
      <c r="AZ198" s="679"/>
      <c r="BA198" s="49">
        <f t="shared" ref="BA198:BA207" si="98">AD198</f>
        <v>0</v>
      </c>
      <c r="BB198" s="49">
        <f t="shared" ref="BB198:BB207" si="99">AG198</f>
        <v>0</v>
      </c>
      <c r="BC198" s="49">
        <f t="shared" ref="BC198:BC207" si="100">AJ198</f>
        <v>0</v>
      </c>
      <c r="BD198" s="49">
        <f t="shared" ref="BD198:BD207" si="101">IF(B198="x",1,0)</f>
        <v>0</v>
      </c>
      <c r="BE198" s="49">
        <f t="shared" ref="BE198:BE207" si="102">SUM(BA198:BC198)</f>
        <v>0</v>
      </c>
      <c r="BF198" s="49">
        <f t="shared" ref="BF198:BF207" si="103">AQ198</f>
        <v>0</v>
      </c>
      <c r="BG198" s="49">
        <f t="shared" ref="BG198:BG207" si="104">AM198</f>
        <v>0</v>
      </c>
      <c r="BI198" s="134">
        <f t="shared" ref="BI198:BI207" si="105">AD198</f>
        <v>0</v>
      </c>
      <c r="BJ198" s="134">
        <f t="shared" ref="BJ198:BJ207" si="106">AM198</f>
        <v>0</v>
      </c>
      <c r="BK198" s="134">
        <f t="shared" ref="BK198:BK207" si="107">BJ198+BI198</f>
        <v>0</v>
      </c>
    </row>
    <row r="199" spans="1:63" hidden="1">
      <c r="A199" s="187"/>
      <c r="B199" s="2333"/>
      <c r="C199" s="2333"/>
      <c r="D199" s="2349"/>
      <c r="E199" s="2349"/>
      <c r="F199" s="2349"/>
      <c r="G199" s="2349"/>
      <c r="H199" s="2349"/>
      <c r="I199" s="2349"/>
      <c r="J199" s="2349"/>
      <c r="K199" s="2349"/>
      <c r="L199" s="2349"/>
      <c r="M199" s="2349"/>
      <c r="N199" s="2349"/>
      <c r="O199" s="2349"/>
      <c r="P199" s="2324"/>
      <c r="Q199" s="2324"/>
      <c r="R199" s="2325"/>
      <c r="S199" s="2324"/>
      <c r="T199" s="2324"/>
      <c r="U199" s="2326"/>
      <c r="V199" s="2327"/>
      <c r="W199" s="2327"/>
      <c r="X199" s="2327"/>
      <c r="Y199" s="2327"/>
      <c r="Z199" s="2327"/>
      <c r="AA199" s="2328"/>
      <c r="AB199" s="2329"/>
      <c r="AC199" s="2326"/>
      <c r="AD199" s="2330">
        <f t="shared" si="94"/>
        <v>0</v>
      </c>
      <c r="AE199" s="2330"/>
      <c r="AF199" s="2330"/>
      <c r="AG199" s="2330">
        <f t="shared" si="88"/>
        <v>0</v>
      </c>
      <c r="AH199" s="2330"/>
      <c r="AI199" s="2330"/>
      <c r="AJ199" s="2330">
        <f t="shared" si="95"/>
        <v>0</v>
      </c>
      <c r="AK199" s="2330"/>
      <c r="AL199" s="2330"/>
      <c r="AM199" s="2331">
        <f t="shared" si="82"/>
        <v>0</v>
      </c>
      <c r="AN199" s="2331"/>
      <c r="AO199" s="2331"/>
      <c r="AP199" s="2331"/>
      <c r="AQ199" s="2332">
        <f t="shared" si="96"/>
        <v>0</v>
      </c>
      <c r="AR199" s="2332"/>
      <c r="AS199" s="2332"/>
      <c r="AT199" s="2332">
        <f t="shared" si="97"/>
        <v>0</v>
      </c>
      <c r="AV199" s="151" t="str">
        <f t="shared" si="77"/>
        <v>STRUCTURAL CONCRETE</v>
      </c>
      <c r="AW199" s="681"/>
      <c r="AX199" s="230"/>
      <c r="AY199" s="230"/>
      <c r="AZ199" s="679"/>
      <c r="BA199" s="49">
        <f t="shared" si="98"/>
        <v>0</v>
      </c>
      <c r="BB199" s="49">
        <f t="shared" si="99"/>
        <v>0</v>
      </c>
      <c r="BC199" s="49">
        <f t="shared" si="100"/>
        <v>0</v>
      </c>
      <c r="BD199" s="49">
        <f t="shared" si="101"/>
        <v>0</v>
      </c>
      <c r="BE199" s="49">
        <f t="shared" si="102"/>
        <v>0</v>
      </c>
      <c r="BF199" s="49">
        <f t="shared" si="103"/>
        <v>0</v>
      </c>
      <c r="BG199" s="49">
        <f t="shared" si="104"/>
        <v>0</v>
      </c>
      <c r="BI199" s="134">
        <f t="shared" si="105"/>
        <v>0</v>
      </c>
      <c r="BJ199" s="134">
        <f t="shared" si="106"/>
        <v>0</v>
      </c>
      <c r="BK199" s="134">
        <f t="shared" si="107"/>
        <v>0</v>
      </c>
    </row>
    <row r="200" spans="1:63" hidden="1">
      <c r="A200" s="187"/>
      <c r="B200" s="2333"/>
      <c r="C200" s="2333"/>
      <c r="D200" s="2334"/>
      <c r="E200" s="2334"/>
      <c r="F200" s="2334"/>
      <c r="G200" s="2334"/>
      <c r="H200" s="2334"/>
      <c r="I200" s="2334"/>
      <c r="J200" s="2334"/>
      <c r="K200" s="2334"/>
      <c r="L200" s="2334"/>
      <c r="M200" s="2334"/>
      <c r="N200" s="2334"/>
      <c r="O200" s="2334"/>
      <c r="P200" s="2324"/>
      <c r="Q200" s="2324"/>
      <c r="R200" s="2325"/>
      <c r="S200" s="2324"/>
      <c r="T200" s="2324"/>
      <c r="U200" s="2326"/>
      <c r="V200" s="2327"/>
      <c r="W200" s="2327"/>
      <c r="X200" s="2327"/>
      <c r="Y200" s="2327"/>
      <c r="Z200" s="2327"/>
      <c r="AA200" s="2328"/>
      <c r="AB200" s="2329"/>
      <c r="AC200" s="2326"/>
      <c r="AD200" s="2330">
        <f t="shared" si="94"/>
        <v>0</v>
      </c>
      <c r="AE200" s="2330"/>
      <c r="AF200" s="2330"/>
      <c r="AG200" s="2330">
        <f t="shared" si="88"/>
        <v>0</v>
      </c>
      <c r="AH200" s="2330"/>
      <c r="AI200" s="2330"/>
      <c r="AJ200" s="2330">
        <f t="shared" si="95"/>
        <v>0</v>
      </c>
      <c r="AK200" s="2330"/>
      <c r="AL200" s="2330"/>
      <c r="AM200" s="2331">
        <f t="shared" si="82"/>
        <v>0</v>
      </c>
      <c r="AN200" s="2331"/>
      <c r="AO200" s="2331"/>
      <c r="AP200" s="2331"/>
      <c r="AQ200" s="2332">
        <f t="shared" si="96"/>
        <v>0</v>
      </c>
      <c r="AR200" s="2332"/>
      <c r="AS200" s="2332"/>
      <c r="AT200" s="2332">
        <f t="shared" si="97"/>
        <v>0</v>
      </c>
      <c r="AV200" s="151" t="str">
        <f t="shared" si="77"/>
        <v>STRUCTURAL CONCRETE</v>
      </c>
      <c r="AW200" s="681"/>
      <c r="AX200" s="230"/>
      <c r="AY200" s="230"/>
      <c r="AZ200" s="679"/>
      <c r="BA200" s="49">
        <f t="shared" si="98"/>
        <v>0</v>
      </c>
      <c r="BB200" s="49">
        <f t="shared" si="99"/>
        <v>0</v>
      </c>
      <c r="BC200" s="49">
        <f t="shared" si="100"/>
        <v>0</v>
      </c>
      <c r="BD200" s="49">
        <f t="shared" si="101"/>
        <v>0</v>
      </c>
      <c r="BE200" s="49">
        <f t="shared" si="102"/>
        <v>0</v>
      </c>
      <c r="BF200" s="49">
        <f t="shared" si="103"/>
        <v>0</v>
      </c>
      <c r="BG200" s="49">
        <f t="shared" si="104"/>
        <v>0</v>
      </c>
      <c r="BI200" s="134">
        <f t="shared" si="105"/>
        <v>0</v>
      </c>
      <c r="BJ200" s="134">
        <f t="shared" si="106"/>
        <v>0</v>
      </c>
      <c r="BK200" s="134">
        <f t="shared" si="107"/>
        <v>0</v>
      </c>
    </row>
    <row r="201" spans="1:63" hidden="1">
      <c r="A201" s="187"/>
      <c r="B201" s="2333"/>
      <c r="C201" s="2333"/>
      <c r="D201" s="2349"/>
      <c r="E201" s="2349"/>
      <c r="F201" s="2349"/>
      <c r="G201" s="2349"/>
      <c r="H201" s="2349"/>
      <c r="I201" s="2349"/>
      <c r="J201" s="2349"/>
      <c r="K201" s="2349"/>
      <c r="L201" s="2349"/>
      <c r="M201" s="2349"/>
      <c r="N201" s="2349"/>
      <c r="O201" s="2349"/>
      <c r="P201" s="2324"/>
      <c r="Q201" s="2324"/>
      <c r="R201" s="2325"/>
      <c r="S201" s="2324"/>
      <c r="T201" s="2324"/>
      <c r="U201" s="2326"/>
      <c r="V201" s="2327"/>
      <c r="W201" s="2327"/>
      <c r="X201" s="2327"/>
      <c r="Y201" s="2327"/>
      <c r="Z201" s="2327"/>
      <c r="AA201" s="2328"/>
      <c r="AB201" s="2329"/>
      <c r="AC201" s="2326"/>
      <c r="AD201" s="2330">
        <f t="shared" si="94"/>
        <v>0</v>
      </c>
      <c r="AE201" s="2330"/>
      <c r="AF201" s="2330"/>
      <c r="AG201" s="2330">
        <f t="shared" si="88"/>
        <v>0</v>
      </c>
      <c r="AH201" s="2330"/>
      <c r="AI201" s="2330"/>
      <c r="AJ201" s="2330">
        <f t="shared" si="95"/>
        <v>0</v>
      </c>
      <c r="AK201" s="2330"/>
      <c r="AL201" s="2330"/>
      <c r="AM201" s="2331">
        <f t="shared" si="82"/>
        <v>0</v>
      </c>
      <c r="AN201" s="2331"/>
      <c r="AO201" s="2331"/>
      <c r="AP201" s="2331"/>
      <c r="AQ201" s="2332">
        <f t="shared" si="96"/>
        <v>0</v>
      </c>
      <c r="AR201" s="2332"/>
      <c r="AS201" s="2332"/>
      <c r="AT201" s="2332">
        <f t="shared" si="97"/>
        <v>0</v>
      </c>
      <c r="AV201" s="151" t="str">
        <f t="shared" si="77"/>
        <v>STRUCTURAL CONCRETE</v>
      </c>
      <c r="AW201" s="681"/>
      <c r="AX201" s="230"/>
      <c r="AY201" s="230"/>
      <c r="AZ201" s="679"/>
      <c r="BA201" s="49">
        <f t="shared" si="98"/>
        <v>0</v>
      </c>
      <c r="BB201" s="49">
        <f t="shared" si="99"/>
        <v>0</v>
      </c>
      <c r="BC201" s="49">
        <f t="shared" si="100"/>
        <v>0</v>
      </c>
      <c r="BD201" s="49">
        <f t="shared" si="101"/>
        <v>0</v>
      </c>
      <c r="BE201" s="49">
        <f t="shared" si="102"/>
        <v>0</v>
      </c>
      <c r="BF201" s="49">
        <f t="shared" si="103"/>
        <v>0</v>
      </c>
      <c r="BG201" s="49">
        <f t="shared" si="104"/>
        <v>0</v>
      </c>
      <c r="BI201" s="134">
        <f t="shared" si="105"/>
        <v>0</v>
      </c>
      <c r="BJ201" s="134">
        <f t="shared" si="106"/>
        <v>0</v>
      </c>
      <c r="BK201" s="134">
        <f t="shared" si="107"/>
        <v>0</v>
      </c>
    </row>
    <row r="202" spans="1:63" hidden="1">
      <c r="A202" s="187"/>
      <c r="B202" s="2333"/>
      <c r="C202" s="2333"/>
      <c r="D202" s="2334"/>
      <c r="E202" s="2334"/>
      <c r="F202" s="2334"/>
      <c r="G202" s="2334"/>
      <c r="H202" s="2334"/>
      <c r="I202" s="2334"/>
      <c r="J202" s="2334"/>
      <c r="K202" s="2334"/>
      <c r="L202" s="2334"/>
      <c r="M202" s="2334"/>
      <c r="N202" s="2334"/>
      <c r="O202" s="2334"/>
      <c r="P202" s="2324"/>
      <c r="Q202" s="2324"/>
      <c r="R202" s="2325"/>
      <c r="S202" s="2324"/>
      <c r="T202" s="2324"/>
      <c r="U202" s="2326"/>
      <c r="V202" s="2327"/>
      <c r="W202" s="2327"/>
      <c r="X202" s="2327"/>
      <c r="Y202" s="2327"/>
      <c r="Z202" s="2327"/>
      <c r="AA202" s="2328"/>
      <c r="AB202" s="2329"/>
      <c r="AC202" s="2326"/>
      <c r="AD202" s="2330">
        <f t="shared" si="94"/>
        <v>0</v>
      </c>
      <c r="AE202" s="2330"/>
      <c r="AF202" s="2330"/>
      <c r="AG202" s="2330">
        <f t="shared" si="88"/>
        <v>0</v>
      </c>
      <c r="AH202" s="2330"/>
      <c r="AI202" s="2330"/>
      <c r="AJ202" s="2330">
        <f t="shared" si="95"/>
        <v>0</v>
      </c>
      <c r="AK202" s="2330"/>
      <c r="AL202" s="2330"/>
      <c r="AM202" s="2331">
        <f t="shared" si="82"/>
        <v>0</v>
      </c>
      <c r="AN202" s="2331"/>
      <c r="AO202" s="2331"/>
      <c r="AP202" s="2331"/>
      <c r="AQ202" s="2332">
        <f t="shared" si="96"/>
        <v>0</v>
      </c>
      <c r="AR202" s="2332"/>
      <c r="AS202" s="2332"/>
      <c r="AT202" s="2332">
        <f t="shared" si="97"/>
        <v>0</v>
      </c>
      <c r="AV202" s="151" t="str">
        <f t="shared" si="77"/>
        <v>STRUCTURAL CONCRETE</v>
      </c>
      <c r="AW202" s="681"/>
      <c r="AX202" s="230"/>
      <c r="AY202" s="230"/>
      <c r="AZ202" s="679"/>
      <c r="BA202" s="49">
        <f t="shared" si="98"/>
        <v>0</v>
      </c>
      <c r="BB202" s="49">
        <f t="shared" si="99"/>
        <v>0</v>
      </c>
      <c r="BC202" s="49">
        <f t="shared" si="100"/>
        <v>0</v>
      </c>
      <c r="BD202" s="49">
        <f t="shared" si="101"/>
        <v>0</v>
      </c>
      <c r="BE202" s="49">
        <f t="shared" si="102"/>
        <v>0</v>
      </c>
      <c r="BF202" s="49">
        <f t="shared" si="103"/>
        <v>0</v>
      </c>
      <c r="BG202" s="49">
        <f t="shared" si="104"/>
        <v>0</v>
      </c>
      <c r="BI202" s="134">
        <f t="shared" si="105"/>
        <v>0</v>
      </c>
      <c r="BJ202" s="134">
        <f t="shared" si="106"/>
        <v>0</v>
      </c>
      <c r="BK202" s="134">
        <f t="shared" si="107"/>
        <v>0</v>
      </c>
    </row>
    <row r="203" spans="1:63" hidden="1">
      <c r="A203" s="187"/>
      <c r="B203" s="2333"/>
      <c r="C203" s="2333"/>
      <c r="D203" s="2349"/>
      <c r="E203" s="2349"/>
      <c r="F203" s="2349"/>
      <c r="G203" s="2349"/>
      <c r="H203" s="2349"/>
      <c r="I203" s="2349"/>
      <c r="J203" s="2349"/>
      <c r="K203" s="2349"/>
      <c r="L203" s="2349"/>
      <c r="M203" s="2349"/>
      <c r="N203" s="2349"/>
      <c r="O203" s="2349"/>
      <c r="P203" s="2324"/>
      <c r="Q203" s="2324"/>
      <c r="R203" s="2325"/>
      <c r="S203" s="2324"/>
      <c r="T203" s="2324"/>
      <c r="U203" s="2326"/>
      <c r="V203" s="2327"/>
      <c r="W203" s="2327"/>
      <c r="X203" s="2327"/>
      <c r="Y203" s="2327"/>
      <c r="Z203" s="2327"/>
      <c r="AA203" s="2328"/>
      <c r="AB203" s="2329"/>
      <c r="AC203" s="2326"/>
      <c r="AD203" s="2330">
        <f t="shared" si="94"/>
        <v>0</v>
      </c>
      <c r="AE203" s="2330"/>
      <c r="AF203" s="2330"/>
      <c r="AG203" s="2330">
        <f t="shared" si="88"/>
        <v>0</v>
      </c>
      <c r="AH203" s="2330"/>
      <c r="AI203" s="2330"/>
      <c r="AJ203" s="2330">
        <f t="shared" si="95"/>
        <v>0</v>
      </c>
      <c r="AK203" s="2330"/>
      <c r="AL203" s="2330"/>
      <c r="AM203" s="2331">
        <f t="shared" si="82"/>
        <v>0</v>
      </c>
      <c r="AN203" s="2331"/>
      <c r="AO203" s="2331"/>
      <c r="AP203" s="2331"/>
      <c r="AQ203" s="2332">
        <f t="shared" si="96"/>
        <v>0</v>
      </c>
      <c r="AR203" s="2332"/>
      <c r="AS203" s="2332"/>
      <c r="AT203" s="2332">
        <f t="shared" si="97"/>
        <v>0</v>
      </c>
      <c r="AV203" s="151" t="str">
        <f t="shared" si="77"/>
        <v>STRUCTURAL CONCRETE</v>
      </c>
      <c r="AW203" s="681"/>
      <c r="AX203" s="230"/>
      <c r="AY203" s="230"/>
      <c r="AZ203" s="679"/>
      <c r="BA203" s="49">
        <f t="shared" si="98"/>
        <v>0</v>
      </c>
      <c r="BB203" s="49">
        <f t="shared" si="99"/>
        <v>0</v>
      </c>
      <c r="BC203" s="49">
        <f t="shared" si="100"/>
        <v>0</v>
      </c>
      <c r="BD203" s="49">
        <f t="shared" si="101"/>
        <v>0</v>
      </c>
      <c r="BE203" s="49">
        <f t="shared" si="102"/>
        <v>0</v>
      </c>
      <c r="BF203" s="49">
        <f t="shared" si="103"/>
        <v>0</v>
      </c>
      <c r="BG203" s="49">
        <f t="shared" si="104"/>
        <v>0</v>
      </c>
      <c r="BI203" s="134">
        <f t="shared" si="105"/>
        <v>0</v>
      </c>
      <c r="BJ203" s="134">
        <f t="shared" si="106"/>
        <v>0</v>
      </c>
      <c r="BK203" s="134">
        <f t="shared" si="107"/>
        <v>0</v>
      </c>
    </row>
    <row r="204" spans="1:63" hidden="1">
      <c r="A204" s="187"/>
      <c r="B204" s="2333"/>
      <c r="C204" s="2333"/>
      <c r="D204" s="2334"/>
      <c r="E204" s="2334"/>
      <c r="F204" s="2334"/>
      <c r="G204" s="2334"/>
      <c r="H204" s="2334"/>
      <c r="I204" s="2334"/>
      <c r="J204" s="2334"/>
      <c r="K204" s="2334"/>
      <c r="L204" s="2334"/>
      <c r="M204" s="2334"/>
      <c r="N204" s="2334"/>
      <c r="O204" s="2334"/>
      <c r="P204" s="2324"/>
      <c r="Q204" s="2324"/>
      <c r="R204" s="2325"/>
      <c r="S204" s="2324"/>
      <c r="T204" s="2324"/>
      <c r="U204" s="2326"/>
      <c r="V204" s="2327"/>
      <c r="W204" s="2327"/>
      <c r="X204" s="2327"/>
      <c r="Y204" s="2327"/>
      <c r="Z204" s="2327"/>
      <c r="AA204" s="2328"/>
      <c r="AB204" s="2329"/>
      <c r="AC204" s="2326"/>
      <c r="AD204" s="2330">
        <f t="shared" si="94"/>
        <v>0</v>
      </c>
      <c r="AE204" s="2330"/>
      <c r="AF204" s="2330"/>
      <c r="AG204" s="2330">
        <f t="shared" si="88"/>
        <v>0</v>
      </c>
      <c r="AH204" s="2330"/>
      <c r="AI204" s="2330"/>
      <c r="AJ204" s="2330">
        <f t="shared" si="95"/>
        <v>0</v>
      </c>
      <c r="AK204" s="2330"/>
      <c r="AL204" s="2330"/>
      <c r="AM204" s="2331">
        <f t="shared" si="82"/>
        <v>0</v>
      </c>
      <c r="AN204" s="2331"/>
      <c r="AO204" s="2331"/>
      <c r="AP204" s="2331"/>
      <c r="AQ204" s="2332">
        <f t="shared" si="96"/>
        <v>0</v>
      </c>
      <c r="AR204" s="2332"/>
      <c r="AS204" s="2332"/>
      <c r="AT204" s="2332">
        <f t="shared" si="97"/>
        <v>0</v>
      </c>
      <c r="AV204" s="151" t="str">
        <f t="shared" si="77"/>
        <v>STRUCTURAL CONCRETE</v>
      </c>
      <c r="AW204" s="681"/>
      <c r="AX204" s="230"/>
      <c r="AY204" s="230"/>
      <c r="AZ204" s="679"/>
      <c r="BA204" s="49">
        <f t="shared" si="98"/>
        <v>0</v>
      </c>
      <c r="BB204" s="49">
        <f t="shared" si="99"/>
        <v>0</v>
      </c>
      <c r="BC204" s="49">
        <f t="shared" si="100"/>
        <v>0</v>
      </c>
      <c r="BD204" s="49">
        <f t="shared" si="101"/>
        <v>0</v>
      </c>
      <c r="BE204" s="49">
        <f t="shared" si="102"/>
        <v>0</v>
      </c>
      <c r="BF204" s="49">
        <f t="shared" si="103"/>
        <v>0</v>
      </c>
      <c r="BG204" s="49">
        <f t="shared" si="104"/>
        <v>0</v>
      </c>
      <c r="BI204" s="134">
        <f t="shared" si="105"/>
        <v>0</v>
      </c>
      <c r="BJ204" s="134">
        <f t="shared" si="106"/>
        <v>0</v>
      </c>
      <c r="BK204" s="134">
        <f t="shared" si="107"/>
        <v>0</v>
      </c>
    </row>
    <row r="205" spans="1:63" hidden="1">
      <c r="A205" s="187"/>
      <c r="B205" s="2333"/>
      <c r="C205" s="2333"/>
      <c r="D205" s="2349"/>
      <c r="E205" s="2349"/>
      <c r="F205" s="2349"/>
      <c r="G205" s="2349"/>
      <c r="H205" s="2349"/>
      <c r="I205" s="2349"/>
      <c r="J205" s="2349"/>
      <c r="K205" s="2349"/>
      <c r="L205" s="2349"/>
      <c r="M205" s="2349"/>
      <c r="N205" s="2349"/>
      <c r="O205" s="2349"/>
      <c r="P205" s="2324"/>
      <c r="Q205" s="2324"/>
      <c r="R205" s="2325"/>
      <c r="S205" s="2324"/>
      <c r="T205" s="2324"/>
      <c r="U205" s="2326"/>
      <c r="V205" s="2327"/>
      <c r="W205" s="2327"/>
      <c r="X205" s="2327"/>
      <c r="Y205" s="2327"/>
      <c r="Z205" s="2327"/>
      <c r="AA205" s="2328"/>
      <c r="AB205" s="2329"/>
      <c r="AC205" s="2326"/>
      <c r="AD205" s="2330">
        <f t="shared" si="94"/>
        <v>0</v>
      </c>
      <c r="AE205" s="2330"/>
      <c r="AF205" s="2330"/>
      <c r="AG205" s="2330">
        <f t="shared" si="88"/>
        <v>0</v>
      </c>
      <c r="AH205" s="2330"/>
      <c r="AI205" s="2330"/>
      <c r="AJ205" s="2330">
        <f t="shared" si="95"/>
        <v>0</v>
      </c>
      <c r="AK205" s="2330"/>
      <c r="AL205" s="2330"/>
      <c r="AM205" s="2331">
        <f t="shared" si="82"/>
        <v>0</v>
      </c>
      <c r="AN205" s="2331"/>
      <c r="AO205" s="2331"/>
      <c r="AP205" s="2331"/>
      <c r="AQ205" s="2332">
        <f t="shared" si="96"/>
        <v>0</v>
      </c>
      <c r="AR205" s="2332"/>
      <c r="AS205" s="2332"/>
      <c r="AT205" s="2332">
        <f t="shared" si="97"/>
        <v>0</v>
      </c>
      <c r="AV205" s="151" t="str">
        <f t="shared" si="77"/>
        <v>STRUCTURAL CONCRETE</v>
      </c>
      <c r="AW205" s="681"/>
      <c r="AX205" s="230"/>
      <c r="AY205" s="230"/>
      <c r="AZ205" s="679"/>
      <c r="BA205" s="49">
        <f t="shared" si="98"/>
        <v>0</v>
      </c>
      <c r="BB205" s="49">
        <f t="shared" si="99"/>
        <v>0</v>
      </c>
      <c r="BC205" s="49">
        <f t="shared" si="100"/>
        <v>0</v>
      </c>
      <c r="BD205" s="49">
        <f t="shared" si="101"/>
        <v>0</v>
      </c>
      <c r="BE205" s="49">
        <f t="shared" si="102"/>
        <v>0</v>
      </c>
      <c r="BF205" s="49">
        <f t="shared" si="103"/>
        <v>0</v>
      </c>
      <c r="BG205" s="49">
        <f t="shared" si="104"/>
        <v>0</v>
      </c>
      <c r="BI205" s="134">
        <f t="shared" si="105"/>
        <v>0</v>
      </c>
      <c r="BJ205" s="134">
        <f t="shared" si="106"/>
        <v>0</v>
      </c>
      <c r="BK205" s="134">
        <f t="shared" si="107"/>
        <v>0</v>
      </c>
    </row>
    <row r="206" spans="1:63" hidden="1">
      <c r="A206" s="187"/>
      <c r="B206" s="2333"/>
      <c r="C206" s="2333"/>
      <c r="D206" s="2334"/>
      <c r="E206" s="2334"/>
      <c r="F206" s="2334"/>
      <c r="G206" s="2334"/>
      <c r="H206" s="2334"/>
      <c r="I206" s="2334"/>
      <c r="J206" s="2334"/>
      <c r="K206" s="2334"/>
      <c r="L206" s="2334"/>
      <c r="M206" s="2334"/>
      <c r="N206" s="2334"/>
      <c r="O206" s="2334"/>
      <c r="P206" s="2324"/>
      <c r="Q206" s="2324"/>
      <c r="R206" s="2325"/>
      <c r="S206" s="2324"/>
      <c r="T206" s="2324"/>
      <c r="U206" s="2326"/>
      <c r="V206" s="2327"/>
      <c r="W206" s="2327"/>
      <c r="X206" s="2327"/>
      <c r="Y206" s="2327"/>
      <c r="Z206" s="2327"/>
      <c r="AA206" s="2328"/>
      <c r="AB206" s="2329"/>
      <c r="AC206" s="2326"/>
      <c r="AD206" s="2330">
        <f t="shared" si="94"/>
        <v>0</v>
      </c>
      <c r="AE206" s="2330"/>
      <c r="AF206" s="2330"/>
      <c r="AG206" s="2330">
        <f t="shared" si="88"/>
        <v>0</v>
      </c>
      <c r="AH206" s="2330"/>
      <c r="AI206" s="2330"/>
      <c r="AJ206" s="2330">
        <f t="shared" si="95"/>
        <v>0</v>
      </c>
      <c r="AK206" s="2330"/>
      <c r="AL206" s="2330"/>
      <c r="AM206" s="2331">
        <f t="shared" si="82"/>
        <v>0</v>
      </c>
      <c r="AN206" s="2331"/>
      <c r="AO206" s="2331"/>
      <c r="AP206" s="2331"/>
      <c r="AQ206" s="2332">
        <f t="shared" si="96"/>
        <v>0</v>
      </c>
      <c r="AR206" s="2332"/>
      <c r="AS206" s="2332"/>
      <c r="AT206" s="2332">
        <f t="shared" si="97"/>
        <v>0</v>
      </c>
      <c r="AV206" s="151" t="str">
        <f t="shared" si="77"/>
        <v>STRUCTURAL CONCRETE</v>
      </c>
      <c r="AW206" s="681"/>
      <c r="AX206" s="230"/>
      <c r="AY206" s="230"/>
      <c r="AZ206" s="679"/>
      <c r="BA206" s="49">
        <f t="shared" si="98"/>
        <v>0</v>
      </c>
      <c r="BB206" s="49">
        <f t="shared" si="99"/>
        <v>0</v>
      </c>
      <c r="BC206" s="49">
        <f t="shared" si="100"/>
        <v>0</v>
      </c>
      <c r="BD206" s="49">
        <f t="shared" si="101"/>
        <v>0</v>
      </c>
      <c r="BE206" s="49">
        <f t="shared" si="102"/>
        <v>0</v>
      </c>
      <c r="BF206" s="49">
        <f t="shared" si="103"/>
        <v>0</v>
      </c>
      <c r="BG206" s="49">
        <f t="shared" si="104"/>
        <v>0</v>
      </c>
      <c r="BI206" s="134">
        <f t="shared" si="105"/>
        <v>0</v>
      </c>
      <c r="BJ206" s="134">
        <f t="shared" si="106"/>
        <v>0</v>
      </c>
      <c r="BK206" s="134">
        <f t="shared" si="107"/>
        <v>0</v>
      </c>
    </row>
    <row r="207" spans="1:63" hidden="1">
      <c r="A207" s="187"/>
      <c r="B207" s="2333"/>
      <c r="C207" s="2333"/>
      <c r="D207" s="2349"/>
      <c r="E207" s="2349"/>
      <c r="F207" s="2349"/>
      <c r="G207" s="2349"/>
      <c r="H207" s="2349"/>
      <c r="I207" s="2349"/>
      <c r="J207" s="2349"/>
      <c r="K207" s="2349"/>
      <c r="L207" s="2349"/>
      <c r="M207" s="2349"/>
      <c r="N207" s="2349"/>
      <c r="O207" s="2349"/>
      <c r="P207" s="2324"/>
      <c r="Q207" s="2324"/>
      <c r="R207" s="2325"/>
      <c r="S207" s="2324"/>
      <c r="T207" s="2324"/>
      <c r="U207" s="2326"/>
      <c r="V207" s="2327"/>
      <c r="W207" s="2327"/>
      <c r="X207" s="2327"/>
      <c r="Y207" s="2327"/>
      <c r="Z207" s="2327"/>
      <c r="AA207" s="2328"/>
      <c r="AB207" s="2329"/>
      <c r="AC207" s="2326"/>
      <c r="AD207" s="2330">
        <f t="shared" si="94"/>
        <v>0</v>
      </c>
      <c r="AE207" s="2330"/>
      <c r="AF207" s="2330"/>
      <c r="AG207" s="2330">
        <f t="shared" si="88"/>
        <v>0</v>
      </c>
      <c r="AH207" s="2330"/>
      <c r="AI207" s="2330"/>
      <c r="AJ207" s="2330">
        <f t="shared" si="95"/>
        <v>0</v>
      </c>
      <c r="AK207" s="2330"/>
      <c r="AL207" s="2330"/>
      <c r="AM207" s="2331">
        <f t="shared" si="82"/>
        <v>0</v>
      </c>
      <c r="AN207" s="2331"/>
      <c r="AO207" s="2331"/>
      <c r="AP207" s="2331"/>
      <c r="AQ207" s="2332">
        <f t="shared" si="96"/>
        <v>0</v>
      </c>
      <c r="AR207" s="2332"/>
      <c r="AS207" s="2332"/>
      <c r="AT207" s="2332">
        <f t="shared" si="97"/>
        <v>0</v>
      </c>
      <c r="AV207" s="151" t="str">
        <f t="shared" si="77"/>
        <v>STRUCTURAL CONCRETE</v>
      </c>
      <c r="AW207" s="681"/>
      <c r="AX207" s="230"/>
      <c r="AY207" s="230"/>
      <c r="AZ207" s="679"/>
      <c r="BA207" s="49">
        <f t="shared" si="98"/>
        <v>0</v>
      </c>
      <c r="BB207" s="49">
        <f t="shared" si="99"/>
        <v>0</v>
      </c>
      <c r="BC207" s="49">
        <f t="shared" si="100"/>
        <v>0</v>
      </c>
      <c r="BD207" s="49">
        <f t="shared" si="101"/>
        <v>0</v>
      </c>
      <c r="BE207" s="49">
        <f t="shared" si="102"/>
        <v>0</v>
      </c>
      <c r="BF207" s="49">
        <f t="shared" si="103"/>
        <v>0</v>
      </c>
      <c r="BG207" s="49">
        <f t="shared" si="104"/>
        <v>0</v>
      </c>
      <c r="BI207" s="134">
        <f t="shared" si="105"/>
        <v>0</v>
      </c>
      <c r="BJ207" s="134">
        <f t="shared" si="106"/>
        <v>0</v>
      </c>
      <c r="BK207" s="134">
        <f t="shared" si="107"/>
        <v>0</v>
      </c>
    </row>
    <row r="208" spans="1:63" hidden="1">
      <c r="A208" s="187"/>
      <c r="B208" s="2333"/>
      <c r="C208" s="2333"/>
      <c r="D208" s="2334"/>
      <c r="E208" s="2334"/>
      <c r="F208" s="2334"/>
      <c r="G208" s="2334"/>
      <c r="H208" s="2334"/>
      <c r="I208" s="2334"/>
      <c r="J208" s="2334"/>
      <c r="K208" s="2334"/>
      <c r="L208" s="2334"/>
      <c r="M208" s="2334"/>
      <c r="N208" s="2334"/>
      <c r="O208" s="2334"/>
      <c r="P208" s="2324"/>
      <c r="Q208" s="2324"/>
      <c r="R208" s="2325"/>
      <c r="S208" s="2324"/>
      <c r="T208" s="2324"/>
      <c r="U208" s="2326"/>
      <c r="V208" s="2327"/>
      <c r="W208" s="2327"/>
      <c r="X208" s="2327"/>
      <c r="Y208" s="2327"/>
      <c r="Z208" s="2327"/>
      <c r="AA208" s="2328"/>
      <c r="AB208" s="2329"/>
      <c r="AC208" s="2326"/>
      <c r="AD208" s="2330">
        <f t="shared" si="80"/>
        <v>0</v>
      </c>
      <c r="AE208" s="2330"/>
      <c r="AF208" s="2330"/>
      <c r="AG208" s="2330">
        <f t="shared" si="88"/>
        <v>0</v>
      </c>
      <c r="AH208" s="2330"/>
      <c r="AI208" s="2330"/>
      <c r="AJ208" s="2330">
        <f t="shared" si="81"/>
        <v>0</v>
      </c>
      <c r="AK208" s="2330"/>
      <c r="AL208" s="2330"/>
      <c r="AM208" s="2331">
        <f t="shared" si="82"/>
        <v>0</v>
      </c>
      <c r="AN208" s="2331"/>
      <c r="AO208" s="2331"/>
      <c r="AP208" s="2331"/>
      <c r="AQ208" s="2332">
        <f t="shared" si="83"/>
        <v>0</v>
      </c>
      <c r="AR208" s="2332"/>
      <c r="AS208" s="2332"/>
      <c r="AT208" s="2332">
        <f t="shared" si="84"/>
        <v>0</v>
      </c>
      <c r="AV208" s="151" t="str">
        <f t="shared" si="77"/>
        <v>STRUCTURAL CONCRETE</v>
      </c>
      <c r="AW208" s="681"/>
      <c r="AX208" s="230"/>
      <c r="AY208" s="230"/>
      <c r="AZ208" s="679"/>
      <c r="BA208" s="49">
        <f t="shared" si="85"/>
        <v>0</v>
      </c>
      <c r="BB208" s="49">
        <f t="shared" si="89"/>
        <v>0</v>
      </c>
      <c r="BC208" s="49">
        <f t="shared" si="90"/>
        <v>0</v>
      </c>
      <c r="BD208" s="49">
        <f t="shared" si="86"/>
        <v>0</v>
      </c>
      <c r="BE208" s="49">
        <f t="shared" ref="BE208:BE217" si="108">SUM(BA208:BC208)</f>
        <v>0</v>
      </c>
      <c r="BF208" s="49">
        <f t="shared" si="78"/>
        <v>0</v>
      </c>
      <c r="BG208" s="49">
        <f t="shared" si="79"/>
        <v>0</v>
      </c>
      <c r="BI208" s="134">
        <f t="shared" si="92"/>
        <v>0</v>
      </c>
      <c r="BJ208" s="134">
        <f t="shared" si="87"/>
        <v>0</v>
      </c>
      <c r="BK208" s="134">
        <f t="shared" si="93"/>
        <v>0</v>
      </c>
    </row>
    <row r="209" spans="1:63" hidden="1">
      <c r="A209" s="187"/>
      <c r="B209" s="2333"/>
      <c r="C209" s="2333"/>
      <c r="D209" s="2349"/>
      <c r="E209" s="2349"/>
      <c r="F209" s="2349"/>
      <c r="G209" s="2349"/>
      <c r="H209" s="2349"/>
      <c r="I209" s="2349"/>
      <c r="J209" s="2349"/>
      <c r="K209" s="2349"/>
      <c r="L209" s="2349"/>
      <c r="M209" s="2349"/>
      <c r="N209" s="2349"/>
      <c r="O209" s="2349"/>
      <c r="P209" s="2324"/>
      <c r="Q209" s="2324"/>
      <c r="R209" s="2325"/>
      <c r="S209" s="2324"/>
      <c r="T209" s="2324"/>
      <c r="U209" s="2326"/>
      <c r="V209" s="2327"/>
      <c r="W209" s="2327"/>
      <c r="X209" s="2327"/>
      <c r="Y209" s="2327"/>
      <c r="Z209" s="2327"/>
      <c r="AA209" s="2328"/>
      <c r="AB209" s="2329"/>
      <c r="AC209" s="2326"/>
      <c r="AD209" s="2330">
        <f t="shared" si="80"/>
        <v>0</v>
      </c>
      <c r="AE209" s="2330"/>
      <c r="AF209" s="2330"/>
      <c r="AG209" s="2330">
        <f t="shared" si="88"/>
        <v>0</v>
      </c>
      <c r="AH209" s="2330"/>
      <c r="AI209" s="2330"/>
      <c r="AJ209" s="2330">
        <f t="shared" si="81"/>
        <v>0</v>
      </c>
      <c r="AK209" s="2330"/>
      <c r="AL209" s="2330"/>
      <c r="AM209" s="2331">
        <f t="shared" si="82"/>
        <v>0</v>
      </c>
      <c r="AN209" s="2331"/>
      <c r="AO209" s="2331"/>
      <c r="AP209" s="2331"/>
      <c r="AQ209" s="2332">
        <f t="shared" si="83"/>
        <v>0</v>
      </c>
      <c r="AR209" s="2332"/>
      <c r="AS209" s="2332"/>
      <c r="AT209" s="2332">
        <f t="shared" si="84"/>
        <v>0</v>
      </c>
      <c r="AV209" s="151" t="str">
        <f t="shared" si="77"/>
        <v>STRUCTURAL CONCRETE</v>
      </c>
      <c r="AW209" s="681"/>
      <c r="AX209" s="230"/>
      <c r="AY209" s="230"/>
      <c r="AZ209" s="679"/>
      <c r="BA209" s="49">
        <f t="shared" si="85"/>
        <v>0</v>
      </c>
      <c r="BB209" s="49">
        <f t="shared" si="89"/>
        <v>0</v>
      </c>
      <c r="BC209" s="49">
        <f t="shared" si="90"/>
        <v>0</v>
      </c>
      <c r="BD209" s="49">
        <f t="shared" si="86"/>
        <v>0</v>
      </c>
      <c r="BE209" s="49">
        <f t="shared" si="108"/>
        <v>0</v>
      </c>
      <c r="BF209" s="49">
        <f t="shared" si="78"/>
        <v>0</v>
      </c>
      <c r="BG209" s="49">
        <f t="shared" si="79"/>
        <v>0</v>
      </c>
      <c r="BI209" s="134">
        <f t="shared" si="92"/>
        <v>0</v>
      </c>
      <c r="BJ209" s="134">
        <f t="shared" si="87"/>
        <v>0</v>
      </c>
      <c r="BK209" s="134">
        <f t="shared" si="93"/>
        <v>0</v>
      </c>
    </row>
    <row r="210" spans="1:63" hidden="1">
      <c r="A210" s="187"/>
      <c r="B210" s="2333"/>
      <c r="C210" s="2333"/>
      <c r="D210" s="2334"/>
      <c r="E210" s="2334"/>
      <c r="F210" s="2334"/>
      <c r="G210" s="2334"/>
      <c r="H210" s="2334"/>
      <c r="I210" s="2334"/>
      <c r="J210" s="2334"/>
      <c r="K210" s="2334"/>
      <c r="L210" s="2334"/>
      <c r="M210" s="2334"/>
      <c r="N210" s="2334"/>
      <c r="O210" s="2334"/>
      <c r="P210" s="2324"/>
      <c r="Q210" s="2324"/>
      <c r="R210" s="2325"/>
      <c r="S210" s="2324"/>
      <c r="T210" s="2324"/>
      <c r="U210" s="2326"/>
      <c r="V210" s="2327"/>
      <c r="W210" s="2327"/>
      <c r="X210" s="2327"/>
      <c r="Y210" s="2327"/>
      <c r="Z210" s="2327"/>
      <c r="AA210" s="2328"/>
      <c r="AB210" s="2329"/>
      <c r="AC210" s="2326"/>
      <c r="AD210" s="2330">
        <f>((P210*U210)-AM210)</f>
        <v>0</v>
      </c>
      <c r="AE210" s="2330"/>
      <c r="AF210" s="2330"/>
      <c r="AG210" s="2330">
        <f t="shared" si="88"/>
        <v>0</v>
      </c>
      <c r="AH210" s="2330"/>
      <c r="AI210" s="2330"/>
      <c r="AJ210" s="2330">
        <f>P210*AA210</f>
        <v>0</v>
      </c>
      <c r="AK210" s="2330"/>
      <c r="AL210" s="2330"/>
      <c r="AM210" s="2331">
        <f t="shared" si="82"/>
        <v>0</v>
      </c>
      <c r="AN210" s="2331"/>
      <c r="AO210" s="2331"/>
      <c r="AP210" s="2331"/>
      <c r="AQ210" s="2332">
        <f>SUM(AD210:AL210)</f>
        <v>0</v>
      </c>
      <c r="AR210" s="2332"/>
      <c r="AS210" s="2332"/>
      <c r="AT210" s="2332">
        <f>SUM(AD210:AL210)</f>
        <v>0</v>
      </c>
      <c r="AV210" s="151" t="str">
        <f t="shared" si="77"/>
        <v>STRUCTURAL CONCRETE</v>
      </c>
      <c r="AW210" s="681"/>
      <c r="AX210" s="230"/>
      <c r="AY210" s="230"/>
      <c r="AZ210" s="679"/>
      <c r="BA210" s="49">
        <f>AD210</f>
        <v>0</v>
      </c>
      <c r="BB210" s="49">
        <f>AG210</f>
        <v>0</v>
      </c>
      <c r="BC210" s="49">
        <f>AJ210</f>
        <v>0</v>
      </c>
      <c r="BD210" s="49">
        <f>IF(B210="x",1,0)</f>
        <v>0</v>
      </c>
      <c r="BE210" s="49">
        <f t="shared" si="108"/>
        <v>0</v>
      </c>
      <c r="BF210" s="49">
        <f>AQ210</f>
        <v>0</v>
      </c>
      <c r="BG210" s="49">
        <f>AM210</f>
        <v>0</v>
      </c>
      <c r="BI210" s="134">
        <f>AD210</f>
        <v>0</v>
      </c>
      <c r="BJ210" s="134">
        <f>AM210</f>
        <v>0</v>
      </c>
      <c r="BK210" s="134">
        <f>BJ210+BI210</f>
        <v>0</v>
      </c>
    </row>
    <row r="211" spans="1:63" hidden="1">
      <c r="A211" s="187"/>
      <c r="B211" s="2333"/>
      <c r="C211" s="2333"/>
      <c r="D211" s="2349"/>
      <c r="E211" s="2349"/>
      <c r="F211" s="2349"/>
      <c r="G211" s="2349"/>
      <c r="H211" s="2349"/>
      <c r="I211" s="2349"/>
      <c r="J211" s="2349"/>
      <c r="K211" s="2349"/>
      <c r="L211" s="2349"/>
      <c r="M211" s="2349"/>
      <c r="N211" s="2349"/>
      <c r="O211" s="2349"/>
      <c r="P211" s="2324"/>
      <c r="Q211" s="2324"/>
      <c r="R211" s="2325"/>
      <c r="S211" s="2324"/>
      <c r="T211" s="2324"/>
      <c r="U211" s="2326"/>
      <c r="V211" s="2327"/>
      <c r="W211" s="2327"/>
      <c r="X211" s="2327"/>
      <c r="Y211" s="2327"/>
      <c r="Z211" s="2327"/>
      <c r="AA211" s="2328"/>
      <c r="AB211" s="2329"/>
      <c r="AC211" s="2326"/>
      <c r="AD211" s="2330">
        <f>((P211*U211)-AM211)</f>
        <v>0</v>
      </c>
      <c r="AE211" s="2330"/>
      <c r="AF211" s="2330"/>
      <c r="AG211" s="2330">
        <f t="shared" si="88"/>
        <v>0</v>
      </c>
      <c r="AH211" s="2330"/>
      <c r="AI211" s="2330"/>
      <c r="AJ211" s="2330">
        <f>P211*AA211</f>
        <v>0</v>
      </c>
      <c r="AK211" s="2330"/>
      <c r="AL211" s="2330"/>
      <c r="AM211" s="2331">
        <f t="shared" si="82"/>
        <v>0</v>
      </c>
      <c r="AN211" s="2331"/>
      <c r="AO211" s="2331"/>
      <c r="AP211" s="2331"/>
      <c r="AQ211" s="2332">
        <f>SUM(AD211:AL211)</f>
        <v>0</v>
      </c>
      <c r="AR211" s="2332"/>
      <c r="AS211" s="2332"/>
      <c r="AT211" s="2332">
        <f>SUM(AD211:AL211)</f>
        <v>0</v>
      </c>
      <c r="AV211" s="151" t="str">
        <f t="shared" si="77"/>
        <v>STRUCTURAL CONCRETE</v>
      </c>
      <c r="AW211" s="681"/>
      <c r="AX211" s="230"/>
      <c r="AY211" s="230"/>
      <c r="AZ211" s="679"/>
      <c r="BA211" s="49">
        <f>AD211</f>
        <v>0</v>
      </c>
      <c r="BB211" s="49">
        <f>AG211</f>
        <v>0</v>
      </c>
      <c r="BC211" s="49">
        <f>AJ211</f>
        <v>0</v>
      </c>
      <c r="BD211" s="49">
        <f>IF(B211="x",1,0)</f>
        <v>0</v>
      </c>
      <c r="BE211" s="49">
        <f t="shared" si="108"/>
        <v>0</v>
      </c>
      <c r="BF211" s="49">
        <f>AQ211</f>
        <v>0</v>
      </c>
      <c r="BG211" s="49">
        <f>AM211</f>
        <v>0</v>
      </c>
      <c r="BI211" s="134">
        <f>AD211</f>
        <v>0</v>
      </c>
      <c r="BJ211" s="134">
        <f>AM211</f>
        <v>0</v>
      </c>
      <c r="BK211" s="134">
        <f>BJ211+BI211</f>
        <v>0</v>
      </c>
    </row>
    <row r="212" spans="1:63" hidden="1">
      <c r="A212" s="187"/>
      <c r="B212" s="2333"/>
      <c r="C212" s="2333"/>
      <c r="D212" s="2334"/>
      <c r="E212" s="2334"/>
      <c r="F212" s="2334"/>
      <c r="G212" s="2334"/>
      <c r="H212" s="2334"/>
      <c r="I212" s="2334"/>
      <c r="J212" s="2334"/>
      <c r="K212" s="2334"/>
      <c r="L212" s="2334"/>
      <c r="M212" s="2334"/>
      <c r="N212" s="2334"/>
      <c r="O212" s="2334"/>
      <c r="P212" s="2324"/>
      <c r="Q212" s="2324"/>
      <c r="R212" s="2325"/>
      <c r="S212" s="2324"/>
      <c r="T212" s="2324"/>
      <c r="U212" s="2326"/>
      <c r="V212" s="2327"/>
      <c r="W212" s="2327"/>
      <c r="X212" s="2327"/>
      <c r="Y212" s="2327"/>
      <c r="Z212" s="2327"/>
      <c r="AA212" s="2328"/>
      <c r="AB212" s="2329"/>
      <c r="AC212" s="2326"/>
      <c r="AD212" s="2330">
        <f>((P212*U212)-AM212)</f>
        <v>0</v>
      </c>
      <c r="AE212" s="2330"/>
      <c r="AF212" s="2330"/>
      <c r="AG212" s="2330">
        <f t="shared" si="88"/>
        <v>0</v>
      </c>
      <c r="AH212" s="2330"/>
      <c r="AI212" s="2330"/>
      <c r="AJ212" s="2330">
        <f>P212*AA212</f>
        <v>0</v>
      </c>
      <c r="AK212" s="2330"/>
      <c r="AL212" s="2330"/>
      <c r="AM212" s="2331">
        <f t="shared" si="82"/>
        <v>0</v>
      </c>
      <c r="AN212" s="2331"/>
      <c r="AO212" s="2331"/>
      <c r="AP212" s="2331"/>
      <c r="AQ212" s="2332">
        <f>SUM(AD212:AL212)</f>
        <v>0</v>
      </c>
      <c r="AR212" s="2332"/>
      <c r="AS212" s="2332"/>
      <c r="AT212" s="2332">
        <f>SUM(AD212:AL212)</f>
        <v>0</v>
      </c>
      <c r="AV212" s="151" t="str">
        <f t="shared" si="77"/>
        <v>STRUCTURAL CONCRETE</v>
      </c>
      <c r="AW212" s="681"/>
      <c r="AX212" s="230"/>
      <c r="AY212" s="230"/>
      <c r="AZ212" s="679"/>
      <c r="BA212" s="49">
        <f>AD212</f>
        <v>0</v>
      </c>
      <c r="BB212" s="49">
        <f>AG212</f>
        <v>0</v>
      </c>
      <c r="BC212" s="49">
        <f>AJ212</f>
        <v>0</v>
      </c>
      <c r="BD212" s="49">
        <f>IF(B212="x",1,0)</f>
        <v>0</v>
      </c>
      <c r="BE212" s="49">
        <f t="shared" si="108"/>
        <v>0</v>
      </c>
      <c r="BF212" s="49">
        <f>AQ212</f>
        <v>0</v>
      </c>
      <c r="BG212" s="49">
        <f>AM212</f>
        <v>0</v>
      </c>
      <c r="BI212" s="134">
        <f>AD212</f>
        <v>0</v>
      </c>
      <c r="BJ212" s="134">
        <f>AM212</f>
        <v>0</v>
      </c>
      <c r="BK212" s="134">
        <f>BJ212+BI212</f>
        <v>0</v>
      </c>
    </row>
    <row r="213" spans="1:63" hidden="1">
      <c r="A213" s="187"/>
      <c r="B213" s="2333"/>
      <c r="C213" s="2333"/>
      <c r="D213" s="2349"/>
      <c r="E213" s="2349"/>
      <c r="F213" s="2349"/>
      <c r="G213" s="2349"/>
      <c r="H213" s="2349"/>
      <c r="I213" s="2349"/>
      <c r="J213" s="2349"/>
      <c r="K213" s="2349"/>
      <c r="L213" s="2349"/>
      <c r="M213" s="2349"/>
      <c r="N213" s="2349"/>
      <c r="O213" s="2349"/>
      <c r="P213" s="2324"/>
      <c r="Q213" s="2324"/>
      <c r="R213" s="2325"/>
      <c r="S213" s="2324"/>
      <c r="T213" s="2324"/>
      <c r="U213" s="2326"/>
      <c r="V213" s="2327"/>
      <c r="W213" s="2327"/>
      <c r="X213" s="2327"/>
      <c r="Y213" s="2327"/>
      <c r="Z213" s="2327"/>
      <c r="AA213" s="2328"/>
      <c r="AB213" s="2329"/>
      <c r="AC213" s="2326"/>
      <c r="AD213" s="2330">
        <f>((P213*U213)-AM213)</f>
        <v>0</v>
      </c>
      <c r="AE213" s="2330"/>
      <c r="AF213" s="2330"/>
      <c r="AG213" s="2330">
        <f t="shared" si="88"/>
        <v>0</v>
      </c>
      <c r="AH213" s="2330"/>
      <c r="AI213" s="2330"/>
      <c r="AJ213" s="2330">
        <f>P213*AA213</f>
        <v>0</v>
      </c>
      <c r="AK213" s="2330"/>
      <c r="AL213" s="2330"/>
      <c r="AM213" s="2331">
        <f t="shared" si="82"/>
        <v>0</v>
      </c>
      <c r="AN213" s="2331"/>
      <c r="AO213" s="2331"/>
      <c r="AP213" s="2331"/>
      <c r="AQ213" s="2332">
        <f>SUM(AD213:AL213)</f>
        <v>0</v>
      </c>
      <c r="AR213" s="2332"/>
      <c r="AS213" s="2332"/>
      <c r="AT213" s="2332">
        <f>SUM(AD213:AL213)</f>
        <v>0</v>
      </c>
      <c r="AV213" s="151" t="str">
        <f t="shared" si="77"/>
        <v>STRUCTURAL CONCRETE</v>
      </c>
      <c r="AW213" s="681"/>
      <c r="AX213" s="230"/>
      <c r="AY213" s="230"/>
      <c r="AZ213" s="679"/>
      <c r="BA213" s="49">
        <f>AD213</f>
        <v>0</v>
      </c>
      <c r="BB213" s="49">
        <f>AG213</f>
        <v>0</v>
      </c>
      <c r="BC213" s="49">
        <f>AJ213</f>
        <v>0</v>
      </c>
      <c r="BD213" s="49">
        <f>IF(B213="x",1,0)</f>
        <v>0</v>
      </c>
      <c r="BE213" s="49">
        <f t="shared" si="108"/>
        <v>0</v>
      </c>
      <c r="BF213" s="49">
        <f>AQ213</f>
        <v>0</v>
      </c>
      <c r="BG213" s="49">
        <f>AM213</f>
        <v>0</v>
      </c>
      <c r="BI213" s="134">
        <f>AD213</f>
        <v>0</v>
      </c>
      <c r="BJ213" s="134">
        <f>AM213</f>
        <v>0</v>
      </c>
      <c r="BK213" s="134">
        <f>BJ213+BI213</f>
        <v>0</v>
      </c>
    </row>
    <row r="214" spans="1:63" hidden="1">
      <c r="A214" s="187"/>
      <c r="B214" s="2333"/>
      <c r="C214" s="2333"/>
      <c r="D214" s="2334"/>
      <c r="E214" s="2334"/>
      <c r="F214" s="2334"/>
      <c r="G214" s="2334"/>
      <c r="H214" s="2334"/>
      <c r="I214" s="2334"/>
      <c r="J214" s="2334"/>
      <c r="K214" s="2334"/>
      <c r="L214" s="2334"/>
      <c r="M214" s="2334"/>
      <c r="N214" s="2334"/>
      <c r="O214" s="2334"/>
      <c r="P214" s="2324"/>
      <c r="Q214" s="2324"/>
      <c r="R214" s="2325"/>
      <c r="S214" s="2324"/>
      <c r="T214" s="2324"/>
      <c r="U214" s="2326"/>
      <c r="V214" s="2327"/>
      <c r="W214" s="2327"/>
      <c r="X214" s="2327"/>
      <c r="Y214" s="2327"/>
      <c r="Z214" s="2327"/>
      <c r="AA214" s="2328"/>
      <c r="AB214" s="2329"/>
      <c r="AC214" s="2326"/>
      <c r="AD214" s="2330">
        <f t="shared" si="80"/>
        <v>0</v>
      </c>
      <c r="AE214" s="2330"/>
      <c r="AF214" s="2330"/>
      <c r="AG214" s="2330">
        <f t="shared" si="88"/>
        <v>0</v>
      </c>
      <c r="AH214" s="2330"/>
      <c r="AI214" s="2330"/>
      <c r="AJ214" s="2330">
        <f t="shared" si="81"/>
        <v>0</v>
      </c>
      <c r="AK214" s="2330"/>
      <c r="AL214" s="2330"/>
      <c r="AM214" s="2331">
        <f t="shared" si="82"/>
        <v>0</v>
      </c>
      <c r="AN214" s="2331"/>
      <c r="AO214" s="2331"/>
      <c r="AP214" s="2331"/>
      <c r="AQ214" s="2332">
        <f t="shared" si="83"/>
        <v>0</v>
      </c>
      <c r="AR214" s="2332"/>
      <c r="AS214" s="2332"/>
      <c r="AT214" s="2332">
        <f t="shared" si="84"/>
        <v>0</v>
      </c>
      <c r="AV214" s="151" t="str">
        <f t="shared" si="77"/>
        <v>STRUCTURAL CONCRETE</v>
      </c>
      <c r="AW214" s="681"/>
      <c r="AX214" s="230"/>
      <c r="AY214" s="230"/>
      <c r="AZ214" s="679"/>
      <c r="BA214" s="49">
        <f t="shared" si="85"/>
        <v>0</v>
      </c>
      <c r="BB214" s="49">
        <f t="shared" si="89"/>
        <v>0</v>
      </c>
      <c r="BC214" s="49">
        <f t="shared" si="90"/>
        <v>0</v>
      </c>
      <c r="BD214" s="49">
        <f t="shared" si="86"/>
        <v>0</v>
      </c>
      <c r="BE214" s="49">
        <f t="shared" si="108"/>
        <v>0</v>
      </c>
      <c r="BF214" s="49">
        <f t="shared" si="78"/>
        <v>0</v>
      </c>
      <c r="BG214" s="49">
        <f t="shared" si="79"/>
        <v>0</v>
      </c>
      <c r="BI214" s="134">
        <f t="shared" si="92"/>
        <v>0</v>
      </c>
      <c r="BJ214" s="134">
        <f t="shared" si="87"/>
        <v>0</v>
      </c>
      <c r="BK214" s="134">
        <f t="shared" si="93"/>
        <v>0</v>
      </c>
    </row>
    <row r="215" spans="1:63" hidden="1">
      <c r="A215" s="187"/>
      <c r="B215" s="2333"/>
      <c r="C215" s="2333"/>
      <c r="D215" s="2349"/>
      <c r="E215" s="2349"/>
      <c r="F215" s="2349"/>
      <c r="G215" s="2349"/>
      <c r="H215" s="2349"/>
      <c r="I215" s="2349"/>
      <c r="J215" s="2349"/>
      <c r="K215" s="2349"/>
      <c r="L215" s="2349"/>
      <c r="M215" s="2349"/>
      <c r="N215" s="2349"/>
      <c r="O215" s="2349"/>
      <c r="P215" s="2324"/>
      <c r="Q215" s="2324"/>
      <c r="R215" s="2325"/>
      <c r="S215" s="2324"/>
      <c r="T215" s="2324"/>
      <c r="U215" s="2326"/>
      <c r="V215" s="2327"/>
      <c r="W215" s="2327"/>
      <c r="X215" s="2327"/>
      <c r="Y215" s="2327"/>
      <c r="Z215" s="2327"/>
      <c r="AA215" s="2328"/>
      <c r="AB215" s="2329"/>
      <c r="AC215" s="2326"/>
      <c r="AD215" s="2330">
        <f t="shared" si="80"/>
        <v>0</v>
      </c>
      <c r="AE215" s="2330"/>
      <c r="AF215" s="2330"/>
      <c r="AG215" s="2330">
        <f t="shared" si="88"/>
        <v>0</v>
      </c>
      <c r="AH215" s="2330"/>
      <c r="AI215" s="2330"/>
      <c r="AJ215" s="2330">
        <f t="shared" si="81"/>
        <v>0</v>
      </c>
      <c r="AK215" s="2330"/>
      <c r="AL215" s="2330"/>
      <c r="AM215" s="2331">
        <f t="shared" si="82"/>
        <v>0</v>
      </c>
      <c r="AN215" s="2331"/>
      <c r="AO215" s="2331"/>
      <c r="AP215" s="2331"/>
      <c r="AQ215" s="2332">
        <f t="shared" si="83"/>
        <v>0</v>
      </c>
      <c r="AR215" s="2332"/>
      <c r="AS215" s="2332"/>
      <c r="AT215" s="2332">
        <f t="shared" si="84"/>
        <v>0</v>
      </c>
      <c r="AV215" s="151" t="str">
        <f t="shared" si="77"/>
        <v>STRUCTURAL CONCRETE</v>
      </c>
      <c r="AW215" s="681"/>
      <c r="AX215" s="230"/>
      <c r="AY215" s="230"/>
      <c r="AZ215" s="679"/>
      <c r="BA215" s="49">
        <f t="shared" si="85"/>
        <v>0</v>
      </c>
      <c r="BB215" s="49">
        <f t="shared" si="89"/>
        <v>0</v>
      </c>
      <c r="BC215" s="49">
        <f t="shared" si="90"/>
        <v>0</v>
      </c>
      <c r="BD215" s="49">
        <f t="shared" si="86"/>
        <v>0</v>
      </c>
      <c r="BE215" s="49">
        <f t="shared" si="108"/>
        <v>0</v>
      </c>
      <c r="BF215" s="49">
        <f t="shared" si="78"/>
        <v>0</v>
      </c>
      <c r="BG215" s="49">
        <f t="shared" si="79"/>
        <v>0</v>
      </c>
      <c r="BI215" s="134">
        <f t="shared" si="92"/>
        <v>0</v>
      </c>
      <c r="BJ215" s="134">
        <f t="shared" si="87"/>
        <v>0</v>
      </c>
      <c r="BK215" s="134">
        <f t="shared" si="93"/>
        <v>0</v>
      </c>
    </row>
    <row r="216" spans="1:63" hidden="1">
      <c r="A216" s="187"/>
      <c r="B216" s="2333"/>
      <c r="C216" s="2333"/>
      <c r="D216" s="2334"/>
      <c r="E216" s="2334"/>
      <c r="F216" s="2334"/>
      <c r="G216" s="2334"/>
      <c r="H216" s="2334"/>
      <c r="I216" s="2334"/>
      <c r="J216" s="2334"/>
      <c r="K216" s="2334"/>
      <c r="L216" s="2334"/>
      <c r="M216" s="2334"/>
      <c r="N216" s="2334"/>
      <c r="O216" s="2334"/>
      <c r="P216" s="2324"/>
      <c r="Q216" s="2324"/>
      <c r="R216" s="2325"/>
      <c r="S216" s="2324"/>
      <c r="T216" s="2324"/>
      <c r="U216" s="2326"/>
      <c r="V216" s="2327"/>
      <c r="W216" s="2327"/>
      <c r="X216" s="2327"/>
      <c r="Y216" s="2327"/>
      <c r="Z216" s="2327"/>
      <c r="AA216" s="2328"/>
      <c r="AB216" s="2329"/>
      <c r="AC216" s="2326"/>
      <c r="AD216" s="2330">
        <f>((P216*U216)-AM216)</f>
        <v>0</v>
      </c>
      <c r="AE216" s="2330"/>
      <c r="AF216" s="2330"/>
      <c r="AG216" s="2330">
        <f t="shared" si="88"/>
        <v>0</v>
      </c>
      <c r="AH216" s="2330"/>
      <c r="AI216" s="2330"/>
      <c r="AJ216" s="2330">
        <f>P216*AA216</f>
        <v>0</v>
      </c>
      <c r="AK216" s="2330"/>
      <c r="AL216" s="2330"/>
      <c r="AM216" s="2331">
        <f t="shared" si="82"/>
        <v>0</v>
      </c>
      <c r="AN216" s="2331"/>
      <c r="AO216" s="2331"/>
      <c r="AP216" s="2331"/>
      <c r="AQ216" s="2332">
        <f>SUM(AD216:AL216)</f>
        <v>0</v>
      </c>
      <c r="AR216" s="2332"/>
      <c r="AS216" s="2332"/>
      <c r="AT216" s="2332">
        <f>SUM(AD216:AL216)</f>
        <v>0</v>
      </c>
      <c r="AV216" s="151" t="str">
        <f t="shared" si="77"/>
        <v>STRUCTURAL CONCRETE</v>
      </c>
      <c r="AW216" s="681"/>
      <c r="AX216" s="230"/>
      <c r="AY216" s="230"/>
      <c r="AZ216" s="679"/>
      <c r="BA216" s="49">
        <f>AD216</f>
        <v>0</v>
      </c>
      <c r="BB216" s="49">
        <f>AG216</f>
        <v>0</v>
      </c>
      <c r="BC216" s="49">
        <f>AJ216</f>
        <v>0</v>
      </c>
      <c r="BD216" s="49">
        <f>IF(B216="x",1,0)</f>
        <v>0</v>
      </c>
      <c r="BE216" s="49">
        <f t="shared" si="108"/>
        <v>0</v>
      </c>
      <c r="BF216" s="49">
        <f>AQ216</f>
        <v>0</v>
      </c>
      <c r="BG216" s="49">
        <f>AM216</f>
        <v>0</v>
      </c>
      <c r="BI216" s="134">
        <f>AD216</f>
        <v>0</v>
      </c>
      <c r="BJ216" s="134">
        <f>AM216</f>
        <v>0</v>
      </c>
      <c r="BK216" s="134">
        <f>BJ216+BI216</f>
        <v>0</v>
      </c>
    </row>
    <row r="217" spans="1:63" hidden="1">
      <c r="A217" s="187"/>
      <c r="B217" s="2333"/>
      <c r="C217" s="2333"/>
      <c r="D217" s="2349"/>
      <c r="E217" s="2349"/>
      <c r="F217" s="2349"/>
      <c r="G217" s="2349"/>
      <c r="H217" s="2349"/>
      <c r="I217" s="2349"/>
      <c r="J217" s="2349"/>
      <c r="K217" s="2349"/>
      <c r="L217" s="2349"/>
      <c r="M217" s="2349"/>
      <c r="N217" s="2349"/>
      <c r="O217" s="2349"/>
      <c r="P217" s="2324"/>
      <c r="Q217" s="2324"/>
      <c r="R217" s="2325"/>
      <c r="S217" s="2324"/>
      <c r="T217" s="2324"/>
      <c r="U217" s="2326"/>
      <c r="V217" s="2327"/>
      <c r="W217" s="2327"/>
      <c r="X217" s="2327"/>
      <c r="Y217" s="2327"/>
      <c r="Z217" s="2327"/>
      <c r="AA217" s="2328"/>
      <c r="AB217" s="2329"/>
      <c r="AC217" s="2326"/>
      <c r="AD217" s="2330">
        <f>((P217*U217)-AM217)</f>
        <v>0</v>
      </c>
      <c r="AE217" s="2330"/>
      <c r="AF217" s="2330"/>
      <c r="AG217" s="2330">
        <f t="shared" si="88"/>
        <v>0</v>
      </c>
      <c r="AH217" s="2330"/>
      <c r="AI217" s="2330"/>
      <c r="AJ217" s="2330">
        <f>P217*AA217</f>
        <v>0</v>
      </c>
      <c r="AK217" s="2330"/>
      <c r="AL217" s="2330"/>
      <c r="AM217" s="2331">
        <f t="shared" si="82"/>
        <v>0</v>
      </c>
      <c r="AN217" s="2331"/>
      <c r="AO217" s="2331"/>
      <c r="AP217" s="2331"/>
      <c r="AQ217" s="2332">
        <f>SUM(AD217:AL217)</f>
        <v>0</v>
      </c>
      <c r="AR217" s="2332"/>
      <c r="AS217" s="2332"/>
      <c r="AT217" s="2332">
        <f>SUM(AD217:AL217)</f>
        <v>0</v>
      </c>
      <c r="AV217" s="151" t="str">
        <f t="shared" si="77"/>
        <v>STRUCTURAL CONCRETE</v>
      </c>
      <c r="AW217" s="681"/>
      <c r="AX217" s="230"/>
      <c r="AY217" s="230"/>
      <c r="AZ217" s="679"/>
      <c r="BA217" s="49">
        <f>AD217</f>
        <v>0</v>
      </c>
      <c r="BB217" s="49">
        <f>AG217</f>
        <v>0</v>
      </c>
      <c r="BC217" s="49">
        <f>AJ217</f>
        <v>0</v>
      </c>
      <c r="BD217" s="49">
        <f>IF(B217="x",1,0)</f>
        <v>0</v>
      </c>
      <c r="BE217" s="49">
        <f t="shared" si="108"/>
        <v>0</v>
      </c>
      <c r="BF217" s="49">
        <f>AQ217</f>
        <v>0</v>
      </c>
      <c r="BG217" s="49">
        <f>AM217</f>
        <v>0</v>
      </c>
      <c r="BI217" s="134">
        <f>AD217</f>
        <v>0</v>
      </c>
      <c r="BJ217" s="134">
        <f>AM217</f>
        <v>0</v>
      </c>
      <c r="BK217" s="134">
        <f>BJ217+BI217</f>
        <v>0</v>
      </c>
    </row>
    <row r="218" spans="1:63" ht="5.0999999999999996" hidden="1" customHeight="1">
      <c r="A218" s="187"/>
      <c r="B218" s="64"/>
      <c r="C218" s="64"/>
      <c r="D218" s="885"/>
      <c r="E218" s="885"/>
      <c r="F218" s="885"/>
      <c r="G218" s="885"/>
      <c r="H218" s="885"/>
      <c r="I218" s="885"/>
      <c r="J218" s="885"/>
      <c r="K218" s="885"/>
      <c r="L218" s="885"/>
      <c r="M218" s="885"/>
      <c r="N218" s="885"/>
      <c r="O218" s="885"/>
      <c r="P218" s="66"/>
      <c r="Q218" s="66"/>
      <c r="R218" s="66"/>
      <c r="S218" s="66"/>
      <c r="T218" s="66"/>
      <c r="U218" s="67"/>
      <c r="V218" s="67"/>
      <c r="W218" s="67"/>
      <c r="X218" s="67"/>
      <c r="Y218" s="67"/>
      <c r="Z218" s="67"/>
      <c r="AA218" s="67"/>
      <c r="AB218" s="67"/>
      <c r="AC218" s="67"/>
      <c r="AD218" s="68"/>
      <c r="AE218" s="68"/>
      <c r="AF218" s="68"/>
      <c r="AG218" s="68"/>
      <c r="AH218" s="68"/>
      <c r="AI218" s="68"/>
      <c r="AJ218" s="68"/>
      <c r="AK218" s="68"/>
      <c r="AL218" s="68"/>
      <c r="AM218" s="69"/>
      <c r="AN218" s="69"/>
      <c r="AO218" s="69"/>
      <c r="AP218" s="69"/>
      <c r="AQ218" s="661"/>
      <c r="AR218" s="661"/>
      <c r="AS218" s="661"/>
      <c r="AT218" s="661"/>
      <c r="AV218" s="369" t="str">
        <f t="shared" si="77"/>
        <v>STRUCTURAL CONCRETE</v>
      </c>
      <c r="AW218" s="696"/>
      <c r="AX218" s="696"/>
      <c r="AY218" s="696"/>
      <c r="AZ218" s="369"/>
      <c r="BA218" s="75">
        <f>BA177</f>
        <v>0</v>
      </c>
      <c r="BB218" s="75">
        <f>BB177</f>
        <v>0</v>
      </c>
      <c r="BC218" s="75">
        <f>BC177</f>
        <v>0</v>
      </c>
      <c r="BD218" s="75">
        <f>BD177</f>
        <v>0</v>
      </c>
      <c r="BE218" s="75">
        <f>BE177</f>
        <v>0</v>
      </c>
      <c r="BF218" s="75"/>
      <c r="BG218" s="75"/>
      <c r="BI218" s="75"/>
      <c r="BJ218" s="75"/>
      <c r="BK218" s="75"/>
    </row>
    <row r="219" spans="1:63" ht="21.6" hidden="1" customHeight="1">
      <c r="A219" s="187"/>
      <c r="B219" s="2341"/>
      <c r="C219" s="2341"/>
      <c r="D219" s="886"/>
      <c r="E219" s="886"/>
      <c r="F219" s="886"/>
      <c r="G219" s="886"/>
      <c r="H219" s="886"/>
      <c r="I219" s="886"/>
      <c r="J219" s="886"/>
      <c r="K219" s="886"/>
      <c r="L219" s="886"/>
      <c r="M219" s="886"/>
      <c r="N219" s="886"/>
      <c r="O219" s="886"/>
      <c r="P219" s="37"/>
      <c r="Q219" s="37"/>
      <c r="R219" s="37"/>
      <c r="S219" s="37"/>
      <c r="T219" s="37"/>
      <c r="U219" s="37"/>
      <c r="V219" s="37"/>
      <c r="W219" s="37"/>
      <c r="X219" s="37"/>
      <c r="Y219" s="37"/>
      <c r="Z219" s="37"/>
      <c r="AA219" s="37"/>
      <c r="AB219" s="37"/>
      <c r="AC219" s="370" t="str">
        <f>CONCATENATE(D177," ","TOTAL")</f>
        <v>STRUCTURAL CONCRETE TOTAL</v>
      </c>
      <c r="AD219" s="2342">
        <f>SUBTOTAL(9,AD178:AD218)</f>
        <v>0</v>
      </c>
      <c r="AE219" s="2342"/>
      <c r="AF219" s="2342"/>
      <c r="AG219" s="2342">
        <f>SUBTOTAL(9,AG178:AG218)</f>
        <v>0</v>
      </c>
      <c r="AH219" s="2342"/>
      <c r="AI219" s="2342"/>
      <c r="AJ219" s="2342">
        <f>SUBTOTAL(9,AJ178:AJ218)</f>
        <v>0</v>
      </c>
      <c r="AK219" s="2342"/>
      <c r="AL219" s="2342"/>
      <c r="AM219" s="2342">
        <f>SUBTOTAL(9,AM178:AM218)</f>
        <v>0</v>
      </c>
      <c r="AN219" s="2342"/>
      <c r="AO219" s="2342"/>
      <c r="AP219" s="2342"/>
      <c r="AQ219" s="2336">
        <f>SUBTOTAL(9,AQ178:AQ218)</f>
        <v>0</v>
      </c>
      <c r="AR219" s="2336"/>
      <c r="AS219" s="2336"/>
      <c r="AT219" s="2336" t="e">
        <f>SUM(AT175:AT210)</f>
        <v>#REF!</v>
      </c>
      <c r="AV219" s="151" t="str">
        <f t="shared" si="77"/>
        <v>STRUCTURAL CONCRETE</v>
      </c>
      <c r="AW219" s="682"/>
      <c r="AX219" s="695"/>
      <c r="AY219" s="695"/>
      <c r="AZ219" s="274"/>
      <c r="BA219" s="74">
        <f>BA177</f>
        <v>0</v>
      </c>
      <c r="BB219" s="74">
        <f>BB177</f>
        <v>0</v>
      </c>
      <c r="BC219" s="74">
        <f>BC177</f>
        <v>0</v>
      </c>
      <c r="BD219" s="74">
        <f>BD177</f>
        <v>0</v>
      </c>
      <c r="BE219" s="74">
        <f>BE177</f>
        <v>0</v>
      </c>
      <c r="BF219" s="74">
        <f>SUM(BF177:BF218)</f>
        <v>0</v>
      </c>
      <c r="BG219" s="49">
        <f>SUM(BG177:BG218)</f>
        <v>0</v>
      </c>
      <c r="BI219" s="74">
        <f>SUM(BI178:BI218)</f>
        <v>0</v>
      </c>
      <c r="BJ219" s="74">
        <f>SUM(BJ178:BJ218)</f>
        <v>0</v>
      </c>
      <c r="BK219" s="49">
        <f>SUM(BK178:BK218)</f>
        <v>0</v>
      </c>
    </row>
    <row r="220" spans="1:63" ht="5.0999999999999996" hidden="1" customHeight="1">
      <c r="A220" s="187"/>
      <c r="B220" s="64"/>
      <c r="C220" s="64"/>
      <c r="D220" s="885"/>
      <c r="E220" s="885"/>
      <c r="F220" s="885"/>
      <c r="G220" s="885"/>
      <c r="H220" s="885"/>
      <c r="I220" s="885"/>
      <c r="J220" s="885"/>
      <c r="K220" s="885"/>
      <c r="L220" s="885"/>
      <c r="M220" s="885"/>
      <c r="N220" s="885"/>
      <c r="O220" s="885"/>
      <c r="P220" s="66"/>
      <c r="Q220" s="66"/>
      <c r="R220" s="66"/>
      <c r="S220" s="66"/>
      <c r="T220" s="66"/>
      <c r="U220" s="67"/>
      <c r="V220" s="67"/>
      <c r="W220" s="67"/>
      <c r="X220" s="67"/>
      <c r="Y220" s="67"/>
      <c r="Z220" s="67"/>
      <c r="AA220" s="67"/>
      <c r="AB220" s="67"/>
      <c r="AC220" s="67"/>
      <c r="AD220" s="68"/>
      <c r="AE220" s="68"/>
      <c r="AF220" s="68"/>
      <c r="AG220" s="68"/>
      <c r="AH220" s="68"/>
      <c r="AI220" s="68"/>
      <c r="AJ220" s="68"/>
      <c r="AK220" s="68"/>
      <c r="AL220" s="68"/>
      <c r="AM220" s="69"/>
      <c r="AN220" s="69"/>
      <c r="AO220" s="69"/>
      <c r="AP220" s="69"/>
      <c r="AQ220" s="661"/>
      <c r="AR220" s="661"/>
      <c r="AS220" s="661"/>
      <c r="AT220" s="661"/>
      <c r="AV220" s="369" t="str">
        <f t="shared" si="77"/>
        <v>STRUCTURAL CONCRETE</v>
      </c>
      <c r="AW220" s="696"/>
      <c r="AX220" s="696"/>
      <c r="AY220" s="696"/>
      <c r="AZ220" s="369"/>
      <c r="BA220" s="75">
        <f>BA177</f>
        <v>0</v>
      </c>
      <c r="BB220" s="75">
        <f>BB177</f>
        <v>0</v>
      </c>
      <c r="BC220" s="75">
        <f>BC177</f>
        <v>0</v>
      </c>
      <c r="BD220" s="75">
        <f>BD177</f>
        <v>0</v>
      </c>
      <c r="BE220" s="75">
        <f>BE177</f>
        <v>0</v>
      </c>
      <c r="BF220" s="75"/>
      <c r="BG220" s="75"/>
      <c r="BI220" s="75"/>
      <c r="BJ220" s="75"/>
      <c r="BK220" s="75"/>
    </row>
    <row r="221" spans="1:63" ht="9.6" hidden="1" customHeight="1">
      <c r="A221" s="187"/>
      <c r="B221" s="71"/>
      <c r="C221" s="71"/>
      <c r="D221" s="887"/>
      <c r="E221" s="887"/>
      <c r="F221" s="887"/>
      <c r="G221" s="887"/>
      <c r="H221" s="887"/>
      <c r="I221" s="887"/>
      <c r="J221" s="887"/>
      <c r="K221" s="887"/>
      <c r="L221" s="887"/>
      <c r="M221" s="887"/>
      <c r="N221" s="887"/>
      <c r="O221" s="887"/>
      <c r="P221" s="72"/>
      <c r="Q221" s="72"/>
      <c r="R221" s="72"/>
      <c r="S221" s="72"/>
      <c r="T221" s="72"/>
      <c r="U221" s="72"/>
      <c r="V221" s="72"/>
      <c r="W221" s="72"/>
      <c r="X221" s="72"/>
      <c r="Y221" s="72"/>
      <c r="Z221" s="72"/>
      <c r="AA221" s="72"/>
      <c r="AB221" s="72"/>
      <c r="AC221" s="73"/>
      <c r="AD221" s="662"/>
      <c r="AE221" s="662"/>
      <c r="AF221" s="662"/>
      <c r="AG221" s="662"/>
      <c r="AH221" s="662"/>
      <c r="AI221" s="662"/>
      <c r="AJ221" s="662"/>
      <c r="AK221" s="662"/>
      <c r="AL221" s="662"/>
      <c r="AM221" s="662"/>
      <c r="AN221" s="662"/>
      <c r="AO221" s="662"/>
      <c r="AP221" s="662"/>
      <c r="AQ221" s="663"/>
      <c r="AR221" s="663"/>
      <c r="AS221" s="663"/>
      <c r="AT221" s="663"/>
      <c r="AV221" s="371" t="str">
        <f t="shared" si="77"/>
        <v>STRUCTURAL CONCRETE</v>
      </c>
      <c r="AW221" s="699"/>
      <c r="AX221" s="801"/>
      <c r="AY221" s="801"/>
      <c r="AZ221" s="371"/>
      <c r="BA221" s="125">
        <f>BA219</f>
        <v>0</v>
      </c>
      <c r="BB221" s="125">
        <f t="shared" ref="BB221:BG221" si="109">BB219</f>
        <v>0</v>
      </c>
      <c r="BC221" s="125">
        <f>BC219</f>
        <v>0</v>
      </c>
      <c r="BD221" s="125">
        <f t="shared" si="109"/>
        <v>0</v>
      </c>
      <c r="BE221" s="125">
        <f t="shared" si="109"/>
        <v>0</v>
      </c>
      <c r="BF221" s="125">
        <f t="shared" si="109"/>
        <v>0</v>
      </c>
      <c r="BG221" s="125">
        <f t="shared" si="109"/>
        <v>0</v>
      </c>
      <c r="BI221" s="125"/>
      <c r="BJ221" s="125"/>
      <c r="BK221" s="125"/>
    </row>
    <row r="222" spans="1:63" ht="21" customHeight="1">
      <c r="A222" s="186" t="s">
        <v>952</v>
      </c>
      <c r="B222" s="2350"/>
      <c r="C222" s="2351"/>
      <c r="D222" s="2392" t="str">
        <f>T(N78)</f>
        <v>CONCRETE &amp; FLATWORK</v>
      </c>
      <c r="E222" s="2393"/>
      <c r="F222" s="2393"/>
      <c r="G222" s="2393"/>
      <c r="H222" s="2393"/>
      <c r="I222" s="2393"/>
      <c r="J222" s="2393"/>
      <c r="K222" s="2393"/>
      <c r="L222" s="2393"/>
      <c r="M222" s="2393"/>
      <c r="N222" s="2393"/>
      <c r="O222" s="2394"/>
      <c r="P222" s="2352"/>
      <c r="Q222" s="2352"/>
      <c r="R222" s="2352"/>
      <c r="S222" s="2353"/>
      <c r="T222" s="2354"/>
      <c r="U222" s="2355"/>
      <c r="V222" s="2355"/>
      <c r="W222" s="2355"/>
      <c r="X222" s="2355"/>
      <c r="Y222" s="2355"/>
      <c r="Z222" s="2355"/>
      <c r="AA222" s="2355"/>
      <c r="AB222" s="2355"/>
      <c r="AC222" s="2355"/>
      <c r="AD222" s="2342">
        <f>AD264</f>
        <v>0</v>
      </c>
      <c r="AE222" s="2342"/>
      <c r="AF222" s="2342"/>
      <c r="AG222" s="2342">
        <f>AG264</f>
        <v>0</v>
      </c>
      <c r="AH222" s="2342"/>
      <c r="AI222" s="2342"/>
      <c r="AJ222" s="2342">
        <f>AJ264</f>
        <v>0</v>
      </c>
      <c r="AK222" s="2342"/>
      <c r="AL222" s="2342"/>
      <c r="AM222" s="2342">
        <f>AM264</f>
        <v>0</v>
      </c>
      <c r="AN222" s="2342"/>
      <c r="AO222" s="2342"/>
      <c r="AP222" s="2342"/>
      <c r="AQ222" s="2336">
        <f>AQ264</f>
        <v>0</v>
      </c>
      <c r="AR222" s="2336"/>
      <c r="AS222" s="2336"/>
      <c r="AT222" s="2336" t="e">
        <f>SUM(#REF!)</f>
        <v>#REF!</v>
      </c>
      <c r="AV222" s="151" t="str">
        <f t="shared" ref="AV222:AV266" si="110">$D$222</f>
        <v>CONCRETE &amp; FLATWORK</v>
      </c>
      <c r="AW222" s="700"/>
      <c r="AX222" s="700"/>
      <c r="AY222" s="700"/>
      <c r="AZ222" s="701"/>
      <c r="BA222" s="49">
        <f>SUM(BA223:BA262)</f>
        <v>0</v>
      </c>
      <c r="BB222" s="49">
        <f>SUM(BB223:BB262)</f>
        <v>0</v>
      </c>
      <c r="BC222" s="49">
        <f>SUM(BC223:BC262)</f>
        <v>0</v>
      </c>
      <c r="BD222" s="49">
        <f>SUM(BD223:BD262)</f>
        <v>0</v>
      </c>
      <c r="BE222" s="49">
        <f>SUM(BE223:BE262)</f>
        <v>0</v>
      </c>
      <c r="BF222" s="49">
        <f t="shared" ref="BF222:BF262" si="111">AQ222</f>
        <v>0</v>
      </c>
      <c r="BG222" s="49">
        <f t="shared" ref="BG222:BG262" si="112">AM222</f>
        <v>0</v>
      </c>
      <c r="BI222" s="134">
        <f>AD222</f>
        <v>0</v>
      </c>
      <c r="BJ222" s="134">
        <f>AM222</f>
        <v>0</v>
      </c>
      <c r="BK222" s="134">
        <f>BJ222+BI222</f>
        <v>0</v>
      </c>
    </row>
    <row r="223" spans="1:63" hidden="1">
      <c r="A223" s="187"/>
      <c r="B223" s="2321"/>
      <c r="C223" s="2322"/>
      <c r="D223" s="2337" t="s">
        <v>772</v>
      </c>
      <c r="E223" s="2337"/>
      <c r="F223" s="2337"/>
      <c r="G223" s="2337"/>
      <c r="H223" s="2337"/>
      <c r="I223" s="2337"/>
      <c r="J223" s="2337"/>
      <c r="K223" s="2337"/>
      <c r="L223" s="2337"/>
      <c r="M223" s="2337"/>
      <c r="N223" s="2337"/>
      <c r="O223" s="2337"/>
      <c r="P223" s="2324"/>
      <c r="Q223" s="2324"/>
      <c r="R223" s="2325"/>
      <c r="S223" s="2324"/>
      <c r="T223" s="2324" t="s">
        <v>3</v>
      </c>
      <c r="U223" s="2326"/>
      <c r="V223" s="2327"/>
      <c r="W223" s="2327"/>
      <c r="X223" s="2327"/>
      <c r="Y223" s="2327"/>
      <c r="Z223" s="2327"/>
      <c r="AA223" s="2328"/>
      <c r="AB223" s="2329"/>
      <c r="AC223" s="2326"/>
      <c r="AD223" s="2330">
        <f t="shared" ref="AD223:AD262" si="113">((P223*U223)-AM223)</f>
        <v>0</v>
      </c>
      <c r="AE223" s="2330"/>
      <c r="AF223" s="2330"/>
      <c r="AG223" s="2330">
        <f>P223*X223*(1+$Y$85)</f>
        <v>0</v>
      </c>
      <c r="AH223" s="2330"/>
      <c r="AI223" s="2330"/>
      <c r="AJ223" s="2330">
        <f t="shared" ref="AJ223:AJ262" si="114">P223*AA223</f>
        <v>0</v>
      </c>
      <c r="AK223" s="2330"/>
      <c r="AL223" s="2330"/>
      <c r="AM223" s="2331">
        <f t="shared" ref="AM223:AM262" si="115">IF($B223="x",$P223*$U223,0)</f>
        <v>0</v>
      </c>
      <c r="AN223" s="2331"/>
      <c r="AO223" s="2331"/>
      <c r="AP223" s="2331"/>
      <c r="AQ223" s="2332">
        <f t="shared" ref="AQ223:AQ262" si="116">SUM(AD223:AL223)</f>
        <v>0</v>
      </c>
      <c r="AR223" s="2332"/>
      <c r="AS223" s="2332"/>
      <c r="AT223" s="2332"/>
      <c r="AV223" s="151" t="str">
        <f t="shared" si="110"/>
        <v>CONCRETE &amp; FLATWORK</v>
      </c>
      <c r="AW223" s="681"/>
      <c r="AX223" s="230"/>
      <c r="AY223" s="230"/>
      <c r="AZ223" s="679"/>
      <c r="BA223" s="49">
        <f t="shared" ref="BA223:BA262" si="117">AD223</f>
        <v>0</v>
      </c>
      <c r="BB223" s="49">
        <f>AG223</f>
        <v>0</v>
      </c>
      <c r="BC223" s="49">
        <f>AJ223</f>
        <v>0</v>
      </c>
      <c r="BD223" s="49">
        <f t="shared" ref="BD223:BD262" si="118">IF(B223="x",1,0)</f>
        <v>0</v>
      </c>
      <c r="BE223" s="49">
        <f>SUM(BA223:BC223)</f>
        <v>0</v>
      </c>
      <c r="BF223" s="49">
        <f t="shared" si="111"/>
        <v>0</v>
      </c>
      <c r="BG223" s="49">
        <f t="shared" si="112"/>
        <v>0</v>
      </c>
      <c r="BI223" s="134">
        <f>AD223</f>
        <v>0</v>
      </c>
      <c r="BJ223" s="134">
        <f t="shared" ref="BJ223:BJ262" si="119">AM223</f>
        <v>0</v>
      </c>
      <c r="BK223" s="134">
        <f>BJ223+BI223</f>
        <v>0</v>
      </c>
    </row>
    <row r="224" spans="1:63" hidden="1">
      <c r="A224" s="187"/>
      <c r="B224" s="2321"/>
      <c r="C224" s="2322"/>
      <c r="D224" s="2338" t="s">
        <v>71</v>
      </c>
      <c r="E224" s="2338"/>
      <c r="F224" s="2338"/>
      <c r="G224" s="2338"/>
      <c r="H224" s="2338"/>
      <c r="I224" s="2338"/>
      <c r="J224" s="2338"/>
      <c r="K224" s="2338"/>
      <c r="L224" s="2338"/>
      <c r="M224" s="2338"/>
      <c r="N224" s="2338"/>
      <c r="O224" s="2338"/>
      <c r="P224" s="2324"/>
      <c r="Q224" s="2324"/>
      <c r="R224" s="2325"/>
      <c r="S224" s="2324" t="s">
        <v>3</v>
      </c>
      <c r="T224" s="2324" t="s">
        <v>11</v>
      </c>
      <c r="U224" s="2326"/>
      <c r="V224" s="2327"/>
      <c r="W224" s="2327"/>
      <c r="X224" s="2327"/>
      <c r="Y224" s="2327"/>
      <c r="Z224" s="2327"/>
      <c r="AA224" s="2328"/>
      <c r="AB224" s="2329"/>
      <c r="AC224" s="2326"/>
      <c r="AD224" s="2330">
        <f t="shared" si="113"/>
        <v>0</v>
      </c>
      <c r="AE224" s="2330"/>
      <c r="AF224" s="2330"/>
      <c r="AG224" s="2330">
        <f t="shared" ref="AG224:AG262" si="120">P224*X224*(1+$Y$85)</f>
        <v>0</v>
      </c>
      <c r="AH224" s="2330"/>
      <c r="AI224" s="2330"/>
      <c r="AJ224" s="2330">
        <f t="shared" si="114"/>
        <v>0</v>
      </c>
      <c r="AK224" s="2330"/>
      <c r="AL224" s="2330"/>
      <c r="AM224" s="2331">
        <f t="shared" si="115"/>
        <v>0</v>
      </c>
      <c r="AN224" s="2331"/>
      <c r="AO224" s="2331"/>
      <c r="AP224" s="2331"/>
      <c r="AQ224" s="2332">
        <f t="shared" si="116"/>
        <v>0</v>
      </c>
      <c r="AR224" s="2332"/>
      <c r="AS224" s="2332"/>
      <c r="AT224" s="2332"/>
      <c r="AV224" s="151" t="str">
        <f t="shared" si="110"/>
        <v>CONCRETE &amp; FLATWORK</v>
      </c>
      <c r="AW224" s="681"/>
      <c r="AX224" s="230"/>
      <c r="AY224" s="230"/>
      <c r="AZ224" s="679"/>
      <c r="BA224" s="49">
        <f t="shared" si="117"/>
        <v>0</v>
      </c>
      <c r="BB224" s="49">
        <f t="shared" ref="BB224:BB262" si="121">AG224</f>
        <v>0</v>
      </c>
      <c r="BC224" s="49">
        <f t="shared" ref="BC224:BC262" si="122">AJ224</f>
        <v>0</v>
      </c>
      <c r="BD224" s="49">
        <f t="shared" si="118"/>
        <v>0</v>
      </c>
      <c r="BE224" s="49">
        <f t="shared" ref="BE224:BE240" si="123">SUM(BA224:BC224)</f>
        <v>0</v>
      </c>
      <c r="BF224" s="49">
        <f t="shared" si="111"/>
        <v>0</v>
      </c>
      <c r="BG224" s="49">
        <f t="shared" si="112"/>
        <v>0</v>
      </c>
      <c r="BI224" s="134">
        <f t="shared" ref="BI224:BI262" si="124">AD224</f>
        <v>0</v>
      </c>
      <c r="BJ224" s="134">
        <f t="shared" si="119"/>
        <v>0</v>
      </c>
      <c r="BK224" s="134">
        <f t="shared" ref="BK224:BK262" si="125">BJ224+BI224</f>
        <v>0</v>
      </c>
    </row>
    <row r="225" spans="1:63" hidden="1">
      <c r="A225" s="187"/>
      <c r="B225" s="2321"/>
      <c r="C225" s="2322"/>
      <c r="D225" s="2334" t="s">
        <v>275</v>
      </c>
      <c r="E225" s="2334"/>
      <c r="F225" s="2334"/>
      <c r="G225" s="2334"/>
      <c r="H225" s="2334"/>
      <c r="I225" s="2334"/>
      <c r="J225" s="2334"/>
      <c r="K225" s="2334"/>
      <c r="L225" s="2334"/>
      <c r="M225" s="2334"/>
      <c r="N225" s="2334"/>
      <c r="O225" s="2334"/>
      <c r="P225" s="2324"/>
      <c r="Q225" s="2324"/>
      <c r="R225" s="2325"/>
      <c r="S225" s="2324" t="s">
        <v>11</v>
      </c>
      <c r="T225" s="2324" t="s">
        <v>11</v>
      </c>
      <c r="U225" s="2326">
        <v>2</v>
      </c>
      <c r="V225" s="2327"/>
      <c r="W225" s="2327"/>
      <c r="X225" s="2327"/>
      <c r="Y225" s="2327"/>
      <c r="Z225" s="2327"/>
      <c r="AA225" s="2328"/>
      <c r="AB225" s="2329"/>
      <c r="AC225" s="2326"/>
      <c r="AD225" s="2330">
        <f t="shared" si="113"/>
        <v>0</v>
      </c>
      <c r="AE225" s="2330"/>
      <c r="AF225" s="2330"/>
      <c r="AG225" s="2330">
        <f t="shared" si="120"/>
        <v>0</v>
      </c>
      <c r="AH225" s="2330"/>
      <c r="AI225" s="2330"/>
      <c r="AJ225" s="2330">
        <f t="shared" si="114"/>
        <v>0</v>
      </c>
      <c r="AK225" s="2330"/>
      <c r="AL225" s="2330"/>
      <c r="AM225" s="2331">
        <f t="shared" si="115"/>
        <v>0</v>
      </c>
      <c r="AN225" s="2331"/>
      <c r="AO225" s="2331"/>
      <c r="AP225" s="2331"/>
      <c r="AQ225" s="2332">
        <f t="shared" si="116"/>
        <v>0</v>
      </c>
      <c r="AR225" s="2332"/>
      <c r="AS225" s="2332"/>
      <c r="AT225" s="2332"/>
      <c r="AV225" s="151" t="str">
        <f t="shared" si="110"/>
        <v>CONCRETE &amp; FLATWORK</v>
      </c>
      <c r="AW225" s="681"/>
      <c r="AX225" s="230"/>
      <c r="AY225" s="230"/>
      <c r="AZ225" s="679"/>
      <c r="BA225" s="49">
        <f t="shared" si="117"/>
        <v>0</v>
      </c>
      <c r="BB225" s="49">
        <f t="shared" si="121"/>
        <v>0</v>
      </c>
      <c r="BC225" s="49">
        <f t="shared" si="122"/>
        <v>0</v>
      </c>
      <c r="BD225" s="49">
        <f t="shared" si="118"/>
        <v>0</v>
      </c>
      <c r="BE225" s="49">
        <f t="shared" si="123"/>
        <v>0</v>
      </c>
      <c r="BF225" s="49">
        <f t="shared" si="111"/>
        <v>0</v>
      </c>
      <c r="BG225" s="49">
        <f t="shared" si="112"/>
        <v>0</v>
      </c>
      <c r="BI225" s="134">
        <f t="shared" si="124"/>
        <v>0</v>
      </c>
      <c r="BJ225" s="134">
        <f t="shared" si="119"/>
        <v>0</v>
      </c>
      <c r="BK225" s="134">
        <f t="shared" si="125"/>
        <v>0</v>
      </c>
    </row>
    <row r="226" spans="1:63" hidden="1">
      <c r="A226" s="187"/>
      <c r="B226" s="2321"/>
      <c r="C226" s="2322"/>
      <c r="D226" s="2334" t="s">
        <v>641</v>
      </c>
      <c r="E226" s="2334"/>
      <c r="F226" s="2334"/>
      <c r="G226" s="2334"/>
      <c r="H226" s="2334"/>
      <c r="I226" s="2334"/>
      <c r="J226" s="2334"/>
      <c r="K226" s="2334"/>
      <c r="L226" s="2334"/>
      <c r="M226" s="2334"/>
      <c r="N226" s="2334"/>
      <c r="O226" s="2334"/>
      <c r="P226" s="2324"/>
      <c r="Q226" s="2324"/>
      <c r="R226" s="2325"/>
      <c r="S226" s="2324" t="s">
        <v>11</v>
      </c>
      <c r="T226" s="2324" t="s">
        <v>11</v>
      </c>
      <c r="U226" s="2326">
        <v>3</v>
      </c>
      <c r="V226" s="2327"/>
      <c r="W226" s="2327"/>
      <c r="X226" s="2327">
        <v>2</v>
      </c>
      <c r="Y226" s="2327"/>
      <c r="Z226" s="2327">
        <v>1.75</v>
      </c>
      <c r="AA226" s="2328"/>
      <c r="AB226" s="2329"/>
      <c r="AC226" s="2326"/>
      <c r="AD226" s="2330">
        <f t="shared" si="113"/>
        <v>0</v>
      </c>
      <c r="AE226" s="2330"/>
      <c r="AF226" s="2330"/>
      <c r="AG226" s="2330">
        <f t="shared" si="120"/>
        <v>0</v>
      </c>
      <c r="AH226" s="2330"/>
      <c r="AI226" s="2330"/>
      <c r="AJ226" s="2330">
        <f t="shared" si="114"/>
        <v>0</v>
      </c>
      <c r="AK226" s="2330"/>
      <c r="AL226" s="2330"/>
      <c r="AM226" s="2331">
        <f t="shared" si="115"/>
        <v>0</v>
      </c>
      <c r="AN226" s="2331"/>
      <c r="AO226" s="2331"/>
      <c r="AP226" s="2331"/>
      <c r="AQ226" s="2332">
        <f t="shared" si="116"/>
        <v>0</v>
      </c>
      <c r="AR226" s="2332"/>
      <c r="AS226" s="2332"/>
      <c r="AT226" s="2332"/>
      <c r="AV226" s="151" t="str">
        <f t="shared" si="110"/>
        <v>CONCRETE &amp; FLATWORK</v>
      </c>
      <c r="AW226" s="681"/>
      <c r="AX226" s="230"/>
      <c r="AY226" s="230"/>
      <c r="AZ226" s="679"/>
      <c r="BA226" s="49">
        <f t="shared" si="117"/>
        <v>0</v>
      </c>
      <c r="BB226" s="49">
        <f t="shared" si="121"/>
        <v>0</v>
      </c>
      <c r="BC226" s="49">
        <f t="shared" si="122"/>
        <v>0</v>
      </c>
      <c r="BD226" s="49">
        <f t="shared" si="118"/>
        <v>0</v>
      </c>
      <c r="BE226" s="49">
        <f t="shared" si="123"/>
        <v>0</v>
      </c>
      <c r="BF226" s="49">
        <f t="shared" si="111"/>
        <v>0</v>
      </c>
      <c r="BG226" s="49">
        <f t="shared" si="112"/>
        <v>0</v>
      </c>
      <c r="BI226" s="134">
        <f t="shared" si="124"/>
        <v>0</v>
      </c>
      <c r="BJ226" s="134">
        <f t="shared" si="119"/>
        <v>0</v>
      </c>
      <c r="BK226" s="134">
        <f t="shared" si="125"/>
        <v>0</v>
      </c>
    </row>
    <row r="227" spans="1:63" ht="15" hidden="1" customHeight="1">
      <c r="A227" s="187"/>
      <c r="B227" s="2321"/>
      <c r="C227" s="2322"/>
      <c r="D227" s="2334" t="s">
        <v>642</v>
      </c>
      <c r="E227" s="2334"/>
      <c r="F227" s="2334"/>
      <c r="G227" s="2334"/>
      <c r="H227" s="2334"/>
      <c r="I227" s="2334"/>
      <c r="J227" s="2334"/>
      <c r="K227" s="2334"/>
      <c r="L227" s="2334"/>
      <c r="M227" s="2334"/>
      <c r="N227" s="2334"/>
      <c r="O227" s="2334"/>
      <c r="P227" s="2324"/>
      <c r="Q227" s="2324"/>
      <c r="R227" s="2325"/>
      <c r="S227" s="2324" t="s">
        <v>11</v>
      </c>
      <c r="T227" s="2324"/>
      <c r="U227" s="2326">
        <v>3.5</v>
      </c>
      <c r="V227" s="2327"/>
      <c r="W227" s="2327"/>
      <c r="X227" s="2327">
        <v>1.75</v>
      </c>
      <c r="Y227" s="2327"/>
      <c r="Z227" s="2327"/>
      <c r="AA227" s="2328"/>
      <c r="AB227" s="2329"/>
      <c r="AC227" s="2326"/>
      <c r="AD227" s="2330">
        <f t="shared" si="113"/>
        <v>0</v>
      </c>
      <c r="AE227" s="2330"/>
      <c r="AF227" s="2330"/>
      <c r="AG227" s="2330">
        <f t="shared" si="120"/>
        <v>0</v>
      </c>
      <c r="AH227" s="2330"/>
      <c r="AI227" s="2330"/>
      <c r="AJ227" s="2330">
        <f t="shared" si="114"/>
        <v>0</v>
      </c>
      <c r="AK227" s="2330"/>
      <c r="AL227" s="2330"/>
      <c r="AM227" s="2331">
        <f t="shared" si="115"/>
        <v>0</v>
      </c>
      <c r="AN227" s="2331"/>
      <c r="AO227" s="2331"/>
      <c r="AP227" s="2331"/>
      <c r="AQ227" s="2332">
        <f t="shared" si="116"/>
        <v>0</v>
      </c>
      <c r="AR227" s="2332"/>
      <c r="AS227" s="2332"/>
      <c r="AT227" s="2332"/>
      <c r="AV227" s="151" t="str">
        <f t="shared" si="110"/>
        <v>CONCRETE &amp; FLATWORK</v>
      </c>
      <c r="AW227" s="681"/>
      <c r="AX227" s="230"/>
      <c r="AY227" s="230"/>
      <c r="AZ227" s="679"/>
      <c r="BA227" s="49">
        <f t="shared" si="117"/>
        <v>0</v>
      </c>
      <c r="BB227" s="49">
        <f t="shared" si="121"/>
        <v>0</v>
      </c>
      <c r="BC227" s="49">
        <f t="shared" si="122"/>
        <v>0</v>
      </c>
      <c r="BD227" s="49">
        <f t="shared" si="118"/>
        <v>0</v>
      </c>
      <c r="BE227" s="49">
        <f t="shared" si="123"/>
        <v>0</v>
      </c>
      <c r="BF227" s="49">
        <f t="shared" si="111"/>
        <v>0</v>
      </c>
      <c r="BG227" s="49">
        <f t="shared" si="112"/>
        <v>0</v>
      </c>
      <c r="BI227" s="134">
        <f t="shared" si="124"/>
        <v>0</v>
      </c>
      <c r="BJ227" s="134">
        <f t="shared" si="119"/>
        <v>0</v>
      </c>
      <c r="BK227" s="134">
        <f t="shared" si="125"/>
        <v>0</v>
      </c>
    </row>
    <row r="228" spans="1:63" ht="15" hidden="1" customHeight="1">
      <c r="A228" s="187"/>
      <c r="B228" s="2333"/>
      <c r="C228" s="2333"/>
      <c r="D228" s="2334" t="s">
        <v>681</v>
      </c>
      <c r="E228" s="2334"/>
      <c r="F228" s="2334"/>
      <c r="G228" s="2334"/>
      <c r="H228" s="2334"/>
      <c r="I228" s="2334"/>
      <c r="J228" s="2334"/>
      <c r="K228" s="2334"/>
      <c r="L228" s="2334"/>
      <c r="M228" s="2334"/>
      <c r="N228" s="2334"/>
      <c r="O228" s="2334"/>
      <c r="P228" s="2324"/>
      <c r="Q228" s="2324"/>
      <c r="R228" s="2325"/>
      <c r="S228" s="2324" t="s">
        <v>11</v>
      </c>
      <c r="T228" s="2324"/>
      <c r="U228" s="2326">
        <v>0.25</v>
      </c>
      <c r="V228" s="2327"/>
      <c r="W228" s="2327"/>
      <c r="X228" s="2327">
        <v>0.75</v>
      </c>
      <c r="Y228" s="2327"/>
      <c r="Z228" s="2327"/>
      <c r="AA228" s="2328"/>
      <c r="AB228" s="2329"/>
      <c r="AC228" s="2326"/>
      <c r="AD228" s="2330">
        <f t="shared" si="113"/>
        <v>0</v>
      </c>
      <c r="AE228" s="2330"/>
      <c r="AF228" s="2330"/>
      <c r="AG228" s="2330">
        <f t="shared" si="120"/>
        <v>0</v>
      </c>
      <c r="AH228" s="2330"/>
      <c r="AI228" s="2330"/>
      <c r="AJ228" s="2330">
        <f t="shared" si="114"/>
        <v>0</v>
      </c>
      <c r="AK228" s="2330"/>
      <c r="AL228" s="2330"/>
      <c r="AM228" s="2331">
        <f t="shared" si="115"/>
        <v>0</v>
      </c>
      <c r="AN228" s="2331"/>
      <c r="AO228" s="2331"/>
      <c r="AP228" s="2331"/>
      <c r="AQ228" s="2332">
        <f t="shared" si="116"/>
        <v>0</v>
      </c>
      <c r="AR228" s="2332"/>
      <c r="AS228" s="2332"/>
      <c r="AT228" s="2332"/>
      <c r="AV228" s="151" t="str">
        <f t="shared" si="110"/>
        <v>CONCRETE &amp; FLATWORK</v>
      </c>
      <c r="AW228" s="681"/>
      <c r="AX228" s="230"/>
      <c r="AY228" s="230"/>
      <c r="AZ228" s="679"/>
      <c r="BA228" s="49">
        <f t="shared" si="117"/>
        <v>0</v>
      </c>
      <c r="BB228" s="49">
        <f t="shared" si="121"/>
        <v>0</v>
      </c>
      <c r="BC228" s="49">
        <f t="shared" si="122"/>
        <v>0</v>
      </c>
      <c r="BD228" s="49">
        <f t="shared" si="118"/>
        <v>0</v>
      </c>
      <c r="BE228" s="49">
        <f t="shared" si="123"/>
        <v>0</v>
      </c>
      <c r="BF228" s="49">
        <f t="shared" si="111"/>
        <v>0</v>
      </c>
      <c r="BG228" s="49">
        <f t="shared" si="112"/>
        <v>0</v>
      </c>
      <c r="BI228" s="134">
        <f t="shared" si="124"/>
        <v>0</v>
      </c>
      <c r="BJ228" s="134">
        <f t="shared" si="119"/>
        <v>0</v>
      </c>
      <c r="BK228" s="134">
        <f t="shared" si="125"/>
        <v>0</v>
      </c>
    </row>
    <row r="229" spans="1:63" ht="15" hidden="1" customHeight="1">
      <c r="A229" s="187"/>
      <c r="B229" s="2321"/>
      <c r="C229" s="2322"/>
      <c r="D229" s="2334"/>
      <c r="E229" s="2334"/>
      <c r="F229" s="2334"/>
      <c r="G229" s="2334"/>
      <c r="H229" s="2334"/>
      <c r="I229" s="2334"/>
      <c r="J229" s="2334"/>
      <c r="K229" s="2334"/>
      <c r="L229" s="2334"/>
      <c r="M229" s="2334"/>
      <c r="N229" s="2334"/>
      <c r="O229" s="2334"/>
      <c r="P229" s="2324"/>
      <c r="Q229" s="2324"/>
      <c r="R229" s="2325"/>
      <c r="S229" s="2324"/>
      <c r="T229" s="2324"/>
      <c r="U229" s="2326"/>
      <c r="V229" s="2327"/>
      <c r="W229" s="2327"/>
      <c r="X229" s="2327"/>
      <c r="Y229" s="2327"/>
      <c r="Z229" s="2327"/>
      <c r="AA229" s="2328"/>
      <c r="AB229" s="2329"/>
      <c r="AC229" s="2326"/>
      <c r="AD229" s="2330">
        <f t="shared" si="113"/>
        <v>0</v>
      </c>
      <c r="AE229" s="2330"/>
      <c r="AF229" s="2330"/>
      <c r="AG229" s="2330">
        <f t="shared" si="120"/>
        <v>0</v>
      </c>
      <c r="AH229" s="2330"/>
      <c r="AI229" s="2330"/>
      <c r="AJ229" s="2330">
        <f t="shared" si="114"/>
        <v>0</v>
      </c>
      <c r="AK229" s="2330"/>
      <c r="AL229" s="2330"/>
      <c r="AM229" s="2331">
        <f t="shared" si="115"/>
        <v>0</v>
      </c>
      <c r="AN229" s="2331"/>
      <c r="AO229" s="2331"/>
      <c r="AP229" s="2331"/>
      <c r="AQ229" s="2332">
        <f t="shared" si="116"/>
        <v>0</v>
      </c>
      <c r="AR229" s="2332"/>
      <c r="AS229" s="2332"/>
      <c r="AT229" s="2332"/>
      <c r="AV229" s="151" t="str">
        <f t="shared" si="110"/>
        <v>CONCRETE &amp; FLATWORK</v>
      </c>
      <c r="AW229" s="681"/>
      <c r="AX229" s="230"/>
      <c r="AY229" s="230"/>
      <c r="AZ229" s="679"/>
      <c r="BA229" s="49">
        <f t="shared" si="117"/>
        <v>0</v>
      </c>
      <c r="BB229" s="49">
        <f t="shared" si="121"/>
        <v>0</v>
      </c>
      <c r="BC229" s="49">
        <f t="shared" si="122"/>
        <v>0</v>
      </c>
      <c r="BD229" s="49">
        <f t="shared" si="118"/>
        <v>0</v>
      </c>
      <c r="BE229" s="49">
        <f t="shared" si="123"/>
        <v>0</v>
      </c>
      <c r="BF229" s="49">
        <f t="shared" si="111"/>
        <v>0</v>
      </c>
      <c r="BG229" s="49">
        <f t="shared" si="112"/>
        <v>0</v>
      </c>
      <c r="BI229" s="134">
        <f t="shared" si="124"/>
        <v>0</v>
      </c>
      <c r="BJ229" s="134">
        <f t="shared" si="119"/>
        <v>0</v>
      </c>
      <c r="BK229" s="134">
        <f t="shared" si="125"/>
        <v>0</v>
      </c>
    </row>
    <row r="230" spans="1:63" ht="15" hidden="1" customHeight="1">
      <c r="A230" s="187"/>
      <c r="B230" s="2333"/>
      <c r="C230" s="2333"/>
      <c r="D230" s="2337" t="s">
        <v>643</v>
      </c>
      <c r="E230" s="2337"/>
      <c r="F230" s="2337"/>
      <c r="G230" s="2337"/>
      <c r="H230" s="2337"/>
      <c r="I230" s="2337"/>
      <c r="J230" s="2337"/>
      <c r="K230" s="2337"/>
      <c r="L230" s="2337"/>
      <c r="M230" s="2337"/>
      <c r="N230" s="2337"/>
      <c r="O230" s="2337"/>
      <c r="P230" s="2324"/>
      <c r="Q230" s="2324"/>
      <c r="R230" s="2325"/>
      <c r="S230" s="2324"/>
      <c r="T230" s="2324"/>
      <c r="U230" s="2326"/>
      <c r="V230" s="2327"/>
      <c r="W230" s="2327"/>
      <c r="X230" s="2327"/>
      <c r="Y230" s="2327"/>
      <c r="Z230" s="2327"/>
      <c r="AA230" s="2328"/>
      <c r="AB230" s="2329"/>
      <c r="AC230" s="2326"/>
      <c r="AD230" s="2330">
        <f t="shared" si="113"/>
        <v>0</v>
      </c>
      <c r="AE230" s="2330"/>
      <c r="AF230" s="2330"/>
      <c r="AG230" s="2330">
        <f t="shared" si="120"/>
        <v>0</v>
      </c>
      <c r="AH230" s="2330"/>
      <c r="AI230" s="2330"/>
      <c r="AJ230" s="2330">
        <f t="shared" si="114"/>
        <v>0</v>
      </c>
      <c r="AK230" s="2330"/>
      <c r="AL230" s="2330"/>
      <c r="AM230" s="2331">
        <f t="shared" si="115"/>
        <v>0</v>
      </c>
      <c r="AN230" s="2331"/>
      <c r="AO230" s="2331"/>
      <c r="AP230" s="2331"/>
      <c r="AQ230" s="2332">
        <f t="shared" si="116"/>
        <v>0</v>
      </c>
      <c r="AR230" s="2332"/>
      <c r="AS230" s="2332"/>
      <c r="AT230" s="2332"/>
      <c r="AV230" s="151" t="str">
        <f t="shared" si="110"/>
        <v>CONCRETE &amp; FLATWORK</v>
      </c>
      <c r="AW230" s="681"/>
      <c r="AX230" s="230"/>
      <c r="AY230" s="230"/>
      <c r="AZ230" s="679"/>
      <c r="BA230" s="49">
        <f t="shared" si="117"/>
        <v>0</v>
      </c>
      <c r="BB230" s="49">
        <f t="shared" si="121"/>
        <v>0</v>
      </c>
      <c r="BC230" s="49">
        <f t="shared" si="122"/>
        <v>0</v>
      </c>
      <c r="BD230" s="49">
        <f t="shared" si="118"/>
        <v>0</v>
      </c>
      <c r="BE230" s="49">
        <f t="shared" si="123"/>
        <v>0</v>
      </c>
      <c r="BF230" s="49">
        <f t="shared" si="111"/>
        <v>0</v>
      </c>
      <c r="BG230" s="49">
        <f t="shared" si="112"/>
        <v>0</v>
      </c>
      <c r="BI230" s="134">
        <f t="shared" si="124"/>
        <v>0</v>
      </c>
      <c r="BJ230" s="134">
        <f t="shared" si="119"/>
        <v>0</v>
      </c>
      <c r="BK230" s="134">
        <f t="shared" si="125"/>
        <v>0</v>
      </c>
    </row>
    <row r="231" spans="1:63" ht="15" hidden="1" customHeight="1">
      <c r="A231" s="187"/>
      <c r="B231" s="2333"/>
      <c r="C231" s="2333"/>
      <c r="D231" s="2338" t="s">
        <v>644</v>
      </c>
      <c r="E231" s="2338"/>
      <c r="F231" s="2338"/>
      <c r="G231" s="2338"/>
      <c r="H231" s="2338"/>
      <c r="I231" s="2338"/>
      <c r="J231" s="2338"/>
      <c r="K231" s="2338"/>
      <c r="L231" s="2338"/>
      <c r="M231" s="2338"/>
      <c r="N231" s="2338"/>
      <c r="O231" s="2338"/>
      <c r="P231" s="2324"/>
      <c r="Q231" s="2324"/>
      <c r="R231" s="2325"/>
      <c r="S231" s="2324" t="s">
        <v>3</v>
      </c>
      <c r="T231" s="2324"/>
      <c r="U231" s="2326"/>
      <c r="V231" s="2327"/>
      <c r="W231" s="2327"/>
      <c r="X231" s="2327"/>
      <c r="Y231" s="2327"/>
      <c r="Z231" s="2327"/>
      <c r="AA231" s="2328"/>
      <c r="AB231" s="2329"/>
      <c r="AC231" s="2326"/>
      <c r="AD231" s="2330">
        <f t="shared" si="113"/>
        <v>0</v>
      </c>
      <c r="AE231" s="2330"/>
      <c r="AF231" s="2330"/>
      <c r="AG231" s="2330">
        <f t="shared" si="120"/>
        <v>0</v>
      </c>
      <c r="AH231" s="2330"/>
      <c r="AI231" s="2330"/>
      <c r="AJ231" s="2330">
        <f t="shared" si="114"/>
        <v>0</v>
      </c>
      <c r="AK231" s="2330"/>
      <c r="AL231" s="2330"/>
      <c r="AM231" s="2331">
        <f t="shared" si="115"/>
        <v>0</v>
      </c>
      <c r="AN231" s="2331"/>
      <c r="AO231" s="2331"/>
      <c r="AP231" s="2331"/>
      <c r="AQ231" s="2332">
        <f t="shared" si="116"/>
        <v>0</v>
      </c>
      <c r="AR231" s="2332"/>
      <c r="AS231" s="2332"/>
      <c r="AT231" s="2332"/>
      <c r="AV231" s="151" t="str">
        <f t="shared" si="110"/>
        <v>CONCRETE &amp; FLATWORK</v>
      </c>
      <c r="AW231" s="681"/>
      <c r="AX231" s="230"/>
      <c r="AY231" s="230"/>
      <c r="AZ231" s="679"/>
      <c r="BA231" s="49">
        <f t="shared" si="117"/>
        <v>0</v>
      </c>
      <c r="BB231" s="49">
        <f t="shared" si="121"/>
        <v>0</v>
      </c>
      <c r="BC231" s="49">
        <f t="shared" si="122"/>
        <v>0</v>
      </c>
      <c r="BD231" s="49">
        <f t="shared" si="118"/>
        <v>0</v>
      </c>
      <c r="BE231" s="49">
        <f t="shared" si="123"/>
        <v>0</v>
      </c>
      <c r="BF231" s="49">
        <f t="shared" si="111"/>
        <v>0</v>
      </c>
      <c r="BG231" s="49">
        <f t="shared" si="112"/>
        <v>0</v>
      </c>
      <c r="BI231" s="134">
        <f t="shared" si="124"/>
        <v>0</v>
      </c>
      <c r="BJ231" s="134">
        <f t="shared" si="119"/>
        <v>0</v>
      </c>
      <c r="BK231" s="134">
        <f t="shared" si="125"/>
        <v>0</v>
      </c>
    </row>
    <row r="232" spans="1:63" hidden="1">
      <c r="A232" s="187"/>
      <c r="B232" s="2333"/>
      <c r="C232" s="2333"/>
      <c r="D232" s="2334" t="s">
        <v>645</v>
      </c>
      <c r="E232" s="2334"/>
      <c r="F232" s="2334"/>
      <c r="G232" s="2334"/>
      <c r="H232" s="2334"/>
      <c r="I232" s="2334"/>
      <c r="J232" s="2334"/>
      <c r="K232" s="2334"/>
      <c r="L232" s="2334"/>
      <c r="M232" s="2334"/>
      <c r="N232" s="2334"/>
      <c r="O232" s="2334"/>
      <c r="P232" s="2324"/>
      <c r="Q232" s="2324"/>
      <c r="R232" s="2325"/>
      <c r="S232" s="2324" t="s">
        <v>24</v>
      </c>
      <c r="T232" s="2324"/>
      <c r="U232" s="2326"/>
      <c r="V232" s="2327"/>
      <c r="W232" s="2327"/>
      <c r="X232" s="2327"/>
      <c r="Y232" s="2327"/>
      <c r="Z232" s="2327"/>
      <c r="AA232" s="2328">
        <v>25</v>
      </c>
      <c r="AB232" s="2329"/>
      <c r="AC232" s="2326"/>
      <c r="AD232" s="2330">
        <f t="shared" si="113"/>
        <v>0</v>
      </c>
      <c r="AE232" s="2330"/>
      <c r="AF232" s="2330"/>
      <c r="AG232" s="2330">
        <f t="shared" si="120"/>
        <v>0</v>
      </c>
      <c r="AH232" s="2330"/>
      <c r="AI232" s="2330"/>
      <c r="AJ232" s="2330">
        <f t="shared" si="114"/>
        <v>0</v>
      </c>
      <c r="AK232" s="2330"/>
      <c r="AL232" s="2330"/>
      <c r="AM232" s="2331">
        <f t="shared" si="115"/>
        <v>0</v>
      </c>
      <c r="AN232" s="2331"/>
      <c r="AO232" s="2331"/>
      <c r="AP232" s="2331"/>
      <c r="AQ232" s="2332">
        <f t="shared" si="116"/>
        <v>0</v>
      </c>
      <c r="AR232" s="2332"/>
      <c r="AS232" s="2332"/>
      <c r="AT232" s="2332"/>
      <c r="AV232" s="151" t="str">
        <f t="shared" si="110"/>
        <v>CONCRETE &amp; FLATWORK</v>
      </c>
      <c r="AW232" s="681"/>
      <c r="AX232" s="230"/>
      <c r="AY232" s="230"/>
      <c r="AZ232" s="679"/>
      <c r="BA232" s="49">
        <f t="shared" si="117"/>
        <v>0</v>
      </c>
      <c r="BB232" s="49">
        <f t="shared" si="121"/>
        <v>0</v>
      </c>
      <c r="BC232" s="49">
        <f t="shared" si="122"/>
        <v>0</v>
      </c>
      <c r="BD232" s="49">
        <f t="shared" si="118"/>
        <v>0</v>
      </c>
      <c r="BE232" s="49">
        <f t="shared" si="123"/>
        <v>0</v>
      </c>
      <c r="BF232" s="49">
        <f t="shared" si="111"/>
        <v>0</v>
      </c>
      <c r="BG232" s="49">
        <f t="shared" si="112"/>
        <v>0</v>
      </c>
      <c r="BI232" s="134">
        <f t="shared" si="124"/>
        <v>0</v>
      </c>
      <c r="BJ232" s="134">
        <f t="shared" si="119"/>
        <v>0</v>
      </c>
      <c r="BK232" s="134">
        <f t="shared" si="125"/>
        <v>0</v>
      </c>
    </row>
    <row r="233" spans="1:63" ht="15" hidden="1" customHeight="1">
      <c r="A233" s="187"/>
      <c r="B233" s="2321"/>
      <c r="C233" s="2322"/>
      <c r="D233" s="2334" t="s">
        <v>646</v>
      </c>
      <c r="E233" s="2334"/>
      <c r="F233" s="2334"/>
      <c r="G233" s="2334"/>
      <c r="H233" s="2334"/>
      <c r="I233" s="2334"/>
      <c r="J233" s="2334"/>
      <c r="K233" s="2334"/>
      <c r="L233" s="2334"/>
      <c r="M233" s="2334"/>
      <c r="N233" s="2334"/>
      <c r="O233" s="2334"/>
      <c r="P233" s="2324"/>
      <c r="Q233" s="2324"/>
      <c r="R233" s="2325"/>
      <c r="S233" s="2324" t="s">
        <v>24</v>
      </c>
      <c r="T233" s="2324"/>
      <c r="U233" s="2326"/>
      <c r="V233" s="2327"/>
      <c r="W233" s="2327"/>
      <c r="X233" s="2327"/>
      <c r="Y233" s="2327"/>
      <c r="Z233" s="2327"/>
      <c r="AA233" s="2328">
        <v>30</v>
      </c>
      <c r="AB233" s="2329"/>
      <c r="AC233" s="2326"/>
      <c r="AD233" s="2330">
        <f t="shared" si="113"/>
        <v>0</v>
      </c>
      <c r="AE233" s="2330"/>
      <c r="AF233" s="2330"/>
      <c r="AG233" s="2330">
        <f t="shared" si="120"/>
        <v>0</v>
      </c>
      <c r="AH233" s="2330"/>
      <c r="AI233" s="2330"/>
      <c r="AJ233" s="2330">
        <f t="shared" si="114"/>
        <v>0</v>
      </c>
      <c r="AK233" s="2330"/>
      <c r="AL233" s="2330"/>
      <c r="AM233" s="2331">
        <f t="shared" si="115"/>
        <v>0</v>
      </c>
      <c r="AN233" s="2331"/>
      <c r="AO233" s="2331"/>
      <c r="AP233" s="2331"/>
      <c r="AQ233" s="2332">
        <f t="shared" si="116"/>
        <v>0</v>
      </c>
      <c r="AR233" s="2332"/>
      <c r="AS233" s="2332"/>
      <c r="AT233" s="2332"/>
      <c r="AV233" s="151" t="str">
        <f t="shared" si="110"/>
        <v>CONCRETE &amp; FLATWORK</v>
      </c>
      <c r="AW233" s="681"/>
      <c r="AX233" s="230"/>
      <c r="AY233" s="230"/>
      <c r="AZ233" s="679"/>
      <c r="BA233" s="49">
        <f t="shared" si="117"/>
        <v>0</v>
      </c>
      <c r="BB233" s="49">
        <f t="shared" si="121"/>
        <v>0</v>
      </c>
      <c r="BC233" s="49">
        <f t="shared" si="122"/>
        <v>0</v>
      </c>
      <c r="BD233" s="49">
        <f t="shared" si="118"/>
        <v>0</v>
      </c>
      <c r="BE233" s="49">
        <f t="shared" si="123"/>
        <v>0</v>
      </c>
      <c r="BF233" s="49">
        <f t="shared" si="111"/>
        <v>0</v>
      </c>
      <c r="BG233" s="49">
        <f t="shared" si="112"/>
        <v>0</v>
      </c>
      <c r="BI233" s="134">
        <f t="shared" si="124"/>
        <v>0</v>
      </c>
      <c r="BJ233" s="134">
        <f t="shared" si="119"/>
        <v>0</v>
      </c>
      <c r="BK233" s="134">
        <f t="shared" si="125"/>
        <v>0</v>
      </c>
    </row>
    <row r="234" spans="1:63" ht="15" hidden="1" customHeight="1">
      <c r="A234" s="187"/>
      <c r="B234" s="2333"/>
      <c r="C234" s="2333"/>
      <c r="D234" s="2334" t="s">
        <v>679</v>
      </c>
      <c r="E234" s="2334"/>
      <c r="F234" s="2334"/>
      <c r="G234" s="2334"/>
      <c r="H234" s="2334"/>
      <c r="I234" s="2334"/>
      <c r="J234" s="2334"/>
      <c r="K234" s="2334"/>
      <c r="L234" s="2334"/>
      <c r="M234" s="2334"/>
      <c r="N234" s="2334"/>
      <c r="O234" s="2334"/>
      <c r="P234" s="2324"/>
      <c r="Q234" s="2324"/>
      <c r="R234" s="2325"/>
      <c r="S234" s="2324" t="s">
        <v>24</v>
      </c>
      <c r="T234" s="2324"/>
      <c r="U234" s="2326"/>
      <c r="V234" s="2327"/>
      <c r="W234" s="2327"/>
      <c r="X234" s="2327"/>
      <c r="Y234" s="2327"/>
      <c r="Z234" s="2327"/>
      <c r="AA234" s="2328">
        <v>15</v>
      </c>
      <c r="AB234" s="2329"/>
      <c r="AC234" s="2326"/>
      <c r="AD234" s="2330">
        <f t="shared" si="113"/>
        <v>0</v>
      </c>
      <c r="AE234" s="2330"/>
      <c r="AF234" s="2330"/>
      <c r="AG234" s="2330">
        <f t="shared" si="120"/>
        <v>0</v>
      </c>
      <c r="AH234" s="2330"/>
      <c r="AI234" s="2330"/>
      <c r="AJ234" s="2330">
        <f t="shared" si="114"/>
        <v>0</v>
      </c>
      <c r="AK234" s="2330"/>
      <c r="AL234" s="2330"/>
      <c r="AM234" s="2331">
        <f t="shared" si="115"/>
        <v>0</v>
      </c>
      <c r="AN234" s="2331"/>
      <c r="AO234" s="2331"/>
      <c r="AP234" s="2331"/>
      <c r="AQ234" s="2332">
        <f t="shared" si="116"/>
        <v>0</v>
      </c>
      <c r="AR234" s="2332"/>
      <c r="AS234" s="2332"/>
      <c r="AT234" s="2332"/>
      <c r="AV234" s="151" t="str">
        <f t="shared" si="110"/>
        <v>CONCRETE &amp; FLATWORK</v>
      </c>
      <c r="AW234" s="681"/>
      <c r="AX234" s="230"/>
      <c r="AY234" s="230"/>
      <c r="AZ234" s="679"/>
      <c r="BA234" s="49">
        <f t="shared" si="117"/>
        <v>0</v>
      </c>
      <c r="BB234" s="49">
        <f t="shared" si="121"/>
        <v>0</v>
      </c>
      <c r="BC234" s="49">
        <f t="shared" si="122"/>
        <v>0</v>
      </c>
      <c r="BD234" s="49">
        <f t="shared" si="118"/>
        <v>0</v>
      </c>
      <c r="BE234" s="49">
        <f t="shared" si="123"/>
        <v>0</v>
      </c>
      <c r="BF234" s="49">
        <f t="shared" si="111"/>
        <v>0</v>
      </c>
      <c r="BG234" s="49">
        <f t="shared" si="112"/>
        <v>0</v>
      </c>
      <c r="BI234" s="134">
        <f t="shared" si="124"/>
        <v>0</v>
      </c>
      <c r="BJ234" s="134">
        <f t="shared" si="119"/>
        <v>0</v>
      </c>
      <c r="BK234" s="134">
        <f t="shared" si="125"/>
        <v>0</v>
      </c>
    </row>
    <row r="235" spans="1:63" ht="15" hidden="1" customHeight="1">
      <c r="A235" s="187"/>
      <c r="B235" s="2321"/>
      <c r="C235" s="2322"/>
      <c r="D235" s="2334" t="s">
        <v>682</v>
      </c>
      <c r="E235" s="2334"/>
      <c r="F235" s="2334"/>
      <c r="G235" s="2334"/>
      <c r="H235" s="2334"/>
      <c r="I235" s="2334"/>
      <c r="J235" s="2334"/>
      <c r="K235" s="2334"/>
      <c r="L235" s="2334"/>
      <c r="M235" s="2334"/>
      <c r="N235" s="2334"/>
      <c r="O235" s="2334"/>
      <c r="P235" s="2324"/>
      <c r="Q235" s="2324"/>
      <c r="R235" s="2325"/>
      <c r="S235" s="2324" t="s">
        <v>24</v>
      </c>
      <c r="T235" s="2324"/>
      <c r="U235" s="2326"/>
      <c r="V235" s="2327"/>
      <c r="W235" s="2327"/>
      <c r="X235" s="2327"/>
      <c r="Y235" s="2327"/>
      <c r="Z235" s="2327"/>
      <c r="AA235" s="2328">
        <v>3</v>
      </c>
      <c r="AB235" s="2329"/>
      <c r="AC235" s="2326"/>
      <c r="AD235" s="2330">
        <f t="shared" si="113"/>
        <v>0</v>
      </c>
      <c r="AE235" s="2330"/>
      <c r="AF235" s="2330"/>
      <c r="AG235" s="2330">
        <f t="shared" si="120"/>
        <v>0</v>
      </c>
      <c r="AH235" s="2330"/>
      <c r="AI235" s="2330"/>
      <c r="AJ235" s="2330">
        <f t="shared" si="114"/>
        <v>0</v>
      </c>
      <c r="AK235" s="2330"/>
      <c r="AL235" s="2330"/>
      <c r="AM235" s="2331">
        <f t="shared" si="115"/>
        <v>0</v>
      </c>
      <c r="AN235" s="2331"/>
      <c r="AO235" s="2331"/>
      <c r="AP235" s="2331"/>
      <c r="AQ235" s="2332">
        <f t="shared" si="116"/>
        <v>0</v>
      </c>
      <c r="AR235" s="2332"/>
      <c r="AS235" s="2332"/>
      <c r="AT235" s="2332"/>
      <c r="AV235" s="151" t="str">
        <f t="shared" si="110"/>
        <v>CONCRETE &amp; FLATWORK</v>
      </c>
      <c r="AW235" s="681"/>
      <c r="AX235" s="230"/>
      <c r="AY235" s="230"/>
      <c r="AZ235" s="679"/>
      <c r="BA235" s="49">
        <f t="shared" si="117"/>
        <v>0</v>
      </c>
      <c r="BB235" s="49">
        <f t="shared" si="121"/>
        <v>0</v>
      </c>
      <c r="BC235" s="49">
        <f t="shared" si="122"/>
        <v>0</v>
      </c>
      <c r="BD235" s="49">
        <f t="shared" si="118"/>
        <v>0</v>
      </c>
      <c r="BE235" s="49">
        <f t="shared" si="123"/>
        <v>0</v>
      </c>
      <c r="BF235" s="49">
        <f t="shared" si="111"/>
        <v>0</v>
      </c>
      <c r="BG235" s="49">
        <f t="shared" si="112"/>
        <v>0</v>
      </c>
      <c r="BI235" s="134">
        <f t="shared" si="124"/>
        <v>0</v>
      </c>
      <c r="BJ235" s="134">
        <f t="shared" si="119"/>
        <v>0</v>
      </c>
      <c r="BK235" s="134">
        <f t="shared" si="125"/>
        <v>0</v>
      </c>
    </row>
    <row r="236" spans="1:63" ht="15" hidden="1" customHeight="1">
      <c r="A236" s="187"/>
      <c r="B236" s="2333"/>
      <c r="C236" s="2333"/>
      <c r="D236" s="2334" t="s">
        <v>680</v>
      </c>
      <c r="E236" s="2334"/>
      <c r="F236" s="2334"/>
      <c r="G236" s="2334"/>
      <c r="H236" s="2334"/>
      <c r="I236" s="2334"/>
      <c r="J236" s="2334"/>
      <c r="K236" s="2334"/>
      <c r="L236" s="2334"/>
      <c r="M236" s="2334"/>
      <c r="N236" s="2334"/>
      <c r="O236" s="2334"/>
      <c r="P236" s="2324"/>
      <c r="Q236" s="2324"/>
      <c r="R236" s="2325"/>
      <c r="S236" s="2324" t="s">
        <v>24</v>
      </c>
      <c r="T236" s="2324"/>
      <c r="U236" s="2326"/>
      <c r="V236" s="2327"/>
      <c r="W236" s="2327"/>
      <c r="X236" s="2327"/>
      <c r="Y236" s="2327"/>
      <c r="Z236" s="2327"/>
      <c r="AA236" s="2328">
        <v>9</v>
      </c>
      <c r="AB236" s="2329"/>
      <c r="AC236" s="2326"/>
      <c r="AD236" s="2330">
        <f t="shared" si="113"/>
        <v>0</v>
      </c>
      <c r="AE236" s="2330"/>
      <c r="AF236" s="2330"/>
      <c r="AG236" s="2330">
        <f t="shared" si="120"/>
        <v>0</v>
      </c>
      <c r="AH236" s="2330"/>
      <c r="AI236" s="2330"/>
      <c r="AJ236" s="2330">
        <f t="shared" si="114"/>
        <v>0</v>
      </c>
      <c r="AK236" s="2330"/>
      <c r="AL236" s="2330"/>
      <c r="AM236" s="2331">
        <f t="shared" si="115"/>
        <v>0</v>
      </c>
      <c r="AN236" s="2331"/>
      <c r="AO236" s="2331"/>
      <c r="AP236" s="2331"/>
      <c r="AQ236" s="2332">
        <f t="shared" si="116"/>
        <v>0</v>
      </c>
      <c r="AR236" s="2332"/>
      <c r="AS236" s="2332"/>
      <c r="AT236" s="2332"/>
      <c r="AV236" s="151" t="str">
        <f t="shared" si="110"/>
        <v>CONCRETE &amp; FLATWORK</v>
      </c>
      <c r="AW236" s="681"/>
      <c r="AX236" s="230"/>
      <c r="AY236" s="230"/>
      <c r="AZ236" s="679"/>
      <c r="BA236" s="49">
        <f t="shared" si="117"/>
        <v>0</v>
      </c>
      <c r="BB236" s="49">
        <f t="shared" si="121"/>
        <v>0</v>
      </c>
      <c r="BC236" s="49">
        <f t="shared" si="122"/>
        <v>0</v>
      </c>
      <c r="BD236" s="49">
        <f t="shared" si="118"/>
        <v>0</v>
      </c>
      <c r="BE236" s="49">
        <f t="shared" si="123"/>
        <v>0</v>
      </c>
      <c r="BF236" s="49">
        <f t="shared" si="111"/>
        <v>0</v>
      </c>
      <c r="BG236" s="49">
        <f t="shared" si="112"/>
        <v>0</v>
      </c>
      <c r="BI236" s="134">
        <f t="shared" si="124"/>
        <v>0</v>
      </c>
      <c r="BJ236" s="134">
        <f t="shared" si="119"/>
        <v>0</v>
      </c>
      <c r="BK236" s="134">
        <f t="shared" si="125"/>
        <v>0</v>
      </c>
    </row>
    <row r="237" spans="1:63" ht="15" hidden="1" customHeight="1">
      <c r="A237" s="187"/>
      <c r="B237" s="2333"/>
      <c r="C237" s="2333"/>
      <c r="D237" s="2349"/>
      <c r="E237" s="2349"/>
      <c r="F237" s="2349"/>
      <c r="G237" s="2349"/>
      <c r="H237" s="2349"/>
      <c r="I237" s="2349"/>
      <c r="J237" s="2349"/>
      <c r="K237" s="2349"/>
      <c r="L237" s="2349"/>
      <c r="M237" s="2349"/>
      <c r="N237" s="2349"/>
      <c r="O237" s="2349"/>
      <c r="P237" s="2324"/>
      <c r="Q237" s="2324"/>
      <c r="R237" s="2325"/>
      <c r="S237" s="2324"/>
      <c r="T237" s="2324"/>
      <c r="U237" s="2326"/>
      <c r="V237" s="2327"/>
      <c r="W237" s="2327"/>
      <c r="X237" s="2327"/>
      <c r="Y237" s="2327"/>
      <c r="Z237" s="2327"/>
      <c r="AA237" s="2328"/>
      <c r="AB237" s="2329"/>
      <c r="AC237" s="2326"/>
      <c r="AD237" s="2330">
        <f t="shared" si="113"/>
        <v>0</v>
      </c>
      <c r="AE237" s="2330"/>
      <c r="AF237" s="2330"/>
      <c r="AG237" s="2330">
        <f t="shared" si="120"/>
        <v>0</v>
      </c>
      <c r="AH237" s="2330"/>
      <c r="AI237" s="2330"/>
      <c r="AJ237" s="2330">
        <f t="shared" si="114"/>
        <v>0</v>
      </c>
      <c r="AK237" s="2330"/>
      <c r="AL237" s="2330"/>
      <c r="AM237" s="2331">
        <f t="shared" si="115"/>
        <v>0</v>
      </c>
      <c r="AN237" s="2331"/>
      <c r="AO237" s="2331"/>
      <c r="AP237" s="2331"/>
      <c r="AQ237" s="2332">
        <f t="shared" si="116"/>
        <v>0</v>
      </c>
      <c r="AR237" s="2332"/>
      <c r="AS237" s="2332"/>
      <c r="AT237" s="2332"/>
      <c r="AV237" s="151" t="str">
        <f t="shared" si="110"/>
        <v>CONCRETE &amp; FLATWORK</v>
      </c>
      <c r="AW237" s="681"/>
      <c r="AX237" s="230"/>
      <c r="AY237" s="230"/>
      <c r="AZ237" s="679"/>
      <c r="BA237" s="49">
        <f t="shared" si="117"/>
        <v>0</v>
      </c>
      <c r="BB237" s="49">
        <f t="shared" si="121"/>
        <v>0</v>
      </c>
      <c r="BC237" s="49">
        <f t="shared" si="122"/>
        <v>0</v>
      </c>
      <c r="BD237" s="49">
        <f t="shared" si="118"/>
        <v>0</v>
      </c>
      <c r="BE237" s="49">
        <f t="shared" si="123"/>
        <v>0</v>
      </c>
      <c r="BF237" s="49">
        <f t="shared" si="111"/>
        <v>0</v>
      </c>
      <c r="BG237" s="49">
        <f t="shared" si="112"/>
        <v>0</v>
      </c>
      <c r="BI237" s="134">
        <f t="shared" si="124"/>
        <v>0</v>
      </c>
      <c r="BJ237" s="134">
        <f t="shared" si="119"/>
        <v>0</v>
      </c>
      <c r="BK237" s="134">
        <f t="shared" si="125"/>
        <v>0</v>
      </c>
    </row>
    <row r="238" spans="1:63" hidden="1">
      <c r="A238" s="187"/>
      <c r="B238" s="2333"/>
      <c r="C238" s="2333"/>
      <c r="D238" s="2337" t="s">
        <v>678</v>
      </c>
      <c r="E238" s="2337"/>
      <c r="F238" s="2337"/>
      <c r="G238" s="2337"/>
      <c r="H238" s="2337"/>
      <c r="I238" s="2337"/>
      <c r="J238" s="2337"/>
      <c r="K238" s="2337"/>
      <c r="L238" s="2337"/>
      <c r="M238" s="2337"/>
      <c r="N238" s="2337"/>
      <c r="O238" s="2337"/>
      <c r="P238" s="2324"/>
      <c r="Q238" s="2324"/>
      <c r="R238" s="2325"/>
      <c r="S238" s="2324"/>
      <c r="T238" s="2324"/>
      <c r="U238" s="2326"/>
      <c r="V238" s="2327"/>
      <c r="W238" s="2327"/>
      <c r="X238" s="2327"/>
      <c r="Y238" s="2327"/>
      <c r="Z238" s="2327"/>
      <c r="AA238" s="2328"/>
      <c r="AB238" s="2329"/>
      <c r="AC238" s="2326"/>
      <c r="AD238" s="2330">
        <f t="shared" si="113"/>
        <v>0</v>
      </c>
      <c r="AE238" s="2330"/>
      <c r="AF238" s="2330"/>
      <c r="AG238" s="2330">
        <f t="shared" si="120"/>
        <v>0</v>
      </c>
      <c r="AH238" s="2330"/>
      <c r="AI238" s="2330"/>
      <c r="AJ238" s="2330">
        <f t="shared" si="114"/>
        <v>0</v>
      </c>
      <c r="AK238" s="2330"/>
      <c r="AL238" s="2330"/>
      <c r="AM238" s="2331">
        <f t="shared" si="115"/>
        <v>0</v>
      </c>
      <c r="AN238" s="2331"/>
      <c r="AO238" s="2331"/>
      <c r="AP238" s="2331"/>
      <c r="AQ238" s="2332">
        <f t="shared" si="116"/>
        <v>0</v>
      </c>
      <c r="AR238" s="2332"/>
      <c r="AS238" s="2332"/>
      <c r="AT238" s="2332"/>
      <c r="AV238" s="151" t="str">
        <f t="shared" si="110"/>
        <v>CONCRETE &amp; FLATWORK</v>
      </c>
      <c r="AW238" s="681"/>
      <c r="AX238" s="230"/>
      <c r="AY238" s="230"/>
      <c r="AZ238" s="679"/>
      <c r="BA238" s="49">
        <f t="shared" si="117"/>
        <v>0</v>
      </c>
      <c r="BB238" s="49">
        <f t="shared" si="121"/>
        <v>0</v>
      </c>
      <c r="BC238" s="49">
        <f t="shared" si="122"/>
        <v>0</v>
      </c>
      <c r="BD238" s="49">
        <f t="shared" si="118"/>
        <v>0</v>
      </c>
      <c r="BE238" s="49">
        <f t="shared" si="123"/>
        <v>0</v>
      </c>
      <c r="BF238" s="49">
        <f t="shared" si="111"/>
        <v>0</v>
      </c>
      <c r="BG238" s="49">
        <f t="shared" si="112"/>
        <v>0</v>
      </c>
      <c r="BI238" s="134">
        <f t="shared" si="124"/>
        <v>0</v>
      </c>
      <c r="BJ238" s="134">
        <f t="shared" si="119"/>
        <v>0</v>
      </c>
      <c r="BK238" s="134">
        <f t="shared" si="125"/>
        <v>0</v>
      </c>
    </row>
    <row r="239" spans="1:63" ht="15" hidden="1" customHeight="1">
      <c r="A239" s="187"/>
      <c r="B239" s="2321"/>
      <c r="C239" s="2322"/>
      <c r="D239" s="2338" t="s">
        <v>675</v>
      </c>
      <c r="E239" s="2338"/>
      <c r="F239" s="2338"/>
      <c r="G239" s="2338"/>
      <c r="H239" s="2338"/>
      <c r="I239" s="2338"/>
      <c r="J239" s="2338"/>
      <c r="K239" s="2338"/>
      <c r="L239" s="2338"/>
      <c r="M239" s="2338"/>
      <c r="N239" s="2338"/>
      <c r="O239" s="2338"/>
      <c r="P239" s="2324"/>
      <c r="Q239" s="2324"/>
      <c r="R239" s="2325"/>
      <c r="S239" s="2324" t="s">
        <v>3</v>
      </c>
      <c r="T239" s="2324"/>
      <c r="U239" s="2326"/>
      <c r="V239" s="2327"/>
      <c r="W239" s="2327"/>
      <c r="X239" s="2327"/>
      <c r="Y239" s="2327"/>
      <c r="Z239" s="2327"/>
      <c r="AA239" s="2328"/>
      <c r="AB239" s="2329"/>
      <c r="AC239" s="2326"/>
      <c r="AD239" s="2330">
        <f t="shared" si="113"/>
        <v>0</v>
      </c>
      <c r="AE239" s="2330"/>
      <c r="AF239" s="2330"/>
      <c r="AG239" s="2330">
        <f t="shared" si="120"/>
        <v>0</v>
      </c>
      <c r="AH239" s="2330"/>
      <c r="AI239" s="2330"/>
      <c r="AJ239" s="2330">
        <f t="shared" si="114"/>
        <v>0</v>
      </c>
      <c r="AK239" s="2330"/>
      <c r="AL239" s="2330"/>
      <c r="AM239" s="2331">
        <f t="shared" si="115"/>
        <v>0</v>
      </c>
      <c r="AN239" s="2331"/>
      <c r="AO239" s="2331"/>
      <c r="AP239" s="2331"/>
      <c r="AQ239" s="2332">
        <f t="shared" si="116"/>
        <v>0</v>
      </c>
      <c r="AR239" s="2332"/>
      <c r="AS239" s="2332"/>
      <c r="AT239" s="2332"/>
      <c r="AV239" s="151" t="str">
        <f t="shared" si="110"/>
        <v>CONCRETE &amp; FLATWORK</v>
      </c>
      <c r="AW239" s="681"/>
      <c r="AX239" s="230"/>
      <c r="AY239" s="230"/>
      <c r="AZ239" s="679"/>
      <c r="BA239" s="49">
        <f t="shared" si="117"/>
        <v>0</v>
      </c>
      <c r="BB239" s="49">
        <f t="shared" si="121"/>
        <v>0</v>
      </c>
      <c r="BC239" s="49">
        <f t="shared" si="122"/>
        <v>0</v>
      </c>
      <c r="BD239" s="49">
        <f t="shared" si="118"/>
        <v>0</v>
      </c>
      <c r="BE239" s="49">
        <f t="shared" si="123"/>
        <v>0</v>
      </c>
      <c r="BF239" s="49">
        <f t="shared" si="111"/>
        <v>0</v>
      </c>
      <c r="BG239" s="49">
        <f t="shared" si="112"/>
        <v>0</v>
      </c>
      <c r="BI239" s="134">
        <f t="shared" si="124"/>
        <v>0</v>
      </c>
      <c r="BJ239" s="134">
        <f t="shared" si="119"/>
        <v>0</v>
      </c>
      <c r="BK239" s="134">
        <f t="shared" si="125"/>
        <v>0</v>
      </c>
    </row>
    <row r="240" spans="1:63" ht="15" hidden="1" customHeight="1">
      <c r="A240" s="187"/>
      <c r="B240" s="2333"/>
      <c r="C240" s="2333"/>
      <c r="D240" s="2334" t="s">
        <v>676</v>
      </c>
      <c r="E240" s="2334"/>
      <c r="F240" s="2334"/>
      <c r="G240" s="2334"/>
      <c r="H240" s="2334"/>
      <c r="I240" s="2334"/>
      <c r="J240" s="2334"/>
      <c r="K240" s="2334"/>
      <c r="L240" s="2334"/>
      <c r="M240" s="2334"/>
      <c r="N240" s="2334"/>
      <c r="O240" s="2334"/>
      <c r="P240" s="2324"/>
      <c r="Q240" s="2324"/>
      <c r="R240" s="2325"/>
      <c r="S240" s="2324" t="s">
        <v>11</v>
      </c>
      <c r="T240" s="2324"/>
      <c r="U240" s="2326">
        <v>6.5</v>
      </c>
      <c r="V240" s="2327"/>
      <c r="W240" s="2327"/>
      <c r="X240" s="2327">
        <v>3.5</v>
      </c>
      <c r="Y240" s="2327"/>
      <c r="Z240" s="2327"/>
      <c r="AA240" s="2328"/>
      <c r="AB240" s="2329"/>
      <c r="AC240" s="2326"/>
      <c r="AD240" s="2330">
        <f t="shared" si="113"/>
        <v>0</v>
      </c>
      <c r="AE240" s="2330"/>
      <c r="AF240" s="2330"/>
      <c r="AG240" s="2330">
        <f t="shared" si="120"/>
        <v>0</v>
      </c>
      <c r="AH240" s="2330"/>
      <c r="AI240" s="2330"/>
      <c r="AJ240" s="2330">
        <f t="shared" si="114"/>
        <v>0</v>
      </c>
      <c r="AK240" s="2330"/>
      <c r="AL240" s="2330"/>
      <c r="AM240" s="2331">
        <f t="shared" si="115"/>
        <v>0</v>
      </c>
      <c r="AN240" s="2331"/>
      <c r="AO240" s="2331"/>
      <c r="AP240" s="2331"/>
      <c r="AQ240" s="2332">
        <f t="shared" si="116"/>
        <v>0</v>
      </c>
      <c r="AR240" s="2332"/>
      <c r="AS240" s="2332"/>
      <c r="AT240" s="2332"/>
      <c r="AV240" s="151" t="str">
        <f t="shared" si="110"/>
        <v>CONCRETE &amp; FLATWORK</v>
      </c>
      <c r="AW240" s="681"/>
      <c r="AX240" s="230"/>
      <c r="AY240" s="230"/>
      <c r="AZ240" s="679"/>
      <c r="BA240" s="49">
        <f t="shared" si="117"/>
        <v>0</v>
      </c>
      <c r="BB240" s="49">
        <f t="shared" si="121"/>
        <v>0</v>
      </c>
      <c r="BC240" s="49">
        <f t="shared" si="122"/>
        <v>0</v>
      </c>
      <c r="BD240" s="49">
        <f t="shared" si="118"/>
        <v>0</v>
      </c>
      <c r="BE240" s="49">
        <f t="shared" si="123"/>
        <v>0</v>
      </c>
      <c r="BF240" s="49">
        <f t="shared" si="111"/>
        <v>0</v>
      </c>
      <c r="BG240" s="49">
        <f t="shared" si="112"/>
        <v>0</v>
      </c>
      <c r="BI240" s="134">
        <f t="shared" si="124"/>
        <v>0</v>
      </c>
      <c r="BJ240" s="134">
        <f t="shared" si="119"/>
        <v>0</v>
      </c>
      <c r="BK240" s="134">
        <f t="shared" si="125"/>
        <v>0</v>
      </c>
    </row>
    <row r="241" spans="1:63" ht="15" hidden="1" customHeight="1">
      <c r="A241" s="187"/>
      <c r="B241" s="2321"/>
      <c r="C241" s="2322"/>
      <c r="D241" s="2334" t="s">
        <v>677</v>
      </c>
      <c r="E241" s="2334"/>
      <c r="F241" s="2334"/>
      <c r="G241" s="2334"/>
      <c r="H241" s="2334"/>
      <c r="I241" s="2334"/>
      <c r="J241" s="2334"/>
      <c r="K241" s="2334"/>
      <c r="L241" s="2334"/>
      <c r="M241" s="2334"/>
      <c r="N241" s="2334"/>
      <c r="O241" s="2334"/>
      <c r="P241" s="2324"/>
      <c r="Q241" s="2324"/>
      <c r="R241" s="2325"/>
      <c r="S241" s="2324" t="s">
        <v>11</v>
      </c>
      <c r="T241" s="2324"/>
      <c r="U241" s="2326">
        <v>9.5</v>
      </c>
      <c r="V241" s="2327"/>
      <c r="W241" s="2327"/>
      <c r="X241" s="2327">
        <v>6</v>
      </c>
      <c r="Y241" s="2327"/>
      <c r="Z241" s="2327"/>
      <c r="AA241" s="2328"/>
      <c r="AB241" s="2329"/>
      <c r="AC241" s="2326"/>
      <c r="AD241" s="2330">
        <f t="shared" si="113"/>
        <v>0</v>
      </c>
      <c r="AE241" s="2330"/>
      <c r="AF241" s="2330"/>
      <c r="AG241" s="2330">
        <f t="shared" si="120"/>
        <v>0</v>
      </c>
      <c r="AH241" s="2330"/>
      <c r="AI241" s="2330"/>
      <c r="AJ241" s="2330">
        <f t="shared" si="114"/>
        <v>0</v>
      </c>
      <c r="AK241" s="2330"/>
      <c r="AL241" s="2330"/>
      <c r="AM241" s="2331">
        <f t="shared" si="115"/>
        <v>0</v>
      </c>
      <c r="AN241" s="2331"/>
      <c r="AO241" s="2331"/>
      <c r="AP241" s="2331"/>
      <c r="AQ241" s="2332">
        <f t="shared" si="116"/>
        <v>0</v>
      </c>
      <c r="AR241" s="2332"/>
      <c r="AS241" s="2332"/>
      <c r="AT241" s="2332"/>
      <c r="AV241" s="151" t="str">
        <f t="shared" si="110"/>
        <v>CONCRETE &amp; FLATWORK</v>
      </c>
      <c r="AW241" s="681"/>
      <c r="AX241" s="230"/>
      <c r="AY241" s="230"/>
      <c r="AZ241" s="679"/>
      <c r="BA241" s="49">
        <f t="shared" si="117"/>
        <v>0</v>
      </c>
      <c r="BB241" s="49">
        <f t="shared" si="121"/>
        <v>0</v>
      </c>
      <c r="BC241" s="49">
        <f t="shared" si="122"/>
        <v>0</v>
      </c>
      <c r="BD241" s="49">
        <f t="shared" si="118"/>
        <v>0</v>
      </c>
      <c r="BE241" s="49">
        <f t="shared" ref="BE241:BE262" si="126">SUM(BA241:BC241)</f>
        <v>0</v>
      </c>
      <c r="BF241" s="49">
        <f t="shared" si="111"/>
        <v>0</v>
      </c>
      <c r="BG241" s="49">
        <f t="shared" si="112"/>
        <v>0</v>
      </c>
      <c r="BI241" s="134">
        <f t="shared" si="124"/>
        <v>0</v>
      </c>
      <c r="BJ241" s="134">
        <f t="shared" si="119"/>
        <v>0</v>
      </c>
      <c r="BK241" s="134">
        <f t="shared" si="125"/>
        <v>0</v>
      </c>
    </row>
    <row r="242" spans="1:63" ht="15" hidden="1" customHeight="1">
      <c r="A242" s="187"/>
      <c r="B242" s="2333"/>
      <c r="C242" s="2333"/>
      <c r="D242" s="2334"/>
      <c r="E242" s="2334"/>
      <c r="F242" s="2334"/>
      <c r="G242" s="2334"/>
      <c r="H242" s="2334"/>
      <c r="I242" s="2334"/>
      <c r="J242" s="2334"/>
      <c r="K242" s="2334"/>
      <c r="L242" s="2334"/>
      <c r="M242" s="2334"/>
      <c r="N242" s="2334"/>
      <c r="O242" s="2334"/>
      <c r="P242" s="2324"/>
      <c r="Q242" s="2324"/>
      <c r="R242" s="2325"/>
      <c r="S242" s="2324"/>
      <c r="T242" s="2324"/>
      <c r="U242" s="2326"/>
      <c r="V242" s="2327"/>
      <c r="W242" s="2327"/>
      <c r="X242" s="2327"/>
      <c r="Y242" s="2327"/>
      <c r="Z242" s="2327"/>
      <c r="AA242" s="2328"/>
      <c r="AB242" s="2329"/>
      <c r="AC242" s="2326"/>
      <c r="AD242" s="2330">
        <f t="shared" ref="AD242:AD251" si="127">((P242*U242)-AM242)</f>
        <v>0</v>
      </c>
      <c r="AE242" s="2330"/>
      <c r="AF242" s="2330"/>
      <c r="AG242" s="2330">
        <f t="shared" si="120"/>
        <v>0</v>
      </c>
      <c r="AH242" s="2330"/>
      <c r="AI242" s="2330"/>
      <c r="AJ242" s="2330">
        <f t="shared" ref="AJ242:AJ251" si="128">P242*AA242</f>
        <v>0</v>
      </c>
      <c r="AK242" s="2330"/>
      <c r="AL242" s="2330"/>
      <c r="AM242" s="2331">
        <f t="shared" si="115"/>
        <v>0</v>
      </c>
      <c r="AN242" s="2331"/>
      <c r="AO242" s="2331"/>
      <c r="AP242" s="2331"/>
      <c r="AQ242" s="2332">
        <f t="shared" ref="AQ242:AQ251" si="129">SUM(AD242:AL242)</f>
        <v>0</v>
      </c>
      <c r="AR242" s="2332"/>
      <c r="AS242" s="2332"/>
      <c r="AT242" s="2332"/>
      <c r="AV242" s="151" t="str">
        <f t="shared" si="110"/>
        <v>CONCRETE &amp; FLATWORK</v>
      </c>
      <c r="AW242" s="681"/>
      <c r="AX242" s="230"/>
      <c r="AY242" s="230"/>
      <c r="AZ242" s="679"/>
      <c r="BA242" s="49">
        <f t="shared" ref="BA242:BA251" si="130">AD242</f>
        <v>0</v>
      </c>
      <c r="BB242" s="49">
        <f t="shared" ref="BB242:BB251" si="131">AG242</f>
        <v>0</v>
      </c>
      <c r="BC242" s="49">
        <f t="shared" ref="BC242:BC251" si="132">AJ242</f>
        <v>0</v>
      </c>
      <c r="BD242" s="49">
        <f t="shared" ref="BD242:BD251" si="133">IF(B242="x",1,0)</f>
        <v>0</v>
      </c>
      <c r="BE242" s="49">
        <f t="shared" si="126"/>
        <v>0</v>
      </c>
      <c r="BF242" s="49">
        <f t="shared" ref="BF242:BF251" si="134">AQ242</f>
        <v>0</v>
      </c>
      <c r="BG242" s="49">
        <f t="shared" ref="BG242:BG251" si="135">AM242</f>
        <v>0</v>
      </c>
      <c r="BI242" s="134">
        <f t="shared" ref="BI242:BI251" si="136">AD242</f>
        <v>0</v>
      </c>
      <c r="BJ242" s="134">
        <f t="shared" ref="BJ242:BJ251" si="137">AM242</f>
        <v>0</v>
      </c>
      <c r="BK242" s="134">
        <f t="shared" ref="BK242:BK251" si="138">BJ242+BI242</f>
        <v>0</v>
      </c>
    </row>
    <row r="243" spans="1:63" ht="15" hidden="1" customHeight="1">
      <c r="A243" s="187"/>
      <c r="B243" s="2333"/>
      <c r="C243" s="2333"/>
      <c r="D243" s="2334"/>
      <c r="E243" s="2334"/>
      <c r="F243" s="2334"/>
      <c r="G243" s="2334"/>
      <c r="H243" s="2334"/>
      <c r="I243" s="2334"/>
      <c r="J243" s="2334"/>
      <c r="K243" s="2334"/>
      <c r="L243" s="2334"/>
      <c r="M243" s="2334"/>
      <c r="N243" s="2334"/>
      <c r="O243" s="2334"/>
      <c r="P243" s="2324"/>
      <c r="Q243" s="2324"/>
      <c r="R243" s="2325"/>
      <c r="S243" s="2324"/>
      <c r="T243" s="2324"/>
      <c r="U243" s="2326"/>
      <c r="V243" s="2327"/>
      <c r="W243" s="2327"/>
      <c r="X243" s="2327"/>
      <c r="Y243" s="2327"/>
      <c r="Z243" s="2327"/>
      <c r="AA243" s="2328"/>
      <c r="AB243" s="2329"/>
      <c r="AC243" s="2326"/>
      <c r="AD243" s="2330">
        <f t="shared" si="127"/>
        <v>0</v>
      </c>
      <c r="AE243" s="2330"/>
      <c r="AF243" s="2330"/>
      <c r="AG243" s="2330">
        <f t="shared" si="120"/>
        <v>0</v>
      </c>
      <c r="AH243" s="2330"/>
      <c r="AI243" s="2330"/>
      <c r="AJ243" s="2330">
        <f t="shared" si="128"/>
        <v>0</v>
      </c>
      <c r="AK243" s="2330"/>
      <c r="AL243" s="2330"/>
      <c r="AM243" s="2331">
        <f t="shared" si="115"/>
        <v>0</v>
      </c>
      <c r="AN243" s="2331"/>
      <c r="AO243" s="2331"/>
      <c r="AP243" s="2331"/>
      <c r="AQ243" s="2332">
        <f t="shared" si="129"/>
        <v>0</v>
      </c>
      <c r="AR243" s="2332"/>
      <c r="AS243" s="2332"/>
      <c r="AT243" s="2332"/>
      <c r="AV243" s="151" t="str">
        <f t="shared" si="110"/>
        <v>CONCRETE &amp; FLATWORK</v>
      </c>
      <c r="AW243" s="681"/>
      <c r="AX243" s="230"/>
      <c r="AY243" s="230"/>
      <c r="AZ243" s="679"/>
      <c r="BA243" s="49">
        <f t="shared" si="130"/>
        <v>0</v>
      </c>
      <c r="BB243" s="49">
        <f t="shared" si="131"/>
        <v>0</v>
      </c>
      <c r="BC243" s="49">
        <f t="shared" si="132"/>
        <v>0</v>
      </c>
      <c r="BD243" s="49">
        <f t="shared" si="133"/>
        <v>0</v>
      </c>
      <c r="BE243" s="49">
        <f t="shared" si="126"/>
        <v>0</v>
      </c>
      <c r="BF243" s="49">
        <f t="shared" si="134"/>
        <v>0</v>
      </c>
      <c r="BG243" s="49">
        <f t="shared" si="135"/>
        <v>0</v>
      </c>
      <c r="BI243" s="134">
        <f t="shared" si="136"/>
        <v>0</v>
      </c>
      <c r="BJ243" s="134">
        <f t="shared" si="137"/>
        <v>0</v>
      </c>
      <c r="BK243" s="134">
        <f t="shared" si="138"/>
        <v>0</v>
      </c>
    </row>
    <row r="244" spans="1:63" ht="15" hidden="1" customHeight="1">
      <c r="A244" s="187"/>
      <c r="B244" s="2333"/>
      <c r="C244" s="2333"/>
      <c r="D244" s="2334"/>
      <c r="E244" s="2334"/>
      <c r="F244" s="2334"/>
      <c r="G244" s="2334"/>
      <c r="H244" s="2334"/>
      <c r="I244" s="2334"/>
      <c r="J244" s="2334"/>
      <c r="K244" s="2334"/>
      <c r="L244" s="2334"/>
      <c r="M244" s="2334"/>
      <c r="N244" s="2334"/>
      <c r="O244" s="2334"/>
      <c r="P244" s="2324"/>
      <c r="Q244" s="2324"/>
      <c r="R244" s="2325"/>
      <c r="S244" s="2324"/>
      <c r="T244" s="2324"/>
      <c r="U244" s="2326"/>
      <c r="V244" s="2327"/>
      <c r="W244" s="2327"/>
      <c r="X244" s="2327"/>
      <c r="Y244" s="2327"/>
      <c r="Z244" s="2327"/>
      <c r="AA244" s="2328"/>
      <c r="AB244" s="2329"/>
      <c r="AC244" s="2326"/>
      <c r="AD244" s="2330">
        <f t="shared" si="127"/>
        <v>0</v>
      </c>
      <c r="AE244" s="2330"/>
      <c r="AF244" s="2330"/>
      <c r="AG244" s="2330">
        <f t="shared" si="120"/>
        <v>0</v>
      </c>
      <c r="AH244" s="2330"/>
      <c r="AI244" s="2330"/>
      <c r="AJ244" s="2330">
        <f t="shared" si="128"/>
        <v>0</v>
      </c>
      <c r="AK244" s="2330"/>
      <c r="AL244" s="2330"/>
      <c r="AM244" s="2331">
        <f t="shared" si="115"/>
        <v>0</v>
      </c>
      <c r="AN244" s="2331"/>
      <c r="AO244" s="2331"/>
      <c r="AP244" s="2331"/>
      <c r="AQ244" s="2332">
        <f t="shared" si="129"/>
        <v>0</v>
      </c>
      <c r="AR244" s="2332"/>
      <c r="AS244" s="2332"/>
      <c r="AT244" s="2332"/>
      <c r="AV244" s="151" t="str">
        <f t="shared" si="110"/>
        <v>CONCRETE &amp; FLATWORK</v>
      </c>
      <c r="AW244" s="681"/>
      <c r="AX244" s="230"/>
      <c r="AY244" s="230"/>
      <c r="AZ244" s="679"/>
      <c r="BA244" s="49">
        <f t="shared" si="130"/>
        <v>0</v>
      </c>
      <c r="BB244" s="49">
        <f t="shared" si="131"/>
        <v>0</v>
      </c>
      <c r="BC244" s="49">
        <f t="shared" si="132"/>
        <v>0</v>
      </c>
      <c r="BD244" s="49">
        <f t="shared" si="133"/>
        <v>0</v>
      </c>
      <c r="BE244" s="49">
        <f t="shared" si="126"/>
        <v>0</v>
      </c>
      <c r="BF244" s="49">
        <f t="shared" si="134"/>
        <v>0</v>
      </c>
      <c r="BG244" s="49">
        <f t="shared" si="135"/>
        <v>0</v>
      </c>
      <c r="BI244" s="134">
        <f t="shared" si="136"/>
        <v>0</v>
      </c>
      <c r="BJ244" s="134">
        <f t="shared" si="137"/>
        <v>0</v>
      </c>
      <c r="BK244" s="134">
        <f t="shared" si="138"/>
        <v>0</v>
      </c>
    </row>
    <row r="245" spans="1:63" ht="15" hidden="1" customHeight="1">
      <c r="A245" s="187"/>
      <c r="B245" s="2333"/>
      <c r="C245" s="2333"/>
      <c r="D245" s="2334"/>
      <c r="E245" s="2334"/>
      <c r="F245" s="2334"/>
      <c r="G245" s="2334"/>
      <c r="H245" s="2334"/>
      <c r="I245" s="2334"/>
      <c r="J245" s="2334"/>
      <c r="K245" s="2334"/>
      <c r="L245" s="2334"/>
      <c r="M245" s="2334"/>
      <c r="N245" s="2334"/>
      <c r="O245" s="2334"/>
      <c r="P245" s="2324"/>
      <c r="Q245" s="2324"/>
      <c r="R245" s="2325"/>
      <c r="S245" s="2324"/>
      <c r="T245" s="2324"/>
      <c r="U245" s="2326"/>
      <c r="V245" s="2327"/>
      <c r="W245" s="2327"/>
      <c r="X245" s="2327"/>
      <c r="Y245" s="2327"/>
      <c r="Z245" s="2327"/>
      <c r="AA245" s="2328"/>
      <c r="AB245" s="2329"/>
      <c r="AC245" s="2326"/>
      <c r="AD245" s="2330">
        <f t="shared" si="127"/>
        <v>0</v>
      </c>
      <c r="AE245" s="2330"/>
      <c r="AF245" s="2330"/>
      <c r="AG245" s="2330">
        <f t="shared" si="120"/>
        <v>0</v>
      </c>
      <c r="AH245" s="2330"/>
      <c r="AI245" s="2330"/>
      <c r="AJ245" s="2330">
        <f t="shared" si="128"/>
        <v>0</v>
      </c>
      <c r="AK245" s="2330"/>
      <c r="AL245" s="2330"/>
      <c r="AM245" s="2331">
        <f t="shared" si="115"/>
        <v>0</v>
      </c>
      <c r="AN245" s="2331"/>
      <c r="AO245" s="2331"/>
      <c r="AP245" s="2331"/>
      <c r="AQ245" s="2332">
        <f t="shared" si="129"/>
        <v>0</v>
      </c>
      <c r="AR245" s="2332"/>
      <c r="AS245" s="2332"/>
      <c r="AT245" s="2332"/>
      <c r="AV245" s="151" t="str">
        <f t="shared" si="110"/>
        <v>CONCRETE &amp; FLATWORK</v>
      </c>
      <c r="AW245" s="681"/>
      <c r="AX245" s="230"/>
      <c r="AY245" s="230"/>
      <c r="AZ245" s="679"/>
      <c r="BA245" s="49">
        <f t="shared" si="130"/>
        <v>0</v>
      </c>
      <c r="BB245" s="49">
        <f t="shared" si="131"/>
        <v>0</v>
      </c>
      <c r="BC245" s="49">
        <f t="shared" si="132"/>
        <v>0</v>
      </c>
      <c r="BD245" s="49">
        <f t="shared" si="133"/>
        <v>0</v>
      </c>
      <c r="BE245" s="49">
        <f t="shared" si="126"/>
        <v>0</v>
      </c>
      <c r="BF245" s="49">
        <f t="shared" si="134"/>
        <v>0</v>
      </c>
      <c r="BG245" s="49">
        <f t="shared" si="135"/>
        <v>0</v>
      </c>
      <c r="BI245" s="134">
        <f t="shared" si="136"/>
        <v>0</v>
      </c>
      <c r="BJ245" s="134">
        <f t="shared" si="137"/>
        <v>0</v>
      </c>
      <c r="BK245" s="134">
        <f t="shared" si="138"/>
        <v>0</v>
      </c>
    </row>
    <row r="246" spans="1:63" ht="15" hidden="1" customHeight="1">
      <c r="A246" s="187"/>
      <c r="B246" s="2333"/>
      <c r="C246" s="2333"/>
      <c r="D246" s="2334"/>
      <c r="E246" s="2334"/>
      <c r="F246" s="2334"/>
      <c r="G246" s="2334"/>
      <c r="H246" s="2334"/>
      <c r="I246" s="2334"/>
      <c r="J246" s="2334"/>
      <c r="K246" s="2334"/>
      <c r="L246" s="2334"/>
      <c r="M246" s="2334"/>
      <c r="N246" s="2334"/>
      <c r="O246" s="2334"/>
      <c r="P246" s="2324"/>
      <c r="Q246" s="2324"/>
      <c r="R246" s="2325"/>
      <c r="S246" s="2324"/>
      <c r="T246" s="2324"/>
      <c r="U246" s="2326"/>
      <c r="V246" s="2327"/>
      <c r="W246" s="2327"/>
      <c r="X246" s="2327"/>
      <c r="Y246" s="2327"/>
      <c r="Z246" s="2327"/>
      <c r="AA246" s="2328"/>
      <c r="AB246" s="2329"/>
      <c r="AC246" s="2326"/>
      <c r="AD246" s="2330">
        <f t="shared" si="127"/>
        <v>0</v>
      </c>
      <c r="AE246" s="2330"/>
      <c r="AF246" s="2330"/>
      <c r="AG246" s="2330">
        <f t="shared" si="120"/>
        <v>0</v>
      </c>
      <c r="AH246" s="2330"/>
      <c r="AI246" s="2330"/>
      <c r="AJ246" s="2330">
        <f t="shared" si="128"/>
        <v>0</v>
      </c>
      <c r="AK246" s="2330"/>
      <c r="AL246" s="2330"/>
      <c r="AM246" s="2331">
        <f t="shared" si="115"/>
        <v>0</v>
      </c>
      <c r="AN246" s="2331"/>
      <c r="AO246" s="2331"/>
      <c r="AP246" s="2331"/>
      <c r="AQ246" s="2332">
        <f t="shared" si="129"/>
        <v>0</v>
      </c>
      <c r="AR246" s="2332"/>
      <c r="AS246" s="2332"/>
      <c r="AT246" s="2332"/>
      <c r="AV246" s="151" t="str">
        <f t="shared" si="110"/>
        <v>CONCRETE &amp; FLATWORK</v>
      </c>
      <c r="AW246" s="681"/>
      <c r="AX246" s="230"/>
      <c r="AY246" s="230"/>
      <c r="AZ246" s="679"/>
      <c r="BA246" s="49">
        <f t="shared" si="130"/>
        <v>0</v>
      </c>
      <c r="BB246" s="49">
        <f t="shared" si="131"/>
        <v>0</v>
      </c>
      <c r="BC246" s="49">
        <f t="shared" si="132"/>
        <v>0</v>
      </c>
      <c r="BD246" s="49">
        <f t="shared" si="133"/>
        <v>0</v>
      </c>
      <c r="BE246" s="49">
        <f t="shared" si="126"/>
        <v>0</v>
      </c>
      <c r="BF246" s="49">
        <f t="shared" si="134"/>
        <v>0</v>
      </c>
      <c r="BG246" s="49">
        <f t="shared" si="135"/>
        <v>0</v>
      </c>
      <c r="BI246" s="134">
        <f t="shared" si="136"/>
        <v>0</v>
      </c>
      <c r="BJ246" s="134">
        <f t="shared" si="137"/>
        <v>0</v>
      </c>
      <c r="BK246" s="134">
        <f t="shared" si="138"/>
        <v>0</v>
      </c>
    </row>
    <row r="247" spans="1:63" ht="15" hidden="1" customHeight="1">
      <c r="A247" s="187"/>
      <c r="B247" s="2333"/>
      <c r="C247" s="2333"/>
      <c r="D247" s="2334"/>
      <c r="E247" s="2334"/>
      <c r="F247" s="2334"/>
      <c r="G247" s="2334"/>
      <c r="H247" s="2334"/>
      <c r="I247" s="2334"/>
      <c r="J247" s="2334"/>
      <c r="K247" s="2334"/>
      <c r="L247" s="2334"/>
      <c r="M247" s="2334"/>
      <c r="N247" s="2334"/>
      <c r="O247" s="2334"/>
      <c r="P247" s="2324"/>
      <c r="Q247" s="2324"/>
      <c r="R247" s="2325"/>
      <c r="S247" s="2324"/>
      <c r="T247" s="2324"/>
      <c r="U247" s="2326"/>
      <c r="V247" s="2327"/>
      <c r="W247" s="2327"/>
      <c r="X247" s="2327"/>
      <c r="Y247" s="2327"/>
      <c r="Z247" s="2327"/>
      <c r="AA247" s="2328"/>
      <c r="AB247" s="2329"/>
      <c r="AC247" s="2326"/>
      <c r="AD247" s="2330">
        <f t="shared" si="127"/>
        <v>0</v>
      </c>
      <c r="AE247" s="2330"/>
      <c r="AF247" s="2330"/>
      <c r="AG247" s="2330">
        <f t="shared" si="120"/>
        <v>0</v>
      </c>
      <c r="AH247" s="2330"/>
      <c r="AI247" s="2330"/>
      <c r="AJ247" s="2330">
        <f t="shared" si="128"/>
        <v>0</v>
      </c>
      <c r="AK247" s="2330"/>
      <c r="AL247" s="2330"/>
      <c r="AM247" s="2331">
        <f t="shared" si="115"/>
        <v>0</v>
      </c>
      <c r="AN247" s="2331"/>
      <c r="AO247" s="2331"/>
      <c r="AP247" s="2331"/>
      <c r="AQ247" s="2332">
        <f t="shared" si="129"/>
        <v>0</v>
      </c>
      <c r="AR247" s="2332"/>
      <c r="AS247" s="2332"/>
      <c r="AT247" s="2332"/>
      <c r="AV247" s="151" t="str">
        <f t="shared" si="110"/>
        <v>CONCRETE &amp; FLATWORK</v>
      </c>
      <c r="AW247" s="681"/>
      <c r="AX247" s="230"/>
      <c r="AY247" s="230"/>
      <c r="AZ247" s="679"/>
      <c r="BA247" s="49">
        <f t="shared" si="130"/>
        <v>0</v>
      </c>
      <c r="BB247" s="49">
        <f t="shared" si="131"/>
        <v>0</v>
      </c>
      <c r="BC247" s="49">
        <f t="shared" si="132"/>
        <v>0</v>
      </c>
      <c r="BD247" s="49">
        <f t="shared" si="133"/>
        <v>0</v>
      </c>
      <c r="BE247" s="49">
        <f t="shared" si="126"/>
        <v>0</v>
      </c>
      <c r="BF247" s="49">
        <f t="shared" si="134"/>
        <v>0</v>
      </c>
      <c r="BG247" s="49">
        <f t="shared" si="135"/>
        <v>0</v>
      </c>
      <c r="BI247" s="134">
        <f t="shared" si="136"/>
        <v>0</v>
      </c>
      <c r="BJ247" s="134">
        <f t="shared" si="137"/>
        <v>0</v>
      </c>
      <c r="BK247" s="134">
        <f t="shared" si="138"/>
        <v>0</v>
      </c>
    </row>
    <row r="248" spans="1:63" ht="15" hidden="1" customHeight="1">
      <c r="A248" s="187"/>
      <c r="B248" s="2333"/>
      <c r="C248" s="2333"/>
      <c r="D248" s="2334"/>
      <c r="E248" s="2334"/>
      <c r="F248" s="2334"/>
      <c r="G248" s="2334"/>
      <c r="H248" s="2334"/>
      <c r="I248" s="2334"/>
      <c r="J248" s="2334"/>
      <c r="K248" s="2334"/>
      <c r="L248" s="2334"/>
      <c r="M248" s="2334"/>
      <c r="N248" s="2334"/>
      <c r="O248" s="2334"/>
      <c r="P248" s="2324"/>
      <c r="Q248" s="2324"/>
      <c r="R248" s="2325"/>
      <c r="S248" s="2324"/>
      <c r="T248" s="2324"/>
      <c r="U248" s="2326"/>
      <c r="V248" s="2327"/>
      <c r="W248" s="2327"/>
      <c r="X248" s="2327"/>
      <c r="Y248" s="2327"/>
      <c r="Z248" s="2327"/>
      <c r="AA248" s="2328"/>
      <c r="AB248" s="2329"/>
      <c r="AC248" s="2326"/>
      <c r="AD248" s="2330">
        <f t="shared" si="127"/>
        <v>0</v>
      </c>
      <c r="AE248" s="2330"/>
      <c r="AF248" s="2330"/>
      <c r="AG248" s="2330">
        <f t="shared" si="120"/>
        <v>0</v>
      </c>
      <c r="AH248" s="2330"/>
      <c r="AI248" s="2330"/>
      <c r="AJ248" s="2330">
        <f t="shared" si="128"/>
        <v>0</v>
      </c>
      <c r="AK248" s="2330"/>
      <c r="AL248" s="2330"/>
      <c r="AM248" s="2331">
        <f t="shared" si="115"/>
        <v>0</v>
      </c>
      <c r="AN248" s="2331"/>
      <c r="AO248" s="2331"/>
      <c r="AP248" s="2331"/>
      <c r="AQ248" s="2332">
        <f t="shared" si="129"/>
        <v>0</v>
      </c>
      <c r="AR248" s="2332"/>
      <c r="AS248" s="2332"/>
      <c r="AT248" s="2332"/>
      <c r="AV248" s="151" t="str">
        <f t="shared" si="110"/>
        <v>CONCRETE &amp; FLATWORK</v>
      </c>
      <c r="AW248" s="681"/>
      <c r="AX248" s="230"/>
      <c r="AY248" s="230"/>
      <c r="AZ248" s="679"/>
      <c r="BA248" s="49">
        <f t="shared" si="130"/>
        <v>0</v>
      </c>
      <c r="BB248" s="49">
        <f t="shared" si="131"/>
        <v>0</v>
      </c>
      <c r="BC248" s="49">
        <f t="shared" si="132"/>
        <v>0</v>
      </c>
      <c r="BD248" s="49">
        <f t="shared" si="133"/>
        <v>0</v>
      </c>
      <c r="BE248" s="49">
        <f t="shared" si="126"/>
        <v>0</v>
      </c>
      <c r="BF248" s="49">
        <f t="shared" si="134"/>
        <v>0</v>
      </c>
      <c r="BG248" s="49">
        <f t="shared" si="135"/>
        <v>0</v>
      </c>
      <c r="BI248" s="134">
        <f t="shared" si="136"/>
        <v>0</v>
      </c>
      <c r="BJ248" s="134">
        <f t="shared" si="137"/>
        <v>0</v>
      </c>
      <c r="BK248" s="134">
        <f t="shared" si="138"/>
        <v>0</v>
      </c>
    </row>
    <row r="249" spans="1:63" ht="15" hidden="1" customHeight="1">
      <c r="A249" s="187"/>
      <c r="B249" s="2333"/>
      <c r="C249" s="2333"/>
      <c r="D249" s="2334"/>
      <c r="E249" s="2334"/>
      <c r="F249" s="2334"/>
      <c r="G249" s="2334"/>
      <c r="H249" s="2334"/>
      <c r="I249" s="2334"/>
      <c r="J249" s="2334"/>
      <c r="K249" s="2334"/>
      <c r="L249" s="2334"/>
      <c r="M249" s="2334"/>
      <c r="N249" s="2334"/>
      <c r="O249" s="2334"/>
      <c r="P249" s="2324"/>
      <c r="Q249" s="2324"/>
      <c r="R249" s="2325"/>
      <c r="S249" s="2324"/>
      <c r="T249" s="2324"/>
      <c r="U249" s="2326"/>
      <c r="V249" s="2327"/>
      <c r="W249" s="2327"/>
      <c r="X249" s="2327"/>
      <c r="Y249" s="2327"/>
      <c r="Z249" s="2327"/>
      <c r="AA249" s="2328"/>
      <c r="AB249" s="2329"/>
      <c r="AC249" s="2326"/>
      <c r="AD249" s="2330">
        <f t="shared" si="127"/>
        <v>0</v>
      </c>
      <c r="AE249" s="2330"/>
      <c r="AF249" s="2330"/>
      <c r="AG249" s="2330">
        <f t="shared" si="120"/>
        <v>0</v>
      </c>
      <c r="AH249" s="2330"/>
      <c r="AI249" s="2330"/>
      <c r="AJ249" s="2330">
        <f t="shared" si="128"/>
        <v>0</v>
      </c>
      <c r="AK249" s="2330"/>
      <c r="AL249" s="2330"/>
      <c r="AM249" s="2331">
        <f t="shared" si="115"/>
        <v>0</v>
      </c>
      <c r="AN249" s="2331"/>
      <c r="AO249" s="2331"/>
      <c r="AP249" s="2331"/>
      <c r="AQ249" s="2332">
        <f t="shared" si="129"/>
        <v>0</v>
      </c>
      <c r="AR249" s="2332"/>
      <c r="AS249" s="2332"/>
      <c r="AT249" s="2332"/>
      <c r="AV249" s="151" t="str">
        <f t="shared" si="110"/>
        <v>CONCRETE &amp; FLATWORK</v>
      </c>
      <c r="AW249" s="681"/>
      <c r="AX249" s="230"/>
      <c r="AY249" s="230"/>
      <c r="AZ249" s="679"/>
      <c r="BA249" s="49">
        <f t="shared" si="130"/>
        <v>0</v>
      </c>
      <c r="BB249" s="49">
        <f t="shared" si="131"/>
        <v>0</v>
      </c>
      <c r="BC249" s="49">
        <f t="shared" si="132"/>
        <v>0</v>
      </c>
      <c r="BD249" s="49">
        <f t="shared" si="133"/>
        <v>0</v>
      </c>
      <c r="BE249" s="49">
        <f t="shared" si="126"/>
        <v>0</v>
      </c>
      <c r="BF249" s="49">
        <f t="shared" si="134"/>
        <v>0</v>
      </c>
      <c r="BG249" s="49">
        <f t="shared" si="135"/>
        <v>0</v>
      </c>
      <c r="BI249" s="134">
        <f t="shared" si="136"/>
        <v>0</v>
      </c>
      <c r="BJ249" s="134">
        <f t="shared" si="137"/>
        <v>0</v>
      </c>
      <c r="BK249" s="134">
        <f t="shared" si="138"/>
        <v>0</v>
      </c>
    </row>
    <row r="250" spans="1:63" ht="15" hidden="1" customHeight="1">
      <c r="A250" s="187"/>
      <c r="B250" s="2333"/>
      <c r="C250" s="2333"/>
      <c r="D250" s="2334"/>
      <c r="E250" s="2334"/>
      <c r="F250" s="2334"/>
      <c r="G250" s="2334"/>
      <c r="H250" s="2334"/>
      <c r="I250" s="2334"/>
      <c r="J250" s="2334"/>
      <c r="K250" s="2334"/>
      <c r="L250" s="2334"/>
      <c r="M250" s="2334"/>
      <c r="N250" s="2334"/>
      <c r="O250" s="2334"/>
      <c r="P250" s="2324"/>
      <c r="Q250" s="2324"/>
      <c r="R250" s="2325"/>
      <c r="S250" s="2324"/>
      <c r="T250" s="2324"/>
      <c r="U250" s="2326"/>
      <c r="V250" s="2327"/>
      <c r="W250" s="2327"/>
      <c r="X250" s="2327"/>
      <c r="Y250" s="2327"/>
      <c r="Z250" s="2327"/>
      <c r="AA250" s="2328"/>
      <c r="AB250" s="2329"/>
      <c r="AC250" s="2326"/>
      <c r="AD250" s="2330">
        <f t="shared" si="127"/>
        <v>0</v>
      </c>
      <c r="AE250" s="2330"/>
      <c r="AF250" s="2330"/>
      <c r="AG250" s="2330">
        <f t="shared" si="120"/>
        <v>0</v>
      </c>
      <c r="AH250" s="2330"/>
      <c r="AI250" s="2330"/>
      <c r="AJ250" s="2330">
        <f t="shared" si="128"/>
        <v>0</v>
      </c>
      <c r="AK250" s="2330"/>
      <c r="AL250" s="2330"/>
      <c r="AM250" s="2331">
        <f t="shared" si="115"/>
        <v>0</v>
      </c>
      <c r="AN250" s="2331"/>
      <c r="AO250" s="2331"/>
      <c r="AP250" s="2331"/>
      <c r="AQ250" s="2332">
        <f t="shared" si="129"/>
        <v>0</v>
      </c>
      <c r="AR250" s="2332"/>
      <c r="AS250" s="2332"/>
      <c r="AT250" s="2332"/>
      <c r="AV250" s="151" t="str">
        <f t="shared" si="110"/>
        <v>CONCRETE &amp; FLATWORK</v>
      </c>
      <c r="AW250" s="681"/>
      <c r="AX250" s="230"/>
      <c r="AY250" s="230"/>
      <c r="AZ250" s="679"/>
      <c r="BA250" s="49">
        <f t="shared" si="130"/>
        <v>0</v>
      </c>
      <c r="BB250" s="49">
        <f t="shared" si="131"/>
        <v>0</v>
      </c>
      <c r="BC250" s="49">
        <f t="shared" si="132"/>
        <v>0</v>
      </c>
      <c r="BD250" s="49">
        <f t="shared" si="133"/>
        <v>0</v>
      </c>
      <c r="BE250" s="49">
        <f t="shared" si="126"/>
        <v>0</v>
      </c>
      <c r="BF250" s="49">
        <f t="shared" si="134"/>
        <v>0</v>
      </c>
      <c r="BG250" s="49">
        <f t="shared" si="135"/>
        <v>0</v>
      </c>
      <c r="BI250" s="134">
        <f t="shared" si="136"/>
        <v>0</v>
      </c>
      <c r="BJ250" s="134">
        <f t="shared" si="137"/>
        <v>0</v>
      </c>
      <c r="BK250" s="134">
        <f t="shared" si="138"/>
        <v>0</v>
      </c>
    </row>
    <row r="251" spans="1:63" ht="15" hidden="1" customHeight="1">
      <c r="A251" s="187"/>
      <c r="B251" s="2333"/>
      <c r="C251" s="2333"/>
      <c r="D251" s="2334"/>
      <c r="E251" s="2334"/>
      <c r="F251" s="2334"/>
      <c r="G251" s="2334"/>
      <c r="H251" s="2334"/>
      <c r="I251" s="2334"/>
      <c r="J251" s="2334"/>
      <c r="K251" s="2334"/>
      <c r="L251" s="2334"/>
      <c r="M251" s="2334"/>
      <c r="N251" s="2334"/>
      <c r="O251" s="2334"/>
      <c r="P251" s="2324"/>
      <c r="Q251" s="2324"/>
      <c r="R251" s="2325"/>
      <c r="S251" s="2324"/>
      <c r="T251" s="2324"/>
      <c r="U251" s="2326"/>
      <c r="V251" s="2327"/>
      <c r="W251" s="2327"/>
      <c r="X251" s="2327"/>
      <c r="Y251" s="2327"/>
      <c r="Z251" s="2327"/>
      <c r="AA251" s="2328"/>
      <c r="AB251" s="2329"/>
      <c r="AC251" s="2326"/>
      <c r="AD251" s="2330">
        <f t="shared" si="127"/>
        <v>0</v>
      </c>
      <c r="AE251" s="2330"/>
      <c r="AF251" s="2330"/>
      <c r="AG251" s="2330">
        <f t="shared" si="120"/>
        <v>0</v>
      </c>
      <c r="AH251" s="2330"/>
      <c r="AI251" s="2330"/>
      <c r="AJ251" s="2330">
        <f t="shared" si="128"/>
        <v>0</v>
      </c>
      <c r="AK251" s="2330"/>
      <c r="AL251" s="2330"/>
      <c r="AM251" s="2331">
        <f t="shared" si="115"/>
        <v>0</v>
      </c>
      <c r="AN251" s="2331"/>
      <c r="AO251" s="2331"/>
      <c r="AP251" s="2331"/>
      <c r="AQ251" s="2332">
        <f t="shared" si="129"/>
        <v>0</v>
      </c>
      <c r="AR251" s="2332"/>
      <c r="AS251" s="2332"/>
      <c r="AT251" s="2332"/>
      <c r="AV251" s="151" t="str">
        <f t="shared" si="110"/>
        <v>CONCRETE &amp; FLATWORK</v>
      </c>
      <c r="AW251" s="681"/>
      <c r="AX251" s="230"/>
      <c r="AY251" s="230"/>
      <c r="AZ251" s="679"/>
      <c r="BA251" s="49">
        <f t="shared" si="130"/>
        <v>0</v>
      </c>
      <c r="BB251" s="49">
        <f t="shared" si="131"/>
        <v>0</v>
      </c>
      <c r="BC251" s="49">
        <f t="shared" si="132"/>
        <v>0</v>
      </c>
      <c r="BD251" s="49">
        <f t="shared" si="133"/>
        <v>0</v>
      </c>
      <c r="BE251" s="49">
        <f t="shared" si="126"/>
        <v>0</v>
      </c>
      <c r="BF251" s="49">
        <f t="shared" si="134"/>
        <v>0</v>
      </c>
      <c r="BG251" s="49">
        <f t="shared" si="135"/>
        <v>0</v>
      </c>
      <c r="BI251" s="134">
        <f t="shared" si="136"/>
        <v>0</v>
      </c>
      <c r="BJ251" s="134">
        <f t="shared" si="137"/>
        <v>0</v>
      </c>
      <c r="BK251" s="134">
        <f t="shared" si="138"/>
        <v>0</v>
      </c>
    </row>
    <row r="252" spans="1:63" ht="15" hidden="1" customHeight="1">
      <c r="A252" s="187"/>
      <c r="B252" s="2333"/>
      <c r="C252" s="2333"/>
      <c r="D252" s="2334"/>
      <c r="E252" s="2334"/>
      <c r="F252" s="2334"/>
      <c r="G252" s="2334"/>
      <c r="H252" s="2334"/>
      <c r="I252" s="2334"/>
      <c r="J252" s="2334"/>
      <c r="K252" s="2334"/>
      <c r="L252" s="2334"/>
      <c r="M252" s="2334"/>
      <c r="N252" s="2334"/>
      <c r="O252" s="2334"/>
      <c r="P252" s="2324"/>
      <c r="Q252" s="2324"/>
      <c r="R252" s="2325"/>
      <c r="S252" s="2324"/>
      <c r="T252" s="2324"/>
      <c r="U252" s="2326"/>
      <c r="V252" s="2327"/>
      <c r="W252" s="2327"/>
      <c r="X252" s="2327"/>
      <c r="Y252" s="2327"/>
      <c r="Z252" s="2327"/>
      <c r="AA252" s="2328"/>
      <c r="AB252" s="2329"/>
      <c r="AC252" s="2326"/>
      <c r="AD252" s="2330">
        <f t="shared" si="113"/>
        <v>0</v>
      </c>
      <c r="AE252" s="2330"/>
      <c r="AF252" s="2330"/>
      <c r="AG252" s="2330">
        <f t="shared" si="120"/>
        <v>0</v>
      </c>
      <c r="AH252" s="2330"/>
      <c r="AI252" s="2330"/>
      <c r="AJ252" s="2330">
        <f t="shared" si="114"/>
        <v>0</v>
      </c>
      <c r="AK252" s="2330"/>
      <c r="AL252" s="2330"/>
      <c r="AM252" s="2331">
        <f t="shared" si="115"/>
        <v>0</v>
      </c>
      <c r="AN252" s="2331"/>
      <c r="AO252" s="2331"/>
      <c r="AP252" s="2331"/>
      <c r="AQ252" s="2332">
        <f t="shared" si="116"/>
        <v>0</v>
      </c>
      <c r="AR252" s="2332"/>
      <c r="AS252" s="2332"/>
      <c r="AT252" s="2332"/>
      <c r="AV252" s="151" t="str">
        <f t="shared" si="110"/>
        <v>CONCRETE &amp; FLATWORK</v>
      </c>
      <c r="AW252" s="681"/>
      <c r="AX252" s="230"/>
      <c r="AY252" s="230"/>
      <c r="AZ252" s="679"/>
      <c r="BA252" s="49">
        <f t="shared" si="117"/>
        <v>0</v>
      </c>
      <c r="BB252" s="49">
        <f t="shared" si="121"/>
        <v>0</v>
      </c>
      <c r="BC252" s="49">
        <f t="shared" si="122"/>
        <v>0</v>
      </c>
      <c r="BD252" s="49">
        <f t="shared" si="118"/>
        <v>0</v>
      </c>
      <c r="BE252" s="49">
        <f t="shared" si="126"/>
        <v>0</v>
      </c>
      <c r="BF252" s="49">
        <f t="shared" si="111"/>
        <v>0</v>
      </c>
      <c r="BG252" s="49">
        <f t="shared" si="112"/>
        <v>0</v>
      </c>
      <c r="BI252" s="134">
        <f t="shared" si="124"/>
        <v>0</v>
      </c>
      <c r="BJ252" s="134">
        <f t="shared" si="119"/>
        <v>0</v>
      </c>
      <c r="BK252" s="134">
        <f t="shared" si="125"/>
        <v>0</v>
      </c>
    </row>
    <row r="253" spans="1:63" ht="15" hidden="1" customHeight="1">
      <c r="A253" s="187"/>
      <c r="B253" s="2333"/>
      <c r="C253" s="2333"/>
      <c r="D253" s="2334"/>
      <c r="E253" s="2334"/>
      <c r="F253" s="2334"/>
      <c r="G253" s="2334"/>
      <c r="H253" s="2334"/>
      <c r="I253" s="2334"/>
      <c r="J253" s="2334"/>
      <c r="K253" s="2334"/>
      <c r="L253" s="2334"/>
      <c r="M253" s="2334"/>
      <c r="N253" s="2334"/>
      <c r="O253" s="2334"/>
      <c r="P253" s="2324"/>
      <c r="Q253" s="2324"/>
      <c r="R253" s="2325"/>
      <c r="S253" s="2324"/>
      <c r="T253" s="2324"/>
      <c r="U253" s="2326"/>
      <c r="V253" s="2327"/>
      <c r="W253" s="2327"/>
      <c r="X253" s="2327"/>
      <c r="Y253" s="2327"/>
      <c r="Z253" s="2327"/>
      <c r="AA253" s="2328"/>
      <c r="AB253" s="2329"/>
      <c r="AC253" s="2326"/>
      <c r="AD253" s="2330">
        <f t="shared" si="113"/>
        <v>0</v>
      </c>
      <c r="AE253" s="2330"/>
      <c r="AF253" s="2330"/>
      <c r="AG253" s="2330">
        <f t="shared" si="120"/>
        <v>0</v>
      </c>
      <c r="AH253" s="2330"/>
      <c r="AI253" s="2330"/>
      <c r="AJ253" s="2330">
        <f t="shared" si="114"/>
        <v>0</v>
      </c>
      <c r="AK253" s="2330"/>
      <c r="AL253" s="2330"/>
      <c r="AM253" s="2331">
        <f t="shared" si="115"/>
        <v>0</v>
      </c>
      <c r="AN253" s="2331"/>
      <c r="AO253" s="2331"/>
      <c r="AP253" s="2331"/>
      <c r="AQ253" s="2332">
        <f t="shared" si="116"/>
        <v>0</v>
      </c>
      <c r="AR253" s="2332"/>
      <c r="AS253" s="2332"/>
      <c r="AT253" s="2332"/>
      <c r="AV253" s="151" t="str">
        <f t="shared" si="110"/>
        <v>CONCRETE &amp; FLATWORK</v>
      </c>
      <c r="AW253" s="681"/>
      <c r="AX253" s="230"/>
      <c r="AY253" s="230"/>
      <c r="AZ253" s="679"/>
      <c r="BA253" s="49">
        <f t="shared" si="117"/>
        <v>0</v>
      </c>
      <c r="BB253" s="49">
        <f t="shared" si="121"/>
        <v>0</v>
      </c>
      <c r="BC253" s="49">
        <f t="shared" si="122"/>
        <v>0</v>
      </c>
      <c r="BD253" s="49">
        <f t="shared" si="118"/>
        <v>0</v>
      </c>
      <c r="BE253" s="49">
        <f t="shared" si="126"/>
        <v>0</v>
      </c>
      <c r="BF253" s="49">
        <f t="shared" si="111"/>
        <v>0</v>
      </c>
      <c r="BG253" s="49">
        <f t="shared" si="112"/>
        <v>0</v>
      </c>
      <c r="BI253" s="134">
        <f t="shared" si="124"/>
        <v>0</v>
      </c>
      <c r="BJ253" s="134">
        <f t="shared" si="119"/>
        <v>0</v>
      </c>
      <c r="BK253" s="134">
        <f t="shared" si="125"/>
        <v>0</v>
      </c>
    </row>
    <row r="254" spans="1:63" ht="15" hidden="1" customHeight="1">
      <c r="A254" s="187"/>
      <c r="B254" s="2333"/>
      <c r="C254" s="2333"/>
      <c r="D254" s="2334"/>
      <c r="E254" s="2334"/>
      <c r="F254" s="2334"/>
      <c r="G254" s="2334"/>
      <c r="H254" s="2334"/>
      <c r="I254" s="2334"/>
      <c r="J254" s="2334"/>
      <c r="K254" s="2334"/>
      <c r="L254" s="2334"/>
      <c r="M254" s="2334"/>
      <c r="N254" s="2334"/>
      <c r="O254" s="2334"/>
      <c r="P254" s="2324"/>
      <c r="Q254" s="2324"/>
      <c r="R254" s="2325"/>
      <c r="S254" s="2324"/>
      <c r="T254" s="2324"/>
      <c r="U254" s="2326"/>
      <c r="V254" s="2327"/>
      <c r="W254" s="2327"/>
      <c r="X254" s="2327"/>
      <c r="Y254" s="2327"/>
      <c r="Z254" s="2327"/>
      <c r="AA254" s="2328"/>
      <c r="AB254" s="2329"/>
      <c r="AC254" s="2326"/>
      <c r="AD254" s="2330">
        <f>((P254*U254)-AM254)</f>
        <v>0</v>
      </c>
      <c r="AE254" s="2330"/>
      <c r="AF254" s="2330"/>
      <c r="AG254" s="2330">
        <f t="shared" si="120"/>
        <v>0</v>
      </c>
      <c r="AH254" s="2330"/>
      <c r="AI254" s="2330"/>
      <c r="AJ254" s="2330">
        <f>P254*AA254</f>
        <v>0</v>
      </c>
      <c r="AK254" s="2330"/>
      <c r="AL254" s="2330"/>
      <c r="AM254" s="2331">
        <f t="shared" si="115"/>
        <v>0</v>
      </c>
      <c r="AN254" s="2331"/>
      <c r="AO254" s="2331"/>
      <c r="AP254" s="2331"/>
      <c r="AQ254" s="2332">
        <f>SUM(AD254:AL254)</f>
        <v>0</v>
      </c>
      <c r="AR254" s="2332"/>
      <c r="AS254" s="2332"/>
      <c r="AT254" s="2332"/>
      <c r="AV254" s="151" t="str">
        <f t="shared" si="110"/>
        <v>CONCRETE &amp; FLATWORK</v>
      </c>
      <c r="AW254" s="681"/>
      <c r="AX254" s="230"/>
      <c r="AY254" s="230"/>
      <c r="AZ254" s="679"/>
      <c r="BA254" s="49">
        <f>AD254</f>
        <v>0</v>
      </c>
      <c r="BB254" s="49">
        <f>AG254</f>
        <v>0</v>
      </c>
      <c r="BC254" s="49">
        <f>AJ254</f>
        <v>0</v>
      </c>
      <c r="BD254" s="49">
        <f>IF(B254="x",1,0)</f>
        <v>0</v>
      </c>
      <c r="BE254" s="49">
        <f t="shared" si="126"/>
        <v>0</v>
      </c>
      <c r="BF254" s="49">
        <f>AQ254</f>
        <v>0</v>
      </c>
      <c r="BG254" s="49">
        <f>AM254</f>
        <v>0</v>
      </c>
      <c r="BI254" s="134">
        <f>AD254</f>
        <v>0</v>
      </c>
      <c r="BJ254" s="134">
        <f>AM254</f>
        <v>0</v>
      </c>
      <c r="BK254" s="134">
        <f>BJ254+BI254</f>
        <v>0</v>
      </c>
    </row>
    <row r="255" spans="1:63" ht="15" hidden="1" customHeight="1">
      <c r="A255" s="187"/>
      <c r="B255" s="2333"/>
      <c r="C255" s="2333"/>
      <c r="D255" s="2334"/>
      <c r="E255" s="2334"/>
      <c r="F255" s="2334"/>
      <c r="G255" s="2334"/>
      <c r="H255" s="2334"/>
      <c r="I255" s="2334"/>
      <c r="J255" s="2334"/>
      <c r="K255" s="2334"/>
      <c r="L255" s="2334"/>
      <c r="M255" s="2334"/>
      <c r="N255" s="2334"/>
      <c r="O255" s="2334"/>
      <c r="P255" s="2324"/>
      <c r="Q255" s="2324"/>
      <c r="R255" s="2325"/>
      <c r="S255" s="2324"/>
      <c r="T255" s="2324"/>
      <c r="U255" s="2326"/>
      <c r="V255" s="2327"/>
      <c r="W255" s="2327"/>
      <c r="X255" s="2327"/>
      <c r="Y255" s="2327"/>
      <c r="Z255" s="2327"/>
      <c r="AA255" s="2328"/>
      <c r="AB255" s="2329"/>
      <c r="AC255" s="2326"/>
      <c r="AD255" s="2330">
        <f>((P255*U255)-AM255)</f>
        <v>0</v>
      </c>
      <c r="AE255" s="2330"/>
      <c r="AF255" s="2330"/>
      <c r="AG255" s="2330">
        <f t="shared" si="120"/>
        <v>0</v>
      </c>
      <c r="AH255" s="2330"/>
      <c r="AI255" s="2330"/>
      <c r="AJ255" s="2330">
        <f>P255*AA255</f>
        <v>0</v>
      </c>
      <c r="AK255" s="2330"/>
      <c r="AL255" s="2330"/>
      <c r="AM255" s="2331">
        <f t="shared" si="115"/>
        <v>0</v>
      </c>
      <c r="AN255" s="2331"/>
      <c r="AO255" s="2331"/>
      <c r="AP255" s="2331"/>
      <c r="AQ255" s="2332">
        <f>SUM(AD255:AL255)</f>
        <v>0</v>
      </c>
      <c r="AR255" s="2332"/>
      <c r="AS255" s="2332"/>
      <c r="AT255" s="2332"/>
      <c r="AV255" s="151" t="str">
        <f t="shared" si="110"/>
        <v>CONCRETE &amp; FLATWORK</v>
      </c>
      <c r="AW255" s="681"/>
      <c r="AX255" s="230"/>
      <c r="AY255" s="230"/>
      <c r="AZ255" s="679"/>
      <c r="BA255" s="49">
        <f>AD255</f>
        <v>0</v>
      </c>
      <c r="BB255" s="49">
        <f>AG255</f>
        <v>0</v>
      </c>
      <c r="BC255" s="49">
        <f>AJ255</f>
        <v>0</v>
      </c>
      <c r="BD255" s="49">
        <f>IF(B255="x",1,0)</f>
        <v>0</v>
      </c>
      <c r="BE255" s="49">
        <f t="shared" si="126"/>
        <v>0</v>
      </c>
      <c r="BF255" s="49">
        <f>AQ255</f>
        <v>0</v>
      </c>
      <c r="BG255" s="49">
        <f>AM255</f>
        <v>0</v>
      </c>
      <c r="BI255" s="134">
        <f>AD255</f>
        <v>0</v>
      </c>
      <c r="BJ255" s="134">
        <f>AM255</f>
        <v>0</v>
      </c>
      <c r="BK255" s="134">
        <f>BJ255+BI255</f>
        <v>0</v>
      </c>
    </row>
    <row r="256" spans="1:63" ht="15" hidden="1" customHeight="1">
      <c r="A256" s="187"/>
      <c r="B256" s="2333"/>
      <c r="C256" s="2333"/>
      <c r="D256" s="2334"/>
      <c r="E256" s="2334"/>
      <c r="F256" s="2334"/>
      <c r="G256" s="2334"/>
      <c r="H256" s="2334"/>
      <c r="I256" s="2334"/>
      <c r="J256" s="2334"/>
      <c r="K256" s="2334"/>
      <c r="L256" s="2334"/>
      <c r="M256" s="2334"/>
      <c r="N256" s="2334"/>
      <c r="O256" s="2334"/>
      <c r="P256" s="2324"/>
      <c r="Q256" s="2324"/>
      <c r="R256" s="2325"/>
      <c r="S256" s="2324"/>
      <c r="T256" s="2324"/>
      <c r="U256" s="2326"/>
      <c r="V256" s="2327"/>
      <c r="W256" s="2327"/>
      <c r="X256" s="2327"/>
      <c r="Y256" s="2327"/>
      <c r="Z256" s="2327"/>
      <c r="AA256" s="2328"/>
      <c r="AB256" s="2329"/>
      <c r="AC256" s="2326"/>
      <c r="AD256" s="2330">
        <f>((P256*U256)-AM256)</f>
        <v>0</v>
      </c>
      <c r="AE256" s="2330"/>
      <c r="AF256" s="2330"/>
      <c r="AG256" s="2330">
        <f t="shared" si="120"/>
        <v>0</v>
      </c>
      <c r="AH256" s="2330"/>
      <c r="AI256" s="2330"/>
      <c r="AJ256" s="2330">
        <f>P256*AA256</f>
        <v>0</v>
      </c>
      <c r="AK256" s="2330"/>
      <c r="AL256" s="2330"/>
      <c r="AM256" s="2331">
        <f t="shared" si="115"/>
        <v>0</v>
      </c>
      <c r="AN256" s="2331"/>
      <c r="AO256" s="2331"/>
      <c r="AP256" s="2331"/>
      <c r="AQ256" s="2332">
        <f>SUM(AD256:AL256)</f>
        <v>0</v>
      </c>
      <c r="AR256" s="2332"/>
      <c r="AS256" s="2332"/>
      <c r="AT256" s="2332"/>
      <c r="AV256" s="151" t="str">
        <f t="shared" si="110"/>
        <v>CONCRETE &amp; FLATWORK</v>
      </c>
      <c r="AW256" s="681"/>
      <c r="AX256" s="230"/>
      <c r="AY256" s="230"/>
      <c r="AZ256" s="679"/>
      <c r="BA256" s="49">
        <f>AD256</f>
        <v>0</v>
      </c>
      <c r="BB256" s="49">
        <f>AG256</f>
        <v>0</v>
      </c>
      <c r="BC256" s="49">
        <f>AJ256</f>
        <v>0</v>
      </c>
      <c r="BD256" s="49">
        <f>IF(B256="x",1,0)</f>
        <v>0</v>
      </c>
      <c r="BE256" s="49">
        <f t="shared" si="126"/>
        <v>0</v>
      </c>
      <c r="BF256" s="49">
        <f>AQ256</f>
        <v>0</v>
      </c>
      <c r="BG256" s="49">
        <f>AM256</f>
        <v>0</v>
      </c>
      <c r="BI256" s="134">
        <f>AD256</f>
        <v>0</v>
      </c>
      <c r="BJ256" s="134">
        <f>AM256</f>
        <v>0</v>
      </c>
      <c r="BK256" s="134">
        <f>BJ256+BI256</f>
        <v>0</v>
      </c>
    </row>
    <row r="257" spans="1:63" ht="15" hidden="1" customHeight="1">
      <c r="A257" s="187"/>
      <c r="B257" s="2333"/>
      <c r="C257" s="2333"/>
      <c r="D257" s="2334"/>
      <c r="E257" s="2334"/>
      <c r="F257" s="2334"/>
      <c r="G257" s="2334"/>
      <c r="H257" s="2334"/>
      <c r="I257" s="2334"/>
      <c r="J257" s="2334"/>
      <c r="K257" s="2334"/>
      <c r="L257" s="2334"/>
      <c r="M257" s="2334"/>
      <c r="N257" s="2334"/>
      <c r="O257" s="2334"/>
      <c r="P257" s="2324"/>
      <c r="Q257" s="2324"/>
      <c r="R257" s="2325"/>
      <c r="S257" s="2324"/>
      <c r="T257" s="2324"/>
      <c r="U257" s="2326"/>
      <c r="V257" s="2327"/>
      <c r="W257" s="2327"/>
      <c r="X257" s="2327"/>
      <c r="Y257" s="2327"/>
      <c r="Z257" s="2327"/>
      <c r="AA257" s="2328"/>
      <c r="AB257" s="2329"/>
      <c r="AC257" s="2326"/>
      <c r="AD257" s="2330">
        <f>((P257*U257)-AM257)</f>
        <v>0</v>
      </c>
      <c r="AE257" s="2330"/>
      <c r="AF257" s="2330"/>
      <c r="AG257" s="2330">
        <f t="shared" si="120"/>
        <v>0</v>
      </c>
      <c r="AH257" s="2330"/>
      <c r="AI257" s="2330"/>
      <c r="AJ257" s="2330">
        <f>P257*AA257</f>
        <v>0</v>
      </c>
      <c r="AK257" s="2330"/>
      <c r="AL257" s="2330"/>
      <c r="AM257" s="2331">
        <f t="shared" si="115"/>
        <v>0</v>
      </c>
      <c r="AN257" s="2331"/>
      <c r="AO257" s="2331"/>
      <c r="AP257" s="2331"/>
      <c r="AQ257" s="2332">
        <f>SUM(AD257:AL257)</f>
        <v>0</v>
      </c>
      <c r="AR257" s="2332"/>
      <c r="AS257" s="2332"/>
      <c r="AT257" s="2332"/>
      <c r="AV257" s="151" t="str">
        <f t="shared" si="110"/>
        <v>CONCRETE &amp; FLATWORK</v>
      </c>
      <c r="AW257" s="681"/>
      <c r="AX257" s="230"/>
      <c r="AY257" s="230"/>
      <c r="AZ257" s="679"/>
      <c r="BA257" s="49">
        <f>AD257</f>
        <v>0</v>
      </c>
      <c r="BB257" s="49">
        <f>AG257</f>
        <v>0</v>
      </c>
      <c r="BC257" s="49">
        <f>AJ257</f>
        <v>0</v>
      </c>
      <c r="BD257" s="49">
        <f>IF(B257="x",1,0)</f>
        <v>0</v>
      </c>
      <c r="BE257" s="49">
        <f t="shared" si="126"/>
        <v>0</v>
      </c>
      <c r="BF257" s="49">
        <f>AQ257</f>
        <v>0</v>
      </c>
      <c r="BG257" s="49">
        <f>AM257</f>
        <v>0</v>
      </c>
      <c r="BI257" s="134">
        <f>AD257</f>
        <v>0</v>
      </c>
      <c r="BJ257" s="134">
        <f>AM257</f>
        <v>0</v>
      </c>
      <c r="BK257" s="134">
        <f>BJ257+BI257</f>
        <v>0</v>
      </c>
    </row>
    <row r="258" spans="1:63" ht="15" hidden="1" customHeight="1">
      <c r="A258" s="187"/>
      <c r="B258" s="2333"/>
      <c r="C258" s="2333"/>
      <c r="D258" s="2334"/>
      <c r="E258" s="2334"/>
      <c r="F258" s="2334"/>
      <c r="G258" s="2334"/>
      <c r="H258" s="2334"/>
      <c r="I258" s="2334"/>
      <c r="J258" s="2334"/>
      <c r="K258" s="2334"/>
      <c r="L258" s="2334"/>
      <c r="M258" s="2334"/>
      <c r="N258" s="2334"/>
      <c r="O258" s="2334"/>
      <c r="P258" s="2324"/>
      <c r="Q258" s="2324"/>
      <c r="R258" s="2325"/>
      <c r="S258" s="2324"/>
      <c r="T258" s="2324"/>
      <c r="U258" s="2326"/>
      <c r="V258" s="2327"/>
      <c r="W258" s="2327"/>
      <c r="X258" s="2327"/>
      <c r="Y258" s="2327"/>
      <c r="Z258" s="2327"/>
      <c r="AA258" s="2328"/>
      <c r="AB258" s="2329"/>
      <c r="AC258" s="2326"/>
      <c r="AD258" s="2330">
        <f t="shared" si="113"/>
        <v>0</v>
      </c>
      <c r="AE258" s="2330"/>
      <c r="AF258" s="2330"/>
      <c r="AG258" s="2330">
        <f t="shared" si="120"/>
        <v>0</v>
      </c>
      <c r="AH258" s="2330"/>
      <c r="AI258" s="2330"/>
      <c r="AJ258" s="2330">
        <f t="shared" si="114"/>
        <v>0</v>
      </c>
      <c r="AK258" s="2330"/>
      <c r="AL258" s="2330"/>
      <c r="AM258" s="2331">
        <f t="shared" si="115"/>
        <v>0</v>
      </c>
      <c r="AN258" s="2331"/>
      <c r="AO258" s="2331"/>
      <c r="AP258" s="2331"/>
      <c r="AQ258" s="2332">
        <f t="shared" si="116"/>
        <v>0</v>
      </c>
      <c r="AR258" s="2332"/>
      <c r="AS258" s="2332"/>
      <c r="AT258" s="2332"/>
      <c r="AV258" s="151" t="str">
        <f t="shared" si="110"/>
        <v>CONCRETE &amp; FLATWORK</v>
      </c>
      <c r="AW258" s="681"/>
      <c r="AX258" s="230"/>
      <c r="AY258" s="230"/>
      <c r="AZ258" s="679"/>
      <c r="BA258" s="49">
        <f t="shared" si="117"/>
        <v>0</v>
      </c>
      <c r="BB258" s="49">
        <f t="shared" si="121"/>
        <v>0</v>
      </c>
      <c r="BC258" s="49">
        <f t="shared" si="122"/>
        <v>0</v>
      </c>
      <c r="BD258" s="49">
        <f t="shared" si="118"/>
        <v>0</v>
      </c>
      <c r="BE258" s="49">
        <f t="shared" si="126"/>
        <v>0</v>
      </c>
      <c r="BF258" s="49">
        <f t="shared" si="111"/>
        <v>0</v>
      </c>
      <c r="BG258" s="49">
        <f t="shared" si="112"/>
        <v>0</v>
      </c>
      <c r="BI258" s="134">
        <f t="shared" si="124"/>
        <v>0</v>
      </c>
      <c r="BJ258" s="134">
        <f t="shared" si="119"/>
        <v>0</v>
      </c>
      <c r="BK258" s="134">
        <f t="shared" si="125"/>
        <v>0</v>
      </c>
    </row>
    <row r="259" spans="1:63" ht="15" hidden="1" customHeight="1">
      <c r="A259" s="187"/>
      <c r="B259" s="2333"/>
      <c r="C259" s="2333"/>
      <c r="D259" s="2334"/>
      <c r="E259" s="2334"/>
      <c r="F259" s="2334"/>
      <c r="G259" s="2334"/>
      <c r="H259" s="2334"/>
      <c r="I259" s="2334"/>
      <c r="J259" s="2334"/>
      <c r="K259" s="2334"/>
      <c r="L259" s="2334"/>
      <c r="M259" s="2334"/>
      <c r="N259" s="2334"/>
      <c r="O259" s="2334"/>
      <c r="P259" s="2324"/>
      <c r="Q259" s="2324"/>
      <c r="R259" s="2325"/>
      <c r="S259" s="2324"/>
      <c r="T259" s="2324"/>
      <c r="U259" s="2326"/>
      <c r="V259" s="2327"/>
      <c r="W259" s="2327"/>
      <c r="X259" s="2327"/>
      <c r="Y259" s="2327"/>
      <c r="Z259" s="2327"/>
      <c r="AA259" s="2328"/>
      <c r="AB259" s="2329"/>
      <c r="AC259" s="2326"/>
      <c r="AD259" s="2330">
        <f t="shared" si="113"/>
        <v>0</v>
      </c>
      <c r="AE259" s="2330"/>
      <c r="AF259" s="2330"/>
      <c r="AG259" s="2330">
        <f t="shared" si="120"/>
        <v>0</v>
      </c>
      <c r="AH259" s="2330"/>
      <c r="AI259" s="2330"/>
      <c r="AJ259" s="2330">
        <f t="shared" si="114"/>
        <v>0</v>
      </c>
      <c r="AK259" s="2330"/>
      <c r="AL259" s="2330"/>
      <c r="AM259" s="2331">
        <f t="shared" si="115"/>
        <v>0</v>
      </c>
      <c r="AN259" s="2331"/>
      <c r="AO259" s="2331"/>
      <c r="AP259" s="2331"/>
      <c r="AQ259" s="2332">
        <f t="shared" si="116"/>
        <v>0</v>
      </c>
      <c r="AR259" s="2332"/>
      <c r="AS259" s="2332"/>
      <c r="AT259" s="2332"/>
      <c r="AV259" s="151" t="str">
        <f t="shared" si="110"/>
        <v>CONCRETE &amp; FLATWORK</v>
      </c>
      <c r="AW259" s="681"/>
      <c r="AX259" s="230"/>
      <c r="AY259" s="230"/>
      <c r="AZ259" s="679"/>
      <c r="BA259" s="49">
        <f t="shared" si="117"/>
        <v>0</v>
      </c>
      <c r="BB259" s="49">
        <f t="shared" si="121"/>
        <v>0</v>
      </c>
      <c r="BC259" s="49">
        <f t="shared" si="122"/>
        <v>0</v>
      </c>
      <c r="BD259" s="49">
        <f t="shared" si="118"/>
        <v>0</v>
      </c>
      <c r="BE259" s="49">
        <f t="shared" si="126"/>
        <v>0</v>
      </c>
      <c r="BF259" s="49">
        <f t="shared" si="111"/>
        <v>0</v>
      </c>
      <c r="BG259" s="49">
        <f t="shared" si="112"/>
        <v>0</v>
      </c>
      <c r="BI259" s="134">
        <f t="shared" si="124"/>
        <v>0</v>
      </c>
      <c r="BJ259" s="134">
        <f t="shared" si="119"/>
        <v>0</v>
      </c>
      <c r="BK259" s="134">
        <f t="shared" si="125"/>
        <v>0</v>
      </c>
    </row>
    <row r="260" spans="1:63" ht="15" hidden="1" customHeight="1">
      <c r="A260" s="187"/>
      <c r="B260" s="2333"/>
      <c r="C260" s="2333"/>
      <c r="D260" s="2334"/>
      <c r="E260" s="2334"/>
      <c r="F260" s="2334"/>
      <c r="G260" s="2334"/>
      <c r="H260" s="2334"/>
      <c r="I260" s="2334"/>
      <c r="J260" s="2334"/>
      <c r="K260" s="2334"/>
      <c r="L260" s="2334"/>
      <c r="M260" s="2334"/>
      <c r="N260" s="2334"/>
      <c r="O260" s="2334"/>
      <c r="P260" s="2324"/>
      <c r="Q260" s="2324"/>
      <c r="R260" s="2325"/>
      <c r="S260" s="2324"/>
      <c r="T260" s="2324"/>
      <c r="U260" s="2326"/>
      <c r="V260" s="2327"/>
      <c r="W260" s="2327"/>
      <c r="X260" s="2327"/>
      <c r="Y260" s="2327"/>
      <c r="Z260" s="2327"/>
      <c r="AA260" s="2328"/>
      <c r="AB260" s="2329"/>
      <c r="AC260" s="2326"/>
      <c r="AD260" s="2330">
        <f>((P260*U260)-AM260)</f>
        <v>0</v>
      </c>
      <c r="AE260" s="2330"/>
      <c r="AF260" s="2330"/>
      <c r="AG260" s="2330">
        <f t="shared" si="120"/>
        <v>0</v>
      </c>
      <c r="AH260" s="2330"/>
      <c r="AI260" s="2330"/>
      <c r="AJ260" s="2330">
        <f>P260*AA260</f>
        <v>0</v>
      </c>
      <c r="AK260" s="2330"/>
      <c r="AL260" s="2330"/>
      <c r="AM260" s="2331">
        <f t="shared" si="115"/>
        <v>0</v>
      </c>
      <c r="AN260" s="2331"/>
      <c r="AO260" s="2331"/>
      <c r="AP260" s="2331"/>
      <c r="AQ260" s="2332">
        <f>SUM(AD260:AL260)</f>
        <v>0</v>
      </c>
      <c r="AR260" s="2332"/>
      <c r="AS260" s="2332"/>
      <c r="AT260" s="2332"/>
      <c r="AV260" s="151" t="str">
        <f t="shared" si="110"/>
        <v>CONCRETE &amp; FLATWORK</v>
      </c>
      <c r="AW260" s="681"/>
      <c r="AX260" s="230"/>
      <c r="AY260" s="230"/>
      <c r="AZ260" s="679"/>
      <c r="BA260" s="49">
        <f>AD260</f>
        <v>0</v>
      </c>
      <c r="BB260" s="49">
        <f>AG260</f>
        <v>0</v>
      </c>
      <c r="BC260" s="49">
        <f>AJ260</f>
        <v>0</v>
      </c>
      <c r="BD260" s="49">
        <f>IF(B260="x",1,0)</f>
        <v>0</v>
      </c>
      <c r="BE260" s="49">
        <f t="shared" si="126"/>
        <v>0</v>
      </c>
      <c r="BF260" s="49">
        <f>AQ260</f>
        <v>0</v>
      </c>
      <c r="BG260" s="49">
        <f>AM260</f>
        <v>0</v>
      </c>
      <c r="BI260" s="134">
        <f>AD260</f>
        <v>0</v>
      </c>
      <c r="BJ260" s="134">
        <f>AM260</f>
        <v>0</v>
      </c>
      <c r="BK260" s="134">
        <f>BJ260+BI260</f>
        <v>0</v>
      </c>
    </row>
    <row r="261" spans="1:63" ht="15" hidden="1" customHeight="1">
      <c r="A261" s="187"/>
      <c r="B261" s="2333"/>
      <c r="C261" s="2333"/>
      <c r="D261" s="2334"/>
      <c r="E261" s="2334"/>
      <c r="F261" s="2334"/>
      <c r="G261" s="2334"/>
      <c r="H261" s="2334"/>
      <c r="I261" s="2334"/>
      <c r="J261" s="2334"/>
      <c r="K261" s="2334"/>
      <c r="L261" s="2334"/>
      <c r="M261" s="2334"/>
      <c r="N261" s="2334"/>
      <c r="O261" s="2334"/>
      <c r="P261" s="2324"/>
      <c r="Q261" s="2324"/>
      <c r="R261" s="2325"/>
      <c r="S261" s="2324"/>
      <c r="T261" s="2324"/>
      <c r="U261" s="2326"/>
      <c r="V261" s="2327"/>
      <c r="W261" s="2327"/>
      <c r="X261" s="2327"/>
      <c r="Y261" s="2327"/>
      <c r="Z261" s="2327"/>
      <c r="AA261" s="2328"/>
      <c r="AB261" s="2329"/>
      <c r="AC261" s="2326"/>
      <c r="AD261" s="2330">
        <f>((P261*U261)-AM261)</f>
        <v>0</v>
      </c>
      <c r="AE261" s="2330"/>
      <c r="AF261" s="2330"/>
      <c r="AG261" s="2330">
        <f t="shared" si="120"/>
        <v>0</v>
      </c>
      <c r="AH261" s="2330"/>
      <c r="AI261" s="2330"/>
      <c r="AJ261" s="2330">
        <f>P261*AA261</f>
        <v>0</v>
      </c>
      <c r="AK261" s="2330"/>
      <c r="AL261" s="2330"/>
      <c r="AM261" s="2331">
        <f t="shared" si="115"/>
        <v>0</v>
      </c>
      <c r="AN261" s="2331"/>
      <c r="AO261" s="2331"/>
      <c r="AP261" s="2331"/>
      <c r="AQ261" s="2332">
        <f>SUM(AD261:AL261)</f>
        <v>0</v>
      </c>
      <c r="AR261" s="2332"/>
      <c r="AS261" s="2332"/>
      <c r="AT261" s="2332"/>
      <c r="AV261" s="151" t="str">
        <f t="shared" si="110"/>
        <v>CONCRETE &amp; FLATWORK</v>
      </c>
      <c r="AW261" s="681"/>
      <c r="AX261" s="230"/>
      <c r="AY261" s="230"/>
      <c r="AZ261" s="679"/>
      <c r="BA261" s="49">
        <f>AD261</f>
        <v>0</v>
      </c>
      <c r="BB261" s="49">
        <f>AG261</f>
        <v>0</v>
      </c>
      <c r="BC261" s="49">
        <f>AJ261</f>
        <v>0</v>
      </c>
      <c r="BD261" s="49">
        <f>IF(B261="x",1,0)</f>
        <v>0</v>
      </c>
      <c r="BE261" s="49">
        <f t="shared" si="126"/>
        <v>0</v>
      </c>
      <c r="BF261" s="49">
        <f>AQ261</f>
        <v>0</v>
      </c>
      <c r="BG261" s="49">
        <f>AM261</f>
        <v>0</v>
      </c>
      <c r="BI261" s="134">
        <f>AD261</f>
        <v>0</v>
      </c>
      <c r="BJ261" s="134">
        <f>AM261</f>
        <v>0</v>
      </c>
      <c r="BK261" s="134">
        <f>BJ261+BI261</f>
        <v>0</v>
      </c>
    </row>
    <row r="262" spans="1:63" ht="15" hidden="1" customHeight="1">
      <c r="A262" s="187"/>
      <c r="B262" s="2333"/>
      <c r="C262" s="2333"/>
      <c r="D262" s="2334"/>
      <c r="E262" s="2334"/>
      <c r="F262" s="2334"/>
      <c r="G262" s="2334"/>
      <c r="H262" s="2334"/>
      <c r="I262" s="2334"/>
      <c r="J262" s="2334"/>
      <c r="K262" s="2334"/>
      <c r="L262" s="2334"/>
      <c r="M262" s="2334"/>
      <c r="N262" s="2334"/>
      <c r="O262" s="2334"/>
      <c r="P262" s="2324"/>
      <c r="Q262" s="2324"/>
      <c r="R262" s="2325"/>
      <c r="S262" s="2324"/>
      <c r="T262" s="2324"/>
      <c r="U262" s="2326"/>
      <c r="V262" s="2327"/>
      <c r="W262" s="2327"/>
      <c r="X262" s="2327"/>
      <c r="Y262" s="2327"/>
      <c r="Z262" s="2327"/>
      <c r="AA262" s="2328"/>
      <c r="AB262" s="2329"/>
      <c r="AC262" s="2326"/>
      <c r="AD262" s="2330">
        <f t="shared" si="113"/>
        <v>0</v>
      </c>
      <c r="AE262" s="2330"/>
      <c r="AF262" s="2330"/>
      <c r="AG262" s="2330">
        <f t="shared" si="120"/>
        <v>0</v>
      </c>
      <c r="AH262" s="2330"/>
      <c r="AI262" s="2330"/>
      <c r="AJ262" s="2330">
        <f t="shared" si="114"/>
        <v>0</v>
      </c>
      <c r="AK262" s="2330"/>
      <c r="AL262" s="2330"/>
      <c r="AM262" s="2331">
        <f t="shared" si="115"/>
        <v>0</v>
      </c>
      <c r="AN262" s="2331"/>
      <c r="AO262" s="2331"/>
      <c r="AP262" s="2331"/>
      <c r="AQ262" s="2332">
        <f t="shared" si="116"/>
        <v>0</v>
      </c>
      <c r="AR262" s="2332"/>
      <c r="AS262" s="2332"/>
      <c r="AT262" s="2332"/>
      <c r="AV262" s="151" t="str">
        <f t="shared" si="110"/>
        <v>CONCRETE &amp; FLATWORK</v>
      </c>
      <c r="AW262" s="681"/>
      <c r="AX262" s="230"/>
      <c r="AY262" s="230"/>
      <c r="AZ262" s="679"/>
      <c r="BA262" s="49">
        <f t="shared" si="117"/>
        <v>0</v>
      </c>
      <c r="BB262" s="49">
        <f t="shared" si="121"/>
        <v>0</v>
      </c>
      <c r="BC262" s="49">
        <f t="shared" si="122"/>
        <v>0</v>
      </c>
      <c r="BD262" s="49">
        <f t="shared" si="118"/>
        <v>0</v>
      </c>
      <c r="BE262" s="49">
        <f t="shared" si="126"/>
        <v>0</v>
      </c>
      <c r="BF262" s="49">
        <f t="shared" si="111"/>
        <v>0</v>
      </c>
      <c r="BG262" s="49">
        <f t="shared" si="112"/>
        <v>0</v>
      </c>
      <c r="BI262" s="134">
        <f t="shared" si="124"/>
        <v>0</v>
      </c>
      <c r="BJ262" s="134">
        <f t="shared" si="119"/>
        <v>0</v>
      </c>
      <c r="BK262" s="134">
        <f t="shared" si="125"/>
        <v>0</v>
      </c>
    </row>
    <row r="263" spans="1:63" ht="5.0999999999999996" hidden="1" customHeight="1">
      <c r="A263" s="187"/>
      <c r="B263" s="64"/>
      <c r="C263" s="64"/>
      <c r="D263" s="885"/>
      <c r="E263" s="885"/>
      <c r="F263" s="885"/>
      <c r="G263" s="885"/>
      <c r="H263" s="885"/>
      <c r="I263" s="885"/>
      <c r="J263" s="885"/>
      <c r="K263" s="885"/>
      <c r="L263" s="885"/>
      <c r="M263" s="885"/>
      <c r="N263" s="885"/>
      <c r="O263" s="885"/>
      <c r="P263" s="66"/>
      <c r="Q263" s="66"/>
      <c r="R263" s="66"/>
      <c r="S263" s="66"/>
      <c r="T263" s="66"/>
      <c r="U263" s="67"/>
      <c r="V263" s="67"/>
      <c r="W263" s="67"/>
      <c r="X263" s="67"/>
      <c r="Y263" s="67"/>
      <c r="Z263" s="67"/>
      <c r="AA263" s="67"/>
      <c r="AB263" s="67"/>
      <c r="AC263" s="67"/>
      <c r="AD263" s="68"/>
      <c r="AE263" s="68"/>
      <c r="AF263" s="68"/>
      <c r="AG263" s="68"/>
      <c r="AH263" s="68"/>
      <c r="AI263" s="68"/>
      <c r="AJ263" s="68"/>
      <c r="AK263" s="68"/>
      <c r="AL263" s="68"/>
      <c r="AM263" s="69"/>
      <c r="AN263" s="69"/>
      <c r="AO263" s="69"/>
      <c r="AP263" s="69"/>
      <c r="AQ263" s="661"/>
      <c r="AR263" s="661"/>
      <c r="AS263" s="661"/>
      <c r="AT263" s="661"/>
      <c r="AV263" s="369" t="str">
        <f t="shared" si="110"/>
        <v>CONCRETE &amp; FLATWORK</v>
      </c>
      <c r="AW263" s="696"/>
      <c r="AX263" s="696"/>
      <c r="AY263" s="696"/>
      <c r="AZ263" s="369"/>
      <c r="BA263" s="75">
        <f>BA222</f>
        <v>0</v>
      </c>
      <c r="BB263" s="75">
        <f>BB222</f>
        <v>0</v>
      </c>
      <c r="BC263" s="75">
        <f>BC222</f>
        <v>0</v>
      </c>
      <c r="BD263" s="75">
        <f>BD222</f>
        <v>0</v>
      </c>
      <c r="BE263" s="75">
        <f>BE222</f>
        <v>0</v>
      </c>
      <c r="BF263" s="75"/>
      <c r="BG263" s="75"/>
      <c r="BI263" s="75"/>
      <c r="BJ263" s="75"/>
      <c r="BK263" s="75"/>
    </row>
    <row r="264" spans="1:63" ht="21.6" hidden="1" customHeight="1">
      <c r="A264" s="187"/>
      <c r="B264" s="2341"/>
      <c r="C264" s="2341"/>
      <c r="D264" s="886"/>
      <c r="E264" s="886"/>
      <c r="F264" s="886"/>
      <c r="G264" s="886"/>
      <c r="H264" s="886"/>
      <c r="I264" s="886"/>
      <c r="J264" s="886"/>
      <c r="K264" s="886"/>
      <c r="L264" s="886"/>
      <c r="M264" s="886"/>
      <c r="N264" s="886"/>
      <c r="O264" s="886"/>
      <c r="P264" s="37"/>
      <c r="Q264" s="37"/>
      <c r="R264" s="37"/>
      <c r="S264" s="37"/>
      <c r="T264" s="37"/>
      <c r="U264" s="37"/>
      <c r="V264" s="37"/>
      <c r="W264" s="37"/>
      <c r="X264" s="37"/>
      <c r="Y264" s="37"/>
      <c r="Z264" s="37"/>
      <c r="AA264" s="37"/>
      <c r="AB264" s="37"/>
      <c r="AC264" s="370" t="str">
        <f>CONCATENATE(D222," ","TOTAL")</f>
        <v>CONCRETE &amp; FLATWORK TOTAL</v>
      </c>
      <c r="AD264" s="2342">
        <f>SUBTOTAL(9,AD223:AD263)</f>
        <v>0</v>
      </c>
      <c r="AE264" s="2342"/>
      <c r="AF264" s="2342"/>
      <c r="AG264" s="2342">
        <f>SUBTOTAL(9,AG223:AG263)</f>
        <v>0</v>
      </c>
      <c r="AH264" s="2342"/>
      <c r="AI264" s="2342"/>
      <c r="AJ264" s="2342">
        <f>SUBTOTAL(9,AJ223:AJ263)</f>
        <v>0</v>
      </c>
      <c r="AK264" s="2342"/>
      <c r="AL264" s="2342"/>
      <c r="AM264" s="2342">
        <f>SUBTOTAL(9,AM223:AM263)</f>
        <v>0</v>
      </c>
      <c r="AN264" s="2342"/>
      <c r="AO264" s="2342"/>
      <c r="AP264" s="2342"/>
      <c r="AQ264" s="2336">
        <f>SUBTOTAL(9,AQ223:AQ263)</f>
        <v>0</v>
      </c>
      <c r="AR264" s="2336"/>
      <c r="AS264" s="2336"/>
      <c r="AT264" s="2336" t="e">
        <f>SUM(AT220:AT255)</f>
        <v>#REF!</v>
      </c>
      <c r="AV264" s="151" t="str">
        <f t="shared" si="110"/>
        <v>CONCRETE &amp; FLATWORK</v>
      </c>
      <c r="AW264" s="682"/>
      <c r="AX264" s="695"/>
      <c r="AY264" s="695"/>
      <c r="AZ264" s="274"/>
      <c r="BA264" s="74">
        <f>BA222</f>
        <v>0</v>
      </c>
      <c r="BB264" s="74">
        <f>BB222</f>
        <v>0</v>
      </c>
      <c r="BC264" s="74">
        <f>BC222</f>
        <v>0</v>
      </c>
      <c r="BD264" s="74">
        <f>BD222</f>
        <v>0</v>
      </c>
      <c r="BE264" s="74">
        <f>BE222</f>
        <v>0</v>
      </c>
      <c r="BF264" s="74">
        <f>SUM(BF222:BF263)</f>
        <v>0</v>
      </c>
      <c r="BG264" s="49">
        <f>SUM(BG222:BG263)</f>
        <v>0</v>
      </c>
      <c r="BI264" s="74">
        <f>SUM(BI223:BI263)</f>
        <v>0</v>
      </c>
      <c r="BJ264" s="74">
        <f>SUM(BJ223:BJ263)</f>
        <v>0</v>
      </c>
      <c r="BK264" s="49">
        <f>SUM(BK223:BK263)</f>
        <v>0</v>
      </c>
    </row>
    <row r="265" spans="1:63" ht="5.0999999999999996" hidden="1" customHeight="1">
      <c r="A265" s="187"/>
      <c r="B265" s="64"/>
      <c r="C265" s="64"/>
      <c r="D265" s="885"/>
      <c r="E265" s="885"/>
      <c r="F265" s="885"/>
      <c r="G265" s="885"/>
      <c r="H265" s="885"/>
      <c r="I265" s="885"/>
      <c r="J265" s="885"/>
      <c r="K265" s="885"/>
      <c r="L265" s="885"/>
      <c r="M265" s="885"/>
      <c r="N265" s="885"/>
      <c r="O265" s="885"/>
      <c r="P265" s="66"/>
      <c r="Q265" s="66"/>
      <c r="R265" s="66"/>
      <c r="S265" s="66"/>
      <c r="T265" s="66"/>
      <c r="U265" s="67"/>
      <c r="V265" s="67"/>
      <c r="W265" s="67"/>
      <c r="X265" s="67"/>
      <c r="Y265" s="67"/>
      <c r="Z265" s="67"/>
      <c r="AA265" s="67"/>
      <c r="AB265" s="67"/>
      <c r="AC265" s="67"/>
      <c r="AD265" s="68"/>
      <c r="AE265" s="68"/>
      <c r="AF265" s="68"/>
      <c r="AG265" s="68"/>
      <c r="AH265" s="68"/>
      <c r="AI265" s="68"/>
      <c r="AJ265" s="68"/>
      <c r="AK265" s="68"/>
      <c r="AL265" s="68"/>
      <c r="AM265" s="69"/>
      <c r="AN265" s="69"/>
      <c r="AO265" s="69"/>
      <c r="AP265" s="69"/>
      <c r="AQ265" s="661"/>
      <c r="AR265" s="661"/>
      <c r="AS265" s="661"/>
      <c r="AT265" s="661"/>
      <c r="AV265" s="369" t="str">
        <f t="shared" si="110"/>
        <v>CONCRETE &amp; FLATWORK</v>
      </c>
      <c r="AW265" s="696"/>
      <c r="AX265" s="696"/>
      <c r="AY265" s="696"/>
      <c r="AZ265" s="369"/>
      <c r="BA265" s="75">
        <f>BA222</f>
        <v>0</v>
      </c>
      <c r="BB265" s="75">
        <f>BB222</f>
        <v>0</v>
      </c>
      <c r="BC265" s="75">
        <f>BC222</f>
        <v>0</v>
      </c>
      <c r="BD265" s="75">
        <f>BD222</f>
        <v>0</v>
      </c>
      <c r="BE265" s="75">
        <f>BE222</f>
        <v>0</v>
      </c>
      <c r="BF265" s="75"/>
      <c r="BG265" s="75"/>
      <c r="BI265" s="75"/>
      <c r="BJ265" s="75"/>
      <c r="BK265" s="75"/>
    </row>
    <row r="266" spans="1:63" ht="9.6" hidden="1" customHeight="1">
      <c r="A266" s="187"/>
      <c r="B266" s="71"/>
      <c r="C266" s="71"/>
      <c r="D266" s="887"/>
      <c r="E266" s="887"/>
      <c r="F266" s="887"/>
      <c r="G266" s="887"/>
      <c r="H266" s="887"/>
      <c r="I266" s="887"/>
      <c r="J266" s="887"/>
      <c r="K266" s="887"/>
      <c r="L266" s="887"/>
      <c r="M266" s="887"/>
      <c r="N266" s="887"/>
      <c r="O266" s="887"/>
      <c r="P266" s="72"/>
      <c r="Q266" s="72"/>
      <c r="R266" s="72"/>
      <c r="S266" s="72"/>
      <c r="T266" s="72"/>
      <c r="U266" s="72"/>
      <c r="V266" s="72"/>
      <c r="W266" s="72"/>
      <c r="X266" s="72"/>
      <c r="Y266" s="72"/>
      <c r="Z266" s="72"/>
      <c r="AA266" s="72"/>
      <c r="AB266" s="72"/>
      <c r="AC266" s="73"/>
      <c r="AD266" s="662"/>
      <c r="AE266" s="662"/>
      <c r="AF266" s="662"/>
      <c r="AG266" s="662"/>
      <c r="AH266" s="662"/>
      <c r="AI266" s="662"/>
      <c r="AJ266" s="662"/>
      <c r="AK266" s="662"/>
      <c r="AL266" s="662"/>
      <c r="AM266" s="662"/>
      <c r="AN266" s="662"/>
      <c r="AO266" s="662"/>
      <c r="AP266" s="662"/>
      <c r="AQ266" s="663"/>
      <c r="AR266" s="663"/>
      <c r="AS266" s="663"/>
      <c r="AT266" s="663"/>
      <c r="AV266" s="371" t="str">
        <f t="shared" si="110"/>
        <v>CONCRETE &amp; FLATWORK</v>
      </c>
      <c r="AW266" s="699"/>
      <c r="AX266" s="801"/>
      <c r="AY266" s="801"/>
      <c r="AZ266" s="371"/>
      <c r="BA266" s="125">
        <f>BA264</f>
        <v>0</v>
      </c>
      <c r="BB266" s="125">
        <f t="shared" ref="BB266:BG266" si="139">BB264</f>
        <v>0</v>
      </c>
      <c r="BC266" s="125">
        <f>BC264</f>
        <v>0</v>
      </c>
      <c r="BD266" s="125">
        <f t="shared" si="139"/>
        <v>0</v>
      </c>
      <c r="BE266" s="125">
        <f t="shared" si="139"/>
        <v>0</v>
      </c>
      <c r="BF266" s="125">
        <f t="shared" si="139"/>
        <v>0</v>
      </c>
      <c r="BG266" s="125">
        <f t="shared" si="139"/>
        <v>0</v>
      </c>
      <c r="BI266" s="125"/>
      <c r="BJ266" s="125"/>
      <c r="BK266" s="125"/>
    </row>
    <row r="267" spans="1:63" ht="21" customHeight="1">
      <c r="A267" s="186" t="s">
        <v>952</v>
      </c>
      <c r="B267" s="2350"/>
      <c r="C267" s="2351"/>
      <c r="D267" s="2392" t="str">
        <f>T(N79)</f>
        <v>MASONRY</v>
      </c>
      <c r="E267" s="2393"/>
      <c r="F267" s="2393"/>
      <c r="G267" s="2393"/>
      <c r="H267" s="2393"/>
      <c r="I267" s="2393"/>
      <c r="J267" s="2393"/>
      <c r="K267" s="2393"/>
      <c r="L267" s="2393"/>
      <c r="M267" s="2393"/>
      <c r="N267" s="2393"/>
      <c r="O267" s="2394"/>
      <c r="P267" s="2352"/>
      <c r="Q267" s="2352"/>
      <c r="R267" s="2352"/>
      <c r="S267" s="2353"/>
      <c r="T267" s="2354"/>
      <c r="U267" s="2355"/>
      <c r="V267" s="2355"/>
      <c r="W267" s="2355"/>
      <c r="X267" s="2355"/>
      <c r="Y267" s="2355"/>
      <c r="Z267" s="2355"/>
      <c r="AA267" s="2355"/>
      <c r="AB267" s="2355"/>
      <c r="AC267" s="2355"/>
      <c r="AD267" s="2342">
        <f>AD309</f>
        <v>0</v>
      </c>
      <c r="AE267" s="2342"/>
      <c r="AF267" s="2342"/>
      <c r="AG267" s="2342">
        <f>AG309</f>
        <v>0</v>
      </c>
      <c r="AH267" s="2342"/>
      <c r="AI267" s="2342"/>
      <c r="AJ267" s="2342">
        <f>AJ309</f>
        <v>0</v>
      </c>
      <c r="AK267" s="2342"/>
      <c r="AL267" s="2342"/>
      <c r="AM267" s="2342">
        <f>AM309</f>
        <v>0</v>
      </c>
      <c r="AN267" s="2342"/>
      <c r="AO267" s="2342"/>
      <c r="AP267" s="2342"/>
      <c r="AQ267" s="2336">
        <f>AQ309</f>
        <v>0</v>
      </c>
      <c r="AR267" s="2336"/>
      <c r="AS267" s="2336"/>
      <c r="AT267" s="2336" t="e">
        <f>SUM(#REF!)</f>
        <v>#REF!</v>
      </c>
      <c r="AV267" s="151" t="str">
        <f t="shared" ref="AV267:AV311" si="140">$D$267</f>
        <v>MASONRY</v>
      </c>
      <c r="AW267" s="700"/>
      <c r="AX267" s="700"/>
      <c r="AY267" s="700"/>
      <c r="AZ267" s="701"/>
      <c r="BA267" s="49">
        <f>SUM(BA268:BA307)</f>
        <v>0</v>
      </c>
      <c r="BB267" s="49">
        <f>SUM(BB268:BB307)</f>
        <v>0</v>
      </c>
      <c r="BC267" s="49">
        <f>SUM(BC268:BC307)</f>
        <v>0</v>
      </c>
      <c r="BD267" s="49">
        <f>SUM(BD268:BD307)</f>
        <v>0</v>
      </c>
      <c r="BE267" s="49">
        <f>SUM(BE268:BE307)</f>
        <v>0</v>
      </c>
      <c r="BF267" s="49">
        <f t="shared" ref="BF267:BF303" si="141">AQ267</f>
        <v>0</v>
      </c>
      <c r="BG267" s="49">
        <f t="shared" ref="BG267:BG303" si="142">AM267</f>
        <v>0</v>
      </c>
      <c r="BI267" s="134">
        <f>AD267</f>
        <v>0</v>
      </c>
      <c r="BJ267" s="134">
        <f>AM267</f>
        <v>0</v>
      </c>
      <c r="BK267" s="134">
        <f>BJ267+BI267</f>
        <v>0</v>
      </c>
    </row>
    <row r="268" spans="1:63" hidden="1">
      <c r="A268" s="187"/>
      <c r="B268" s="2321"/>
      <c r="C268" s="2322"/>
      <c r="D268" s="2338" t="s">
        <v>55</v>
      </c>
      <c r="E268" s="2338"/>
      <c r="F268" s="2338"/>
      <c r="G268" s="2338"/>
      <c r="H268" s="2338"/>
      <c r="I268" s="2338"/>
      <c r="J268" s="2338"/>
      <c r="K268" s="2338"/>
      <c r="L268" s="2338"/>
      <c r="M268" s="2338"/>
      <c r="N268" s="2338"/>
      <c r="O268" s="2338"/>
      <c r="P268" s="2324"/>
      <c r="Q268" s="2324"/>
      <c r="R268" s="2325"/>
      <c r="S268" s="2324" t="s">
        <v>3</v>
      </c>
      <c r="T268" s="2324" t="s">
        <v>3</v>
      </c>
      <c r="U268" s="2326"/>
      <c r="V268" s="2327"/>
      <c r="W268" s="2327"/>
      <c r="X268" s="2327"/>
      <c r="Y268" s="2327"/>
      <c r="Z268" s="2327"/>
      <c r="AA268" s="2328"/>
      <c r="AB268" s="2329"/>
      <c r="AC268" s="2326"/>
      <c r="AD268" s="2330">
        <f t="shared" ref="AD268:AD303" si="143">((P268*U268)-AM268)</f>
        <v>0</v>
      </c>
      <c r="AE268" s="2330"/>
      <c r="AF268" s="2330"/>
      <c r="AG268" s="2330">
        <f>P268*X268*(1+$Y$85)</f>
        <v>0</v>
      </c>
      <c r="AH268" s="2330"/>
      <c r="AI268" s="2330"/>
      <c r="AJ268" s="2330">
        <f t="shared" ref="AJ268:AJ303" si="144">P268*AA268</f>
        <v>0</v>
      </c>
      <c r="AK268" s="2330"/>
      <c r="AL268" s="2330"/>
      <c r="AM268" s="2331">
        <f t="shared" ref="AM268:AM307" si="145">IF($B268="x",$P268*$U268,0)</f>
        <v>0</v>
      </c>
      <c r="AN268" s="2331"/>
      <c r="AO268" s="2331"/>
      <c r="AP268" s="2331"/>
      <c r="AQ268" s="2332">
        <f t="shared" ref="AQ268:AQ303" si="146">SUM(AD268:AL268)</f>
        <v>0</v>
      </c>
      <c r="AR268" s="2332"/>
      <c r="AS268" s="2332"/>
      <c r="AT268" s="2332"/>
      <c r="AV268" s="151" t="str">
        <f t="shared" si="140"/>
        <v>MASONRY</v>
      </c>
      <c r="AW268" s="681"/>
      <c r="AX268" s="230"/>
      <c r="AY268" s="230"/>
      <c r="AZ268" s="679"/>
      <c r="BA268" s="49">
        <f t="shared" ref="BA268:BA303" si="147">AD268</f>
        <v>0</v>
      </c>
      <c r="BB268" s="49">
        <f>AG268</f>
        <v>0</v>
      </c>
      <c r="BC268" s="49">
        <f>AJ268</f>
        <v>0</v>
      </c>
      <c r="BD268" s="49">
        <f t="shared" ref="BD268:BD303" si="148">IF(B268="x",1,0)</f>
        <v>0</v>
      </c>
      <c r="BE268" s="49">
        <f>SUM(BA268:BC268)</f>
        <v>0</v>
      </c>
      <c r="BF268" s="49">
        <f t="shared" si="141"/>
        <v>0</v>
      </c>
      <c r="BG268" s="49">
        <f t="shared" si="142"/>
        <v>0</v>
      </c>
      <c r="BI268" s="134">
        <f>AD268</f>
        <v>0</v>
      </c>
      <c r="BJ268" s="134">
        <f t="shared" ref="BJ268:BJ303" si="149">AM268</f>
        <v>0</v>
      </c>
      <c r="BK268" s="134">
        <f>BJ268+BI268</f>
        <v>0</v>
      </c>
    </row>
    <row r="269" spans="1:63" hidden="1">
      <c r="A269" s="187"/>
      <c r="B269" s="2321"/>
      <c r="C269" s="2322"/>
      <c r="D269" s="2334" t="s">
        <v>647</v>
      </c>
      <c r="E269" s="2334"/>
      <c r="F269" s="2334"/>
      <c r="G269" s="2334"/>
      <c r="H269" s="2334"/>
      <c r="I269" s="2334"/>
      <c r="J269" s="2334"/>
      <c r="K269" s="2334"/>
      <c r="L269" s="2334"/>
      <c r="M269" s="2334"/>
      <c r="N269" s="2334"/>
      <c r="O269" s="2334"/>
      <c r="P269" s="2324"/>
      <c r="Q269" s="2324"/>
      <c r="R269" s="2325"/>
      <c r="S269" s="2324" t="s">
        <v>11</v>
      </c>
      <c r="T269" s="2324" t="s">
        <v>11</v>
      </c>
      <c r="U269" s="2326">
        <v>4</v>
      </c>
      <c r="V269" s="2327"/>
      <c r="W269" s="2327"/>
      <c r="X269" s="2327">
        <v>2.25</v>
      </c>
      <c r="Y269" s="2327"/>
      <c r="Z269" s="2327">
        <v>2</v>
      </c>
      <c r="AA269" s="2328"/>
      <c r="AB269" s="2329"/>
      <c r="AC269" s="2326"/>
      <c r="AD269" s="2330">
        <f t="shared" si="143"/>
        <v>0</v>
      </c>
      <c r="AE269" s="2330"/>
      <c r="AF269" s="2330"/>
      <c r="AG269" s="2330">
        <f t="shared" ref="AG269:AG307" si="150">P269*X269*(1+$Y$85)</f>
        <v>0</v>
      </c>
      <c r="AH269" s="2330"/>
      <c r="AI269" s="2330"/>
      <c r="AJ269" s="2330">
        <f t="shared" si="144"/>
        <v>0</v>
      </c>
      <c r="AK269" s="2330"/>
      <c r="AL269" s="2330"/>
      <c r="AM269" s="2331">
        <f t="shared" si="145"/>
        <v>0</v>
      </c>
      <c r="AN269" s="2331"/>
      <c r="AO269" s="2331"/>
      <c r="AP269" s="2331"/>
      <c r="AQ269" s="2332">
        <f t="shared" si="146"/>
        <v>0</v>
      </c>
      <c r="AR269" s="2332"/>
      <c r="AS269" s="2332"/>
      <c r="AT269" s="2332"/>
      <c r="AV269" s="151" t="str">
        <f t="shared" si="140"/>
        <v>MASONRY</v>
      </c>
      <c r="AW269" s="681"/>
      <c r="AX269" s="230"/>
      <c r="AY269" s="230"/>
      <c r="AZ269" s="679"/>
      <c r="BA269" s="49">
        <f t="shared" si="147"/>
        <v>0</v>
      </c>
      <c r="BB269" s="49">
        <f t="shared" ref="BB269:BB303" si="151">AG269</f>
        <v>0</v>
      </c>
      <c r="BC269" s="49">
        <f t="shared" ref="BC269:BC303" si="152">AJ269</f>
        <v>0</v>
      </c>
      <c r="BD269" s="49">
        <f t="shared" si="148"/>
        <v>0</v>
      </c>
      <c r="BE269" s="49">
        <f t="shared" ref="BE269:BE293" si="153">SUM(BA269:BC269)</f>
        <v>0</v>
      </c>
      <c r="BF269" s="49">
        <f t="shared" si="141"/>
        <v>0</v>
      </c>
      <c r="BG269" s="49">
        <f t="shared" si="142"/>
        <v>0</v>
      </c>
      <c r="BI269" s="134">
        <f t="shared" ref="BI269:BI303" si="154">AD269</f>
        <v>0</v>
      </c>
      <c r="BJ269" s="134">
        <f t="shared" si="149"/>
        <v>0</v>
      </c>
      <c r="BK269" s="134">
        <f t="shared" ref="BK269:BK303" si="155">BJ269+BI269</f>
        <v>0</v>
      </c>
    </row>
    <row r="270" spans="1:63" hidden="1">
      <c r="A270" s="187"/>
      <c r="B270" s="2321"/>
      <c r="C270" s="2322"/>
      <c r="D270" s="2334" t="s">
        <v>648</v>
      </c>
      <c r="E270" s="2334"/>
      <c r="F270" s="2334"/>
      <c r="G270" s="2334"/>
      <c r="H270" s="2334"/>
      <c r="I270" s="2334"/>
      <c r="J270" s="2334"/>
      <c r="K270" s="2334"/>
      <c r="L270" s="2334"/>
      <c r="M270" s="2334"/>
      <c r="N270" s="2334"/>
      <c r="O270" s="2334"/>
      <c r="P270" s="2324"/>
      <c r="Q270" s="2324"/>
      <c r="R270" s="2325"/>
      <c r="S270" s="2324" t="s">
        <v>11</v>
      </c>
      <c r="T270" s="2324" t="s">
        <v>11</v>
      </c>
      <c r="U270" s="2326">
        <v>4.5</v>
      </c>
      <c r="V270" s="2327"/>
      <c r="W270" s="2327"/>
      <c r="X270" s="2327">
        <v>2.5</v>
      </c>
      <c r="Y270" s="2327"/>
      <c r="Z270" s="2327">
        <v>4</v>
      </c>
      <c r="AA270" s="2328"/>
      <c r="AB270" s="2329"/>
      <c r="AC270" s="2326"/>
      <c r="AD270" s="2330">
        <f t="shared" si="143"/>
        <v>0</v>
      </c>
      <c r="AE270" s="2330"/>
      <c r="AF270" s="2330"/>
      <c r="AG270" s="2330">
        <f t="shared" si="150"/>
        <v>0</v>
      </c>
      <c r="AH270" s="2330"/>
      <c r="AI270" s="2330"/>
      <c r="AJ270" s="2330">
        <f t="shared" si="144"/>
        <v>0</v>
      </c>
      <c r="AK270" s="2330"/>
      <c r="AL270" s="2330"/>
      <c r="AM270" s="2331">
        <f t="shared" si="145"/>
        <v>0</v>
      </c>
      <c r="AN270" s="2331"/>
      <c r="AO270" s="2331"/>
      <c r="AP270" s="2331"/>
      <c r="AQ270" s="2332">
        <f t="shared" si="146"/>
        <v>0</v>
      </c>
      <c r="AR270" s="2332"/>
      <c r="AS270" s="2332"/>
      <c r="AT270" s="2332"/>
      <c r="AV270" s="151" t="str">
        <f t="shared" si="140"/>
        <v>MASONRY</v>
      </c>
      <c r="AW270" s="681"/>
      <c r="AX270" s="230"/>
      <c r="AY270" s="230"/>
      <c r="AZ270" s="679"/>
      <c r="BA270" s="49">
        <f t="shared" si="147"/>
        <v>0</v>
      </c>
      <c r="BB270" s="49">
        <f t="shared" si="151"/>
        <v>0</v>
      </c>
      <c r="BC270" s="49">
        <f t="shared" si="152"/>
        <v>0</v>
      </c>
      <c r="BD270" s="49">
        <f t="shared" si="148"/>
        <v>0</v>
      </c>
      <c r="BE270" s="49">
        <f t="shared" si="153"/>
        <v>0</v>
      </c>
      <c r="BF270" s="49">
        <f t="shared" si="141"/>
        <v>0</v>
      </c>
      <c r="BG270" s="49">
        <f t="shared" si="142"/>
        <v>0</v>
      </c>
      <c r="BI270" s="134">
        <f t="shared" si="154"/>
        <v>0</v>
      </c>
      <c r="BJ270" s="134">
        <f t="shared" si="149"/>
        <v>0</v>
      </c>
      <c r="BK270" s="134">
        <f t="shared" si="155"/>
        <v>0</v>
      </c>
    </row>
    <row r="271" spans="1:63" hidden="1">
      <c r="A271" s="187"/>
      <c r="B271" s="2321"/>
      <c r="C271" s="2322"/>
      <c r="D271" s="2334" t="s">
        <v>649</v>
      </c>
      <c r="E271" s="2334"/>
      <c r="F271" s="2334"/>
      <c r="G271" s="2334"/>
      <c r="H271" s="2334"/>
      <c r="I271" s="2334"/>
      <c r="J271" s="2334"/>
      <c r="K271" s="2334"/>
      <c r="L271" s="2334"/>
      <c r="M271" s="2334"/>
      <c r="N271" s="2334"/>
      <c r="O271" s="2334"/>
      <c r="P271" s="2324"/>
      <c r="Q271" s="2324"/>
      <c r="R271" s="2325"/>
      <c r="S271" s="2324" t="s">
        <v>11</v>
      </c>
      <c r="T271" s="2324" t="s">
        <v>11</v>
      </c>
      <c r="U271" s="2326">
        <v>10</v>
      </c>
      <c r="V271" s="2327"/>
      <c r="W271" s="2327"/>
      <c r="X271" s="2327">
        <v>8</v>
      </c>
      <c r="Y271" s="2327"/>
      <c r="Z271" s="2327">
        <v>8</v>
      </c>
      <c r="AA271" s="2328"/>
      <c r="AB271" s="2329"/>
      <c r="AC271" s="2326"/>
      <c r="AD271" s="2330">
        <f t="shared" si="143"/>
        <v>0</v>
      </c>
      <c r="AE271" s="2330"/>
      <c r="AF271" s="2330"/>
      <c r="AG271" s="2330">
        <f t="shared" si="150"/>
        <v>0</v>
      </c>
      <c r="AH271" s="2330"/>
      <c r="AI271" s="2330"/>
      <c r="AJ271" s="2330">
        <f t="shared" si="144"/>
        <v>0</v>
      </c>
      <c r="AK271" s="2330"/>
      <c r="AL271" s="2330"/>
      <c r="AM271" s="2331">
        <f t="shared" si="145"/>
        <v>0</v>
      </c>
      <c r="AN271" s="2331"/>
      <c r="AO271" s="2331"/>
      <c r="AP271" s="2331"/>
      <c r="AQ271" s="2332">
        <f t="shared" si="146"/>
        <v>0</v>
      </c>
      <c r="AR271" s="2332"/>
      <c r="AS271" s="2332"/>
      <c r="AT271" s="2332"/>
      <c r="AV271" s="151" t="str">
        <f t="shared" si="140"/>
        <v>MASONRY</v>
      </c>
      <c r="AW271" s="681"/>
      <c r="AX271" s="230"/>
      <c r="AY271" s="230"/>
      <c r="AZ271" s="679"/>
      <c r="BA271" s="49">
        <f t="shared" si="147"/>
        <v>0</v>
      </c>
      <c r="BB271" s="49">
        <f t="shared" si="151"/>
        <v>0</v>
      </c>
      <c r="BC271" s="49">
        <f t="shared" si="152"/>
        <v>0</v>
      </c>
      <c r="BD271" s="49">
        <f t="shared" si="148"/>
        <v>0</v>
      </c>
      <c r="BE271" s="49">
        <f t="shared" si="153"/>
        <v>0</v>
      </c>
      <c r="BF271" s="49">
        <f t="shared" si="141"/>
        <v>0</v>
      </c>
      <c r="BG271" s="49">
        <f t="shared" si="142"/>
        <v>0</v>
      </c>
      <c r="BI271" s="134">
        <f t="shared" si="154"/>
        <v>0</v>
      </c>
      <c r="BJ271" s="134">
        <f t="shared" si="149"/>
        <v>0</v>
      </c>
      <c r="BK271" s="134">
        <f t="shared" si="155"/>
        <v>0</v>
      </c>
    </row>
    <row r="272" spans="1:63" hidden="1">
      <c r="A272" s="187"/>
      <c r="B272" s="2321"/>
      <c r="C272" s="2322"/>
      <c r="D272" s="2334" t="s">
        <v>656</v>
      </c>
      <c r="E272" s="2334"/>
      <c r="F272" s="2334"/>
      <c r="G272" s="2334"/>
      <c r="H272" s="2334"/>
      <c r="I272" s="2334"/>
      <c r="J272" s="2334"/>
      <c r="K272" s="2334"/>
      <c r="L272" s="2334"/>
      <c r="M272" s="2334"/>
      <c r="N272" s="2334"/>
      <c r="O272" s="2334"/>
      <c r="P272" s="2324"/>
      <c r="Q272" s="2324"/>
      <c r="R272" s="2325"/>
      <c r="S272" s="2324" t="s">
        <v>11</v>
      </c>
      <c r="T272" s="2324" t="s">
        <v>3</v>
      </c>
      <c r="U272" s="2326">
        <v>17</v>
      </c>
      <c r="V272" s="2327"/>
      <c r="W272" s="2327"/>
      <c r="X272" s="2327">
        <v>13</v>
      </c>
      <c r="Y272" s="2327"/>
      <c r="Z272" s="2327">
        <v>2000</v>
      </c>
      <c r="AA272" s="2328"/>
      <c r="AB272" s="2329"/>
      <c r="AC272" s="2326"/>
      <c r="AD272" s="2330">
        <f t="shared" si="143"/>
        <v>0</v>
      </c>
      <c r="AE272" s="2330"/>
      <c r="AF272" s="2330"/>
      <c r="AG272" s="2330">
        <f t="shared" si="150"/>
        <v>0</v>
      </c>
      <c r="AH272" s="2330"/>
      <c r="AI272" s="2330"/>
      <c r="AJ272" s="2330">
        <f t="shared" si="144"/>
        <v>0</v>
      </c>
      <c r="AK272" s="2330"/>
      <c r="AL272" s="2330"/>
      <c r="AM272" s="2331">
        <f t="shared" si="145"/>
        <v>0</v>
      </c>
      <c r="AN272" s="2331"/>
      <c r="AO272" s="2331"/>
      <c r="AP272" s="2331"/>
      <c r="AQ272" s="2332">
        <f t="shared" si="146"/>
        <v>0</v>
      </c>
      <c r="AR272" s="2332"/>
      <c r="AS272" s="2332"/>
      <c r="AT272" s="2332"/>
      <c r="AV272" s="151" t="str">
        <f t="shared" si="140"/>
        <v>MASONRY</v>
      </c>
      <c r="AW272" s="681"/>
      <c r="AX272" s="230"/>
      <c r="AY272" s="230"/>
      <c r="AZ272" s="679"/>
      <c r="BA272" s="49">
        <f t="shared" si="147"/>
        <v>0</v>
      </c>
      <c r="BB272" s="49">
        <f t="shared" si="151"/>
        <v>0</v>
      </c>
      <c r="BC272" s="49">
        <f t="shared" si="152"/>
        <v>0</v>
      </c>
      <c r="BD272" s="49">
        <f t="shared" si="148"/>
        <v>0</v>
      </c>
      <c r="BE272" s="49">
        <f t="shared" si="153"/>
        <v>0</v>
      </c>
      <c r="BF272" s="49">
        <f t="shared" si="141"/>
        <v>0</v>
      </c>
      <c r="BG272" s="49">
        <f t="shared" si="142"/>
        <v>0</v>
      </c>
      <c r="BI272" s="134">
        <f t="shared" si="154"/>
        <v>0</v>
      </c>
      <c r="BJ272" s="134">
        <f t="shared" si="149"/>
        <v>0</v>
      </c>
      <c r="BK272" s="134">
        <f t="shared" si="155"/>
        <v>0</v>
      </c>
    </row>
    <row r="273" spans="1:63" hidden="1">
      <c r="A273" s="187"/>
      <c r="B273" s="2333"/>
      <c r="C273" s="2333"/>
      <c r="D273" s="2334" t="s">
        <v>650</v>
      </c>
      <c r="E273" s="2334"/>
      <c r="F273" s="2334"/>
      <c r="G273" s="2334"/>
      <c r="H273" s="2334"/>
      <c r="I273" s="2334"/>
      <c r="J273" s="2334"/>
      <c r="K273" s="2334"/>
      <c r="L273" s="2334"/>
      <c r="M273" s="2334"/>
      <c r="N273" s="2334"/>
      <c r="O273" s="2334"/>
      <c r="P273" s="2324"/>
      <c r="Q273" s="2324"/>
      <c r="R273" s="2325"/>
      <c r="S273" s="2324" t="s">
        <v>11</v>
      </c>
      <c r="T273" s="2324" t="s">
        <v>11</v>
      </c>
      <c r="U273" s="2326">
        <v>0.8</v>
      </c>
      <c r="V273" s="2327"/>
      <c r="W273" s="2327"/>
      <c r="X273" s="2327">
        <v>0.5</v>
      </c>
      <c r="Y273" s="2327"/>
      <c r="Z273" s="2327">
        <v>0.5</v>
      </c>
      <c r="AA273" s="2328"/>
      <c r="AB273" s="2329"/>
      <c r="AC273" s="2326"/>
      <c r="AD273" s="2330">
        <f t="shared" si="143"/>
        <v>0</v>
      </c>
      <c r="AE273" s="2330"/>
      <c r="AF273" s="2330"/>
      <c r="AG273" s="2330">
        <f t="shared" si="150"/>
        <v>0</v>
      </c>
      <c r="AH273" s="2330"/>
      <c r="AI273" s="2330"/>
      <c r="AJ273" s="2330">
        <f t="shared" si="144"/>
        <v>0</v>
      </c>
      <c r="AK273" s="2330"/>
      <c r="AL273" s="2330"/>
      <c r="AM273" s="2331">
        <f t="shared" si="145"/>
        <v>0</v>
      </c>
      <c r="AN273" s="2331"/>
      <c r="AO273" s="2331"/>
      <c r="AP273" s="2331"/>
      <c r="AQ273" s="2332">
        <f t="shared" si="146"/>
        <v>0</v>
      </c>
      <c r="AR273" s="2332"/>
      <c r="AS273" s="2332"/>
      <c r="AT273" s="2332"/>
      <c r="AV273" s="151" t="str">
        <f t="shared" si="140"/>
        <v>MASONRY</v>
      </c>
      <c r="AW273" s="681"/>
      <c r="AX273" s="230"/>
      <c r="AY273" s="230"/>
      <c r="AZ273" s="679"/>
      <c r="BA273" s="49">
        <f t="shared" si="147"/>
        <v>0</v>
      </c>
      <c r="BB273" s="49">
        <f t="shared" si="151"/>
        <v>0</v>
      </c>
      <c r="BC273" s="49">
        <f t="shared" si="152"/>
        <v>0</v>
      </c>
      <c r="BD273" s="49">
        <f t="shared" si="148"/>
        <v>0</v>
      </c>
      <c r="BE273" s="49">
        <f t="shared" si="153"/>
        <v>0</v>
      </c>
      <c r="BF273" s="49">
        <f t="shared" si="141"/>
        <v>0</v>
      </c>
      <c r="BG273" s="49">
        <f t="shared" si="142"/>
        <v>0</v>
      </c>
      <c r="BI273" s="134">
        <f t="shared" si="154"/>
        <v>0</v>
      </c>
      <c r="BJ273" s="134">
        <f t="shared" si="149"/>
        <v>0</v>
      </c>
      <c r="BK273" s="134">
        <f t="shared" si="155"/>
        <v>0</v>
      </c>
    </row>
    <row r="274" spans="1:63" hidden="1">
      <c r="A274" s="187"/>
      <c r="B274" s="2333"/>
      <c r="C274" s="2333"/>
      <c r="D274" s="2334" t="s">
        <v>835</v>
      </c>
      <c r="E274" s="2334"/>
      <c r="F274" s="2334"/>
      <c r="G274" s="2334"/>
      <c r="H274" s="2334"/>
      <c r="I274" s="2334"/>
      <c r="J274" s="2334"/>
      <c r="K274" s="2334"/>
      <c r="L274" s="2334"/>
      <c r="M274" s="2334"/>
      <c r="N274" s="2334"/>
      <c r="O274" s="2334"/>
      <c r="P274" s="2324"/>
      <c r="Q274" s="2324"/>
      <c r="R274" s="2325"/>
      <c r="S274" s="2324" t="s">
        <v>11</v>
      </c>
      <c r="T274" s="2324" t="s">
        <v>11</v>
      </c>
      <c r="U274" s="2326">
        <v>5.75</v>
      </c>
      <c r="V274" s="2327"/>
      <c r="W274" s="2327"/>
      <c r="X274" s="2327">
        <v>0.5</v>
      </c>
      <c r="Y274" s="2327"/>
      <c r="Z274" s="2327"/>
      <c r="AA274" s="2328"/>
      <c r="AB274" s="2329"/>
      <c r="AC274" s="2326"/>
      <c r="AD274" s="2330">
        <f t="shared" si="143"/>
        <v>0</v>
      </c>
      <c r="AE274" s="2330"/>
      <c r="AF274" s="2330"/>
      <c r="AG274" s="2330">
        <f t="shared" si="150"/>
        <v>0</v>
      </c>
      <c r="AH274" s="2330"/>
      <c r="AI274" s="2330"/>
      <c r="AJ274" s="2330">
        <f t="shared" si="144"/>
        <v>0</v>
      </c>
      <c r="AK274" s="2330"/>
      <c r="AL274" s="2330"/>
      <c r="AM274" s="2331">
        <f t="shared" si="145"/>
        <v>0</v>
      </c>
      <c r="AN274" s="2331"/>
      <c r="AO274" s="2331"/>
      <c r="AP274" s="2331"/>
      <c r="AQ274" s="2332">
        <f t="shared" si="146"/>
        <v>0</v>
      </c>
      <c r="AR274" s="2332"/>
      <c r="AS274" s="2332"/>
      <c r="AT274" s="2332"/>
      <c r="AV274" s="151" t="str">
        <f t="shared" si="140"/>
        <v>MASONRY</v>
      </c>
      <c r="AW274" s="681"/>
      <c r="AX274" s="230"/>
      <c r="AY274" s="230"/>
      <c r="AZ274" s="679"/>
      <c r="BA274" s="49">
        <f t="shared" si="147"/>
        <v>0</v>
      </c>
      <c r="BB274" s="49">
        <f t="shared" si="151"/>
        <v>0</v>
      </c>
      <c r="BC274" s="49">
        <f t="shared" si="152"/>
        <v>0</v>
      </c>
      <c r="BD274" s="49">
        <f t="shared" si="148"/>
        <v>0</v>
      </c>
      <c r="BE274" s="49">
        <f t="shared" si="153"/>
        <v>0</v>
      </c>
      <c r="BF274" s="49">
        <f t="shared" si="141"/>
        <v>0</v>
      </c>
      <c r="BG274" s="49">
        <f t="shared" si="142"/>
        <v>0</v>
      </c>
      <c r="BI274" s="134">
        <f t="shared" si="154"/>
        <v>0</v>
      </c>
      <c r="BJ274" s="134">
        <f t="shared" si="149"/>
        <v>0</v>
      </c>
      <c r="BK274" s="134">
        <f t="shared" si="155"/>
        <v>0</v>
      </c>
    </row>
    <row r="275" spans="1:63" hidden="1">
      <c r="A275" s="187"/>
      <c r="B275" s="2333"/>
      <c r="C275" s="2333"/>
      <c r="D275" s="2334" t="s">
        <v>651</v>
      </c>
      <c r="E275" s="2334"/>
      <c r="F275" s="2334"/>
      <c r="G275" s="2334"/>
      <c r="H275" s="2334"/>
      <c r="I275" s="2334"/>
      <c r="J275" s="2334"/>
      <c r="K275" s="2334"/>
      <c r="L275" s="2334"/>
      <c r="M275" s="2334"/>
      <c r="N275" s="2334"/>
      <c r="O275" s="2334"/>
      <c r="P275" s="2324"/>
      <c r="Q275" s="2324"/>
      <c r="R275" s="2325"/>
      <c r="S275" s="2324" t="s">
        <v>11</v>
      </c>
      <c r="T275" s="2324"/>
      <c r="U275" s="2326">
        <v>0.5</v>
      </c>
      <c r="V275" s="2327"/>
      <c r="W275" s="2327"/>
      <c r="X275" s="2327"/>
      <c r="Y275" s="2327"/>
      <c r="Z275" s="2327"/>
      <c r="AA275" s="2328"/>
      <c r="AB275" s="2329"/>
      <c r="AC275" s="2326"/>
      <c r="AD275" s="2330">
        <f t="shared" si="143"/>
        <v>0</v>
      </c>
      <c r="AE275" s="2330"/>
      <c r="AF275" s="2330"/>
      <c r="AG275" s="2330">
        <f t="shared" si="150"/>
        <v>0</v>
      </c>
      <c r="AH275" s="2330"/>
      <c r="AI275" s="2330"/>
      <c r="AJ275" s="2330">
        <f t="shared" si="144"/>
        <v>0</v>
      </c>
      <c r="AK275" s="2330"/>
      <c r="AL275" s="2330"/>
      <c r="AM275" s="2331">
        <f t="shared" si="145"/>
        <v>0</v>
      </c>
      <c r="AN275" s="2331"/>
      <c r="AO275" s="2331"/>
      <c r="AP275" s="2331"/>
      <c r="AQ275" s="2332">
        <f t="shared" si="146"/>
        <v>0</v>
      </c>
      <c r="AR275" s="2332"/>
      <c r="AS275" s="2332"/>
      <c r="AT275" s="2332"/>
      <c r="AV275" s="151" t="str">
        <f t="shared" si="140"/>
        <v>MASONRY</v>
      </c>
      <c r="AW275" s="681"/>
      <c r="AX275" s="230"/>
      <c r="AY275" s="230"/>
      <c r="AZ275" s="679"/>
      <c r="BA275" s="49">
        <f t="shared" si="147"/>
        <v>0</v>
      </c>
      <c r="BB275" s="49">
        <f t="shared" si="151"/>
        <v>0</v>
      </c>
      <c r="BC275" s="49">
        <f t="shared" si="152"/>
        <v>0</v>
      </c>
      <c r="BD275" s="49">
        <f t="shared" si="148"/>
        <v>0</v>
      </c>
      <c r="BE275" s="49">
        <f t="shared" si="153"/>
        <v>0</v>
      </c>
      <c r="BF275" s="49">
        <f t="shared" si="141"/>
        <v>0</v>
      </c>
      <c r="BG275" s="49">
        <f t="shared" si="142"/>
        <v>0</v>
      </c>
      <c r="BI275" s="134">
        <f t="shared" si="154"/>
        <v>0</v>
      </c>
      <c r="BJ275" s="134">
        <f t="shared" si="149"/>
        <v>0</v>
      </c>
      <c r="BK275" s="134">
        <f t="shared" si="155"/>
        <v>0</v>
      </c>
    </row>
    <row r="276" spans="1:63" hidden="1">
      <c r="A276" s="187"/>
      <c r="B276" s="2321"/>
      <c r="C276" s="2322"/>
      <c r="D276" s="2334" t="s">
        <v>652</v>
      </c>
      <c r="E276" s="2334"/>
      <c r="F276" s="2334"/>
      <c r="G276" s="2334"/>
      <c r="H276" s="2334"/>
      <c r="I276" s="2334"/>
      <c r="J276" s="2334"/>
      <c r="K276" s="2334"/>
      <c r="L276" s="2334"/>
      <c r="M276" s="2334"/>
      <c r="N276" s="2334"/>
      <c r="O276" s="2334"/>
      <c r="P276" s="2324"/>
      <c r="Q276" s="2324"/>
      <c r="R276" s="2325"/>
      <c r="S276" s="2324" t="s">
        <v>653</v>
      </c>
      <c r="T276" s="2324"/>
      <c r="U276" s="2326">
        <v>50</v>
      </c>
      <c r="V276" s="2327"/>
      <c r="W276" s="2327"/>
      <c r="X276" s="2327">
        <v>35</v>
      </c>
      <c r="Y276" s="2327"/>
      <c r="Z276" s="2327"/>
      <c r="AA276" s="2328"/>
      <c r="AB276" s="2329"/>
      <c r="AC276" s="2326"/>
      <c r="AD276" s="2330">
        <f t="shared" si="143"/>
        <v>0</v>
      </c>
      <c r="AE276" s="2330"/>
      <c r="AF276" s="2330"/>
      <c r="AG276" s="2330">
        <f t="shared" si="150"/>
        <v>0</v>
      </c>
      <c r="AH276" s="2330"/>
      <c r="AI276" s="2330"/>
      <c r="AJ276" s="2330">
        <f t="shared" si="144"/>
        <v>0</v>
      </c>
      <c r="AK276" s="2330"/>
      <c r="AL276" s="2330"/>
      <c r="AM276" s="2331">
        <f t="shared" si="145"/>
        <v>0</v>
      </c>
      <c r="AN276" s="2331"/>
      <c r="AO276" s="2331"/>
      <c r="AP276" s="2331"/>
      <c r="AQ276" s="2332">
        <f t="shared" si="146"/>
        <v>0</v>
      </c>
      <c r="AR276" s="2332"/>
      <c r="AS276" s="2332"/>
      <c r="AT276" s="2332"/>
      <c r="AV276" s="151" t="str">
        <f t="shared" si="140"/>
        <v>MASONRY</v>
      </c>
      <c r="AW276" s="681"/>
      <c r="AX276" s="230"/>
      <c r="AY276" s="230"/>
      <c r="AZ276" s="679"/>
      <c r="BA276" s="49">
        <f t="shared" si="147"/>
        <v>0</v>
      </c>
      <c r="BB276" s="49">
        <f t="shared" si="151"/>
        <v>0</v>
      </c>
      <c r="BC276" s="49">
        <f t="shared" si="152"/>
        <v>0</v>
      </c>
      <c r="BD276" s="49">
        <f t="shared" si="148"/>
        <v>0</v>
      </c>
      <c r="BE276" s="49">
        <f t="shared" si="153"/>
        <v>0</v>
      </c>
      <c r="BF276" s="49">
        <f t="shared" si="141"/>
        <v>0</v>
      </c>
      <c r="BG276" s="49">
        <f t="shared" si="142"/>
        <v>0</v>
      </c>
      <c r="BI276" s="134">
        <f t="shared" si="154"/>
        <v>0</v>
      </c>
      <c r="BJ276" s="134">
        <f t="shared" si="149"/>
        <v>0</v>
      </c>
      <c r="BK276" s="134">
        <f t="shared" si="155"/>
        <v>0</v>
      </c>
    </row>
    <row r="277" spans="1:63" hidden="1">
      <c r="A277" s="187"/>
      <c r="B277" s="2321"/>
      <c r="C277" s="2322"/>
      <c r="D277" s="2334" t="s">
        <v>654</v>
      </c>
      <c r="E277" s="2334"/>
      <c r="F277" s="2334"/>
      <c r="G277" s="2334"/>
      <c r="H277" s="2334"/>
      <c r="I277" s="2334"/>
      <c r="J277" s="2334"/>
      <c r="K277" s="2334"/>
      <c r="L277" s="2334"/>
      <c r="M277" s="2334"/>
      <c r="N277" s="2334"/>
      <c r="O277" s="2334"/>
      <c r="P277" s="2324"/>
      <c r="Q277" s="2324"/>
      <c r="R277" s="2325"/>
      <c r="S277" s="2324" t="s">
        <v>653</v>
      </c>
      <c r="T277" s="2324"/>
      <c r="U277" s="2326">
        <v>70</v>
      </c>
      <c r="V277" s="2327"/>
      <c r="W277" s="2327"/>
      <c r="X277" s="2327">
        <v>75</v>
      </c>
      <c r="Y277" s="2327"/>
      <c r="Z277" s="2327"/>
      <c r="AA277" s="2328"/>
      <c r="AB277" s="2329"/>
      <c r="AC277" s="2326"/>
      <c r="AD277" s="2330">
        <f t="shared" si="143"/>
        <v>0</v>
      </c>
      <c r="AE277" s="2330"/>
      <c r="AF277" s="2330"/>
      <c r="AG277" s="2330">
        <f t="shared" si="150"/>
        <v>0</v>
      </c>
      <c r="AH277" s="2330"/>
      <c r="AI277" s="2330"/>
      <c r="AJ277" s="2330">
        <f t="shared" si="144"/>
        <v>0</v>
      </c>
      <c r="AK277" s="2330"/>
      <c r="AL277" s="2330"/>
      <c r="AM277" s="2331">
        <f t="shared" si="145"/>
        <v>0</v>
      </c>
      <c r="AN277" s="2331"/>
      <c r="AO277" s="2331"/>
      <c r="AP277" s="2331"/>
      <c r="AQ277" s="2332">
        <f t="shared" si="146"/>
        <v>0</v>
      </c>
      <c r="AR277" s="2332"/>
      <c r="AS277" s="2332"/>
      <c r="AT277" s="2332"/>
      <c r="AV277" s="151" t="str">
        <f t="shared" si="140"/>
        <v>MASONRY</v>
      </c>
      <c r="AW277" s="681"/>
      <c r="AX277" s="230"/>
      <c r="AY277" s="230"/>
      <c r="AZ277" s="679"/>
      <c r="BA277" s="49">
        <f t="shared" si="147"/>
        <v>0</v>
      </c>
      <c r="BB277" s="49">
        <f t="shared" si="151"/>
        <v>0</v>
      </c>
      <c r="BC277" s="49">
        <f t="shared" si="152"/>
        <v>0</v>
      </c>
      <c r="BD277" s="49">
        <f t="shared" si="148"/>
        <v>0</v>
      </c>
      <c r="BE277" s="49">
        <f t="shared" si="153"/>
        <v>0</v>
      </c>
      <c r="BF277" s="49">
        <f t="shared" si="141"/>
        <v>0</v>
      </c>
      <c r="BG277" s="49">
        <f t="shared" si="142"/>
        <v>0</v>
      </c>
      <c r="BI277" s="134">
        <f t="shared" si="154"/>
        <v>0</v>
      </c>
      <c r="BJ277" s="134">
        <f t="shared" si="149"/>
        <v>0</v>
      </c>
      <c r="BK277" s="134">
        <f t="shared" si="155"/>
        <v>0</v>
      </c>
    </row>
    <row r="278" spans="1:63" hidden="1">
      <c r="A278" s="187"/>
      <c r="B278" s="2321"/>
      <c r="C278" s="2322"/>
      <c r="D278" s="2334" t="s">
        <v>655</v>
      </c>
      <c r="E278" s="2334"/>
      <c r="F278" s="2334"/>
      <c r="G278" s="2334"/>
      <c r="H278" s="2334"/>
      <c r="I278" s="2334"/>
      <c r="J278" s="2334"/>
      <c r="K278" s="2334"/>
      <c r="L278" s="2334"/>
      <c r="M278" s="2334"/>
      <c r="N278" s="2334"/>
      <c r="O278" s="2334"/>
      <c r="P278" s="2324"/>
      <c r="Q278" s="2324"/>
      <c r="R278" s="2325"/>
      <c r="S278" s="2324" t="s">
        <v>2</v>
      </c>
      <c r="T278" s="2324"/>
      <c r="U278" s="2326">
        <v>35</v>
      </c>
      <c r="V278" s="2327"/>
      <c r="W278" s="2327"/>
      <c r="X278" s="2327">
        <v>50</v>
      </c>
      <c r="Y278" s="2327"/>
      <c r="Z278" s="2327"/>
      <c r="AA278" s="2328"/>
      <c r="AB278" s="2329"/>
      <c r="AC278" s="2326"/>
      <c r="AD278" s="2330">
        <f t="shared" si="143"/>
        <v>0</v>
      </c>
      <c r="AE278" s="2330"/>
      <c r="AF278" s="2330"/>
      <c r="AG278" s="2330">
        <f t="shared" si="150"/>
        <v>0</v>
      </c>
      <c r="AH278" s="2330"/>
      <c r="AI278" s="2330"/>
      <c r="AJ278" s="2330">
        <f t="shared" si="144"/>
        <v>0</v>
      </c>
      <c r="AK278" s="2330"/>
      <c r="AL278" s="2330"/>
      <c r="AM278" s="2331">
        <f t="shared" si="145"/>
        <v>0</v>
      </c>
      <c r="AN278" s="2331"/>
      <c r="AO278" s="2331"/>
      <c r="AP278" s="2331"/>
      <c r="AQ278" s="2332">
        <f t="shared" si="146"/>
        <v>0</v>
      </c>
      <c r="AR278" s="2332"/>
      <c r="AS278" s="2332"/>
      <c r="AT278" s="2332"/>
      <c r="AV278" s="151" t="str">
        <f t="shared" si="140"/>
        <v>MASONRY</v>
      </c>
      <c r="AW278" s="681"/>
      <c r="AX278" s="230"/>
      <c r="AY278" s="230"/>
      <c r="AZ278" s="679"/>
      <c r="BA278" s="49">
        <f t="shared" si="147"/>
        <v>0</v>
      </c>
      <c r="BB278" s="49">
        <f t="shared" si="151"/>
        <v>0</v>
      </c>
      <c r="BC278" s="49">
        <f t="shared" si="152"/>
        <v>0</v>
      </c>
      <c r="BD278" s="49">
        <f t="shared" si="148"/>
        <v>0</v>
      </c>
      <c r="BE278" s="49">
        <f t="shared" si="153"/>
        <v>0</v>
      </c>
      <c r="BF278" s="49">
        <f t="shared" si="141"/>
        <v>0</v>
      </c>
      <c r="BG278" s="49">
        <f t="shared" si="142"/>
        <v>0</v>
      </c>
      <c r="BI278" s="134">
        <f t="shared" si="154"/>
        <v>0</v>
      </c>
      <c r="BJ278" s="134">
        <f t="shared" si="149"/>
        <v>0</v>
      </c>
      <c r="BK278" s="134">
        <f t="shared" si="155"/>
        <v>0</v>
      </c>
    </row>
    <row r="279" spans="1:63" hidden="1">
      <c r="A279" s="187"/>
      <c r="B279" s="2333"/>
      <c r="C279" s="2333"/>
      <c r="D279" s="2334" t="s">
        <v>657</v>
      </c>
      <c r="E279" s="2334"/>
      <c r="F279" s="2334"/>
      <c r="G279" s="2334"/>
      <c r="H279" s="2334"/>
      <c r="I279" s="2334"/>
      <c r="J279" s="2334"/>
      <c r="K279" s="2334"/>
      <c r="L279" s="2334"/>
      <c r="M279" s="2334"/>
      <c r="N279" s="2334"/>
      <c r="O279" s="2334"/>
      <c r="P279" s="2324"/>
      <c r="Q279" s="2324"/>
      <c r="R279" s="2325"/>
      <c r="S279" s="2324" t="s">
        <v>2</v>
      </c>
      <c r="T279" s="2324"/>
      <c r="U279" s="2326">
        <v>3500</v>
      </c>
      <c r="V279" s="2327"/>
      <c r="W279" s="2327"/>
      <c r="X279" s="2327">
        <v>2000</v>
      </c>
      <c r="Y279" s="2327"/>
      <c r="Z279" s="2327"/>
      <c r="AA279" s="2328"/>
      <c r="AB279" s="2329"/>
      <c r="AC279" s="2326"/>
      <c r="AD279" s="2330">
        <f t="shared" si="143"/>
        <v>0</v>
      </c>
      <c r="AE279" s="2330"/>
      <c r="AF279" s="2330"/>
      <c r="AG279" s="2330">
        <f t="shared" si="150"/>
        <v>0</v>
      </c>
      <c r="AH279" s="2330"/>
      <c r="AI279" s="2330"/>
      <c r="AJ279" s="2330">
        <f t="shared" si="144"/>
        <v>0</v>
      </c>
      <c r="AK279" s="2330"/>
      <c r="AL279" s="2330"/>
      <c r="AM279" s="2331">
        <f t="shared" si="145"/>
        <v>0</v>
      </c>
      <c r="AN279" s="2331"/>
      <c r="AO279" s="2331"/>
      <c r="AP279" s="2331"/>
      <c r="AQ279" s="2332">
        <f t="shared" si="146"/>
        <v>0</v>
      </c>
      <c r="AR279" s="2332"/>
      <c r="AS279" s="2332"/>
      <c r="AT279" s="2332"/>
      <c r="AV279" s="151" t="str">
        <f t="shared" si="140"/>
        <v>MASONRY</v>
      </c>
      <c r="AW279" s="681"/>
      <c r="AX279" s="230"/>
      <c r="AY279" s="230"/>
      <c r="AZ279" s="679"/>
      <c r="BA279" s="49">
        <f t="shared" si="147"/>
        <v>0</v>
      </c>
      <c r="BB279" s="49">
        <f t="shared" si="151"/>
        <v>0</v>
      </c>
      <c r="BC279" s="49">
        <f t="shared" si="152"/>
        <v>0</v>
      </c>
      <c r="BD279" s="49">
        <f t="shared" si="148"/>
        <v>0</v>
      </c>
      <c r="BE279" s="49">
        <f t="shared" si="153"/>
        <v>0</v>
      </c>
      <c r="BF279" s="49">
        <f t="shared" si="141"/>
        <v>0</v>
      </c>
      <c r="BG279" s="49">
        <f t="shared" si="142"/>
        <v>0</v>
      </c>
      <c r="BI279" s="134">
        <f t="shared" si="154"/>
        <v>0</v>
      </c>
      <c r="BJ279" s="134">
        <f t="shared" si="149"/>
        <v>0</v>
      </c>
      <c r="BK279" s="134">
        <f t="shared" si="155"/>
        <v>0</v>
      </c>
    </row>
    <row r="280" spans="1:63" hidden="1">
      <c r="A280" s="187"/>
      <c r="B280" s="2321"/>
      <c r="C280" s="2322"/>
      <c r="D280" s="2334"/>
      <c r="E280" s="2334"/>
      <c r="F280" s="2334"/>
      <c r="G280" s="2334"/>
      <c r="H280" s="2334"/>
      <c r="I280" s="2334"/>
      <c r="J280" s="2334"/>
      <c r="K280" s="2334"/>
      <c r="L280" s="2334"/>
      <c r="M280" s="2334"/>
      <c r="N280" s="2334"/>
      <c r="O280" s="2334"/>
      <c r="P280" s="2324"/>
      <c r="Q280" s="2324"/>
      <c r="R280" s="2325"/>
      <c r="S280" s="2324"/>
      <c r="T280" s="2324"/>
      <c r="U280" s="2326"/>
      <c r="V280" s="2327"/>
      <c r="W280" s="2327"/>
      <c r="X280" s="2327"/>
      <c r="Y280" s="2327"/>
      <c r="Z280" s="2327"/>
      <c r="AA280" s="2328"/>
      <c r="AB280" s="2329"/>
      <c r="AC280" s="2326"/>
      <c r="AD280" s="2330">
        <f t="shared" ref="AD280:AD287" si="156">((P280*U280)-AM280)</f>
        <v>0</v>
      </c>
      <c r="AE280" s="2330"/>
      <c r="AF280" s="2330"/>
      <c r="AG280" s="2330">
        <f t="shared" si="150"/>
        <v>0</v>
      </c>
      <c r="AH280" s="2330"/>
      <c r="AI280" s="2330"/>
      <c r="AJ280" s="2330">
        <f t="shared" ref="AJ280:AJ287" si="157">P280*AA280</f>
        <v>0</v>
      </c>
      <c r="AK280" s="2330"/>
      <c r="AL280" s="2330"/>
      <c r="AM280" s="2331">
        <f t="shared" si="145"/>
        <v>0</v>
      </c>
      <c r="AN280" s="2331"/>
      <c r="AO280" s="2331"/>
      <c r="AP280" s="2331"/>
      <c r="AQ280" s="2332">
        <f t="shared" ref="AQ280:AQ287" si="158">SUM(AD280:AL280)</f>
        <v>0</v>
      </c>
      <c r="AR280" s="2332"/>
      <c r="AS280" s="2332"/>
      <c r="AT280" s="2332"/>
      <c r="AV280" s="151" t="str">
        <f t="shared" si="140"/>
        <v>MASONRY</v>
      </c>
      <c r="AW280" s="681"/>
      <c r="AX280" s="230"/>
      <c r="AY280" s="230"/>
      <c r="AZ280" s="679"/>
      <c r="BA280" s="49">
        <f t="shared" ref="BA280:BA287" si="159">AD280</f>
        <v>0</v>
      </c>
      <c r="BB280" s="49">
        <f t="shared" ref="BB280:BB287" si="160">AG280</f>
        <v>0</v>
      </c>
      <c r="BC280" s="49">
        <f t="shared" ref="BC280:BC287" si="161">AJ280</f>
        <v>0</v>
      </c>
      <c r="BD280" s="49">
        <f t="shared" ref="BD280:BD287" si="162">IF(B280="x",1,0)</f>
        <v>0</v>
      </c>
      <c r="BE280" s="49">
        <f t="shared" ref="BE280:BE285" si="163">SUM(BA280:BC280)</f>
        <v>0</v>
      </c>
      <c r="BF280" s="49">
        <f t="shared" ref="BF280:BF287" si="164">AQ280</f>
        <v>0</v>
      </c>
      <c r="BG280" s="49">
        <f t="shared" ref="BG280:BG287" si="165">AM280</f>
        <v>0</v>
      </c>
      <c r="BI280" s="134">
        <f t="shared" ref="BI280:BI287" si="166">AD280</f>
        <v>0</v>
      </c>
      <c r="BJ280" s="134">
        <f t="shared" ref="BJ280:BJ287" si="167">AM280</f>
        <v>0</v>
      </c>
      <c r="BK280" s="134">
        <f t="shared" ref="BK280:BK287" si="168">BJ280+BI280</f>
        <v>0</v>
      </c>
    </row>
    <row r="281" spans="1:63" hidden="1">
      <c r="A281" s="187"/>
      <c r="B281" s="2321"/>
      <c r="C281" s="2322"/>
      <c r="D281" s="2334"/>
      <c r="E281" s="2334"/>
      <c r="F281" s="2334"/>
      <c r="G281" s="2334"/>
      <c r="H281" s="2334"/>
      <c r="I281" s="2334"/>
      <c r="J281" s="2334"/>
      <c r="K281" s="2334"/>
      <c r="L281" s="2334"/>
      <c r="M281" s="2334"/>
      <c r="N281" s="2334"/>
      <c r="O281" s="2334"/>
      <c r="P281" s="2324"/>
      <c r="Q281" s="2324"/>
      <c r="R281" s="2325"/>
      <c r="S281" s="2324"/>
      <c r="T281" s="2324"/>
      <c r="U281" s="2326"/>
      <c r="V281" s="2327"/>
      <c r="W281" s="2327"/>
      <c r="X281" s="2327"/>
      <c r="Y281" s="2327"/>
      <c r="Z281" s="2327"/>
      <c r="AA281" s="2328"/>
      <c r="AB281" s="2329"/>
      <c r="AC281" s="2326"/>
      <c r="AD281" s="2330">
        <f t="shared" si="156"/>
        <v>0</v>
      </c>
      <c r="AE281" s="2330"/>
      <c r="AF281" s="2330"/>
      <c r="AG281" s="2330">
        <f t="shared" si="150"/>
        <v>0</v>
      </c>
      <c r="AH281" s="2330"/>
      <c r="AI281" s="2330"/>
      <c r="AJ281" s="2330">
        <f t="shared" si="157"/>
        <v>0</v>
      </c>
      <c r="AK281" s="2330"/>
      <c r="AL281" s="2330"/>
      <c r="AM281" s="2331">
        <f t="shared" si="145"/>
        <v>0</v>
      </c>
      <c r="AN281" s="2331"/>
      <c r="AO281" s="2331"/>
      <c r="AP281" s="2331"/>
      <c r="AQ281" s="2332">
        <f t="shared" si="158"/>
        <v>0</v>
      </c>
      <c r="AR281" s="2332"/>
      <c r="AS281" s="2332"/>
      <c r="AT281" s="2332"/>
      <c r="AV281" s="151" t="str">
        <f t="shared" si="140"/>
        <v>MASONRY</v>
      </c>
      <c r="AW281" s="681"/>
      <c r="AX281" s="230"/>
      <c r="AY281" s="230"/>
      <c r="AZ281" s="679"/>
      <c r="BA281" s="49">
        <f t="shared" si="159"/>
        <v>0</v>
      </c>
      <c r="BB281" s="49">
        <f t="shared" si="160"/>
        <v>0</v>
      </c>
      <c r="BC281" s="49">
        <f t="shared" si="161"/>
        <v>0</v>
      </c>
      <c r="BD281" s="49">
        <f t="shared" si="162"/>
        <v>0</v>
      </c>
      <c r="BE281" s="49">
        <f t="shared" si="163"/>
        <v>0</v>
      </c>
      <c r="BF281" s="49">
        <f t="shared" si="164"/>
        <v>0</v>
      </c>
      <c r="BG281" s="49">
        <f t="shared" si="165"/>
        <v>0</v>
      </c>
      <c r="BI281" s="134">
        <f t="shared" si="166"/>
        <v>0</v>
      </c>
      <c r="BJ281" s="134">
        <f t="shared" si="167"/>
        <v>0</v>
      </c>
      <c r="BK281" s="134">
        <f t="shared" si="168"/>
        <v>0</v>
      </c>
    </row>
    <row r="282" spans="1:63" hidden="1">
      <c r="A282" s="187"/>
      <c r="B282" s="2321"/>
      <c r="C282" s="2322"/>
      <c r="D282" s="2334"/>
      <c r="E282" s="2334"/>
      <c r="F282" s="2334"/>
      <c r="G282" s="2334"/>
      <c r="H282" s="2334"/>
      <c r="I282" s="2334"/>
      <c r="J282" s="2334"/>
      <c r="K282" s="2334"/>
      <c r="L282" s="2334"/>
      <c r="M282" s="2334"/>
      <c r="N282" s="2334"/>
      <c r="O282" s="2334"/>
      <c r="P282" s="2324"/>
      <c r="Q282" s="2324"/>
      <c r="R282" s="2325"/>
      <c r="S282" s="2324"/>
      <c r="T282" s="2324"/>
      <c r="U282" s="2326"/>
      <c r="V282" s="2327"/>
      <c r="W282" s="2327"/>
      <c r="X282" s="2327"/>
      <c r="Y282" s="2327"/>
      <c r="Z282" s="2327"/>
      <c r="AA282" s="2328"/>
      <c r="AB282" s="2329"/>
      <c r="AC282" s="2326"/>
      <c r="AD282" s="2330">
        <f t="shared" si="156"/>
        <v>0</v>
      </c>
      <c r="AE282" s="2330"/>
      <c r="AF282" s="2330"/>
      <c r="AG282" s="2330">
        <f t="shared" si="150"/>
        <v>0</v>
      </c>
      <c r="AH282" s="2330"/>
      <c r="AI282" s="2330"/>
      <c r="AJ282" s="2330">
        <f t="shared" si="157"/>
        <v>0</v>
      </c>
      <c r="AK282" s="2330"/>
      <c r="AL282" s="2330"/>
      <c r="AM282" s="2331">
        <f t="shared" si="145"/>
        <v>0</v>
      </c>
      <c r="AN282" s="2331"/>
      <c r="AO282" s="2331"/>
      <c r="AP282" s="2331"/>
      <c r="AQ282" s="2332">
        <f t="shared" si="158"/>
        <v>0</v>
      </c>
      <c r="AR282" s="2332"/>
      <c r="AS282" s="2332"/>
      <c r="AT282" s="2332"/>
      <c r="AV282" s="151" t="str">
        <f t="shared" si="140"/>
        <v>MASONRY</v>
      </c>
      <c r="AW282" s="681"/>
      <c r="AX282" s="230"/>
      <c r="AY282" s="230"/>
      <c r="AZ282" s="679"/>
      <c r="BA282" s="49">
        <f t="shared" si="159"/>
        <v>0</v>
      </c>
      <c r="BB282" s="49">
        <f t="shared" si="160"/>
        <v>0</v>
      </c>
      <c r="BC282" s="49">
        <f t="shared" si="161"/>
        <v>0</v>
      </c>
      <c r="BD282" s="49">
        <f t="shared" si="162"/>
        <v>0</v>
      </c>
      <c r="BE282" s="49">
        <f t="shared" si="163"/>
        <v>0</v>
      </c>
      <c r="BF282" s="49">
        <f t="shared" si="164"/>
        <v>0</v>
      </c>
      <c r="BG282" s="49">
        <f t="shared" si="165"/>
        <v>0</v>
      </c>
      <c r="BI282" s="134">
        <f t="shared" si="166"/>
        <v>0</v>
      </c>
      <c r="BJ282" s="134">
        <f t="shared" si="167"/>
        <v>0</v>
      </c>
      <c r="BK282" s="134">
        <f t="shared" si="168"/>
        <v>0</v>
      </c>
    </row>
    <row r="283" spans="1:63" hidden="1">
      <c r="A283" s="187"/>
      <c r="B283" s="2321"/>
      <c r="C283" s="2322"/>
      <c r="D283" s="2334"/>
      <c r="E283" s="2334"/>
      <c r="F283" s="2334"/>
      <c r="G283" s="2334"/>
      <c r="H283" s="2334"/>
      <c r="I283" s="2334"/>
      <c r="J283" s="2334"/>
      <c r="K283" s="2334"/>
      <c r="L283" s="2334"/>
      <c r="M283" s="2334"/>
      <c r="N283" s="2334"/>
      <c r="O283" s="2334"/>
      <c r="P283" s="2324"/>
      <c r="Q283" s="2324"/>
      <c r="R283" s="2325"/>
      <c r="S283" s="2324"/>
      <c r="T283" s="2324"/>
      <c r="U283" s="2326"/>
      <c r="V283" s="2327"/>
      <c r="W283" s="2327"/>
      <c r="X283" s="2327"/>
      <c r="Y283" s="2327"/>
      <c r="Z283" s="2327"/>
      <c r="AA283" s="2328"/>
      <c r="AB283" s="2329"/>
      <c r="AC283" s="2326"/>
      <c r="AD283" s="2330">
        <f t="shared" si="156"/>
        <v>0</v>
      </c>
      <c r="AE283" s="2330"/>
      <c r="AF283" s="2330"/>
      <c r="AG283" s="2330">
        <f t="shared" si="150"/>
        <v>0</v>
      </c>
      <c r="AH283" s="2330"/>
      <c r="AI283" s="2330"/>
      <c r="AJ283" s="2330">
        <f t="shared" si="157"/>
        <v>0</v>
      </c>
      <c r="AK283" s="2330"/>
      <c r="AL283" s="2330"/>
      <c r="AM283" s="2331">
        <f t="shared" si="145"/>
        <v>0</v>
      </c>
      <c r="AN283" s="2331"/>
      <c r="AO283" s="2331"/>
      <c r="AP283" s="2331"/>
      <c r="AQ283" s="2332">
        <f t="shared" si="158"/>
        <v>0</v>
      </c>
      <c r="AR283" s="2332"/>
      <c r="AS283" s="2332"/>
      <c r="AT283" s="2332"/>
      <c r="AV283" s="151" t="str">
        <f t="shared" si="140"/>
        <v>MASONRY</v>
      </c>
      <c r="AW283" s="681"/>
      <c r="AX283" s="230"/>
      <c r="AY283" s="230"/>
      <c r="AZ283" s="679"/>
      <c r="BA283" s="49">
        <f t="shared" si="159"/>
        <v>0</v>
      </c>
      <c r="BB283" s="49">
        <f t="shared" si="160"/>
        <v>0</v>
      </c>
      <c r="BC283" s="49">
        <f t="shared" si="161"/>
        <v>0</v>
      </c>
      <c r="BD283" s="49">
        <f t="shared" si="162"/>
        <v>0</v>
      </c>
      <c r="BE283" s="49">
        <f t="shared" si="163"/>
        <v>0</v>
      </c>
      <c r="BF283" s="49">
        <f t="shared" si="164"/>
        <v>0</v>
      </c>
      <c r="BG283" s="49">
        <f t="shared" si="165"/>
        <v>0</v>
      </c>
      <c r="BI283" s="134">
        <f t="shared" si="166"/>
        <v>0</v>
      </c>
      <c r="BJ283" s="134">
        <f t="shared" si="167"/>
        <v>0</v>
      </c>
      <c r="BK283" s="134">
        <f t="shared" si="168"/>
        <v>0</v>
      </c>
    </row>
    <row r="284" spans="1:63" hidden="1">
      <c r="A284" s="187"/>
      <c r="B284" s="2333"/>
      <c r="C284" s="2333"/>
      <c r="D284" s="2334"/>
      <c r="E284" s="2334"/>
      <c r="F284" s="2334"/>
      <c r="G284" s="2334"/>
      <c r="H284" s="2334"/>
      <c r="I284" s="2334"/>
      <c r="J284" s="2334"/>
      <c r="K284" s="2334"/>
      <c r="L284" s="2334"/>
      <c r="M284" s="2334"/>
      <c r="N284" s="2334"/>
      <c r="O284" s="2334"/>
      <c r="P284" s="2324"/>
      <c r="Q284" s="2324"/>
      <c r="R284" s="2325"/>
      <c r="S284" s="2324"/>
      <c r="T284" s="2324"/>
      <c r="U284" s="2326"/>
      <c r="V284" s="2327"/>
      <c r="W284" s="2327"/>
      <c r="X284" s="2327"/>
      <c r="Y284" s="2327"/>
      <c r="Z284" s="2327"/>
      <c r="AA284" s="2328"/>
      <c r="AB284" s="2329"/>
      <c r="AC284" s="2326"/>
      <c r="AD284" s="2330">
        <f t="shared" si="156"/>
        <v>0</v>
      </c>
      <c r="AE284" s="2330"/>
      <c r="AF284" s="2330"/>
      <c r="AG284" s="2330">
        <f t="shared" si="150"/>
        <v>0</v>
      </c>
      <c r="AH284" s="2330"/>
      <c r="AI284" s="2330"/>
      <c r="AJ284" s="2330">
        <f t="shared" si="157"/>
        <v>0</v>
      </c>
      <c r="AK284" s="2330"/>
      <c r="AL284" s="2330"/>
      <c r="AM284" s="2331">
        <f t="shared" si="145"/>
        <v>0</v>
      </c>
      <c r="AN284" s="2331"/>
      <c r="AO284" s="2331"/>
      <c r="AP284" s="2331"/>
      <c r="AQ284" s="2332">
        <f t="shared" si="158"/>
        <v>0</v>
      </c>
      <c r="AR284" s="2332"/>
      <c r="AS284" s="2332"/>
      <c r="AT284" s="2332"/>
      <c r="AV284" s="151" t="str">
        <f t="shared" si="140"/>
        <v>MASONRY</v>
      </c>
      <c r="AW284" s="681"/>
      <c r="AX284" s="230"/>
      <c r="AY284" s="230"/>
      <c r="AZ284" s="679"/>
      <c r="BA284" s="49">
        <f t="shared" si="159"/>
        <v>0</v>
      </c>
      <c r="BB284" s="49">
        <f t="shared" si="160"/>
        <v>0</v>
      </c>
      <c r="BC284" s="49">
        <f t="shared" si="161"/>
        <v>0</v>
      </c>
      <c r="BD284" s="49">
        <f t="shared" si="162"/>
        <v>0</v>
      </c>
      <c r="BE284" s="49">
        <f t="shared" si="163"/>
        <v>0</v>
      </c>
      <c r="BF284" s="49">
        <f t="shared" si="164"/>
        <v>0</v>
      </c>
      <c r="BG284" s="49">
        <f t="shared" si="165"/>
        <v>0</v>
      </c>
      <c r="BI284" s="134">
        <f t="shared" si="166"/>
        <v>0</v>
      </c>
      <c r="BJ284" s="134">
        <f t="shared" si="167"/>
        <v>0</v>
      </c>
      <c r="BK284" s="134">
        <f t="shared" si="168"/>
        <v>0</v>
      </c>
    </row>
    <row r="285" spans="1:63" hidden="1">
      <c r="A285" s="187"/>
      <c r="B285" s="2321"/>
      <c r="C285" s="2322"/>
      <c r="D285" s="2349"/>
      <c r="E285" s="2349"/>
      <c r="F285" s="2349"/>
      <c r="G285" s="2349"/>
      <c r="H285" s="2349"/>
      <c r="I285" s="2349"/>
      <c r="J285" s="2349"/>
      <c r="K285" s="2349"/>
      <c r="L285" s="2349"/>
      <c r="M285" s="2349"/>
      <c r="N285" s="2349"/>
      <c r="O285" s="2349"/>
      <c r="P285" s="2324"/>
      <c r="Q285" s="2324"/>
      <c r="R285" s="2325"/>
      <c r="S285" s="2324"/>
      <c r="T285" s="2324"/>
      <c r="U285" s="2326"/>
      <c r="V285" s="2327"/>
      <c r="W285" s="2327"/>
      <c r="X285" s="2327"/>
      <c r="Y285" s="2327"/>
      <c r="Z285" s="2327"/>
      <c r="AA285" s="2328"/>
      <c r="AB285" s="2329"/>
      <c r="AC285" s="2326"/>
      <c r="AD285" s="2330">
        <f t="shared" si="156"/>
        <v>0</v>
      </c>
      <c r="AE285" s="2330"/>
      <c r="AF285" s="2330"/>
      <c r="AG285" s="2330">
        <f t="shared" si="150"/>
        <v>0</v>
      </c>
      <c r="AH285" s="2330"/>
      <c r="AI285" s="2330"/>
      <c r="AJ285" s="2330">
        <f t="shared" si="157"/>
        <v>0</v>
      </c>
      <c r="AK285" s="2330"/>
      <c r="AL285" s="2330"/>
      <c r="AM285" s="2331">
        <f t="shared" si="145"/>
        <v>0</v>
      </c>
      <c r="AN285" s="2331"/>
      <c r="AO285" s="2331"/>
      <c r="AP285" s="2331"/>
      <c r="AQ285" s="2332">
        <f t="shared" si="158"/>
        <v>0</v>
      </c>
      <c r="AR285" s="2332"/>
      <c r="AS285" s="2332"/>
      <c r="AT285" s="2332"/>
      <c r="AV285" s="151" t="str">
        <f t="shared" si="140"/>
        <v>MASONRY</v>
      </c>
      <c r="AW285" s="681"/>
      <c r="AX285" s="230"/>
      <c r="AY285" s="230"/>
      <c r="AZ285" s="679"/>
      <c r="BA285" s="49">
        <f t="shared" si="159"/>
        <v>0</v>
      </c>
      <c r="BB285" s="49">
        <f t="shared" si="160"/>
        <v>0</v>
      </c>
      <c r="BC285" s="49">
        <f t="shared" si="161"/>
        <v>0</v>
      </c>
      <c r="BD285" s="49">
        <f t="shared" si="162"/>
        <v>0</v>
      </c>
      <c r="BE285" s="49">
        <f t="shared" si="163"/>
        <v>0</v>
      </c>
      <c r="BF285" s="49">
        <f t="shared" si="164"/>
        <v>0</v>
      </c>
      <c r="BG285" s="49">
        <f t="shared" si="165"/>
        <v>0</v>
      </c>
      <c r="BI285" s="134">
        <f t="shared" si="166"/>
        <v>0</v>
      </c>
      <c r="BJ285" s="134">
        <f t="shared" si="167"/>
        <v>0</v>
      </c>
      <c r="BK285" s="134">
        <f t="shared" si="168"/>
        <v>0</v>
      </c>
    </row>
    <row r="286" spans="1:63" hidden="1">
      <c r="A286" s="187"/>
      <c r="B286" s="2321"/>
      <c r="C286" s="2322"/>
      <c r="D286" s="2334"/>
      <c r="E286" s="2334"/>
      <c r="F286" s="2334"/>
      <c r="G286" s="2334"/>
      <c r="H286" s="2334"/>
      <c r="I286" s="2334"/>
      <c r="J286" s="2334"/>
      <c r="K286" s="2334"/>
      <c r="L286" s="2334"/>
      <c r="M286" s="2334"/>
      <c r="N286" s="2334"/>
      <c r="O286" s="2334"/>
      <c r="P286" s="2324"/>
      <c r="Q286" s="2324"/>
      <c r="R286" s="2325"/>
      <c r="S286" s="2324"/>
      <c r="T286" s="2324"/>
      <c r="U286" s="2326"/>
      <c r="V286" s="2327"/>
      <c r="W286" s="2327"/>
      <c r="X286" s="2327"/>
      <c r="Y286" s="2327"/>
      <c r="Z286" s="2327"/>
      <c r="AA286" s="2328"/>
      <c r="AB286" s="2329"/>
      <c r="AC286" s="2326"/>
      <c r="AD286" s="2330">
        <f t="shared" si="156"/>
        <v>0</v>
      </c>
      <c r="AE286" s="2330"/>
      <c r="AF286" s="2330"/>
      <c r="AG286" s="2330">
        <f t="shared" si="150"/>
        <v>0</v>
      </c>
      <c r="AH286" s="2330"/>
      <c r="AI286" s="2330"/>
      <c r="AJ286" s="2330">
        <f t="shared" si="157"/>
        <v>0</v>
      </c>
      <c r="AK286" s="2330"/>
      <c r="AL286" s="2330"/>
      <c r="AM286" s="2331">
        <f t="shared" si="145"/>
        <v>0</v>
      </c>
      <c r="AN286" s="2331"/>
      <c r="AO286" s="2331"/>
      <c r="AP286" s="2331"/>
      <c r="AQ286" s="2332">
        <f t="shared" si="158"/>
        <v>0</v>
      </c>
      <c r="AR286" s="2332"/>
      <c r="AS286" s="2332"/>
      <c r="AT286" s="2332"/>
      <c r="AV286" s="151" t="str">
        <f t="shared" si="140"/>
        <v>MASONRY</v>
      </c>
      <c r="AW286" s="681"/>
      <c r="AX286" s="230"/>
      <c r="AY286" s="230"/>
      <c r="AZ286" s="679"/>
      <c r="BA286" s="49">
        <f t="shared" si="159"/>
        <v>0</v>
      </c>
      <c r="BB286" s="49">
        <f t="shared" si="160"/>
        <v>0</v>
      </c>
      <c r="BC286" s="49">
        <f t="shared" si="161"/>
        <v>0</v>
      </c>
      <c r="BD286" s="49">
        <f t="shared" si="162"/>
        <v>0</v>
      </c>
      <c r="BE286" s="49">
        <f>SUM(BA286:BC286)</f>
        <v>0</v>
      </c>
      <c r="BF286" s="49">
        <f t="shared" si="164"/>
        <v>0</v>
      </c>
      <c r="BG286" s="49">
        <f t="shared" si="165"/>
        <v>0</v>
      </c>
      <c r="BI286" s="134">
        <f t="shared" si="166"/>
        <v>0</v>
      </c>
      <c r="BJ286" s="134">
        <f t="shared" si="167"/>
        <v>0</v>
      </c>
      <c r="BK286" s="134">
        <f t="shared" si="168"/>
        <v>0</v>
      </c>
    </row>
    <row r="287" spans="1:63" hidden="1">
      <c r="A287" s="187"/>
      <c r="B287" s="2321"/>
      <c r="C287" s="2322"/>
      <c r="D287" s="2334"/>
      <c r="E287" s="2334"/>
      <c r="F287" s="2334"/>
      <c r="G287" s="2334"/>
      <c r="H287" s="2334"/>
      <c r="I287" s="2334"/>
      <c r="J287" s="2334"/>
      <c r="K287" s="2334"/>
      <c r="L287" s="2334"/>
      <c r="M287" s="2334"/>
      <c r="N287" s="2334"/>
      <c r="O287" s="2334"/>
      <c r="P287" s="2324"/>
      <c r="Q287" s="2324"/>
      <c r="R287" s="2325"/>
      <c r="S287" s="2324"/>
      <c r="T287" s="2324"/>
      <c r="U287" s="2326"/>
      <c r="V287" s="2327"/>
      <c r="W287" s="2327"/>
      <c r="X287" s="2327"/>
      <c r="Y287" s="2327"/>
      <c r="Z287" s="2327"/>
      <c r="AA287" s="2328"/>
      <c r="AB287" s="2329"/>
      <c r="AC287" s="2326"/>
      <c r="AD287" s="2330">
        <f t="shared" si="156"/>
        <v>0</v>
      </c>
      <c r="AE287" s="2330"/>
      <c r="AF287" s="2330"/>
      <c r="AG287" s="2330">
        <f t="shared" si="150"/>
        <v>0</v>
      </c>
      <c r="AH287" s="2330"/>
      <c r="AI287" s="2330"/>
      <c r="AJ287" s="2330">
        <f t="shared" si="157"/>
        <v>0</v>
      </c>
      <c r="AK287" s="2330"/>
      <c r="AL287" s="2330"/>
      <c r="AM287" s="2331">
        <f t="shared" si="145"/>
        <v>0</v>
      </c>
      <c r="AN287" s="2331"/>
      <c r="AO287" s="2331"/>
      <c r="AP287" s="2331"/>
      <c r="AQ287" s="2332">
        <f t="shared" si="158"/>
        <v>0</v>
      </c>
      <c r="AR287" s="2332"/>
      <c r="AS287" s="2332"/>
      <c r="AT287" s="2332"/>
      <c r="AV287" s="151" t="str">
        <f t="shared" si="140"/>
        <v>MASONRY</v>
      </c>
      <c r="AW287" s="681"/>
      <c r="AX287" s="230"/>
      <c r="AY287" s="230"/>
      <c r="AZ287" s="679"/>
      <c r="BA287" s="49">
        <f t="shared" si="159"/>
        <v>0</v>
      </c>
      <c r="BB287" s="49">
        <f t="shared" si="160"/>
        <v>0</v>
      </c>
      <c r="BC287" s="49">
        <f t="shared" si="161"/>
        <v>0</v>
      </c>
      <c r="BD287" s="49">
        <f t="shared" si="162"/>
        <v>0</v>
      </c>
      <c r="BE287" s="49">
        <f>SUM(BA287:BC287)</f>
        <v>0</v>
      </c>
      <c r="BF287" s="49">
        <f t="shared" si="164"/>
        <v>0</v>
      </c>
      <c r="BG287" s="49">
        <f t="shared" si="165"/>
        <v>0</v>
      </c>
      <c r="BI287" s="134">
        <f t="shared" si="166"/>
        <v>0</v>
      </c>
      <c r="BJ287" s="134">
        <f t="shared" si="167"/>
        <v>0</v>
      </c>
      <c r="BK287" s="134">
        <f t="shared" si="168"/>
        <v>0</v>
      </c>
    </row>
    <row r="288" spans="1:63" hidden="1">
      <c r="A288" s="187"/>
      <c r="B288" s="2321"/>
      <c r="C288" s="2322"/>
      <c r="D288" s="2334"/>
      <c r="E288" s="2334"/>
      <c r="F288" s="2334"/>
      <c r="G288" s="2334"/>
      <c r="H288" s="2334"/>
      <c r="I288" s="2334"/>
      <c r="J288" s="2334"/>
      <c r="K288" s="2334"/>
      <c r="L288" s="2334"/>
      <c r="M288" s="2334"/>
      <c r="N288" s="2334"/>
      <c r="O288" s="2334"/>
      <c r="P288" s="2324"/>
      <c r="Q288" s="2324"/>
      <c r="R288" s="2325"/>
      <c r="S288" s="2324"/>
      <c r="T288" s="2324"/>
      <c r="U288" s="2326"/>
      <c r="V288" s="2327"/>
      <c r="W288" s="2327"/>
      <c r="X288" s="2327"/>
      <c r="Y288" s="2327"/>
      <c r="Z288" s="2327"/>
      <c r="AA288" s="2328"/>
      <c r="AB288" s="2329"/>
      <c r="AC288" s="2326"/>
      <c r="AD288" s="2330">
        <f t="shared" si="143"/>
        <v>0</v>
      </c>
      <c r="AE288" s="2330"/>
      <c r="AF288" s="2330"/>
      <c r="AG288" s="2330">
        <f t="shared" si="150"/>
        <v>0</v>
      </c>
      <c r="AH288" s="2330"/>
      <c r="AI288" s="2330"/>
      <c r="AJ288" s="2330">
        <f t="shared" si="144"/>
        <v>0</v>
      </c>
      <c r="AK288" s="2330"/>
      <c r="AL288" s="2330"/>
      <c r="AM288" s="2331">
        <f t="shared" si="145"/>
        <v>0</v>
      </c>
      <c r="AN288" s="2331"/>
      <c r="AO288" s="2331"/>
      <c r="AP288" s="2331"/>
      <c r="AQ288" s="2332">
        <f t="shared" si="146"/>
        <v>0</v>
      </c>
      <c r="AR288" s="2332"/>
      <c r="AS288" s="2332"/>
      <c r="AT288" s="2332"/>
      <c r="AV288" s="151" t="str">
        <f t="shared" si="140"/>
        <v>MASONRY</v>
      </c>
      <c r="AW288" s="681"/>
      <c r="AX288" s="230"/>
      <c r="AY288" s="230"/>
      <c r="AZ288" s="679"/>
      <c r="BA288" s="49">
        <f t="shared" si="147"/>
        <v>0</v>
      </c>
      <c r="BB288" s="49">
        <f t="shared" si="151"/>
        <v>0</v>
      </c>
      <c r="BC288" s="49">
        <f t="shared" si="152"/>
        <v>0</v>
      </c>
      <c r="BD288" s="49">
        <f t="shared" si="148"/>
        <v>0</v>
      </c>
      <c r="BE288" s="49">
        <f t="shared" si="153"/>
        <v>0</v>
      </c>
      <c r="BF288" s="49">
        <f t="shared" si="141"/>
        <v>0</v>
      </c>
      <c r="BG288" s="49">
        <f t="shared" si="142"/>
        <v>0</v>
      </c>
      <c r="BI288" s="134">
        <f t="shared" si="154"/>
        <v>0</v>
      </c>
      <c r="BJ288" s="134">
        <f t="shared" si="149"/>
        <v>0</v>
      </c>
      <c r="BK288" s="134">
        <f t="shared" si="155"/>
        <v>0</v>
      </c>
    </row>
    <row r="289" spans="1:63" hidden="1">
      <c r="A289" s="187"/>
      <c r="B289" s="2321"/>
      <c r="C289" s="2322"/>
      <c r="D289" s="2334"/>
      <c r="E289" s="2334"/>
      <c r="F289" s="2334"/>
      <c r="G289" s="2334"/>
      <c r="H289" s="2334"/>
      <c r="I289" s="2334"/>
      <c r="J289" s="2334"/>
      <c r="K289" s="2334"/>
      <c r="L289" s="2334"/>
      <c r="M289" s="2334"/>
      <c r="N289" s="2334"/>
      <c r="O289" s="2334"/>
      <c r="P289" s="2324"/>
      <c r="Q289" s="2324"/>
      <c r="R289" s="2325"/>
      <c r="S289" s="2324"/>
      <c r="T289" s="2324"/>
      <c r="U289" s="2326"/>
      <c r="V289" s="2327"/>
      <c r="W289" s="2327"/>
      <c r="X289" s="2327"/>
      <c r="Y289" s="2327"/>
      <c r="Z289" s="2327"/>
      <c r="AA289" s="2328"/>
      <c r="AB289" s="2329"/>
      <c r="AC289" s="2326"/>
      <c r="AD289" s="2330">
        <f t="shared" si="143"/>
        <v>0</v>
      </c>
      <c r="AE289" s="2330"/>
      <c r="AF289" s="2330"/>
      <c r="AG289" s="2330">
        <f t="shared" si="150"/>
        <v>0</v>
      </c>
      <c r="AH289" s="2330"/>
      <c r="AI289" s="2330"/>
      <c r="AJ289" s="2330">
        <f t="shared" si="144"/>
        <v>0</v>
      </c>
      <c r="AK289" s="2330"/>
      <c r="AL289" s="2330"/>
      <c r="AM289" s="2331">
        <f t="shared" si="145"/>
        <v>0</v>
      </c>
      <c r="AN289" s="2331"/>
      <c r="AO289" s="2331"/>
      <c r="AP289" s="2331"/>
      <c r="AQ289" s="2332">
        <f t="shared" si="146"/>
        <v>0</v>
      </c>
      <c r="AR289" s="2332"/>
      <c r="AS289" s="2332"/>
      <c r="AT289" s="2332"/>
      <c r="AV289" s="151" t="str">
        <f t="shared" si="140"/>
        <v>MASONRY</v>
      </c>
      <c r="AW289" s="681"/>
      <c r="AX289" s="230"/>
      <c r="AY289" s="230"/>
      <c r="AZ289" s="679"/>
      <c r="BA289" s="49">
        <f t="shared" si="147"/>
        <v>0</v>
      </c>
      <c r="BB289" s="49">
        <f t="shared" si="151"/>
        <v>0</v>
      </c>
      <c r="BC289" s="49">
        <f t="shared" si="152"/>
        <v>0</v>
      </c>
      <c r="BD289" s="49">
        <f t="shared" si="148"/>
        <v>0</v>
      </c>
      <c r="BE289" s="49">
        <f t="shared" si="153"/>
        <v>0</v>
      </c>
      <c r="BF289" s="49">
        <f t="shared" si="141"/>
        <v>0</v>
      </c>
      <c r="BG289" s="49">
        <f t="shared" si="142"/>
        <v>0</v>
      </c>
      <c r="BI289" s="134">
        <f t="shared" si="154"/>
        <v>0</v>
      </c>
      <c r="BJ289" s="134">
        <f t="shared" si="149"/>
        <v>0</v>
      </c>
      <c r="BK289" s="134">
        <f t="shared" si="155"/>
        <v>0</v>
      </c>
    </row>
    <row r="290" spans="1:63" hidden="1">
      <c r="A290" s="187"/>
      <c r="B290" s="2321"/>
      <c r="C290" s="2322"/>
      <c r="D290" s="2334"/>
      <c r="E290" s="2334"/>
      <c r="F290" s="2334"/>
      <c r="G290" s="2334"/>
      <c r="H290" s="2334"/>
      <c r="I290" s="2334"/>
      <c r="J290" s="2334"/>
      <c r="K290" s="2334"/>
      <c r="L290" s="2334"/>
      <c r="M290" s="2334"/>
      <c r="N290" s="2334"/>
      <c r="O290" s="2334"/>
      <c r="P290" s="2324"/>
      <c r="Q290" s="2324"/>
      <c r="R290" s="2325"/>
      <c r="S290" s="2324"/>
      <c r="T290" s="2324"/>
      <c r="U290" s="2326"/>
      <c r="V290" s="2327"/>
      <c r="W290" s="2327"/>
      <c r="X290" s="2327"/>
      <c r="Y290" s="2327"/>
      <c r="Z290" s="2327"/>
      <c r="AA290" s="2328"/>
      <c r="AB290" s="2329"/>
      <c r="AC290" s="2326"/>
      <c r="AD290" s="2330">
        <f t="shared" si="143"/>
        <v>0</v>
      </c>
      <c r="AE290" s="2330"/>
      <c r="AF290" s="2330"/>
      <c r="AG290" s="2330">
        <f t="shared" si="150"/>
        <v>0</v>
      </c>
      <c r="AH290" s="2330"/>
      <c r="AI290" s="2330"/>
      <c r="AJ290" s="2330">
        <f t="shared" si="144"/>
        <v>0</v>
      </c>
      <c r="AK290" s="2330"/>
      <c r="AL290" s="2330"/>
      <c r="AM290" s="2331">
        <f t="shared" si="145"/>
        <v>0</v>
      </c>
      <c r="AN290" s="2331"/>
      <c r="AO290" s="2331"/>
      <c r="AP290" s="2331"/>
      <c r="AQ290" s="2332">
        <f t="shared" si="146"/>
        <v>0</v>
      </c>
      <c r="AR290" s="2332"/>
      <c r="AS290" s="2332"/>
      <c r="AT290" s="2332"/>
      <c r="AV290" s="151" t="str">
        <f t="shared" si="140"/>
        <v>MASONRY</v>
      </c>
      <c r="AW290" s="681"/>
      <c r="AX290" s="230"/>
      <c r="AY290" s="230"/>
      <c r="AZ290" s="679"/>
      <c r="BA290" s="49">
        <f t="shared" si="147"/>
        <v>0</v>
      </c>
      <c r="BB290" s="49">
        <f t="shared" si="151"/>
        <v>0</v>
      </c>
      <c r="BC290" s="49">
        <f t="shared" si="152"/>
        <v>0</v>
      </c>
      <c r="BD290" s="49">
        <f t="shared" si="148"/>
        <v>0</v>
      </c>
      <c r="BE290" s="49">
        <f t="shared" si="153"/>
        <v>0</v>
      </c>
      <c r="BF290" s="49">
        <f t="shared" si="141"/>
        <v>0</v>
      </c>
      <c r="BG290" s="49">
        <f t="shared" si="142"/>
        <v>0</v>
      </c>
      <c r="BI290" s="134">
        <f t="shared" si="154"/>
        <v>0</v>
      </c>
      <c r="BJ290" s="134">
        <f t="shared" si="149"/>
        <v>0</v>
      </c>
      <c r="BK290" s="134">
        <f t="shared" si="155"/>
        <v>0</v>
      </c>
    </row>
    <row r="291" spans="1:63" hidden="1">
      <c r="A291" s="187"/>
      <c r="B291" s="2321"/>
      <c r="C291" s="2322"/>
      <c r="D291" s="2334"/>
      <c r="E291" s="2334"/>
      <c r="F291" s="2334"/>
      <c r="G291" s="2334"/>
      <c r="H291" s="2334"/>
      <c r="I291" s="2334"/>
      <c r="J291" s="2334"/>
      <c r="K291" s="2334"/>
      <c r="L291" s="2334"/>
      <c r="M291" s="2334"/>
      <c r="N291" s="2334"/>
      <c r="O291" s="2334"/>
      <c r="P291" s="2324"/>
      <c r="Q291" s="2324"/>
      <c r="R291" s="2325"/>
      <c r="S291" s="2324"/>
      <c r="T291" s="2324"/>
      <c r="U291" s="2326"/>
      <c r="V291" s="2327"/>
      <c r="W291" s="2327"/>
      <c r="X291" s="2327"/>
      <c r="Y291" s="2327"/>
      <c r="Z291" s="2327"/>
      <c r="AA291" s="2328"/>
      <c r="AB291" s="2329"/>
      <c r="AC291" s="2326"/>
      <c r="AD291" s="2330">
        <f t="shared" si="143"/>
        <v>0</v>
      </c>
      <c r="AE291" s="2330"/>
      <c r="AF291" s="2330"/>
      <c r="AG291" s="2330">
        <f t="shared" si="150"/>
        <v>0</v>
      </c>
      <c r="AH291" s="2330"/>
      <c r="AI291" s="2330"/>
      <c r="AJ291" s="2330">
        <f t="shared" si="144"/>
        <v>0</v>
      </c>
      <c r="AK291" s="2330"/>
      <c r="AL291" s="2330"/>
      <c r="AM291" s="2331">
        <f t="shared" si="145"/>
        <v>0</v>
      </c>
      <c r="AN291" s="2331"/>
      <c r="AO291" s="2331"/>
      <c r="AP291" s="2331"/>
      <c r="AQ291" s="2332">
        <f t="shared" si="146"/>
        <v>0</v>
      </c>
      <c r="AR291" s="2332"/>
      <c r="AS291" s="2332"/>
      <c r="AT291" s="2332"/>
      <c r="AV291" s="151" t="str">
        <f t="shared" si="140"/>
        <v>MASONRY</v>
      </c>
      <c r="AW291" s="681"/>
      <c r="AX291" s="230"/>
      <c r="AY291" s="230"/>
      <c r="AZ291" s="679"/>
      <c r="BA291" s="49">
        <f t="shared" si="147"/>
        <v>0</v>
      </c>
      <c r="BB291" s="49">
        <f t="shared" si="151"/>
        <v>0</v>
      </c>
      <c r="BC291" s="49">
        <f t="shared" si="152"/>
        <v>0</v>
      </c>
      <c r="BD291" s="49">
        <f t="shared" si="148"/>
        <v>0</v>
      </c>
      <c r="BE291" s="49">
        <f t="shared" si="153"/>
        <v>0</v>
      </c>
      <c r="BF291" s="49">
        <f t="shared" si="141"/>
        <v>0</v>
      </c>
      <c r="BG291" s="49">
        <f t="shared" si="142"/>
        <v>0</v>
      </c>
      <c r="BI291" s="134">
        <f t="shared" si="154"/>
        <v>0</v>
      </c>
      <c r="BJ291" s="134">
        <f t="shared" si="149"/>
        <v>0</v>
      </c>
      <c r="BK291" s="134">
        <f t="shared" si="155"/>
        <v>0</v>
      </c>
    </row>
    <row r="292" spans="1:63" hidden="1">
      <c r="A292" s="187"/>
      <c r="B292" s="2333"/>
      <c r="C292" s="2333"/>
      <c r="D292" s="2334"/>
      <c r="E292" s="2334"/>
      <c r="F292" s="2334"/>
      <c r="G292" s="2334"/>
      <c r="H292" s="2334"/>
      <c r="I292" s="2334"/>
      <c r="J292" s="2334"/>
      <c r="K292" s="2334"/>
      <c r="L292" s="2334"/>
      <c r="M292" s="2334"/>
      <c r="N292" s="2334"/>
      <c r="O292" s="2334"/>
      <c r="P292" s="2324"/>
      <c r="Q292" s="2324"/>
      <c r="R292" s="2325"/>
      <c r="S292" s="2324"/>
      <c r="T292" s="2324"/>
      <c r="U292" s="2326"/>
      <c r="V292" s="2327"/>
      <c r="W292" s="2327"/>
      <c r="X292" s="2327"/>
      <c r="Y292" s="2327"/>
      <c r="Z292" s="2327"/>
      <c r="AA292" s="2328"/>
      <c r="AB292" s="2329"/>
      <c r="AC292" s="2326"/>
      <c r="AD292" s="2330">
        <f t="shared" si="143"/>
        <v>0</v>
      </c>
      <c r="AE292" s="2330"/>
      <c r="AF292" s="2330"/>
      <c r="AG292" s="2330">
        <f t="shared" si="150"/>
        <v>0</v>
      </c>
      <c r="AH292" s="2330"/>
      <c r="AI292" s="2330"/>
      <c r="AJ292" s="2330">
        <f t="shared" si="144"/>
        <v>0</v>
      </c>
      <c r="AK292" s="2330"/>
      <c r="AL292" s="2330"/>
      <c r="AM292" s="2331">
        <f t="shared" si="145"/>
        <v>0</v>
      </c>
      <c r="AN292" s="2331"/>
      <c r="AO292" s="2331"/>
      <c r="AP292" s="2331"/>
      <c r="AQ292" s="2332">
        <f t="shared" si="146"/>
        <v>0</v>
      </c>
      <c r="AR292" s="2332"/>
      <c r="AS292" s="2332"/>
      <c r="AT292" s="2332"/>
      <c r="AV292" s="151" t="str">
        <f t="shared" si="140"/>
        <v>MASONRY</v>
      </c>
      <c r="AW292" s="681"/>
      <c r="AX292" s="230"/>
      <c r="AY292" s="230"/>
      <c r="AZ292" s="679"/>
      <c r="BA292" s="49">
        <f t="shared" si="147"/>
        <v>0</v>
      </c>
      <c r="BB292" s="49">
        <f t="shared" si="151"/>
        <v>0</v>
      </c>
      <c r="BC292" s="49">
        <f t="shared" si="152"/>
        <v>0</v>
      </c>
      <c r="BD292" s="49">
        <f t="shared" si="148"/>
        <v>0</v>
      </c>
      <c r="BE292" s="49">
        <f t="shared" si="153"/>
        <v>0</v>
      </c>
      <c r="BF292" s="49">
        <f t="shared" si="141"/>
        <v>0</v>
      </c>
      <c r="BG292" s="49">
        <f t="shared" si="142"/>
        <v>0</v>
      </c>
      <c r="BI292" s="134">
        <f t="shared" si="154"/>
        <v>0</v>
      </c>
      <c r="BJ292" s="134">
        <f t="shared" si="149"/>
        <v>0</v>
      </c>
      <c r="BK292" s="134">
        <f t="shared" si="155"/>
        <v>0</v>
      </c>
    </row>
    <row r="293" spans="1:63" hidden="1">
      <c r="A293" s="187"/>
      <c r="B293" s="2321"/>
      <c r="C293" s="2322"/>
      <c r="D293" s="2349"/>
      <c r="E293" s="2349"/>
      <c r="F293" s="2349"/>
      <c r="G293" s="2349"/>
      <c r="H293" s="2349"/>
      <c r="I293" s="2349"/>
      <c r="J293" s="2349"/>
      <c r="K293" s="2349"/>
      <c r="L293" s="2349"/>
      <c r="M293" s="2349"/>
      <c r="N293" s="2349"/>
      <c r="O293" s="2349"/>
      <c r="P293" s="2324"/>
      <c r="Q293" s="2324"/>
      <c r="R293" s="2325"/>
      <c r="S293" s="2324"/>
      <c r="T293" s="2324"/>
      <c r="U293" s="2326"/>
      <c r="V293" s="2327"/>
      <c r="W293" s="2327"/>
      <c r="X293" s="2327"/>
      <c r="Y293" s="2327"/>
      <c r="Z293" s="2327"/>
      <c r="AA293" s="2328"/>
      <c r="AB293" s="2329"/>
      <c r="AC293" s="2326"/>
      <c r="AD293" s="2330">
        <f t="shared" si="143"/>
        <v>0</v>
      </c>
      <c r="AE293" s="2330"/>
      <c r="AF293" s="2330"/>
      <c r="AG293" s="2330">
        <f t="shared" si="150"/>
        <v>0</v>
      </c>
      <c r="AH293" s="2330"/>
      <c r="AI293" s="2330"/>
      <c r="AJ293" s="2330">
        <f t="shared" si="144"/>
        <v>0</v>
      </c>
      <c r="AK293" s="2330"/>
      <c r="AL293" s="2330"/>
      <c r="AM293" s="2331">
        <f t="shared" si="145"/>
        <v>0</v>
      </c>
      <c r="AN293" s="2331"/>
      <c r="AO293" s="2331"/>
      <c r="AP293" s="2331"/>
      <c r="AQ293" s="2332">
        <f t="shared" si="146"/>
        <v>0</v>
      </c>
      <c r="AR293" s="2332"/>
      <c r="AS293" s="2332"/>
      <c r="AT293" s="2332"/>
      <c r="AV293" s="151" t="str">
        <f t="shared" si="140"/>
        <v>MASONRY</v>
      </c>
      <c r="AW293" s="681"/>
      <c r="AX293" s="230"/>
      <c r="AY293" s="230"/>
      <c r="AZ293" s="679"/>
      <c r="BA293" s="49">
        <f t="shared" si="147"/>
        <v>0</v>
      </c>
      <c r="BB293" s="49">
        <f t="shared" si="151"/>
        <v>0</v>
      </c>
      <c r="BC293" s="49">
        <f t="shared" si="152"/>
        <v>0</v>
      </c>
      <c r="BD293" s="49">
        <f t="shared" si="148"/>
        <v>0</v>
      </c>
      <c r="BE293" s="49">
        <f t="shared" si="153"/>
        <v>0</v>
      </c>
      <c r="BF293" s="49">
        <f t="shared" si="141"/>
        <v>0</v>
      </c>
      <c r="BG293" s="49">
        <f t="shared" si="142"/>
        <v>0</v>
      </c>
      <c r="BI293" s="134">
        <f t="shared" si="154"/>
        <v>0</v>
      </c>
      <c r="BJ293" s="134">
        <f t="shared" si="149"/>
        <v>0</v>
      </c>
      <c r="BK293" s="134">
        <f t="shared" si="155"/>
        <v>0</v>
      </c>
    </row>
    <row r="294" spans="1:63" hidden="1">
      <c r="A294" s="187"/>
      <c r="B294" s="2321"/>
      <c r="C294" s="2322"/>
      <c r="D294" s="2334"/>
      <c r="E294" s="2334"/>
      <c r="F294" s="2334"/>
      <c r="G294" s="2334"/>
      <c r="H294" s="2334"/>
      <c r="I294" s="2334"/>
      <c r="J294" s="2334"/>
      <c r="K294" s="2334"/>
      <c r="L294" s="2334"/>
      <c r="M294" s="2334"/>
      <c r="N294" s="2334"/>
      <c r="O294" s="2334"/>
      <c r="P294" s="2324"/>
      <c r="Q294" s="2324"/>
      <c r="R294" s="2325"/>
      <c r="S294" s="2324"/>
      <c r="T294" s="2324"/>
      <c r="U294" s="2326"/>
      <c r="V294" s="2327"/>
      <c r="W294" s="2327"/>
      <c r="X294" s="2327"/>
      <c r="Y294" s="2327"/>
      <c r="Z294" s="2327"/>
      <c r="AA294" s="2328"/>
      <c r="AB294" s="2329"/>
      <c r="AC294" s="2326"/>
      <c r="AD294" s="2330">
        <f t="shared" si="143"/>
        <v>0</v>
      </c>
      <c r="AE294" s="2330"/>
      <c r="AF294" s="2330"/>
      <c r="AG294" s="2330">
        <f t="shared" si="150"/>
        <v>0</v>
      </c>
      <c r="AH294" s="2330"/>
      <c r="AI294" s="2330"/>
      <c r="AJ294" s="2330">
        <f t="shared" si="144"/>
        <v>0</v>
      </c>
      <c r="AK294" s="2330"/>
      <c r="AL294" s="2330"/>
      <c r="AM294" s="2331">
        <f t="shared" si="145"/>
        <v>0</v>
      </c>
      <c r="AN294" s="2331"/>
      <c r="AO294" s="2331"/>
      <c r="AP294" s="2331"/>
      <c r="AQ294" s="2332">
        <f t="shared" si="146"/>
        <v>0</v>
      </c>
      <c r="AR294" s="2332"/>
      <c r="AS294" s="2332"/>
      <c r="AT294" s="2332"/>
      <c r="AV294" s="151" t="str">
        <f t="shared" si="140"/>
        <v>MASONRY</v>
      </c>
      <c r="AW294" s="681"/>
      <c r="AX294" s="230"/>
      <c r="AY294" s="230"/>
      <c r="AZ294" s="679"/>
      <c r="BA294" s="49">
        <f t="shared" si="147"/>
        <v>0</v>
      </c>
      <c r="BB294" s="49">
        <f t="shared" si="151"/>
        <v>0</v>
      </c>
      <c r="BC294" s="49">
        <f t="shared" si="152"/>
        <v>0</v>
      </c>
      <c r="BD294" s="49">
        <f t="shared" si="148"/>
        <v>0</v>
      </c>
      <c r="BE294" s="49">
        <f>SUM(BA294:BC294)</f>
        <v>0</v>
      </c>
      <c r="BF294" s="49">
        <f t="shared" si="141"/>
        <v>0</v>
      </c>
      <c r="BG294" s="49">
        <f t="shared" si="142"/>
        <v>0</v>
      </c>
      <c r="BI294" s="134">
        <f t="shared" si="154"/>
        <v>0</v>
      </c>
      <c r="BJ294" s="134">
        <f t="shared" si="149"/>
        <v>0</v>
      </c>
      <c r="BK294" s="134">
        <f t="shared" si="155"/>
        <v>0</v>
      </c>
    </row>
    <row r="295" spans="1:63" hidden="1">
      <c r="A295" s="187"/>
      <c r="B295" s="2321"/>
      <c r="C295" s="2322"/>
      <c r="D295" s="2334"/>
      <c r="E295" s="2334"/>
      <c r="F295" s="2334"/>
      <c r="G295" s="2334"/>
      <c r="H295" s="2334"/>
      <c r="I295" s="2334"/>
      <c r="J295" s="2334"/>
      <c r="K295" s="2334"/>
      <c r="L295" s="2334"/>
      <c r="M295" s="2334"/>
      <c r="N295" s="2334"/>
      <c r="O295" s="2334"/>
      <c r="P295" s="2324"/>
      <c r="Q295" s="2324"/>
      <c r="R295" s="2325"/>
      <c r="S295" s="2324"/>
      <c r="T295" s="2324"/>
      <c r="U295" s="2326"/>
      <c r="V295" s="2327"/>
      <c r="W295" s="2327"/>
      <c r="X295" s="2327"/>
      <c r="Y295" s="2327"/>
      <c r="Z295" s="2327"/>
      <c r="AA295" s="2328"/>
      <c r="AB295" s="2329"/>
      <c r="AC295" s="2326"/>
      <c r="AD295" s="2330">
        <f t="shared" si="143"/>
        <v>0</v>
      </c>
      <c r="AE295" s="2330"/>
      <c r="AF295" s="2330"/>
      <c r="AG295" s="2330">
        <f t="shared" si="150"/>
        <v>0</v>
      </c>
      <c r="AH295" s="2330"/>
      <c r="AI295" s="2330"/>
      <c r="AJ295" s="2330">
        <f t="shared" si="144"/>
        <v>0</v>
      </c>
      <c r="AK295" s="2330"/>
      <c r="AL295" s="2330"/>
      <c r="AM295" s="2331">
        <f t="shared" si="145"/>
        <v>0</v>
      </c>
      <c r="AN295" s="2331"/>
      <c r="AO295" s="2331"/>
      <c r="AP295" s="2331"/>
      <c r="AQ295" s="2332">
        <f t="shared" si="146"/>
        <v>0</v>
      </c>
      <c r="AR295" s="2332"/>
      <c r="AS295" s="2332"/>
      <c r="AT295" s="2332"/>
      <c r="AV295" s="151" t="str">
        <f t="shared" si="140"/>
        <v>MASONRY</v>
      </c>
      <c r="AW295" s="681"/>
      <c r="AX295" s="230"/>
      <c r="AY295" s="230"/>
      <c r="AZ295" s="679"/>
      <c r="BA295" s="49">
        <f t="shared" si="147"/>
        <v>0</v>
      </c>
      <c r="BB295" s="49">
        <f t="shared" si="151"/>
        <v>0</v>
      </c>
      <c r="BC295" s="49">
        <f t="shared" si="152"/>
        <v>0</v>
      </c>
      <c r="BD295" s="49">
        <f t="shared" si="148"/>
        <v>0</v>
      </c>
      <c r="BE295" s="49">
        <f>SUM(BA295:BC295)</f>
        <v>0</v>
      </c>
      <c r="BF295" s="49">
        <f t="shared" si="141"/>
        <v>0</v>
      </c>
      <c r="BG295" s="49">
        <f t="shared" si="142"/>
        <v>0</v>
      </c>
      <c r="BI295" s="134">
        <f t="shared" si="154"/>
        <v>0</v>
      </c>
      <c r="BJ295" s="134">
        <f t="shared" si="149"/>
        <v>0</v>
      </c>
      <c r="BK295" s="134">
        <f t="shared" si="155"/>
        <v>0</v>
      </c>
    </row>
    <row r="296" spans="1:63" hidden="1">
      <c r="A296" s="187"/>
      <c r="B296" s="2321"/>
      <c r="C296" s="2322"/>
      <c r="D296" s="2334"/>
      <c r="E296" s="2334"/>
      <c r="F296" s="2334"/>
      <c r="G296" s="2334"/>
      <c r="H296" s="2334"/>
      <c r="I296" s="2334"/>
      <c r="J296" s="2334"/>
      <c r="K296" s="2334"/>
      <c r="L296" s="2334"/>
      <c r="M296" s="2334"/>
      <c r="N296" s="2334"/>
      <c r="O296" s="2334"/>
      <c r="P296" s="2324"/>
      <c r="Q296" s="2324"/>
      <c r="R296" s="2325"/>
      <c r="S296" s="2324"/>
      <c r="T296" s="2324"/>
      <c r="U296" s="2326"/>
      <c r="V296" s="2327"/>
      <c r="W296" s="2327"/>
      <c r="X296" s="2327"/>
      <c r="Y296" s="2327"/>
      <c r="Z296" s="2327"/>
      <c r="AA296" s="2328"/>
      <c r="AB296" s="2329"/>
      <c r="AC296" s="2326"/>
      <c r="AD296" s="2330">
        <f t="shared" si="143"/>
        <v>0</v>
      </c>
      <c r="AE296" s="2330"/>
      <c r="AF296" s="2330"/>
      <c r="AG296" s="2330">
        <f t="shared" si="150"/>
        <v>0</v>
      </c>
      <c r="AH296" s="2330"/>
      <c r="AI296" s="2330"/>
      <c r="AJ296" s="2330">
        <f t="shared" si="144"/>
        <v>0</v>
      </c>
      <c r="AK296" s="2330"/>
      <c r="AL296" s="2330"/>
      <c r="AM296" s="2331">
        <f t="shared" si="145"/>
        <v>0</v>
      </c>
      <c r="AN296" s="2331"/>
      <c r="AO296" s="2331"/>
      <c r="AP296" s="2331"/>
      <c r="AQ296" s="2332">
        <f t="shared" si="146"/>
        <v>0</v>
      </c>
      <c r="AR296" s="2332"/>
      <c r="AS296" s="2332"/>
      <c r="AT296" s="2332"/>
      <c r="AV296" s="151" t="str">
        <f t="shared" si="140"/>
        <v>MASONRY</v>
      </c>
      <c r="AW296" s="681"/>
      <c r="AX296" s="230"/>
      <c r="AY296" s="230"/>
      <c r="AZ296" s="679"/>
      <c r="BA296" s="49">
        <f t="shared" si="147"/>
        <v>0</v>
      </c>
      <c r="BB296" s="49">
        <f t="shared" si="151"/>
        <v>0</v>
      </c>
      <c r="BC296" s="49">
        <f t="shared" si="152"/>
        <v>0</v>
      </c>
      <c r="BD296" s="49">
        <f t="shared" si="148"/>
        <v>0</v>
      </c>
      <c r="BE296" s="49">
        <f t="shared" ref="BE296:BE301" si="169">SUM(BA296:BC296)</f>
        <v>0</v>
      </c>
      <c r="BF296" s="49">
        <f t="shared" si="141"/>
        <v>0</v>
      </c>
      <c r="BG296" s="49">
        <f t="shared" si="142"/>
        <v>0</v>
      </c>
      <c r="BI296" s="134">
        <f t="shared" si="154"/>
        <v>0</v>
      </c>
      <c r="BJ296" s="134">
        <f t="shared" si="149"/>
        <v>0</v>
      </c>
      <c r="BK296" s="134">
        <f t="shared" si="155"/>
        <v>0</v>
      </c>
    </row>
    <row r="297" spans="1:63" hidden="1">
      <c r="A297" s="187"/>
      <c r="B297" s="2321"/>
      <c r="C297" s="2322"/>
      <c r="D297" s="2334"/>
      <c r="E297" s="2334"/>
      <c r="F297" s="2334"/>
      <c r="G297" s="2334"/>
      <c r="H297" s="2334"/>
      <c r="I297" s="2334"/>
      <c r="J297" s="2334"/>
      <c r="K297" s="2334"/>
      <c r="L297" s="2334"/>
      <c r="M297" s="2334"/>
      <c r="N297" s="2334"/>
      <c r="O297" s="2334"/>
      <c r="P297" s="2324"/>
      <c r="Q297" s="2324"/>
      <c r="R297" s="2325"/>
      <c r="S297" s="2324"/>
      <c r="T297" s="2324"/>
      <c r="U297" s="2326"/>
      <c r="V297" s="2327"/>
      <c r="W297" s="2327"/>
      <c r="X297" s="2327"/>
      <c r="Y297" s="2327"/>
      <c r="Z297" s="2327"/>
      <c r="AA297" s="2328"/>
      <c r="AB297" s="2329"/>
      <c r="AC297" s="2326"/>
      <c r="AD297" s="2330">
        <f t="shared" si="143"/>
        <v>0</v>
      </c>
      <c r="AE297" s="2330"/>
      <c r="AF297" s="2330"/>
      <c r="AG297" s="2330">
        <f t="shared" si="150"/>
        <v>0</v>
      </c>
      <c r="AH297" s="2330"/>
      <c r="AI297" s="2330"/>
      <c r="AJ297" s="2330">
        <f t="shared" si="144"/>
        <v>0</v>
      </c>
      <c r="AK297" s="2330"/>
      <c r="AL297" s="2330"/>
      <c r="AM297" s="2331">
        <f t="shared" si="145"/>
        <v>0</v>
      </c>
      <c r="AN297" s="2331"/>
      <c r="AO297" s="2331"/>
      <c r="AP297" s="2331"/>
      <c r="AQ297" s="2332">
        <f t="shared" si="146"/>
        <v>0</v>
      </c>
      <c r="AR297" s="2332"/>
      <c r="AS297" s="2332"/>
      <c r="AT297" s="2332"/>
      <c r="AV297" s="151" t="str">
        <f t="shared" si="140"/>
        <v>MASONRY</v>
      </c>
      <c r="AW297" s="681"/>
      <c r="AX297" s="230"/>
      <c r="AY297" s="230"/>
      <c r="AZ297" s="679"/>
      <c r="BA297" s="49">
        <f t="shared" si="147"/>
        <v>0</v>
      </c>
      <c r="BB297" s="49">
        <f t="shared" si="151"/>
        <v>0</v>
      </c>
      <c r="BC297" s="49">
        <f t="shared" si="152"/>
        <v>0</v>
      </c>
      <c r="BD297" s="49">
        <f t="shared" si="148"/>
        <v>0</v>
      </c>
      <c r="BE297" s="49">
        <f t="shared" si="169"/>
        <v>0</v>
      </c>
      <c r="BF297" s="49">
        <f t="shared" si="141"/>
        <v>0</v>
      </c>
      <c r="BG297" s="49">
        <f t="shared" si="142"/>
        <v>0</v>
      </c>
      <c r="BI297" s="134">
        <f t="shared" si="154"/>
        <v>0</v>
      </c>
      <c r="BJ297" s="134">
        <f t="shared" si="149"/>
        <v>0</v>
      </c>
      <c r="BK297" s="134">
        <f t="shared" si="155"/>
        <v>0</v>
      </c>
    </row>
    <row r="298" spans="1:63" hidden="1">
      <c r="A298" s="187"/>
      <c r="B298" s="2321"/>
      <c r="C298" s="2322"/>
      <c r="D298" s="2334"/>
      <c r="E298" s="2334"/>
      <c r="F298" s="2334"/>
      <c r="G298" s="2334"/>
      <c r="H298" s="2334"/>
      <c r="I298" s="2334"/>
      <c r="J298" s="2334"/>
      <c r="K298" s="2334"/>
      <c r="L298" s="2334"/>
      <c r="M298" s="2334"/>
      <c r="N298" s="2334"/>
      <c r="O298" s="2334"/>
      <c r="P298" s="2324"/>
      <c r="Q298" s="2324"/>
      <c r="R298" s="2325"/>
      <c r="S298" s="2324"/>
      <c r="T298" s="2324"/>
      <c r="U298" s="2326"/>
      <c r="V298" s="2327"/>
      <c r="W298" s="2327"/>
      <c r="X298" s="2327"/>
      <c r="Y298" s="2327"/>
      <c r="Z298" s="2327"/>
      <c r="AA298" s="2328"/>
      <c r="AB298" s="2329"/>
      <c r="AC298" s="2326"/>
      <c r="AD298" s="2330">
        <f t="shared" si="143"/>
        <v>0</v>
      </c>
      <c r="AE298" s="2330"/>
      <c r="AF298" s="2330"/>
      <c r="AG298" s="2330">
        <f t="shared" si="150"/>
        <v>0</v>
      </c>
      <c r="AH298" s="2330"/>
      <c r="AI298" s="2330"/>
      <c r="AJ298" s="2330">
        <f t="shared" si="144"/>
        <v>0</v>
      </c>
      <c r="AK298" s="2330"/>
      <c r="AL298" s="2330"/>
      <c r="AM298" s="2331">
        <f t="shared" si="145"/>
        <v>0</v>
      </c>
      <c r="AN298" s="2331"/>
      <c r="AO298" s="2331"/>
      <c r="AP298" s="2331"/>
      <c r="AQ298" s="2332">
        <f t="shared" si="146"/>
        <v>0</v>
      </c>
      <c r="AR298" s="2332"/>
      <c r="AS298" s="2332"/>
      <c r="AT298" s="2332"/>
      <c r="AV298" s="151" t="str">
        <f t="shared" si="140"/>
        <v>MASONRY</v>
      </c>
      <c r="AW298" s="681"/>
      <c r="AX298" s="230"/>
      <c r="AY298" s="230"/>
      <c r="AZ298" s="679"/>
      <c r="BA298" s="49">
        <f t="shared" si="147"/>
        <v>0</v>
      </c>
      <c r="BB298" s="49">
        <f t="shared" si="151"/>
        <v>0</v>
      </c>
      <c r="BC298" s="49">
        <f t="shared" si="152"/>
        <v>0</v>
      </c>
      <c r="BD298" s="49">
        <f t="shared" si="148"/>
        <v>0</v>
      </c>
      <c r="BE298" s="49">
        <f t="shared" si="169"/>
        <v>0</v>
      </c>
      <c r="BF298" s="49">
        <f t="shared" si="141"/>
        <v>0</v>
      </c>
      <c r="BG298" s="49">
        <f t="shared" si="142"/>
        <v>0</v>
      </c>
      <c r="BI298" s="134">
        <f t="shared" si="154"/>
        <v>0</v>
      </c>
      <c r="BJ298" s="134">
        <f t="shared" si="149"/>
        <v>0</v>
      </c>
      <c r="BK298" s="134">
        <f t="shared" si="155"/>
        <v>0</v>
      </c>
    </row>
    <row r="299" spans="1:63" hidden="1">
      <c r="A299" s="187"/>
      <c r="B299" s="2321"/>
      <c r="C299" s="2322"/>
      <c r="D299" s="2334"/>
      <c r="E299" s="2334"/>
      <c r="F299" s="2334"/>
      <c r="G299" s="2334"/>
      <c r="H299" s="2334"/>
      <c r="I299" s="2334"/>
      <c r="J299" s="2334"/>
      <c r="K299" s="2334"/>
      <c r="L299" s="2334"/>
      <c r="M299" s="2334"/>
      <c r="N299" s="2334"/>
      <c r="O299" s="2334"/>
      <c r="P299" s="2324"/>
      <c r="Q299" s="2324"/>
      <c r="R299" s="2325"/>
      <c r="S299" s="2324"/>
      <c r="T299" s="2324"/>
      <c r="U299" s="2326"/>
      <c r="V299" s="2327"/>
      <c r="W299" s="2327"/>
      <c r="X299" s="2327"/>
      <c r="Y299" s="2327"/>
      <c r="Z299" s="2327"/>
      <c r="AA299" s="2328"/>
      <c r="AB299" s="2329"/>
      <c r="AC299" s="2326"/>
      <c r="AD299" s="2330">
        <f t="shared" si="143"/>
        <v>0</v>
      </c>
      <c r="AE299" s="2330"/>
      <c r="AF299" s="2330"/>
      <c r="AG299" s="2330">
        <f t="shared" si="150"/>
        <v>0</v>
      </c>
      <c r="AH299" s="2330"/>
      <c r="AI299" s="2330"/>
      <c r="AJ299" s="2330">
        <f t="shared" si="144"/>
        <v>0</v>
      </c>
      <c r="AK299" s="2330"/>
      <c r="AL299" s="2330"/>
      <c r="AM299" s="2331">
        <f t="shared" si="145"/>
        <v>0</v>
      </c>
      <c r="AN299" s="2331"/>
      <c r="AO299" s="2331"/>
      <c r="AP299" s="2331"/>
      <c r="AQ299" s="2332">
        <f t="shared" si="146"/>
        <v>0</v>
      </c>
      <c r="AR299" s="2332"/>
      <c r="AS299" s="2332"/>
      <c r="AT299" s="2332"/>
      <c r="AV299" s="151" t="str">
        <f t="shared" si="140"/>
        <v>MASONRY</v>
      </c>
      <c r="AW299" s="681"/>
      <c r="AX299" s="230"/>
      <c r="AY299" s="230"/>
      <c r="AZ299" s="679"/>
      <c r="BA299" s="49">
        <f t="shared" si="147"/>
        <v>0</v>
      </c>
      <c r="BB299" s="49">
        <f t="shared" si="151"/>
        <v>0</v>
      </c>
      <c r="BC299" s="49">
        <f t="shared" si="152"/>
        <v>0</v>
      </c>
      <c r="BD299" s="49">
        <f t="shared" si="148"/>
        <v>0</v>
      </c>
      <c r="BE299" s="49">
        <f t="shared" si="169"/>
        <v>0</v>
      </c>
      <c r="BF299" s="49">
        <f t="shared" si="141"/>
        <v>0</v>
      </c>
      <c r="BG299" s="49">
        <f t="shared" si="142"/>
        <v>0</v>
      </c>
      <c r="BI299" s="134">
        <f t="shared" si="154"/>
        <v>0</v>
      </c>
      <c r="BJ299" s="134">
        <f t="shared" si="149"/>
        <v>0</v>
      </c>
      <c r="BK299" s="134">
        <f t="shared" si="155"/>
        <v>0</v>
      </c>
    </row>
    <row r="300" spans="1:63" hidden="1">
      <c r="A300" s="187"/>
      <c r="B300" s="2333"/>
      <c r="C300" s="2333"/>
      <c r="D300" s="2334"/>
      <c r="E300" s="2334"/>
      <c r="F300" s="2334"/>
      <c r="G300" s="2334"/>
      <c r="H300" s="2334"/>
      <c r="I300" s="2334"/>
      <c r="J300" s="2334"/>
      <c r="K300" s="2334"/>
      <c r="L300" s="2334"/>
      <c r="M300" s="2334"/>
      <c r="N300" s="2334"/>
      <c r="O300" s="2334"/>
      <c r="P300" s="2324"/>
      <c r="Q300" s="2324"/>
      <c r="R300" s="2325"/>
      <c r="S300" s="2324"/>
      <c r="T300" s="2324"/>
      <c r="U300" s="2326"/>
      <c r="V300" s="2327"/>
      <c r="W300" s="2327"/>
      <c r="X300" s="2327"/>
      <c r="Y300" s="2327"/>
      <c r="Z300" s="2327"/>
      <c r="AA300" s="2328"/>
      <c r="AB300" s="2329"/>
      <c r="AC300" s="2326"/>
      <c r="AD300" s="2330">
        <f t="shared" si="143"/>
        <v>0</v>
      </c>
      <c r="AE300" s="2330"/>
      <c r="AF300" s="2330"/>
      <c r="AG300" s="2330">
        <f t="shared" si="150"/>
        <v>0</v>
      </c>
      <c r="AH300" s="2330"/>
      <c r="AI300" s="2330"/>
      <c r="AJ300" s="2330">
        <f t="shared" si="144"/>
        <v>0</v>
      </c>
      <c r="AK300" s="2330"/>
      <c r="AL300" s="2330"/>
      <c r="AM300" s="2331">
        <f t="shared" si="145"/>
        <v>0</v>
      </c>
      <c r="AN300" s="2331"/>
      <c r="AO300" s="2331"/>
      <c r="AP300" s="2331"/>
      <c r="AQ300" s="2332">
        <f t="shared" si="146"/>
        <v>0</v>
      </c>
      <c r="AR300" s="2332"/>
      <c r="AS300" s="2332"/>
      <c r="AT300" s="2332"/>
      <c r="AV300" s="151" t="str">
        <f t="shared" si="140"/>
        <v>MASONRY</v>
      </c>
      <c r="AW300" s="681"/>
      <c r="AX300" s="230"/>
      <c r="AY300" s="230"/>
      <c r="AZ300" s="679"/>
      <c r="BA300" s="49">
        <f t="shared" si="147"/>
        <v>0</v>
      </c>
      <c r="BB300" s="49">
        <f t="shared" si="151"/>
        <v>0</v>
      </c>
      <c r="BC300" s="49">
        <f t="shared" si="152"/>
        <v>0</v>
      </c>
      <c r="BD300" s="49">
        <f t="shared" si="148"/>
        <v>0</v>
      </c>
      <c r="BE300" s="49">
        <f t="shared" si="169"/>
        <v>0</v>
      </c>
      <c r="BF300" s="49">
        <f t="shared" si="141"/>
        <v>0</v>
      </c>
      <c r="BG300" s="49">
        <f t="shared" si="142"/>
        <v>0</v>
      </c>
      <c r="BI300" s="134">
        <f t="shared" si="154"/>
        <v>0</v>
      </c>
      <c r="BJ300" s="134">
        <f t="shared" si="149"/>
        <v>0</v>
      </c>
      <c r="BK300" s="134">
        <f t="shared" si="155"/>
        <v>0</v>
      </c>
    </row>
    <row r="301" spans="1:63" hidden="1">
      <c r="A301" s="187"/>
      <c r="B301" s="2321"/>
      <c r="C301" s="2322"/>
      <c r="D301" s="2349"/>
      <c r="E301" s="2349"/>
      <c r="F301" s="2349"/>
      <c r="G301" s="2349"/>
      <c r="H301" s="2349"/>
      <c r="I301" s="2349"/>
      <c r="J301" s="2349"/>
      <c r="K301" s="2349"/>
      <c r="L301" s="2349"/>
      <c r="M301" s="2349"/>
      <c r="N301" s="2349"/>
      <c r="O301" s="2349"/>
      <c r="P301" s="2324"/>
      <c r="Q301" s="2324"/>
      <c r="R301" s="2325"/>
      <c r="S301" s="2324"/>
      <c r="T301" s="2324"/>
      <c r="U301" s="2326"/>
      <c r="V301" s="2327"/>
      <c r="W301" s="2327"/>
      <c r="X301" s="2327"/>
      <c r="Y301" s="2327"/>
      <c r="Z301" s="2327"/>
      <c r="AA301" s="2328"/>
      <c r="AB301" s="2329"/>
      <c r="AC301" s="2326"/>
      <c r="AD301" s="2330">
        <f t="shared" si="143"/>
        <v>0</v>
      </c>
      <c r="AE301" s="2330"/>
      <c r="AF301" s="2330"/>
      <c r="AG301" s="2330">
        <f t="shared" si="150"/>
        <v>0</v>
      </c>
      <c r="AH301" s="2330"/>
      <c r="AI301" s="2330"/>
      <c r="AJ301" s="2330">
        <f t="shared" si="144"/>
        <v>0</v>
      </c>
      <c r="AK301" s="2330"/>
      <c r="AL301" s="2330"/>
      <c r="AM301" s="2331">
        <f t="shared" si="145"/>
        <v>0</v>
      </c>
      <c r="AN301" s="2331"/>
      <c r="AO301" s="2331"/>
      <c r="AP301" s="2331"/>
      <c r="AQ301" s="2332">
        <f t="shared" si="146"/>
        <v>0</v>
      </c>
      <c r="AR301" s="2332"/>
      <c r="AS301" s="2332"/>
      <c r="AT301" s="2332"/>
      <c r="AV301" s="151" t="str">
        <f t="shared" si="140"/>
        <v>MASONRY</v>
      </c>
      <c r="AW301" s="681"/>
      <c r="AX301" s="230"/>
      <c r="AY301" s="230"/>
      <c r="AZ301" s="679"/>
      <c r="BA301" s="49">
        <f t="shared" si="147"/>
        <v>0</v>
      </c>
      <c r="BB301" s="49">
        <f t="shared" si="151"/>
        <v>0</v>
      </c>
      <c r="BC301" s="49">
        <f t="shared" si="152"/>
        <v>0</v>
      </c>
      <c r="BD301" s="49">
        <f t="shared" si="148"/>
        <v>0</v>
      </c>
      <c r="BE301" s="49">
        <f t="shared" si="169"/>
        <v>0</v>
      </c>
      <c r="BF301" s="49">
        <f t="shared" si="141"/>
        <v>0</v>
      </c>
      <c r="BG301" s="49">
        <f t="shared" si="142"/>
        <v>0</v>
      </c>
      <c r="BI301" s="134">
        <f t="shared" si="154"/>
        <v>0</v>
      </c>
      <c r="BJ301" s="134">
        <f t="shared" si="149"/>
        <v>0</v>
      </c>
      <c r="BK301" s="134">
        <f t="shared" si="155"/>
        <v>0</v>
      </c>
    </row>
    <row r="302" spans="1:63" hidden="1">
      <c r="A302" s="187"/>
      <c r="B302" s="2321"/>
      <c r="C302" s="2322"/>
      <c r="D302" s="2334"/>
      <c r="E302" s="2334"/>
      <c r="F302" s="2334"/>
      <c r="G302" s="2334"/>
      <c r="H302" s="2334"/>
      <c r="I302" s="2334"/>
      <c r="J302" s="2334"/>
      <c r="K302" s="2334"/>
      <c r="L302" s="2334"/>
      <c r="M302" s="2334"/>
      <c r="N302" s="2334"/>
      <c r="O302" s="2334"/>
      <c r="P302" s="2324"/>
      <c r="Q302" s="2324"/>
      <c r="R302" s="2325"/>
      <c r="S302" s="2324"/>
      <c r="T302" s="2324"/>
      <c r="U302" s="2326"/>
      <c r="V302" s="2327"/>
      <c r="W302" s="2327"/>
      <c r="X302" s="2327"/>
      <c r="Y302" s="2327"/>
      <c r="Z302" s="2327"/>
      <c r="AA302" s="2328"/>
      <c r="AB302" s="2329"/>
      <c r="AC302" s="2326"/>
      <c r="AD302" s="2330">
        <f t="shared" si="143"/>
        <v>0</v>
      </c>
      <c r="AE302" s="2330"/>
      <c r="AF302" s="2330"/>
      <c r="AG302" s="2330">
        <f t="shared" si="150"/>
        <v>0</v>
      </c>
      <c r="AH302" s="2330"/>
      <c r="AI302" s="2330"/>
      <c r="AJ302" s="2330">
        <f t="shared" si="144"/>
        <v>0</v>
      </c>
      <c r="AK302" s="2330"/>
      <c r="AL302" s="2330"/>
      <c r="AM302" s="2331">
        <f t="shared" si="145"/>
        <v>0</v>
      </c>
      <c r="AN302" s="2331"/>
      <c r="AO302" s="2331"/>
      <c r="AP302" s="2331"/>
      <c r="AQ302" s="2332">
        <f t="shared" si="146"/>
        <v>0</v>
      </c>
      <c r="AR302" s="2332"/>
      <c r="AS302" s="2332"/>
      <c r="AT302" s="2332"/>
      <c r="AV302" s="151" t="str">
        <f t="shared" si="140"/>
        <v>MASONRY</v>
      </c>
      <c r="AW302" s="681"/>
      <c r="AX302" s="230"/>
      <c r="AY302" s="230"/>
      <c r="AZ302" s="679"/>
      <c r="BA302" s="49">
        <f t="shared" si="147"/>
        <v>0</v>
      </c>
      <c r="BB302" s="49">
        <f t="shared" si="151"/>
        <v>0</v>
      </c>
      <c r="BC302" s="49">
        <f t="shared" si="152"/>
        <v>0</v>
      </c>
      <c r="BD302" s="49">
        <f t="shared" si="148"/>
        <v>0</v>
      </c>
      <c r="BE302" s="49">
        <f t="shared" ref="BE302:BE307" si="170">SUM(BA302:BC302)</f>
        <v>0</v>
      </c>
      <c r="BF302" s="49">
        <f t="shared" si="141"/>
        <v>0</v>
      </c>
      <c r="BG302" s="49">
        <f t="shared" si="142"/>
        <v>0</v>
      </c>
      <c r="BI302" s="134">
        <f t="shared" si="154"/>
        <v>0</v>
      </c>
      <c r="BJ302" s="134">
        <f t="shared" si="149"/>
        <v>0</v>
      </c>
      <c r="BK302" s="134">
        <f t="shared" si="155"/>
        <v>0</v>
      </c>
    </row>
    <row r="303" spans="1:63" hidden="1">
      <c r="A303" s="187"/>
      <c r="B303" s="2321"/>
      <c r="C303" s="2322"/>
      <c r="D303" s="2334"/>
      <c r="E303" s="2334"/>
      <c r="F303" s="2334"/>
      <c r="G303" s="2334"/>
      <c r="H303" s="2334"/>
      <c r="I303" s="2334"/>
      <c r="J303" s="2334"/>
      <c r="K303" s="2334"/>
      <c r="L303" s="2334"/>
      <c r="M303" s="2334"/>
      <c r="N303" s="2334"/>
      <c r="O303" s="2334"/>
      <c r="P303" s="2324"/>
      <c r="Q303" s="2324"/>
      <c r="R303" s="2325"/>
      <c r="S303" s="2324"/>
      <c r="T303" s="2324"/>
      <c r="U303" s="2326"/>
      <c r="V303" s="2327"/>
      <c r="W303" s="2327"/>
      <c r="X303" s="2327"/>
      <c r="Y303" s="2327"/>
      <c r="Z303" s="2327"/>
      <c r="AA303" s="2328"/>
      <c r="AB303" s="2329"/>
      <c r="AC303" s="2326"/>
      <c r="AD303" s="2330">
        <f t="shared" si="143"/>
        <v>0</v>
      </c>
      <c r="AE303" s="2330"/>
      <c r="AF303" s="2330"/>
      <c r="AG303" s="2330">
        <f t="shared" si="150"/>
        <v>0</v>
      </c>
      <c r="AH303" s="2330"/>
      <c r="AI303" s="2330"/>
      <c r="AJ303" s="2330">
        <f t="shared" si="144"/>
        <v>0</v>
      </c>
      <c r="AK303" s="2330"/>
      <c r="AL303" s="2330"/>
      <c r="AM303" s="2331">
        <f t="shared" si="145"/>
        <v>0</v>
      </c>
      <c r="AN303" s="2331"/>
      <c r="AO303" s="2331"/>
      <c r="AP303" s="2331"/>
      <c r="AQ303" s="2332">
        <f t="shared" si="146"/>
        <v>0</v>
      </c>
      <c r="AR303" s="2332"/>
      <c r="AS303" s="2332"/>
      <c r="AT303" s="2332"/>
      <c r="AV303" s="151" t="str">
        <f t="shared" si="140"/>
        <v>MASONRY</v>
      </c>
      <c r="AW303" s="681"/>
      <c r="AX303" s="230"/>
      <c r="AY303" s="230"/>
      <c r="AZ303" s="679"/>
      <c r="BA303" s="49">
        <f t="shared" si="147"/>
        <v>0</v>
      </c>
      <c r="BB303" s="49">
        <f t="shared" si="151"/>
        <v>0</v>
      </c>
      <c r="BC303" s="49">
        <f t="shared" si="152"/>
        <v>0</v>
      </c>
      <c r="BD303" s="49">
        <f t="shared" si="148"/>
        <v>0</v>
      </c>
      <c r="BE303" s="49">
        <f t="shared" si="170"/>
        <v>0</v>
      </c>
      <c r="BF303" s="49">
        <f t="shared" si="141"/>
        <v>0</v>
      </c>
      <c r="BG303" s="49">
        <f t="shared" si="142"/>
        <v>0</v>
      </c>
      <c r="BI303" s="134">
        <f t="shared" si="154"/>
        <v>0</v>
      </c>
      <c r="BJ303" s="134">
        <f t="shared" si="149"/>
        <v>0</v>
      </c>
      <c r="BK303" s="134">
        <f t="shared" si="155"/>
        <v>0</v>
      </c>
    </row>
    <row r="304" spans="1:63" hidden="1">
      <c r="A304" s="187"/>
      <c r="B304" s="2321"/>
      <c r="C304" s="2322"/>
      <c r="D304" s="2334"/>
      <c r="E304" s="2334"/>
      <c r="F304" s="2334"/>
      <c r="G304" s="2334"/>
      <c r="H304" s="2334"/>
      <c r="I304" s="2334"/>
      <c r="J304" s="2334"/>
      <c r="K304" s="2334"/>
      <c r="L304" s="2334"/>
      <c r="M304" s="2334"/>
      <c r="N304" s="2334"/>
      <c r="O304" s="2334"/>
      <c r="P304" s="2324"/>
      <c r="Q304" s="2324"/>
      <c r="R304" s="2325"/>
      <c r="S304" s="2324"/>
      <c r="T304" s="2324"/>
      <c r="U304" s="2326"/>
      <c r="V304" s="2327"/>
      <c r="W304" s="2327"/>
      <c r="X304" s="2327"/>
      <c r="Y304" s="2327"/>
      <c r="Z304" s="2327"/>
      <c r="AA304" s="2328"/>
      <c r="AB304" s="2329"/>
      <c r="AC304" s="2326"/>
      <c r="AD304" s="2330">
        <f>((P304*U304)-AM304)</f>
        <v>0</v>
      </c>
      <c r="AE304" s="2330"/>
      <c r="AF304" s="2330"/>
      <c r="AG304" s="2330">
        <f t="shared" si="150"/>
        <v>0</v>
      </c>
      <c r="AH304" s="2330"/>
      <c r="AI304" s="2330"/>
      <c r="AJ304" s="2330">
        <f>P304*AA304</f>
        <v>0</v>
      </c>
      <c r="AK304" s="2330"/>
      <c r="AL304" s="2330"/>
      <c r="AM304" s="2331">
        <f t="shared" si="145"/>
        <v>0</v>
      </c>
      <c r="AN304" s="2331"/>
      <c r="AO304" s="2331"/>
      <c r="AP304" s="2331"/>
      <c r="AQ304" s="2332">
        <f>SUM(AD304:AL304)</f>
        <v>0</v>
      </c>
      <c r="AR304" s="2332"/>
      <c r="AS304" s="2332"/>
      <c r="AT304" s="2332"/>
      <c r="AV304" s="151" t="str">
        <f t="shared" si="140"/>
        <v>MASONRY</v>
      </c>
      <c r="AW304" s="681"/>
      <c r="AX304" s="230"/>
      <c r="AY304" s="230"/>
      <c r="AZ304" s="679"/>
      <c r="BA304" s="49">
        <f>AD304</f>
        <v>0</v>
      </c>
      <c r="BB304" s="49">
        <f>AG304</f>
        <v>0</v>
      </c>
      <c r="BC304" s="49">
        <f>AJ304</f>
        <v>0</v>
      </c>
      <c r="BD304" s="49">
        <f>IF(B304="x",1,0)</f>
        <v>0</v>
      </c>
      <c r="BE304" s="49">
        <f t="shared" si="170"/>
        <v>0</v>
      </c>
      <c r="BF304" s="49">
        <f>AQ304</f>
        <v>0</v>
      </c>
      <c r="BG304" s="49">
        <f>AM304</f>
        <v>0</v>
      </c>
      <c r="BI304" s="134">
        <f>AD304</f>
        <v>0</v>
      </c>
      <c r="BJ304" s="134">
        <f>AM304</f>
        <v>0</v>
      </c>
      <c r="BK304" s="134">
        <f>BJ304+BI304</f>
        <v>0</v>
      </c>
    </row>
    <row r="305" spans="1:63" hidden="1">
      <c r="A305" s="187"/>
      <c r="B305" s="2321"/>
      <c r="C305" s="2322"/>
      <c r="D305" s="2334"/>
      <c r="E305" s="2334"/>
      <c r="F305" s="2334"/>
      <c r="G305" s="2334"/>
      <c r="H305" s="2334"/>
      <c r="I305" s="2334"/>
      <c r="J305" s="2334"/>
      <c r="K305" s="2334"/>
      <c r="L305" s="2334"/>
      <c r="M305" s="2334"/>
      <c r="N305" s="2334"/>
      <c r="O305" s="2334"/>
      <c r="P305" s="2324"/>
      <c r="Q305" s="2324"/>
      <c r="R305" s="2325"/>
      <c r="S305" s="2324"/>
      <c r="T305" s="2324"/>
      <c r="U305" s="2326"/>
      <c r="V305" s="2327"/>
      <c r="W305" s="2327"/>
      <c r="X305" s="2327"/>
      <c r="Y305" s="2327"/>
      <c r="Z305" s="2327"/>
      <c r="AA305" s="2328"/>
      <c r="AB305" s="2329"/>
      <c r="AC305" s="2326"/>
      <c r="AD305" s="2330">
        <f>((P305*U305)-AM305)</f>
        <v>0</v>
      </c>
      <c r="AE305" s="2330"/>
      <c r="AF305" s="2330"/>
      <c r="AG305" s="2330">
        <f t="shared" si="150"/>
        <v>0</v>
      </c>
      <c r="AH305" s="2330"/>
      <c r="AI305" s="2330"/>
      <c r="AJ305" s="2330">
        <f>P305*AA305</f>
        <v>0</v>
      </c>
      <c r="AK305" s="2330"/>
      <c r="AL305" s="2330"/>
      <c r="AM305" s="2331">
        <f t="shared" si="145"/>
        <v>0</v>
      </c>
      <c r="AN305" s="2331"/>
      <c r="AO305" s="2331"/>
      <c r="AP305" s="2331"/>
      <c r="AQ305" s="2332">
        <f>SUM(AD305:AL305)</f>
        <v>0</v>
      </c>
      <c r="AR305" s="2332"/>
      <c r="AS305" s="2332"/>
      <c r="AT305" s="2332"/>
      <c r="AV305" s="151" t="str">
        <f t="shared" si="140"/>
        <v>MASONRY</v>
      </c>
      <c r="AW305" s="681"/>
      <c r="AX305" s="230"/>
      <c r="AY305" s="230"/>
      <c r="AZ305" s="679"/>
      <c r="BA305" s="49">
        <f>AD305</f>
        <v>0</v>
      </c>
      <c r="BB305" s="49">
        <f>AG305</f>
        <v>0</v>
      </c>
      <c r="BC305" s="49">
        <f>AJ305</f>
        <v>0</v>
      </c>
      <c r="BD305" s="49">
        <f>IF(B305="x",1,0)</f>
        <v>0</v>
      </c>
      <c r="BE305" s="49">
        <f t="shared" si="170"/>
        <v>0</v>
      </c>
      <c r="BF305" s="49">
        <f>AQ305</f>
        <v>0</v>
      </c>
      <c r="BG305" s="49">
        <f>AM305</f>
        <v>0</v>
      </c>
      <c r="BI305" s="134">
        <f>AD305</f>
        <v>0</v>
      </c>
      <c r="BJ305" s="134">
        <f>AM305</f>
        <v>0</v>
      </c>
      <c r="BK305" s="134">
        <f>BJ305+BI305</f>
        <v>0</v>
      </c>
    </row>
    <row r="306" spans="1:63" hidden="1">
      <c r="A306" s="187"/>
      <c r="B306" s="2321"/>
      <c r="C306" s="2322"/>
      <c r="D306" s="2334"/>
      <c r="E306" s="2334"/>
      <c r="F306" s="2334"/>
      <c r="G306" s="2334"/>
      <c r="H306" s="2334"/>
      <c r="I306" s="2334"/>
      <c r="J306" s="2334"/>
      <c r="K306" s="2334"/>
      <c r="L306" s="2334"/>
      <c r="M306" s="2334"/>
      <c r="N306" s="2334"/>
      <c r="O306" s="2334"/>
      <c r="P306" s="2324"/>
      <c r="Q306" s="2324"/>
      <c r="R306" s="2325"/>
      <c r="S306" s="2324"/>
      <c r="T306" s="2324"/>
      <c r="U306" s="2326"/>
      <c r="V306" s="2327"/>
      <c r="W306" s="2327"/>
      <c r="X306" s="2327"/>
      <c r="Y306" s="2327"/>
      <c r="Z306" s="2327"/>
      <c r="AA306" s="2328"/>
      <c r="AB306" s="2329"/>
      <c r="AC306" s="2326"/>
      <c r="AD306" s="2330">
        <f>((P306*U306)-AM306)</f>
        <v>0</v>
      </c>
      <c r="AE306" s="2330"/>
      <c r="AF306" s="2330"/>
      <c r="AG306" s="2330">
        <f t="shared" si="150"/>
        <v>0</v>
      </c>
      <c r="AH306" s="2330"/>
      <c r="AI306" s="2330"/>
      <c r="AJ306" s="2330">
        <f>P306*AA306</f>
        <v>0</v>
      </c>
      <c r="AK306" s="2330"/>
      <c r="AL306" s="2330"/>
      <c r="AM306" s="2331">
        <f t="shared" si="145"/>
        <v>0</v>
      </c>
      <c r="AN306" s="2331"/>
      <c r="AO306" s="2331"/>
      <c r="AP306" s="2331"/>
      <c r="AQ306" s="2332">
        <f>SUM(AD306:AL306)</f>
        <v>0</v>
      </c>
      <c r="AR306" s="2332"/>
      <c r="AS306" s="2332"/>
      <c r="AT306" s="2332"/>
      <c r="AV306" s="151" t="str">
        <f t="shared" si="140"/>
        <v>MASONRY</v>
      </c>
      <c r="AW306" s="681"/>
      <c r="AX306" s="230"/>
      <c r="AY306" s="230"/>
      <c r="AZ306" s="679"/>
      <c r="BA306" s="49">
        <f>AD306</f>
        <v>0</v>
      </c>
      <c r="BB306" s="49">
        <f>AG306</f>
        <v>0</v>
      </c>
      <c r="BC306" s="49">
        <f>AJ306</f>
        <v>0</v>
      </c>
      <c r="BD306" s="49">
        <f>IF(B306="x",1,0)</f>
        <v>0</v>
      </c>
      <c r="BE306" s="49">
        <f t="shared" si="170"/>
        <v>0</v>
      </c>
      <c r="BF306" s="49">
        <f>AQ306</f>
        <v>0</v>
      </c>
      <c r="BG306" s="49">
        <f>AM306</f>
        <v>0</v>
      </c>
      <c r="BI306" s="134">
        <f>AD306</f>
        <v>0</v>
      </c>
      <c r="BJ306" s="134">
        <f>AM306</f>
        <v>0</v>
      </c>
      <c r="BK306" s="134">
        <f>BJ306+BI306</f>
        <v>0</v>
      </c>
    </row>
    <row r="307" spans="1:63" hidden="1">
      <c r="A307" s="187"/>
      <c r="B307" s="2321"/>
      <c r="C307" s="2322"/>
      <c r="D307" s="2334"/>
      <c r="E307" s="2334"/>
      <c r="F307" s="2334"/>
      <c r="G307" s="2334"/>
      <c r="H307" s="2334"/>
      <c r="I307" s="2334"/>
      <c r="J307" s="2334"/>
      <c r="K307" s="2334"/>
      <c r="L307" s="2334"/>
      <c r="M307" s="2334"/>
      <c r="N307" s="2334"/>
      <c r="O307" s="2334"/>
      <c r="P307" s="2324"/>
      <c r="Q307" s="2324"/>
      <c r="R307" s="2325"/>
      <c r="S307" s="2324"/>
      <c r="T307" s="2324"/>
      <c r="U307" s="2326"/>
      <c r="V307" s="2327"/>
      <c r="W307" s="2327"/>
      <c r="X307" s="2327"/>
      <c r="Y307" s="2327"/>
      <c r="Z307" s="2327"/>
      <c r="AA307" s="2328"/>
      <c r="AB307" s="2329"/>
      <c r="AC307" s="2326"/>
      <c r="AD307" s="2330">
        <f>((P307*U307)-AM307)</f>
        <v>0</v>
      </c>
      <c r="AE307" s="2330"/>
      <c r="AF307" s="2330"/>
      <c r="AG307" s="2330">
        <f t="shared" si="150"/>
        <v>0</v>
      </c>
      <c r="AH307" s="2330"/>
      <c r="AI307" s="2330"/>
      <c r="AJ307" s="2330">
        <f>P307*AA307</f>
        <v>0</v>
      </c>
      <c r="AK307" s="2330"/>
      <c r="AL307" s="2330"/>
      <c r="AM307" s="2331">
        <f t="shared" si="145"/>
        <v>0</v>
      </c>
      <c r="AN307" s="2331"/>
      <c r="AO307" s="2331"/>
      <c r="AP307" s="2331"/>
      <c r="AQ307" s="2332">
        <f>SUM(AD307:AL307)</f>
        <v>0</v>
      </c>
      <c r="AR307" s="2332"/>
      <c r="AS307" s="2332"/>
      <c r="AT307" s="2332"/>
      <c r="AV307" s="151" t="str">
        <f t="shared" si="140"/>
        <v>MASONRY</v>
      </c>
      <c r="AW307" s="681"/>
      <c r="AX307" s="230"/>
      <c r="AY307" s="230"/>
      <c r="AZ307" s="679"/>
      <c r="BA307" s="49">
        <f>AD307</f>
        <v>0</v>
      </c>
      <c r="BB307" s="49">
        <f>AG307</f>
        <v>0</v>
      </c>
      <c r="BC307" s="49">
        <f>AJ307</f>
        <v>0</v>
      </c>
      <c r="BD307" s="49">
        <f>IF(B307="x",1,0)</f>
        <v>0</v>
      </c>
      <c r="BE307" s="49">
        <f t="shared" si="170"/>
        <v>0</v>
      </c>
      <c r="BF307" s="49">
        <f>AQ307</f>
        <v>0</v>
      </c>
      <c r="BG307" s="49">
        <f>AM307</f>
        <v>0</v>
      </c>
      <c r="BI307" s="134">
        <f>AD307</f>
        <v>0</v>
      </c>
      <c r="BJ307" s="134">
        <f>AM307</f>
        <v>0</v>
      </c>
      <c r="BK307" s="134">
        <f>BJ307+BI307</f>
        <v>0</v>
      </c>
    </row>
    <row r="308" spans="1:63" ht="5.0999999999999996" hidden="1" customHeight="1">
      <c r="A308" s="187"/>
      <c r="B308" s="64"/>
      <c r="C308" s="64"/>
      <c r="D308" s="885"/>
      <c r="E308" s="885"/>
      <c r="F308" s="885"/>
      <c r="G308" s="885"/>
      <c r="H308" s="885"/>
      <c r="I308" s="885"/>
      <c r="J308" s="885"/>
      <c r="K308" s="885"/>
      <c r="L308" s="885"/>
      <c r="M308" s="885"/>
      <c r="N308" s="885"/>
      <c r="O308" s="885"/>
      <c r="P308" s="66"/>
      <c r="Q308" s="66"/>
      <c r="R308" s="66"/>
      <c r="S308" s="66"/>
      <c r="T308" s="66"/>
      <c r="U308" s="67"/>
      <c r="V308" s="67"/>
      <c r="W308" s="67"/>
      <c r="X308" s="67"/>
      <c r="Y308" s="67"/>
      <c r="Z308" s="67"/>
      <c r="AA308" s="67"/>
      <c r="AB308" s="67"/>
      <c r="AC308" s="67"/>
      <c r="AD308" s="68"/>
      <c r="AE308" s="68"/>
      <c r="AF308" s="68"/>
      <c r="AG308" s="68"/>
      <c r="AH308" s="68"/>
      <c r="AI308" s="68"/>
      <c r="AJ308" s="68"/>
      <c r="AK308" s="68"/>
      <c r="AL308" s="68"/>
      <c r="AM308" s="69"/>
      <c r="AN308" s="69"/>
      <c r="AO308" s="69"/>
      <c r="AP308" s="69"/>
      <c r="AQ308" s="661"/>
      <c r="AR308" s="661"/>
      <c r="AS308" s="661"/>
      <c r="AT308" s="661"/>
      <c r="AV308" s="369" t="str">
        <f t="shared" si="140"/>
        <v>MASONRY</v>
      </c>
      <c r="AW308" s="696"/>
      <c r="AX308" s="696"/>
      <c r="AY308" s="696"/>
      <c r="AZ308" s="369"/>
      <c r="BA308" s="75">
        <f>BA267</f>
        <v>0</v>
      </c>
      <c r="BB308" s="75">
        <f>BB267</f>
        <v>0</v>
      </c>
      <c r="BC308" s="75">
        <f>BC267</f>
        <v>0</v>
      </c>
      <c r="BD308" s="75">
        <f>BD267</f>
        <v>0</v>
      </c>
      <c r="BE308" s="75">
        <f>BE267</f>
        <v>0</v>
      </c>
      <c r="BF308" s="75"/>
      <c r="BG308" s="75"/>
      <c r="BI308" s="75"/>
      <c r="BJ308" s="75"/>
      <c r="BK308" s="75"/>
    </row>
    <row r="309" spans="1:63" ht="21.6" hidden="1" customHeight="1">
      <c r="A309" s="187"/>
      <c r="B309" s="2341"/>
      <c r="C309" s="2341"/>
      <c r="D309" s="886"/>
      <c r="E309" s="886"/>
      <c r="F309" s="886"/>
      <c r="G309" s="886"/>
      <c r="H309" s="886"/>
      <c r="I309" s="886"/>
      <c r="J309" s="886"/>
      <c r="K309" s="886"/>
      <c r="L309" s="886"/>
      <c r="M309" s="886"/>
      <c r="N309" s="886"/>
      <c r="O309" s="886"/>
      <c r="P309" s="37"/>
      <c r="Q309" s="37"/>
      <c r="R309" s="37"/>
      <c r="S309" s="37"/>
      <c r="T309" s="37"/>
      <c r="U309" s="37"/>
      <c r="V309" s="37"/>
      <c r="W309" s="37"/>
      <c r="X309" s="37"/>
      <c r="Y309" s="37"/>
      <c r="Z309" s="37"/>
      <c r="AA309" s="37"/>
      <c r="AB309" s="37"/>
      <c r="AC309" s="370" t="str">
        <f>CONCATENATE(D267," ","TOTAL")</f>
        <v>MASONRY TOTAL</v>
      </c>
      <c r="AD309" s="2342">
        <f>SUBTOTAL(9,AD268:AD308)</f>
        <v>0</v>
      </c>
      <c r="AE309" s="2342"/>
      <c r="AF309" s="2342"/>
      <c r="AG309" s="2342">
        <f>SUBTOTAL(9,AG268:AG308)</f>
        <v>0</v>
      </c>
      <c r="AH309" s="2342"/>
      <c r="AI309" s="2342"/>
      <c r="AJ309" s="2342">
        <f>SUBTOTAL(9,AJ268:AJ308)</f>
        <v>0</v>
      </c>
      <c r="AK309" s="2342"/>
      <c r="AL309" s="2342"/>
      <c r="AM309" s="2342">
        <f>SUBTOTAL(9,AM268:AM308)</f>
        <v>0</v>
      </c>
      <c r="AN309" s="2342"/>
      <c r="AO309" s="2342"/>
      <c r="AP309" s="2342"/>
      <c r="AQ309" s="2336">
        <f>SUBTOTAL(9,AQ268:AQ308)</f>
        <v>0</v>
      </c>
      <c r="AR309" s="2336"/>
      <c r="AS309" s="2336"/>
      <c r="AT309" s="2336" t="e">
        <f>SUM(AT265:AT300)</f>
        <v>#REF!</v>
      </c>
      <c r="AV309" s="151" t="str">
        <f t="shared" si="140"/>
        <v>MASONRY</v>
      </c>
      <c r="AW309" s="682"/>
      <c r="AX309" s="695"/>
      <c r="AY309" s="695"/>
      <c r="AZ309" s="274"/>
      <c r="BA309" s="74">
        <f>BA267</f>
        <v>0</v>
      </c>
      <c r="BB309" s="74">
        <f>BB267</f>
        <v>0</v>
      </c>
      <c r="BC309" s="74">
        <f>BC267</f>
        <v>0</v>
      </c>
      <c r="BD309" s="74">
        <f>BD267</f>
        <v>0</v>
      </c>
      <c r="BE309" s="74">
        <f>BE267</f>
        <v>0</v>
      </c>
      <c r="BF309" s="74">
        <f>SUM(BF267:BF308)</f>
        <v>0</v>
      </c>
      <c r="BG309" s="49">
        <f>SUM(BG267:BG308)</f>
        <v>0</v>
      </c>
      <c r="BI309" s="74">
        <f>SUM(BI268:BI308)</f>
        <v>0</v>
      </c>
      <c r="BJ309" s="74">
        <f>SUM(BJ268:BJ308)</f>
        <v>0</v>
      </c>
      <c r="BK309" s="49">
        <f>SUM(BK268:BK308)</f>
        <v>0</v>
      </c>
    </row>
    <row r="310" spans="1:63" ht="5.0999999999999996" hidden="1" customHeight="1">
      <c r="A310" s="187"/>
      <c r="B310" s="64"/>
      <c r="C310" s="64"/>
      <c r="D310" s="885"/>
      <c r="E310" s="885"/>
      <c r="F310" s="885"/>
      <c r="G310" s="885"/>
      <c r="H310" s="885"/>
      <c r="I310" s="885"/>
      <c r="J310" s="885"/>
      <c r="K310" s="885"/>
      <c r="L310" s="885"/>
      <c r="M310" s="885"/>
      <c r="N310" s="885"/>
      <c r="O310" s="885"/>
      <c r="P310" s="66"/>
      <c r="Q310" s="66"/>
      <c r="R310" s="66"/>
      <c r="S310" s="66"/>
      <c r="T310" s="66"/>
      <c r="U310" s="67"/>
      <c r="V310" s="67"/>
      <c r="W310" s="67"/>
      <c r="X310" s="67"/>
      <c r="Y310" s="67"/>
      <c r="Z310" s="67"/>
      <c r="AA310" s="67"/>
      <c r="AB310" s="67"/>
      <c r="AC310" s="67"/>
      <c r="AD310" s="68"/>
      <c r="AE310" s="68"/>
      <c r="AF310" s="68"/>
      <c r="AG310" s="68"/>
      <c r="AH310" s="68"/>
      <c r="AI310" s="68"/>
      <c r="AJ310" s="68"/>
      <c r="AK310" s="68"/>
      <c r="AL310" s="68"/>
      <c r="AM310" s="69"/>
      <c r="AN310" s="69"/>
      <c r="AO310" s="69"/>
      <c r="AP310" s="69"/>
      <c r="AQ310" s="661"/>
      <c r="AR310" s="661"/>
      <c r="AS310" s="661"/>
      <c r="AT310" s="661"/>
      <c r="AV310" s="369" t="str">
        <f t="shared" si="140"/>
        <v>MASONRY</v>
      </c>
      <c r="AW310" s="696"/>
      <c r="AX310" s="696"/>
      <c r="AY310" s="696"/>
      <c r="AZ310" s="369"/>
      <c r="BA310" s="75">
        <f>BA267</f>
        <v>0</v>
      </c>
      <c r="BB310" s="75">
        <f>BB267</f>
        <v>0</v>
      </c>
      <c r="BC310" s="75">
        <f>BC267</f>
        <v>0</v>
      </c>
      <c r="BD310" s="75">
        <f>BD267</f>
        <v>0</v>
      </c>
      <c r="BE310" s="75">
        <f>BE267</f>
        <v>0</v>
      </c>
      <c r="BF310" s="75"/>
      <c r="BG310" s="75"/>
      <c r="BI310" s="75"/>
      <c r="BJ310" s="75"/>
      <c r="BK310" s="75"/>
    </row>
    <row r="311" spans="1:63" ht="9.6" hidden="1" customHeight="1">
      <c r="A311" s="187"/>
      <c r="B311" s="71"/>
      <c r="C311" s="71"/>
      <c r="D311" s="887"/>
      <c r="E311" s="887"/>
      <c r="F311" s="887"/>
      <c r="G311" s="887"/>
      <c r="H311" s="887"/>
      <c r="I311" s="887"/>
      <c r="J311" s="887"/>
      <c r="K311" s="887"/>
      <c r="L311" s="887"/>
      <c r="M311" s="887"/>
      <c r="N311" s="887"/>
      <c r="O311" s="887"/>
      <c r="P311" s="72"/>
      <c r="Q311" s="72"/>
      <c r="R311" s="72"/>
      <c r="S311" s="72"/>
      <c r="T311" s="72"/>
      <c r="U311" s="72"/>
      <c r="V311" s="72"/>
      <c r="W311" s="72"/>
      <c r="X311" s="72"/>
      <c r="Y311" s="72"/>
      <c r="Z311" s="72"/>
      <c r="AA311" s="72"/>
      <c r="AB311" s="72"/>
      <c r="AC311" s="73"/>
      <c r="AD311" s="662"/>
      <c r="AE311" s="662"/>
      <c r="AF311" s="662"/>
      <c r="AG311" s="662"/>
      <c r="AH311" s="662"/>
      <c r="AI311" s="662"/>
      <c r="AJ311" s="662"/>
      <c r="AK311" s="662"/>
      <c r="AL311" s="662"/>
      <c r="AM311" s="662"/>
      <c r="AN311" s="662"/>
      <c r="AO311" s="662"/>
      <c r="AP311" s="662"/>
      <c r="AQ311" s="663"/>
      <c r="AR311" s="663"/>
      <c r="AS311" s="663"/>
      <c r="AT311" s="663"/>
      <c r="AV311" s="371" t="str">
        <f t="shared" si="140"/>
        <v>MASONRY</v>
      </c>
      <c r="AW311" s="699"/>
      <c r="AX311" s="801"/>
      <c r="AY311" s="801"/>
      <c r="AZ311" s="371"/>
      <c r="BA311" s="125">
        <f>BA309</f>
        <v>0</v>
      </c>
      <c r="BB311" s="125">
        <f t="shared" ref="BB311:BG311" si="171">BB309</f>
        <v>0</v>
      </c>
      <c r="BC311" s="125">
        <f>BC309</f>
        <v>0</v>
      </c>
      <c r="BD311" s="125">
        <f t="shared" si="171"/>
        <v>0</v>
      </c>
      <c r="BE311" s="125">
        <f t="shared" si="171"/>
        <v>0</v>
      </c>
      <c r="BF311" s="125">
        <f t="shared" si="171"/>
        <v>0</v>
      </c>
      <c r="BG311" s="125">
        <f t="shared" si="171"/>
        <v>0</v>
      </c>
      <c r="BI311" s="125"/>
      <c r="BJ311" s="125"/>
      <c r="BK311" s="125"/>
    </row>
    <row r="312" spans="1:63" ht="22.35" customHeight="1">
      <c r="A312" s="186" t="s">
        <v>952</v>
      </c>
      <c r="B312" s="2350"/>
      <c r="C312" s="2351"/>
      <c r="D312" s="2392" t="str">
        <f>T(N80)</f>
        <v>SIDING</v>
      </c>
      <c r="E312" s="2393"/>
      <c r="F312" s="2393"/>
      <c r="G312" s="2393"/>
      <c r="H312" s="2393"/>
      <c r="I312" s="2393"/>
      <c r="J312" s="2393"/>
      <c r="K312" s="2393"/>
      <c r="L312" s="2393"/>
      <c r="M312" s="2393"/>
      <c r="N312" s="2393"/>
      <c r="O312" s="2394"/>
      <c r="P312" s="2352"/>
      <c r="Q312" s="2352"/>
      <c r="R312" s="2352"/>
      <c r="S312" s="2353"/>
      <c r="T312" s="2354"/>
      <c r="U312" s="2355"/>
      <c r="V312" s="2355"/>
      <c r="W312" s="2355"/>
      <c r="X312" s="2355"/>
      <c r="Y312" s="2355"/>
      <c r="Z312" s="2355"/>
      <c r="AA312" s="2355"/>
      <c r="AB312" s="2355"/>
      <c r="AC312" s="2355"/>
      <c r="AD312" s="2342">
        <f>AD354</f>
        <v>0</v>
      </c>
      <c r="AE312" s="2342"/>
      <c r="AF312" s="2342"/>
      <c r="AG312" s="2342">
        <f>AG354</f>
        <v>0</v>
      </c>
      <c r="AH312" s="2342"/>
      <c r="AI312" s="2342"/>
      <c r="AJ312" s="2342">
        <f>AJ354</f>
        <v>0</v>
      </c>
      <c r="AK312" s="2342"/>
      <c r="AL312" s="2342"/>
      <c r="AM312" s="2342">
        <f>AM354</f>
        <v>0</v>
      </c>
      <c r="AN312" s="2342"/>
      <c r="AO312" s="2342"/>
      <c r="AP312" s="2342"/>
      <c r="AQ312" s="2336">
        <f>AQ354</f>
        <v>0</v>
      </c>
      <c r="AR312" s="2336"/>
      <c r="AS312" s="2336"/>
      <c r="AT312" s="2336" t="e">
        <f>SUM(#REF!)</f>
        <v>#REF!</v>
      </c>
      <c r="AV312" s="151" t="str">
        <f t="shared" ref="AV312:AV356" si="172">$D$312</f>
        <v>SIDING</v>
      </c>
      <c r="AW312" s="700"/>
      <c r="AX312" s="700"/>
      <c r="AY312" s="700"/>
      <c r="AZ312" s="701"/>
      <c r="BA312" s="49">
        <f>SUM(BA313:BA352)</f>
        <v>0</v>
      </c>
      <c r="BB312" s="49">
        <f>SUM(BB313:BB352)</f>
        <v>0</v>
      </c>
      <c r="BC312" s="49">
        <f>SUM(BC313:BC352)</f>
        <v>0</v>
      </c>
      <c r="BD312" s="49">
        <f>SUM(BD313:BD352)</f>
        <v>0</v>
      </c>
      <c r="BE312" s="49">
        <f>SUM(BE313:BE352)</f>
        <v>0</v>
      </c>
      <c r="BF312" s="49">
        <f t="shared" ref="BF312:BF332" si="173">AQ312</f>
        <v>0</v>
      </c>
      <c r="BG312" s="49">
        <f t="shared" ref="BG312:BG332" si="174">AM312</f>
        <v>0</v>
      </c>
      <c r="BI312" s="134">
        <f>AD312</f>
        <v>0</v>
      </c>
      <c r="BJ312" s="134">
        <f>AM312</f>
        <v>0</v>
      </c>
      <c r="BK312" s="134">
        <f>BJ312+BI312</f>
        <v>0</v>
      </c>
    </row>
    <row r="313" spans="1:63" hidden="1">
      <c r="A313" s="187"/>
      <c r="B313" s="2321"/>
      <c r="C313" s="2322"/>
      <c r="D313" s="2338" t="s">
        <v>54</v>
      </c>
      <c r="E313" s="2338"/>
      <c r="F313" s="2338"/>
      <c r="G313" s="2338"/>
      <c r="H313" s="2338"/>
      <c r="I313" s="2338"/>
      <c r="J313" s="2338"/>
      <c r="K313" s="2338"/>
      <c r="L313" s="2338"/>
      <c r="M313" s="2338"/>
      <c r="N313" s="2338"/>
      <c r="O313" s="2338"/>
      <c r="P313" s="2324"/>
      <c r="Q313" s="2324"/>
      <c r="R313" s="2325"/>
      <c r="S313" s="2324" t="s">
        <v>3</v>
      </c>
      <c r="T313" s="2324" t="s">
        <v>3</v>
      </c>
      <c r="U313" s="2326"/>
      <c r="V313" s="2327"/>
      <c r="W313" s="2327"/>
      <c r="X313" s="2327"/>
      <c r="Y313" s="2327"/>
      <c r="Z313" s="2327"/>
      <c r="AA313" s="2328"/>
      <c r="AB313" s="2329"/>
      <c r="AC313" s="2326"/>
      <c r="AD313" s="2330">
        <f t="shared" ref="AD313:AD332" si="175">((P313*U313)-AM313)</f>
        <v>0</v>
      </c>
      <c r="AE313" s="2330"/>
      <c r="AF313" s="2330"/>
      <c r="AG313" s="2330">
        <f>P313*X313*(1+$Y$85)</f>
        <v>0</v>
      </c>
      <c r="AH313" s="2330"/>
      <c r="AI313" s="2330"/>
      <c r="AJ313" s="2330">
        <f t="shared" ref="AJ313:AJ332" si="176">P313*AA313</f>
        <v>0</v>
      </c>
      <c r="AK313" s="2330"/>
      <c r="AL313" s="2330"/>
      <c r="AM313" s="2331">
        <f t="shared" ref="AM313:AM352" si="177">IF($B313="x",$P313*$U313,0)</f>
        <v>0</v>
      </c>
      <c r="AN313" s="2331"/>
      <c r="AO313" s="2331"/>
      <c r="AP313" s="2331"/>
      <c r="AQ313" s="2332">
        <f t="shared" ref="AQ313:AQ332" si="178">SUM(AD313:AL313)</f>
        <v>0</v>
      </c>
      <c r="AR313" s="2332"/>
      <c r="AS313" s="2332"/>
      <c r="AT313" s="2332">
        <f t="shared" ref="AT313:AT332" si="179">SUM(AD313:AL313)</f>
        <v>0</v>
      </c>
      <c r="AV313" s="151" t="str">
        <f t="shared" si="172"/>
        <v>SIDING</v>
      </c>
      <c r="AW313" s="681"/>
      <c r="AX313" s="230"/>
      <c r="AY313" s="230"/>
      <c r="AZ313" s="679"/>
      <c r="BA313" s="49">
        <f t="shared" ref="BA313:BA332" si="180">AD313</f>
        <v>0</v>
      </c>
      <c r="BB313" s="49">
        <f>AG313</f>
        <v>0</v>
      </c>
      <c r="BC313" s="49">
        <f>AJ313</f>
        <v>0</v>
      </c>
      <c r="BD313" s="49">
        <f t="shared" ref="BD313:BD332" si="181">IF(B313="x",1,0)</f>
        <v>0</v>
      </c>
      <c r="BE313" s="49">
        <f>SUM(BA313:BC313)</f>
        <v>0</v>
      </c>
      <c r="BF313" s="49">
        <f t="shared" si="173"/>
        <v>0</v>
      </c>
      <c r="BG313" s="49">
        <f t="shared" si="174"/>
        <v>0</v>
      </c>
      <c r="BI313" s="134">
        <f>AD313</f>
        <v>0</v>
      </c>
      <c r="BJ313" s="134">
        <f t="shared" ref="BJ313:BJ332" si="182">AM313</f>
        <v>0</v>
      </c>
      <c r="BK313" s="134">
        <f>BJ313+BI313</f>
        <v>0</v>
      </c>
    </row>
    <row r="314" spans="1:63" hidden="1">
      <c r="A314" s="187"/>
      <c r="B314" s="2321"/>
      <c r="C314" s="2322"/>
      <c r="D314" s="2334" t="s">
        <v>14</v>
      </c>
      <c r="E314" s="2334"/>
      <c r="F314" s="2334"/>
      <c r="G314" s="2334"/>
      <c r="H314" s="2334"/>
      <c r="I314" s="2334"/>
      <c r="J314" s="2334"/>
      <c r="K314" s="2334"/>
      <c r="L314" s="2334"/>
      <c r="M314" s="2334"/>
      <c r="N314" s="2334"/>
      <c r="O314" s="2334"/>
      <c r="P314" s="2324"/>
      <c r="Q314" s="2324"/>
      <c r="R314" s="2325"/>
      <c r="S314" s="2324" t="s">
        <v>11</v>
      </c>
      <c r="T314" s="2324" t="s">
        <v>11</v>
      </c>
      <c r="U314" s="2326">
        <v>0.75</v>
      </c>
      <c r="V314" s="2327"/>
      <c r="W314" s="2327"/>
      <c r="X314" s="2327"/>
      <c r="Y314" s="2327"/>
      <c r="Z314" s="2327"/>
      <c r="AA314" s="2328"/>
      <c r="AB314" s="2329"/>
      <c r="AC314" s="2326"/>
      <c r="AD314" s="2330">
        <f t="shared" si="175"/>
        <v>0</v>
      </c>
      <c r="AE314" s="2330"/>
      <c r="AF314" s="2330"/>
      <c r="AG314" s="2330">
        <f t="shared" ref="AG314:AG352" si="183">P314*X314*(1+$Y$85)</f>
        <v>0</v>
      </c>
      <c r="AH314" s="2330"/>
      <c r="AI314" s="2330"/>
      <c r="AJ314" s="2330">
        <f t="shared" si="176"/>
        <v>0</v>
      </c>
      <c r="AK314" s="2330"/>
      <c r="AL314" s="2330"/>
      <c r="AM314" s="2331">
        <f t="shared" si="177"/>
        <v>0</v>
      </c>
      <c r="AN314" s="2331"/>
      <c r="AO314" s="2331"/>
      <c r="AP314" s="2331"/>
      <c r="AQ314" s="2332">
        <f t="shared" si="178"/>
        <v>0</v>
      </c>
      <c r="AR314" s="2332"/>
      <c r="AS314" s="2332"/>
      <c r="AT314" s="2332">
        <f t="shared" si="179"/>
        <v>0</v>
      </c>
      <c r="AV314" s="151" t="str">
        <f t="shared" si="172"/>
        <v>SIDING</v>
      </c>
      <c r="AW314" s="681"/>
      <c r="AX314" s="230"/>
      <c r="AY314" s="230"/>
      <c r="AZ314" s="679"/>
      <c r="BA314" s="49">
        <f t="shared" si="180"/>
        <v>0</v>
      </c>
      <c r="BB314" s="49">
        <f t="shared" ref="BB314:BB332" si="184">AG314</f>
        <v>0</v>
      </c>
      <c r="BC314" s="49">
        <f t="shared" ref="BC314:BC332" si="185">AJ314</f>
        <v>0</v>
      </c>
      <c r="BD314" s="49">
        <f t="shared" si="181"/>
        <v>0</v>
      </c>
      <c r="BE314" s="49">
        <f t="shared" ref="BE314:BE330" si="186">SUM(BA314:BC314)</f>
        <v>0</v>
      </c>
      <c r="BF314" s="49">
        <f t="shared" si="173"/>
        <v>0</v>
      </c>
      <c r="BG314" s="49">
        <f t="shared" si="174"/>
        <v>0</v>
      </c>
      <c r="BI314" s="134">
        <f t="shared" ref="BI314:BI332" si="187">AD314</f>
        <v>0</v>
      </c>
      <c r="BJ314" s="134">
        <f t="shared" si="182"/>
        <v>0</v>
      </c>
      <c r="BK314" s="134">
        <f t="shared" ref="BK314:BK332" si="188">BJ314+BI314</f>
        <v>0</v>
      </c>
    </row>
    <row r="315" spans="1:63" hidden="1">
      <c r="A315" s="187"/>
      <c r="B315" s="2321"/>
      <c r="C315" s="2322"/>
      <c r="D315" s="2334" t="s">
        <v>658</v>
      </c>
      <c r="E315" s="2334"/>
      <c r="F315" s="2334"/>
      <c r="G315" s="2334"/>
      <c r="H315" s="2334"/>
      <c r="I315" s="2334"/>
      <c r="J315" s="2334"/>
      <c r="K315" s="2334"/>
      <c r="L315" s="2334"/>
      <c r="M315" s="2334"/>
      <c r="N315" s="2334"/>
      <c r="O315" s="2334"/>
      <c r="P315" s="2324"/>
      <c r="Q315" s="2324"/>
      <c r="R315" s="2325"/>
      <c r="S315" s="2324" t="s">
        <v>11</v>
      </c>
      <c r="T315" s="2324" t="s">
        <v>11</v>
      </c>
      <c r="U315" s="2326">
        <v>1.1499999999999999</v>
      </c>
      <c r="V315" s="2327"/>
      <c r="W315" s="2327"/>
      <c r="X315" s="2327">
        <v>1.25</v>
      </c>
      <c r="Y315" s="2327"/>
      <c r="Z315" s="2327">
        <v>1.25</v>
      </c>
      <c r="AA315" s="2328"/>
      <c r="AB315" s="2329"/>
      <c r="AC315" s="2326"/>
      <c r="AD315" s="2330">
        <f t="shared" si="175"/>
        <v>0</v>
      </c>
      <c r="AE315" s="2330"/>
      <c r="AF315" s="2330"/>
      <c r="AG315" s="2330">
        <f t="shared" si="183"/>
        <v>0</v>
      </c>
      <c r="AH315" s="2330"/>
      <c r="AI315" s="2330"/>
      <c r="AJ315" s="2330">
        <f t="shared" si="176"/>
        <v>0</v>
      </c>
      <c r="AK315" s="2330"/>
      <c r="AL315" s="2330"/>
      <c r="AM315" s="2331">
        <f t="shared" si="177"/>
        <v>0</v>
      </c>
      <c r="AN315" s="2331"/>
      <c r="AO315" s="2331"/>
      <c r="AP315" s="2331"/>
      <c r="AQ315" s="2332">
        <f t="shared" si="178"/>
        <v>0</v>
      </c>
      <c r="AR315" s="2332"/>
      <c r="AS315" s="2332"/>
      <c r="AT315" s="2332">
        <f t="shared" si="179"/>
        <v>0</v>
      </c>
      <c r="AV315" s="151" t="str">
        <f t="shared" si="172"/>
        <v>SIDING</v>
      </c>
      <c r="AW315" s="681"/>
      <c r="AX315" s="230"/>
      <c r="AY315" s="230"/>
      <c r="AZ315" s="679"/>
      <c r="BA315" s="49">
        <f t="shared" si="180"/>
        <v>0</v>
      </c>
      <c r="BB315" s="49">
        <f t="shared" si="184"/>
        <v>0</v>
      </c>
      <c r="BC315" s="49">
        <f t="shared" si="185"/>
        <v>0</v>
      </c>
      <c r="BD315" s="49">
        <f t="shared" si="181"/>
        <v>0</v>
      </c>
      <c r="BE315" s="49">
        <f t="shared" si="186"/>
        <v>0</v>
      </c>
      <c r="BF315" s="49">
        <f t="shared" si="173"/>
        <v>0</v>
      </c>
      <c r="BG315" s="49">
        <f t="shared" si="174"/>
        <v>0</v>
      </c>
      <c r="BI315" s="134">
        <f t="shared" si="187"/>
        <v>0</v>
      </c>
      <c r="BJ315" s="134">
        <f t="shared" si="182"/>
        <v>0</v>
      </c>
      <c r="BK315" s="134">
        <f t="shared" si="188"/>
        <v>0</v>
      </c>
    </row>
    <row r="316" spans="1:63" hidden="1">
      <c r="A316" s="187"/>
      <c r="B316" s="2321"/>
      <c r="C316" s="2322"/>
      <c r="D316" s="2334" t="s">
        <v>659</v>
      </c>
      <c r="E316" s="2334"/>
      <c r="F316" s="2334"/>
      <c r="G316" s="2334"/>
      <c r="H316" s="2334"/>
      <c r="I316" s="2334"/>
      <c r="J316" s="2334"/>
      <c r="K316" s="2334"/>
      <c r="L316" s="2334"/>
      <c r="M316" s="2334"/>
      <c r="N316" s="2334"/>
      <c r="O316" s="2334"/>
      <c r="P316" s="2324"/>
      <c r="Q316" s="2324"/>
      <c r="R316" s="2325"/>
      <c r="S316" s="2324" t="s">
        <v>11</v>
      </c>
      <c r="T316" s="2324" t="s">
        <v>11</v>
      </c>
      <c r="U316" s="2326">
        <v>1.2</v>
      </c>
      <c r="V316" s="2327"/>
      <c r="W316" s="2327"/>
      <c r="X316" s="2327">
        <v>2.75</v>
      </c>
      <c r="Y316" s="2327"/>
      <c r="Z316" s="2327">
        <v>1</v>
      </c>
      <c r="AA316" s="2328"/>
      <c r="AB316" s="2329"/>
      <c r="AC316" s="2326"/>
      <c r="AD316" s="2330">
        <f t="shared" si="175"/>
        <v>0</v>
      </c>
      <c r="AE316" s="2330"/>
      <c r="AF316" s="2330"/>
      <c r="AG316" s="2330">
        <f t="shared" si="183"/>
        <v>0</v>
      </c>
      <c r="AH316" s="2330"/>
      <c r="AI316" s="2330"/>
      <c r="AJ316" s="2330">
        <f t="shared" si="176"/>
        <v>0</v>
      </c>
      <c r="AK316" s="2330"/>
      <c r="AL316" s="2330"/>
      <c r="AM316" s="2331">
        <f t="shared" si="177"/>
        <v>0</v>
      </c>
      <c r="AN316" s="2331"/>
      <c r="AO316" s="2331"/>
      <c r="AP316" s="2331"/>
      <c r="AQ316" s="2332">
        <f t="shared" si="178"/>
        <v>0</v>
      </c>
      <c r="AR316" s="2332"/>
      <c r="AS316" s="2332"/>
      <c r="AT316" s="2332">
        <f t="shared" si="179"/>
        <v>0</v>
      </c>
      <c r="AV316" s="151" t="str">
        <f t="shared" si="172"/>
        <v>SIDING</v>
      </c>
      <c r="AW316" s="681"/>
      <c r="AX316" s="230"/>
      <c r="AY316" s="230"/>
      <c r="AZ316" s="679"/>
      <c r="BA316" s="49">
        <f t="shared" si="180"/>
        <v>0</v>
      </c>
      <c r="BB316" s="49">
        <f t="shared" si="184"/>
        <v>0</v>
      </c>
      <c r="BC316" s="49">
        <f t="shared" si="185"/>
        <v>0</v>
      </c>
      <c r="BD316" s="49">
        <f t="shared" si="181"/>
        <v>0</v>
      </c>
      <c r="BE316" s="49">
        <f t="shared" si="186"/>
        <v>0</v>
      </c>
      <c r="BF316" s="49">
        <f t="shared" si="173"/>
        <v>0</v>
      </c>
      <c r="BG316" s="49">
        <f t="shared" si="174"/>
        <v>0</v>
      </c>
      <c r="BI316" s="134">
        <f t="shared" si="187"/>
        <v>0</v>
      </c>
      <c r="BJ316" s="134">
        <f t="shared" si="182"/>
        <v>0</v>
      </c>
      <c r="BK316" s="134">
        <f t="shared" si="188"/>
        <v>0</v>
      </c>
    </row>
    <row r="317" spans="1:63" hidden="1">
      <c r="A317" s="187"/>
      <c r="B317" s="2321"/>
      <c r="C317" s="2322"/>
      <c r="D317" s="2334" t="s">
        <v>660</v>
      </c>
      <c r="E317" s="2334"/>
      <c r="F317" s="2334"/>
      <c r="G317" s="2334"/>
      <c r="H317" s="2334"/>
      <c r="I317" s="2334"/>
      <c r="J317" s="2334"/>
      <c r="K317" s="2334"/>
      <c r="L317" s="2334"/>
      <c r="M317" s="2334"/>
      <c r="N317" s="2334"/>
      <c r="O317" s="2334"/>
      <c r="P317" s="2324"/>
      <c r="Q317" s="2324"/>
      <c r="R317" s="2325"/>
      <c r="S317" s="2324" t="s">
        <v>11</v>
      </c>
      <c r="T317" s="2324" t="s">
        <v>11</v>
      </c>
      <c r="U317" s="2326">
        <v>1.25</v>
      </c>
      <c r="V317" s="2327"/>
      <c r="W317" s="2327"/>
      <c r="X317" s="2327">
        <v>2.5</v>
      </c>
      <c r="Y317" s="2327"/>
      <c r="Z317" s="2327">
        <v>1.5</v>
      </c>
      <c r="AA317" s="2328"/>
      <c r="AB317" s="2329"/>
      <c r="AC317" s="2326"/>
      <c r="AD317" s="2330">
        <f t="shared" si="175"/>
        <v>0</v>
      </c>
      <c r="AE317" s="2330"/>
      <c r="AF317" s="2330"/>
      <c r="AG317" s="2330">
        <f t="shared" si="183"/>
        <v>0</v>
      </c>
      <c r="AH317" s="2330"/>
      <c r="AI317" s="2330"/>
      <c r="AJ317" s="2330">
        <f t="shared" si="176"/>
        <v>0</v>
      </c>
      <c r="AK317" s="2330"/>
      <c r="AL317" s="2330"/>
      <c r="AM317" s="2331">
        <f t="shared" si="177"/>
        <v>0</v>
      </c>
      <c r="AN317" s="2331"/>
      <c r="AO317" s="2331"/>
      <c r="AP317" s="2331"/>
      <c r="AQ317" s="2332">
        <f t="shared" si="178"/>
        <v>0</v>
      </c>
      <c r="AR317" s="2332"/>
      <c r="AS317" s="2332"/>
      <c r="AT317" s="2332">
        <f t="shared" si="179"/>
        <v>0</v>
      </c>
      <c r="AV317" s="151" t="str">
        <f t="shared" si="172"/>
        <v>SIDING</v>
      </c>
      <c r="AW317" s="681"/>
      <c r="AX317" s="230"/>
      <c r="AY317" s="230"/>
      <c r="AZ317" s="679"/>
      <c r="BA317" s="49">
        <f t="shared" si="180"/>
        <v>0</v>
      </c>
      <c r="BB317" s="49">
        <f t="shared" si="184"/>
        <v>0</v>
      </c>
      <c r="BC317" s="49">
        <f t="shared" si="185"/>
        <v>0</v>
      </c>
      <c r="BD317" s="49">
        <f t="shared" si="181"/>
        <v>0</v>
      </c>
      <c r="BE317" s="49">
        <f t="shared" si="186"/>
        <v>0</v>
      </c>
      <c r="BF317" s="49">
        <f t="shared" si="173"/>
        <v>0</v>
      </c>
      <c r="BG317" s="49">
        <f t="shared" si="174"/>
        <v>0</v>
      </c>
      <c r="BI317" s="134">
        <f t="shared" si="187"/>
        <v>0</v>
      </c>
      <c r="BJ317" s="134">
        <f t="shared" si="182"/>
        <v>0</v>
      </c>
      <c r="BK317" s="134">
        <f t="shared" si="188"/>
        <v>0</v>
      </c>
    </row>
    <row r="318" spans="1:63" hidden="1">
      <c r="A318" s="187"/>
      <c r="B318" s="2333"/>
      <c r="C318" s="2333"/>
      <c r="D318" s="2334" t="s">
        <v>661</v>
      </c>
      <c r="E318" s="2334"/>
      <c r="F318" s="2334"/>
      <c r="G318" s="2334"/>
      <c r="H318" s="2334"/>
      <c r="I318" s="2334"/>
      <c r="J318" s="2334"/>
      <c r="K318" s="2334"/>
      <c r="L318" s="2334"/>
      <c r="M318" s="2334"/>
      <c r="N318" s="2334"/>
      <c r="O318" s="2334"/>
      <c r="P318" s="2324"/>
      <c r="Q318" s="2324"/>
      <c r="R318" s="2325"/>
      <c r="S318" s="2324" t="s">
        <v>11</v>
      </c>
      <c r="T318" s="2324" t="s">
        <v>11</v>
      </c>
      <c r="U318" s="2326">
        <v>1.75</v>
      </c>
      <c r="V318" s="2327"/>
      <c r="W318" s="2327"/>
      <c r="X318" s="2327">
        <v>4</v>
      </c>
      <c r="Y318" s="2327"/>
      <c r="Z318" s="2327">
        <v>1</v>
      </c>
      <c r="AA318" s="2328"/>
      <c r="AB318" s="2329"/>
      <c r="AC318" s="2326"/>
      <c r="AD318" s="2330">
        <f t="shared" si="175"/>
        <v>0</v>
      </c>
      <c r="AE318" s="2330"/>
      <c r="AF318" s="2330"/>
      <c r="AG318" s="2330">
        <f t="shared" si="183"/>
        <v>0</v>
      </c>
      <c r="AH318" s="2330"/>
      <c r="AI318" s="2330"/>
      <c r="AJ318" s="2330">
        <f t="shared" si="176"/>
        <v>0</v>
      </c>
      <c r="AK318" s="2330"/>
      <c r="AL318" s="2330"/>
      <c r="AM318" s="2331">
        <f t="shared" si="177"/>
        <v>0</v>
      </c>
      <c r="AN318" s="2331"/>
      <c r="AO318" s="2331"/>
      <c r="AP318" s="2331"/>
      <c r="AQ318" s="2332">
        <f t="shared" si="178"/>
        <v>0</v>
      </c>
      <c r="AR318" s="2332"/>
      <c r="AS318" s="2332"/>
      <c r="AT318" s="2332">
        <f t="shared" si="179"/>
        <v>0</v>
      </c>
      <c r="AV318" s="151" t="str">
        <f t="shared" si="172"/>
        <v>SIDING</v>
      </c>
      <c r="AW318" s="681"/>
      <c r="AX318" s="230"/>
      <c r="AY318" s="230"/>
      <c r="AZ318" s="679"/>
      <c r="BA318" s="49">
        <f t="shared" si="180"/>
        <v>0</v>
      </c>
      <c r="BB318" s="49">
        <f t="shared" si="184"/>
        <v>0</v>
      </c>
      <c r="BC318" s="49">
        <f t="shared" si="185"/>
        <v>0</v>
      </c>
      <c r="BD318" s="49">
        <f t="shared" si="181"/>
        <v>0</v>
      </c>
      <c r="BE318" s="49">
        <f t="shared" si="186"/>
        <v>0</v>
      </c>
      <c r="BF318" s="49">
        <f t="shared" si="173"/>
        <v>0</v>
      </c>
      <c r="BG318" s="49">
        <f t="shared" si="174"/>
        <v>0</v>
      </c>
      <c r="BI318" s="134">
        <f t="shared" si="187"/>
        <v>0</v>
      </c>
      <c r="BJ318" s="134">
        <f t="shared" si="182"/>
        <v>0</v>
      </c>
      <c r="BK318" s="134">
        <f t="shared" si="188"/>
        <v>0</v>
      </c>
    </row>
    <row r="319" spans="1:63" hidden="1">
      <c r="A319" s="187"/>
      <c r="B319" s="2333"/>
      <c r="C319" s="2333"/>
      <c r="D319" s="2334" t="s">
        <v>662</v>
      </c>
      <c r="E319" s="2334"/>
      <c r="F319" s="2334"/>
      <c r="G319" s="2334"/>
      <c r="H319" s="2334"/>
      <c r="I319" s="2334"/>
      <c r="J319" s="2334"/>
      <c r="K319" s="2334"/>
      <c r="L319" s="2334"/>
      <c r="M319" s="2334"/>
      <c r="N319" s="2334"/>
      <c r="O319" s="2334"/>
      <c r="P319" s="2324"/>
      <c r="Q319" s="2324"/>
      <c r="R319" s="2325"/>
      <c r="S319" s="2324" t="s">
        <v>11</v>
      </c>
      <c r="T319" s="2324" t="s">
        <v>11</v>
      </c>
      <c r="U319" s="2326">
        <v>2.25</v>
      </c>
      <c r="V319" s="2327"/>
      <c r="W319" s="2327"/>
      <c r="X319" s="2327">
        <v>1</v>
      </c>
      <c r="Y319" s="2327"/>
      <c r="Z319" s="2327">
        <v>1.5</v>
      </c>
      <c r="AA319" s="2328"/>
      <c r="AB319" s="2329"/>
      <c r="AC319" s="2326"/>
      <c r="AD319" s="2330">
        <f t="shared" si="175"/>
        <v>0</v>
      </c>
      <c r="AE319" s="2330"/>
      <c r="AF319" s="2330"/>
      <c r="AG319" s="2330">
        <f t="shared" si="183"/>
        <v>0</v>
      </c>
      <c r="AH319" s="2330"/>
      <c r="AI319" s="2330"/>
      <c r="AJ319" s="2330">
        <f t="shared" si="176"/>
        <v>0</v>
      </c>
      <c r="AK319" s="2330"/>
      <c r="AL319" s="2330"/>
      <c r="AM319" s="2331">
        <f t="shared" si="177"/>
        <v>0</v>
      </c>
      <c r="AN319" s="2331"/>
      <c r="AO319" s="2331"/>
      <c r="AP319" s="2331"/>
      <c r="AQ319" s="2332">
        <f t="shared" si="178"/>
        <v>0</v>
      </c>
      <c r="AR319" s="2332"/>
      <c r="AS319" s="2332"/>
      <c r="AT319" s="2332">
        <f t="shared" si="179"/>
        <v>0</v>
      </c>
      <c r="AV319" s="151" t="str">
        <f t="shared" si="172"/>
        <v>SIDING</v>
      </c>
      <c r="AW319" s="681"/>
      <c r="AX319" s="230"/>
      <c r="AY319" s="230"/>
      <c r="AZ319" s="679"/>
      <c r="BA319" s="49">
        <f t="shared" si="180"/>
        <v>0</v>
      </c>
      <c r="BB319" s="49">
        <f t="shared" si="184"/>
        <v>0</v>
      </c>
      <c r="BC319" s="49">
        <f t="shared" si="185"/>
        <v>0</v>
      </c>
      <c r="BD319" s="49">
        <f t="shared" si="181"/>
        <v>0</v>
      </c>
      <c r="BE319" s="49">
        <f t="shared" si="186"/>
        <v>0</v>
      </c>
      <c r="BF319" s="49">
        <f t="shared" si="173"/>
        <v>0</v>
      </c>
      <c r="BG319" s="49">
        <f t="shared" si="174"/>
        <v>0</v>
      </c>
      <c r="BI319" s="134">
        <f t="shared" si="187"/>
        <v>0</v>
      </c>
      <c r="BJ319" s="134">
        <f t="shared" si="182"/>
        <v>0</v>
      </c>
      <c r="BK319" s="134">
        <f t="shared" si="188"/>
        <v>0</v>
      </c>
    </row>
    <row r="320" spans="1:63" hidden="1">
      <c r="A320" s="187"/>
      <c r="B320" s="2333"/>
      <c r="C320" s="2333"/>
      <c r="D320" s="2334" t="s">
        <v>663</v>
      </c>
      <c r="E320" s="2334"/>
      <c r="F320" s="2334"/>
      <c r="G320" s="2334"/>
      <c r="H320" s="2334"/>
      <c r="I320" s="2334"/>
      <c r="J320" s="2334"/>
      <c r="K320" s="2334"/>
      <c r="L320" s="2334"/>
      <c r="M320" s="2334"/>
      <c r="N320" s="2334"/>
      <c r="O320" s="2334"/>
      <c r="P320" s="2324"/>
      <c r="Q320" s="2324"/>
      <c r="R320" s="2325"/>
      <c r="S320" s="2324" t="s">
        <v>11</v>
      </c>
      <c r="T320" s="2324"/>
      <c r="U320" s="2326">
        <v>2.5</v>
      </c>
      <c r="V320" s="2327"/>
      <c r="W320" s="2327"/>
      <c r="X320" s="2327">
        <v>1</v>
      </c>
      <c r="Y320" s="2327"/>
      <c r="Z320" s="2327"/>
      <c r="AA320" s="2328"/>
      <c r="AB320" s="2329"/>
      <c r="AC320" s="2326"/>
      <c r="AD320" s="2330">
        <f t="shared" si="175"/>
        <v>0</v>
      </c>
      <c r="AE320" s="2330"/>
      <c r="AF320" s="2330"/>
      <c r="AG320" s="2330">
        <f t="shared" si="183"/>
        <v>0</v>
      </c>
      <c r="AH320" s="2330"/>
      <c r="AI320" s="2330"/>
      <c r="AJ320" s="2330">
        <f t="shared" si="176"/>
        <v>0</v>
      </c>
      <c r="AK320" s="2330"/>
      <c r="AL320" s="2330"/>
      <c r="AM320" s="2331">
        <f t="shared" si="177"/>
        <v>0</v>
      </c>
      <c r="AN320" s="2331"/>
      <c r="AO320" s="2331"/>
      <c r="AP320" s="2331"/>
      <c r="AQ320" s="2332">
        <f t="shared" si="178"/>
        <v>0</v>
      </c>
      <c r="AR320" s="2332"/>
      <c r="AS320" s="2332"/>
      <c r="AT320" s="2332">
        <f t="shared" si="179"/>
        <v>0</v>
      </c>
      <c r="AV320" s="151" t="str">
        <f t="shared" si="172"/>
        <v>SIDING</v>
      </c>
      <c r="AW320" s="681"/>
      <c r="AX320" s="230"/>
      <c r="AY320" s="230"/>
      <c r="AZ320" s="679"/>
      <c r="BA320" s="49">
        <f t="shared" si="180"/>
        <v>0</v>
      </c>
      <c r="BB320" s="49">
        <f t="shared" si="184"/>
        <v>0</v>
      </c>
      <c r="BC320" s="49">
        <f t="shared" si="185"/>
        <v>0</v>
      </c>
      <c r="BD320" s="49">
        <f t="shared" si="181"/>
        <v>0</v>
      </c>
      <c r="BE320" s="49">
        <f t="shared" si="186"/>
        <v>0</v>
      </c>
      <c r="BF320" s="49">
        <f t="shared" si="173"/>
        <v>0</v>
      </c>
      <c r="BG320" s="49">
        <f t="shared" si="174"/>
        <v>0</v>
      </c>
      <c r="BI320" s="134">
        <f t="shared" si="187"/>
        <v>0</v>
      </c>
      <c r="BJ320" s="134">
        <f t="shared" si="182"/>
        <v>0</v>
      </c>
      <c r="BK320" s="134">
        <f t="shared" si="188"/>
        <v>0</v>
      </c>
    </row>
    <row r="321" spans="1:63" hidden="1">
      <c r="A321" s="187"/>
      <c r="B321" s="2321"/>
      <c r="C321" s="2322"/>
      <c r="D321" s="2334" t="s">
        <v>664</v>
      </c>
      <c r="E321" s="2334"/>
      <c r="F321" s="2334"/>
      <c r="G321" s="2334"/>
      <c r="H321" s="2334"/>
      <c r="I321" s="2334"/>
      <c r="J321" s="2334"/>
      <c r="K321" s="2334"/>
      <c r="L321" s="2334"/>
      <c r="M321" s="2334"/>
      <c r="N321" s="2334"/>
      <c r="O321" s="2334"/>
      <c r="P321" s="2324"/>
      <c r="Q321" s="2324"/>
      <c r="R321" s="2325"/>
      <c r="S321" s="2324" t="s">
        <v>11</v>
      </c>
      <c r="T321" s="2324"/>
      <c r="U321" s="2326">
        <v>2.75</v>
      </c>
      <c r="V321" s="2327"/>
      <c r="W321" s="2327"/>
      <c r="X321" s="2327">
        <v>1.75</v>
      </c>
      <c r="Y321" s="2327"/>
      <c r="Z321" s="2327"/>
      <c r="AA321" s="2328"/>
      <c r="AB321" s="2329"/>
      <c r="AC321" s="2326"/>
      <c r="AD321" s="2330">
        <f t="shared" si="175"/>
        <v>0</v>
      </c>
      <c r="AE321" s="2330"/>
      <c r="AF321" s="2330"/>
      <c r="AG321" s="2330">
        <f t="shared" si="183"/>
        <v>0</v>
      </c>
      <c r="AH321" s="2330"/>
      <c r="AI321" s="2330"/>
      <c r="AJ321" s="2330">
        <f t="shared" si="176"/>
        <v>0</v>
      </c>
      <c r="AK321" s="2330"/>
      <c r="AL321" s="2330"/>
      <c r="AM321" s="2331">
        <f t="shared" si="177"/>
        <v>0</v>
      </c>
      <c r="AN321" s="2331"/>
      <c r="AO321" s="2331"/>
      <c r="AP321" s="2331"/>
      <c r="AQ321" s="2332">
        <f t="shared" si="178"/>
        <v>0</v>
      </c>
      <c r="AR321" s="2332"/>
      <c r="AS321" s="2332"/>
      <c r="AT321" s="2332">
        <f t="shared" si="179"/>
        <v>0</v>
      </c>
      <c r="AV321" s="151" t="str">
        <f t="shared" si="172"/>
        <v>SIDING</v>
      </c>
      <c r="AW321" s="681"/>
      <c r="AX321" s="230"/>
      <c r="AY321" s="230"/>
      <c r="AZ321" s="679"/>
      <c r="BA321" s="49">
        <f t="shared" si="180"/>
        <v>0</v>
      </c>
      <c r="BB321" s="49">
        <f t="shared" si="184"/>
        <v>0</v>
      </c>
      <c r="BC321" s="49">
        <f t="shared" si="185"/>
        <v>0</v>
      </c>
      <c r="BD321" s="49">
        <f t="shared" si="181"/>
        <v>0</v>
      </c>
      <c r="BE321" s="49">
        <f t="shared" si="186"/>
        <v>0</v>
      </c>
      <c r="BF321" s="49">
        <f t="shared" si="173"/>
        <v>0</v>
      </c>
      <c r="BG321" s="49">
        <f t="shared" si="174"/>
        <v>0</v>
      </c>
      <c r="BI321" s="134">
        <f t="shared" si="187"/>
        <v>0</v>
      </c>
      <c r="BJ321" s="134">
        <f t="shared" si="182"/>
        <v>0</v>
      </c>
      <c r="BK321" s="134">
        <f t="shared" si="188"/>
        <v>0</v>
      </c>
    </row>
    <row r="322" spans="1:63" hidden="1">
      <c r="A322" s="187"/>
      <c r="B322" s="2321"/>
      <c r="C322" s="2322"/>
      <c r="D322" s="2334" t="s">
        <v>665</v>
      </c>
      <c r="E322" s="2334"/>
      <c r="F322" s="2334"/>
      <c r="G322" s="2334"/>
      <c r="H322" s="2334"/>
      <c r="I322" s="2334"/>
      <c r="J322" s="2334"/>
      <c r="K322" s="2334"/>
      <c r="L322" s="2334"/>
      <c r="M322" s="2334"/>
      <c r="N322" s="2334"/>
      <c r="O322" s="2334"/>
      <c r="P322" s="2324"/>
      <c r="Q322" s="2324"/>
      <c r="R322" s="2325"/>
      <c r="S322" s="2324" t="s">
        <v>11</v>
      </c>
      <c r="T322" s="2324"/>
      <c r="U322" s="2326">
        <v>0.85</v>
      </c>
      <c r="V322" s="2327"/>
      <c r="W322" s="2327"/>
      <c r="X322" s="2327">
        <v>1</v>
      </c>
      <c r="Y322" s="2327"/>
      <c r="Z322" s="2327"/>
      <c r="AA322" s="2328"/>
      <c r="AB322" s="2329"/>
      <c r="AC322" s="2326"/>
      <c r="AD322" s="2330">
        <f t="shared" si="175"/>
        <v>0</v>
      </c>
      <c r="AE322" s="2330"/>
      <c r="AF322" s="2330"/>
      <c r="AG322" s="2330">
        <f t="shared" si="183"/>
        <v>0</v>
      </c>
      <c r="AH322" s="2330"/>
      <c r="AI322" s="2330"/>
      <c r="AJ322" s="2330">
        <f t="shared" si="176"/>
        <v>0</v>
      </c>
      <c r="AK322" s="2330"/>
      <c r="AL322" s="2330"/>
      <c r="AM322" s="2331">
        <f t="shared" si="177"/>
        <v>0</v>
      </c>
      <c r="AN322" s="2331"/>
      <c r="AO322" s="2331"/>
      <c r="AP322" s="2331"/>
      <c r="AQ322" s="2332">
        <f t="shared" si="178"/>
        <v>0</v>
      </c>
      <c r="AR322" s="2332"/>
      <c r="AS322" s="2332"/>
      <c r="AT322" s="2332">
        <f t="shared" si="179"/>
        <v>0</v>
      </c>
      <c r="AV322" s="151" t="str">
        <f t="shared" si="172"/>
        <v>SIDING</v>
      </c>
      <c r="AW322" s="681"/>
      <c r="AX322" s="230"/>
      <c r="AY322" s="230"/>
      <c r="AZ322" s="679"/>
      <c r="BA322" s="49">
        <f t="shared" si="180"/>
        <v>0</v>
      </c>
      <c r="BB322" s="49">
        <f t="shared" si="184"/>
        <v>0</v>
      </c>
      <c r="BC322" s="49">
        <f t="shared" si="185"/>
        <v>0</v>
      </c>
      <c r="BD322" s="49">
        <f t="shared" si="181"/>
        <v>0</v>
      </c>
      <c r="BE322" s="49">
        <f t="shared" si="186"/>
        <v>0</v>
      </c>
      <c r="BF322" s="49">
        <f t="shared" si="173"/>
        <v>0</v>
      </c>
      <c r="BG322" s="49">
        <f t="shared" si="174"/>
        <v>0</v>
      </c>
      <c r="BI322" s="134">
        <f t="shared" si="187"/>
        <v>0</v>
      </c>
      <c r="BJ322" s="134">
        <f t="shared" si="182"/>
        <v>0</v>
      </c>
      <c r="BK322" s="134">
        <f t="shared" si="188"/>
        <v>0</v>
      </c>
    </row>
    <row r="323" spans="1:63" hidden="1">
      <c r="A323" s="187"/>
      <c r="B323" s="2321"/>
      <c r="C323" s="2322"/>
      <c r="D323" s="2334" t="s">
        <v>666</v>
      </c>
      <c r="E323" s="2334"/>
      <c r="F323" s="2334"/>
      <c r="G323" s="2334"/>
      <c r="H323" s="2334"/>
      <c r="I323" s="2334"/>
      <c r="J323" s="2334"/>
      <c r="K323" s="2334"/>
      <c r="L323" s="2334"/>
      <c r="M323" s="2334"/>
      <c r="N323" s="2334"/>
      <c r="O323" s="2334"/>
      <c r="P323" s="2324"/>
      <c r="Q323" s="2324"/>
      <c r="R323" s="2325"/>
      <c r="S323" s="2324" t="s">
        <v>11</v>
      </c>
      <c r="T323" s="2324"/>
      <c r="U323" s="2326">
        <v>1.5</v>
      </c>
      <c r="V323" s="2327"/>
      <c r="W323" s="2327"/>
      <c r="X323" s="2327">
        <v>1.2</v>
      </c>
      <c r="Y323" s="2327"/>
      <c r="Z323" s="2327"/>
      <c r="AA323" s="2328"/>
      <c r="AB323" s="2329"/>
      <c r="AC323" s="2326"/>
      <c r="AD323" s="2330">
        <f t="shared" si="175"/>
        <v>0</v>
      </c>
      <c r="AE323" s="2330"/>
      <c r="AF323" s="2330"/>
      <c r="AG323" s="2330">
        <f t="shared" si="183"/>
        <v>0</v>
      </c>
      <c r="AH323" s="2330"/>
      <c r="AI323" s="2330"/>
      <c r="AJ323" s="2330">
        <f t="shared" si="176"/>
        <v>0</v>
      </c>
      <c r="AK323" s="2330"/>
      <c r="AL323" s="2330"/>
      <c r="AM323" s="2331">
        <f t="shared" si="177"/>
        <v>0</v>
      </c>
      <c r="AN323" s="2331"/>
      <c r="AO323" s="2331"/>
      <c r="AP323" s="2331"/>
      <c r="AQ323" s="2332">
        <f t="shared" si="178"/>
        <v>0</v>
      </c>
      <c r="AR323" s="2332"/>
      <c r="AS323" s="2332"/>
      <c r="AT323" s="2332">
        <f t="shared" si="179"/>
        <v>0</v>
      </c>
      <c r="AV323" s="151" t="str">
        <f t="shared" si="172"/>
        <v>SIDING</v>
      </c>
      <c r="AW323" s="681"/>
      <c r="AX323" s="230"/>
      <c r="AY323" s="230"/>
      <c r="AZ323" s="679"/>
      <c r="BA323" s="49">
        <f t="shared" si="180"/>
        <v>0</v>
      </c>
      <c r="BB323" s="49">
        <f t="shared" si="184"/>
        <v>0</v>
      </c>
      <c r="BC323" s="49">
        <f t="shared" si="185"/>
        <v>0</v>
      </c>
      <c r="BD323" s="49">
        <f t="shared" si="181"/>
        <v>0</v>
      </c>
      <c r="BE323" s="49">
        <f t="shared" si="186"/>
        <v>0</v>
      </c>
      <c r="BF323" s="49">
        <f t="shared" si="173"/>
        <v>0</v>
      </c>
      <c r="BG323" s="49">
        <f t="shared" si="174"/>
        <v>0</v>
      </c>
      <c r="BI323" s="134">
        <f t="shared" si="187"/>
        <v>0</v>
      </c>
      <c r="BJ323" s="134">
        <f t="shared" si="182"/>
        <v>0</v>
      </c>
      <c r="BK323" s="134">
        <f t="shared" si="188"/>
        <v>0</v>
      </c>
    </row>
    <row r="324" spans="1:63" hidden="1">
      <c r="A324" s="187"/>
      <c r="B324" s="2333"/>
      <c r="C324" s="2333"/>
      <c r="D324" s="2334" t="s">
        <v>667</v>
      </c>
      <c r="E324" s="2334"/>
      <c r="F324" s="2334"/>
      <c r="G324" s="2334"/>
      <c r="H324" s="2334"/>
      <c r="I324" s="2334"/>
      <c r="J324" s="2334"/>
      <c r="K324" s="2334"/>
      <c r="L324" s="2334"/>
      <c r="M324" s="2334"/>
      <c r="N324" s="2334"/>
      <c r="O324" s="2334"/>
      <c r="P324" s="2324"/>
      <c r="Q324" s="2324"/>
      <c r="R324" s="2325"/>
      <c r="S324" s="2324" t="s">
        <v>11</v>
      </c>
      <c r="T324" s="2324"/>
      <c r="U324" s="2326">
        <v>1.5</v>
      </c>
      <c r="V324" s="2327"/>
      <c r="W324" s="2327"/>
      <c r="X324" s="2327">
        <v>1.3</v>
      </c>
      <c r="Y324" s="2327"/>
      <c r="Z324" s="2327"/>
      <c r="AA324" s="2328"/>
      <c r="AB324" s="2329"/>
      <c r="AC324" s="2326"/>
      <c r="AD324" s="2330">
        <f t="shared" si="175"/>
        <v>0</v>
      </c>
      <c r="AE324" s="2330"/>
      <c r="AF324" s="2330"/>
      <c r="AG324" s="2330">
        <f t="shared" si="183"/>
        <v>0</v>
      </c>
      <c r="AH324" s="2330"/>
      <c r="AI324" s="2330"/>
      <c r="AJ324" s="2330">
        <f t="shared" si="176"/>
        <v>0</v>
      </c>
      <c r="AK324" s="2330"/>
      <c r="AL324" s="2330"/>
      <c r="AM324" s="2331">
        <f t="shared" si="177"/>
        <v>0</v>
      </c>
      <c r="AN324" s="2331"/>
      <c r="AO324" s="2331"/>
      <c r="AP324" s="2331"/>
      <c r="AQ324" s="2332">
        <f t="shared" si="178"/>
        <v>0</v>
      </c>
      <c r="AR324" s="2332"/>
      <c r="AS324" s="2332"/>
      <c r="AT324" s="2332">
        <f t="shared" si="179"/>
        <v>0</v>
      </c>
      <c r="AV324" s="151" t="str">
        <f t="shared" si="172"/>
        <v>SIDING</v>
      </c>
      <c r="AW324" s="681"/>
      <c r="AX324" s="230"/>
      <c r="AY324" s="230"/>
      <c r="AZ324" s="679"/>
      <c r="BA324" s="49">
        <f t="shared" si="180"/>
        <v>0</v>
      </c>
      <c r="BB324" s="49">
        <f t="shared" si="184"/>
        <v>0</v>
      </c>
      <c r="BC324" s="49">
        <f t="shared" si="185"/>
        <v>0</v>
      </c>
      <c r="BD324" s="49">
        <f t="shared" si="181"/>
        <v>0</v>
      </c>
      <c r="BE324" s="49">
        <f t="shared" si="186"/>
        <v>0</v>
      </c>
      <c r="BF324" s="49">
        <f t="shared" si="173"/>
        <v>0</v>
      </c>
      <c r="BG324" s="49">
        <f t="shared" si="174"/>
        <v>0</v>
      </c>
      <c r="BI324" s="134">
        <f t="shared" si="187"/>
        <v>0</v>
      </c>
      <c r="BJ324" s="134">
        <f t="shared" si="182"/>
        <v>0</v>
      </c>
      <c r="BK324" s="134">
        <f t="shared" si="188"/>
        <v>0</v>
      </c>
    </row>
    <row r="325" spans="1:63" hidden="1">
      <c r="A325" s="187"/>
      <c r="B325" s="2321"/>
      <c r="C325" s="2322"/>
      <c r="D325" s="2334" t="s">
        <v>668</v>
      </c>
      <c r="E325" s="2334"/>
      <c r="F325" s="2334"/>
      <c r="G325" s="2334"/>
      <c r="H325" s="2334"/>
      <c r="I325" s="2334"/>
      <c r="J325" s="2334"/>
      <c r="K325" s="2334"/>
      <c r="L325" s="2334"/>
      <c r="M325" s="2334"/>
      <c r="N325" s="2334"/>
      <c r="O325" s="2334"/>
      <c r="P325" s="2324"/>
      <c r="Q325" s="2324"/>
      <c r="R325" s="2325"/>
      <c r="S325" s="2324" t="s">
        <v>11</v>
      </c>
      <c r="T325" s="2324"/>
      <c r="U325" s="2326">
        <v>3</v>
      </c>
      <c r="V325" s="2327"/>
      <c r="W325" s="2327"/>
      <c r="X325" s="2327">
        <v>1.75</v>
      </c>
      <c r="Y325" s="2327"/>
      <c r="Z325" s="2327"/>
      <c r="AA325" s="2328"/>
      <c r="AB325" s="2329"/>
      <c r="AC325" s="2326"/>
      <c r="AD325" s="2330">
        <f t="shared" si="175"/>
        <v>0</v>
      </c>
      <c r="AE325" s="2330"/>
      <c r="AF325" s="2330"/>
      <c r="AG325" s="2330">
        <f t="shared" si="183"/>
        <v>0</v>
      </c>
      <c r="AH325" s="2330"/>
      <c r="AI325" s="2330"/>
      <c r="AJ325" s="2330">
        <f t="shared" si="176"/>
        <v>0</v>
      </c>
      <c r="AK325" s="2330"/>
      <c r="AL325" s="2330"/>
      <c r="AM325" s="2331">
        <f t="shared" si="177"/>
        <v>0</v>
      </c>
      <c r="AN325" s="2331"/>
      <c r="AO325" s="2331"/>
      <c r="AP325" s="2331"/>
      <c r="AQ325" s="2332">
        <f t="shared" si="178"/>
        <v>0</v>
      </c>
      <c r="AR325" s="2332"/>
      <c r="AS325" s="2332"/>
      <c r="AT325" s="2332">
        <f t="shared" si="179"/>
        <v>0</v>
      </c>
      <c r="AV325" s="151" t="str">
        <f t="shared" si="172"/>
        <v>SIDING</v>
      </c>
      <c r="AW325" s="681"/>
      <c r="AX325" s="230"/>
      <c r="AY325" s="230"/>
      <c r="AZ325" s="679"/>
      <c r="BA325" s="49">
        <f t="shared" si="180"/>
        <v>0</v>
      </c>
      <c r="BB325" s="49">
        <f t="shared" si="184"/>
        <v>0</v>
      </c>
      <c r="BC325" s="49">
        <f t="shared" si="185"/>
        <v>0</v>
      </c>
      <c r="BD325" s="49">
        <f t="shared" si="181"/>
        <v>0</v>
      </c>
      <c r="BE325" s="49">
        <f t="shared" si="186"/>
        <v>0</v>
      </c>
      <c r="BF325" s="49">
        <f t="shared" si="173"/>
        <v>0</v>
      </c>
      <c r="BG325" s="49">
        <f t="shared" si="174"/>
        <v>0</v>
      </c>
      <c r="BI325" s="134">
        <f t="shared" si="187"/>
        <v>0</v>
      </c>
      <c r="BJ325" s="134">
        <f t="shared" si="182"/>
        <v>0</v>
      </c>
      <c r="BK325" s="134">
        <f t="shared" si="188"/>
        <v>0</v>
      </c>
    </row>
    <row r="326" spans="1:63" hidden="1">
      <c r="A326" s="187"/>
      <c r="B326" s="2321"/>
      <c r="C326" s="2322"/>
      <c r="D326" s="2334" t="s">
        <v>670</v>
      </c>
      <c r="E326" s="2334"/>
      <c r="F326" s="2334"/>
      <c r="G326" s="2334"/>
      <c r="H326" s="2334"/>
      <c r="I326" s="2334"/>
      <c r="J326" s="2334"/>
      <c r="K326" s="2334"/>
      <c r="L326" s="2334"/>
      <c r="M326" s="2334"/>
      <c r="N326" s="2334"/>
      <c r="O326" s="2334"/>
      <c r="P326" s="2324"/>
      <c r="Q326" s="2324"/>
      <c r="R326" s="2325"/>
      <c r="S326" s="2324" t="s">
        <v>12</v>
      </c>
      <c r="T326" s="2324"/>
      <c r="U326" s="2326">
        <v>1.25</v>
      </c>
      <c r="V326" s="2327"/>
      <c r="W326" s="2327"/>
      <c r="X326" s="2327">
        <v>0.4</v>
      </c>
      <c r="Y326" s="2327"/>
      <c r="Z326" s="2327"/>
      <c r="AA326" s="2328"/>
      <c r="AB326" s="2329"/>
      <c r="AC326" s="2326"/>
      <c r="AD326" s="2330">
        <f t="shared" si="175"/>
        <v>0</v>
      </c>
      <c r="AE326" s="2330"/>
      <c r="AF326" s="2330"/>
      <c r="AG326" s="2330">
        <f t="shared" si="183"/>
        <v>0</v>
      </c>
      <c r="AH326" s="2330"/>
      <c r="AI326" s="2330"/>
      <c r="AJ326" s="2330">
        <f t="shared" si="176"/>
        <v>0</v>
      </c>
      <c r="AK326" s="2330"/>
      <c r="AL326" s="2330"/>
      <c r="AM326" s="2331">
        <f t="shared" si="177"/>
        <v>0</v>
      </c>
      <c r="AN326" s="2331"/>
      <c r="AO326" s="2331"/>
      <c r="AP326" s="2331"/>
      <c r="AQ326" s="2332">
        <f t="shared" si="178"/>
        <v>0</v>
      </c>
      <c r="AR326" s="2332"/>
      <c r="AS326" s="2332"/>
      <c r="AT326" s="2332">
        <f t="shared" si="179"/>
        <v>0</v>
      </c>
      <c r="AV326" s="151" t="str">
        <f t="shared" si="172"/>
        <v>SIDING</v>
      </c>
      <c r="AW326" s="681"/>
      <c r="AX326" s="230"/>
      <c r="AY326" s="230"/>
      <c r="AZ326" s="679"/>
      <c r="BA326" s="49">
        <f t="shared" si="180"/>
        <v>0</v>
      </c>
      <c r="BB326" s="49">
        <f t="shared" si="184"/>
        <v>0</v>
      </c>
      <c r="BC326" s="49">
        <f t="shared" si="185"/>
        <v>0</v>
      </c>
      <c r="BD326" s="49">
        <f t="shared" si="181"/>
        <v>0</v>
      </c>
      <c r="BE326" s="49">
        <f t="shared" si="186"/>
        <v>0</v>
      </c>
      <c r="BF326" s="49">
        <f t="shared" si="173"/>
        <v>0</v>
      </c>
      <c r="BG326" s="49">
        <f t="shared" si="174"/>
        <v>0</v>
      </c>
      <c r="BI326" s="134">
        <f t="shared" si="187"/>
        <v>0</v>
      </c>
      <c r="BJ326" s="134">
        <f t="shared" si="182"/>
        <v>0</v>
      </c>
      <c r="BK326" s="134">
        <f t="shared" si="188"/>
        <v>0</v>
      </c>
    </row>
    <row r="327" spans="1:63" hidden="1">
      <c r="A327" s="187"/>
      <c r="B327" s="2321"/>
      <c r="C327" s="2322"/>
      <c r="D327" s="2334" t="s">
        <v>669</v>
      </c>
      <c r="E327" s="2334"/>
      <c r="F327" s="2334"/>
      <c r="G327" s="2334"/>
      <c r="H327" s="2334"/>
      <c r="I327" s="2334"/>
      <c r="J327" s="2334"/>
      <c r="K327" s="2334"/>
      <c r="L327" s="2334"/>
      <c r="M327" s="2334"/>
      <c r="N327" s="2334"/>
      <c r="O327" s="2334"/>
      <c r="P327" s="2324"/>
      <c r="Q327" s="2324"/>
      <c r="R327" s="2325"/>
      <c r="S327" s="2324" t="s">
        <v>12</v>
      </c>
      <c r="T327" s="2324"/>
      <c r="U327" s="2326">
        <v>1.5</v>
      </c>
      <c r="V327" s="2327"/>
      <c r="W327" s="2327"/>
      <c r="X327" s="2327">
        <v>0.9</v>
      </c>
      <c r="Y327" s="2327"/>
      <c r="Z327" s="2327"/>
      <c r="AA327" s="2328"/>
      <c r="AB327" s="2329"/>
      <c r="AC327" s="2326"/>
      <c r="AD327" s="2330">
        <f t="shared" si="175"/>
        <v>0</v>
      </c>
      <c r="AE327" s="2330"/>
      <c r="AF327" s="2330"/>
      <c r="AG327" s="2330">
        <f t="shared" si="183"/>
        <v>0</v>
      </c>
      <c r="AH327" s="2330"/>
      <c r="AI327" s="2330"/>
      <c r="AJ327" s="2330">
        <f t="shared" si="176"/>
        <v>0</v>
      </c>
      <c r="AK327" s="2330"/>
      <c r="AL327" s="2330"/>
      <c r="AM327" s="2331">
        <f t="shared" si="177"/>
        <v>0</v>
      </c>
      <c r="AN327" s="2331"/>
      <c r="AO327" s="2331"/>
      <c r="AP327" s="2331"/>
      <c r="AQ327" s="2332">
        <f t="shared" si="178"/>
        <v>0</v>
      </c>
      <c r="AR327" s="2332"/>
      <c r="AS327" s="2332"/>
      <c r="AT327" s="2332">
        <f t="shared" si="179"/>
        <v>0</v>
      </c>
      <c r="AV327" s="151" t="str">
        <f t="shared" si="172"/>
        <v>SIDING</v>
      </c>
      <c r="AW327" s="681"/>
      <c r="AX327" s="230"/>
      <c r="AY327" s="230"/>
      <c r="AZ327" s="679"/>
      <c r="BA327" s="49">
        <f t="shared" si="180"/>
        <v>0</v>
      </c>
      <c r="BB327" s="49">
        <f t="shared" si="184"/>
        <v>0</v>
      </c>
      <c r="BC327" s="49">
        <f t="shared" si="185"/>
        <v>0</v>
      </c>
      <c r="BD327" s="49">
        <f t="shared" si="181"/>
        <v>0</v>
      </c>
      <c r="BE327" s="49">
        <f t="shared" si="186"/>
        <v>0</v>
      </c>
      <c r="BF327" s="49">
        <f t="shared" si="173"/>
        <v>0</v>
      </c>
      <c r="BG327" s="49">
        <f t="shared" si="174"/>
        <v>0</v>
      </c>
      <c r="BI327" s="134">
        <f t="shared" si="187"/>
        <v>0</v>
      </c>
      <c r="BJ327" s="134">
        <f t="shared" si="182"/>
        <v>0</v>
      </c>
      <c r="BK327" s="134">
        <f t="shared" si="188"/>
        <v>0</v>
      </c>
    </row>
    <row r="328" spans="1:63" hidden="1">
      <c r="A328" s="187"/>
      <c r="B328" s="2333"/>
      <c r="C328" s="2333"/>
      <c r="D328" s="2334" t="s">
        <v>671</v>
      </c>
      <c r="E328" s="2334"/>
      <c r="F328" s="2334"/>
      <c r="G328" s="2334"/>
      <c r="H328" s="2334"/>
      <c r="I328" s="2334"/>
      <c r="J328" s="2334"/>
      <c r="K328" s="2334"/>
      <c r="L328" s="2334"/>
      <c r="M328" s="2334"/>
      <c r="N328" s="2334"/>
      <c r="O328" s="2334"/>
      <c r="P328" s="2324"/>
      <c r="Q328" s="2324"/>
      <c r="R328" s="2325"/>
      <c r="S328" s="2324" t="s">
        <v>12</v>
      </c>
      <c r="T328" s="2324"/>
      <c r="U328" s="2326">
        <v>1.5</v>
      </c>
      <c r="V328" s="2327"/>
      <c r="W328" s="2327"/>
      <c r="X328" s="2327">
        <v>1.3</v>
      </c>
      <c r="Y328" s="2327"/>
      <c r="Z328" s="2327"/>
      <c r="AA328" s="2328"/>
      <c r="AB328" s="2329"/>
      <c r="AC328" s="2326"/>
      <c r="AD328" s="2330">
        <f t="shared" si="175"/>
        <v>0</v>
      </c>
      <c r="AE328" s="2330"/>
      <c r="AF328" s="2330"/>
      <c r="AG328" s="2330">
        <f t="shared" si="183"/>
        <v>0</v>
      </c>
      <c r="AH328" s="2330"/>
      <c r="AI328" s="2330"/>
      <c r="AJ328" s="2330">
        <f t="shared" si="176"/>
        <v>0</v>
      </c>
      <c r="AK328" s="2330"/>
      <c r="AL328" s="2330"/>
      <c r="AM328" s="2331">
        <f t="shared" si="177"/>
        <v>0</v>
      </c>
      <c r="AN328" s="2331"/>
      <c r="AO328" s="2331"/>
      <c r="AP328" s="2331"/>
      <c r="AQ328" s="2332">
        <f t="shared" si="178"/>
        <v>0</v>
      </c>
      <c r="AR328" s="2332"/>
      <c r="AS328" s="2332"/>
      <c r="AT328" s="2332">
        <f t="shared" si="179"/>
        <v>0</v>
      </c>
      <c r="AV328" s="151" t="str">
        <f t="shared" si="172"/>
        <v>SIDING</v>
      </c>
      <c r="AW328" s="681"/>
      <c r="AX328" s="230"/>
      <c r="AY328" s="230"/>
      <c r="AZ328" s="679"/>
      <c r="BA328" s="49">
        <f t="shared" si="180"/>
        <v>0</v>
      </c>
      <c r="BB328" s="49">
        <f t="shared" si="184"/>
        <v>0</v>
      </c>
      <c r="BC328" s="49">
        <f t="shared" si="185"/>
        <v>0</v>
      </c>
      <c r="BD328" s="49">
        <f t="shared" si="181"/>
        <v>0</v>
      </c>
      <c r="BE328" s="49">
        <f t="shared" si="186"/>
        <v>0</v>
      </c>
      <c r="BF328" s="49">
        <f t="shared" si="173"/>
        <v>0</v>
      </c>
      <c r="BG328" s="49">
        <f t="shared" si="174"/>
        <v>0</v>
      </c>
      <c r="BI328" s="134">
        <f t="shared" si="187"/>
        <v>0</v>
      </c>
      <c r="BJ328" s="134">
        <f t="shared" si="182"/>
        <v>0</v>
      </c>
      <c r="BK328" s="134">
        <f t="shared" si="188"/>
        <v>0</v>
      </c>
    </row>
    <row r="329" spans="1:63" hidden="1">
      <c r="A329" s="187"/>
      <c r="B329" s="2321"/>
      <c r="C329" s="2322"/>
      <c r="D329" s="2334" t="s">
        <v>672</v>
      </c>
      <c r="E329" s="2334"/>
      <c r="F329" s="2334"/>
      <c r="G329" s="2334"/>
      <c r="H329" s="2334"/>
      <c r="I329" s="2334"/>
      <c r="J329" s="2334"/>
      <c r="K329" s="2334"/>
      <c r="L329" s="2334"/>
      <c r="M329" s="2334"/>
      <c r="N329" s="2334"/>
      <c r="O329" s="2334"/>
      <c r="P329" s="2324"/>
      <c r="Q329" s="2324"/>
      <c r="R329" s="2325"/>
      <c r="S329" s="2324" t="s">
        <v>2</v>
      </c>
      <c r="T329" s="2324"/>
      <c r="U329" s="2326">
        <v>125</v>
      </c>
      <c r="V329" s="2327"/>
      <c r="W329" s="2327"/>
      <c r="X329" s="2327">
        <v>75</v>
      </c>
      <c r="Y329" s="2327"/>
      <c r="Z329" s="2327"/>
      <c r="AA329" s="2328"/>
      <c r="AB329" s="2329"/>
      <c r="AC329" s="2326"/>
      <c r="AD329" s="2330">
        <f t="shared" si="175"/>
        <v>0</v>
      </c>
      <c r="AE329" s="2330"/>
      <c r="AF329" s="2330"/>
      <c r="AG329" s="2330">
        <f t="shared" si="183"/>
        <v>0</v>
      </c>
      <c r="AH329" s="2330"/>
      <c r="AI329" s="2330"/>
      <c r="AJ329" s="2330">
        <f t="shared" si="176"/>
        <v>0</v>
      </c>
      <c r="AK329" s="2330"/>
      <c r="AL329" s="2330"/>
      <c r="AM329" s="2331">
        <f t="shared" si="177"/>
        <v>0</v>
      </c>
      <c r="AN329" s="2331"/>
      <c r="AO329" s="2331"/>
      <c r="AP329" s="2331"/>
      <c r="AQ329" s="2332">
        <f t="shared" si="178"/>
        <v>0</v>
      </c>
      <c r="AR329" s="2332"/>
      <c r="AS329" s="2332"/>
      <c r="AT329" s="2332">
        <f t="shared" si="179"/>
        <v>0</v>
      </c>
      <c r="AV329" s="151" t="str">
        <f t="shared" si="172"/>
        <v>SIDING</v>
      </c>
      <c r="AW329" s="681"/>
      <c r="AX329" s="230"/>
      <c r="AY329" s="230"/>
      <c r="AZ329" s="679"/>
      <c r="BA329" s="49">
        <f t="shared" si="180"/>
        <v>0</v>
      </c>
      <c r="BB329" s="49">
        <f t="shared" si="184"/>
        <v>0</v>
      </c>
      <c r="BC329" s="49">
        <f t="shared" si="185"/>
        <v>0</v>
      </c>
      <c r="BD329" s="49">
        <f t="shared" si="181"/>
        <v>0</v>
      </c>
      <c r="BE329" s="49">
        <f t="shared" si="186"/>
        <v>0</v>
      </c>
      <c r="BF329" s="49">
        <f t="shared" si="173"/>
        <v>0</v>
      </c>
      <c r="BG329" s="49">
        <f t="shared" si="174"/>
        <v>0</v>
      </c>
      <c r="BI329" s="134">
        <f t="shared" si="187"/>
        <v>0</v>
      </c>
      <c r="BJ329" s="134">
        <f t="shared" si="182"/>
        <v>0</v>
      </c>
      <c r="BK329" s="134">
        <f t="shared" si="188"/>
        <v>0</v>
      </c>
    </row>
    <row r="330" spans="1:63" ht="15" hidden="1" customHeight="1">
      <c r="A330" s="187"/>
      <c r="B330" s="2321"/>
      <c r="C330" s="2322"/>
      <c r="D330" s="2334" t="s">
        <v>276</v>
      </c>
      <c r="E330" s="2334"/>
      <c r="F330" s="2334"/>
      <c r="G330" s="2334"/>
      <c r="H330" s="2334"/>
      <c r="I330" s="2334"/>
      <c r="J330" s="2334"/>
      <c r="K330" s="2334"/>
      <c r="L330" s="2334"/>
      <c r="M330" s="2334"/>
      <c r="N330" s="2334"/>
      <c r="O330" s="2334"/>
      <c r="P330" s="2324"/>
      <c r="Q330" s="2324"/>
      <c r="R330" s="2325"/>
      <c r="S330" s="2324" t="s">
        <v>11</v>
      </c>
      <c r="T330" s="2324"/>
      <c r="U330" s="2326">
        <v>7.25</v>
      </c>
      <c r="V330" s="2327"/>
      <c r="W330" s="2327"/>
      <c r="X330" s="2327">
        <v>3</v>
      </c>
      <c r="Y330" s="2327"/>
      <c r="Z330" s="2327"/>
      <c r="AA330" s="2328"/>
      <c r="AB330" s="2329"/>
      <c r="AC330" s="2326"/>
      <c r="AD330" s="2330">
        <f t="shared" si="175"/>
        <v>0</v>
      </c>
      <c r="AE330" s="2330"/>
      <c r="AF330" s="2330"/>
      <c r="AG330" s="2330">
        <f t="shared" si="183"/>
        <v>0</v>
      </c>
      <c r="AH330" s="2330"/>
      <c r="AI330" s="2330"/>
      <c r="AJ330" s="2330">
        <f t="shared" si="176"/>
        <v>0</v>
      </c>
      <c r="AK330" s="2330"/>
      <c r="AL330" s="2330"/>
      <c r="AM330" s="2331">
        <f t="shared" si="177"/>
        <v>0</v>
      </c>
      <c r="AN330" s="2331"/>
      <c r="AO330" s="2331"/>
      <c r="AP330" s="2331"/>
      <c r="AQ330" s="2332">
        <f t="shared" si="178"/>
        <v>0</v>
      </c>
      <c r="AR330" s="2332"/>
      <c r="AS330" s="2332"/>
      <c r="AT330" s="2332">
        <f t="shared" si="179"/>
        <v>0</v>
      </c>
      <c r="AV330" s="151" t="str">
        <f t="shared" si="172"/>
        <v>SIDING</v>
      </c>
      <c r="AW330" s="681"/>
      <c r="AX330" s="230"/>
      <c r="AY330" s="230"/>
      <c r="AZ330" s="679"/>
      <c r="BA330" s="49">
        <f t="shared" si="180"/>
        <v>0</v>
      </c>
      <c r="BB330" s="49">
        <f t="shared" si="184"/>
        <v>0</v>
      </c>
      <c r="BC330" s="49">
        <f t="shared" si="185"/>
        <v>0</v>
      </c>
      <c r="BD330" s="49">
        <f t="shared" si="181"/>
        <v>0</v>
      </c>
      <c r="BE330" s="49">
        <f t="shared" si="186"/>
        <v>0</v>
      </c>
      <c r="BF330" s="49">
        <f t="shared" si="173"/>
        <v>0</v>
      </c>
      <c r="BG330" s="49">
        <f t="shared" si="174"/>
        <v>0</v>
      </c>
      <c r="BI330" s="134">
        <f t="shared" si="187"/>
        <v>0</v>
      </c>
      <c r="BJ330" s="134">
        <f t="shared" si="182"/>
        <v>0</v>
      </c>
      <c r="BK330" s="134">
        <f t="shared" si="188"/>
        <v>0</v>
      </c>
    </row>
    <row r="331" spans="1:63" hidden="1">
      <c r="A331" s="187"/>
      <c r="B331" s="2321"/>
      <c r="C331" s="2322"/>
      <c r="D331" s="2334"/>
      <c r="E331" s="2334"/>
      <c r="F331" s="2334"/>
      <c r="G331" s="2334"/>
      <c r="H331" s="2334"/>
      <c r="I331" s="2334"/>
      <c r="J331" s="2334"/>
      <c r="K331" s="2334"/>
      <c r="L331" s="2334"/>
      <c r="M331" s="2334"/>
      <c r="N331" s="2334"/>
      <c r="O331" s="2334"/>
      <c r="P331" s="2324"/>
      <c r="Q331" s="2324"/>
      <c r="R331" s="2325"/>
      <c r="S331" s="2324"/>
      <c r="T331" s="2324"/>
      <c r="U331" s="2326"/>
      <c r="V331" s="2327"/>
      <c r="W331" s="2327"/>
      <c r="X331" s="2327"/>
      <c r="Y331" s="2327"/>
      <c r="Z331" s="2327"/>
      <c r="AA331" s="2328"/>
      <c r="AB331" s="2329"/>
      <c r="AC331" s="2326"/>
      <c r="AD331" s="2330">
        <f t="shared" si="175"/>
        <v>0</v>
      </c>
      <c r="AE331" s="2330"/>
      <c r="AF331" s="2330"/>
      <c r="AG331" s="2330">
        <f t="shared" si="183"/>
        <v>0</v>
      </c>
      <c r="AH331" s="2330"/>
      <c r="AI331" s="2330"/>
      <c r="AJ331" s="2330">
        <f t="shared" si="176"/>
        <v>0</v>
      </c>
      <c r="AK331" s="2330"/>
      <c r="AL331" s="2330"/>
      <c r="AM331" s="2331">
        <f t="shared" si="177"/>
        <v>0</v>
      </c>
      <c r="AN331" s="2331"/>
      <c r="AO331" s="2331"/>
      <c r="AP331" s="2331"/>
      <c r="AQ331" s="2332">
        <f t="shared" si="178"/>
        <v>0</v>
      </c>
      <c r="AR331" s="2332"/>
      <c r="AS331" s="2332"/>
      <c r="AT331" s="2332">
        <f t="shared" si="179"/>
        <v>0</v>
      </c>
      <c r="AV331" s="151" t="str">
        <f t="shared" si="172"/>
        <v>SIDING</v>
      </c>
      <c r="AW331" s="681"/>
      <c r="AX331" s="230"/>
      <c r="AY331" s="230"/>
      <c r="AZ331" s="679"/>
      <c r="BA331" s="49">
        <f t="shared" si="180"/>
        <v>0</v>
      </c>
      <c r="BB331" s="49">
        <f t="shared" si="184"/>
        <v>0</v>
      </c>
      <c r="BC331" s="49">
        <f t="shared" si="185"/>
        <v>0</v>
      </c>
      <c r="BD331" s="49">
        <f t="shared" si="181"/>
        <v>0</v>
      </c>
      <c r="BE331" s="49">
        <f t="shared" ref="BE331:BE352" si="189">SUM(BA331:BC331)</f>
        <v>0</v>
      </c>
      <c r="BF331" s="49">
        <f t="shared" si="173"/>
        <v>0</v>
      </c>
      <c r="BG331" s="49">
        <f t="shared" si="174"/>
        <v>0</v>
      </c>
      <c r="BI331" s="134">
        <f t="shared" si="187"/>
        <v>0</v>
      </c>
      <c r="BJ331" s="134">
        <f t="shared" si="182"/>
        <v>0</v>
      </c>
      <c r="BK331" s="134">
        <f t="shared" si="188"/>
        <v>0</v>
      </c>
    </row>
    <row r="332" spans="1:63" hidden="1">
      <c r="A332" s="187"/>
      <c r="B332" s="2321"/>
      <c r="C332" s="2322"/>
      <c r="D332" s="2334"/>
      <c r="E332" s="2334"/>
      <c r="F332" s="2334"/>
      <c r="G332" s="2334"/>
      <c r="H332" s="2334"/>
      <c r="I332" s="2334"/>
      <c r="J332" s="2334"/>
      <c r="K332" s="2334"/>
      <c r="L332" s="2334"/>
      <c r="M332" s="2334"/>
      <c r="N332" s="2334"/>
      <c r="O332" s="2334"/>
      <c r="P332" s="2324"/>
      <c r="Q332" s="2324"/>
      <c r="R332" s="2325"/>
      <c r="S332" s="2324"/>
      <c r="T332" s="2324"/>
      <c r="U332" s="2326"/>
      <c r="V332" s="2327"/>
      <c r="W332" s="2327"/>
      <c r="X332" s="2327"/>
      <c r="Y332" s="2327"/>
      <c r="Z332" s="2327"/>
      <c r="AA332" s="2328"/>
      <c r="AB332" s="2329"/>
      <c r="AC332" s="2326"/>
      <c r="AD332" s="2330">
        <f t="shared" si="175"/>
        <v>0</v>
      </c>
      <c r="AE332" s="2330"/>
      <c r="AF332" s="2330"/>
      <c r="AG332" s="2330">
        <f t="shared" si="183"/>
        <v>0</v>
      </c>
      <c r="AH332" s="2330"/>
      <c r="AI332" s="2330"/>
      <c r="AJ332" s="2330">
        <f t="shared" si="176"/>
        <v>0</v>
      </c>
      <c r="AK332" s="2330"/>
      <c r="AL332" s="2330"/>
      <c r="AM332" s="2331">
        <f t="shared" si="177"/>
        <v>0</v>
      </c>
      <c r="AN332" s="2331"/>
      <c r="AO332" s="2331"/>
      <c r="AP332" s="2331"/>
      <c r="AQ332" s="2332">
        <f t="shared" si="178"/>
        <v>0</v>
      </c>
      <c r="AR332" s="2332"/>
      <c r="AS332" s="2332"/>
      <c r="AT332" s="2332">
        <f t="shared" si="179"/>
        <v>0</v>
      </c>
      <c r="AV332" s="151" t="str">
        <f t="shared" si="172"/>
        <v>SIDING</v>
      </c>
      <c r="AW332" s="681"/>
      <c r="AX332" s="230"/>
      <c r="AY332" s="230"/>
      <c r="AZ332" s="679"/>
      <c r="BA332" s="49">
        <f t="shared" si="180"/>
        <v>0</v>
      </c>
      <c r="BB332" s="49">
        <f t="shared" si="184"/>
        <v>0</v>
      </c>
      <c r="BC332" s="49">
        <f t="shared" si="185"/>
        <v>0</v>
      </c>
      <c r="BD332" s="49">
        <f t="shared" si="181"/>
        <v>0</v>
      </c>
      <c r="BE332" s="49">
        <f t="shared" si="189"/>
        <v>0</v>
      </c>
      <c r="BF332" s="49">
        <f t="shared" si="173"/>
        <v>0</v>
      </c>
      <c r="BG332" s="49">
        <f t="shared" si="174"/>
        <v>0</v>
      </c>
      <c r="BI332" s="134">
        <f t="shared" si="187"/>
        <v>0</v>
      </c>
      <c r="BJ332" s="134">
        <f t="shared" si="182"/>
        <v>0</v>
      </c>
      <c r="BK332" s="134">
        <f t="shared" si="188"/>
        <v>0</v>
      </c>
    </row>
    <row r="333" spans="1:63" hidden="1">
      <c r="A333" s="187"/>
      <c r="B333" s="2321"/>
      <c r="C333" s="2322"/>
      <c r="D333" s="2334"/>
      <c r="E333" s="2334"/>
      <c r="F333" s="2334"/>
      <c r="G333" s="2334"/>
      <c r="H333" s="2334"/>
      <c r="I333" s="2334"/>
      <c r="J333" s="2334"/>
      <c r="K333" s="2334"/>
      <c r="L333" s="2334"/>
      <c r="M333" s="2334"/>
      <c r="N333" s="2334"/>
      <c r="O333" s="2334"/>
      <c r="P333" s="2324"/>
      <c r="Q333" s="2324"/>
      <c r="R333" s="2325"/>
      <c r="S333" s="2324"/>
      <c r="T333" s="2324"/>
      <c r="U333" s="2326"/>
      <c r="V333" s="2327"/>
      <c r="W333" s="2327"/>
      <c r="X333" s="2327"/>
      <c r="Y333" s="2327"/>
      <c r="Z333" s="2327"/>
      <c r="AA333" s="2328"/>
      <c r="AB333" s="2329"/>
      <c r="AC333" s="2326"/>
      <c r="AD333" s="2330">
        <f>((P333*U333)-AM333)</f>
        <v>0</v>
      </c>
      <c r="AE333" s="2330"/>
      <c r="AF333" s="2330"/>
      <c r="AG333" s="2330">
        <f t="shared" si="183"/>
        <v>0</v>
      </c>
      <c r="AH333" s="2330"/>
      <c r="AI333" s="2330"/>
      <c r="AJ333" s="2330">
        <f>P333*AA333</f>
        <v>0</v>
      </c>
      <c r="AK333" s="2330"/>
      <c r="AL333" s="2330"/>
      <c r="AM333" s="2331">
        <f t="shared" si="177"/>
        <v>0</v>
      </c>
      <c r="AN333" s="2331"/>
      <c r="AO333" s="2331"/>
      <c r="AP333" s="2331"/>
      <c r="AQ333" s="2332">
        <f>SUM(AD333:AL333)</f>
        <v>0</v>
      </c>
      <c r="AR333" s="2332"/>
      <c r="AS333" s="2332"/>
      <c r="AT333" s="2332">
        <f>SUM(AD333:AL333)</f>
        <v>0</v>
      </c>
      <c r="AV333" s="151" t="str">
        <f t="shared" si="172"/>
        <v>SIDING</v>
      </c>
      <c r="AW333" s="681"/>
      <c r="AX333" s="230"/>
      <c r="AY333" s="230"/>
      <c r="AZ333" s="679"/>
      <c r="BA333" s="49">
        <f>AD333</f>
        <v>0</v>
      </c>
      <c r="BB333" s="49">
        <f>AG333</f>
        <v>0</v>
      </c>
      <c r="BC333" s="49">
        <f>AJ333</f>
        <v>0</v>
      </c>
      <c r="BD333" s="49">
        <f>IF(B333="x",1,0)</f>
        <v>0</v>
      </c>
      <c r="BE333" s="49">
        <f t="shared" si="189"/>
        <v>0</v>
      </c>
      <c r="BF333" s="49">
        <f>AQ333</f>
        <v>0</v>
      </c>
      <c r="BG333" s="49">
        <f>AM333</f>
        <v>0</v>
      </c>
      <c r="BI333" s="134">
        <f>AD333</f>
        <v>0</v>
      </c>
      <c r="BJ333" s="134">
        <f>AM333</f>
        <v>0</v>
      </c>
      <c r="BK333" s="134">
        <f>BJ333+BI333</f>
        <v>0</v>
      </c>
    </row>
    <row r="334" spans="1:63" hidden="1">
      <c r="A334" s="187"/>
      <c r="B334" s="2321"/>
      <c r="C334" s="2322"/>
      <c r="D334" s="2334"/>
      <c r="E334" s="2334"/>
      <c r="F334" s="2334"/>
      <c r="G334" s="2334"/>
      <c r="H334" s="2334"/>
      <c r="I334" s="2334"/>
      <c r="J334" s="2334"/>
      <c r="K334" s="2334"/>
      <c r="L334" s="2334"/>
      <c r="M334" s="2334"/>
      <c r="N334" s="2334"/>
      <c r="O334" s="2334"/>
      <c r="P334" s="2324"/>
      <c r="Q334" s="2324"/>
      <c r="R334" s="2325"/>
      <c r="S334" s="2324"/>
      <c r="T334" s="2324"/>
      <c r="U334" s="2326"/>
      <c r="V334" s="2327"/>
      <c r="W334" s="2327"/>
      <c r="X334" s="2327"/>
      <c r="Y334" s="2327"/>
      <c r="Z334" s="2327"/>
      <c r="AA334" s="2328"/>
      <c r="AB334" s="2329"/>
      <c r="AC334" s="2326"/>
      <c r="AD334" s="2330">
        <f>((P334*U334)-AM334)</f>
        <v>0</v>
      </c>
      <c r="AE334" s="2330"/>
      <c r="AF334" s="2330"/>
      <c r="AG334" s="2330">
        <f t="shared" si="183"/>
        <v>0</v>
      </c>
      <c r="AH334" s="2330"/>
      <c r="AI334" s="2330"/>
      <c r="AJ334" s="2330">
        <f>P334*AA334</f>
        <v>0</v>
      </c>
      <c r="AK334" s="2330"/>
      <c r="AL334" s="2330"/>
      <c r="AM334" s="2331">
        <f t="shared" si="177"/>
        <v>0</v>
      </c>
      <c r="AN334" s="2331"/>
      <c r="AO334" s="2331"/>
      <c r="AP334" s="2331"/>
      <c r="AQ334" s="2332">
        <f>SUM(AD334:AL334)</f>
        <v>0</v>
      </c>
      <c r="AR334" s="2332"/>
      <c r="AS334" s="2332"/>
      <c r="AT334" s="2332">
        <f>SUM(AD334:AL334)</f>
        <v>0</v>
      </c>
      <c r="AV334" s="151" t="str">
        <f t="shared" si="172"/>
        <v>SIDING</v>
      </c>
      <c r="AW334" s="681"/>
      <c r="AX334" s="230"/>
      <c r="AY334" s="230"/>
      <c r="AZ334" s="679"/>
      <c r="BA334" s="49">
        <f>AD334</f>
        <v>0</v>
      </c>
      <c r="BB334" s="49">
        <f>AG334</f>
        <v>0</v>
      </c>
      <c r="BC334" s="49">
        <f>AJ334</f>
        <v>0</v>
      </c>
      <c r="BD334" s="49">
        <f>IF(B334="x",1,0)</f>
        <v>0</v>
      </c>
      <c r="BE334" s="49">
        <f t="shared" si="189"/>
        <v>0</v>
      </c>
      <c r="BF334" s="49">
        <f>AQ334</f>
        <v>0</v>
      </c>
      <c r="BG334" s="49">
        <f>AM334</f>
        <v>0</v>
      </c>
      <c r="BI334" s="134">
        <f>AD334</f>
        <v>0</v>
      </c>
      <c r="BJ334" s="134">
        <f>AM334</f>
        <v>0</v>
      </c>
      <c r="BK334" s="134">
        <f>BJ334+BI334</f>
        <v>0</v>
      </c>
    </row>
    <row r="335" spans="1:63" hidden="1">
      <c r="A335" s="187"/>
      <c r="B335" s="2321"/>
      <c r="C335" s="2322"/>
      <c r="D335" s="2334"/>
      <c r="E335" s="2334"/>
      <c r="F335" s="2334"/>
      <c r="G335" s="2334"/>
      <c r="H335" s="2334"/>
      <c r="I335" s="2334"/>
      <c r="J335" s="2334"/>
      <c r="K335" s="2334"/>
      <c r="L335" s="2334"/>
      <c r="M335" s="2334"/>
      <c r="N335" s="2334"/>
      <c r="O335" s="2334"/>
      <c r="P335" s="2324"/>
      <c r="Q335" s="2324"/>
      <c r="R335" s="2325"/>
      <c r="S335" s="2324"/>
      <c r="T335" s="2324"/>
      <c r="U335" s="2326"/>
      <c r="V335" s="2327"/>
      <c r="W335" s="2327"/>
      <c r="X335" s="2327"/>
      <c r="Y335" s="2327"/>
      <c r="Z335" s="2327"/>
      <c r="AA335" s="2328"/>
      <c r="AB335" s="2329"/>
      <c r="AC335" s="2326"/>
      <c r="AD335" s="2330">
        <f>((P335*U335)-AM335)</f>
        <v>0</v>
      </c>
      <c r="AE335" s="2330"/>
      <c r="AF335" s="2330"/>
      <c r="AG335" s="2330">
        <f t="shared" si="183"/>
        <v>0</v>
      </c>
      <c r="AH335" s="2330"/>
      <c r="AI335" s="2330"/>
      <c r="AJ335" s="2330">
        <f>P335*AA335</f>
        <v>0</v>
      </c>
      <c r="AK335" s="2330"/>
      <c r="AL335" s="2330"/>
      <c r="AM335" s="2331">
        <f t="shared" si="177"/>
        <v>0</v>
      </c>
      <c r="AN335" s="2331"/>
      <c r="AO335" s="2331"/>
      <c r="AP335" s="2331"/>
      <c r="AQ335" s="2332">
        <f>SUM(AD335:AL335)</f>
        <v>0</v>
      </c>
      <c r="AR335" s="2332"/>
      <c r="AS335" s="2332"/>
      <c r="AT335" s="2332">
        <f>SUM(AD335:AL335)</f>
        <v>0</v>
      </c>
      <c r="AV335" s="151" t="str">
        <f t="shared" si="172"/>
        <v>SIDING</v>
      </c>
      <c r="AW335" s="681"/>
      <c r="AX335" s="230"/>
      <c r="AY335" s="230"/>
      <c r="AZ335" s="679"/>
      <c r="BA335" s="49">
        <f>AD335</f>
        <v>0</v>
      </c>
      <c r="BB335" s="49">
        <f>AG335</f>
        <v>0</v>
      </c>
      <c r="BC335" s="49">
        <f>AJ335</f>
        <v>0</v>
      </c>
      <c r="BD335" s="49">
        <f>IF(B335="x",1,0)</f>
        <v>0</v>
      </c>
      <c r="BE335" s="49">
        <f t="shared" si="189"/>
        <v>0</v>
      </c>
      <c r="BF335" s="49">
        <f>AQ335</f>
        <v>0</v>
      </c>
      <c r="BG335" s="49">
        <f>AM335</f>
        <v>0</v>
      </c>
      <c r="BI335" s="134">
        <f>AD335</f>
        <v>0</v>
      </c>
      <c r="BJ335" s="134">
        <f>AM335</f>
        <v>0</v>
      </c>
      <c r="BK335" s="134">
        <f>BJ335+BI335</f>
        <v>0</v>
      </c>
    </row>
    <row r="336" spans="1:63" hidden="1">
      <c r="A336" s="187"/>
      <c r="B336" s="2321"/>
      <c r="C336" s="2322"/>
      <c r="D336" s="2334"/>
      <c r="E336" s="2334"/>
      <c r="F336" s="2334"/>
      <c r="G336" s="2334"/>
      <c r="H336" s="2334"/>
      <c r="I336" s="2334"/>
      <c r="J336" s="2334"/>
      <c r="K336" s="2334"/>
      <c r="L336" s="2334"/>
      <c r="M336" s="2334"/>
      <c r="N336" s="2334"/>
      <c r="O336" s="2334"/>
      <c r="P336" s="2324"/>
      <c r="Q336" s="2324"/>
      <c r="R336" s="2325"/>
      <c r="S336" s="2324"/>
      <c r="T336" s="2324"/>
      <c r="U336" s="2326"/>
      <c r="V336" s="2327"/>
      <c r="W336" s="2327"/>
      <c r="X336" s="2327"/>
      <c r="Y336" s="2327"/>
      <c r="Z336" s="2327"/>
      <c r="AA336" s="2328"/>
      <c r="AB336" s="2329"/>
      <c r="AC336" s="2326"/>
      <c r="AD336" s="2330">
        <f>((P336*U336)-AM336)</f>
        <v>0</v>
      </c>
      <c r="AE336" s="2330"/>
      <c r="AF336" s="2330"/>
      <c r="AG336" s="2330">
        <f t="shared" si="183"/>
        <v>0</v>
      </c>
      <c r="AH336" s="2330"/>
      <c r="AI336" s="2330"/>
      <c r="AJ336" s="2330">
        <f>P336*AA336</f>
        <v>0</v>
      </c>
      <c r="AK336" s="2330"/>
      <c r="AL336" s="2330"/>
      <c r="AM336" s="2331">
        <f t="shared" si="177"/>
        <v>0</v>
      </c>
      <c r="AN336" s="2331"/>
      <c r="AO336" s="2331"/>
      <c r="AP336" s="2331"/>
      <c r="AQ336" s="2332">
        <f>SUM(AD336:AL336)</f>
        <v>0</v>
      </c>
      <c r="AR336" s="2332"/>
      <c r="AS336" s="2332"/>
      <c r="AT336" s="2332">
        <f>SUM(AD336:AL336)</f>
        <v>0</v>
      </c>
      <c r="AV336" s="151" t="str">
        <f t="shared" si="172"/>
        <v>SIDING</v>
      </c>
      <c r="AW336" s="681"/>
      <c r="AX336" s="230"/>
      <c r="AY336" s="230"/>
      <c r="AZ336" s="679"/>
      <c r="BA336" s="49">
        <f>AD336</f>
        <v>0</v>
      </c>
      <c r="BB336" s="49">
        <f>AG336</f>
        <v>0</v>
      </c>
      <c r="BC336" s="49">
        <f>AJ336</f>
        <v>0</v>
      </c>
      <c r="BD336" s="49">
        <f>IF(B336="x",1,0)</f>
        <v>0</v>
      </c>
      <c r="BE336" s="49">
        <f t="shared" si="189"/>
        <v>0</v>
      </c>
      <c r="BF336" s="49">
        <f>AQ336</f>
        <v>0</v>
      </c>
      <c r="BG336" s="49">
        <f>AM336</f>
        <v>0</v>
      </c>
      <c r="BI336" s="134">
        <f>AD336</f>
        <v>0</v>
      </c>
      <c r="BJ336" s="134">
        <f>AM336</f>
        <v>0</v>
      </c>
      <c r="BK336" s="134">
        <f>BJ336+BI336</f>
        <v>0</v>
      </c>
    </row>
    <row r="337" spans="1:63" hidden="1">
      <c r="A337" s="187"/>
      <c r="B337" s="2321"/>
      <c r="C337" s="2322"/>
      <c r="D337" s="2334"/>
      <c r="E337" s="2334"/>
      <c r="F337" s="2334"/>
      <c r="G337" s="2334"/>
      <c r="H337" s="2334"/>
      <c r="I337" s="2334"/>
      <c r="J337" s="2334"/>
      <c r="K337" s="2334"/>
      <c r="L337" s="2334"/>
      <c r="M337" s="2334"/>
      <c r="N337" s="2334"/>
      <c r="O337" s="2334"/>
      <c r="P337" s="2324"/>
      <c r="Q337" s="2324"/>
      <c r="R337" s="2325"/>
      <c r="S337" s="2324"/>
      <c r="T337" s="2324"/>
      <c r="U337" s="2326"/>
      <c r="V337" s="2327"/>
      <c r="W337" s="2327"/>
      <c r="X337" s="2327"/>
      <c r="Y337" s="2327"/>
      <c r="Z337" s="2327"/>
      <c r="AA337" s="2328"/>
      <c r="AB337" s="2329"/>
      <c r="AC337" s="2326"/>
      <c r="AD337" s="2330">
        <f t="shared" ref="AD337:AD344" si="190">((P337*U337)-AM337)</f>
        <v>0</v>
      </c>
      <c r="AE337" s="2330"/>
      <c r="AF337" s="2330"/>
      <c r="AG337" s="2330">
        <f t="shared" si="183"/>
        <v>0</v>
      </c>
      <c r="AH337" s="2330"/>
      <c r="AI337" s="2330"/>
      <c r="AJ337" s="2330">
        <f t="shared" ref="AJ337:AJ344" si="191">P337*AA337</f>
        <v>0</v>
      </c>
      <c r="AK337" s="2330"/>
      <c r="AL337" s="2330"/>
      <c r="AM337" s="2331">
        <f t="shared" si="177"/>
        <v>0</v>
      </c>
      <c r="AN337" s="2331"/>
      <c r="AO337" s="2331"/>
      <c r="AP337" s="2331"/>
      <c r="AQ337" s="2332">
        <f t="shared" ref="AQ337:AQ344" si="192">SUM(AD337:AL337)</f>
        <v>0</v>
      </c>
      <c r="AR337" s="2332"/>
      <c r="AS337" s="2332"/>
      <c r="AT337" s="2332">
        <f t="shared" ref="AT337:AT344" si="193">SUM(AD337:AL337)</f>
        <v>0</v>
      </c>
      <c r="AV337" s="151" t="str">
        <f t="shared" si="172"/>
        <v>SIDING</v>
      </c>
      <c r="AW337" s="681"/>
      <c r="AX337" s="230"/>
      <c r="AY337" s="230"/>
      <c r="AZ337" s="679"/>
      <c r="BA337" s="49">
        <f t="shared" ref="BA337:BA344" si="194">AD337</f>
        <v>0</v>
      </c>
      <c r="BB337" s="49">
        <f t="shared" ref="BB337:BB344" si="195">AG337</f>
        <v>0</v>
      </c>
      <c r="BC337" s="49">
        <f t="shared" ref="BC337:BC344" si="196">AJ337</f>
        <v>0</v>
      </c>
      <c r="BD337" s="49">
        <f t="shared" ref="BD337:BD344" si="197">IF(B337="x",1,0)</f>
        <v>0</v>
      </c>
      <c r="BE337" s="49">
        <f t="shared" si="189"/>
        <v>0</v>
      </c>
      <c r="BF337" s="49">
        <f t="shared" ref="BF337:BF344" si="198">AQ337</f>
        <v>0</v>
      </c>
      <c r="BG337" s="49">
        <f t="shared" ref="BG337:BG344" si="199">AM337</f>
        <v>0</v>
      </c>
      <c r="BI337" s="134">
        <f t="shared" ref="BI337:BI344" si="200">AD337</f>
        <v>0</v>
      </c>
      <c r="BJ337" s="134">
        <f t="shared" ref="BJ337:BJ344" si="201">AM337</f>
        <v>0</v>
      </c>
      <c r="BK337" s="134">
        <f t="shared" ref="BK337:BK344" si="202">BJ337+BI337</f>
        <v>0</v>
      </c>
    </row>
    <row r="338" spans="1:63" hidden="1">
      <c r="A338" s="187"/>
      <c r="B338" s="2321"/>
      <c r="C338" s="2322"/>
      <c r="D338" s="2334"/>
      <c r="E338" s="2334"/>
      <c r="F338" s="2334"/>
      <c r="G338" s="2334"/>
      <c r="H338" s="2334"/>
      <c r="I338" s="2334"/>
      <c r="J338" s="2334"/>
      <c r="K338" s="2334"/>
      <c r="L338" s="2334"/>
      <c r="M338" s="2334"/>
      <c r="N338" s="2334"/>
      <c r="O338" s="2334"/>
      <c r="P338" s="2324"/>
      <c r="Q338" s="2324"/>
      <c r="R338" s="2325"/>
      <c r="S338" s="2324"/>
      <c r="T338" s="2324"/>
      <c r="U338" s="2326"/>
      <c r="V338" s="2327"/>
      <c r="W338" s="2327"/>
      <c r="X338" s="2327"/>
      <c r="Y338" s="2327"/>
      <c r="Z338" s="2327"/>
      <c r="AA338" s="2328"/>
      <c r="AB338" s="2329"/>
      <c r="AC338" s="2326"/>
      <c r="AD338" s="2330">
        <f t="shared" si="190"/>
        <v>0</v>
      </c>
      <c r="AE338" s="2330"/>
      <c r="AF338" s="2330"/>
      <c r="AG338" s="2330">
        <f t="shared" si="183"/>
        <v>0</v>
      </c>
      <c r="AH338" s="2330"/>
      <c r="AI338" s="2330"/>
      <c r="AJ338" s="2330">
        <f t="shared" si="191"/>
        <v>0</v>
      </c>
      <c r="AK338" s="2330"/>
      <c r="AL338" s="2330"/>
      <c r="AM338" s="2331">
        <f t="shared" si="177"/>
        <v>0</v>
      </c>
      <c r="AN338" s="2331"/>
      <c r="AO338" s="2331"/>
      <c r="AP338" s="2331"/>
      <c r="AQ338" s="2332">
        <f t="shared" si="192"/>
        <v>0</v>
      </c>
      <c r="AR338" s="2332"/>
      <c r="AS338" s="2332"/>
      <c r="AT338" s="2332">
        <f t="shared" si="193"/>
        <v>0</v>
      </c>
      <c r="AV338" s="151" t="str">
        <f t="shared" si="172"/>
        <v>SIDING</v>
      </c>
      <c r="AW338" s="681"/>
      <c r="AX338" s="230"/>
      <c r="AY338" s="230"/>
      <c r="AZ338" s="679"/>
      <c r="BA338" s="49">
        <f t="shared" si="194"/>
        <v>0</v>
      </c>
      <c r="BB338" s="49">
        <f t="shared" si="195"/>
        <v>0</v>
      </c>
      <c r="BC338" s="49">
        <f t="shared" si="196"/>
        <v>0</v>
      </c>
      <c r="BD338" s="49">
        <f t="shared" si="197"/>
        <v>0</v>
      </c>
      <c r="BE338" s="49">
        <f t="shared" si="189"/>
        <v>0</v>
      </c>
      <c r="BF338" s="49">
        <f t="shared" si="198"/>
        <v>0</v>
      </c>
      <c r="BG338" s="49">
        <f t="shared" si="199"/>
        <v>0</v>
      </c>
      <c r="BI338" s="134">
        <f t="shared" si="200"/>
        <v>0</v>
      </c>
      <c r="BJ338" s="134">
        <f t="shared" si="201"/>
        <v>0</v>
      </c>
      <c r="BK338" s="134">
        <f t="shared" si="202"/>
        <v>0</v>
      </c>
    </row>
    <row r="339" spans="1:63" hidden="1">
      <c r="A339" s="187"/>
      <c r="B339" s="2321"/>
      <c r="C339" s="2322"/>
      <c r="D339" s="2334"/>
      <c r="E339" s="2334"/>
      <c r="F339" s="2334"/>
      <c r="G339" s="2334"/>
      <c r="H339" s="2334"/>
      <c r="I339" s="2334"/>
      <c r="J339" s="2334"/>
      <c r="K339" s="2334"/>
      <c r="L339" s="2334"/>
      <c r="M339" s="2334"/>
      <c r="N339" s="2334"/>
      <c r="O339" s="2334"/>
      <c r="P339" s="2324"/>
      <c r="Q339" s="2324"/>
      <c r="R339" s="2325"/>
      <c r="S339" s="2324"/>
      <c r="T339" s="2324"/>
      <c r="U339" s="2326"/>
      <c r="V339" s="2327"/>
      <c r="W339" s="2327"/>
      <c r="X339" s="2327"/>
      <c r="Y339" s="2327"/>
      <c r="Z339" s="2327"/>
      <c r="AA339" s="2328"/>
      <c r="AB339" s="2329"/>
      <c r="AC339" s="2326"/>
      <c r="AD339" s="2330">
        <f t="shared" si="190"/>
        <v>0</v>
      </c>
      <c r="AE339" s="2330"/>
      <c r="AF339" s="2330"/>
      <c r="AG339" s="2330">
        <f t="shared" si="183"/>
        <v>0</v>
      </c>
      <c r="AH339" s="2330"/>
      <c r="AI339" s="2330"/>
      <c r="AJ339" s="2330">
        <f t="shared" si="191"/>
        <v>0</v>
      </c>
      <c r="AK339" s="2330"/>
      <c r="AL339" s="2330"/>
      <c r="AM339" s="2331">
        <f t="shared" si="177"/>
        <v>0</v>
      </c>
      <c r="AN339" s="2331"/>
      <c r="AO339" s="2331"/>
      <c r="AP339" s="2331"/>
      <c r="AQ339" s="2332">
        <f t="shared" si="192"/>
        <v>0</v>
      </c>
      <c r="AR339" s="2332"/>
      <c r="AS339" s="2332"/>
      <c r="AT339" s="2332">
        <f t="shared" si="193"/>
        <v>0</v>
      </c>
      <c r="AV339" s="151" t="str">
        <f t="shared" si="172"/>
        <v>SIDING</v>
      </c>
      <c r="AW339" s="681"/>
      <c r="AX339" s="230"/>
      <c r="AY339" s="230"/>
      <c r="AZ339" s="679"/>
      <c r="BA339" s="49">
        <f t="shared" si="194"/>
        <v>0</v>
      </c>
      <c r="BB339" s="49">
        <f t="shared" si="195"/>
        <v>0</v>
      </c>
      <c r="BC339" s="49">
        <f t="shared" si="196"/>
        <v>0</v>
      </c>
      <c r="BD339" s="49">
        <f t="shared" si="197"/>
        <v>0</v>
      </c>
      <c r="BE339" s="49">
        <f t="shared" si="189"/>
        <v>0</v>
      </c>
      <c r="BF339" s="49">
        <f t="shared" si="198"/>
        <v>0</v>
      </c>
      <c r="BG339" s="49">
        <f t="shared" si="199"/>
        <v>0</v>
      </c>
      <c r="BI339" s="134">
        <f t="shared" si="200"/>
        <v>0</v>
      </c>
      <c r="BJ339" s="134">
        <f t="shared" si="201"/>
        <v>0</v>
      </c>
      <c r="BK339" s="134">
        <f t="shared" si="202"/>
        <v>0</v>
      </c>
    </row>
    <row r="340" spans="1:63" hidden="1">
      <c r="A340" s="187"/>
      <c r="B340" s="2321"/>
      <c r="C340" s="2322"/>
      <c r="D340" s="2334"/>
      <c r="E340" s="2334"/>
      <c r="F340" s="2334"/>
      <c r="G340" s="2334"/>
      <c r="H340" s="2334"/>
      <c r="I340" s="2334"/>
      <c r="J340" s="2334"/>
      <c r="K340" s="2334"/>
      <c r="L340" s="2334"/>
      <c r="M340" s="2334"/>
      <c r="N340" s="2334"/>
      <c r="O340" s="2334"/>
      <c r="P340" s="2324"/>
      <c r="Q340" s="2324"/>
      <c r="R340" s="2325"/>
      <c r="S340" s="2324"/>
      <c r="T340" s="2324"/>
      <c r="U340" s="2326"/>
      <c r="V340" s="2327"/>
      <c r="W340" s="2327"/>
      <c r="X340" s="2327"/>
      <c r="Y340" s="2327"/>
      <c r="Z340" s="2327"/>
      <c r="AA340" s="2328"/>
      <c r="AB340" s="2329"/>
      <c r="AC340" s="2326"/>
      <c r="AD340" s="2330">
        <f t="shared" si="190"/>
        <v>0</v>
      </c>
      <c r="AE340" s="2330"/>
      <c r="AF340" s="2330"/>
      <c r="AG340" s="2330">
        <f t="shared" si="183"/>
        <v>0</v>
      </c>
      <c r="AH340" s="2330"/>
      <c r="AI340" s="2330"/>
      <c r="AJ340" s="2330">
        <f t="shared" si="191"/>
        <v>0</v>
      </c>
      <c r="AK340" s="2330"/>
      <c r="AL340" s="2330"/>
      <c r="AM340" s="2331">
        <f t="shared" si="177"/>
        <v>0</v>
      </c>
      <c r="AN340" s="2331"/>
      <c r="AO340" s="2331"/>
      <c r="AP340" s="2331"/>
      <c r="AQ340" s="2332">
        <f t="shared" si="192"/>
        <v>0</v>
      </c>
      <c r="AR340" s="2332"/>
      <c r="AS340" s="2332"/>
      <c r="AT340" s="2332">
        <f t="shared" si="193"/>
        <v>0</v>
      </c>
      <c r="AV340" s="151" t="str">
        <f t="shared" si="172"/>
        <v>SIDING</v>
      </c>
      <c r="AW340" s="681"/>
      <c r="AX340" s="230"/>
      <c r="AY340" s="230"/>
      <c r="AZ340" s="679"/>
      <c r="BA340" s="49">
        <f t="shared" si="194"/>
        <v>0</v>
      </c>
      <c r="BB340" s="49">
        <f t="shared" si="195"/>
        <v>0</v>
      </c>
      <c r="BC340" s="49">
        <f t="shared" si="196"/>
        <v>0</v>
      </c>
      <c r="BD340" s="49">
        <f t="shared" si="197"/>
        <v>0</v>
      </c>
      <c r="BE340" s="49">
        <f t="shared" si="189"/>
        <v>0</v>
      </c>
      <c r="BF340" s="49">
        <f t="shared" si="198"/>
        <v>0</v>
      </c>
      <c r="BG340" s="49">
        <f t="shared" si="199"/>
        <v>0</v>
      </c>
      <c r="BI340" s="134">
        <f t="shared" si="200"/>
        <v>0</v>
      </c>
      <c r="BJ340" s="134">
        <f t="shared" si="201"/>
        <v>0</v>
      </c>
      <c r="BK340" s="134">
        <f t="shared" si="202"/>
        <v>0</v>
      </c>
    </row>
    <row r="341" spans="1:63" hidden="1">
      <c r="A341" s="187"/>
      <c r="B341" s="2321"/>
      <c r="C341" s="2322"/>
      <c r="D341" s="2334"/>
      <c r="E341" s="2334"/>
      <c r="F341" s="2334"/>
      <c r="G341" s="2334"/>
      <c r="H341" s="2334"/>
      <c r="I341" s="2334"/>
      <c r="J341" s="2334"/>
      <c r="K341" s="2334"/>
      <c r="L341" s="2334"/>
      <c r="M341" s="2334"/>
      <c r="N341" s="2334"/>
      <c r="O341" s="2334"/>
      <c r="P341" s="2324"/>
      <c r="Q341" s="2324"/>
      <c r="R341" s="2325"/>
      <c r="S341" s="2324"/>
      <c r="T341" s="2324"/>
      <c r="U341" s="2326"/>
      <c r="V341" s="2327"/>
      <c r="W341" s="2327"/>
      <c r="X341" s="2327"/>
      <c r="Y341" s="2327"/>
      <c r="Z341" s="2327"/>
      <c r="AA341" s="2328"/>
      <c r="AB341" s="2329"/>
      <c r="AC341" s="2326"/>
      <c r="AD341" s="2330">
        <f t="shared" si="190"/>
        <v>0</v>
      </c>
      <c r="AE341" s="2330"/>
      <c r="AF341" s="2330"/>
      <c r="AG341" s="2330">
        <f t="shared" si="183"/>
        <v>0</v>
      </c>
      <c r="AH341" s="2330"/>
      <c r="AI341" s="2330"/>
      <c r="AJ341" s="2330">
        <f t="shared" si="191"/>
        <v>0</v>
      </c>
      <c r="AK341" s="2330"/>
      <c r="AL341" s="2330"/>
      <c r="AM341" s="2331">
        <f t="shared" si="177"/>
        <v>0</v>
      </c>
      <c r="AN341" s="2331"/>
      <c r="AO341" s="2331"/>
      <c r="AP341" s="2331"/>
      <c r="AQ341" s="2332">
        <f t="shared" si="192"/>
        <v>0</v>
      </c>
      <c r="AR341" s="2332"/>
      <c r="AS341" s="2332"/>
      <c r="AT341" s="2332">
        <f t="shared" si="193"/>
        <v>0</v>
      </c>
      <c r="AV341" s="151" t="str">
        <f t="shared" si="172"/>
        <v>SIDING</v>
      </c>
      <c r="AW341" s="681"/>
      <c r="AX341" s="230"/>
      <c r="AY341" s="230"/>
      <c r="AZ341" s="679"/>
      <c r="BA341" s="49">
        <f t="shared" si="194"/>
        <v>0</v>
      </c>
      <c r="BB341" s="49">
        <f t="shared" si="195"/>
        <v>0</v>
      </c>
      <c r="BC341" s="49">
        <f t="shared" si="196"/>
        <v>0</v>
      </c>
      <c r="BD341" s="49">
        <f t="shared" si="197"/>
        <v>0</v>
      </c>
      <c r="BE341" s="49">
        <f t="shared" si="189"/>
        <v>0</v>
      </c>
      <c r="BF341" s="49">
        <f t="shared" si="198"/>
        <v>0</v>
      </c>
      <c r="BG341" s="49">
        <f t="shared" si="199"/>
        <v>0</v>
      </c>
      <c r="BI341" s="134">
        <f t="shared" si="200"/>
        <v>0</v>
      </c>
      <c r="BJ341" s="134">
        <f t="shared" si="201"/>
        <v>0</v>
      </c>
      <c r="BK341" s="134">
        <f t="shared" si="202"/>
        <v>0</v>
      </c>
    </row>
    <row r="342" spans="1:63" hidden="1">
      <c r="A342" s="187"/>
      <c r="B342" s="2321"/>
      <c r="C342" s="2322"/>
      <c r="D342" s="2334"/>
      <c r="E342" s="2334"/>
      <c r="F342" s="2334"/>
      <c r="G342" s="2334"/>
      <c r="H342" s="2334"/>
      <c r="I342" s="2334"/>
      <c r="J342" s="2334"/>
      <c r="K342" s="2334"/>
      <c r="L342" s="2334"/>
      <c r="M342" s="2334"/>
      <c r="N342" s="2334"/>
      <c r="O342" s="2334"/>
      <c r="P342" s="2324"/>
      <c r="Q342" s="2324"/>
      <c r="R342" s="2325"/>
      <c r="S342" s="2324"/>
      <c r="T342" s="2324"/>
      <c r="U342" s="2326"/>
      <c r="V342" s="2327"/>
      <c r="W342" s="2327"/>
      <c r="X342" s="2327"/>
      <c r="Y342" s="2327"/>
      <c r="Z342" s="2327"/>
      <c r="AA342" s="2328"/>
      <c r="AB342" s="2329"/>
      <c r="AC342" s="2326"/>
      <c r="AD342" s="2330">
        <f t="shared" si="190"/>
        <v>0</v>
      </c>
      <c r="AE342" s="2330"/>
      <c r="AF342" s="2330"/>
      <c r="AG342" s="2330">
        <f t="shared" si="183"/>
        <v>0</v>
      </c>
      <c r="AH342" s="2330"/>
      <c r="AI342" s="2330"/>
      <c r="AJ342" s="2330">
        <f t="shared" si="191"/>
        <v>0</v>
      </c>
      <c r="AK342" s="2330"/>
      <c r="AL342" s="2330"/>
      <c r="AM342" s="2331">
        <f t="shared" si="177"/>
        <v>0</v>
      </c>
      <c r="AN342" s="2331"/>
      <c r="AO342" s="2331"/>
      <c r="AP342" s="2331"/>
      <c r="AQ342" s="2332">
        <f t="shared" si="192"/>
        <v>0</v>
      </c>
      <c r="AR342" s="2332"/>
      <c r="AS342" s="2332"/>
      <c r="AT342" s="2332">
        <f t="shared" si="193"/>
        <v>0</v>
      </c>
      <c r="AV342" s="151" t="str">
        <f t="shared" si="172"/>
        <v>SIDING</v>
      </c>
      <c r="AW342" s="681"/>
      <c r="AX342" s="230"/>
      <c r="AY342" s="230"/>
      <c r="AZ342" s="679"/>
      <c r="BA342" s="49">
        <f t="shared" si="194"/>
        <v>0</v>
      </c>
      <c r="BB342" s="49">
        <f t="shared" si="195"/>
        <v>0</v>
      </c>
      <c r="BC342" s="49">
        <f t="shared" si="196"/>
        <v>0</v>
      </c>
      <c r="BD342" s="49">
        <f t="shared" si="197"/>
        <v>0</v>
      </c>
      <c r="BE342" s="49">
        <f t="shared" si="189"/>
        <v>0</v>
      </c>
      <c r="BF342" s="49">
        <f t="shared" si="198"/>
        <v>0</v>
      </c>
      <c r="BG342" s="49">
        <f t="shared" si="199"/>
        <v>0</v>
      </c>
      <c r="BI342" s="134">
        <f t="shared" si="200"/>
        <v>0</v>
      </c>
      <c r="BJ342" s="134">
        <f t="shared" si="201"/>
        <v>0</v>
      </c>
      <c r="BK342" s="134">
        <f t="shared" si="202"/>
        <v>0</v>
      </c>
    </row>
    <row r="343" spans="1:63" hidden="1">
      <c r="A343" s="187"/>
      <c r="B343" s="2321"/>
      <c r="C343" s="2322"/>
      <c r="D343" s="2334"/>
      <c r="E343" s="2334"/>
      <c r="F343" s="2334"/>
      <c r="G343" s="2334"/>
      <c r="H343" s="2334"/>
      <c r="I343" s="2334"/>
      <c r="J343" s="2334"/>
      <c r="K343" s="2334"/>
      <c r="L343" s="2334"/>
      <c r="M343" s="2334"/>
      <c r="N343" s="2334"/>
      <c r="O343" s="2334"/>
      <c r="P343" s="2324"/>
      <c r="Q343" s="2324"/>
      <c r="R343" s="2325"/>
      <c r="S343" s="2324"/>
      <c r="T343" s="2324"/>
      <c r="U343" s="2326"/>
      <c r="V343" s="2327"/>
      <c r="W343" s="2327"/>
      <c r="X343" s="2327"/>
      <c r="Y343" s="2327"/>
      <c r="Z343" s="2327"/>
      <c r="AA343" s="2328"/>
      <c r="AB343" s="2329"/>
      <c r="AC343" s="2326"/>
      <c r="AD343" s="2330">
        <f t="shared" si="190"/>
        <v>0</v>
      </c>
      <c r="AE343" s="2330"/>
      <c r="AF343" s="2330"/>
      <c r="AG343" s="2330">
        <f t="shared" si="183"/>
        <v>0</v>
      </c>
      <c r="AH343" s="2330"/>
      <c r="AI343" s="2330"/>
      <c r="AJ343" s="2330">
        <f t="shared" si="191"/>
        <v>0</v>
      </c>
      <c r="AK343" s="2330"/>
      <c r="AL343" s="2330"/>
      <c r="AM343" s="2331">
        <f t="shared" si="177"/>
        <v>0</v>
      </c>
      <c r="AN343" s="2331"/>
      <c r="AO343" s="2331"/>
      <c r="AP343" s="2331"/>
      <c r="AQ343" s="2332">
        <f t="shared" si="192"/>
        <v>0</v>
      </c>
      <c r="AR343" s="2332"/>
      <c r="AS343" s="2332"/>
      <c r="AT343" s="2332">
        <f t="shared" si="193"/>
        <v>0</v>
      </c>
      <c r="AV343" s="151" t="str">
        <f t="shared" si="172"/>
        <v>SIDING</v>
      </c>
      <c r="AW343" s="681"/>
      <c r="AX343" s="230"/>
      <c r="AY343" s="230"/>
      <c r="AZ343" s="679"/>
      <c r="BA343" s="49">
        <f t="shared" si="194"/>
        <v>0</v>
      </c>
      <c r="BB343" s="49">
        <f t="shared" si="195"/>
        <v>0</v>
      </c>
      <c r="BC343" s="49">
        <f t="shared" si="196"/>
        <v>0</v>
      </c>
      <c r="BD343" s="49">
        <f t="shared" si="197"/>
        <v>0</v>
      </c>
      <c r="BE343" s="49">
        <f t="shared" si="189"/>
        <v>0</v>
      </c>
      <c r="BF343" s="49">
        <f t="shared" si="198"/>
        <v>0</v>
      </c>
      <c r="BG343" s="49">
        <f t="shared" si="199"/>
        <v>0</v>
      </c>
      <c r="BI343" s="134">
        <f t="shared" si="200"/>
        <v>0</v>
      </c>
      <c r="BJ343" s="134">
        <f t="shared" si="201"/>
        <v>0</v>
      </c>
      <c r="BK343" s="134">
        <f t="shared" si="202"/>
        <v>0</v>
      </c>
    </row>
    <row r="344" spans="1:63" hidden="1">
      <c r="A344" s="187"/>
      <c r="B344" s="2321"/>
      <c r="C344" s="2322"/>
      <c r="D344" s="2334"/>
      <c r="E344" s="2334"/>
      <c r="F344" s="2334"/>
      <c r="G344" s="2334"/>
      <c r="H344" s="2334"/>
      <c r="I344" s="2334"/>
      <c r="J344" s="2334"/>
      <c r="K344" s="2334"/>
      <c r="L344" s="2334"/>
      <c r="M344" s="2334"/>
      <c r="N344" s="2334"/>
      <c r="O344" s="2334"/>
      <c r="P344" s="2324"/>
      <c r="Q344" s="2324"/>
      <c r="R344" s="2325"/>
      <c r="S344" s="2324"/>
      <c r="T344" s="2324"/>
      <c r="U344" s="2326"/>
      <c r="V344" s="2327"/>
      <c r="W344" s="2327"/>
      <c r="X344" s="2327"/>
      <c r="Y344" s="2327"/>
      <c r="Z344" s="2327"/>
      <c r="AA344" s="2328"/>
      <c r="AB344" s="2329"/>
      <c r="AC344" s="2326"/>
      <c r="AD344" s="2330">
        <f t="shared" si="190"/>
        <v>0</v>
      </c>
      <c r="AE344" s="2330"/>
      <c r="AF344" s="2330"/>
      <c r="AG344" s="2330">
        <f t="shared" si="183"/>
        <v>0</v>
      </c>
      <c r="AH344" s="2330"/>
      <c r="AI344" s="2330"/>
      <c r="AJ344" s="2330">
        <f t="shared" si="191"/>
        <v>0</v>
      </c>
      <c r="AK344" s="2330"/>
      <c r="AL344" s="2330"/>
      <c r="AM344" s="2331">
        <f t="shared" si="177"/>
        <v>0</v>
      </c>
      <c r="AN344" s="2331"/>
      <c r="AO344" s="2331"/>
      <c r="AP344" s="2331"/>
      <c r="AQ344" s="2332">
        <f t="shared" si="192"/>
        <v>0</v>
      </c>
      <c r="AR344" s="2332"/>
      <c r="AS344" s="2332"/>
      <c r="AT344" s="2332">
        <f t="shared" si="193"/>
        <v>0</v>
      </c>
      <c r="AV344" s="151" t="str">
        <f t="shared" si="172"/>
        <v>SIDING</v>
      </c>
      <c r="AW344" s="681"/>
      <c r="AX344" s="230"/>
      <c r="AY344" s="230"/>
      <c r="AZ344" s="679"/>
      <c r="BA344" s="49">
        <f t="shared" si="194"/>
        <v>0</v>
      </c>
      <c r="BB344" s="49">
        <f t="shared" si="195"/>
        <v>0</v>
      </c>
      <c r="BC344" s="49">
        <f t="shared" si="196"/>
        <v>0</v>
      </c>
      <c r="BD344" s="49">
        <f t="shared" si="197"/>
        <v>0</v>
      </c>
      <c r="BE344" s="49">
        <f t="shared" si="189"/>
        <v>0</v>
      </c>
      <c r="BF344" s="49">
        <f t="shared" si="198"/>
        <v>0</v>
      </c>
      <c r="BG344" s="49">
        <f t="shared" si="199"/>
        <v>0</v>
      </c>
      <c r="BI344" s="134">
        <f t="shared" si="200"/>
        <v>0</v>
      </c>
      <c r="BJ344" s="134">
        <f t="shared" si="201"/>
        <v>0</v>
      </c>
      <c r="BK344" s="134">
        <f t="shared" si="202"/>
        <v>0</v>
      </c>
    </row>
    <row r="345" spans="1:63" hidden="1">
      <c r="A345" s="187"/>
      <c r="B345" s="2321"/>
      <c r="C345" s="2322"/>
      <c r="D345" s="2334"/>
      <c r="E345" s="2334"/>
      <c r="F345" s="2334"/>
      <c r="G345" s="2334"/>
      <c r="H345" s="2334"/>
      <c r="I345" s="2334"/>
      <c r="J345" s="2334"/>
      <c r="K345" s="2334"/>
      <c r="L345" s="2334"/>
      <c r="M345" s="2334"/>
      <c r="N345" s="2334"/>
      <c r="O345" s="2334"/>
      <c r="P345" s="2324"/>
      <c r="Q345" s="2324"/>
      <c r="R345" s="2325"/>
      <c r="S345" s="2324"/>
      <c r="T345" s="2324"/>
      <c r="U345" s="2326"/>
      <c r="V345" s="2327"/>
      <c r="W345" s="2327"/>
      <c r="X345" s="2327"/>
      <c r="Y345" s="2327"/>
      <c r="Z345" s="2327"/>
      <c r="AA345" s="2328"/>
      <c r="AB345" s="2329"/>
      <c r="AC345" s="2326"/>
      <c r="AD345" s="2330">
        <f t="shared" ref="AD345:AD351" si="203">((P345*U345)-AM345)</f>
        <v>0</v>
      </c>
      <c r="AE345" s="2330"/>
      <c r="AF345" s="2330"/>
      <c r="AG345" s="2330">
        <f t="shared" si="183"/>
        <v>0</v>
      </c>
      <c r="AH345" s="2330"/>
      <c r="AI345" s="2330"/>
      <c r="AJ345" s="2330">
        <f t="shared" ref="AJ345:AJ351" si="204">P345*AA345</f>
        <v>0</v>
      </c>
      <c r="AK345" s="2330"/>
      <c r="AL345" s="2330"/>
      <c r="AM345" s="2331">
        <f t="shared" si="177"/>
        <v>0</v>
      </c>
      <c r="AN345" s="2331"/>
      <c r="AO345" s="2331"/>
      <c r="AP345" s="2331"/>
      <c r="AQ345" s="2332">
        <f t="shared" ref="AQ345:AQ351" si="205">SUM(AD345:AL345)</f>
        <v>0</v>
      </c>
      <c r="AR345" s="2332"/>
      <c r="AS345" s="2332"/>
      <c r="AT345" s="2332">
        <f t="shared" ref="AT345:AT351" si="206">SUM(AD345:AL345)</f>
        <v>0</v>
      </c>
      <c r="AV345" s="151" t="str">
        <f t="shared" si="172"/>
        <v>SIDING</v>
      </c>
      <c r="AW345" s="681"/>
      <c r="AX345" s="230"/>
      <c r="AY345" s="230"/>
      <c r="AZ345" s="679"/>
      <c r="BA345" s="49">
        <f t="shared" ref="BA345:BA351" si="207">AD345</f>
        <v>0</v>
      </c>
      <c r="BB345" s="49">
        <f t="shared" ref="BB345:BB351" si="208">AG345</f>
        <v>0</v>
      </c>
      <c r="BC345" s="49">
        <f t="shared" ref="BC345:BC351" si="209">AJ345</f>
        <v>0</v>
      </c>
      <c r="BD345" s="49">
        <f t="shared" ref="BD345:BD351" si="210">IF(B345="x",1,0)</f>
        <v>0</v>
      </c>
      <c r="BE345" s="49">
        <f t="shared" si="189"/>
        <v>0</v>
      </c>
      <c r="BF345" s="49">
        <f t="shared" ref="BF345:BF351" si="211">AQ345</f>
        <v>0</v>
      </c>
      <c r="BG345" s="49">
        <f t="shared" ref="BG345:BG351" si="212">AM345</f>
        <v>0</v>
      </c>
      <c r="BI345" s="134">
        <f t="shared" ref="BI345:BI351" si="213">AD345</f>
        <v>0</v>
      </c>
      <c r="BJ345" s="134">
        <f t="shared" ref="BJ345:BJ351" si="214">AM345</f>
        <v>0</v>
      </c>
      <c r="BK345" s="134">
        <f t="shared" ref="BK345:BK351" si="215">BJ345+BI345</f>
        <v>0</v>
      </c>
    </row>
    <row r="346" spans="1:63" hidden="1">
      <c r="A346" s="187"/>
      <c r="B346" s="2321"/>
      <c r="C346" s="2322"/>
      <c r="D346" s="2334"/>
      <c r="E346" s="2334"/>
      <c r="F346" s="2334"/>
      <c r="G346" s="2334"/>
      <c r="H346" s="2334"/>
      <c r="I346" s="2334"/>
      <c r="J346" s="2334"/>
      <c r="K346" s="2334"/>
      <c r="L346" s="2334"/>
      <c r="M346" s="2334"/>
      <c r="N346" s="2334"/>
      <c r="O346" s="2334"/>
      <c r="P346" s="2324"/>
      <c r="Q346" s="2324"/>
      <c r="R346" s="2325"/>
      <c r="S346" s="2324"/>
      <c r="T346" s="2324"/>
      <c r="U346" s="2326"/>
      <c r="V346" s="2327"/>
      <c r="W346" s="2327"/>
      <c r="X346" s="2327"/>
      <c r="Y346" s="2327"/>
      <c r="Z346" s="2327"/>
      <c r="AA346" s="2328"/>
      <c r="AB346" s="2329"/>
      <c r="AC346" s="2326"/>
      <c r="AD346" s="2330">
        <f t="shared" si="203"/>
        <v>0</v>
      </c>
      <c r="AE346" s="2330"/>
      <c r="AF346" s="2330"/>
      <c r="AG346" s="2330">
        <f t="shared" si="183"/>
        <v>0</v>
      </c>
      <c r="AH346" s="2330"/>
      <c r="AI346" s="2330"/>
      <c r="AJ346" s="2330">
        <f t="shared" si="204"/>
        <v>0</v>
      </c>
      <c r="AK346" s="2330"/>
      <c r="AL346" s="2330"/>
      <c r="AM346" s="2331">
        <f t="shared" si="177"/>
        <v>0</v>
      </c>
      <c r="AN346" s="2331"/>
      <c r="AO346" s="2331"/>
      <c r="AP346" s="2331"/>
      <c r="AQ346" s="2332">
        <f t="shared" si="205"/>
        <v>0</v>
      </c>
      <c r="AR346" s="2332"/>
      <c r="AS346" s="2332"/>
      <c r="AT346" s="2332">
        <f t="shared" si="206"/>
        <v>0</v>
      </c>
      <c r="AV346" s="151" t="str">
        <f t="shared" si="172"/>
        <v>SIDING</v>
      </c>
      <c r="AW346" s="681"/>
      <c r="AX346" s="230"/>
      <c r="AY346" s="230"/>
      <c r="AZ346" s="679"/>
      <c r="BA346" s="49">
        <f t="shared" si="207"/>
        <v>0</v>
      </c>
      <c r="BB346" s="49">
        <f t="shared" si="208"/>
        <v>0</v>
      </c>
      <c r="BC346" s="49">
        <f t="shared" si="209"/>
        <v>0</v>
      </c>
      <c r="BD346" s="49">
        <f t="shared" si="210"/>
        <v>0</v>
      </c>
      <c r="BE346" s="49">
        <f t="shared" si="189"/>
        <v>0</v>
      </c>
      <c r="BF346" s="49">
        <f t="shared" si="211"/>
        <v>0</v>
      </c>
      <c r="BG346" s="49">
        <f t="shared" si="212"/>
        <v>0</v>
      </c>
      <c r="BI346" s="134">
        <f t="shared" si="213"/>
        <v>0</v>
      </c>
      <c r="BJ346" s="134">
        <f t="shared" si="214"/>
        <v>0</v>
      </c>
      <c r="BK346" s="134">
        <f t="shared" si="215"/>
        <v>0</v>
      </c>
    </row>
    <row r="347" spans="1:63" hidden="1">
      <c r="A347" s="187"/>
      <c r="B347" s="2321"/>
      <c r="C347" s="2322"/>
      <c r="D347" s="2334"/>
      <c r="E347" s="2334"/>
      <c r="F347" s="2334"/>
      <c r="G347" s="2334"/>
      <c r="H347" s="2334"/>
      <c r="I347" s="2334"/>
      <c r="J347" s="2334"/>
      <c r="K347" s="2334"/>
      <c r="L347" s="2334"/>
      <c r="M347" s="2334"/>
      <c r="N347" s="2334"/>
      <c r="O347" s="2334"/>
      <c r="P347" s="2324"/>
      <c r="Q347" s="2324"/>
      <c r="R347" s="2325"/>
      <c r="S347" s="2324"/>
      <c r="T347" s="2324"/>
      <c r="U347" s="2326"/>
      <c r="V347" s="2327"/>
      <c r="W347" s="2327"/>
      <c r="X347" s="2327"/>
      <c r="Y347" s="2327"/>
      <c r="Z347" s="2327"/>
      <c r="AA347" s="2328"/>
      <c r="AB347" s="2329"/>
      <c r="AC347" s="2326"/>
      <c r="AD347" s="2330">
        <f t="shared" si="203"/>
        <v>0</v>
      </c>
      <c r="AE347" s="2330"/>
      <c r="AF347" s="2330"/>
      <c r="AG347" s="2330">
        <f t="shared" si="183"/>
        <v>0</v>
      </c>
      <c r="AH347" s="2330"/>
      <c r="AI347" s="2330"/>
      <c r="AJ347" s="2330">
        <f t="shared" si="204"/>
        <v>0</v>
      </c>
      <c r="AK347" s="2330"/>
      <c r="AL347" s="2330"/>
      <c r="AM347" s="2331">
        <f t="shared" si="177"/>
        <v>0</v>
      </c>
      <c r="AN347" s="2331"/>
      <c r="AO347" s="2331"/>
      <c r="AP347" s="2331"/>
      <c r="AQ347" s="2332">
        <f t="shared" si="205"/>
        <v>0</v>
      </c>
      <c r="AR347" s="2332"/>
      <c r="AS347" s="2332"/>
      <c r="AT347" s="2332">
        <f t="shared" si="206"/>
        <v>0</v>
      </c>
      <c r="AV347" s="151" t="str">
        <f t="shared" si="172"/>
        <v>SIDING</v>
      </c>
      <c r="AW347" s="681"/>
      <c r="AX347" s="230"/>
      <c r="AY347" s="230"/>
      <c r="AZ347" s="679"/>
      <c r="BA347" s="49">
        <f t="shared" si="207"/>
        <v>0</v>
      </c>
      <c r="BB347" s="49">
        <f t="shared" si="208"/>
        <v>0</v>
      </c>
      <c r="BC347" s="49">
        <f t="shared" si="209"/>
        <v>0</v>
      </c>
      <c r="BD347" s="49">
        <f t="shared" si="210"/>
        <v>0</v>
      </c>
      <c r="BE347" s="49">
        <f t="shared" si="189"/>
        <v>0</v>
      </c>
      <c r="BF347" s="49">
        <f t="shared" si="211"/>
        <v>0</v>
      </c>
      <c r="BG347" s="49">
        <f t="shared" si="212"/>
        <v>0</v>
      </c>
      <c r="BI347" s="134">
        <f t="shared" si="213"/>
        <v>0</v>
      </c>
      <c r="BJ347" s="134">
        <f t="shared" si="214"/>
        <v>0</v>
      </c>
      <c r="BK347" s="134">
        <f t="shared" si="215"/>
        <v>0</v>
      </c>
    </row>
    <row r="348" spans="1:63" hidden="1">
      <c r="A348" s="187"/>
      <c r="B348" s="2321"/>
      <c r="C348" s="2322"/>
      <c r="D348" s="2334"/>
      <c r="E348" s="2334"/>
      <c r="F348" s="2334"/>
      <c r="G348" s="2334"/>
      <c r="H348" s="2334"/>
      <c r="I348" s="2334"/>
      <c r="J348" s="2334"/>
      <c r="K348" s="2334"/>
      <c r="L348" s="2334"/>
      <c r="M348" s="2334"/>
      <c r="N348" s="2334"/>
      <c r="O348" s="2334"/>
      <c r="P348" s="2324"/>
      <c r="Q348" s="2324"/>
      <c r="R348" s="2325"/>
      <c r="S348" s="2324"/>
      <c r="T348" s="2324"/>
      <c r="U348" s="2326"/>
      <c r="V348" s="2327"/>
      <c r="W348" s="2327"/>
      <c r="X348" s="2327"/>
      <c r="Y348" s="2327"/>
      <c r="Z348" s="2327"/>
      <c r="AA348" s="2328"/>
      <c r="AB348" s="2329"/>
      <c r="AC348" s="2326"/>
      <c r="AD348" s="2330">
        <f t="shared" si="203"/>
        <v>0</v>
      </c>
      <c r="AE348" s="2330"/>
      <c r="AF348" s="2330"/>
      <c r="AG348" s="2330">
        <f t="shared" si="183"/>
        <v>0</v>
      </c>
      <c r="AH348" s="2330"/>
      <c r="AI348" s="2330"/>
      <c r="AJ348" s="2330">
        <f t="shared" si="204"/>
        <v>0</v>
      </c>
      <c r="AK348" s="2330"/>
      <c r="AL348" s="2330"/>
      <c r="AM348" s="2331">
        <f t="shared" si="177"/>
        <v>0</v>
      </c>
      <c r="AN348" s="2331"/>
      <c r="AO348" s="2331"/>
      <c r="AP348" s="2331"/>
      <c r="AQ348" s="2332">
        <f t="shared" si="205"/>
        <v>0</v>
      </c>
      <c r="AR348" s="2332"/>
      <c r="AS348" s="2332"/>
      <c r="AT348" s="2332">
        <f t="shared" si="206"/>
        <v>0</v>
      </c>
      <c r="AV348" s="151" t="str">
        <f t="shared" si="172"/>
        <v>SIDING</v>
      </c>
      <c r="AW348" s="681"/>
      <c r="AX348" s="230"/>
      <c r="AY348" s="230"/>
      <c r="AZ348" s="679"/>
      <c r="BA348" s="49">
        <f t="shared" si="207"/>
        <v>0</v>
      </c>
      <c r="BB348" s="49">
        <f t="shared" si="208"/>
        <v>0</v>
      </c>
      <c r="BC348" s="49">
        <f t="shared" si="209"/>
        <v>0</v>
      </c>
      <c r="BD348" s="49">
        <f t="shared" si="210"/>
        <v>0</v>
      </c>
      <c r="BE348" s="49">
        <f t="shared" si="189"/>
        <v>0</v>
      </c>
      <c r="BF348" s="49">
        <f t="shared" si="211"/>
        <v>0</v>
      </c>
      <c r="BG348" s="49">
        <f t="shared" si="212"/>
        <v>0</v>
      </c>
      <c r="BI348" s="134">
        <f t="shared" si="213"/>
        <v>0</v>
      </c>
      <c r="BJ348" s="134">
        <f t="shared" si="214"/>
        <v>0</v>
      </c>
      <c r="BK348" s="134">
        <f t="shared" si="215"/>
        <v>0</v>
      </c>
    </row>
    <row r="349" spans="1:63" hidden="1">
      <c r="A349" s="187"/>
      <c r="B349" s="2321"/>
      <c r="C349" s="2322"/>
      <c r="D349" s="2334"/>
      <c r="E349" s="2334"/>
      <c r="F349" s="2334"/>
      <c r="G349" s="2334"/>
      <c r="H349" s="2334"/>
      <c r="I349" s="2334"/>
      <c r="J349" s="2334"/>
      <c r="K349" s="2334"/>
      <c r="L349" s="2334"/>
      <c r="M349" s="2334"/>
      <c r="N349" s="2334"/>
      <c r="O349" s="2334"/>
      <c r="P349" s="2324"/>
      <c r="Q349" s="2324"/>
      <c r="R349" s="2325"/>
      <c r="S349" s="2324"/>
      <c r="T349" s="2324"/>
      <c r="U349" s="2326"/>
      <c r="V349" s="2327"/>
      <c r="W349" s="2327"/>
      <c r="X349" s="2327"/>
      <c r="Y349" s="2327"/>
      <c r="Z349" s="2327"/>
      <c r="AA349" s="2328"/>
      <c r="AB349" s="2329"/>
      <c r="AC349" s="2326"/>
      <c r="AD349" s="2330">
        <f t="shared" si="203"/>
        <v>0</v>
      </c>
      <c r="AE349" s="2330"/>
      <c r="AF349" s="2330"/>
      <c r="AG349" s="2330">
        <f t="shared" si="183"/>
        <v>0</v>
      </c>
      <c r="AH349" s="2330"/>
      <c r="AI349" s="2330"/>
      <c r="AJ349" s="2330">
        <f t="shared" si="204"/>
        <v>0</v>
      </c>
      <c r="AK349" s="2330"/>
      <c r="AL349" s="2330"/>
      <c r="AM349" s="2331">
        <f t="shared" si="177"/>
        <v>0</v>
      </c>
      <c r="AN349" s="2331"/>
      <c r="AO349" s="2331"/>
      <c r="AP349" s="2331"/>
      <c r="AQ349" s="2332">
        <f t="shared" si="205"/>
        <v>0</v>
      </c>
      <c r="AR349" s="2332"/>
      <c r="AS349" s="2332"/>
      <c r="AT349" s="2332">
        <f t="shared" si="206"/>
        <v>0</v>
      </c>
      <c r="AV349" s="151" t="str">
        <f t="shared" si="172"/>
        <v>SIDING</v>
      </c>
      <c r="AW349" s="681"/>
      <c r="AX349" s="230"/>
      <c r="AY349" s="230"/>
      <c r="AZ349" s="679"/>
      <c r="BA349" s="49">
        <f t="shared" si="207"/>
        <v>0</v>
      </c>
      <c r="BB349" s="49">
        <f t="shared" si="208"/>
        <v>0</v>
      </c>
      <c r="BC349" s="49">
        <f t="shared" si="209"/>
        <v>0</v>
      </c>
      <c r="BD349" s="49">
        <f t="shared" si="210"/>
        <v>0</v>
      </c>
      <c r="BE349" s="49">
        <f t="shared" si="189"/>
        <v>0</v>
      </c>
      <c r="BF349" s="49">
        <f t="shared" si="211"/>
        <v>0</v>
      </c>
      <c r="BG349" s="49">
        <f t="shared" si="212"/>
        <v>0</v>
      </c>
      <c r="BI349" s="134">
        <f t="shared" si="213"/>
        <v>0</v>
      </c>
      <c r="BJ349" s="134">
        <f t="shared" si="214"/>
        <v>0</v>
      </c>
      <c r="BK349" s="134">
        <f t="shared" si="215"/>
        <v>0</v>
      </c>
    </row>
    <row r="350" spans="1:63" hidden="1">
      <c r="A350" s="187"/>
      <c r="B350" s="2321"/>
      <c r="C350" s="2322"/>
      <c r="D350" s="2334"/>
      <c r="E350" s="2334"/>
      <c r="F350" s="2334"/>
      <c r="G350" s="2334"/>
      <c r="H350" s="2334"/>
      <c r="I350" s="2334"/>
      <c r="J350" s="2334"/>
      <c r="K350" s="2334"/>
      <c r="L350" s="2334"/>
      <c r="M350" s="2334"/>
      <c r="N350" s="2334"/>
      <c r="O350" s="2334"/>
      <c r="P350" s="2324"/>
      <c r="Q350" s="2324"/>
      <c r="R350" s="2325"/>
      <c r="S350" s="2324"/>
      <c r="T350" s="2324"/>
      <c r="U350" s="2326"/>
      <c r="V350" s="2327"/>
      <c r="W350" s="2327"/>
      <c r="X350" s="2327"/>
      <c r="Y350" s="2327"/>
      <c r="Z350" s="2327"/>
      <c r="AA350" s="2328"/>
      <c r="AB350" s="2329"/>
      <c r="AC350" s="2326"/>
      <c r="AD350" s="2330">
        <f t="shared" si="203"/>
        <v>0</v>
      </c>
      <c r="AE350" s="2330"/>
      <c r="AF350" s="2330"/>
      <c r="AG350" s="2330">
        <f t="shared" si="183"/>
        <v>0</v>
      </c>
      <c r="AH350" s="2330"/>
      <c r="AI350" s="2330"/>
      <c r="AJ350" s="2330">
        <f t="shared" si="204"/>
        <v>0</v>
      </c>
      <c r="AK350" s="2330"/>
      <c r="AL350" s="2330"/>
      <c r="AM350" s="2331">
        <f t="shared" si="177"/>
        <v>0</v>
      </c>
      <c r="AN350" s="2331"/>
      <c r="AO350" s="2331"/>
      <c r="AP350" s="2331"/>
      <c r="AQ350" s="2332">
        <f t="shared" si="205"/>
        <v>0</v>
      </c>
      <c r="AR350" s="2332"/>
      <c r="AS350" s="2332"/>
      <c r="AT350" s="2332">
        <f t="shared" si="206"/>
        <v>0</v>
      </c>
      <c r="AV350" s="151" t="str">
        <f t="shared" si="172"/>
        <v>SIDING</v>
      </c>
      <c r="AW350" s="681"/>
      <c r="AX350" s="230"/>
      <c r="AY350" s="230"/>
      <c r="AZ350" s="679"/>
      <c r="BA350" s="49">
        <f t="shared" si="207"/>
        <v>0</v>
      </c>
      <c r="BB350" s="49">
        <f t="shared" si="208"/>
        <v>0</v>
      </c>
      <c r="BC350" s="49">
        <f t="shared" si="209"/>
        <v>0</v>
      </c>
      <c r="BD350" s="49">
        <f t="shared" si="210"/>
        <v>0</v>
      </c>
      <c r="BE350" s="49">
        <f t="shared" si="189"/>
        <v>0</v>
      </c>
      <c r="BF350" s="49">
        <f t="shared" si="211"/>
        <v>0</v>
      </c>
      <c r="BG350" s="49">
        <f t="shared" si="212"/>
        <v>0</v>
      </c>
      <c r="BI350" s="134">
        <f t="shared" si="213"/>
        <v>0</v>
      </c>
      <c r="BJ350" s="134">
        <f t="shared" si="214"/>
        <v>0</v>
      </c>
      <c r="BK350" s="134">
        <f t="shared" si="215"/>
        <v>0</v>
      </c>
    </row>
    <row r="351" spans="1:63" hidden="1">
      <c r="A351" s="187"/>
      <c r="B351" s="2321"/>
      <c r="C351" s="2322"/>
      <c r="D351" s="2334"/>
      <c r="E351" s="2334"/>
      <c r="F351" s="2334"/>
      <c r="G351" s="2334"/>
      <c r="H351" s="2334"/>
      <c r="I351" s="2334"/>
      <c r="J351" s="2334"/>
      <c r="K351" s="2334"/>
      <c r="L351" s="2334"/>
      <c r="M351" s="2334"/>
      <c r="N351" s="2334"/>
      <c r="O351" s="2334"/>
      <c r="P351" s="2324"/>
      <c r="Q351" s="2324"/>
      <c r="R351" s="2325"/>
      <c r="S351" s="2324"/>
      <c r="T351" s="2324"/>
      <c r="U351" s="2326"/>
      <c r="V351" s="2327"/>
      <c r="W351" s="2327"/>
      <c r="X351" s="2327"/>
      <c r="Y351" s="2327"/>
      <c r="Z351" s="2327"/>
      <c r="AA351" s="2328"/>
      <c r="AB351" s="2329"/>
      <c r="AC351" s="2326"/>
      <c r="AD351" s="2330">
        <f t="shared" si="203"/>
        <v>0</v>
      </c>
      <c r="AE351" s="2330"/>
      <c r="AF351" s="2330"/>
      <c r="AG351" s="2330">
        <f t="shared" si="183"/>
        <v>0</v>
      </c>
      <c r="AH351" s="2330"/>
      <c r="AI351" s="2330"/>
      <c r="AJ351" s="2330">
        <f t="shared" si="204"/>
        <v>0</v>
      </c>
      <c r="AK351" s="2330"/>
      <c r="AL351" s="2330"/>
      <c r="AM351" s="2331">
        <f t="shared" si="177"/>
        <v>0</v>
      </c>
      <c r="AN351" s="2331"/>
      <c r="AO351" s="2331"/>
      <c r="AP351" s="2331"/>
      <c r="AQ351" s="2332">
        <f t="shared" si="205"/>
        <v>0</v>
      </c>
      <c r="AR351" s="2332"/>
      <c r="AS351" s="2332"/>
      <c r="AT351" s="2332">
        <f t="shared" si="206"/>
        <v>0</v>
      </c>
      <c r="AV351" s="151" t="str">
        <f t="shared" si="172"/>
        <v>SIDING</v>
      </c>
      <c r="AW351" s="681"/>
      <c r="AX351" s="230"/>
      <c r="AY351" s="230"/>
      <c r="AZ351" s="679"/>
      <c r="BA351" s="49">
        <f t="shared" si="207"/>
        <v>0</v>
      </c>
      <c r="BB351" s="49">
        <f t="shared" si="208"/>
        <v>0</v>
      </c>
      <c r="BC351" s="49">
        <f t="shared" si="209"/>
        <v>0</v>
      </c>
      <c r="BD351" s="49">
        <f t="shared" si="210"/>
        <v>0</v>
      </c>
      <c r="BE351" s="49">
        <f t="shared" si="189"/>
        <v>0</v>
      </c>
      <c r="BF351" s="49">
        <f t="shared" si="211"/>
        <v>0</v>
      </c>
      <c r="BG351" s="49">
        <f t="shared" si="212"/>
        <v>0</v>
      </c>
      <c r="BI351" s="134">
        <f t="shared" si="213"/>
        <v>0</v>
      </c>
      <c r="BJ351" s="134">
        <f t="shared" si="214"/>
        <v>0</v>
      </c>
      <c r="BK351" s="134">
        <f t="shared" si="215"/>
        <v>0</v>
      </c>
    </row>
    <row r="352" spans="1:63" hidden="1">
      <c r="A352" s="187"/>
      <c r="B352" s="2321"/>
      <c r="C352" s="2322"/>
      <c r="D352" s="2334"/>
      <c r="E352" s="2334"/>
      <c r="F352" s="2334"/>
      <c r="G352" s="2334"/>
      <c r="H352" s="2334"/>
      <c r="I352" s="2334"/>
      <c r="J352" s="2334"/>
      <c r="K352" s="2334"/>
      <c r="L352" s="2334"/>
      <c r="M352" s="2334"/>
      <c r="N352" s="2334"/>
      <c r="O352" s="2334"/>
      <c r="P352" s="2324"/>
      <c r="Q352" s="2324"/>
      <c r="R352" s="2325"/>
      <c r="S352" s="2324"/>
      <c r="T352" s="2324"/>
      <c r="U352" s="2326"/>
      <c r="V352" s="2327"/>
      <c r="W352" s="2327"/>
      <c r="X352" s="2327"/>
      <c r="Y352" s="2327"/>
      <c r="Z352" s="2327"/>
      <c r="AA352" s="2328"/>
      <c r="AB352" s="2329"/>
      <c r="AC352" s="2326"/>
      <c r="AD352" s="2330">
        <f>((P352*U352)-AM352)</f>
        <v>0</v>
      </c>
      <c r="AE352" s="2330"/>
      <c r="AF352" s="2330"/>
      <c r="AG352" s="2330">
        <f t="shared" si="183"/>
        <v>0</v>
      </c>
      <c r="AH352" s="2330"/>
      <c r="AI352" s="2330"/>
      <c r="AJ352" s="2330">
        <f>P352*AA352</f>
        <v>0</v>
      </c>
      <c r="AK352" s="2330"/>
      <c r="AL352" s="2330"/>
      <c r="AM352" s="2331">
        <f t="shared" si="177"/>
        <v>0</v>
      </c>
      <c r="AN352" s="2331"/>
      <c r="AO352" s="2331"/>
      <c r="AP352" s="2331"/>
      <c r="AQ352" s="2332">
        <f>SUM(AD352:AL352)</f>
        <v>0</v>
      </c>
      <c r="AR352" s="2332"/>
      <c r="AS352" s="2332"/>
      <c r="AT352" s="2332">
        <f>SUM(AD352:AL352)</f>
        <v>0</v>
      </c>
      <c r="AV352" s="151" t="str">
        <f t="shared" si="172"/>
        <v>SIDING</v>
      </c>
      <c r="AW352" s="681"/>
      <c r="AX352" s="230"/>
      <c r="AY352" s="230"/>
      <c r="AZ352" s="679"/>
      <c r="BA352" s="49">
        <f>AD352</f>
        <v>0</v>
      </c>
      <c r="BB352" s="49">
        <f>AG352</f>
        <v>0</v>
      </c>
      <c r="BC352" s="49">
        <f>AJ352</f>
        <v>0</v>
      </c>
      <c r="BD352" s="49">
        <f>IF(B352="x",1,0)</f>
        <v>0</v>
      </c>
      <c r="BE352" s="49">
        <f t="shared" si="189"/>
        <v>0</v>
      </c>
      <c r="BF352" s="49">
        <f>AQ352</f>
        <v>0</v>
      </c>
      <c r="BG352" s="49">
        <f>AM352</f>
        <v>0</v>
      </c>
      <c r="BI352" s="134">
        <f>AD352</f>
        <v>0</v>
      </c>
      <c r="BJ352" s="134">
        <f>AM352</f>
        <v>0</v>
      </c>
      <c r="BK352" s="134">
        <f>BJ352+BI352</f>
        <v>0</v>
      </c>
    </row>
    <row r="353" spans="1:63" ht="5.0999999999999996" hidden="1" customHeight="1">
      <c r="A353" s="187"/>
      <c r="B353" s="64"/>
      <c r="C353" s="64"/>
      <c r="D353" s="885"/>
      <c r="E353" s="885"/>
      <c r="F353" s="885"/>
      <c r="G353" s="885"/>
      <c r="H353" s="885"/>
      <c r="I353" s="885"/>
      <c r="J353" s="885"/>
      <c r="K353" s="885"/>
      <c r="L353" s="885"/>
      <c r="M353" s="885"/>
      <c r="N353" s="885"/>
      <c r="O353" s="885"/>
      <c r="P353" s="66"/>
      <c r="Q353" s="66"/>
      <c r="R353" s="66"/>
      <c r="S353" s="66"/>
      <c r="T353" s="66"/>
      <c r="U353" s="67"/>
      <c r="V353" s="67"/>
      <c r="W353" s="67"/>
      <c r="X353" s="67"/>
      <c r="Y353" s="67"/>
      <c r="Z353" s="67"/>
      <c r="AA353" s="67"/>
      <c r="AB353" s="67"/>
      <c r="AC353" s="67"/>
      <c r="AD353" s="68"/>
      <c r="AE353" s="68"/>
      <c r="AF353" s="68"/>
      <c r="AG353" s="68"/>
      <c r="AH353" s="68"/>
      <c r="AI353" s="68"/>
      <c r="AJ353" s="68"/>
      <c r="AK353" s="68"/>
      <c r="AL353" s="68"/>
      <c r="AM353" s="69"/>
      <c r="AN353" s="69"/>
      <c r="AO353" s="69"/>
      <c r="AP353" s="69"/>
      <c r="AQ353" s="661"/>
      <c r="AR353" s="661"/>
      <c r="AS353" s="661"/>
      <c r="AT353" s="661"/>
      <c r="AV353" s="369" t="str">
        <f t="shared" si="172"/>
        <v>SIDING</v>
      </c>
      <c r="AW353" s="696"/>
      <c r="AX353" s="696"/>
      <c r="AY353" s="696"/>
      <c r="AZ353" s="369"/>
      <c r="BA353" s="75">
        <f>BA312</f>
        <v>0</v>
      </c>
      <c r="BB353" s="75">
        <f>BB312</f>
        <v>0</v>
      </c>
      <c r="BC353" s="75">
        <f>BC312</f>
        <v>0</v>
      </c>
      <c r="BD353" s="75">
        <f>BD312</f>
        <v>0</v>
      </c>
      <c r="BE353" s="75">
        <f>BE312</f>
        <v>0</v>
      </c>
      <c r="BF353" s="75"/>
      <c r="BG353" s="75"/>
      <c r="BI353" s="75"/>
      <c r="BJ353" s="75"/>
      <c r="BK353" s="75"/>
    </row>
    <row r="354" spans="1:63" ht="21.6" hidden="1" customHeight="1">
      <c r="A354" s="187"/>
      <c r="B354" s="2341"/>
      <c r="C354" s="2341"/>
      <c r="D354" s="886"/>
      <c r="E354" s="886"/>
      <c r="F354" s="886"/>
      <c r="G354" s="886"/>
      <c r="H354" s="886"/>
      <c r="I354" s="886"/>
      <c r="J354" s="886"/>
      <c r="K354" s="886"/>
      <c r="L354" s="886"/>
      <c r="M354" s="886"/>
      <c r="N354" s="886"/>
      <c r="O354" s="886"/>
      <c r="P354" s="37"/>
      <c r="Q354" s="37"/>
      <c r="R354" s="37"/>
      <c r="S354" s="37"/>
      <c r="T354" s="37"/>
      <c r="U354" s="37"/>
      <c r="V354" s="37"/>
      <c r="W354" s="37"/>
      <c r="X354" s="37"/>
      <c r="Y354" s="37"/>
      <c r="Z354" s="37"/>
      <c r="AA354" s="37"/>
      <c r="AB354" s="37"/>
      <c r="AC354" s="370" t="str">
        <f>CONCATENATE(D312," ","TOTAL")</f>
        <v>SIDING TOTAL</v>
      </c>
      <c r="AD354" s="2342">
        <f>SUBTOTAL(9,AD313:AD353)</f>
        <v>0</v>
      </c>
      <c r="AE354" s="2342"/>
      <c r="AF354" s="2342"/>
      <c r="AG354" s="2342">
        <f>SUBTOTAL(9,AG313:AG353)</f>
        <v>0</v>
      </c>
      <c r="AH354" s="2342"/>
      <c r="AI354" s="2342"/>
      <c r="AJ354" s="2342">
        <f>SUBTOTAL(9,AJ313:AJ353)</f>
        <v>0</v>
      </c>
      <c r="AK354" s="2342"/>
      <c r="AL354" s="2342"/>
      <c r="AM354" s="2342">
        <f>SUBTOTAL(9,AM313:AM353)</f>
        <v>0</v>
      </c>
      <c r="AN354" s="2342"/>
      <c r="AO354" s="2342"/>
      <c r="AP354" s="2342"/>
      <c r="AQ354" s="2336">
        <f>SUBTOTAL(9,AQ313:AQ353)</f>
        <v>0</v>
      </c>
      <c r="AR354" s="2336"/>
      <c r="AS354" s="2336"/>
      <c r="AT354" s="2336" t="e">
        <f>SUM(AT310:AT345)</f>
        <v>#REF!</v>
      </c>
      <c r="AV354" s="151" t="str">
        <f t="shared" si="172"/>
        <v>SIDING</v>
      </c>
      <c r="AW354" s="682"/>
      <c r="AX354" s="695"/>
      <c r="AY354" s="695"/>
      <c r="AZ354" s="274"/>
      <c r="BA354" s="74">
        <f>BA312</f>
        <v>0</v>
      </c>
      <c r="BB354" s="74">
        <f>BB312</f>
        <v>0</v>
      </c>
      <c r="BC354" s="74">
        <f>BC312</f>
        <v>0</v>
      </c>
      <c r="BD354" s="74">
        <f>BD312</f>
        <v>0</v>
      </c>
      <c r="BE354" s="74">
        <f>BE312</f>
        <v>0</v>
      </c>
      <c r="BF354" s="74">
        <f>SUM(BF312:BF353)</f>
        <v>0</v>
      </c>
      <c r="BG354" s="49">
        <f>SUM(BG312:BG353)</f>
        <v>0</v>
      </c>
      <c r="BI354" s="74">
        <f>SUM(BI313:BI353)</f>
        <v>0</v>
      </c>
      <c r="BJ354" s="74">
        <f>SUM(BJ313:BJ353)</f>
        <v>0</v>
      </c>
      <c r="BK354" s="49">
        <f>SUM(BK313:BK353)</f>
        <v>0</v>
      </c>
    </row>
    <row r="355" spans="1:63" ht="5.0999999999999996" hidden="1" customHeight="1">
      <c r="A355" s="187"/>
      <c r="B355" s="64"/>
      <c r="C355" s="64"/>
      <c r="D355" s="885"/>
      <c r="E355" s="885"/>
      <c r="F355" s="885"/>
      <c r="G355" s="885"/>
      <c r="H355" s="885"/>
      <c r="I355" s="885"/>
      <c r="J355" s="885"/>
      <c r="K355" s="885"/>
      <c r="L355" s="885"/>
      <c r="M355" s="885"/>
      <c r="N355" s="885"/>
      <c r="O355" s="885"/>
      <c r="P355" s="66"/>
      <c r="Q355" s="66"/>
      <c r="R355" s="66"/>
      <c r="S355" s="66"/>
      <c r="T355" s="66"/>
      <c r="U355" s="67"/>
      <c r="V355" s="67"/>
      <c r="W355" s="67"/>
      <c r="X355" s="67"/>
      <c r="Y355" s="67"/>
      <c r="Z355" s="67"/>
      <c r="AA355" s="67"/>
      <c r="AB355" s="67"/>
      <c r="AC355" s="67"/>
      <c r="AD355" s="68"/>
      <c r="AE355" s="68"/>
      <c r="AF355" s="68"/>
      <c r="AG355" s="68"/>
      <c r="AH355" s="68"/>
      <c r="AI355" s="68"/>
      <c r="AJ355" s="68"/>
      <c r="AK355" s="68"/>
      <c r="AL355" s="68"/>
      <c r="AM355" s="69"/>
      <c r="AN355" s="69"/>
      <c r="AO355" s="69"/>
      <c r="AP355" s="69"/>
      <c r="AQ355" s="661"/>
      <c r="AR355" s="661"/>
      <c r="AS355" s="661"/>
      <c r="AT355" s="661"/>
      <c r="AV355" s="369" t="str">
        <f t="shared" si="172"/>
        <v>SIDING</v>
      </c>
      <c r="AW355" s="696"/>
      <c r="AX355" s="696"/>
      <c r="AY355" s="696"/>
      <c r="AZ355" s="369"/>
      <c r="BA355" s="75">
        <f>BA312</f>
        <v>0</v>
      </c>
      <c r="BB355" s="75">
        <f>BB312</f>
        <v>0</v>
      </c>
      <c r="BC355" s="75">
        <f>BC312</f>
        <v>0</v>
      </c>
      <c r="BD355" s="75">
        <f>BD312</f>
        <v>0</v>
      </c>
      <c r="BE355" s="75">
        <f>BE312</f>
        <v>0</v>
      </c>
      <c r="BF355" s="75"/>
      <c r="BG355" s="75"/>
      <c r="BI355" s="75"/>
      <c r="BJ355" s="75"/>
      <c r="BK355" s="75"/>
    </row>
    <row r="356" spans="1:63" ht="9.6" hidden="1" customHeight="1">
      <c r="A356" s="187"/>
      <c r="B356" s="71"/>
      <c r="C356" s="71"/>
      <c r="D356" s="887"/>
      <c r="E356" s="887"/>
      <c r="F356" s="887"/>
      <c r="G356" s="887"/>
      <c r="H356" s="887"/>
      <c r="I356" s="887"/>
      <c r="J356" s="887"/>
      <c r="K356" s="887"/>
      <c r="L356" s="887"/>
      <c r="M356" s="887"/>
      <c r="N356" s="887"/>
      <c r="O356" s="887"/>
      <c r="P356" s="72"/>
      <c r="Q356" s="72"/>
      <c r="R356" s="72"/>
      <c r="S356" s="72"/>
      <c r="T356" s="72"/>
      <c r="U356" s="72"/>
      <c r="V356" s="72"/>
      <c r="W356" s="72"/>
      <c r="X356" s="72"/>
      <c r="Y356" s="72"/>
      <c r="Z356" s="72"/>
      <c r="AA356" s="72"/>
      <c r="AB356" s="72"/>
      <c r="AC356" s="73"/>
      <c r="AD356" s="662"/>
      <c r="AE356" s="662"/>
      <c r="AF356" s="662"/>
      <c r="AG356" s="662"/>
      <c r="AH356" s="662"/>
      <c r="AI356" s="662"/>
      <c r="AJ356" s="662"/>
      <c r="AK356" s="662"/>
      <c r="AL356" s="662"/>
      <c r="AM356" s="662"/>
      <c r="AN356" s="662"/>
      <c r="AO356" s="662"/>
      <c r="AP356" s="662"/>
      <c r="AQ356" s="663"/>
      <c r="AR356" s="663"/>
      <c r="AS356" s="663"/>
      <c r="AT356" s="663"/>
      <c r="AV356" s="371" t="str">
        <f t="shared" si="172"/>
        <v>SIDING</v>
      </c>
      <c r="AW356" s="699"/>
      <c r="AX356" s="801"/>
      <c r="AY356" s="801"/>
      <c r="AZ356" s="371"/>
      <c r="BA356" s="125">
        <f>BA354</f>
        <v>0</v>
      </c>
      <c r="BB356" s="125">
        <f t="shared" ref="BB356:BG356" si="216">BB354</f>
        <v>0</v>
      </c>
      <c r="BC356" s="125">
        <f>BC354</f>
        <v>0</v>
      </c>
      <c r="BD356" s="125">
        <f t="shared" si="216"/>
        <v>0</v>
      </c>
      <c r="BE356" s="125">
        <f t="shared" si="216"/>
        <v>0</v>
      </c>
      <c r="BF356" s="125">
        <f t="shared" si="216"/>
        <v>0</v>
      </c>
      <c r="BG356" s="125">
        <f t="shared" si="216"/>
        <v>0</v>
      </c>
      <c r="BI356" s="125"/>
      <c r="BJ356" s="125"/>
      <c r="BK356" s="125"/>
    </row>
    <row r="357" spans="1:63" ht="21" customHeight="1">
      <c r="A357" s="186" t="s">
        <v>952</v>
      </c>
      <c r="B357" s="2350"/>
      <c r="C357" s="2351"/>
      <c r="D357" s="2392" t="str">
        <f>T(N81)</f>
        <v>DECKING AND PATIOS</v>
      </c>
      <c r="E357" s="2393"/>
      <c r="F357" s="2393"/>
      <c r="G357" s="2393"/>
      <c r="H357" s="2393"/>
      <c r="I357" s="2393"/>
      <c r="J357" s="2393"/>
      <c r="K357" s="2393"/>
      <c r="L357" s="2393"/>
      <c r="M357" s="2393"/>
      <c r="N357" s="2393"/>
      <c r="O357" s="2394"/>
      <c r="P357" s="2352"/>
      <c r="Q357" s="2352"/>
      <c r="R357" s="2352"/>
      <c r="S357" s="2353"/>
      <c r="T357" s="2354"/>
      <c r="U357" s="2355"/>
      <c r="V357" s="2355"/>
      <c r="W357" s="2355"/>
      <c r="X357" s="2355"/>
      <c r="Y357" s="2355"/>
      <c r="Z357" s="2355"/>
      <c r="AA357" s="2355"/>
      <c r="AB357" s="2355"/>
      <c r="AC357" s="2355"/>
      <c r="AD357" s="2342">
        <f>AD399</f>
        <v>0</v>
      </c>
      <c r="AE357" s="2342"/>
      <c r="AF357" s="2342"/>
      <c r="AG357" s="2342">
        <f>AG399</f>
        <v>0</v>
      </c>
      <c r="AH357" s="2342"/>
      <c r="AI357" s="2342"/>
      <c r="AJ357" s="2342">
        <f>AJ399</f>
        <v>0</v>
      </c>
      <c r="AK357" s="2342"/>
      <c r="AL357" s="2342"/>
      <c r="AM357" s="2342">
        <f>AM399</f>
        <v>0</v>
      </c>
      <c r="AN357" s="2342"/>
      <c r="AO357" s="2342"/>
      <c r="AP357" s="2342"/>
      <c r="AQ357" s="2336">
        <f>AQ399</f>
        <v>0</v>
      </c>
      <c r="AR357" s="2336"/>
      <c r="AS357" s="2336"/>
      <c r="AT357" s="2336" t="e">
        <f>SUM(#REF!)</f>
        <v>#REF!</v>
      </c>
      <c r="AV357" s="151" t="str">
        <f t="shared" ref="AV357:AV401" si="217">$D$357</f>
        <v>DECKING AND PATIOS</v>
      </c>
      <c r="AW357" s="700"/>
      <c r="AX357" s="700"/>
      <c r="AY357" s="700"/>
      <c r="AZ357" s="701"/>
      <c r="BA357" s="49">
        <f>SUM(BA358:BA397)</f>
        <v>0</v>
      </c>
      <c r="BB357" s="49">
        <f>SUM(BB358:BB397)</f>
        <v>0</v>
      </c>
      <c r="BC357" s="49">
        <f>SUM(BC358:BC397)</f>
        <v>0</v>
      </c>
      <c r="BD357" s="49">
        <f>SUM(BD358:BD397)</f>
        <v>0</v>
      </c>
      <c r="BE357" s="49">
        <f>SUM(BE358:BE397)</f>
        <v>0</v>
      </c>
      <c r="BF357" s="49">
        <f t="shared" ref="BF357:BF377" si="218">AQ357</f>
        <v>0</v>
      </c>
      <c r="BG357" s="49">
        <f t="shared" ref="BG357:BG377" si="219">AM357</f>
        <v>0</v>
      </c>
      <c r="BI357" s="134">
        <f>AD357</f>
        <v>0</v>
      </c>
      <c r="BJ357" s="134">
        <f>AM357</f>
        <v>0</v>
      </c>
      <c r="BK357" s="134">
        <f>BJ357+BI357</f>
        <v>0</v>
      </c>
    </row>
    <row r="358" spans="1:63" hidden="1">
      <c r="A358" s="187"/>
      <c r="B358" s="2321"/>
      <c r="C358" s="2322"/>
      <c r="D358" s="2337" t="s">
        <v>271</v>
      </c>
      <c r="E358" s="2337"/>
      <c r="F358" s="2337"/>
      <c r="G358" s="2337"/>
      <c r="H358" s="2337"/>
      <c r="I358" s="2337"/>
      <c r="J358" s="2337"/>
      <c r="K358" s="2337"/>
      <c r="L358" s="2337"/>
      <c r="M358" s="2337"/>
      <c r="N358" s="2337"/>
      <c r="O358" s="2337"/>
      <c r="P358" s="2324"/>
      <c r="Q358" s="2324"/>
      <c r="R358" s="2325"/>
      <c r="S358" s="2324"/>
      <c r="T358" s="2324"/>
      <c r="U358" s="2326"/>
      <c r="V358" s="2327"/>
      <c r="W358" s="2327"/>
      <c r="X358" s="2327"/>
      <c r="Y358" s="2327"/>
      <c r="Z358" s="2327"/>
      <c r="AA358" s="2328"/>
      <c r="AB358" s="2329"/>
      <c r="AC358" s="2326"/>
      <c r="AD358" s="2330">
        <f t="shared" ref="AD358:AD377" si="220">((P358*U358)-AM358)</f>
        <v>0</v>
      </c>
      <c r="AE358" s="2330"/>
      <c r="AF358" s="2330"/>
      <c r="AG358" s="2330">
        <f>P358*X358*(1+$Y$85)</f>
        <v>0</v>
      </c>
      <c r="AH358" s="2330"/>
      <c r="AI358" s="2330"/>
      <c r="AJ358" s="2330">
        <f t="shared" ref="AJ358:AJ377" si="221">P358*AA358</f>
        <v>0</v>
      </c>
      <c r="AK358" s="2330"/>
      <c r="AL358" s="2330"/>
      <c r="AM358" s="2331">
        <f t="shared" ref="AM358:AM397" si="222">IF($B358="x",$P358*$U358,0)</f>
        <v>0</v>
      </c>
      <c r="AN358" s="2331"/>
      <c r="AO358" s="2331"/>
      <c r="AP358" s="2331"/>
      <c r="AQ358" s="2332">
        <f t="shared" ref="AQ358:AQ377" si="223">SUM(AD358:AL358)</f>
        <v>0</v>
      </c>
      <c r="AR358" s="2332"/>
      <c r="AS358" s="2332"/>
      <c r="AT358" s="2332">
        <f t="shared" ref="AT358:AT377" si="224">SUM(AD358:AL358)</f>
        <v>0</v>
      </c>
      <c r="AV358" s="151" t="str">
        <f t="shared" si="217"/>
        <v>DECKING AND PATIOS</v>
      </c>
      <c r="AW358" s="681"/>
      <c r="AX358" s="230"/>
      <c r="AY358" s="230"/>
      <c r="AZ358" s="679"/>
      <c r="BA358" s="49">
        <f t="shared" ref="BA358:BA377" si="225">AD358</f>
        <v>0</v>
      </c>
      <c r="BB358" s="49">
        <f>AG358</f>
        <v>0</v>
      </c>
      <c r="BC358" s="49">
        <f>AJ358</f>
        <v>0</v>
      </c>
      <c r="BD358" s="49">
        <f t="shared" ref="BD358:BD377" si="226">IF(B358="x",1,0)</f>
        <v>0</v>
      </c>
      <c r="BE358" s="49">
        <f>SUM(BA358:BC358)</f>
        <v>0</v>
      </c>
      <c r="BF358" s="49">
        <f t="shared" si="218"/>
        <v>0</v>
      </c>
      <c r="BG358" s="49">
        <f t="shared" si="219"/>
        <v>0</v>
      </c>
      <c r="BI358" s="134">
        <f>AD358</f>
        <v>0</v>
      </c>
      <c r="BJ358" s="134">
        <f t="shared" ref="BJ358:BJ377" si="227">AM358</f>
        <v>0</v>
      </c>
      <c r="BK358" s="134">
        <f>BJ358+BI358</f>
        <v>0</v>
      </c>
    </row>
    <row r="359" spans="1:63" hidden="1">
      <c r="A359" s="187"/>
      <c r="B359" s="2321"/>
      <c r="C359" s="2322"/>
      <c r="D359" s="2338" t="s">
        <v>214</v>
      </c>
      <c r="E359" s="2338"/>
      <c r="F359" s="2338"/>
      <c r="G359" s="2338"/>
      <c r="H359" s="2338"/>
      <c r="I359" s="2338"/>
      <c r="J359" s="2338"/>
      <c r="K359" s="2338"/>
      <c r="L359" s="2338"/>
      <c r="M359" s="2338"/>
      <c r="N359" s="2338"/>
      <c r="O359" s="2338"/>
      <c r="P359" s="2324"/>
      <c r="Q359" s="2324"/>
      <c r="R359" s="2325"/>
      <c r="S359" s="2324" t="s">
        <v>3</v>
      </c>
      <c r="T359" s="2324" t="s">
        <v>3</v>
      </c>
      <c r="U359" s="2326"/>
      <c r="V359" s="2327"/>
      <c r="W359" s="2327"/>
      <c r="X359" s="2327"/>
      <c r="Y359" s="2327"/>
      <c r="Z359" s="2327"/>
      <c r="AA359" s="2328"/>
      <c r="AB359" s="2329"/>
      <c r="AC359" s="2326"/>
      <c r="AD359" s="2330">
        <f t="shared" si="220"/>
        <v>0</v>
      </c>
      <c r="AE359" s="2330"/>
      <c r="AF359" s="2330"/>
      <c r="AG359" s="2330">
        <f t="shared" ref="AG359:AG397" si="228">P359*X359*(1+$Y$85)</f>
        <v>0</v>
      </c>
      <c r="AH359" s="2330"/>
      <c r="AI359" s="2330"/>
      <c r="AJ359" s="2330">
        <f t="shared" si="221"/>
        <v>0</v>
      </c>
      <c r="AK359" s="2330"/>
      <c r="AL359" s="2330"/>
      <c r="AM359" s="2331">
        <f t="shared" si="222"/>
        <v>0</v>
      </c>
      <c r="AN359" s="2331"/>
      <c r="AO359" s="2331"/>
      <c r="AP359" s="2331"/>
      <c r="AQ359" s="2332">
        <f t="shared" si="223"/>
        <v>0</v>
      </c>
      <c r="AR359" s="2332"/>
      <c r="AS359" s="2332"/>
      <c r="AT359" s="2332">
        <f t="shared" si="224"/>
        <v>0</v>
      </c>
      <c r="AV359" s="151" t="str">
        <f t="shared" si="217"/>
        <v>DECKING AND PATIOS</v>
      </c>
      <c r="AW359" s="681"/>
      <c r="AX359" s="230"/>
      <c r="AY359" s="230"/>
      <c r="AZ359" s="679"/>
      <c r="BA359" s="49">
        <f t="shared" si="225"/>
        <v>0</v>
      </c>
      <c r="BB359" s="49">
        <f t="shared" ref="BB359:BB377" si="229">AG359</f>
        <v>0</v>
      </c>
      <c r="BC359" s="49">
        <f t="shared" ref="BC359:BC377" si="230">AJ359</f>
        <v>0</v>
      </c>
      <c r="BD359" s="49">
        <f t="shared" si="226"/>
        <v>0</v>
      </c>
      <c r="BE359" s="49">
        <f t="shared" ref="BE359:BE375" si="231">SUM(BA359:BC359)</f>
        <v>0</v>
      </c>
      <c r="BF359" s="49">
        <f t="shared" si="218"/>
        <v>0</v>
      </c>
      <c r="BG359" s="49">
        <f t="shared" si="219"/>
        <v>0</v>
      </c>
      <c r="BI359" s="134">
        <f t="shared" ref="BI359:BI377" si="232">AD359</f>
        <v>0</v>
      </c>
      <c r="BJ359" s="134">
        <f t="shared" si="227"/>
        <v>0</v>
      </c>
      <c r="BK359" s="134">
        <f t="shared" ref="BK359:BK377" si="233">BJ359+BI359</f>
        <v>0</v>
      </c>
    </row>
    <row r="360" spans="1:63" hidden="1">
      <c r="A360" s="187"/>
      <c r="B360" s="2333"/>
      <c r="C360" s="2333"/>
      <c r="D360" s="2334" t="s">
        <v>424</v>
      </c>
      <c r="E360" s="2334"/>
      <c r="F360" s="2334"/>
      <c r="G360" s="2334"/>
      <c r="H360" s="2334"/>
      <c r="I360" s="2334"/>
      <c r="J360" s="2334"/>
      <c r="K360" s="2334"/>
      <c r="L360" s="2334"/>
      <c r="M360" s="2334"/>
      <c r="N360" s="2334"/>
      <c r="O360" s="2334"/>
      <c r="P360" s="2324"/>
      <c r="Q360" s="2324"/>
      <c r="R360" s="2325"/>
      <c r="S360" s="2324" t="s">
        <v>11</v>
      </c>
      <c r="T360" s="2324" t="s">
        <v>11</v>
      </c>
      <c r="U360" s="2326">
        <v>10</v>
      </c>
      <c r="V360" s="2327"/>
      <c r="W360" s="2327"/>
      <c r="X360" s="2327">
        <v>5</v>
      </c>
      <c r="Y360" s="2327"/>
      <c r="Z360" s="2327">
        <v>5</v>
      </c>
      <c r="AA360" s="2328"/>
      <c r="AB360" s="2329"/>
      <c r="AC360" s="2326"/>
      <c r="AD360" s="2330">
        <f t="shared" si="220"/>
        <v>0</v>
      </c>
      <c r="AE360" s="2330"/>
      <c r="AF360" s="2330"/>
      <c r="AG360" s="2330">
        <f t="shared" si="228"/>
        <v>0</v>
      </c>
      <c r="AH360" s="2330"/>
      <c r="AI360" s="2330"/>
      <c r="AJ360" s="2330">
        <f t="shared" si="221"/>
        <v>0</v>
      </c>
      <c r="AK360" s="2330"/>
      <c r="AL360" s="2330"/>
      <c r="AM360" s="2331">
        <f t="shared" si="222"/>
        <v>0</v>
      </c>
      <c r="AN360" s="2331"/>
      <c r="AO360" s="2331"/>
      <c r="AP360" s="2331"/>
      <c r="AQ360" s="2332">
        <f t="shared" si="223"/>
        <v>0</v>
      </c>
      <c r="AR360" s="2332"/>
      <c r="AS360" s="2332"/>
      <c r="AT360" s="2332">
        <f t="shared" si="224"/>
        <v>0</v>
      </c>
      <c r="AV360" s="151" t="str">
        <f t="shared" si="217"/>
        <v>DECKING AND PATIOS</v>
      </c>
      <c r="AW360" s="681"/>
      <c r="AX360" s="230"/>
      <c r="AY360" s="230"/>
      <c r="AZ360" s="679"/>
      <c r="BA360" s="49">
        <f t="shared" si="225"/>
        <v>0</v>
      </c>
      <c r="BB360" s="49">
        <f t="shared" si="229"/>
        <v>0</v>
      </c>
      <c r="BC360" s="49">
        <f t="shared" si="230"/>
        <v>0</v>
      </c>
      <c r="BD360" s="49">
        <f t="shared" si="226"/>
        <v>0</v>
      </c>
      <c r="BE360" s="49">
        <f t="shared" si="231"/>
        <v>0</v>
      </c>
      <c r="BF360" s="49">
        <f t="shared" si="218"/>
        <v>0</v>
      </c>
      <c r="BG360" s="49">
        <f t="shared" si="219"/>
        <v>0</v>
      </c>
      <c r="BI360" s="134">
        <f t="shared" si="232"/>
        <v>0</v>
      </c>
      <c r="BJ360" s="134">
        <f t="shared" si="227"/>
        <v>0</v>
      </c>
      <c r="BK360" s="134">
        <f t="shared" si="233"/>
        <v>0</v>
      </c>
    </row>
    <row r="361" spans="1:63" ht="17.25" hidden="1" customHeight="1">
      <c r="A361" s="187"/>
      <c r="B361" s="2333"/>
      <c r="C361" s="2333"/>
      <c r="D361" s="2334" t="s">
        <v>425</v>
      </c>
      <c r="E361" s="2334"/>
      <c r="F361" s="2334"/>
      <c r="G361" s="2334"/>
      <c r="H361" s="2334"/>
      <c r="I361" s="2334"/>
      <c r="J361" s="2334"/>
      <c r="K361" s="2334"/>
      <c r="L361" s="2334"/>
      <c r="M361" s="2334"/>
      <c r="N361" s="2334"/>
      <c r="O361" s="2334"/>
      <c r="P361" s="2324"/>
      <c r="Q361" s="2324"/>
      <c r="R361" s="2325"/>
      <c r="S361" s="2324" t="s">
        <v>11</v>
      </c>
      <c r="T361" s="2324" t="s">
        <v>11</v>
      </c>
      <c r="U361" s="2326">
        <v>10</v>
      </c>
      <c r="V361" s="2327"/>
      <c r="W361" s="2327"/>
      <c r="X361" s="2327">
        <v>9</v>
      </c>
      <c r="Y361" s="2327"/>
      <c r="Z361" s="2327">
        <v>8.5</v>
      </c>
      <c r="AA361" s="2328"/>
      <c r="AB361" s="2329"/>
      <c r="AC361" s="2326"/>
      <c r="AD361" s="2330">
        <f t="shared" si="220"/>
        <v>0</v>
      </c>
      <c r="AE361" s="2330"/>
      <c r="AF361" s="2330"/>
      <c r="AG361" s="2330">
        <f t="shared" si="228"/>
        <v>0</v>
      </c>
      <c r="AH361" s="2330"/>
      <c r="AI361" s="2330"/>
      <c r="AJ361" s="2330">
        <f t="shared" si="221"/>
        <v>0</v>
      </c>
      <c r="AK361" s="2330"/>
      <c r="AL361" s="2330"/>
      <c r="AM361" s="2331">
        <f t="shared" si="222"/>
        <v>0</v>
      </c>
      <c r="AN361" s="2331"/>
      <c r="AO361" s="2331"/>
      <c r="AP361" s="2331"/>
      <c r="AQ361" s="2332">
        <f t="shared" si="223"/>
        <v>0</v>
      </c>
      <c r="AR361" s="2332"/>
      <c r="AS361" s="2332"/>
      <c r="AT361" s="2332">
        <f t="shared" si="224"/>
        <v>0</v>
      </c>
      <c r="AV361" s="151" t="str">
        <f t="shared" si="217"/>
        <v>DECKING AND PATIOS</v>
      </c>
      <c r="AW361" s="681"/>
      <c r="AX361" s="230"/>
      <c r="AY361" s="230"/>
      <c r="AZ361" s="679"/>
      <c r="BA361" s="49">
        <f t="shared" si="225"/>
        <v>0</v>
      </c>
      <c r="BB361" s="49">
        <f t="shared" si="229"/>
        <v>0</v>
      </c>
      <c r="BC361" s="49">
        <f t="shared" si="230"/>
        <v>0</v>
      </c>
      <c r="BD361" s="49">
        <f t="shared" si="226"/>
        <v>0</v>
      </c>
      <c r="BE361" s="49">
        <f t="shared" si="231"/>
        <v>0</v>
      </c>
      <c r="BF361" s="49">
        <f t="shared" si="218"/>
        <v>0</v>
      </c>
      <c r="BG361" s="49">
        <f t="shared" si="219"/>
        <v>0</v>
      </c>
      <c r="BI361" s="134">
        <f t="shared" si="232"/>
        <v>0</v>
      </c>
      <c r="BJ361" s="134">
        <f t="shared" si="227"/>
        <v>0</v>
      </c>
      <c r="BK361" s="134">
        <f t="shared" si="233"/>
        <v>0</v>
      </c>
    </row>
    <row r="362" spans="1:63" ht="17.25" hidden="1" customHeight="1">
      <c r="A362" s="187"/>
      <c r="B362" s="2321"/>
      <c r="C362" s="2322"/>
      <c r="D362" s="2334" t="s">
        <v>423</v>
      </c>
      <c r="E362" s="2334"/>
      <c r="F362" s="2334"/>
      <c r="G362" s="2334"/>
      <c r="H362" s="2334"/>
      <c r="I362" s="2334"/>
      <c r="J362" s="2334"/>
      <c r="K362" s="2334"/>
      <c r="L362" s="2334"/>
      <c r="M362" s="2334"/>
      <c r="N362" s="2334"/>
      <c r="O362" s="2334"/>
      <c r="P362" s="2324"/>
      <c r="Q362" s="2324"/>
      <c r="R362" s="2325"/>
      <c r="S362" s="2324" t="s">
        <v>11</v>
      </c>
      <c r="T362" s="2324" t="s">
        <v>11</v>
      </c>
      <c r="U362" s="2326">
        <v>5</v>
      </c>
      <c r="V362" s="2327"/>
      <c r="W362" s="2327"/>
      <c r="X362" s="2327">
        <v>2</v>
      </c>
      <c r="Y362" s="2327"/>
      <c r="Z362" s="2327">
        <v>2</v>
      </c>
      <c r="AA362" s="2328"/>
      <c r="AB362" s="2329"/>
      <c r="AC362" s="2326"/>
      <c r="AD362" s="2330">
        <f t="shared" si="220"/>
        <v>0</v>
      </c>
      <c r="AE362" s="2330"/>
      <c r="AF362" s="2330"/>
      <c r="AG362" s="2330">
        <f t="shared" si="228"/>
        <v>0</v>
      </c>
      <c r="AH362" s="2330"/>
      <c r="AI362" s="2330"/>
      <c r="AJ362" s="2330">
        <f t="shared" si="221"/>
        <v>0</v>
      </c>
      <c r="AK362" s="2330"/>
      <c r="AL362" s="2330"/>
      <c r="AM362" s="2331">
        <f t="shared" si="222"/>
        <v>0</v>
      </c>
      <c r="AN362" s="2331"/>
      <c r="AO362" s="2331"/>
      <c r="AP362" s="2331"/>
      <c r="AQ362" s="2332">
        <f t="shared" si="223"/>
        <v>0</v>
      </c>
      <c r="AR362" s="2332"/>
      <c r="AS362" s="2332"/>
      <c r="AT362" s="2332">
        <f t="shared" si="224"/>
        <v>0</v>
      </c>
      <c r="AV362" s="151" t="str">
        <f t="shared" si="217"/>
        <v>DECKING AND PATIOS</v>
      </c>
      <c r="AW362" s="681"/>
      <c r="AX362" s="230"/>
      <c r="AY362" s="230"/>
      <c r="AZ362" s="679"/>
      <c r="BA362" s="49">
        <f t="shared" si="225"/>
        <v>0</v>
      </c>
      <c r="BB362" s="49">
        <f t="shared" si="229"/>
        <v>0</v>
      </c>
      <c r="BC362" s="49">
        <f t="shared" si="230"/>
        <v>0</v>
      </c>
      <c r="BD362" s="49">
        <f t="shared" si="226"/>
        <v>0</v>
      </c>
      <c r="BE362" s="49">
        <f t="shared" si="231"/>
        <v>0</v>
      </c>
      <c r="BF362" s="49">
        <f t="shared" si="218"/>
        <v>0</v>
      </c>
      <c r="BG362" s="49">
        <f t="shared" si="219"/>
        <v>0</v>
      </c>
      <c r="BI362" s="134">
        <f t="shared" si="232"/>
        <v>0</v>
      </c>
      <c r="BJ362" s="134">
        <f t="shared" si="227"/>
        <v>0</v>
      </c>
      <c r="BK362" s="134">
        <f t="shared" si="233"/>
        <v>0</v>
      </c>
    </row>
    <row r="363" spans="1:63" ht="17.25" hidden="1" customHeight="1">
      <c r="A363" s="187"/>
      <c r="B363" s="2321"/>
      <c r="C363" s="2322"/>
      <c r="D363" s="2334" t="s">
        <v>673</v>
      </c>
      <c r="E363" s="2334"/>
      <c r="F363" s="2334"/>
      <c r="G363" s="2334"/>
      <c r="H363" s="2334"/>
      <c r="I363" s="2334"/>
      <c r="J363" s="2334"/>
      <c r="K363" s="2334"/>
      <c r="L363" s="2334"/>
      <c r="M363" s="2334"/>
      <c r="N363" s="2334"/>
      <c r="O363" s="2334"/>
      <c r="P363" s="2324"/>
      <c r="Q363" s="2324"/>
      <c r="R363" s="2325"/>
      <c r="S363" s="2324" t="s">
        <v>12</v>
      </c>
      <c r="T363" s="2324" t="s">
        <v>12</v>
      </c>
      <c r="U363" s="2326">
        <v>15</v>
      </c>
      <c r="V363" s="2327"/>
      <c r="W363" s="2327"/>
      <c r="X363" s="2327">
        <v>15</v>
      </c>
      <c r="Y363" s="2327"/>
      <c r="Z363" s="2327">
        <v>7.5</v>
      </c>
      <c r="AA363" s="2328"/>
      <c r="AB363" s="2329"/>
      <c r="AC363" s="2326"/>
      <c r="AD363" s="2330">
        <f t="shared" si="220"/>
        <v>0</v>
      </c>
      <c r="AE363" s="2330"/>
      <c r="AF363" s="2330"/>
      <c r="AG363" s="2330">
        <f t="shared" si="228"/>
        <v>0</v>
      </c>
      <c r="AH363" s="2330"/>
      <c r="AI363" s="2330"/>
      <c r="AJ363" s="2330">
        <f t="shared" si="221"/>
        <v>0</v>
      </c>
      <c r="AK363" s="2330"/>
      <c r="AL363" s="2330"/>
      <c r="AM363" s="2331">
        <f t="shared" si="222"/>
        <v>0</v>
      </c>
      <c r="AN363" s="2331"/>
      <c r="AO363" s="2331"/>
      <c r="AP363" s="2331"/>
      <c r="AQ363" s="2332">
        <f t="shared" si="223"/>
        <v>0</v>
      </c>
      <c r="AR363" s="2332"/>
      <c r="AS363" s="2332"/>
      <c r="AT363" s="2332">
        <f t="shared" si="224"/>
        <v>0</v>
      </c>
      <c r="AV363" s="151" t="str">
        <f t="shared" si="217"/>
        <v>DECKING AND PATIOS</v>
      </c>
      <c r="AW363" s="681"/>
      <c r="AX363" s="230"/>
      <c r="AY363" s="230"/>
      <c r="AZ363" s="679"/>
      <c r="BA363" s="49">
        <f t="shared" si="225"/>
        <v>0</v>
      </c>
      <c r="BB363" s="49">
        <f t="shared" si="229"/>
        <v>0</v>
      </c>
      <c r="BC363" s="49">
        <f t="shared" si="230"/>
        <v>0</v>
      </c>
      <c r="BD363" s="49">
        <f t="shared" si="226"/>
        <v>0</v>
      </c>
      <c r="BE363" s="49">
        <f t="shared" si="231"/>
        <v>0</v>
      </c>
      <c r="BF363" s="49">
        <f t="shared" si="218"/>
        <v>0</v>
      </c>
      <c r="BG363" s="49">
        <f t="shared" si="219"/>
        <v>0</v>
      </c>
      <c r="BI363" s="134">
        <f t="shared" si="232"/>
        <v>0</v>
      </c>
      <c r="BJ363" s="134">
        <f t="shared" si="227"/>
        <v>0</v>
      </c>
      <c r="BK363" s="134">
        <f t="shared" si="233"/>
        <v>0</v>
      </c>
    </row>
    <row r="364" spans="1:63" ht="17.100000000000001" hidden="1" customHeight="1">
      <c r="A364" s="187"/>
      <c r="B364" s="2333"/>
      <c r="C364" s="2333"/>
      <c r="D364" s="2334" t="s">
        <v>674</v>
      </c>
      <c r="E364" s="2334"/>
      <c r="F364" s="2334"/>
      <c r="G364" s="2334"/>
      <c r="H364" s="2334"/>
      <c r="I364" s="2334"/>
      <c r="J364" s="2334"/>
      <c r="K364" s="2334"/>
      <c r="L364" s="2334"/>
      <c r="M364" s="2334"/>
      <c r="N364" s="2334"/>
      <c r="O364" s="2334"/>
      <c r="P364" s="2324"/>
      <c r="Q364" s="2324"/>
      <c r="R364" s="2325"/>
      <c r="S364" s="2324" t="s">
        <v>12</v>
      </c>
      <c r="T364" s="2324" t="s">
        <v>12</v>
      </c>
      <c r="U364" s="2326">
        <v>15</v>
      </c>
      <c r="V364" s="2327"/>
      <c r="W364" s="2327"/>
      <c r="X364" s="2327">
        <v>25</v>
      </c>
      <c r="Y364" s="2327"/>
      <c r="Z364" s="2327">
        <v>25</v>
      </c>
      <c r="AA364" s="2328"/>
      <c r="AB364" s="2329"/>
      <c r="AC364" s="2326"/>
      <c r="AD364" s="2330">
        <f t="shared" si="220"/>
        <v>0</v>
      </c>
      <c r="AE364" s="2330"/>
      <c r="AF364" s="2330"/>
      <c r="AG364" s="2330">
        <f t="shared" si="228"/>
        <v>0</v>
      </c>
      <c r="AH364" s="2330"/>
      <c r="AI364" s="2330"/>
      <c r="AJ364" s="2330">
        <f t="shared" si="221"/>
        <v>0</v>
      </c>
      <c r="AK364" s="2330"/>
      <c r="AL364" s="2330"/>
      <c r="AM364" s="2331">
        <f t="shared" si="222"/>
        <v>0</v>
      </c>
      <c r="AN364" s="2331"/>
      <c r="AO364" s="2331"/>
      <c r="AP364" s="2331"/>
      <c r="AQ364" s="2332">
        <f t="shared" si="223"/>
        <v>0</v>
      </c>
      <c r="AR364" s="2332"/>
      <c r="AS364" s="2332"/>
      <c r="AT364" s="2332">
        <f t="shared" si="224"/>
        <v>0</v>
      </c>
      <c r="AV364" s="151" t="str">
        <f t="shared" si="217"/>
        <v>DECKING AND PATIOS</v>
      </c>
      <c r="AW364" s="681"/>
      <c r="AX364" s="230"/>
      <c r="AY364" s="230"/>
      <c r="AZ364" s="679"/>
      <c r="BA364" s="49">
        <f t="shared" si="225"/>
        <v>0</v>
      </c>
      <c r="BB364" s="49">
        <f t="shared" si="229"/>
        <v>0</v>
      </c>
      <c r="BC364" s="49">
        <f t="shared" si="230"/>
        <v>0</v>
      </c>
      <c r="BD364" s="49">
        <f t="shared" si="226"/>
        <v>0</v>
      </c>
      <c r="BE364" s="49">
        <f t="shared" si="231"/>
        <v>0</v>
      </c>
      <c r="BF364" s="49">
        <f t="shared" si="218"/>
        <v>0</v>
      </c>
      <c r="BG364" s="49">
        <f t="shared" si="219"/>
        <v>0</v>
      </c>
      <c r="BI364" s="134">
        <f t="shared" si="232"/>
        <v>0</v>
      </c>
      <c r="BJ364" s="134">
        <f t="shared" si="227"/>
        <v>0</v>
      </c>
      <c r="BK364" s="134">
        <f t="shared" si="233"/>
        <v>0</v>
      </c>
    </row>
    <row r="365" spans="1:63" ht="17.25" hidden="1" customHeight="1">
      <c r="A365" s="187"/>
      <c r="B365" s="2333"/>
      <c r="C365" s="2333"/>
      <c r="D365" s="2334" t="s">
        <v>683</v>
      </c>
      <c r="E365" s="2334"/>
      <c r="F365" s="2334"/>
      <c r="G365" s="2334"/>
      <c r="H365" s="2334"/>
      <c r="I365" s="2334"/>
      <c r="J365" s="2334"/>
      <c r="K365" s="2334"/>
      <c r="L365" s="2334"/>
      <c r="M365" s="2334"/>
      <c r="N365" s="2334"/>
      <c r="O365" s="2334"/>
      <c r="P365" s="2324"/>
      <c r="Q365" s="2324"/>
      <c r="R365" s="2325"/>
      <c r="S365" s="2324" t="s">
        <v>2</v>
      </c>
      <c r="T365" s="2324"/>
      <c r="U365" s="2326">
        <v>700</v>
      </c>
      <c r="V365" s="2327"/>
      <c r="W365" s="2327"/>
      <c r="X365" s="2327">
        <v>175</v>
      </c>
      <c r="Y365" s="2327"/>
      <c r="Z365" s="2327"/>
      <c r="AA365" s="2328"/>
      <c r="AB365" s="2329"/>
      <c r="AC365" s="2326"/>
      <c r="AD365" s="2330">
        <f t="shared" si="220"/>
        <v>0</v>
      </c>
      <c r="AE365" s="2330"/>
      <c r="AF365" s="2330"/>
      <c r="AG365" s="2330">
        <f t="shared" si="228"/>
        <v>0</v>
      </c>
      <c r="AH365" s="2330"/>
      <c r="AI365" s="2330"/>
      <c r="AJ365" s="2330">
        <f t="shared" si="221"/>
        <v>0</v>
      </c>
      <c r="AK365" s="2330"/>
      <c r="AL365" s="2330"/>
      <c r="AM365" s="2331">
        <f t="shared" si="222"/>
        <v>0</v>
      </c>
      <c r="AN365" s="2331"/>
      <c r="AO365" s="2331"/>
      <c r="AP365" s="2331"/>
      <c r="AQ365" s="2332">
        <f t="shared" si="223"/>
        <v>0</v>
      </c>
      <c r="AR365" s="2332"/>
      <c r="AS365" s="2332"/>
      <c r="AT365" s="2332">
        <f t="shared" si="224"/>
        <v>0</v>
      </c>
      <c r="AV365" s="151" t="str">
        <f t="shared" si="217"/>
        <v>DECKING AND PATIOS</v>
      </c>
      <c r="AW365" s="681"/>
      <c r="AX365" s="230"/>
      <c r="AY365" s="230"/>
      <c r="AZ365" s="679"/>
      <c r="BA365" s="49">
        <f t="shared" si="225"/>
        <v>0</v>
      </c>
      <c r="BB365" s="49">
        <f t="shared" si="229"/>
        <v>0</v>
      </c>
      <c r="BC365" s="49">
        <f t="shared" si="230"/>
        <v>0</v>
      </c>
      <c r="BD365" s="49">
        <f t="shared" si="226"/>
        <v>0</v>
      </c>
      <c r="BE365" s="49">
        <f t="shared" si="231"/>
        <v>0</v>
      </c>
      <c r="BF365" s="49">
        <f t="shared" si="218"/>
        <v>0</v>
      </c>
      <c r="BG365" s="49">
        <f t="shared" si="219"/>
        <v>0</v>
      </c>
      <c r="BI365" s="134">
        <f t="shared" si="232"/>
        <v>0</v>
      </c>
      <c r="BJ365" s="134">
        <f t="shared" si="227"/>
        <v>0</v>
      </c>
      <c r="BK365" s="134">
        <f t="shared" si="233"/>
        <v>0</v>
      </c>
    </row>
    <row r="366" spans="1:63" ht="17.25" hidden="1" customHeight="1">
      <c r="A366" s="187"/>
      <c r="B366" s="2321"/>
      <c r="C366" s="2322"/>
      <c r="D366" s="2334"/>
      <c r="E366" s="2334"/>
      <c r="F366" s="2334"/>
      <c r="G366" s="2334"/>
      <c r="H366" s="2334"/>
      <c r="I366" s="2334"/>
      <c r="J366" s="2334"/>
      <c r="K366" s="2334"/>
      <c r="L366" s="2334"/>
      <c r="M366" s="2334"/>
      <c r="N366" s="2334"/>
      <c r="O366" s="2334"/>
      <c r="P366" s="2324"/>
      <c r="Q366" s="2324"/>
      <c r="R366" s="2325"/>
      <c r="S366" s="2324"/>
      <c r="T366" s="2324"/>
      <c r="U366" s="2326"/>
      <c r="V366" s="2327"/>
      <c r="W366" s="2327"/>
      <c r="X366" s="2327"/>
      <c r="Y366" s="2327"/>
      <c r="Z366" s="2327"/>
      <c r="AA366" s="2328"/>
      <c r="AB366" s="2329"/>
      <c r="AC366" s="2326"/>
      <c r="AD366" s="2330">
        <f t="shared" si="220"/>
        <v>0</v>
      </c>
      <c r="AE366" s="2330"/>
      <c r="AF366" s="2330"/>
      <c r="AG366" s="2330">
        <f t="shared" si="228"/>
        <v>0</v>
      </c>
      <c r="AH366" s="2330"/>
      <c r="AI366" s="2330"/>
      <c r="AJ366" s="2330">
        <f t="shared" si="221"/>
        <v>0</v>
      </c>
      <c r="AK366" s="2330"/>
      <c r="AL366" s="2330"/>
      <c r="AM366" s="2331">
        <f t="shared" si="222"/>
        <v>0</v>
      </c>
      <c r="AN366" s="2331"/>
      <c r="AO366" s="2331"/>
      <c r="AP366" s="2331"/>
      <c r="AQ366" s="2332">
        <f t="shared" si="223"/>
        <v>0</v>
      </c>
      <c r="AR366" s="2332"/>
      <c r="AS366" s="2332"/>
      <c r="AT366" s="2332">
        <f t="shared" si="224"/>
        <v>0</v>
      </c>
      <c r="AV366" s="151" t="str">
        <f t="shared" si="217"/>
        <v>DECKING AND PATIOS</v>
      </c>
      <c r="AW366" s="681"/>
      <c r="AX366" s="230"/>
      <c r="AY366" s="230"/>
      <c r="AZ366" s="679"/>
      <c r="BA366" s="49">
        <f t="shared" si="225"/>
        <v>0</v>
      </c>
      <c r="BB366" s="49">
        <f t="shared" si="229"/>
        <v>0</v>
      </c>
      <c r="BC366" s="49">
        <f t="shared" si="230"/>
        <v>0</v>
      </c>
      <c r="BD366" s="49">
        <f t="shared" si="226"/>
        <v>0</v>
      </c>
      <c r="BE366" s="49">
        <f t="shared" si="231"/>
        <v>0</v>
      </c>
      <c r="BF366" s="49">
        <f t="shared" si="218"/>
        <v>0</v>
      </c>
      <c r="BG366" s="49">
        <f t="shared" si="219"/>
        <v>0</v>
      </c>
      <c r="BI366" s="134">
        <f t="shared" si="232"/>
        <v>0</v>
      </c>
      <c r="BJ366" s="134">
        <f t="shared" si="227"/>
        <v>0</v>
      </c>
      <c r="BK366" s="134">
        <f t="shared" si="233"/>
        <v>0</v>
      </c>
    </row>
    <row r="367" spans="1:63" ht="17.25" hidden="1" customHeight="1">
      <c r="A367" s="187"/>
      <c r="B367" s="2321"/>
      <c r="C367" s="2322"/>
      <c r="D367" s="2337"/>
      <c r="E367" s="2337"/>
      <c r="F367" s="2337"/>
      <c r="G367" s="2337"/>
      <c r="H367" s="2337"/>
      <c r="I367" s="2337"/>
      <c r="J367" s="2337"/>
      <c r="K367" s="2337"/>
      <c r="L367" s="2337"/>
      <c r="M367" s="2337"/>
      <c r="N367" s="2337"/>
      <c r="O367" s="2337"/>
      <c r="P367" s="2324"/>
      <c r="Q367" s="2324"/>
      <c r="R367" s="2325"/>
      <c r="S367" s="2324"/>
      <c r="T367" s="2324"/>
      <c r="U367" s="2326"/>
      <c r="V367" s="2327"/>
      <c r="W367" s="2327"/>
      <c r="X367" s="2327"/>
      <c r="Y367" s="2327"/>
      <c r="Z367" s="2327"/>
      <c r="AA367" s="2328"/>
      <c r="AB367" s="2329"/>
      <c r="AC367" s="2326"/>
      <c r="AD367" s="2330">
        <f t="shared" si="220"/>
        <v>0</v>
      </c>
      <c r="AE367" s="2330"/>
      <c r="AF367" s="2330"/>
      <c r="AG367" s="2330">
        <f t="shared" si="228"/>
        <v>0</v>
      </c>
      <c r="AH367" s="2330"/>
      <c r="AI367" s="2330"/>
      <c r="AJ367" s="2330">
        <f t="shared" si="221"/>
        <v>0</v>
      </c>
      <c r="AK367" s="2330"/>
      <c r="AL367" s="2330"/>
      <c r="AM367" s="2331">
        <f t="shared" si="222"/>
        <v>0</v>
      </c>
      <c r="AN367" s="2331"/>
      <c r="AO367" s="2331"/>
      <c r="AP367" s="2331"/>
      <c r="AQ367" s="2332">
        <f t="shared" si="223"/>
        <v>0</v>
      </c>
      <c r="AR367" s="2332"/>
      <c r="AS367" s="2332"/>
      <c r="AT367" s="2332">
        <f t="shared" si="224"/>
        <v>0</v>
      </c>
      <c r="AV367" s="151" t="str">
        <f t="shared" si="217"/>
        <v>DECKING AND PATIOS</v>
      </c>
      <c r="AW367" s="681"/>
      <c r="AX367" s="230"/>
      <c r="AY367" s="230"/>
      <c r="AZ367" s="679"/>
      <c r="BA367" s="49">
        <f t="shared" si="225"/>
        <v>0</v>
      </c>
      <c r="BB367" s="49">
        <f t="shared" si="229"/>
        <v>0</v>
      </c>
      <c r="BC367" s="49">
        <f t="shared" si="230"/>
        <v>0</v>
      </c>
      <c r="BD367" s="49">
        <f t="shared" si="226"/>
        <v>0</v>
      </c>
      <c r="BE367" s="49">
        <f t="shared" si="231"/>
        <v>0</v>
      </c>
      <c r="BF367" s="49">
        <f t="shared" si="218"/>
        <v>0</v>
      </c>
      <c r="BG367" s="49">
        <f t="shared" si="219"/>
        <v>0</v>
      </c>
      <c r="BI367" s="134">
        <f t="shared" si="232"/>
        <v>0</v>
      </c>
      <c r="BJ367" s="134">
        <f t="shared" si="227"/>
        <v>0</v>
      </c>
      <c r="BK367" s="134">
        <f t="shared" si="233"/>
        <v>0</v>
      </c>
    </row>
    <row r="368" spans="1:63" ht="17.100000000000001" hidden="1" customHeight="1">
      <c r="A368" s="187"/>
      <c r="B368" s="2333"/>
      <c r="C368" s="2333"/>
      <c r="D368" s="2337" t="s">
        <v>684</v>
      </c>
      <c r="E368" s="2337"/>
      <c r="F368" s="2337"/>
      <c r="G368" s="2337"/>
      <c r="H368" s="2337"/>
      <c r="I368" s="2337"/>
      <c r="J368" s="2337"/>
      <c r="K368" s="2337"/>
      <c r="L368" s="2337"/>
      <c r="M368" s="2337"/>
      <c r="N368" s="2337"/>
      <c r="O368" s="2337"/>
      <c r="P368" s="2324"/>
      <c r="Q368" s="2324"/>
      <c r="R368" s="2325"/>
      <c r="S368" s="2324"/>
      <c r="T368" s="2324"/>
      <c r="U368" s="2326"/>
      <c r="V368" s="2327"/>
      <c r="W368" s="2327"/>
      <c r="X368" s="2327"/>
      <c r="Y368" s="2327"/>
      <c r="Z368" s="2327"/>
      <c r="AA368" s="2328"/>
      <c r="AB368" s="2329"/>
      <c r="AC368" s="2326"/>
      <c r="AD368" s="2330">
        <f t="shared" si="220"/>
        <v>0</v>
      </c>
      <c r="AE368" s="2330"/>
      <c r="AF368" s="2330"/>
      <c r="AG368" s="2330">
        <f t="shared" si="228"/>
        <v>0</v>
      </c>
      <c r="AH368" s="2330"/>
      <c r="AI368" s="2330"/>
      <c r="AJ368" s="2330">
        <f t="shared" si="221"/>
        <v>0</v>
      </c>
      <c r="AK368" s="2330"/>
      <c r="AL368" s="2330"/>
      <c r="AM368" s="2331">
        <f t="shared" si="222"/>
        <v>0</v>
      </c>
      <c r="AN368" s="2331"/>
      <c r="AO368" s="2331"/>
      <c r="AP368" s="2331"/>
      <c r="AQ368" s="2332">
        <f t="shared" si="223"/>
        <v>0</v>
      </c>
      <c r="AR368" s="2332"/>
      <c r="AS368" s="2332"/>
      <c r="AT368" s="2332">
        <f t="shared" si="224"/>
        <v>0</v>
      </c>
      <c r="AV368" s="151" t="str">
        <f t="shared" si="217"/>
        <v>DECKING AND PATIOS</v>
      </c>
      <c r="AW368" s="681"/>
      <c r="AX368" s="230"/>
      <c r="AY368" s="230"/>
      <c r="AZ368" s="679"/>
      <c r="BA368" s="49">
        <f t="shared" si="225"/>
        <v>0</v>
      </c>
      <c r="BB368" s="49">
        <f t="shared" si="229"/>
        <v>0</v>
      </c>
      <c r="BC368" s="49">
        <f t="shared" si="230"/>
        <v>0</v>
      </c>
      <c r="BD368" s="49">
        <f t="shared" si="226"/>
        <v>0</v>
      </c>
      <c r="BE368" s="49">
        <f t="shared" si="231"/>
        <v>0</v>
      </c>
      <c r="BF368" s="49">
        <f t="shared" si="218"/>
        <v>0</v>
      </c>
      <c r="BG368" s="49">
        <f t="shared" si="219"/>
        <v>0</v>
      </c>
      <c r="BI368" s="134">
        <f t="shared" si="232"/>
        <v>0</v>
      </c>
      <c r="BJ368" s="134">
        <f t="shared" si="227"/>
        <v>0</v>
      </c>
      <c r="BK368" s="134">
        <f t="shared" si="233"/>
        <v>0</v>
      </c>
    </row>
    <row r="369" spans="1:63" ht="17.25" hidden="1" customHeight="1">
      <c r="A369" s="187"/>
      <c r="B369" s="2333"/>
      <c r="C369" s="2333"/>
      <c r="D369" s="2338" t="s">
        <v>685</v>
      </c>
      <c r="E369" s="2338"/>
      <c r="F369" s="2338"/>
      <c r="G369" s="2338"/>
      <c r="H369" s="2338"/>
      <c r="I369" s="2338"/>
      <c r="J369" s="2338"/>
      <c r="K369" s="2338"/>
      <c r="L369" s="2338"/>
      <c r="M369" s="2338"/>
      <c r="N369" s="2338"/>
      <c r="O369" s="2338"/>
      <c r="P369" s="2324"/>
      <c r="Q369" s="2324"/>
      <c r="R369" s="2325"/>
      <c r="S369" s="2324" t="s">
        <v>3</v>
      </c>
      <c r="T369" s="2324" t="s">
        <v>3</v>
      </c>
      <c r="U369" s="2326"/>
      <c r="V369" s="2327"/>
      <c r="W369" s="2327"/>
      <c r="X369" s="2327"/>
      <c r="Y369" s="2327"/>
      <c r="Z369" s="2327"/>
      <c r="AA369" s="2328"/>
      <c r="AB369" s="2329"/>
      <c r="AC369" s="2326"/>
      <c r="AD369" s="2330">
        <f t="shared" si="220"/>
        <v>0</v>
      </c>
      <c r="AE369" s="2330"/>
      <c r="AF369" s="2330"/>
      <c r="AG369" s="2330">
        <f t="shared" si="228"/>
        <v>0</v>
      </c>
      <c r="AH369" s="2330"/>
      <c r="AI369" s="2330"/>
      <c r="AJ369" s="2330">
        <f t="shared" si="221"/>
        <v>0</v>
      </c>
      <c r="AK369" s="2330"/>
      <c r="AL369" s="2330"/>
      <c r="AM369" s="2331">
        <f t="shared" si="222"/>
        <v>0</v>
      </c>
      <c r="AN369" s="2331"/>
      <c r="AO369" s="2331"/>
      <c r="AP369" s="2331"/>
      <c r="AQ369" s="2332">
        <f t="shared" si="223"/>
        <v>0</v>
      </c>
      <c r="AR369" s="2332"/>
      <c r="AS369" s="2332"/>
      <c r="AT369" s="2332">
        <f t="shared" si="224"/>
        <v>0</v>
      </c>
      <c r="AV369" s="151" t="str">
        <f t="shared" si="217"/>
        <v>DECKING AND PATIOS</v>
      </c>
      <c r="AW369" s="681"/>
      <c r="AX369" s="230"/>
      <c r="AY369" s="230"/>
      <c r="AZ369" s="679"/>
      <c r="BA369" s="49">
        <f t="shared" si="225"/>
        <v>0</v>
      </c>
      <c r="BB369" s="49">
        <f t="shared" si="229"/>
        <v>0</v>
      </c>
      <c r="BC369" s="49">
        <f t="shared" si="230"/>
        <v>0</v>
      </c>
      <c r="BD369" s="49">
        <f t="shared" si="226"/>
        <v>0</v>
      </c>
      <c r="BE369" s="49">
        <f t="shared" si="231"/>
        <v>0</v>
      </c>
      <c r="BF369" s="49">
        <f t="shared" si="218"/>
        <v>0</v>
      </c>
      <c r="BG369" s="49">
        <f t="shared" si="219"/>
        <v>0</v>
      </c>
      <c r="BI369" s="134">
        <f t="shared" si="232"/>
        <v>0</v>
      </c>
      <c r="BJ369" s="134">
        <f t="shared" si="227"/>
        <v>0</v>
      </c>
      <c r="BK369" s="134">
        <f t="shared" si="233"/>
        <v>0</v>
      </c>
    </row>
    <row r="370" spans="1:63" ht="17.25" hidden="1" customHeight="1">
      <c r="A370" s="187"/>
      <c r="B370" s="2321"/>
      <c r="C370" s="2322"/>
      <c r="D370" s="2334" t="s">
        <v>686</v>
      </c>
      <c r="E370" s="2334"/>
      <c r="F370" s="2334"/>
      <c r="G370" s="2334"/>
      <c r="H370" s="2334"/>
      <c r="I370" s="2334"/>
      <c r="J370" s="2334"/>
      <c r="K370" s="2334"/>
      <c r="L370" s="2334"/>
      <c r="M370" s="2334"/>
      <c r="N370" s="2334"/>
      <c r="O370" s="2334"/>
      <c r="P370" s="2324"/>
      <c r="Q370" s="2324"/>
      <c r="R370" s="2325"/>
      <c r="S370" s="2324" t="s">
        <v>11</v>
      </c>
      <c r="T370" s="2324"/>
      <c r="U370" s="2326">
        <v>20</v>
      </c>
      <c r="V370" s="2327"/>
      <c r="W370" s="2327"/>
      <c r="X370" s="2327">
        <v>15</v>
      </c>
      <c r="Y370" s="2327"/>
      <c r="Z370" s="2327"/>
      <c r="AA370" s="2328"/>
      <c r="AB370" s="2329"/>
      <c r="AC370" s="2326"/>
      <c r="AD370" s="2330">
        <f t="shared" si="220"/>
        <v>0</v>
      </c>
      <c r="AE370" s="2330"/>
      <c r="AF370" s="2330"/>
      <c r="AG370" s="2330">
        <f t="shared" si="228"/>
        <v>0</v>
      </c>
      <c r="AH370" s="2330"/>
      <c r="AI370" s="2330"/>
      <c r="AJ370" s="2330">
        <f t="shared" si="221"/>
        <v>0</v>
      </c>
      <c r="AK370" s="2330"/>
      <c r="AL370" s="2330"/>
      <c r="AM370" s="2331">
        <f t="shared" si="222"/>
        <v>0</v>
      </c>
      <c r="AN370" s="2331"/>
      <c r="AO370" s="2331"/>
      <c r="AP370" s="2331"/>
      <c r="AQ370" s="2332">
        <f t="shared" si="223"/>
        <v>0</v>
      </c>
      <c r="AR370" s="2332"/>
      <c r="AS370" s="2332"/>
      <c r="AT370" s="2332">
        <f t="shared" si="224"/>
        <v>0</v>
      </c>
      <c r="AV370" s="151" t="str">
        <f t="shared" si="217"/>
        <v>DECKING AND PATIOS</v>
      </c>
      <c r="AW370" s="681"/>
      <c r="AX370" s="230"/>
      <c r="AY370" s="230"/>
      <c r="AZ370" s="679"/>
      <c r="BA370" s="49">
        <f t="shared" si="225"/>
        <v>0</v>
      </c>
      <c r="BB370" s="49">
        <f t="shared" si="229"/>
        <v>0</v>
      </c>
      <c r="BC370" s="49">
        <f t="shared" si="230"/>
        <v>0</v>
      </c>
      <c r="BD370" s="49">
        <f t="shared" si="226"/>
        <v>0</v>
      </c>
      <c r="BE370" s="49">
        <f t="shared" si="231"/>
        <v>0</v>
      </c>
      <c r="BF370" s="49">
        <f t="shared" si="218"/>
        <v>0</v>
      </c>
      <c r="BG370" s="49">
        <f t="shared" si="219"/>
        <v>0</v>
      </c>
      <c r="BI370" s="134">
        <f t="shared" si="232"/>
        <v>0</v>
      </c>
      <c r="BJ370" s="134">
        <f t="shared" si="227"/>
        <v>0</v>
      </c>
      <c r="BK370" s="134">
        <f t="shared" si="233"/>
        <v>0</v>
      </c>
    </row>
    <row r="371" spans="1:63" ht="17.25" hidden="1" customHeight="1">
      <c r="A371" s="187"/>
      <c r="B371" s="2321"/>
      <c r="C371" s="2322"/>
      <c r="D371" s="2334" t="s">
        <v>673</v>
      </c>
      <c r="E371" s="2334"/>
      <c r="F371" s="2334"/>
      <c r="G371" s="2334"/>
      <c r="H371" s="2334"/>
      <c r="I371" s="2334"/>
      <c r="J371" s="2334"/>
      <c r="K371" s="2334"/>
      <c r="L371" s="2334"/>
      <c r="M371" s="2334"/>
      <c r="N371" s="2334"/>
      <c r="O371" s="2334"/>
      <c r="P371" s="2324"/>
      <c r="Q371" s="2324"/>
      <c r="R371" s="2325"/>
      <c r="S371" s="2324" t="s">
        <v>12</v>
      </c>
      <c r="T371" s="2324" t="s">
        <v>12</v>
      </c>
      <c r="U371" s="2326">
        <v>15</v>
      </c>
      <c r="V371" s="2327"/>
      <c r="W371" s="2327"/>
      <c r="X371" s="2327">
        <v>15</v>
      </c>
      <c r="Y371" s="2327"/>
      <c r="Z371" s="2327">
        <v>7.5</v>
      </c>
      <c r="AA371" s="2328"/>
      <c r="AB371" s="2329"/>
      <c r="AC371" s="2326"/>
      <c r="AD371" s="2330">
        <f t="shared" si="220"/>
        <v>0</v>
      </c>
      <c r="AE371" s="2330"/>
      <c r="AF371" s="2330"/>
      <c r="AG371" s="2330">
        <f t="shared" si="228"/>
        <v>0</v>
      </c>
      <c r="AH371" s="2330"/>
      <c r="AI371" s="2330"/>
      <c r="AJ371" s="2330">
        <f t="shared" si="221"/>
        <v>0</v>
      </c>
      <c r="AK371" s="2330"/>
      <c r="AL371" s="2330"/>
      <c r="AM371" s="2331">
        <f t="shared" si="222"/>
        <v>0</v>
      </c>
      <c r="AN371" s="2331"/>
      <c r="AO371" s="2331"/>
      <c r="AP371" s="2331"/>
      <c r="AQ371" s="2332">
        <f t="shared" si="223"/>
        <v>0</v>
      </c>
      <c r="AR371" s="2332"/>
      <c r="AS371" s="2332"/>
      <c r="AT371" s="2332">
        <f t="shared" si="224"/>
        <v>0</v>
      </c>
      <c r="AV371" s="151" t="str">
        <f t="shared" si="217"/>
        <v>DECKING AND PATIOS</v>
      </c>
      <c r="AW371" s="681"/>
      <c r="AX371" s="230"/>
      <c r="AY371" s="230"/>
      <c r="AZ371" s="679"/>
      <c r="BA371" s="49">
        <f t="shared" si="225"/>
        <v>0</v>
      </c>
      <c r="BB371" s="49">
        <f t="shared" si="229"/>
        <v>0</v>
      </c>
      <c r="BC371" s="49">
        <f t="shared" si="230"/>
        <v>0</v>
      </c>
      <c r="BD371" s="49">
        <f t="shared" si="226"/>
        <v>0</v>
      </c>
      <c r="BE371" s="49">
        <f t="shared" si="231"/>
        <v>0</v>
      </c>
      <c r="BF371" s="49">
        <f t="shared" si="218"/>
        <v>0</v>
      </c>
      <c r="BG371" s="49">
        <f t="shared" si="219"/>
        <v>0</v>
      </c>
      <c r="BI371" s="134">
        <f t="shared" si="232"/>
        <v>0</v>
      </c>
      <c r="BJ371" s="134">
        <f t="shared" si="227"/>
        <v>0</v>
      </c>
      <c r="BK371" s="134">
        <f t="shared" si="233"/>
        <v>0</v>
      </c>
    </row>
    <row r="372" spans="1:63" ht="17.25" hidden="1" customHeight="1">
      <c r="A372" s="187"/>
      <c r="B372" s="2321"/>
      <c r="C372" s="2322"/>
      <c r="D372" s="2334" t="s">
        <v>674</v>
      </c>
      <c r="E372" s="2334"/>
      <c r="F372" s="2334"/>
      <c r="G372" s="2334"/>
      <c r="H372" s="2334"/>
      <c r="I372" s="2334"/>
      <c r="J372" s="2334"/>
      <c r="K372" s="2334"/>
      <c r="L372" s="2334"/>
      <c r="M372" s="2334"/>
      <c r="N372" s="2334"/>
      <c r="O372" s="2334"/>
      <c r="P372" s="2324"/>
      <c r="Q372" s="2324"/>
      <c r="R372" s="2325"/>
      <c r="S372" s="2324" t="s">
        <v>12</v>
      </c>
      <c r="T372" s="2324" t="s">
        <v>12</v>
      </c>
      <c r="U372" s="2326">
        <v>15</v>
      </c>
      <c r="V372" s="2327"/>
      <c r="W372" s="2327"/>
      <c r="X372" s="2327">
        <v>25</v>
      </c>
      <c r="Y372" s="2327"/>
      <c r="Z372" s="2327">
        <v>25</v>
      </c>
      <c r="AA372" s="2328"/>
      <c r="AB372" s="2329"/>
      <c r="AC372" s="2326"/>
      <c r="AD372" s="2330">
        <f t="shared" si="220"/>
        <v>0</v>
      </c>
      <c r="AE372" s="2330"/>
      <c r="AF372" s="2330"/>
      <c r="AG372" s="2330">
        <f t="shared" si="228"/>
        <v>0</v>
      </c>
      <c r="AH372" s="2330"/>
      <c r="AI372" s="2330"/>
      <c r="AJ372" s="2330">
        <f t="shared" si="221"/>
        <v>0</v>
      </c>
      <c r="AK372" s="2330"/>
      <c r="AL372" s="2330"/>
      <c r="AM372" s="2331">
        <f t="shared" si="222"/>
        <v>0</v>
      </c>
      <c r="AN372" s="2331"/>
      <c r="AO372" s="2331"/>
      <c r="AP372" s="2331"/>
      <c r="AQ372" s="2332">
        <f t="shared" si="223"/>
        <v>0</v>
      </c>
      <c r="AR372" s="2332"/>
      <c r="AS372" s="2332"/>
      <c r="AT372" s="2332">
        <f t="shared" si="224"/>
        <v>0</v>
      </c>
      <c r="AV372" s="151" t="str">
        <f t="shared" si="217"/>
        <v>DECKING AND PATIOS</v>
      </c>
      <c r="AW372" s="681"/>
      <c r="AX372" s="230"/>
      <c r="AY372" s="230"/>
      <c r="AZ372" s="679"/>
      <c r="BA372" s="49">
        <f t="shared" si="225"/>
        <v>0</v>
      </c>
      <c r="BB372" s="49">
        <f t="shared" si="229"/>
        <v>0</v>
      </c>
      <c r="BC372" s="49">
        <f t="shared" si="230"/>
        <v>0</v>
      </c>
      <c r="BD372" s="49">
        <f t="shared" si="226"/>
        <v>0</v>
      </c>
      <c r="BE372" s="49">
        <f t="shared" si="231"/>
        <v>0</v>
      </c>
      <c r="BF372" s="49">
        <f t="shared" si="218"/>
        <v>0</v>
      </c>
      <c r="BG372" s="49">
        <f t="shared" si="219"/>
        <v>0</v>
      </c>
      <c r="BI372" s="134">
        <f t="shared" si="232"/>
        <v>0</v>
      </c>
      <c r="BJ372" s="134">
        <f t="shared" si="227"/>
        <v>0</v>
      </c>
      <c r="BK372" s="134">
        <f t="shared" si="233"/>
        <v>0</v>
      </c>
    </row>
    <row r="373" spans="1:63" ht="17.25" hidden="1" customHeight="1">
      <c r="A373" s="187"/>
      <c r="B373" s="2321"/>
      <c r="C373" s="2322"/>
      <c r="D373" s="2334" t="s">
        <v>683</v>
      </c>
      <c r="E373" s="2334"/>
      <c r="F373" s="2334"/>
      <c r="G373" s="2334"/>
      <c r="H373" s="2334"/>
      <c r="I373" s="2334"/>
      <c r="J373" s="2334"/>
      <c r="K373" s="2334"/>
      <c r="L373" s="2334"/>
      <c r="M373" s="2334"/>
      <c r="N373" s="2334"/>
      <c r="O373" s="2334"/>
      <c r="P373" s="2324"/>
      <c r="Q373" s="2324"/>
      <c r="R373" s="2325"/>
      <c r="S373" s="2324" t="s">
        <v>2</v>
      </c>
      <c r="T373" s="2324"/>
      <c r="U373" s="2326">
        <v>700</v>
      </c>
      <c r="V373" s="2327"/>
      <c r="W373" s="2327"/>
      <c r="X373" s="2327">
        <v>175</v>
      </c>
      <c r="Y373" s="2327"/>
      <c r="Z373" s="2327"/>
      <c r="AA373" s="2328"/>
      <c r="AB373" s="2329"/>
      <c r="AC373" s="2326"/>
      <c r="AD373" s="2330">
        <f t="shared" si="220"/>
        <v>0</v>
      </c>
      <c r="AE373" s="2330"/>
      <c r="AF373" s="2330"/>
      <c r="AG373" s="2330">
        <f t="shared" si="228"/>
        <v>0</v>
      </c>
      <c r="AH373" s="2330"/>
      <c r="AI373" s="2330"/>
      <c r="AJ373" s="2330">
        <f t="shared" si="221"/>
        <v>0</v>
      </c>
      <c r="AK373" s="2330"/>
      <c r="AL373" s="2330"/>
      <c r="AM373" s="2331">
        <f t="shared" si="222"/>
        <v>0</v>
      </c>
      <c r="AN373" s="2331"/>
      <c r="AO373" s="2331"/>
      <c r="AP373" s="2331"/>
      <c r="AQ373" s="2332">
        <f t="shared" si="223"/>
        <v>0</v>
      </c>
      <c r="AR373" s="2332"/>
      <c r="AS373" s="2332"/>
      <c r="AT373" s="2332">
        <f t="shared" si="224"/>
        <v>0</v>
      </c>
      <c r="AV373" s="151" t="str">
        <f t="shared" si="217"/>
        <v>DECKING AND PATIOS</v>
      </c>
      <c r="AW373" s="681"/>
      <c r="AX373" s="230"/>
      <c r="AY373" s="230"/>
      <c r="AZ373" s="679"/>
      <c r="BA373" s="49">
        <f t="shared" si="225"/>
        <v>0</v>
      </c>
      <c r="BB373" s="49">
        <f t="shared" si="229"/>
        <v>0</v>
      </c>
      <c r="BC373" s="49">
        <f t="shared" si="230"/>
        <v>0</v>
      </c>
      <c r="BD373" s="49">
        <f t="shared" si="226"/>
        <v>0</v>
      </c>
      <c r="BE373" s="49">
        <f t="shared" si="231"/>
        <v>0</v>
      </c>
      <c r="BF373" s="49">
        <f t="shared" si="218"/>
        <v>0</v>
      </c>
      <c r="BG373" s="49">
        <f t="shared" si="219"/>
        <v>0</v>
      </c>
      <c r="BI373" s="134">
        <f t="shared" si="232"/>
        <v>0</v>
      </c>
      <c r="BJ373" s="134">
        <f t="shared" si="227"/>
        <v>0</v>
      </c>
      <c r="BK373" s="134">
        <f t="shared" si="233"/>
        <v>0</v>
      </c>
    </row>
    <row r="374" spans="1:63" ht="17.100000000000001" hidden="1" customHeight="1">
      <c r="A374" s="187"/>
      <c r="B374" s="2333"/>
      <c r="C374" s="2333"/>
      <c r="D374" s="2334" t="s">
        <v>688</v>
      </c>
      <c r="E374" s="2334"/>
      <c r="F374" s="2334"/>
      <c r="G374" s="2334"/>
      <c r="H374" s="2334"/>
      <c r="I374" s="2334"/>
      <c r="J374" s="2334"/>
      <c r="K374" s="2334"/>
      <c r="L374" s="2334"/>
      <c r="M374" s="2334"/>
      <c r="N374" s="2334"/>
      <c r="O374" s="2334"/>
      <c r="P374" s="2324"/>
      <c r="Q374" s="2324"/>
      <c r="R374" s="2325"/>
      <c r="S374" s="2324" t="s">
        <v>11</v>
      </c>
      <c r="T374" s="2324"/>
      <c r="U374" s="2326">
        <v>1.75</v>
      </c>
      <c r="V374" s="2327"/>
      <c r="W374" s="2327"/>
      <c r="X374" s="2327">
        <v>2</v>
      </c>
      <c r="Y374" s="2327"/>
      <c r="Z374" s="2327"/>
      <c r="AA374" s="2328"/>
      <c r="AB374" s="2329"/>
      <c r="AC374" s="2326"/>
      <c r="AD374" s="2330">
        <f t="shared" si="220"/>
        <v>0</v>
      </c>
      <c r="AE374" s="2330"/>
      <c r="AF374" s="2330"/>
      <c r="AG374" s="2330">
        <f t="shared" si="228"/>
        <v>0</v>
      </c>
      <c r="AH374" s="2330"/>
      <c r="AI374" s="2330"/>
      <c r="AJ374" s="2330">
        <f t="shared" si="221"/>
        <v>0</v>
      </c>
      <c r="AK374" s="2330"/>
      <c r="AL374" s="2330"/>
      <c r="AM374" s="2331">
        <f t="shared" si="222"/>
        <v>0</v>
      </c>
      <c r="AN374" s="2331"/>
      <c r="AO374" s="2331"/>
      <c r="AP374" s="2331"/>
      <c r="AQ374" s="2332">
        <f t="shared" si="223"/>
        <v>0</v>
      </c>
      <c r="AR374" s="2332"/>
      <c r="AS374" s="2332"/>
      <c r="AT374" s="2332">
        <f t="shared" si="224"/>
        <v>0</v>
      </c>
      <c r="AV374" s="151" t="str">
        <f t="shared" si="217"/>
        <v>DECKING AND PATIOS</v>
      </c>
      <c r="AW374" s="681"/>
      <c r="AX374" s="230"/>
      <c r="AY374" s="230"/>
      <c r="AZ374" s="679"/>
      <c r="BA374" s="49">
        <f t="shared" si="225"/>
        <v>0</v>
      </c>
      <c r="BB374" s="49">
        <f t="shared" si="229"/>
        <v>0</v>
      </c>
      <c r="BC374" s="49">
        <f t="shared" si="230"/>
        <v>0</v>
      </c>
      <c r="BD374" s="49">
        <f t="shared" si="226"/>
        <v>0</v>
      </c>
      <c r="BE374" s="49">
        <f t="shared" si="231"/>
        <v>0</v>
      </c>
      <c r="BF374" s="49">
        <f t="shared" si="218"/>
        <v>0</v>
      </c>
      <c r="BG374" s="49">
        <f t="shared" si="219"/>
        <v>0</v>
      </c>
      <c r="BI374" s="134">
        <f t="shared" si="232"/>
        <v>0</v>
      </c>
      <c r="BJ374" s="134">
        <f t="shared" si="227"/>
        <v>0</v>
      </c>
      <c r="BK374" s="134">
        <f t="shared" si="233"/>
        <v>0</v>
      </c>
    </row>
    <row r="375" spans="1:63" ht="17.25" hidden="1" customHeight="1">
      <c r="A375" s="187"/>
      <c r="B375" s="2333"/>
      <c r="C375" s="2333"/>
      <c r="D375" s="2334" t="s">
        <v>689</v>
      </c>
      <c r="E375" s="2334"/>
      <c r="F375" s="2334"/>
      <c r="G375" s="2334"/>
      <c r="H375" s="2334"/>
      <c r="I375" s="2334"/>
      <c r="J375" s="2334"/>
      <c r="K375" s="2334"/>
      <c r="L375" s="2334"/>
      <c r="M375" s="2334"/>
      <c r="N375" s="2334"/>
      <c r="O375" s="2334"/>
      <c r="P375" s="2324"/>
      <c r="Q375" s="2324"/>
      <c r="R375" s="2325"/>
      <c r="S375" s="2324" t="s">
        <v>11</v>
      </c>
      <c r="T375" s="2324"/>
      <c r="U375" s="2326">
        <v>1.5</v>
      </c>
      <c r="V375" s="2327"/>
      <c r="W375" s="2327"/>
      <c r="X375" s="2327">
        <v>1.25</v>
      </c>
      <c r="Y375" s="2327"/>
      <c r="Z375" s="2327"/>
      <c r="AA375" s="2328"/>
      <c r="AB375" s="2329"/>
      <c r="AC375" s="2326"/>
      <c r="AD375" s="2330">
        <f t="shared" si="220"/>
        <v>0</v>
      </c>
      <c r="AE375" s="2330"/>
      <c r="AF375" s="2330"/>
      <c r="AG375" s="2330">
        <f t="shared" si="228"/>
        <v>0</v>
      </c>
      <c r="AH375" s="2330"/>
      <c r="AI375" s="2330"/>
      <c r="AJ375" s="2330">
        <f t="shared" si="221"/>
        <v>0</v>
      </c>
      <c r="AK375" s="2330"/>
      <c r="AL375" s="2330"/>
      <c r="AM375" s="2331">
        <f t="shared" si="222"/>
        <v>0</v>
      </c>
      <c r="AN375" s="2331"/>
      <c r="AO375" s="2331"/>
      <c r="AP375" s="2331"/>
      <c r="AQ375" s="2332">
        <f t="shared" si="223"/>
        <v>0</v>
      </c>
      <c r="AR375" s="2332"/>
      <c r="AS375" s="2332"/>
      <c r="AT375" s="2332">
        <f t="shared" si="224"/>
        <v>0</v>
      </c>
      <c r="AV375" s="151" t="str">
        <f t="shared" si="217"/>
        <v>DECKING AND PATIOS</v>
      </c>
      <c r="AW375" s="681"/>
      <c r="AX375" s="230"/>
      <c r="AY375" s="230"/>
      <c r="AZ375" s="679"/>
      <c r="BA375" s="49">
        <f t="shared" si="225"/>
        <v>0</v>
      </c>
      <c r="BB375" s="49">
        <f t="shared" si="229"/>
        <v>0</v>
      </c>
      <c r="BC375" s="49">
        <f t="shared" si="230"/>
        <v>0</v>
      </c>
      <c r="BD375" s="49">
        <f t="shared" si="226"/>
        <v>0</v>
      </c>
      <c r="BE375" s="49">
        <f t="shared" si="231"/>
        <v>0</v>
      </c>
      <c r="BF375" s="49">
        <f t="shared" si="218"/>
        <v>0</v>
      </c>
      <c r="BG375" s="49">
        <f t="shared" si="219"/>
        <v>0</v>
      </c>
      <c r="BI375" s="134">
        <f t="shared" si="232"/>
        <v>0</v>
      </c>
      <c r="BJ375" s="134">
        <f t="shared" si="227"/>
        <v>0</v>
      </c>
      <c r="BK375" s="134">
        <f t="shared" si="233"/>
        <v>0</v>
      </c>
    </row>
    <row r="376" spans="1:63" ht="17.25" hidden="1" customHeight="1">
      <c r="A376" s="187"/>
      <c r="B376" s="2321"/>
      <c r="C376" s="2322"/>
      <c r="D376" s="2334"/>
      <c r="E376" s="2334"/>
      <c r="F376" s="2334"/>
      <c r="G376" s="2334"/>
      <c r="H376" s="2334"/>
      <c r="I376" s="2334"/>
      <c r="J376" s="2334"/>
      <c r="K376" s="2334"/>
      <c r="L376" s="2334"/>
      <c r="M376" s="2334"/>
      <c r="N376" s="2334"/>
      <c r="O376" s="2334"/>
      <c r="P376" s="2324"/>
      <c r="Q376" s="2324"/>
      <c r="R376" s="2325"/>
      <c r="S376" s="2324"/>
      <c r="T376" s="2324"/>
      <c r="U376" s="2326"/>
      <c r="V376" s="2327"/>
      <c r="W376" s="2327"/>
      <c r="X376" s="2327"/>
      <c r="Y376" s="2327"/>
      <c r="Z376" s="2327"/>
      <c r="AA376" s="2328"/>
      <c r="AB376" s="2329"/>
      <c r="AC376" s="2326"/>
      <c r="AD376" s="2330">
        <f t="shared" si="220"/>
        <v>0</v>
      </c>
      <c r="AE376" s="2330"/>
      <c r="AF376" s="2330"/>
      <c r="AG376" s="2330">
        <f t="shared" si="228"/>
        <v>0</v>
      </c>
      <c r="AH376" s="2330"/>
      <c r="AI376" s="2330"/>
      <c r="AJ376" s="2330">
        <f t="shared" si="221"/>
        <v>0</v>
      </c>
      <c r="AK376" s="2330"/>
      <c r="AL376" s="2330"/>
      <c r="AM376" s="2331">
        <f t="shared" si="222"/>
        <v>0</v>
      </c>
      <c r="AN376" s="2331"/>
      <c r="AO376" s="2331"/>
      <c r="AP376" s="2331"/>
      <c r="AQ376" s="2332">
        <f t="shared" si="223"/>
        <v>0</v>
      </c>
      <c r="AR376" s="2332"/>
      <c r="AS376" s="2332"/>
      <c r="AT376" s="2332">
        <f t="shared" si="224"/>
        <v>0</v>
      </c>
      <c r="AV376" s="151" t="str">
        <f t="shared" si="217"/>
        <v>DECKING AND PATIOS</v>
      </c>
      <c r="AW376" s="681"/>
      <c r="AX376" s="230"/>
      <c r="AY376" s="230"/>
      <c r="AZ376" s="679"/>
      <c r="BA376" s="49">
        <f t="shared" si="225"/>
        <v>0</v>
      </c>
      <c r="BB376" s="49">
        <f t="shared" si="229"/>
        <v>0</v>
      </c>
      <c r="BC376" s="49">
        <f t="shared" si="230"/>
        <v>0</v>
      </c>
      <c r="BD376" s="49">
        <f t="shared" si="226"/>
        <v>0</v>
      </c>
      <c r="BE376" s="49">
        <f t="shared" ref="BE376:BE397" si="234">SUM(BA376:BC376)</f>
        <v>0</v>
      </c>
      <c r="BF376" s="49">
        <f t="shared" si="218"/>
        <v>0</v>
      </c>
      <c r="BG376" s="49">
        <f t="shared" si="219"/>
        <v>0</v>
      </c>
      <c r="BI376" s="134">
        <f t="shared" si="232"/>
        <v>0</v>
      </c>
      <c r="BJ376" s="134">
        <f t="shared" si="227"/>
        <v>0</v>
      </c>
      <c r="BK376" s="134">
        <f t="shared" si="233"/>
        <v>0</v>
      </c>
    </row>
    <row r="377" spans="1:63" ht="17.25" hidden="1" customHeight="1">
      <c r="A377" s="187"/>
      <c r="B377" s="2321"/>
      <c r="C377" s="2322"/>
      <c r="D377" s="2334"/>
      <c r="E377" s="2334"/>
      <c r="F377" s="2334"/>
      <c r="G377" s="2334"/>
      <c r="H377" s="2334"/>
      <c r="I377" s="2334"/>
      <c r="J377" s="2334"/>
      <c r="K377" s="2334"/>
      <c r="L377" s="2334"/>
      <c r="M377" s="2334"/>
      <c r="N377" s="2334"/>
      <c r="O377" s="2334"/>
      <c r="P377" s="2324"/>
      <c r="Q377" s="2324"/>
      <c r="R377" s="2325"/>
      <c r="S377" s="2324"/>
      <c r="T377" s="2324"/>
      <c r="U377" s="2326"/>
      <c r="V377" s="2327"/>
      <c r="W377" s="2327"/>
      <c r="X377" s="2327"/>
      <c r="Y377" s="2327"/>
      <c r="Z377" s="2327"/>
      <c r="AA377" s="2328"/>
      <c r="AB377" s="2329"/>
      <c r="AC377" s="2326"/>
      <c r="AD377" s="2330">
        <f t="shared" si="220"/>
        <v>0</v>
      </c>
      <c r="AE377" s="2330"/>
      <c r="AF377" s="2330"/>
      <c r="AG377" s="2330">
        <f t="shared" si="228"/>
        <v>0</v>
      </c>
      <c r="AH377" s="2330"/>
      <c r="AI377" s="2330"/>
      <c r="AJ377" s="2330">
        <f t="shared" si="221"/>
        <v>0</v>
      </c>
      <c r="AK377" s="2330"/>
      <c r="AL377" s="2330"/>
      <c r="AM377" s="2331">
        <f t="shared" si="222"/>
        <v>0</v>
      </c>
      <c r="AN377" s="2331"/>
      <c r="AO377" s="2331"/>
      <c r="AP377" s="2331"/>
      <c r="AQ377" s="2332">
        <f t="shared" si="223"/>
        <v>0</v>
      </c>
      <c r="AR377" s="2332"/>
      <c r="AS377" s="2332"/>
      <c r="AT377" s="2332">
        <f t="shared" si="224"/>
        <v>0</v>
      </c>
      <c r="AV377" s="151" t="str">
        <f t="shared" si="217"/>
        <v>DECKING AND PATIOS</v>
      </c>
      <c r="AW377" s="681"/>
      <c r="AX377" s="230"/>
      <c r="AY377" s="230"/>
      <c r="AZ377" s="679"/>
      <c r="BA377" s="49">
        <f t="shared" si="225"/>
        <v>0</v>
      </c>
      <c r="BB377" s="49">
        <f t="shared" si="229"/>
        <v>0</v>
      </c>
      <c r="BC377" s="49">
        <f t="shared" si="230"/>
        <v>0</v>
      </c>
      <c r="BD377" s="49">
        <f t="shared" si="226"/>
        <v>0</v>
      </c>
      <c r="BE377" s="49">
        <f t="shared" si="234"/>
        <v>0</v>
      </c>
      <c r="BF377" s="49">
        <f t="shared" si="218"/>
        <v>0</v>
      </c>
      <c r="BG377" s="49">
        <f t="shared" si="219"/>
        <v>0</v>
      </c>
      <c r="BI377" s="134">
        <f t="shared" si="232"/>
        <v>0</v>
      </c>
      <c r="BJ377" s="134">
        <f t="shared" si="227"/>
        <v>0</v>
      </c>
      <c r="BK377" s="134">
        <f t="shared" si="233"/>
        <v>0</v>
      </c>
    </row>
    <row r="378" spans="1:63" ht="17.25" hidden="1" customHeight="1">
      <c r="A378" s="187"/>
      <c r="B378" s="2321"/>
      <c r="C378" s="2322"/>
      <c r="D378" s="2334"/>
      <c r="E378" s="2334"/>
      <c r="F378" s="2334"/>
      <c r="G378" s="2334"/>
      <c r="H378" s="2334"/>
      <c r="I378" s="2334"/>
      <c r="J378" s="2334"/>
      <c r="K378" s="2334"/>
      <c r="L378" s="2334"/>
      <c r="M378" s="2334"/>
      <c r="N378" s="2334"/>
      <c r="O378" s="2334"/>
      <c r="P378" s="2324"/>
      <c r="Q378" s="2324"/>
      <c r="R378" s="2325"/>
      <c r="S378" s="2324"/>
      <c r="T378" s="2324"/>
      <c r="U378" s="2326"/>
      <c r="V378" s="2327"/>
      <c r="W378" s="2327"/>
      <c r="X378" s="2327"/>
      <c r="Y378" s="2327"/>
      <c r="Z378" s="2327"/>
      <c r="AA378" s="2328"/>
      <c r="AB378" s="2329"/>
      <c r="AC378" s="2326"/>
      <c r="AD378" s="2330">
        <f>((P378*U378)-AM378)</f>
        <v>0</v>
      </c>
      <c r="AE378" s="2330"/>
      <c r="AF378" s="2330"/>
      <c r="AG378" s="2330">
        <f t="shared" si="228"/>
        <v>0</v>
      </c>
      <c r="AH378" s="2330"/>
      <c r="AI378" s="2330"/>
      <c r="AJ378" s="2330">
        <f>P378*AA378</f>
        <v>0</v>
      </c>
      <c r="AK378" s="2330"/>
      <c r="AL378" s="2330"/>
      <c r="AM378" s="2331">
        <f t="shared" si="222"/>
        <v>0</v>
      </c>
      <c r="AN378" s="2331"/>
      <c r="AO378" s="2331"/>
      <c r="AP378" s="2331"/>
      <c r="AQ378" s="2332">
        <f>SUM(AD378:AL378)</f>
        <v>0</v>
      </c>
      <c r="AR378" s="2332"/>
      <c r="AS378" s="2332"/>
      <c r="AT378" s="2332">
        <f>SUM(AD378:AL378)</f>
        <v>0</v>
      </c>
      <c r="AV378" s="151" t="str">
        <f t="shared" si="217"/>
        <v>DECKING AND PATIOS</v>
      </c>
      <c r="AW378" s="681"/>
      <c r="AX378" s="230"/>
      <c r="AY378" s="230"/>
      <c r="AZ378" s="679"/>
      <c r="BA378" s="49">
        <f>AD378</f>
        <v>0</v>
      </c>
      <c r="BB378" s="49">
        <f>AG378</f>
        <v>0</v>
      </c>
      <c r="BC378" s="49">
        <f>AJ378</f>
        <v>0</v>
      </c>
      <c r="BD378" s="49">
        <f>IF(B378="x",1,0)</f>
        <v>0</v>
      </c>
      <c r="BE378" s="49">
        <f t="shared" si="234"/>
        <v>0</v>
      </c>
      <c r="BF378" s="49">
        <f>AQ378</f>
        <v>0</v>
      </c>
      <c r="BG378" s="49">
        <f>AM378</f>
        <v>0</v>
      </c>
      <c r="BI378" s="134">
        <f>AD378</f>
        <v>0</v>
      </c>
      <c r="BJ378" s="134">
        <f>AM378</f>
        <v>0</v>
      </c>
      <c r="BK378" s="134">
        <f>BJ378+BI378</f>
        <v>0</v>
      </c>
    </row>
    <row r="379" spans="1:63" ht="17.25" hidden="1" customHeight="1">
      <c r="A379" s="187"/>
      <c r="B379" s="2321"/>
      <c r="C379" s="2322"/>
      <c r="D379" s="2334"/>
      <c r="E379" s="2334"/>
      <c r="F379" s="2334"/>
      <c r="G379" s="2334"/>
      <c r="H379" s="2334"/>
      <c r="I379" s="2334"/>
      <c r="J379" s="2334"/>
      <c r="K379" s="2334"/>
      <c r="L379" s="2334"/>
      <c r="M379" s="2334"/>
      <c r="N379" s="2334"/>
      <c r="O379" s="2334"/>
      <c r="P379" s="2324"/>
      <c r="Q379" s="2324"/>
      <c r="R379" s="2325"/>
      <c r="S379" s="2324"/>
      <c r="T379" s="2324"/>
      <c r="U379" s="2326"/>
      <c r="V379" s="2327"/>
      <c r="W379" s="2327"/>
      <c r="X379" s="2327"/>
      <c r="Y379" s="2327"/>
      <c r="Z379" s="2327"/>
      <c r="AA379" s="2328"/>
      <c r="AB379" s="2329"/>
      <c r="AC379" s="2326"/>
      <c r="AD379" s="2330">
        <f>((P379*U379)-AM379)</f>
        <v>0</v>
      </c>
      <c r="AE379" s="2330"/>
      <c r="AF379" s="2330"/>
      <c r="AG379" s="2330">
        <f t="shared" si="228"/>
        <v>0</v>
      </c>
      <c r="AH379" s="2330"/>
      <c r="AI379" s="2330"/>
      <c r="AJ379" s="2330">
        <f>P379*AA379</f>
        <v>0</v>
      </c>
      <c r="AK379" s="2330"/>
      <c r="AL379" s="2330"/>
      <c r="AM379" s="2331">
        <f t="shared" si="222"/>
        <v>0</v>
      </c>
      <c r="AN379" s="2331"/>
      <c r="AO379" s="2331"/>
      <c r="AP379" s="2331"/>
      <c r="AQ379" s="2332">
        <f>SUM(AD379:AL379)</f>
        <v>0</v>
      </c>
      <c r="AR379" s="2332"/>
      <c r="AS379" s="2332"/>
      <c r="AT379" s="2332">
        <f>SUM(AD379:AL379)</f>
        <v>0</v>
      </c>
      <c r="AV379" s="151" t="str">
        <f t="shared" si="217"/>
        <v>DECKING AND PATIOS</v>
      </c>
      <c r="AW379" s="681"/>
      <c r="AX379" s="230"/>
      <c r="AY379" s="230"/>
      <c r="AZ379" s="679"/>
      <c r="BA379" s="49">
        <f>AD379</f>
        <v>0</v>
      </c>
      <c r="BB379" s="49">
        <f>AG379</f>
        <v>0</v>
      </c>
      <c r="BC379" s="49">
        <f>AJ379</f>
        <v>0</v>
      </c>
      <c r="BD379" s="49">
        <f>IF(B379="x",1,0)</f>
        <v>0</v>
      </c>
      <c r="BE379" s="49">
        <f t="shared" si="234"/>
        <v>0</v>
      </c>
      <c r="BF379" s="49">
        <f>AQ379</f>
        <v>0</v>
      </c>
      <c r="BG379" s="49">
        <f>AM379</f>
        <v>0</v>
      </c>
      <c r="BI379" s="134">
        <f>AD379</f>
        <v>0</v>
      </c>
      <c r="BJ379" s="134">
        <f>AM379</f>
        <v>0</v>
      </c>
      <c r="BK379" s="134">
        <f>BJ379+BI379</f>
        <v>0</v>
      </c>
    </row>
    <row r="380" spans="1:63" ht="17.25" hidden="1" customHeight="1">
      <c r="A380" s="187"/>
      <c r="B380" s="2321"/>
      <c r="C380" s="2322"/>
      <c r="D380" s="2334"/>
      <c r="E380" s="2334"/>
      <c r="F380" s="2334"/>
      <c r="G380" s="2334"/>
      <c r="H380" s="2334"/>
      <c r="I380" s="2334"/>
      <c r="J380" s="2334"/>
      <c r="K380" s="2334"/>
      <c r="L380" s="2334"/>
      <c r="M380" s="2334"/>
      <c r="N380" s="2334"/>
      <c r="O380" s="2334"/>
      <c r="P380" s="2324"/>
      <c r="Q380" s="2324"/>
      <c r="R380" s="2325"/>
      <c r="S380" s="2324"/>
      <c r="T380" s="2324"/>
      <c r="U380" s="2326"/>
      <c r="V380" s="2327"/>
      <c r="W380" s="2327"/>
      <c r="X380" s="2327"/>
      <c r="Y380" s="2327"/>
      <c r="Z380" s="2327"/>
      <c r="AA380" s="2328"/>
      <c r="AB380" s="2329"/>
      <c r="AC380" s="2326"/>
      <c r="AD380" s="2330">
        <f t="shared" ref="AD380:AD385" si="235">((P380*U380)-AM380)</f>
        <v>0</v>
      </c>
      <c r="AE380" s="2330"/>
      <c r="AF380" s="2330"/>
      <c r="AG380" s="2330">
        <f t="shared" si="228"/>
        <v>0</v>
      </c>
      <c r="AH380" s="2330"/>
      <c r="AI380" s="2330"/>
      <c r="AJ380" s="2330">
        <f t="shared" ref="AJ380:AJ385" si="236">P380*AA380</f>
        <v>0</v>
      </c>
      <c r="AK380" s="2330"/>
      <c r="AL380" s="2330"/>
      <c r="AM380" s="2331">
        <f t="shared" si="222"/>
        <v>0</v>
      </c>
      <c r="AN380" s="2331"/>
      <c r="AO380" s="2331"/>
      <c r="AP380" s="2331"/>
      <c r="AQ380" s="2332">
        <f t="shared" ref="AQ380:AQ385" si="237">SUM(AD380:AL380)</f>
        <v>0</v>
      </c>
      <c r="AR380" s="2332"/>
      <c r="AS380" s="2332"/>
      <c r="AT380" s="2332">
        <f t="shared" ref="AT380:AT385" si="238">SUM(AD380:AL380)</f>
        <v>0</v>
      </c>
      <c r="AV380" s="151" t="str">
        <f t="shared" si="217"/>
        <v>DECKING AND PATIOS</v>
      </c>
      <c r="AW380" s="681"/>
      <c r="AX380" s="230"/>
      <c r="AY380" s="230"/>
      <c r="AZ380" s="679"/>
      <c r="BA380" s="49">
        <f t="shared" ref="BA380:BA385" si="239">AD380</f>
        <v>0</v>
      </c>
      <c r="BB380" s="49">
        <f t="shared" ref="BB380:BB385" si="240">AG380</f>
        <v>0</v>
      </c>
      <c r="BC380" s="49">
        <f t="shared" ref="BC380:BC385" si="241">AJ380</f>
        <v>0</v>
      </c>
      <c r="BD380" s="49">
        <f t="shared" ref="BD380:BD385" si="242">IF(B380="x",1,0)</f>
        <v>0</v>
      </c>
      <c r="BE380" s="49">
        <f t="shared" si="234"/>
        <v>0</v>
      </c>
      <c r="BF380" s="49">
        <f t="shared" ref="BF380:BF385" si="243">AQ380</f>
        <v>0</v>
      </c>
      <c r="BG380" s="49">
        <f t="shared" ref="BG380:BG385" si="244">AM380</f>
        <v>0</v>
      </c>
      <c r="BI380" s="134">
        <f t="shared" ref="BI380:BI385" si="245">AD380</f>
        <v>0</v>
      </c>
      <c r="BJ380" s="134">
        <f t="shared" ref="BJ380:BJ385" si="246">AM380</f>
        <v>0</v>
      </c>
      <c r="BK380" s="134">
        <f t="shared" ref="BK380:BK385" si="247">BJ380+BI380</f>
        <v>0</v>
      </c>
    </row>
    <row r="381" spans="1:63" ht="17.25" hidden="1" customHeight="1">
      <c r="A381" s="187"/>
      <c r="B381" s="2321"/>
      <c r="C381" s="2322"/>
      <c r="D381" s="2334"/>
      <c r="E381" s="2334"/>
      <c r="F381" s="2334"/>
      <c r="G381" s="2334"/>
      <c r="H381" s="2334"/>
      <c r="I381" s="2334"/>
      <c r="J381" s="2334"/>
      <c r="K381" s="2334"/>
      <c r="L381" s="2334"/>
      <c r="M381" s="2334"/>
      <c r="N381" s="2334"/>
      <c r="O381" s="2334"/>
      <c r="P381" s="2324"/>
      <c r="Q381" s="2324"/>
      <c r="R381" s="2325"/>
      <c r="S381" s="2324"/>
      <c r="T381" s="2324"/>
      <c r="U381" s="2326"/>
      <c r="V381" s="2327"/>
      <c r="W381" s="2327"/>
      <c r="X381" s="2327"/>
      <c r="Y381" s="2327"/>
      <c r="Z381" s="2327"/>
      <c r="AA381" s="2328"/>
      <c r="AB381" s="2329"/>
      <c r="AC381" s="2326"/>
      <c r="AD381" s="2330">
        <f t="shared" si="235"/>
        <v>0</v>
      </c>
      <c r="AE381" s="2330"/>
      <c r="AF381" s="2330"/>
      <c r="AG381" s="2330">
        <f t="shared" si="228"/>
        <v>0</v>
      </c>
      <c r="AH381" s="2330"/>
      <c r="AI381" s="2330"/>
      <c r="AJ381" s="2330">
        <f t="shared" si="236"/>
        <v>0</v>
      </c>
      <c r="AK381" s="2330"/>
      <c r="AL381" s="2330"/>
      <c r="AM381" s="2331">
        <f t="shared" si="222"/>
        <v>0</v>
      </c>
      <c r="AN381" s="2331"/>
      <c r="AO381" s="2331"/>
      <c r="AP381" s="2331"/>
      <c r="AQ381" s="2332">
        <f t="shared" si="237"/>
        <v>0</v>
      </c>
      <c r="AR381" s="2332"/>
      <c r="AS381" s="2332"/>
      <c r="AT381" s="2332">
        <f t="shared" si="238"/>
        <v>0</v>
      </c>
      <c r="AV381" s="151" t="str">
        <f t="shared" si="217"/>
        <v>DECKING AND PATIOS</v>
      </c>
      <c r="AW381" s="681"/>
      <c r="AX381" s="230"/>
      <c r="AY381" s="230"/>
      <c r="AZ381" s="679"/>
      <c r="BA381" s="49">
        <f t="shared" si="239"/>
        <v>0</v>
      </c>
      <c r="BB381" s="49">
        <f t="shared" si="240"/>
        <v>0</v>
      </c>
      <c r="BC381" s="49">
        <f t="shared" si="241"/>
        <v>0</v>
      </c>
      <c r="BD381" s="49">
        <f t="shared" si="242"/>
        <v>0</v>
      </c>
      <c r="BE381" s="49">
        <f t="shared" si="234"/>
        <v>0</v>
      </c>
      <c r="BF381" s="49">
        <f t="shared" si="243"/>
        <v>0</v>
      </c>
      <c r="BG381" s="49">
        <f t="shared" si="244"/>
        <v>0</v>
      </c>
      <c r="BI381" s="134">
        <f t="shared" si="245"/>
        <v>0</v>
      </c>
      <c r="BJ381" s="134">
        <f t="shared" si="246"/>
        <v>0</v>
      </c>
      <c r="BK381" s="134">
        <f t="shared" si="247"/>
        <v>0</v>
      </c>
    </row>
    <row r="382" spans="1:63" ht="17.25" hidden="1" customHeight="1">
      <c r="A382" s="187"/>
      <c r="B382" s="2321"/>
      <c r="C382" s="2322"/>
      <c r="D382" s="2334"/>
      <c r="E382" s="2334"/>
      <c r="F382" s="2334"/>
      <c r="G382" s="2334"/>
      <c r="H382" s="2334"/>
      <c r="I382" s="2334"/>
      <c r="J382" s="2334"/>
      <c r="K382" s="2334"/>
      <c r="L382" s="2334"/>
      <c r="M382" s="2334"/>
      <c r="N382" s="2334"/>
      <c r="O382" s="2334"/>
      <c r="P382" s="2324"/>
      <c r="Q382" s="2324"/>
      <c r="R382" s="2325"/>
      <c r="S382" s="2324"/>
      <c r="T382" s="2324"/>
      <c r="U382" s="2326"/>
      <c r="V382" s="2327"/>
      <c r="W382" s="2327"/>
      <c r="X382" s="2327"/>
      <c r="Y382" s="2327"/>
      <c r="Z382" s="2327"/>
      <c r="AA382" s="2328"/>
      <c r="AB382" s="2329"/>
      <c r="AC382" s="2326"/>
      <c r="AD382" s="2330">
        <f t="shared" si="235"/>
        <v>0</v>
      </c>
      <c r="AE382" s="2330"/>
      <c r="AF382" s="2330"/>
      <c r="AG382" s="2330">
        <f t="shared" si="228"/>
        <v>0</v>
      </c>
      <c r="AH382" s="2330"/>
      <c r="AI382" s="2330"/>
      <c r="AJ382" s="2330">
        <f t="shared" si="236"/>
        <v>0</v>
      </c>
      <c r="AK382" s="2330"/>
      <c r="AL382" s="2330"/>
      <c r="AM382" s="2331">
        <f t="shared" si="222"/>
        <v>0</v>
      </c>
      <c r="AN382" s="2331"/>
      <c r="AO382" s="2331"/>
      <c r="AP382" s="2331"/>
      <c r="AQ382" s="2332">
        <f t="shared" si="237"/>
        <v>0</v>
      </c>
      <c r="AR382" s="2332"/>
      <c r="AS382" s="2332"/>
      <c r="AT382" s="2332">
        <f t="shared" si="238"/>
        <v>0</v>
      </c>
      <c r="AV382" s="151" t="str">
        <f t="shared" si="217"/>
        <v>DECKING AND PATIOS</v>
      </c>
      <c r="AW382" s="681"/>
      <c r="AX382" s="230"/>
      <c r="AY382" s="230"/>
      <c r="AZ382" s="679"/>
      <c r="BA382" s="49">
        <f t="shared" si="239"/>
        <v>0</v>
      </c>
      <c r="BB382" s="49">
        <f t="shared" si="240"/>
        <v>0</v>
      </c>
      <c r="BC382" s="49">
        <f t="shared" si="241"/>
        <v>0</v>
      </c>
      <c r="BD382" s="49">
        <f t="shared" si="242"/>
        <v>0</v>
      </c>
      <c r="BE382" s="49">
        <f t="shared" si="234"/>
        <v>0</v>
      </c>
      <c r="BF382" s="49">
        <f t="shared" si="243"/>
        <v>0</v>
      </c>
      <c r="BG382" s="49">
        <f t="shared" si="244"/>
        <v>0</v>
      </c>
      <c r="BI382" s="134">
        <f t="shared" si="245"/>
        <v>0</v>
      </c>
      <c r="BJ382" s="134">
        <f t="shared" si="246"/>
        <v>0</v>
      </c>
      <c r="BK382" s="134">
        <f t="shared" si="247"/>
        <v>0</v>
      </c>
    </row>
    <row r="383" spans="1:63" ht="17.25" hidden="1" customHeight="1">
      <c r="A383" s="187"/>
      <c r="B383" s="2321"/>
      <c r="C383" s="2322"/>
      <c r="D383" s="2334"/>
      <c r="E383" s="2334"/>
      <c r="F383" s="2334"/>
      <c r="G383" s="2334"/>
      <c r="H383" s="2334"/>
      <c r="I383" s="2334"/>
      <c r="J383" s="2334"/>
      <c r="K383" s="2334"/>
      <c r="L383" s="2334"/>
      <c r="M383" s="2334"/>
      <c r="N383" s="2334"/>
      <c r="O383" s="2334"/>
      <c r="P383" s="2324"/>
      <c r="Q383" s="2324"/>
      <c r="R383" s="2325"/>
      <c r="S383" s="2324"/>
      <c r="T383" s="2324"/>
      <c r="U383" s="2326"/>
      <c r="V383" s="2327"/>
      <c r="W383" s="2327"/>
      <c r="X383" s="2327"/>
      <c r="Y383" s="2327"/>
      <c r="Z383" s="2327"/>
      <c r="AA383" s="2328"/>
      <c r="AB383" s="2329"/>
      <c r="AC383" s="2326"/>
      <c r="AD383" s="2330">
        <f t="shared" si="235"/>
        <v>0</v>
      </c>
      <c r="AE383" s="2330"/>
      <c r="AF383" s="2330"/>
      <c r="AG383" s="2330">
        <f t="shared" si="228"/>
        <v>0</v>
      </c>
      <c r="AH383" s="2330"/>
      <c r="AI383" s="2330"/>
      <c r="AJ383" s="2330">
        <f t="shared" si="236"/>
        <v>0</v>
      </c>
      <c r="AK383" s="2330"/>
      <c r="AL383" s="2330"/>
      <c r="AM383" s="2331">
        <f t="shared" si="222"/>
        <v>0</v>
      </c>
      <c r="AN383" s="2331"/>
      <c r="AO383" s="2331"/>
      <c r="AP383" s="2331"/>
      <c r="AQ383" s="2332">
        <f t="shared" si="237"/>
        <v>0</v>
      </c>
      <c r="AR383" s="2332"/>
      <c r="AS383" s="2332"/>
      <c r="AT383" s="2332">
        <f t="shared" si="238"/>
        <v>0</v>
      </c>
      <c r="AV383" s="151" t="str">
        <f t="shared" si="217"/>
        <v>DECKING AND PATIOS</v>
      </c>
      <c r="AW383" s="681"/>
      <c r="AX383" s="230"/>
      <c r="AY383" s="230"/>
      <c r="AZ383" s="679"/>
      <c r="BA383" s="49">
        <f t="shared" si="239"/>
        <v>0</v>
      </c>
      <c r="BB383" s="49">
        <f t="shared" si="240"/>
        <v>0</v>
      </c>
      <c r="BC383" s="49">
        <f t="shared" si="241"/>
        <v>0</v>
      </c>
      <c r="BD383" s="49">
        <f t="shared" si="242"/>
        <v>0</v>
      </c>
      <c r="BE383" s="49">
        <f t="shared" si="234"/>
        <v>0</v>
      </c>
      <c r="BF383" s="49">
        <f t="shared" si="243"/>
        <v>0</v>
      </c>
      <c r="BG383" s="49">
        <f t="shared" si="244"/>
        <v>0</v>
      </c>
      <c r="BI383" s="134">
        <f t="shared" si="245"/>
        <v>0</v>
      </c>
      <c r="BJ383" s="134">
        <f t="shared" si="246"/>
        <v>0</v>
      </c>
      <c r="BK383" s="134">
        <f t="shared" si="247"/>
        <v>0</v>
      </c>
    </row>
    <row r="384" spans="1:63" ht="17.25" hidden="1" customHeight="1">
      <c r="A384" s="187"/>
      <c r="B384" s="2321"/>
      <c r="C384" s="2322"/>
      <c r="D384" s="2334"/>
      <c r="E384" s="2334"/>
      <c r="F384" s="2334"/>
      <c r="G384" s="2334"/>
      <c r="H384" s="2334"/>
      <c r="I384" s="2334"/>
      <c r="J384" s="2334"/>
      <c r="K384" s="2334"/>
      <c r="L384" s="2334"/>
      <c r="M384" s="2334"/>
      <c r="N384" s="2334"/>
      <c r="O384" s="2334"/>
      <c r="P384" s="2324"/>
      <c r="Q384" s="2324"/>
      <c r="R384" s="2325"/>
      <c r="S384" s="2324"/>
      <c r="T384" s="2324"/>
      <c r="U384" s="2326"/>
      <c r="V384" s="2327"/>
      <c r="W384" s="2327"/>
      <c r="X384" s="2327"/>
      <c r="Y384" s="2327"/>
      <c r="Z384" s="2327"/>
      <c r="AA384" s="2328"/>
      <c r="AB384" s="2329"/>
      <c r="AC384" s="2326"/>
      <c r="AD384" s="2330">
        <f t="shared" si="235"/>
        <v>0</v>
      </c>
      <c r="AE384" s="2330"/>
      <c r="AF384" s="2330"/>
      <c r="AG384" s="2330">
        <f t="shared" si="228"/>
        <v>0</v>
      </c>
      <c r="AH384" s="2330"/>
      <c r="AI384" s="2330"/>
      <c r="AJ384" s="2330">
        <f t="shared" si="236"/>
        <v>0</v>
      </c>
      <c r="AK384" s="2330"/>
      <c r="AL384" s="2330"/>
      <c r="AM384" s="2331">
        <f t="shared" si="222"/>
        <v>0</v>
      </c>
      <c r="AN384" s="2331"/>
      <c r="AO384" s="2331"/>
      <c r="AP384" s="2331"/>
      <c r="AQ384" s="2332">
        <f t="shared" si="237"/>
        <v>0</v>
      </c>
      <c r="AR384" s="2332"/>
      <c r="AS384" s="2332"/>
      <c r="AT384" s="2332">
        <f t="shared" si="238"/>
        <v>0</v>
      </c>
      <c r="AV384" s="151" t="str">
        <f t="shared" si="217"/>
        <v>DECKING AND PATIOS</v>
      </c>
      <c r="AW384" s="681"/>
      <c r="AX384" s="230"/>
      <c r="AY384" s="230"/>
      <c r="AZ384" s="679"/>
      <c r="BA384" s="49">
        <f t="shared" si="239"/>
        <v>0</v>
      </c>
      <c r="BB384" s="49">
        <f t="shared" si="240"/>
        <v>0</v>
      </c>
      <c r="BC384" s="49">
        <f t="shared" si="241"/>
        <v>0</v>
      </c>
      <c r="BD384" s="49">
        <f t="shared" si="242"/>
        <v>0</v>
      </c>
      <c r="BE384" s="49">
        <f t="shared" si="234"/>
        <v>0</v>
      </c>
      <c r="BF384" s="49">
        <f t="shared" si="243"/>
        <v>0</v>
      </c>
      <c r="BG384" s="49">
        <f t="shared" si="244"/>
        <v>0</v>
      </c>
      <c r="BI384" s="134">
        <f t="shared" si="245"/>
        <v>0</v>
      </c>
      <c r="BJ384" s="134">
        <f t="shared" si="246"/>
        <v>0</v>
      </c>
      <c r="BK384" s="134">
        <f t="shared" si="247"/>
        <v>0</v>
      </c>
    </row>
    <row r="385" spans="1:63" ht="17.25" hidden="1" customHeight="1">
      <c r="A385" s="187"/>
      <c r="B385" s="2321"/>
      <c r="C385" s="2322"/>
      <c r="D385" s="2334"/>
      <c r="E385" s="2334"/>
      <c r="F385" s="2334"/>
      <c r="G385" s="2334"/>
      <c r="H385" s="2334"/>
      <c r="I385" s="2334"/>
      <c r="J385" s="2334"/>
      <c r="K385" s="2334"/>
      <c r="L385" s="2334"/>
      <c r="M385" s="2334"/>
      <c r="N385" s="2334"/>
      <c r="O385" s="2334"/>
      <c r="P385" s="2324"/>
      <c r="Q385" s="2324"/>
      <c r="R385" s="2325"/>
      <c r="S385" s="2324"/>
      <c r="T385" s="2324"/>
      <c r="U385" s="2326"/>
      <c r="V385" s="2327"/>
      <c r="W385" s="2327"/>
      <c r="X385" s="2327"/>
      <c r="Y385" s="2327"/>
      <c r="Z385" s="2327"/>
      <c r="AA385" s="2328"/>
      <c r="AB385" s="2329"/>
      <c r="AC385" s="2326"/>
      <c r="AD385" s="2330">
        <f t="shared" si="235"/>
        <v>0</v>
      </c>
      <c r="AE385" s="2330"/>
      <c r="AF385" s="2330"/>
      <c r="AG385" s="2330">
        <f t="shared" si="228"/>
        <v>0</v>
      </c>
      <c r="AH385" s="2330"/>
      <c r="AI385" s="2330"/>
      <c r="AJ385" s="2330">
        <f t="shared" si="236"/>
        <v>0</v>
      </c>
      <c r="AK385" s="2330"/>
      <c r="AL385" s="2330"/>
      <c r="AM385" s="2331">
        <f t="shared" si="222"/>
        <v>0</v>
      </c>
      <c r="AN385" s="2331"/>
      <c r="AO385" s="2331"/>
      <c r="AP385" s="2331"/>
      <c r="AQ385" s="2332">
        <f t="shared" si="237"/>
        <v>0</v>
      </c>
      <c r="AR385" s="2332"/>
      <c r="AS385" s="2332"/>
      <c r="AT385" s="2332">
        <f t="shared" si="238"/>
        <v>0</v>
      </c>
      <c r="AV385" s="151" t="str">
        <f t="shared" si="217"/>
        <v>DECKING AND PATIOS</v>
      </c>
      <c r="AW385" s="681"/>
      <c r="AX385" s="230"/>
      <c r="AY385" s="230"/>
      <c r="AZ385" s="679"/>
      <c r="BA385" s="49">
        <f t="shared" si="239"/>
        <v>0</v>
      </c>
      <c r="BB385" s="49">
        <f t="shared" si="240"/>
        <v>0</v>
      </c>
      <c r="BC385" s="49">
        <f t="shared" si="241"/>
        <v>0</v>
      </c>
      <c r="BD385" s="49">
        <f t="shared" si="242"/>
        <v>0</v>
      </c>
      <c r="BE385" s="49">
        <f t="shared" si="234"/>
        <v>0</v>
      </c>
      <c r="BF385" s="49">
        <f t="shared" si="243"/>
        <v>0</v>
      </c>
      <c r="BG385" s="49">
        <f t="shared" si="244"/>
        <v>0</v>
      </c>
      <c r="BI385" s="134">
        <f t="shared" si="245"/>
        <v>0</v>
      </c>
      <c r="BJ385" s="134">
        <f t="shared" si="246"/>
        <v>0</v>
      </c>
      <c r="BK385" s="134">
        <f t="shared" si="247"/>
        <v>0</v>
      </c>
    </row>
    <row r="386" spans="1:63" ht="17.25" hidden="1" customHeight="1">
      <c r="A386" s="187"/>
      <c r="B386" s="2321"/>
      <c r="C386" s="2322"/>
      <c r="D386" s="2334"/>
      <c r="E386" s="2334"/>
      <c r="F386" s="2334"/>
      <c r="G386" s="2334"/>
      <c r="H386" s="2334"/>
      <c r="I386" s="2334"/>
      <c r="J386" s="2334"/>
      <c r="K386" s="2334"/>
      <c r="L386" s="2334"/>
      <c r="M386" s="2334"/>
      <c r="N386" s="2334"/>
      <c r="O386" s="2334"/>
      <c r="P386" s="2324"/>
      <c r="Q386" s="2324"/>
      <c r="R386" s="2325"/>
      <c r="S386" s="2324"/>
      <c r="T386" s="2324"/>
      <c r="U386" s="2326"/>
      <c r="V386" s="2327"/>
      <c r="W386" s="2327"/>
      <c r="X386" s="2327"/>
      <c r="Y386" s="2327"/>
      <c r="Z386" s="2327"/>
      <c r="AA386" s="2328"/>
      <c r="AB386" s="2329"/>
      <c r="AC386" s="2326"/>
      <c r="AD386" s="2330">
        <f t="shared" ref="AD386:AD396" si="248">((P386*U386)-AM386)</f>
        <v>0</v>
      </c>
      <c r="AE386" s="2330"/>
      <c r="AF386" s="2330"/>
      <c r="AG386" s="2330">
        <f t="shared" si="228"/>
        <v>0</v>
      </c>
      <c r="AH386" s="2330"/>
      <c r="AI386" s="2330"/>
      <c r="AJ386" s="2330">
        <f t="shared" ref="AJ386:AJ396" si="249">P386*AA386</f>
        <v>0</v>
      </c>
      <c r="AK386" s="2330"/>
      <c r="AL386" s="2330"/>
      <c r="AM386" s="2331">
        <f t="shared" si="222"/>
        <v>0</v>
      </c>
      <c r="AN386" s="2331"/>
      <c r="AO386" s="2331"/>
      <c r="AP386" s="2331"/>
      <c r="AQ386" s="2332">
        <f t="shared" ref="AQ386:AQ396" si="250">SUM(AD386:AL386)</f>
        <v>0</v>
      </c>
      <c r="AR386" s="2332"/>
      <c r="AS386" s="2332"/>
      <c r="AT386" s="2332">
        <f t="shared" ref="AT386:AT396" si="251">SUM(AD386:AL386)</f>
        <v>0</v>
      </c>
      <c r="AV386" s="151" t="str">
        <f t="shared" si="217"/>
        <v>DECKING AND PATIOS</v>
      </c>
      <c r="AW386" s="681"/>
      <c r="AX386" s="230"/>
      <c r="AY386" s="230"/>
      <c r="AZ386" s="679"/>
      <c r="BA386" s="49">
        <f t="shared" ref="BA386:BA396" si="252">AD386</f>
        <v>0</v>
      </c>
      <c r="BB386" s="49">
        <f t="shared" ref="BB386:BB396" si="253">AG386</f>
        <v>0</v>
      </c>
      <c r="BC386" s="49">
        <f t="shared" ref="BC386:BC396" si="254">AJ386</f>
        <v>0</v>
      </c>
      <c r="BD386" s="49">
        <f t="shared" ref="BD386:BD396" si="255">IF(B386="x",1,0)</f>
        <v>0</v>
      </c>
      <c r="BE386" s="49">
        <f t="shared" si="234"/>
        <v>0</v>
      </c>
      <c r="BF386" s="49">
        <f t="shared" ref="BF386:BF396" si="256">AQ386</f>
        <v>0</v>
      </c>
      <c r="BG386" s="49">
        <f t="shared" ref="BG386:BG396" si="257">AM386</f>
        <v>0</v>
      </c>
      <c r="BI386" s="134">
        <f t="shared" ref="BI386:BI396" si="258">AD386</f>
        <v>0</v>
      </c>
      <c r="BJ386" s="134">
        <f t="shared" ref="BJ386:BJ396" si="259">AM386</f>
        <v>0</v>
      </c>
      <c r="BK386" s="134">
        <f t="shared" ref="BK386:BK396" si="260">BJ386+BI386</f>
        <v>0</v>
      </c>
    </row>
    <row r="387" spans="1:63" ht="17.25" hidden="1" customHeight="1">
      <c r="A387" s="187"/>
      <c r="B387" s="2321"/>
      <c r="C387" s="2322"/>
      <c r="D387" s="2334"/>
      <c r="E387" s="2334"/>
      <c r="F387" s="2334"/>
      <c r="G387" s="2334"/>
      <c r="H387" s="2334"/>
      <c r="I387" s="2334"/>
      <c r="J387" s="2334"/>
      <c r="K387" s="2334"/>
      <c r="L387" s="2334"/>
      <c r="M387" s="2334"/>
      <c r="N387" s="2334"/>
      <c r="O387" s="2334"/>
      <c r="P387" s="2324"/>
      <c r="Q387" s="2324"/>
      <c r="R387" s="2325"/>
      <c r="S387" s="2324"/>
      <c r="T387" s="2324"/>
      <c r="U387" s="2326"/>
      <c r="V387" s="2327"/>
      <c r="W387" s="2327"/>
      <c r="X387" s="2327"/>
      <c r="Y387" s="2327"/>
      <c r="Z387" s="2327"/>
      <c r="AA387" s="2328"/>
      <c r="AB387" s="2329"/>
      <c r="AC387" s="2326"/>
      <c r="AD387" s="2330">
        <f t="shared" si="248"/>
        <v>0</v>
      </c>
      <c r="AE387" s="2330"/>
      <c r="AF387" s="2330"/>
      <c r="AG387" s="2330">
        <f t="shared" si="228"/>
        <v>0</v>
      </c>
      <c r="AH387" s="2330"/>
      <c r="AI387" s="2330"/>
      <c r="AJ387" s="2330">
        <f t="shared" si="249"/>
        <v>0</v>
      </c>
      <c r="AK387" s="2330"/>
      <c r="AL387" s="2330"/>
      <c r="AM387" s="2331">
        <f t="shared" si="222"/>
        <v>0</v>
      </c>
      <c r="AN387" s="2331"/>
      <c r="AO387" s="2331"/>
      <c r="AP387" s="2331"/>
      <c r="AQ387" s="2332">
        <f t="shared" si="250"/>
        <v>0</v>
      </c>
      <c r="AR387" s="2332"/>
      <c r="AS387" s="2332"/>
      <c r="AT387" s="2332">
        <f t="shared" si="251"/>
        <v>0</v>
      </c>
      <c r="AV387" s="151" t="str">
        <f t="shared" si="217"/>
        <v>DECKING AND PATIOS</v>
      </c>
      <c r="AW387" s="681"/>
      <c r="AX387" s="230"/>
      <c r="AY387" s="230"/>
      <c r="AZ387" s="679"/>
      <c r="BA387" s="49">
        <f t="shared" si="252"/>
        <v>0</v>
      </c>
      <c r="BB387" s="49">
        <f t="shared" si="253"/>
        <v>0</v>
      </c>
      <c r="BC387" s="49">
        <f t="shared" si="254"/>
        <v>0</v>
      </c>
      <c r="BD387" s="49">
        <f t="shared" si="255"/>
        <v>0</v>
      </c>
      <c r="BE387" s="49">
        <f t="shared" si="234"/>
        <v>0</v>
      </c>
      <c r="BF387" s="49">
        <f t="shared" si="256"/>
        <v>0</v>
      </c>
      <c r="BG387" s="49">
        <f t="shared" si="257"/>
        <v>0</v>
      </c>
      <c r="BI387" s="134">
        <f t="shared" si="258"/>
        <v>0</v>
      </c>
      <c r="BJ387" s="134">
        <f t="shared" si="259"/>
        <v>0</v>
      </c>
      <c r="BK387" s="134">
        <f t="shared" si="260"/>
        <v>0</v>
      </c>
    </row>
    <row r="388" spans="1:63" ht="17.25" hidden="1" customHeight="1">
      <c r="A388" s="187"/>
      <c r="B388" s="2321"/>
      <c r="C388" s="2322"/>
      <c r="D388" s="2334"/>
      <c r="E388" s="2334"/>
      <c r="F388" s="2334"/>
      <c r="G388" s="2334"/>
      <c r="H388" s="2334"/>
      <c r="I388" s="2334"/>
      <c r="J388" s="2334"/>
      <c r="K388" s="2334"/>
      <c r="L388" s="2334"/>
      <c r="M388" s="2334"/>
      <c r="N388" s="2334"/>
      <c r="O388" s="2334"/>
      <c r="P388" s="2324"/>
      <c r="Q388" s="2324"/>
      <c r="R388" s="2325"/>
      <c r="S388" s="2324"/>
      <c r="T388" s="2324"/>
      <c r="U388" s="2326"/>
      <c r="V388" s="2327"/>
      <c r="W388" s="2327"/>
      <c r="X388" s="2327"/>
      <c r="Y388" s="2327"/>
      <c r="Z388" s="2327"/>
      <c r="AA388" s="2328"/>
      <c r="AB388" s="2329"/>
      <c r="AC388" s="2326"/>
      <c r="AD388" s="2330">
        <f t="shared" si="248"/>
        <v>0</v>
      </c>
      <c r="AE388" s="2330"/>
      <c r="AF388" s="2330"/>
      <c r="AG388" s="2330">
        <f t="shared" si="228"/>
        <v>0</v>
      </c>
      <c r="AH388" s="2330"/>
      <c r="AI388" s="2330"/>
      <c r="AJ388" s="2330">
        <f t="shared" si="249"/>
        <v>0</v>
      </c>
      <c r="AK388" s="2330"/>
      <c r="AL388" s="2330"/>
      <c r="AM388" s="2331">
        <f t="shared" si="222"/>
        <v>0</v>
      </c>
      <c r="AN388" s="2331"/>
      <c r="AO388" s="2331"/>
      <c r="AP388" s="2331"/>
      <c r="AQ388" s="2332">
        <f t="shared" si="250"/>
        <v>0</v>
      </c>
      <c r="AR388" s="2332"/>
      <c r="AS388" s="2332"/>
      <c r="AT388" s="2332">
        <f t="shared" si="251"/>
        <v>0</v>
      </c>
      <c r="AV388" s="151" t="str">
        <f t="shared" si="217"/>
        <v>DECKING AND PATIOS</v>
      </c>
      <c r="AW388" s="681"/>
      <c r="AX388" s="230"/>
      <c r="AY388" s="230"/>
      <c r="AZ388" s="679"/>
      <c r="BA388" s="49">
        <f t="shared" si="252"/>
        <v>0</v>
      </c>
      <c r="BB388" s="49">
        <f t="shared" si="253"/>
        <v>0</v>
      </c>
      <c r="BC388" s="49">
        <f t="shared" si="254"/>
        <v>0</v>
      </c>
      <c r="BD388" s="49">
        <f t="shared" si="255"/>
        <v>0</v>
      </c>
      <c r="BE388" s="49">
        <f t="shared" si="234"/>
        <v>0</v>
      </c>
      <c r="BF388" s="49">
        <f t="shared" si="256"/>
        <v>0</v>
      </c>
      <c r="BG388" s="49">
        <f t="shared" si="257"/>
        <v>0</v>
      </c>
      <c r="BI388" s="134">
        <f t="shared" si="258"/>
        <v>0</v>
      </c>
      <c r="BJ388" s="134">
        <f t="shared" si="259"/>
        <v>0</v>
      </c>
      <c r="BK388" s="134">
        <f t="shared" si="260"/>
        <v>0</v>
      </c>
    </row>
    <row r="389" spans="1:63" ht="17.25" hidden="1" customHeight="1">
      <c r="A389" s="187"/>
      <c r="B389" s="2321"/>
      <c r="C389" s="2322"/>
      <c r="D389" s="2334"/>
      <c r="E389" s="2334"/>
      <c r="F389" s="2334"/>
      <c r="G389" s="2334"/>
      <c r="H389" s="2334"/>
      <c r="I389" s="2334"/>
      <c r="J389" s="2334"/>
      <c r="K389" s="2334"/>
      <c r="L389" s="2334"/>
      <c r="M389" s="2334"/>
      <c r="N389" s="2334"/>
      <c r="O389" s="2334"/>
      <c r="P389" s="2324"/>
      <c r="Q389" s="2324"/>
      <c r="R389" s="2325"/>
      <c r="S389" s="2324"/>
      <c r="T389" s="2324"/>
      <c r="U389" s="2326"/>
      <c r="V389" s="2327"/>
      <c r="W389" s="2327"/>
      <c r="X389" s="2327"/>
      <c r="Y389" s="2327"/>
      <c r="Z389" s="2327"/>
      <c r="AA389" s="2328"/>
      <c r="AB389" s="2329"/>
      <c r="AC389" s="2326"/>
      <c r="AD389" s="2330">
        <f t="shared" si="248"/>
        <v>0</v>
      </c>
      <c r="AE389" s="2330"/>
      <c r="AF389" s="2330"/>
      <c r="AG389" s="2330">
        <f t="shared" si="228"/>
        <v>0</v>
      </c>
      <c r="AH389" s="2330"/>
      <c r="AI389" s="2330"/>
      <c r="AJ389" s="2330">
        <f t="shared" si="249"/>
        <v>0</v>
      </c>
      <c r="AK389" s="2330"/>
      <c r="AL389" s="2330"/>
      <c r="AM389" s="2331">
        <f t="shared" si="222"/>
        <v>0</v>
      </c>
      <c r="AN389" s="2331"/>
      <c r="AO389" s="2331"/>
      <c r="AP389" s="2331"/>
      <c r="AQ389" s="2332">
        <f t="shared" si="250"/>
        <v>0</v>
      </c>
      <c r="AR389" s="2332"/>
      <c r="AS389" s="2332"/>
      <c r="AT389" s="2332">
        <f t="shared" si="251"/>
        <v>0</v>
      </c>
      <c r="AV389" s="151" t="str">
        <f t="shared" si="217"/>
        <v>DECKING AND PATIOS</v>
      </c>
      <c r="AW389" s="681"/>
      <c r="AX389" s="230"/>
      <c r="AY389" s="230"/>
      <c r="AZ389" s="679"/>
      <c r="BA389" s="49">
        <f t="shared" si="252"/>
        <v>0</v>
      </c>
      <c r="BB389" s="49">
        <f t="shared" si="253"/>
        <v>0</v>
      </c>
      <c r="BC389" s="49">
        <f t="shared" si="254"/>
        <v>0</v>
      </c>
      <c r="BD389" s="49">
        <f t="shared" si="255"/>
        <v>0</v>
      </c>
      <c r="BE389" s="49">
        <f t="shared" si="234"/>
        <v>0</v>
      </c>
      <c r="BF389" s="49">
        <f t="shared" si="256"/>
        <v>0</v>
      </c>
      <c r="BG389" s="49">
        <f t="shared" si="257"/>
        <v>0</v>
      </c>
      <c r="BI389" s="134">
        <f t="shared" si="258"/>
        <v>0</v>
      </c>
      <c r="BJ389" s="134">
        <f t="shared" si="259"/>
        <v>0</v>
      </c>
      <c r="BK389" s="134">
        <f t="shared" si="260"/>
        <v>0</v>
      </c>
    </row>
    <row r="390" spans="1:63" ht="17.25" hidden="1" customHeight="1">
      <c r="A390" s="187"/>
      <c r="B390" s="2321"/>
      <c r="C390" s="2322"/>
      <c r="D390" s="2334"/>
      <c r="E390" s="2334"/>
      <c r="F390" s="2334"/>
      <c r="G390" s="2334"/>
      <c r="H390" s="2334"/>
      <c r="I390" s="2334"/>
      <c r="J390" s="2334"/>
      <c r="K390" s="2334"/>
      <c r="L390" s="2334"/>
      <c r="M390" s="2334"/>
      <c r="N390" s="2334"/>
      <c r="O390" s="2334"/>
      <c r="P390" s="2324"/>
      <c r="Q390" s="2324"/>
      <c r="R390" s="2325"/>
      <c r="S390" s="2324"/>
      <c r="T390" s="2324"/>
      <c r="U390" s="2326"/>
      <c r="V390" s="2327"/>
      <c r="W390" s="2327"/>
      <c r="X390" s="2327"/>
      <c r="Y390" s="2327"/>
      <c r="Z390" s="2327"/>
      <c r="AA390" s="2328"/>
      <c r="AB390" s="2329"/>
      <c r="AC390" s="2326"/>
      <c r="AD390" s="2330">
        <f t="shared" si="248"/>
        <v>0</v>
      </c>
      <c r="AE390" s="2330"/>
      <c r="AF390" s="2330"/>
      <c r="AG390" s="2330">
        <f t="shared" si="228"/>
        <v>0</v>
      </c>
      <c r="AH390" s="2330"/>
      <c r="AI390" s="2330"/>
      <c r="AJ390" s="2330">
        <f t="shared" si="249"/>
        <v>0</v>
      </c>
      <c r="AK390" s="2330"/>
      <c r="AL390" s="2330"/>
      <c r="AM390" s="2331">
        <f t="shared" si="222"/>
        <v>0</v>
      </c>
      <c r="AN390" s="2331"/>
      <c r="AO390" s="2331"/>
      <c r="AP390" s="2331"/>
      <c r="AQ390" s="2332">
        <f t="shared" si="250"/>
        <v>0</v>
      </c>
      <c r="AR390" s="2332"/>
      <c r="AS390" s="2332"/>
      <c r="AT390" s="2332">
        <f t="shared" si="251"/>
        <v>0</v>
      </c>
      <c r="AV390" s="151" t="str">
        <f t="shared" si="217"/>
        <v>DECKING AND PATIOS</v>
      </c>
      <c r="AW390" s="681"/>
      <c r="AX390" s="230"/>
      <c r="AY390" s="230"/>
      <c r="AZ390" s="679"/>
      <c r="BA390" s="49">
        <f t="shared" si="252"/>
        <v>0</v>
      </c>
      <c r="BB390" s="49">
        <f t="shared" si="253"/>
        <v>0</v>
      </c>
      <c r="BC390" s="49">
        <f t="shared" si="254"/>
        <v>0</v>
      </c>
      <c r="BD390" s="49">
        <f t="shared" si="255"/>
        <v>0</v>
      </c>
      <c r="BE390" s="49">
        <f t="shared" si="234"/>
        <v>0</v>
      </c>
      <c r="BF390" s="49">
        <f t="shared" si="256"/>
        <v>0</v>
      </c>
      <c r="BG390" s="49">
        <f t="shared" si="257"/>
        <v>0</v>
      </c>
      <c r="BI390" s="134">
        <f t="shared" si="258"/>
        <v>0</v>
      </c>
      <c r="BJ390" s="134">
        <f t="shared" si="259"/>
        <v>0</v>
      </c>
      <c r="BK390" s="134">
        <f t="shared" si="260"/>
        <v>0</v>
      </c>
    </row>
    <row r="391" spans="1:63" ht="17.25" hidden="1" customHeight="1">
      <c r="A391" s="187"/>
      <c r="B391" s="2321"/>
      <c r="C391" s="2322"/>
      <c r="D391" s="2334"/>
      <c r="E391" s="2334"/>
      <c r="F391" s="2334"/>
      <c r="G391" s="2334"/>
      <c r="H391" s="2334"/>
      <c r="I391" s="2334"/>
      <c r="J391" s="2334"/>
      <c r="K391" s="2334"/>
      <c r="L391" s="2334"/>
      <c r="M391" s="2334"/>
      <c r="N391" s="2334"/>
      <c r="O391" s="2334"/>
      <c r="P391" s="2324"/>
      <c r="Q391" s="2324"/>
      <c r="R391" s="2325"/>
      <c r="S391" s="2324"/>
      <c r="T391" s="2324"/>
      <c r="U391" s="2326"/>
      <c r="V391" s="2327"/>
      <c r="W391" s="2327"/>
      <c r="X391" s="2327"/>
      <c r="Y391" s="2327"/>
      <c r="Z391" s="2327"/>
      <c r="AA391" s="2328"/>
      <c r="AB391" s="2329"/>
      <c r="AC391" s="2326"/>
      <c r="AD391" s="2330">
        <f t="shared" si="248"/>
        <v>0</v>
      </c>
      <c r="AE391" s="2330"/>
      <c r="AF391" s="2330"/>
      <c r="AG391" s="2330">
        <f t="shared" si="228"/>
        <v>0</v>
      </c>
      <c r="AH391" s="2330"/>
      <c r="AI391" s="2330"/>
      <c r="AJ391" s="2330">
        <f t="shared" si="249"/>
        <v>0</v>
      </c>
      <c r="AK391" s="2330"/>
      <c r="AL391" s="2330"/>
      <c r="AM391" s="2331">
        <f t="shared" si="222"/>
        <v>0</v>
      </c>
      <c r="AN391" s="2331"/>
      <c r="AO391" s="2331"/>
      <c r="AP391" s="2331"/>
      <c r="AQ391" s="2332">
        <f t="shared" si="250"/>
        <v>0</v>
      </c>
      <c r="AR391" s="2332"/>
      <c r="AS391" s="2332"/>
      <c r="AT391" s="2332">
        <f t="shared" si="251"/>
        <v>0</v>
      </c>
      <c r="AV391" s="151" t="str">
        <f t="shared" si="217"/>
        <v>DECKING AND PATIOS</v>
      </c>
      <c r="AW391" s="681"/>
      <c r="AX391" s="230"/>
      <c r="AY391" s="230"/>
      <c r="AZ391" s="679"/>
      <c r="BA391" s="49">
        <f t="shared" si="252"/>
        <v>0</v>
      </c>
      <c r="BB391" s="49">
        <f t="shared" si="253"/>
        <v>0</v>
      </c>
      <c r="BC391" s="49">
        <f t="shared" si="254"/>
        <v>0</v>
      </c>
      <c r="BD391" s="49">
        <f t="shared" si="255"/>
        <v>0</v>
      </c>
      <c r="BE391" s="49">
        <f t="shared" si="234"/>
        <v>0</v>
      </c>
      <c r="BF391" s="49">
        <f t="shared" si="256"/>
        <v>0</v>
      </c>
      <c r="BG391" s="49">
        <f t="shared" si="257"/>
        <v>0</v>
      </c>
      <c r="BI391" s="134">
        <f t="shared" si="258"/>
        <v>0</v>
      </c>
      <c r="BJ391" s="134">
        <f t="shared" si="259"/>
        <v>0</v>
      </c>
      <c r="BK391" s="134">
        <f t="shared" si="260"/>
        <v>0</v>
      </c>
    </row>
    <row r="392" spans="1:63" ht="17.25" hidden="1" customHeight="1">
      <c r="A392" s="187"/>
      <c r="B392" s="2321"/>
      <c r="C392" s="2322"/>
      <c r="D392" s="2334"/>
      <c r="E392" s="2334"/>
      <c r="F392" s="2334"/>
      <c r="G392" s="2334"/>
      <c r="H392" s="2334"/>
      <c r="I392" s="2334"/>
      <c r="J392" s="2334"/>
      <c r="K392" s="2334"/>
      <c r="L392" s="2334"/>
      <c r="M392" s="2334"/>
      <c r="N392" s="2334"/>
      <c r="O392" s="2334"/>
      <c r="P392" s="2324"/>
      <c r="Q392" s="2324"/>
      <c r="R392" s="2325"/>
      <c r="S392" s="2324"/>
      <c r="T392" s="2324"/>
      <c r="U392" s="2326"/>
      <c r="V392" s="2327"/>
      <c r="W392" s="2327"/>
      <c r="X392" s="2327"/>
      <c r="Y392" s="2327"/>
      <c r="Z392" s="2327"/>
      <c r="AA392" s="2328"/>
      <c r="AB392" s="2329"/>
      <c r="AC392" s="2326"/>
      <c r="AD392" s="2330">
        <f t="shared" si="248"/>
        <v>0</v>
      </c>
      <c r="AE392" s="2330"/>
      <c r="AF392" s="2330"/>
      <c r="AG392" s="2330">
        <f t="shared" si="228"/>
        <v>0</v>
      </c>
      <c r="AH392" s="2330"/>
      <c r="AI392" s="2330"/>
      <c r="AJ392" s="2330">
        <f t="shared" si="249"/>
        <v>0</v>
      </c>
      <c r="AK392" s="2330"/>
      <c r="AL392" s="2330"/>
      <c r="AM392" s="2331">
        <f t="shared" si="222"/>
        <v>0</v>
      </c>
      <c r="AN392" s="2331"/>
      <c r="AO392" s="2331"/>
      <c r="AP392" s="2331"/>
      <c r="AQ392" s="2332">
        <f t="shared" si="250"/>
        <v>0</v>
      </c>
      <c r="AR392" s="2332"/>
      <c r="AS392" s="2332"/>
      <c r="AT392" s="2332">
        <f t="shared" si="251"/>
        <v>0</v>
      </c>
      <c r="AV392" s="151" t="str">
        <f t="shared" si="217"/>
        <v>DECKING AND PATIOS</v>
      </c>
      <c r="AW392" s="681"/>
      <c r="AX392" s="230"/>
      <c r="AY392" s="230"/>
      <c r="AZ392" s="679"/>
      <c r="BA392" s="49">
        <f t="shared" si="252"/>
        <v>0</v>
      </c>
      <c r="BB392" s="49">
        <f t="shared" si="253"/>
        <v>0</v>
      </c>
      <c r="BC392" s="49">
        <f t="shared" si="254"/>
        <v>0</v>
      </c>
      <c r="BD392" s="49">
        <f t="shared" si="255"/>
        <v>0</v>
      </c>
      <c r="BE392" s="49">
        <f t="shared" si="234"/>
        <v>0</v>
      </c>
      <c r="BF392" s="49">
        <f t="shared" si="256"/>
        <v>0</v>
      </c>
      <c r="BG392" s="49">
        <f t="shared" si="257"/>
        <v>0</v>
      </c>
      <c r="BI392" s="134">
        <f t="shared" si="258"/>
        <v>0</v>
      </c>
      <c r="BJ392" s="134">
        <f t="shared" si="259"/>
        <v>0</v>
      </c>
      <c r="BK392" s="134">
        <f t="shared" si="260"/>
        <v>0</v>
      </c>
    </row>
    <row r="393" spans="1:63" ht="17.25" hidden="1" customHeight="1">
      <c r="A393" s="187"/>
      <c r="B393" s="2321"/>
      <c r="C393" s="2322"/>
      <c r="D393" s="2334"/>
      <c r="E393" s="2334"/>
      <c r="F393" s="2334"/>
      <c r="G393" s="2334"/>
      <c r="H393" s="2334"/>
      <c r="I393" s="2334"/>
      <c r="J393" s="2334"/>
      <c r="K393" s="2334"/>
      <c r="L393" s="2334"/>
      <c r="M393" s="2334"/>
      <c r="N393" s="2334"/>
      <c r="O393" s="2334"/>
      <c r="P393" s="2324"/>
      <c r="Q393" s="2324"/>
      <c r="R393" s="2325"/>
      <c r="S393" s="2324"/>
      <c r="T393" s="2324"/>
      <c r="U393" s="2326"/>
      <c r="V393" s="2327"/>
      <c r="W393" s="2327"/>
      <c r="X393" s="2327"/>
      <c r="Y393" s="2327"/>
      <c r="Z393" s="2327"/>
      <c r="AA393" s="2328"/>
      <c r="AB393" s="2329"/>
      <c r="AC393" s="2326"/>
      <c r="AD393" s="2330">
        <f t="shared" si="248"/>
        <v>0</v>
      </c>
      <c r="AE393" s="2330"/>
      <c r="AF393" s="2330"/>
      <c r="AG393" s="2330">
        <f t="shared" si="228"/>
        <v>0</v>
      </c>
      <c r="AH393" s="2330"/>
      <c r="AI393" s="2330"/>
      <c r="AJ393" s="2330">
        <f t="shared" si="249"/>
        <v>0</v>
      </c>
      <c r="AK393" s="2330"/>
      <c r="AL393" s="2330"/>
      <c r="AM393" s="2331">
        <f t="shared" si="222"/>
        <v>0</v>
      </c>
      <c r="AN393" s="2331"/>
      <c r="AO393" s="2331"/>
      <c r="AP393" s="2331"/>
      <c r="AQ393" s="2332">
        <f t="shared" si="250"/>
        <v>0</v>
      </c>
      <c r="AR393" s="2332"/>
      <c r="AS393" s="2332"/>
      <c r="AT393" s="2332">
        <f t="shared" si="251"/>
        <v>0</v>
      </c>
      <c r="AV393" s="151" t="str">
        <f t="shared" si="217"/>
        <v>DECKING AND PATIOS</v>
      </c>
      <c r="AW393" s="681"/>
      <c r="AX393" s="230"/>
      <c r="AY393" s="230"/>
      <c r="AZ393" s="679"/>
      <c r="BA393" s="49">
        <f t="shared" si="252"/>
        <v>0</v>
      </c>
      <c r="BB393" s="49">
        <f t="shared" si="253"/>
        <v>0</v>
      </c>
      <c r="BC393" s="49">
        <f t="shared" si="254"/>
        <v>0</v>
      </c>
      <c r="BD393" s="49">
        <f t="shared" si="255"/>
        <v>0</v>
      </c>
      <c r="BE393" s="49">
        <f t="shared" si="234"/>
        <v>0</v>
      </c>
      <c r="BF393" s="49">
        <f t="shared" si="256"/>
        <v>0</v>
      </c>
      <c r="BG393" s="49">
        <f t="shared" si="257"/>
        <v>0</v>
      </c>
      <c r="BI393" s="134">
        <f t="shared" si="258"/>
        <v>0</v>
      </c>
      <c r="BJ393" s="134">
        <f t="shared" si="259"/>
        <v>0</v>
      </c>
      <c r="BK393" s="134">
        <f t="shared" si="260"/>
        <v>0</v>
      </c>
    </row>
    <row r="394" spans="1:63" ht="17.25" hidden="1" customHeight="1">
      <c r="A394" s="187"/>
      <c r="B394" s="2321"/>
      <c r="C394" s="2322"/>
      <c r="D394" s="2334"/>
      <c r="E394" s="2334"/>
      <c r="F394" s="2334"/>
      <c r="G394" s="2334"/>
      <c r="H394" s="2334"/>
      <c r="I394" s="2334"/>
      <c r="J394" s="2334"/>
      <c r="K394" s="2334"/>
      <c r="L394" s="2334"/>
      <c r="M394" s="2334"/>
      <c r="N394" s="2334"/>
      <c r="O394" s="2334"/>
      <c r="P394" s="2324"/>
      <c r="Q394" s="2324"/>
      <c r="R394" s="2325"/>
      <c r="S394" s="2324"/>
      <c r="T394" s="2324"/>
      <c r="U394" s="2326"/>
      <c r="V394" s="2327"/>
      <c r="W394" s="2327"/>
      <c r="X394" s="2327"/>
      <c r="Y394" s="2327"/>
      <c r="Z394" s="2327"/>
      <c r="AA394" s="2328"/>
      <c r="AB394" s="2329"/>
      <c r="AC394" s="2326"/>
      <c r="AD394" s="2330">
        <f t="shared" si="248"/>
        <v>0</v>
      </c>
      <c r="AE394" s="2330"/>
      <c r="AF394" s="2330"/>
      <c r="AG394" s="2330">
        <f t="shared" si="228"/>
        <v>0</v>
      </c>
      <c r="AH394" s="2330"/>
      <c r="AI394" s="2330"/>
      <c r="AJ394" s="2330">
        <f t="shared" si="249"/>
        <v>0</v>
      </c>
      <c r="AK394" s="2330"/>
      <c r="AL394" s="2330"/>
      <c r="AM394" s="2331">
        <f t="shared" si="222"/>
        <v>0</v>
      </c>
      <c r="AN394" s="2331"/>
      <c r="AO394" s="2331"/>
      <c r="AP394" s="2331"/>
      <c r="AQ394" s="2332">
        <f t="shared" si="250"/>
        <v>0</v>
      </c>
      <c r="AR394" s="2332"/>
      <c r="AS394" s="2332"/>
      <c r="AT394" s="2332">
        <f t="shared" si="251"/>
        <v>0</v>
      </c>
      <c r="AV394" s="151" t="str">
        <f t="shared" si="217"/>
        <v>DECKING AND PATIOS</v>
      </c>
      <c r="AW394" s="681"/>
      <c r="AX394" s="230"/>
      <c r="AY394" s="230"/>
      <c r="AZ394" s="679"/>
      <c r="BA394" s="49">
        <f t="shared" si="252"/>
        <v>0</v>
      </c>
      <c r="BB394" s="49">
        <f t="shared" si="253"/>
        <v>0</v>
      </c>
      <c r="BC394" s="49">
        <f t="shared" si="254"/>
        <v>0</v>
      </c>
      <c r="BD394" s="49">
        <f t="shared" si="255"/>
        <v>0</v>
      </c>
      <c r="BE394" s="49">
        <f t="shared" si="234"/>
        <v>0</v>
      </c>
      <c r="BF394" s="49">
        <f t="shared" si="256"/>
        <v>0</v>
      </c>
      <c r="BG394" s="49">
        <f t="shared" si="257"/>
        <v>0</v>
      </c>
      <c r="BI394" s="134">
        <f t="shared" si="258"/>
        <v>0</v>
      </c>
      <c r="BJ394" s="134">
        <f t="shared" si="259"/>
        <v>0</v>
      </c>
      <c r="BK394" s="134">
        <f t="shared" si="260"/>
        <v>0</v>
      </c>
    </row>
    <row r="395" spans="1:63" ht="17.25" hidden="1" customHeight="1">
      <c r="A395" s="187"/>
      <c r="B395" s="2321"/>
      <c r="C395" s="2322"/>
      <c r="D395" s="2334"/>
      <c r="E395" s="2334"/>
      <c r="F395" s="2334"/>
      <c r="G395" s="2334"/>
      <c r="H395" s="2334"/>
      <c r="I395" s="2334"/>
      <c r="J395" s="2334"/>
      <c r="K395" s="2334"/>
      <c r="L395" s="2334"/>
      <c r="M395" s="2334"/>
      <c r="N395" s="2334"/>
      <c r="O395" s="2334"/>
      <c r="P395" s="2324"/>
      <c r="Q395" s="2324"/>
      <c r="R395" s="2325"/>
      <c r="S395" s="2324"/>
      <c r="T395" s="2324"/>
      <c r="U395" s="2326"/>
      <c r="V395" s="2327"/>
      <c r="W395" s="2327"/>
      <c r="X395" s="2327"/>
      <c r="Y395" s="2327"/>
      <c r="Z395" s="2327"/>
      <c r="AA395" s="2328"/>
      <c r="AB395" s="2329"/>
      <c r="AC395" s="2326"/>
      <c r="AD395" s="2330">
        <f t="shared" si="248"/>
        <v>0</v>
      </c>
      <c r="AE395" s="2330"/>
      <c r="AF395" s="2330"/>
      <c r="AG395" s="2330">
        <f t="shared" si="228"/>
        <v>0</v>
      </c>
      <c r="AH395" s="2330"/>
      <c r="AI395" s="2330"/>
      <c r="AJ395" s="2330">
        <f t="shared" si="249"/>
        <v>0</v>
      </c>
      <c r="AK395" s="2330"/>
      <c r="AL395" s="2330"/>
      <c r="AM395" s="2331">
        <f t="shared" si="222"/>
        <v>0</v>
      </c>
      <c r="AN395" s="2331"/>
      <c r="AO395" s="2331"/>
      <c r="AP395" s="2331"/>
      <c r="AQ395" s="2332">
        <f t="shared" si="250"/>
        <v>0</v>
      </c>
      <c r="AR395" s="2332"/>
      <c r="AS395" s="2332"/>
      <c r="AT395" s="2332">
        <f t="shared" si="251"/>
        <v>0</v>
      </c>
      <c r="AV395" s="151" t="str">
        <f t="shared" si="217"/>
        <v>DECKING AND PATIOS</v>
      </c>
      <c r="AW395" s="681"/>
      <c r="AX395" s="230"/>
      <c r="AY395" s="230"/>
      <c r="AZ395" s="679"/>
      <c r="BA395" s="49">
        <f t="shared" si="252"/>
        <v>0</v>
      </c>
      <c r="BB395" s="49">
        <f t="shared" si="253"/>
        <v>0</v>
      </c>
      <c r="BC395" s="49">
        <f t="shared" si="254"/>
        <v>0</v>
      </c>
      <c r="BD395" s="49">
        <f t="shared" si="255"/>
        <v>0</v>
      </c>
      <c r="BE395" s="49">
        <f t="shared" si="234"/>
        <v>0</v>
      </c>
      <c r="BF395" s="49">
        <f t="shared" si="256"/>
        <v>0</v>
      </c>
      <c r="BG395" s="49">
        <f t="shared" si="257"/>
        <v>0</v>
      </c>
      <c r="BI395" s="134">
        <f t="shared" si="258"/>
        <v>0</v>
      </c>
      <c r="BJ395" s="134">
        <f t="shared" si="259"/>
        <v>0</v>
      </c>
      <c r="BK395" s="134">
        <f t="shared" si="260"/>
        <v>0</v>
      </c>
    </row>
    <row r="396" spans="1:63" ht="17.25" hidden="1" customHeight="1">
      <c r="A396" s="187"/>
      <c r="B396" s="2321"/>
      <c r="C396" s="2322"/>
      <c r="D396" s="2334"/>
      <c r="E396" s="2334"/>
      <c r="F396" s="2334"/>
      <c r="G396" s="2334"/>
      <c r="H396" s="2334"/>
      <c r="I396" s="2334"/>
      <c r="J396" s="2334"/>
      <c r="K396" s="2334"/>
      <c r="L396" s="2334"/>
      <c r="M396" s="2334"/>
      <c r="N396" s="2334"/>
      <c r="O396" s="2334"/>
      <c r="P396" s="2324"/>
      <c r="Q396" s="2324"/>
      <c r="R396" s="2325"/>
      <c r="S396" s="2324"/>
      <c r="T396" s="2324"/>
      <c r="U396" s="2326"/>
      <c r="V396" s="2327"/>
      <c r="W396" s="2327"/>
      <c r="X396" s="2327"/>
      <c r="Y396" s="2327"/>
      <c r="Z396" s="2327"/>
      <c r="AA396" s="2328"/>
      <c r="AB396" s="2329"/>
      <c r="AC396" s="2326"/>
      <c r="AD396" s="2330">
        <f t="shared" si="248"/>
        <v>0</v>
      </c>
      <c r="AE396" s="2330"/>
      <c r="AF396" s="2330"/>
      <c r="AG396" s="2330">
        <f t="shared" si="228"/>
        <v>0</v>
      </c>
      <c r="AH396" s="2330"/>
      <c r="AI396" s="2330"/>
      <c r="AJ396" s="2330">
        <f t="shared" si="249"/>
        <v>0</v>
      </c>
      <c r="AK396" s="2330"/>
      <c r="AL396" s="2330"/>
      <c r="AM396" s="2331">
        <f t="shared" si="222"/>
        <v>0</v>
      </c>
      <c r="AN396" s="2331"/>
      <c r="AO396" s="2331"/>
      <c r="AP396" s="2331"/>
      <c r="AQ396" s="2332">
        <f t="shared" si="250"/>
        <v>0</v>
      </c>
      <c r="AR396" s="2332"/>
      <c r="AS396" s="2332"/>
      <c r="AT396" s="2332">
        <f t="shared" si="251"/>
        <v>0</v>
      </c>
      <c r="AV396" s="151" t="str">
        <f t="shared" si="217"/>
        <v>DECKING AND PATIOS</v>
      </c>
      <c r="AW396" s="681"/>
      <c r="AX396" s="230"/>
      <c r="AY396" s="230"/>
      <c r="AZ396" s="679"/>
      <c r="BA396" s="49">
        <f t="shared" si="252"/>
        <v>0</v>
      </c>
      <c r="BB396" s="49">
        <f t="shared" si="253"/>
        <v>0</v>
      </c>
      <c r="BC396" s="49">
        <f t="shared" si="254"/>
        <v>0</v>
      </c>
      <c r="BD396" s="49">
        <f t="shared" si="255"/>
        <v>0</v>
      </c>
      <c r="BE396" s="49">
        <f t="shared" si="234"/>
        <v>0</v>
      </c>
      <c r="BF396" s="49">
        <f t="shared" si="256"/>
        <v>0</v>
      </c>
      <c r="BG396" s="49">
        <f t="shared" si="257"/>
        <v>0</v>
      </c>
      <c r="BI396" s="134">
        <f t="shared" si="258"/>
        <v>0</v>
      </c>
      <c r="BJ396" s="134">
        <f t="shared" si="259"/>
        <v>0</v>
      </c>
      <c r="BK396" s="134">
        <f t="shared" si="260"/>
        <v>0</v>
      </c>
    </row>
    <row r="397" spans="1:63" ht="17.25" hidden="1" customHeight="1">
      <c r="A397" s="187"/>
      <c r="B397" s="2321"/>
      <c r="C397" s="2322"/>
      <c r="D397" s="2334"/>
      <c r="E397" s="2334"/>
      <c r="F397" s="2334"/>
      <c r="G397" s="2334"/>
      <c r="H397" s="2334"/>
      <c r="I397" s="2334"/>
      <c r="J397" s="2334"/>
      <c r="K397" s="2334"/>
      <c r="L397" s="2334"/>
      <c r="M397" s="2334"/>
      <c r="N397" s="2334"/>
      <c r="O397" s="2334"/>
      <c r="P397" s="2324"/>
      <c r="Q397" s="2324"/>
      <c r="R397" s="2325"/>
      <c r="S397" s="2324"/>
      <c r="T397" s="2324"/>
      <c r="U397" s="2326"/>
      <c r="V397" s="2327"/>
      <c r="W397" s="2327"/>
      <c r="X397" s="2327"/>
      <c r="Y397" s="2327"/>
      <c r="Z397" s="2327"/>
      <c r="AA397" s="2328"/>
      <c r="AB397" s="2329"/>
      <c r="AC397" s="2326"/>
      <c r="AD397" s="2330">
        <f>((P397*U397)-AM397)</f>
        <v>0</v>
      </c>
      <c r="AE397" s="2330"/>
      <c r="AF397" s="2330"/>
      <c r="AG397" s="2330">
        <f t="shared" si="228"/>
        <v>0</v>
      </c>
      <c r="AH397" s="2330"/>
      <c r="AI397" s="2330"/>
      <c r="AJ397" s="2330">
        <f>P397*AA397</f>
        <v>0</v>
      </c>
      <c r="AK397" s="2330"/>
      <c r="AL397" s="2330"/>
      <c r="AM397" s="2331">
        <f t="shared" si="222"/>
        <v>0</v>
      </c>
      <c r="AN397" s="2331"/>
      <c r="AO397" s="2331"/>
      <c r="AP397" s="2331"/>
      <c r="AQ397" s="2332">
        <f>SUM(AD397:AL397)</f>
        <v>0</v>
      </c>
      <c r="AR397" s="2332"/>
      <c r="AS397" s="2332"/>
      <c r="AT397" s="2332">
        <f>SUM(AD397:AL397)</f>
        <v>0</v>
      </c>
      <c r="AV397" s="151" t="str">
        <f t="shared" si="217"/>
        <v>DECKING AND PATIOS</v>
      </c>
      <c r="AW397" s="681"/>
      <c r="AX397" s="230"/>
      <c r="AY397" s="230"/>
      <c r="AZ397" s="679"/>
      <c r="BA397" s="49">
        <f>AD397</f>
        <v>0</v>
      </c>
      <c r="BB397" s="49">
        <f>AG397</f>
        <v>0</v>
      </c>
      <c r="BC397" s="49">
        <f>AJ397</f>
        <v>0</v>
      </c>
      <c r="BD397" s="49">
        <f>IF(B397="x",1,0)</f>
        <v>0</v>
      </c>
      <c r="BE397" s="49">
        <f t="shared" si="234"/>
        <v>0</v>
      </c>
      <c r="BF397" s="49">
        <f>AQ397</f>
        <v>0</v>
      </c>
      <c r="BG397" s="49">
        <f>AM397</f>
        <v>0</v>
      </c>
      <c r="BI397" s="134">
        <f>AD397</f>
        <v>0</v>
      </c>
      <c r="BJ397" s="134">
        <f>AM397</f>
        <v>0</v>
      </c>
      <c r="BK397" s="134">
        <f>BJ397+BI397</f>
        <v>0</v>
      </c>
    </row>
    <row r="398" spans="1:63" ht="5.0999999999999996" hidden="1" customHeight="1">
      <c r="A398" s="187"/>
      <c r="B398" s="64"/>
      <c r="C398" s="64"/>
      <c r="D398" s="885"/>
      <c r="E398" s="885"/>
      <c r="F398" s="885"/>
      <c r="G398" s="885"/>
      <c r="H398" s="885"/>
      <c r="I398" s="885"/>
      <c r="J398" s="885"/>
      <c r="K398" s="885"/>
      <c r="L398" s="885"/>
      <c r="M398" s="885"/>
      <c r="N398" s="885"/>
      <c r="O398" s="885"/>
      <c r="P398" s="66"/>
      <c r="Q398" s="66"/>
      <c r="R398" s="66"/>
      <c r="S398" s="66"/>
      <c r="T398" s="66"/>
      <c r="U398" s="67"/>
      <c r="V398" s="67"/>
      <c r="W398" s="67"/>
      <c r="X398" s="67"/>
      <c r="Y398" s="67"/>
      <c r="Z398" s="67"/>
      <c r="AA398" s="67"/>
      <c r="AB398" s="67"/>
      <c r="AC398" s="67"/>
      <c r="AD398" s="68"/>
      <c r="AE398" s="68"/>
      <c r="AF398" s="68"/>
      <c r="AG398" s="68"/>
      <c r="AH398" s="68"/>
      <c r="AI398" s="68"/>
      <c r="AJ398" s="68"/>
      <c r="AK398" s="68"/>
      <c r="AL398" s="68"/>
      <c r="AM398" s="69"/>
      <c r="AN398" s="69"/>
      <c r="AO398" s="69"/>
      <c r="AP398" s="69"/>
      <c r="AQ398" s="661"/>
      <c r="AR398" s="661"/>
      <c r="AS398" s="661"/>
      <c r="AT398" s="661"/>
      <c r="AV398" s="369" t="str">
        <f t="shared" si="217"/>
        <v>DECKING AND PATIOS</v>
      </c>
      <c r="AW398" s="696"/>
      <c r="AX398" s="696"/>
      <c r="AY398" s="696"/>
      <c r="AZ398" s="369"/>
      <c r="BA398" s="75">
        <f>BA357</f>
        <v>0</v>
      </c>
      <c r="BB398" s="75">
        <f>BB357</f>
        <v>0</v>
      </c>
      <c r="BC398" s="75">
        <f>BC357</f>
        <v>0</v>
      </c>
      <c r="BD398" s="75">
        <f>BD357</f>
        <v>0</v>
      </c>
      <c r="BE398" s="75">
        <f>BE357</f>
        <v>0</v>
      </c>
      <c r="BF398" s="75"/>
      <c r="BG398" s="75"/>
      <c r="BI398" s="75"/>
      <c r="BJ398" s="75"/>
      <c r="BK398" s="75"/>
    </row>
    <row r="399" spans="1:63" ht="21.6" hidden="1" customHeight="1">
      <c r="A399" s="187"/>
      <c r="B399" s="2341"/>
      <c r="C399" s="2341"/>
      <c r="D399" s="886"/>
      <c r="E399" s="886"/>
      <c r="F399" s="886"/>
      <c r="G399" s="886"/>
      <c r="H399" s="886"/>
      <c r="I399" s="886"/>
      <c r="J399" s="886"/>
      <c r="K399" s="886"/>
      <c r="L399" s="886"/>
      <c r="M399" s="886"/>
      <c r="N399" s="886"/>
      <c r="O399" s="886"/>
      <c r="P399" s="37"/>
      <c r="Q399" s="37"/>
      <c r="R399" s="37"/>
      <c r="S399" s="37"/>
      <c r="T399" s="37"/>
      <c r="U399" s="37"/>
      <c r="V399" s="37"/>
      <c r="W399" s="37"/>
      <c r="X399" s="37"/>
      <c r="Y399" s="37"/>
      <c r="Z399" s="37"/>
      <c r="AA399" s="37"/>
      <c r="AB399" s="37"/>
      <c r="AC399" s="370" t="str">
        <f>CONCATENATE(D357," ","TOTAL")</f>
        <v>DECKING AND PATIOS TOTAL</v>
      </c>
      <c r="AD399" s="2342">
        <f>SUBTOTAL(9,AD358:AD398)</f>
        <v>0</v>
      </c>
      <c r="AE399" s="2342"/>
      <c r="AF399" s="2342"/>
      <c r="AG399" s="2342">
        <f>SUBTOTAL(9,AG358:AG398)</f>
        <v>0</v>
      </c>
      <c r="AH399" s="2342"/>
      <c r="AI399" s="2342"/>
      <c r="AJ399" s="2342">
        <f>SUBTOTAL(9,AJ358:AJ398)</f>
        <v>0</v>
      </c>
      <c r="AK399" s="2342"/>
      <c r="AL399" s="2342"/>
      <c r="AM399" s="2342">
        <f>SUBTOTAL(9,AM358:AM398)</f>
        <v>0</v>
      </c>
      <c r="AN399" s="2342"/>
      <c r="AO399" s="2342"/>
      <c r="AP399" s="2342"/>
      <c r="AQ399" s="2336">
        <f>SUBTOTAL(9,AQ358:AQ398)</f>
        <v>0</v>
      </c>
      <c r="AR399" s="2336"/>
      <c r="AS399" s="2336"/>
      <c r="AT399" s="2336" t="e">
        <f>SUM(AT355:AT390)</f>
        <v>#REF!</v>
      </c>
      <c r="AV399" s="151" t="str">
        <f t="shared" si="217"/>
        <v>DECKING AND PATIOS</v>
      </c>
      <c r="AW399" s="682"/>
      <c r="AX399" s="695"/>
      <c r="AY399" s="695"/>
      <c r="AZ399" s="274"/>
      <c r="BA399" s="74">
        <f>BA357</f>
        <v>0</v>
      </c>
      <c r="BB399" s="74">
        <f>BB357</f>
        <v>0</v>
      </c>
      <c r="BC399" s="74">
        <f>BC357</f>
        <v>0</v>
      </c>
      <c r="BD399" s="74">
        <f>BD357</f>
        <v>0</v>
      </c>
      <c r="BE399" s="74">
        <f>BE357</f>
        <v>0</v>
      </c>
      <c r="BF399" s="74">
        <f>SUM(BF357:BF398)</f>
        <v>0</v>
      </c>
      <c r="BG399" s="49">
        <f>SUM(BG357:BG398)</f>
        <v>0</v>
      </c>
      <c r="BI399" s="74">
        <f>SUM(BI358:BI398)</f>
        <v>0</v>
      </c>
      <c r="BJ399" s="74">
        <f>SUM(BJ358:BJ398)</f>
        <v>0</v>
      </c>
      <c r="BK399" s="49">
        <f>SUM(BK358:BK398)</f>
        <v>0</v>
      </c>
    </row>
    <row r="400" spans="1:63" ht="5.0999999999999996" hidden="1" customHeight="1">
      <c r="A400" s="187"/>
      <c r="B400" s="64"/>
      <c r="C400" s="64"/>
      <c r="D400" s="885"/>
      <c r="E400" s="885"/>
      <c r="F400" s="885"/>
      <c r="G400" s="885"/>
      <c r="H400" s="885"/>
      <c r="I400" s="885"/>
      <c r="J400" s="885"/>
      <c r="K400" s="885"/>
      <c r="L400" s="885"/>
      <c r="M400" s="885"/>
      <c r="N400" s="885"/>
      <c r="O400" s="885"/>
      <c r="P400" s="66"/>
      <c r="Q400" s="66"/>
      <c r="R400" s="66"/>
      <c r="S400" s="66"/>
      <c r="T400" s="66"/>
      <c r="U400" s="67"/>
      <c r="V400" s="67"/>
      <c r="W400" s="67"/>
      <c r="X400" s="67"/>
      <c r="Y400" s="67"/>
      <c r="Z400" s="67"/>
      <c r="AA400" s="67"/>
      <c r="AB400" s="67"/>
      <c r="AC400" s="67"/>
      <c r="AD400" s="68"/>
      <c r="AE400" s="68"/>
      <c r="AF400" s="68"/>
      <c r="AG400" s="68"/>
      <c r="AH400" s="68"/>
      <c r="AI400" s="68"/>
      <c r="AJ400" s="68"/>
      <c r="AK400" s="68"/>
      <c r="AL400" s="68"/>
      <c r="AM400" s="69"/>
      <c r="AN400" s="69"/>
      <c r="AO400" s="69"/>
      <c r="AP400" s="69"/>
      <c r="AQ400" s="661"/>
      <c r="AR400" s="661"/>
      <c r="AS400" s="661"/>
      <c r="AT400" s="661"/>
      <c r="AV400" s="369" t="str">
        <f t="shared" si="217"/>
        <v>DECKING AND PATIOS</v>
      </c>
      <c r="AW400" s="696"/>
      <c r="AX400" s="696"/>
      <c r="AY400" s="696"/>
      <c r="AZ400" s="369"/>
      <c r="BA400" s="75">
        <f>BA357</f>
        <v>0</v>
      </c>
      <c r="BB400" s="75">
        <f>BB357</f>
        <v>0</v>
      </c>
      <c r="BC400" s="75">
        <f>BC357</f>
        <v>0</v>
      </c>
      <c r="BD400" s="75">
        <f>BD357</f>
        <v>0</v>
      </c>
      <c r="BE400" s="75">
        <f>BE357</f>
        <v>0</v>
      </c>
      <c r="BF400" s="75"/>
      <c r="BG400" s="75"/>
      <c r="BI400" s="75"/>
      <c r="BJ400" s="75"/>
      <c r="BK400" s="75"/>
    </row>
    <row r="401" spans="1:63" ht="9.6" hidden="1" customHeight="1">
      <c r="A401" s="187"/>
      <c r="B401" s="71"/>
      <c r="C401" s="71"/>
      <c r="D401" s="887"/>
      <c r="E401" s="887"/>
      <c r="F401" s="887"/>
      <c r="G401" s="887"/>
      <c r="H401" s="887"/>
      <c r="I401" s="887"/>
      <c r="J401" s="887"/>
      <c r="K401" s="887"/>
      <c r="L401" s="887"/>
      <c r="M401" s="887"/>
      <c r="N401" s="887"/>
      <c r="O401" s="887"/>
      <c r="P401" s="72"/>
      <c r="Q401" s="72"/>
      <c r="R401" s="72"/>
      <c r="S401" s="72"/>
      <c r="T401" s="72"/>
      <c r="U401" s="72"/>
      <c r="V401" s="72"/>
      <c r="W401" s="72"/>
      <c r="X401" s="72"/>
      <c r="Y401" s="72"/>
      <c r="Z401" s="72"/>
      <c r="AA401" s="72"/>
      <c r="AB401" s="72"/>
      <c r="AC401" s="73"/>
      <c r="AD401" s="662"/>
      <c r="AE401" s="662"/>
      <c r="AF401" s="662"/>
      <c r="AG401" s="662"/>
      <c r="AH401" s="662"/>
      <c r="AI401" s="662"/>
      <c r="AJ401" s="662"/>
      <c r="AK401" s="662"/>
      <c r="AL401" s="662"/>
      <c r="AM401" s="662"/>
      <c r="AN401" s="662"/>
      <c r="AO401" s="662"/>
      <c r="AP401" s="662"/>
      <c r="AQ401" s="663"/>
      <c r="AR401" s="663"/>
      <c r="AS401" s="663"/>
      <c r="AT401" s="663"/>
      <c r="AV401" s="371" t="str">
        <f t="shared" si="217"/>
        <v>DECKING AND PATIOS</v>
      </c>
      <c r="AW401" s="699"/>
      <c r="AX401" s="801"/>
      <c r="AY401" s="801"/>
      <c r="AZ401" s="371"/>
      <c r="BA401" s="125">
        <f>BA399</f>
        <v>0</v>
      </c>
      <c r="BB401" s="125">
        <f t="shared" ref="BB401:BG401" si="261">BB399</f>
        <v>0</v>
      </c>
      <c r="BC401" s="125">
        <f>BC399</f>
        <v>0</v>
      </c>
      <c r="BD401" s="125">
        <f t="shared" si="261"/>
        <v>0</v>
      </c>
      <c r="BE401" s="125">
        <f t="shared" si="261"/>
        <v>0</v>
      </c>
      <c r="BF401" s="125">
        <f t="shared" si="261"/>
        <v>0</v>
      </c>
      <c r="BG401" s="125">
        <f t="shared" si="261"/>
        <v>0</v>
      </c>
      <c r="BI401" s="125"/>
      <c r="BJ401" s="125"/>
      <c r="BK401" s="125"/>
    </row>
    <row r="402" spans="1:63" ht="21.6" customHeight="1">
      <c r="A402" s="186" t="s">
        <v>952</v>
      </c>
      <c r="B402" s="2350"/>
      <c r="C402" s="2351"/>
      <c r="D402" s="2392" t="str">
        <f>T(N82)</f>
        <v>ROOFING</v>
      </c>
      <c r="E402" s="2393"/>
      <c r="F402" s="2393"/>
      <c r="G402" s="2393"/>
      <c r="H402" s="2393"/>
      <c r="I402" s="2393"/>
      <c r="J402" s="2393"/>
      <c r="K402" s="2393"/>
      <c r="L402" s="2393"/>
      <c r="M402" s="2393"/>
      <c r="N402" s="2393"/>
      <c r="O402" s="2394"/>
      <c r="P402" s="2352"/>
      <c r="Q402" s="2352"/>
      <c r="R402" s="2352"/>
      <c r="S402" s="2353"/>
      <c r="T402" s="2354"/>
      <c r="U402" s="2355"/>
      <c r="V402" s="2355"/>
      <c r="W402" s="2355"/>
      <c r="X402" s="2355"/>
      <c r="Y402" s="2355"/>
      <c r="Z402" s="2355"/>
      <c r="AA402" s="2355"/>
      <c r="AB402" s="2355"/>
      <c r="AC402" s="2355"/>
      <c r="AD402" s="2342">
        <f>AD444</f>
        <v>0</v>
      </c>
      <c r="AE402" s="2342"/>
      <c r="AF402" s="2342"/>
      <c r="AG402" s="2342">
        <f>AG444</f>
        <v>0</v>
      </c>
      <c r="AH402" s="2342"/>
      <c r="AI402" s="2342"/>
      <c r="AJ402" s="2342">
        <f>AJ444</f>
        <v>0</v>
      </c>
      <c r="AK402" s="2342"/>
      <c r="AL402" s="2342"/>
      <c r="AM402" s="2342">
        <f>AM444</f>
        <v>0</v>
      </c>
      <c r="AN402" s="2342"/>
      <c r="AO402" s="2342"/>
      <c r="AP402" s="2342"/>
      <c r="AQ402" s="2336">
        <f>AQ444</f>
        <v>0</v>
      </c>
      <c r="AR402" s="2336"/>
      <c r="AS402" s="2336"/>
      <c r="AT402" s="2336" t="e">
        <f>SUM(#REF!)</f>
        <v>#REF!</v>
      </c>
      <c r="AV402" s="151" t="str">
        <f t="shared" ref="AV402:AV446" si="262">$D$402</f>
        <v>ROOFING</v>
      </c>
      <c r="AW402" s="700"/>
      <c r="AX402" s="700"/>
      <c r="AY402" s="700"/>
      <c r="AZ402" s="701"/>
      <c r="BA402" s="49">
        <f>SUM(BA403:BA442)</f>
        <v>0</v>
      </c>
      <c r="BB402" s="49">
        <f>SUM(BB403:BB442)</f>
        <v>0</v>
      </c>
      <c r="BC402" s="49">
        <f>SUM(BC403:BC442)</f>
        <v>0</v>
      </c>
      <c r="BD402" s="49">
        <f>SUM(BD403:BD442)</f>
        <v>0</v>
      </c>
      <c r="BE402" s="49">
        <f>SUM(BE403:BE442)</f>
        <v>0</v>
      </c>
      <c r="BF402" s="49">
        <f t="shared" ref="BF402:BF438" si="263">AQ402</f>
        <v>0</v>
      </c>
      <c r="BG402" s="49">
        <f t="shared" ref="BG402:BG438" si="264">AM402</f>
        <v>0</v>
      </c>
      <c r="BI402" s="134">
        <f>AD402</f>
        <v>0</v>
      </c>
      <c r="BJ402" s="134">
        <f>AM402</f>
        <v>0</v>
      </c>
      <c r="BK402" s="134">
        <f>BJ402+BI402</f>
        <v>0</v>
      </c>
    </row>
    <row r="403" spans="1:63" hidden="1">
      <c r="A403" s="187"/>
      <c r="B403" s="2321"/>
      <c r="C403" s="2322"/>
      <c r="D403" s="2338" t="s">
        <v>56</v>
      </c>
      <c r="E403" s="2338"/>
      <c r="F403" s="2338"/>
      <c r="G403" s="2338"/>
      <c r="H403" s="2338"/>
      <c r="I403" s="2338"/>
      <c r="J403" s="2338"/>
      <c r="K403" s="2338"/>
      <c r="L403" s="2338"/>
      <c r="M403" s="2338"/>
      <c r="N403" s="2338"/>
      <c r="O403" s="2338"/>
      <c r="P403" s="2324"/>
      <c r="Q403" s="2324"/>
      <c r="R403" s="2325"/>
      <c r="S403" s="2324" t="s">
        <v>3</v>
      </c>
      <c r="T403" s="2324" t="s">
        <v>3</v>
      </c>
      <c r="U403" s="2326"/>
      <c r="V403" s="2327"/>
      <c r="W403" s="2327"/>
      <c r="X403" s="2327"/>
      <c r="Y403" s="2327"/>
      <c r="Z403" s="2327"/>
      <c r="AA403" s="2328"/>
      <c r="AB403" s="2329"/>
      <c r="AC403" s="2326"/>
      <c r="AD403" s="2330">
        <f t="shared" ref="AD403:AD438" si="265">((P403*U403)-AM403)</f>
        <v>0</v>
      </c>
      <c r="AE403" s="2330"/>
      <c r="AF403" s="2330"/>
      <c r="AG403" s="2330">
        <f>P403*X403*(1+$Y$85)</f>
        <v>0</v>
      </c>
      <c r="AH403" s="2330"/>
      <c r="AI403" s="2330"/>
      <c r="AJ403" s="2330">
        <f t="shared" ref="AJ403:AJ438" si="266">P403*AA403</f>
        <v>0</v>
      </c>
      <c r="AK403" s="2330"/>
      <c r="AL403" s="2330"/>
      <c r="AM403" s="2331">
        <f t="shared" ref="AM403:AM442" si="267">IF($B403="x",$P403*$U403,0)</f>
        <v>0</v>
      </c>
      <c r="AN403" s="2331"/>
      <c r="AO403" s="2331"/>
      <c r="AP403" s="2331"/>
      <c r="AQ403" s="2332">
        <f t="shared" ref="AQ403:AQ438" si="268">SUM(AD403:AL403)</f>
        <v>0</v>
      </c>
      <c r="AR403" s="2332"/>
      <c r="AS403" s="2332"/>
      <c r="AT403" s="2332">
        <f t="shared" ref="AT403:AT438" si="269">SUM(AD403:AL403)</f>
        <v>0</v>
      </c>
      <c r="AV403" s="151" t="str">
        <f t="shared" si="262"/>
        <v>ROOFING</v>
      </c>
      <c r="AW403" s="681"/>
      <c r="AX403" s="230"/>
      <c r="AY403" s="230"/>
      <c r="AZ403" s="679"/>
      <c r="BA403" s="49">
        <f t="shared" ref="BA403:BA438" si="270">AD403</f>
        <v>0</v>
      </c>
      <c r="BB403" s="49">
        <f>AG403</f>
        <v>0</v>
      </c>
      <c r="BC403" s="49">
        <f>AJ403</f>
        <v>0</v>
      </c>
      <c r="BD403" s="49">
        <f t="shared" ref="BD403:BD438" si="271">IF(B403="x",1,0)</f>
        <v>0</v>
      </c>
      <c r="BE403" s="49">
        <f>SUM(BA403:BC403)</f>
        <v>0</v>
      </c>
      <c r="BF403" s="49">
        <f t="shared" si="263"/>
        <v>0</v>
      </c>
      <c r="BG403" s="49">
        <f t="shared" si="264"/>
        <v>0</v>
      </c>
      <c r="BI403" s="134">
        <f>AD403</f>
        <v>0</v>
      </c>
      <c r="BJ403" s="134">
        <f t="shared" ref="BJ403:BJ438" si="272">AM403</f>
        <v>0</v>
      </c>
      <c r="BK403" s="134">
        <f>BJ403+BI403</f>
        <v>0</v>
      </c>
    </row>
    <row r="404" spans="1:63" hidden="1">
      <c r="A404" s="187"/>
      <c r="B404" s="2321"/>
      <c r="C404" s="2322"/>
      <c r="D404" s="2337" t="s">
        <v>693</v>
      </c>
      <c r="E404" s="2337"/>
      <c r="F404" s="2337"/>
      <c r="G404" s="2337"/>
      <c r="H404" s="2337"/>
      <c r="I404" s="2337"/>
      <c r="J404" s="2337"/>
      <c r="K404" s="2337"/>
      <c r="L404" s="2337"/>
      <c r="M404" s="2337"/>
      <c r="N404" s="2337"/>
      <c r="O404" s="2337"/>
      <c r="P404" s="2324"/>
      <c r="Q404" s="2324"/>
      <c r="R404" s="2325"/>
      <c r="S404" s="2324"/>
      <c r="T404" s="2324"/>
      <c r="U404" s="2326"/>
      <c r="V404" s="2327"/>
      <c r="W404" s="2327"/>
      <c r="X404" s="2327"/>
      <c r="Y404" s="2327"/>
      <c r="Z404" s="2327"/>
      <c r="AA404" s="2328"/>
      <c r="AB404" s="2329"/>
      <c r="AC404" s="2326"/>
      <c r="AD404" s="2330">
        <f t="shared" si="265"/>
        <v>0</v>
      </c>
      <c r="AE404" s="2330"/>
      <c r="AF404" s="2330"/>
      <c r="AG404" s="2330">
        <f t="shared" ref="AG404:AG442" si="273">P404*X404*(1+$Y$85)</f>
        <v>0</v>
      </c>
      <c r="AH404" s="2330"/>
      <c r="AI404" s="2330"/>
      <c r="AJ404" s="2330">
        <f t="shared" si="266"/>
        <v>0</v>
      </c>
      <c r="AK404" s="2330"/>
      <c r="AL404" s="2330"/>
      <c r="AM404" s="2331">
        <f t="shared" si="267"/>
        <v>0</v>
      </c>
      <c r="AN404" s="2331"/>
      <c r="AO404" s="2331"/>
      <c r="AP404" s="2331"/>
      <c r="AQ404" s="2332">
        <f t="shared" si="268"/>
        <v>0</v>
      </c>
      <c r="AR404" s="2332"/>
      <c r="AS404" s="2332"/>
      <c r="AT404" s="2332">
        <f t="shared" si="269"/>
        <v>0</v>
      </c>
      <c r="AV404" s="151" t="str">
        <f t="shared" si="262"/>
        <v>ROOFING</v>
      </c>
      <c r="AW404" s="681"/>
      <c r="AX404" s="230"/>
      <c r="AY404" s="230"/>
      <c r="AZ404" s="679"/>
      <c r="BA404" s="49">
        <f t="shared" si="270"/>
        <v>0</v>
      </c>
      <c r="BB404" s="49">
        <f t="shared" ref="BB404:BB438" si="274">AG404</f>
        <v>0</v>
      </c>
      <c r="BC404" s="49">
        <f t="shared" ref="BC404:BC438" si="275">AJ404</f>
        <v>0</v>
      </c>
      <c r="BD404" s="49">
        <f t="shared" si="271"/>
        <v>0</v>
      </c>
      <c r="BE404" s="49">
        <f t="shared" ref="BE404:BE420" si="276">SUM(BA404:BC404)</f>
        <v>0</v>
      </c>
      <c r="BF404" s="49">
        <f t="shared" si="263"/>
        <v>0</v>
      </c>
      <c r="BG404" s="49">
        <f t="shared" si="264"/>
        <v>0</v>
      </c>
      <c r="BI404" s="134">
        <f t="shared" ref="BI404:BI438" si="277">AD404</f>
        <v>0</v>
      </c>
      <c r="BJ404" s="134">
        <f t="shared" si="272"/>
        <v>0</v>
      </c>
      <c r="BK404" s="134">
        <f t="shared" ref="BK404:BK438" si="278">BJ404+BI404</f>
        <v>0</v>
      </c>
    </row>
    <row r="405" spans="1:63" hidden="1">
      <c r="A405" s="187"/>
      <c r="B405" s="2333"/>
      <c r="C405" s="2333"/>
      <c r="D405" s="2334" t="s">
        <v>690</v>
      </c>
      <c r="E405" s="2334"/>
      <c r="F405" s="2334"/>
      <c r="G405" s="2334"/>
      <c r="H405" s="2334"/>
      <c r="I405" s="2334"/>
      <c r="J405" s="2334"/>
      <c r="K405" s="2334"/>
      <c r="L405" s="2334"/>
      <c r="M405" s="2334"/>
      <c r="N405" s="2334"/>
      <c r="O405" s="2334"/>
      <c r="P405" s="2324"/>
      <c r="Q405" s="2324"/>
      <c r="R405" s="2325"/>
      <c r="S405" s="2324" t="s">
        <v>2</v>
      </c>
      <c r="T405" s="2324" t="s">
        <v>2</v>
      </c>
      <c r="U405" s="2326">
        <v>250</v>
      </c>
      <c r="V405" s="2327"/>
      <c r="W405" s="2327"/>
      <c r="X405" s="2327">
        <v>100</v>
      </c>
      <c r="Y405" s="2327"/>
      <c r="Z405" s="2327">
        <v>100</v>
      </c>
      <c r="AA405" s="2328"/>
      <c r="AB405" s="2329"/>
      <c r="AC405" s="2326"/>
      <c r="AD405" s="2330">
        <f t="shared" si="265"/>
        <v>0</v>
      </c>
      <c r="AE405" s="2330"/>
      <c r="AF405" s="2330"/>
      <c r="AG405" s="2330">
        <f t="shared" si="273"/>
        <v>0</v>
      </c>
      <c r="AH405" s="2330"/>
      <c r="AI405" s="2330"/>
      <c r="AJ405" s="2330">
        <f t="shared" si="266"/>
        <v>0</v>
      </c>
      <c r="AK405" s="2330"/>
      <c r="AL405" s="2330"/>
      <c r="AM405" s="2331">
        <f t="shared" si="267"/>
        <v>0</v>
      </c>
      <c r="AN405" s="2331"/>
      <c r="AO405" s="2331"/>
      <c r="AP405" s="2331"/>
      <c r="AQ405" s="2332">
        <f t="shared" si="268"/>
        <v>0</v>
      </c>
      <c r="AR405" s="2332"/>
      <c r="AS405" s="2332"/>
      <c r="AT405" s="2332">
        <f t="shared" si="269"/>
        <v>0</v>
      </c>
      <c r="AV405" s="151" t="str">
        <f t="shared" si="262"/>
        <v>ROOFING</v>
      </c>
      <c r="AW405" s="681"/>
      <c r="AX405" s="230"/>
      <c r="AY405" s="230"/>
      <c r="AZ405" s="679"/>
      <c r="BA405" s="49">
        <f t="shared" si="270"/>
        <v>0</v>
      </c>
      <c r="BB405" s="49">
        <f t="shared" si="274"/>
        <v>0</v>
      </c>
      <c r="BC405" s="49">
        <f t="shared" si="275"/>
        <v>0</v>
      </c>
      <c r="BD405" s="49">
        <f t="shared" si="271"/>
        <v>0</v>
      </c>
      <c r="BE405" s="49">
        <f t="shared" si="276"/>
        <v>0</v>
      </c>
      <c r="BF405" s="49">
        <f t="shared" si="263"/>
        <v>0</v>
      </c>
      <c r="BG405" s="49">
        <f t="shared" si="264"/>
        <v>0</v>
      </c>
      <c r="BI405" s="134">
        <f t="shared" si="277"/>
        <v>0</v>
      </c>
      <c r="BJ405" s="134">
        <f t="shared" si="272"/>
        <v>0</v>
      </c>
      <c r="BK405" s="134">
        <f t="shared" si="278"/>
        <v>0</v>
      </c>
    </row>
    <row r="406" spans="1:63" hidden="1">
      <c r="A406" s="187"/>
      <c r="B406" s="2333"/>
      <c r="C406" s="2333"/>
      <c r="D406" s="2334" t="s">
        <v>695</v>
      </c>
      <c r="E406" s="2334"/>
      <c r="F406" s="2334"/>
      <c r="G406" s="2334"/>
      <c r="H406" s="2334"/>
      <c r="I406" s="2334"/>
      <c r="J406" s="2334"/>
      <c r="K406" s="2334"/>
      <c r="L406" s="2334"/>
      <c r="M406" s="2334"/>
      <c r="N406" s="2334"/>
      <c r="O406" s="2334"/>
      <c r="P406" s="2324"/>
      <c r="Q406" s="2324"/>
      <c r="R406" s="2325"/>
      <c r="S406" s="2324" t="s">
        <v>9</v>
      </c>
      <c r="T406" s="2324"/>
      <c r="U406" s="2326">
        <v>135</v>
      </c>
      <c r="V406" s="2327"/>
      <c r="W406" s="2327"/>
      <c r="X406" s="2327">
        <v>95</v>
      </c>
      <c r="Y406" s="2327"/>
      <c r="Z406" s="2327"/>
      <c r="AA406" s="2328"/>
      <c r="AB406" s="2329"/>
      <c r="AC406" s="2326"/>
      <c r="AD406" s="2330">
        <f t="shared" si="265"/>
        <v>0</v>
      </c>
      <c r="AE406" s="2330"/>
      <c r="AF406" s="2330"/>
      <c r="AG406" s="2330">
        <f t="shared" si="273"/>
        <v>0</v>
      </c>
      <c r="AH406" s="2330"/>
      <c r="AI406" s="2330"/>
      <c r="AJ406" s="2330">
        <f t="shared" si="266"/>
        <v>0</v>
      </c>
      <c r="AK406" s="2330"/>
      <c r="AL406" s="2330"/>
      <c r="AM406" s="2331">
        <f t="shared" si="267"/>
        <v>0</v>
      </c>
      <c r="AN406" s="2331"/>
      <c r="AO406" s="2331"/>
      <c r="AP406" s="2331"/>
      <c r="AQ406" s="2332">
        <f t="shared" si="268"/>
        <v>0</v>
      </c>
      <c r="AR406" s="2332"/>
      <c r="AS406" s="2332"/>
      <c r="AT406" s="2332">
        <f t="shared" si="269"/>
        <v>0</v>
      </c>
      <c r="AV406" s="151" t="str">
        <f t="shared" si="262"/>
        <v>ROOFING</v>
      </c>
      <c r="AW406" s="681"/>
      <c r="AX406" s="230"/>
      <c r="AY406" s="230"/>
      <c r="AZ406" s="679"/>
      <c r="BA406" s="49">
        <f t="shared" si="270"/>
        <v>0</v>
      </c>
      <c r="BB406" s="49">
        <f t="shared" si="274"/>
        <v>0</v>
      </c>
      <c r="BC406" s="49">
        <f t="shared" si="275"/>
        <v>0</v>
      </c>
      <c r="BD406" s="49">
        <f t="shared" si="271"/>
        <v>0</v>
      </c>
      <c r="BE406" s="49">
        <f t="shared" si="276"/>
        <v>0</v>
      </c>
      <c r="BF406" s="49">
        <f t="shared" si="263"/>
        <v>0</v>
      </c>
      <c r="BG406" s="49">
        <f t="shared" si="264"/>
        <v>0</v>
      </c>
      <c r="BI406" s="134">
        <f t="shared" si="277"/>
        <v>0</v>
      </c>
      <c r="BJ406" s="134">
        <f t="shared" si="272"/>
        <v>0</v>
      </c>
      <c r="BK406" s="134">
        <f t="shared" si="278"/>
        <v>0</v>
      </c>
    </row>
    <row r="407" spans="1:63" hidden="1">
      <c r="A407" s="187"/>
      <c r="B407" s="2321"/>
      <c r="C407" s="2322"/>
      <c r="D407" s="2334" t="s">
        <v>694</v>
      </c>
      <c r="E407" s="2334"/>
      <c r="F407" s="2334"/>
      <c r="G407" s="2334"/>
      <c r="H407" s="2334"/>
      <c r="I407" s="2334"/>
      <c r="J407" s="2334"/>
      <c r="K407" s="2334"/>
      <c r="L407" s="2334"/>
      <c r="M407" s="2334"/>
      <c r="N407" s="2334"/>
      <c r="O407" s="2334"/>
      <c r="P407" s="2324"/>
      <c r="Q407" s="2324"/>
      <c r="R407" s="2325"/>
      <c r="S407" s="2324" t="s">
        <v>9</v>
      </c>
      <c r="T407" s="2324"/>
      <c r="U407" s="2326">
        <v>150</v>
      </c>
      <c r="V407" s="2327"/>
      <c r="W407" s="2327"/>
      <c r="X407" s="2327">
        <v>115</v>
      </c>
      <c r="Y407" s="2327"/>
      <c r="Z407" s="2327">
        <v>100</v>
      </c>
      <c r="AA407" s="2328"/>
      <c r="AB407" s="2329"/>
      <c r="AC407" s="2326"/>
      <c r="AD407" s="2330">
        <f t="shared" si="265"/>
        <v>0</v>
      </c>
      <c r="AE407" s="2330"/>
      <c r="AF407" s="2330"/>
      <c r="AG407" s="2330">
        <f t="shared" si="273"/>
        <v>0</v>
      </c>
      <c r="AH407" s="2330"/>
      <c r="AI407" s="2330"/>
      <c r="AJ407" s="2330">
        <f t="shared" si="266"/>
        <v>0</v>
      </c>
      <c r="AK407" s="2330"/>
      <c r="AL407" s="2330"/>
      <c r="AM407" s="2331">
        <f t="shared" si="267"/>
        <v>0</v>
      </c>
      <c r="AN407" s="2331"/>
      <c r="AO407" s="2331"/>
      <c r="AP407" s="2331"/>
      <c r="AQ407" s="2332">
        <f t="shared" si="268"/>
        <v>0</v>
      </c>
      <c r="AR407" s="2332"/>
      <c r="AS407" s="2332"/>
      <c r="AT407" s="2332">
        <f t="shared" si="269"/>
        <v>0</v>
      </c>
      <c r="AV407" s="151" t="str">
        <f t="shared" si="262"/>
        <v>ROOFING</v>
      </c>
      <c r="AW407" s="681"/>
      <c r="AX407" s="230"/>
      <c r="AY407" s="230"/>
      <c r="AZ407" s="679"/>
      <c r="BA407" s="49">
        <f t="shared" si="270"/>
        <v>0</v>
      </c>
      <c r="BB407" s="49">
        <f t="shared" si="274"/>
        <v>0</v>
      </c>
      <c r="BC407" s="49">
        <f t="shared" si="275"/>
        <v>0</v>
      </c>
      <c r="BD407" s="49">
        <f t="shared" si="271"/>
        <v>0</v>
      </c>
      <c r="BE407" s="49">
        <f t="shared" si="276"/>
        <v>0</v>
      </c>
      <c r="BF407" s="49">
        <f t="shared" si="263"/>
        <v>0</v>
      </c>
      <c r="BG407" s="49">
        <f t="shared" si="264"/>
        <v>0</v>
      </c>
      <c r="BI407" s="134">
        <f t="shared" si="277"/>
        <v>0</v>
      </c>
      <c r="BJ407" s="134">
        <f t="shared" si="272"/>
        <v>0</v>
      </c>
      <c r="BK407" s="134">
        <f t="shared" si="278"/>
        <v>0</v>
      </c>
    </row>
    <row r="408" spans="1:63" hidden="1">
      <c r="A408" s="187"/>
      <c r="B408" s="2321"/>
      <c r="C408" s="2322"/>
      <c r="D408" s="2334" t="s">
        <v>293</v>
      </c>
      <c r="E408" s="2334"/>
      <c r="F408" s="2334"/>
      <c r="G408" s="2334"/>
      <c r="H408" s="2334"/>
      <c r="I408" s="2334"/>
      <c r="J408" s="2334"/>
      <c r="K408" s="2334"/>
      <c r="L408" s="2334"/>
      <c r="M408" s="2334"/>
      <c r="N408" s="2334"/>
      <c r="O408" s="2334"/>
      <c r="P408" s="2324"/>
      <c r="Q408" s="2324"/>
      <c r="R408" s="2325"/>
      <c r="S408" s="2324" t="s">
        <v>9</v>
      </c>
      <c r="T408" s="2324" t="s">
        <v>9</v>
      </c>
      <c r="U408" s="2326">
        <v>35</v>
      </c>
      <c r="V408" s="2327"/>
      <c r="W408" s="2327"/>
      <c r="X408" s="2327"/>
      <c r="Y408" s="2327"/>
      <c r="Z408" s="2327"/>
      <c r="AA408" s="2328"/>
      <c r="AB408" s="2329"/>
      <c r="AC408" s="2326"/>
      <c r="AD408" s="2330">
        <f t="shared" si="265"/>
        <v>0</v>
      </c>
      <c r="AE408" s="2330"/>
      <c r="AF408" s="2330"/>
      <c r="AG408" s="2330">
        <f t="shared" si="273"/>
        <v>0</v>
      </c>
      <c r="AH408" s="2330"/>
      <c r="AI408" s="2330"/>
      <c r="AJ408" s="2330">
        <f t="shared" si="266"/>
        <v>0</v>
      </c>
      <c r="AK408" s="2330"/>
      <c r="AL408" s="2330"/>
      <c r="AM408" s="2331">
        <f t="shared" si="267"/>
        <v>0</v>
      </c>
      <c r="AN408" s="2331"/>
      <c r="AO408" s="2331"/>
      <c r="AP408" s="2331"/>
      <c r="AQ408" s="2332">
        <f t="shared" si="268"/>
        <v>0</v>
      </c>
      <c r="AR408" s="2332"/>
      <c r="AS408" s="2332"/>
      <c r="AT408" s="2332">
        <f t="shared" si="269"/>
        <v>0</v>
      </c>
      <c r="AV408" s="151" t="str">
        <f t="shared" si="262"/>
        <v>ROOFING</v>
      </c>
      <c r="AW408" s="681"/>
      <c r="AX408" s="230"/>
      <c r="AY408" s="230"/>
      <c r="AZ408" s="679"/>
      <c r="BA408" s="49">
        <f t="shared" si="270"/>
        <v>0</v>
      </c>
      <c r="BB408" s="49">
        <f t="shared" si="274"/>
        <v>0</v>
      </c>
      <c r="BC408" s="49">
        <f t="shared" si="275"/>
        <v>0</v>
      </c>
      <c r="BD408" s="49">
        <f t="shared" si="271"/>
        <v>0</v>
      </c>
      <c r="BE408" s="49">
        <f t="shared" si="276"/>
        <v>0</v>
      </c>
      <c r="BF408" s="49">
        <f t="shared" si="263"/>
        <v>0</v>
      </c>
      <c r="BG408" s="49">
        <f t="shared" si="264"/>
        <v>0</v>
      </c>
      <c r="BI408" s="134">
        <f t="shared" si="277"/>
        <v>0</v>
      </c>
      <c r="BJ408" s="134">
        <f t="shared" si="272"/>
        <v>0</v>
      </c>
      <c r="BK408" s="134">
        <f t="shared" si="278"/>
        <v>0</v>
      </c>
    </row>
    <row r="409" spans="1:63" hidden="1">
      <c r="A409" s="187"/>
      <c r="B409" s="2321"/>
      <c r="C409" s="2322"/>
      <c r="D409" s="2334" t="s">
        <v>294</v>
      </c>
      <c r="E409" s="2334"/>
      <c r="F409" s="2334"/>
      <c r="G409" s="2334"/>
      <c r="H409" s="2334"/>
      <c r="I409" s="2334"/>
      <c r="J409" s="2334"/>
      <c r="K409" s="2334"/>
      <c r="L409" s="2334"/>
      <c r="M409" s="2334"/>
      <c r="N409" s="2334"/>
      <c r="O409" s="2334"/>
      <c r="P409" s="2324"/>
      <c r="Q409" s="2324"/>
      <c r="R409" s="2325"/>
      <c r="S409" s="2324" t="s">
        <v>9</v>
      </c>
      <c r="T409" s="2324" t="s">
        <v>9</v>
      </c>
      <c r="U409" s="2326">
        <v>25</v>
      </c>
      <c r="V409" s="2327"/>
      <c r="W409" s="2327"/>
      <c r="X409" s="2327"/>
      <c r="Y409" s="2327"/>
      <c r="Z409" s="2327"/>
      <c r="AA409" s="2328"/>
      <c r="AB409" s="2329"/>
      <c r="AC409" s="2326"/>
      <c r="AD409" s="2330">
        <f t="shared" si="265"/>
        <v>0</v>
      </c>
      <c r="AE409" s="2330"/>
      <c r="AF409" s="2330"/>
      <c r="AG409" s="2330">
        <f t="shared" si="273"/>
        <v>0</v>
      </c>
      <c r="AH409" s="2330"/>
      <c r="AI409" s="2330"/>
      <c r="AJ409" s="2330">
        <f t="shared" si="266"/>
        <v>0</v>
      </c>
      <c r="AK409" s="2330"/>
      <c r="AL409" s="2330"/>
      <c r="AM409" s="2331">
        <f t="shared" si="267"/>
        <v>0</v>
      </c>
      <c r="AN409" s="2331"/>
      <c r="AO409" s="2331"/>
      <c r="AP409" s="2331"/>
      <c r="AQ409" s="2332">
        <f t="shared" si="268"/>
        <v>0</v>
      </c>
      <c r="AR409" s="2332"/>
      <c r="AS409" s="2332"/>
      <c r="AT409" s="2332">
        <f t="shared" si="269"/>
        <v>0</v>
      </c>
      <c r="AV409" s="151" t="str">
        <f t="shared" si="262"/>
        <v>ROOFING</v>
      </c>
      <c r="AW409" s="681"/>
      <c r="AX409" s="230"/>
      <c r="AY409" s="230"/>
      <c r="AZ409" s="679"/>
      <c r="BA409" s="49">
        <f t="shared" si="270"/>
        <v>0</v>
      </c>
      <c r="BB409" s="49">
        <f t="shared" si="274"/>
        <v>0</v>
      </c>
      <c r="BC409" s="49">
        <f t="shared" si="275"/>
        <v>0</v>
      </c>
      <c r="BD409" s="49">
        <f t="shared" si="271"/>
        <v>0</v>
      </c>
      <c r="BE409" s="49">
        <f t="shared" si="276"/>
        <v>0</v>
      </c>
      <c r="BF409" s="49">
        <f t="shared" si="263"/>
        <v>0</v>
      </c>
      <c r="BG409" s="49">
        <f t="shared" si="264"/>
        <v>0</v>
      </c>
      <c r="BI409" s="134">
        <f t="shared" si="277"/>
        <v>0</v>
      </c>
      <c r="BJ409" s="134">
        <f t="shared" si="272"/>
        <v>0</v>
      </c>
      <c r="BK409" s="134">
        <f t="shared" si="278"/>
        <v>0</v>
      </c>
    </row>
    <row r="410" spans="1:63" hidden="1">
      <c r="A410" s="187"/>
      <c r="B410" s="2321"/>
      <c r="C410" s="2322"/>
      <c r="D410" s="2334"/>
      <c r="E410" s="2334"/>
      <c r="F410" s="2334"/>
      <c r="G410" s="2334"/>
      <c r="H410" s="2334"/>
      <c r="I410" s="2334"/>
      <c r="J410" s="2334"/>
      <c r="K410" s="2334"/>
      <c r="L410" s="2334"/>
      <c r="M410" s="2334"/>
      <c r="N410" s="2334"/>
      <c r="O410" s="2334"/>
      <c r="P410" s="2324"/>
      <c r="Q410" s="2324"/>
      <c r="R410" s="2325"/>
      <c r="S410" s="2324"/>
      <c r="T410" s="2324"/>
      <c r="U410" s="2326"/>
      <c r="V410" s="2327"/>
      <c r="W410" s="2327"/>
      <c r="X410" s="2327"/>
      <c r="Y410" s="2327"/>
      <c r="Z410" s="2327"/>
      <c r="AA410" s="2328"/>
      <c r="AB410" s="2329"/>
      <c r="AC410" s="2326"/>
      <c r="AD410" s="2330">
        <f t="shared" si="265"/>
        <v>0</v>
      </c>
      <c r="AE410" s="2330"/>
      <c r="AF410" s="2330"/>
      <c r="AG410" s="2330">
        <f t="shared" si="273"/>
        <v>0</v>
      </c>
      <c r="AH410" s="2330"/>
      <c r="AI410" s="2330"/>
      <c r="AJ410" s="2330">
        <f t="shared" si="266"/>
        <v>0</v>
      </c>
      <c r="AK410" s="2330"/>
      <c r="AL410" s="2330"/>
      <c r="AM410" s="2331">
        <f t="shared" si="267"/>
        <v>0</v>
      </c>
      <c r="AN410" s="2331"/>
      <c r="AO410" s="2331"/>
      <c r="AP410" s="2331"/>
      <c r="AQ410" s="2332">
        <f t="shared" si="268"/>
        <v>0</v>
      </c>
      <c r="AR410" s="2332"/>
      <c r="AS410" s="2332"/>
      <c r="AT410" s="2332">
        <f t="shared" si="269"/>
        <v>0</v>
      </c>
      <c r="AV410" s="151" t="str">
        <f t="shared" si="262"/>
        <v>ROOFING</v>
      </c>
      <c r="AW410" s="681"/>
      <c r="AX410" s="230"/>
      <c r="AY410" s="230"/>
      <c r="AZ410" s="679"/>
      <c r="BA410" s="49">
        <f t="shared" si="270"/>
        <v>0</v>
      </c>
      <c r="BB410" s="49">
        <f t="shared" si="274"/>
        <v>0</v>
      </c>
      <c r="BC410" s="49">
        <f t="shared" si="275"/>
        <v>0</v>
      </c>
      <c r="BD410" s="49">
        <f t="shared" si="271"/>
        <v>0</v>
      </c>
      <c r="BE410" s="49">
        <f t="shared" si="276"/>
        <v>0</v>
      </c>
      <c r="BF410" s="49">
        <f t="shared" si="263"/>
        <v>0</v>
      </c>
      <c r="BG410" s="49">
        <f t="shared" si="264"/>
        <v>0</v>
      </c>
      <c r="BI410" s="134">
        <f t="shared" si="277"/>
        <v>0</v>
      </c>
      <c r="BJ410" s="134">
        <f t="shared" si="272"/>
        <v>0</v>
      </c>
      <c r="BK410" s="134">
        <f t="shared" si="278"/>
        <v>0</v>
      </c>
    </row>
    <row r="411" spans="1:63" hidden="1">
      <c r="A411" s="187"/>
      <c r="B411" s="2333"/>
      <c r="C411" s="2333"/>
      <c r="D411" s="2337" t="s">
        <v>696</v>
      </c>
      <c r="E411" s="2337"/>
      <c r="F411" s="2337"/>
      <c r="G411" s="2337"/>
      <c r="H411" s="2337"/>
      <c r="I411" s="2337"/>
      <c r="J411" s="2337"/>
      <c r="K411" s="2337"/>
      <c r="L411" s="2337"/>
      <c r="M411" s="2337"/>
      <c r="N411" s="2337"/>
      <c r="O411" s="2337"/>
      <c r="P411" s="2324"/>
      <c r="Q411" s="2324"/>
      <c r="R411" s="2325"/>
      <c r="S411" s="2324"/>
      <c r="T411" s="2324"/>
      <c r="U411" s="2326"/>
      <c r="V411" s="2327"/>
      <c r="W411" s="2327"/>
      <c r="X411" s="2327"/>
      <c r="Y411" s="2327"/>
      <c r="Z411" s="2327"/>
      <c r="AA411" s="2328"/>
      <c r="AB411" s="2329"/>
      <c r="AC411" s="2326"/>
      <c r="AD411" s="2330">
        <f t="shared" si="265"/>
        <v>0</v>
      </c>
      <c r="AE411" s="2330"/>
      <c r="AF411" s="2330"/>
      <c r="AG411" s="2330">
        <f t="shared" si="273"/>
        <v>0</v>
      </c>
      <c r="AH411" s="2330"/>
      <c r="AI411" s="2330"/>
      <c r="AJ411" s="2330">
        <f t="shared" si="266"/>
        <v>0</v>
      </c>
      <c r="AK411" s="2330"/>
      <c r="AL411" s="2330"/>
      <c r="AM411" s="2331">
        <f t="shared" si="267"/>
        <v>0</v>
      </c>
      <c r="AN411" s="2331"/>
      <c r="AO411" s="2331"/>
      <c r="AP411" s="2331"/>
      <c r="AQ411" s="2332">
        <f t="shared" si="268"/>
        <v>0</v>
      </c>
      <c r="AR411" s="2332"/>
      <c r="AS411" s="2332"/>
      <c r="AT411" s="2332">
        <f t="shared" si="269"/>
        <v>0</v>
      </c>
      <c r="AV411" s="151" t="str">
        <f t="shared" si="262"/>
        <v>ROOFING</v>
      </c>
      <c r="AW411" s="681"/>
      <c r="AX411" s="230"/>
      <c r="AY411" s="230"/>
      <c r="AZ411" s="679"/>
      <c r="BA411" s="49">
        <f t="shared" si="270"/>
        <v>0</v>
      </c>
      <c r="BB411" s="49">
        <f t="shared" si="274"/>
        <v>0</v>
      </c>
      <c r="BC411" s="49">
        <f t="shared" si="275"/>
        <v>0</v>
      </c>
      <c r="BD411" s="49">
        <f t="shared" si="271"/>
        <v>0</v>
      </c>
      <c r="BE411" s="49">
        <f t="shared" si="276"/>
        <v>0</v>
      </c>
      <c r="BF411" s="49">
        <f t="shared" si="263"/>
        <v>0</v>
      </c>
      <c r="BG411" s="49">
        <f t="shared" si="264"/>
        <v>0</v>
      </c>
      <c r="BI411" s="134">
        <f t="shared" si="277"/>
        <v>0</v>
      </c>
      <c r="BJ411" s="134">
        <f t="shared" si="272"/>
        <v>0</v>
      </c>
      <c r="BK411" s="134">
        <f t="shared" si="278"/>
        <v>0</v>
      </c>
    </row>
    <row r="412" spans="1:63" hidden="1">
      <c r="A412" s="187"/>
      <c r="B412" s="2333"/>
      <c r="C412" s="2333"/>
      <c r="D412" s="2334" t="s">
        <v>697</v>
      </c>
      <c r="E412" s="2334"/>
      <c r="F412" s="2334"/>
      <c r="G412" s="2334"/>
      <c r="H412" s="2334"/>
      <c r="I412" s="2334"/>
      <c r="J412" s="2334"/>
      <c r="K412" s="2334"/>
      <c r="L412" s="2334"/>
      <c r="M412" s="2334"/>
      <c r="N412" s="2334"/>
      <c r="O412" s="2334"/>
      <c r="P412" s="2324"/>
      <c r="Q412" s="2324"/>
      <c r="R412" s="2325"/>
      <c r="S412" s="2324" t="s">
        <v>2</v>
      </c>
      <c r="T412" s="2324" t="s">
        <v>2</v>
      </c>
      <c r="U412" s="2326">
        <v>250</v>
      </c>
      <c r="V412" s="2327"/>
      <c r="W412" s="2327"/>
      <c r="X412" s="2327">
        <v>100</v>
      </c>
      <c r="Y412" s="2327"/>
      <c r="Z412" s="2327">
        <v>100</v>
      </c>
      <c r="AA412" s="2328"/>
      <c r="AB412" s="2329"/>
      <c r="AC412" s="2326"/>
      <c r="AD412" s="2330">
        <f t="shared" si="265"/>
        <v>0</v>
      </c>
      <c r="AE412" s="2330"/>
      <c r="AF412" s="2330"/>
      <c r="AG412" s="2330">
        <f t="shared" si="273"/>
        <v>0</v>
      </c>
      <c r="AH412" s="2330"/>
      <c r="AI412" s="2330"/>
      <c r="AJ412" s="2330">
        <f t="shared" si="266"/>
        <v>0</v>
      </c>
      <c r="AK412" s="2330"/>
      <c r="AL412" s="2330"/>
      <c r="AM412" s="2331">
        <f t="shared" si="267"/>
        <v>0</v>
      </c>
      <c r="AN412" s="2331"/>
      <c r="AO412" s="2331"/>
      <c r="AP412" s="2331"/>
      <c r="AQ412" s="2332">
        <f t="shared" si="268"/>
        <v>0</v>
      </c>
      <c r="AR412" s="2332"/>
      <c r="AS412" s="2332"/>
      <c r="AT412" s="2332">
        <f t="shared" si="269"/>
        <v>0</v>
      </c>
      <c r="AV412" s="151" t="str">
        <f t="shared" si="262"/>
        <v>ROOFING</v>
      </c>
      <c r="AW412" s="681"/>
      <c r="AX412" s="230"/>
      <c r="AY412" s="230"/>
      <c r="AZ412" s="679"/>
      <c r="BA412" s="49">
        <f t="shared" si="270"/>
        <v>0</v>
      </c>
      <c r="BB412" s="49">
        <f t="shared" si="274"/>
        <v>0</v>
      </c>
      <c r="BC412" s="49">
        <f t="shared" si="275"/>
        <v>0</v>
      </c>
      <c r="BD412" s="49">
        <f t="shared" si="271"/>
        <v>0</v>
      </c>
      <c r="BE412" s="49">
        <f t="shared" si="276"/>
        <v>0</v>
      </c>
      <c r="BF412" s="49">
        <f t="shared" si="263"/>
        <v>0</v>
      </c>
      <c r="BG412" s="49">
        <f t="shared" si="264"/>
        <v>0</v>
      </c>
      <c r="BI412" s="134">
        <f t="shared" si="277"/>
        <v>0</v>
      </c>
      <c r="BJ412" s="134">
        <f t="shared" si="272"/>
        <v>0</v>
      </c>
      <c r="BK412" s="134">
        <f t="shared" si="278"/>
        <v>0</v>
      </c>
    </row>
    <row r="413" spans="1:63" hidden="1">
      <c r="A413" s="187"/>
      <c r="B413" s="2321"/>
      <c r="C413" s="2322"/>
      <c r="D413" s="2334" t="s">
        <v>695</v>
      </c>
      <c r="E413" s="2334"/>
      <c r="F413" s="2334"/>
      <c r="G413" s="2334"/>
      <c r="H413" s="2334"/>
      <c r="I413" s="2334"/>
      <c r="J413" s="2334"/>
      <c r="K413" s="2334"/>
      <c r="L413" s="2334"/>
      <c r="M413" s="2334"/>
      <c r="N413" s="2334"/>
      <c r="O413" s="2334"/>
      <c r="P413" s="2324"/>
      <c r="Q413" s="2324"/>
      <c r="R413" s="2325"/>
      <c r="S413" s="2324" t="s">
        <v>9</v>
      </c>
      <c r="T413" s="2324"/>
      <c r="U413" s="2326">
        <v>75</v>
      </c>
      <c r="V413" s="2327"/>
      <c r="W413" s="2327"/>
      <c r="X413" s="2327">
        <v>50</v>
      </c>
      <c r="Y413" s="2327"/>
      <c r="Z413" s="2327"/>
      <c r="AA413" s="2328"/>
      <c r="AB413" s="2329"/>
      <c r="AC413" s="2326"/>
      <c r="AD413" s="2330">
        <f t="shared" si="265"/>
        <v>0</v>
      </c>
      <c r="AE413" s="2330"/>
      <c r="AF413" s="2330"/>
      <c r="AG413" s="2330">
        <f t="shared" si="273"/>
        <v>0</v>
      </c>
      <c r="AH413" s="2330"/>
      <c r="AI413" s="2330"/>
      <c r="AJ413" s="2330">
        <f t="shared" si="266"/>
        <v>0</v>
      </c>
      <c r="AK413" s="2330"/>
      <c r="AL413" s="2330"/>
      <c r="AM413" s="2331">
        <f t="shared" si="267"/>
        <v>0</v>
      </c>
      <c r="AN413" s="2331"/>
      <c r="AO413" s="2331"/>
      <c r="AP413" s="2331"/>
      <c r="AQ413" s="2332">
        <f t="shared" si="268"/>
        <v>0</v>
      </c>
      <c r="AR413" s="2332"/>
      <c r="AS413" s="2332"/>
      <c r="AT413" s="2332">
        <f t="shared" si="269"/>
        <v>0</v>
      </c>
      <c r="AV413" s="151" t="str">
        <f t="shared" si="262"/>
        <v>ROOFING</v>
      </c>
      <c r="AW413" s="681"/>
      <c r="AX413" s="230"/>
      <c r="AY413" s="230"/>
      <c r="AZ413" s="679"/>
      <c r="BA413" s="49">
        <f t="shared" si="270"/>
        <v>0</v>
      </c>
      <c r="BB413" s="49">
        <f t="shared" si="274"/>
        <v>0</v>
      </c>
      <c r="BC413" s="49">
        <f t="shared" si="275"/>
        <v>0</v>
      </c>
      <c r="BD413" s="49">
        <f t="shared" si="271"/>
        <v>0</v>
      </c>
      <c r="BE413" s="49">
        <f t="shared" si="276"/>
        <v>0</v>
      </c>
      <c r="BF413" s="49">
        <f t="shared" si="263"/>
        <v>0</v>
      </c>
      <c r="BG413" s="49">
        <f t="shared" si="264"/>
        <v>0</v>
      </c>
      <c r="BI413" s="134">
        <f t="shared" si="277"/>
        <v>0</v>
      </c>
      <c r="BJ413" s="134">
        <f t="shared" si="272"/>
        <v>0</v>
      </c>
      <c r="BK413" s="134">
        <f t="shared" si="278"/>
        <v>0</v>
      </c>
    </row>
    <row r="414" spans="1:63" hidden="1">
      <c r="A414" s="187"/>
      <c r="B414" s="2321"/>
      <c r="C414" s="2322"/>
      <c r="D414" s="2334" t="s">
        <v>698</v>
      </c>
      <c r="E414" s="2334"/>
      <c r="F414" s="2334"/>
      <c r="G414" s="2334"/>
      <c r="H414" s="2334"/>
      <c r="I414" s="2334"/>
      <c r="J414" s="2334"/>
      <c r="K414" s="2334"/>
      <c r="L414" s="2334"/>
      <c r="M414" s="2334"/>
      <c r="N414" s="2334"/>
      <c r="O414" s="2334"/>
      <c r="P414" s="2324"/>
      <c r="Q414" s="2324"/>
      <c r="R414" s="2325"/>
      <c r="S414" s="2324" t="s">
        <v>9</v>
      </c>
      <c r="T414" s="2324"/>
      <c r="U414" s="2326">
        <v>250</v>
      </c>
      <c r="V414" s="2327"/>
      <c r="W414" s="2327"/>
      <c r="X414" s="2327">
        <v>175</v>
      </c>
      <c r="Y414" s="2327"/>
      <c r="Z414" s="2327"/>
      <c r="AA414" s="2328"/>
      <c r="AB414" s="2329"/>
      <c r="AC414" s="2326"/>
      <c r="AD414" s="2330">
        <f t="shared" si="265"/>
        <v>0</v>
      </c>
      <c r="AE414" s="2330"/>
      <c r="AF414" s="2330"/>
      <c r="AG414" s="2330">
        <f t="shared" si="273"/>
        <v>0</v>
      </c>
      <c r="AH414" s="2330"/>
      <c r="AI414" s="2330"/>
      <c r="AJ414" s="2330">
        <f t="shared" si="266"/>
        <v>0</v>
      </c>
      <c r="AK414" s="2330"/>
      <c r="AL414" s="2330"/>
      <c r="AM414" s="2331">
        <f t="shared" si="267"/>
        <v>0</v>
      </c>
      <c r="AN414" s="2331"/>
      <c r="AO414" s="2331"/>
      <c r="AP414" s="2331"/>
      <c r="AQ414" s="2332">
        <f t="shared" si="268"/>
        <v>0</v>
      </c>
      <c r="AR414" s="2332"/>
      <c r="AS414" s="2332"/>
      <c r="AT414" s="2332">
        <f t="shared" si="269"/>
        <v>0</v>
      </c>
      <c r="AV414" s="151" t="str">
        <f t="shared" si="262"/>
        <v>ROOFING</v>
      </c>
      <c r="AW414" s="681"/>
      <c r="AX414" s="230"/>
      <c r="AY414" s="230"/>
      <c r="AZ414" s="679"/>
      <c r="BA414" s="49">
        <f t="shared" si="270"/>
        <v>0</v>
      </c>
      <c r="BB414" s="49">
        <f t="shared" si="274"/>
        <v>0</v>
      </c>
      <c r="BC414" s="49">
        <f t="shared" si="275"/>
        <v>0</v>
      </c>
      <c r="BD414" s="49">
        <f t="shared" si="271"/>
        <v>0</v>
      </c>
      <c r="BE414" s="49">
        <f t="shared" si="276"/>
        <v>0</v>
      </c>
      <c r="BF414" s="49">
        <f t="shared" si="263"/>
        <v>0</v>
      </c>
      <c r="BG414" s="49">
        <f t="shared" si="264"/>
        <v>0</v>
      </c>
      <c r="BI414" s="134">
        <f t="shared" si="277"/>
        <v>0</v>
      </c>
      <c r="BJ414" s="134">
        <f t="shared" si="272"/>
        <v>0</v>
      </c>
      <c r="BK414" s="134">
        <f t="shared" si="278"/>
        <v>0</v>
      </c>
    </row>
    <row r="415" spans="1:63" hidden="1">
      <c r="A415" s="187"/>
      <c r="B415" s="2321"/>
      <c r="C415" s="2322"/>
      <c r="D415" s="2334" t="s">
        <v>699</v>
      </c>
      <c r="E415" s="2334"/>
      <c r="F415" s="2334"/>
      <c r="G415" s="2334"/>
      <c r="H415" s="2334"/>
      <c r="I415" s="2334"/>
      <c r="J415" s="2334"/>
      <c r="K415" s="2334"/>
      <c r="L415" s="2334"/>
      <c r="M415" s="2334"/>
      <c r="N415" s="2334"/>
      <c r="O415" s="2334"/>
      <c r="P415" s="2324"/>
      <c r="Q415" s="2324"/>
      <c r="R415" s="2325"/>
      <c r="S415" s="2324" t="s">
        <v>9</v>
      </c>
      <c r="T415" s="2324"/>
      <c r="U415" s="2326">
        <v>250</v>
      </c>
      <c r="V415" s="2327"/>
      <c r="W415" s="2327"/>
      <c r="X415" s="2327">
        <v>350</v>
      </c>
      <c r="Y415" s="2327"/>
      <c r="Z415" s="2327"/>
      <c r="AA415" s="2328"/>
      <c r="AB415" s="2329"/>
      <c r="AC415" s="2326"/>
      <c r="AD415" s="2330">
        <f t="shared" si="265"/>
        <v>0</v>
      </c>
      <c r="AE415" s="2330"/>
      <c r="AF415" s="2330"/>
      <c r="AG415" s="2330">
        <f t="shared" si="273"/>
        <v>0</v>
      </c>
      <c r="AH415" s="2330"/>
      <c r="AI415" s="2330"/>
      <c r="AJ415" s="2330">
        <f t="shared" si="266"/>
        <v>0</v>
      </c>
      <c r="AK415" s="2330"/>
      <c r="AL415" s="2330"/>
      <c r="AM415" s="2331">
        <f t="shared" si="267"/>
        <v>0</v>
      </c>
      <c r="AN415" s="2331"/>
      <c r="AO415" s="2331"/>
      <c r="AP415" s="2331"/>
      <c r="AQ415" s="2332">
        <f t="shared" si="268"/>
        <v>0</v>
      </c>
      <c r="AR415" s="2332"/>
      <c r="AS415" s="2332"/>
      <c r="AT415" s="2332">
        <f t="shared" si="269"/>
        <v>0</v>
      </c>
      <c r="AV415" s="151" t="str">
        <f t="shared" si="262"/>
        <v>ROOFING</v>
      </c>
      <c r="AW415" s="681"/>
      <c r="AX415" s="230"/>
      <c r="AY415" s="230"/>
      <c r="AZ415" s="679"/>
      <c r="BA415" s="49">
        <f t="shared" si="270"/>
        <v>0</v>
      </c>
      <c r="BB415" s="49">
        <f t="shared" si="274"/>
        <v>0</v>
      </c>
      <c r="BC415" s="49">
        <f t="shared" si="275"/>
        <v>0</v>
      </c>
      <c r="BD415" s="49">
        <f t="shared" si="271"/>
        <v>0</v>
      </c>
      <c r="BE415" s="49">
        <f t="shared" si="276"/>
        <v>0</v>
      </c>
      <c r="BF415" s="49">
        <f t="shared" si="263"/>
        <v>0</v>
      </c>
      <c r="BG415" s="49">
        <f t="shared" si="264"/>
        <v>0</v>
      </c>
      <c r="BI415" s="134">
        <f t="shared" si="277"/>
        <v>0</v>
      </c>
      <c r="BJ415" s="134">
        <f t="shared" si="272"/>
        <v>0</v>
      </c>
      <c r="BK415" s="134">
        <f t="shared" si="278"/>
        <v>0</v>
      </c>
    </row>
    <row r="416" spans="1:63" hidden="1">
      <c r="A416" s="187"/>
      <c r="B416" s="2333"/>
      <c r="C416" s="2333"/>
      <c r="D416" s="2334" t="s">
        <v>10</v>
      </c>
      <c r="E416" s="2334"/>
      <c r="F416" s="2334"/>
      <c r="G416" s="2334"/>
      <c r="H416" s="2334"/>
      <c r="I416" s="2334"/>
      <c r="J416" s="2334"/>
      <c r="K416" s="2334"/>
      <c r="L416" s="2334"/>
      <c r="M416" s="2334"/>
      <c r="N416" s="2334"/>
      <c r="O416" s="2334"/>
      <c r="P416" s="2324"/>
      <c r="Q416" s="2324"/>
      <c r="R416" s="2325"/>
      <c r="S416" s="2324" t="s">
        <v>215</v>
      </c>
      <c r="T416" s="2324" t="s">
        <v>215</v>
      </c>
      <c r="U416" s="2326">
        <v>15</v>
      </c>
      <c r="V416" s="2327"/>
      <c r="W416" s="2327"/>
      <c r="X416" s="2327">
        <v>25</v>
      </c>
      <c r="Y416" s="2327"/>
      <c r="Z416" s="2327">
        <v>25</v>
      </c>
      <c r="AA416" s="2328"/>
      <c r="AB416" s="2329"/>
      <c r="AC416" s="2326"/>
      <c r="AD416" s="2330">
        <f t="shared" si="265"/>
        <v>0</v>
      </c>
      <c r="AE416" s="2330"/>
      <c r="AF416" s="2330"/>
      <c r="AG416" s="2330">
        <f t="shared" si="273"/>
        <v>0</v>
      </c>
      <c r="AH416" s="2330"/>
      <c r="AI416" s="2330"/>
      <c r="AJ416" s="2330">
        <f t="shared" si="266"/>
        <v>0</v>
      </c>
      <c r="AK416" s="2330"/>
      <c r="AL416" s="2330"/>
      <c r="AM416" s="2331">
        <f t="shared" si="267"/>
        <v>0</v>
      </c>
      <c r="AN416" s="2331"/>
      <c r="AO416" s="2331"/>
      <c r="AP416" s="2331"/>
      <c r="AQ416" s="2332">
        <f t="shared" si="268"/>
        <v>0</v>
      </c>
      <c r="AR416" s="2332"/>
      <c r="AS416" s="2332"/>
      <c r="AT416" s="2332">
        <f t="shared" si="269"/>
        <v>0</v>
      </c>
      <c r="AV416" s="151" t="str">
        <f t="shared" si="262"/>
        <v>ROOFING</v>
      </c>
      <c r="AW416" s="681"/>
      <c r="AX416" s="230"/>
      <c r="AY416" s="230"/>
      <c r="AZ416" s="679"/>
      <c r="BA416" s="49">
        <f t="shared" si="270"/>
        <v>0</v>
      </c>
      <c r="BB416" s="49">
        <f t="shared" si="274"/>
        <v>0</v>
      </c>
      <c r="BC416" s="49">
        <f t="shared" si="275"/>
        <v>0</v>
      </c>
      <c r="BD416" s="49">
        <f t="shared" si="271"/>
        <v>0</v>
      </c>
      <c r="BE416" s="49">
        <f t="shared" si="276"/>
        <v>0</v>
      </c>
      <c r="BF416" s="49">
        <f t="shared" si="263"/>
        <v>0</v>
      </c>
      <c r="BG416" s="49">
        <f t="shared" si="264"/>
        <v>0</v>
      </c>
      <c r="BI416" s="134">
        <f t="shared" si="277"/>
        <v>0</v>
      </c>
      <c r="BJ416" s="134">
        <f t="shared" si="272"/>
        <v>0</v>
      </c>
      <c r="BK416" s="134">
        <f t="shared" si="278"/>
        <v>0</v>
      </c>
    </row>
    <row r="417" spans="1:63" hidden="1">
      <c r="A417" s="187"/>
      <c r="B417" s="2321"/>
      <c r="C417" s="2322"/>
      <c r="D417" s="2334"/>
      <c r="E417" s="2334"/>
      <c r="F417" s="2334"/>
      <c r="G417" s="2334"/>
      <c r="H417" s="2334"/>
      <c r="I417" s="2334"/>
      <c r="J417" s="2334"/>
      <c r="K417" s="2334"/>
      <c r="L417" s="2334"/>
      <c r="M417" s="2334"/>
      <c r="N417" s="2334"/>
      <c r="O417" s="2334"/>
      <c r="P417" s="2324"/>
      <c r="Q417" s="2324"/>
      <c r="R417" s="2325"/>
      <c r="S417" s="2324"/>
      <c r="T417" s="2324"/>
      <c r="U417" s="2326"/>
      <c r="V417" s="2327"/>
      <c r="W417" s="2327"/>
      <c r="X417" s="2327"/>
      <c r="Y417" s="2327"/>
      <c r="Z417" s="2327"/>
      <c r="AA417" s="2328"/>
      <c r="AB417" s="2329"/>
      <c r="AC417" s="2326"/>
      <c r="AD417" s="2330">
        <f t="shared" si="265"/>
        <v>0</v>
      </c>
      <c r="AE417" s="2330"/>
      <c r="AF417" s="2330"/>
      <c r="AG417" s="2330">
        <f t="shared" si="273"/>
        <v>0</v>
      </c>
      <c r="AH417" s="2330"/>
      <c r="AI417" s="2330"/>
      <c r="AJ417" s="2330">
        <f t="shared" si="266"/>
        <v>0</v>
      </c>
      <c r="AK417" s="2330"/>
      <c r="AL417" s="2330"/>
      <c r="AM417" s="2331">
        <f t="shared" si="267"/>
        <v>0</v>
      </c>
      <c r="AN417" s="2331"/>
      <c r="AO417" s="2331"/>
      <c r="AP417" s="2331"/>
      <c r="AQ417" s="2332">
        <f t="shared" si="268"/>
        <v>0</v>
      </c>
      <c r="AR417" s="2332"/>
      <c r="AS417" s="2332"/>
      <c r="AT417" s="2332">
        <f t="shared" si="269"/>
        <v>0</v>
      </c>
      <c r="AV417" s="151" t="str">
        <f t="shared" si="262"/>
        <v>ROOFING</v>
      </c>
      <c r="AW417" s="681"/>
      <c r="AX417" s="230"/>
      <c r="AY417" s="230"/>
      <c r="AZ417" s="679"/>
      <c r="BA417" s="49">
        <f t="shared" si="270"/>
        <v>0</v>
      </c>
      <c r="BB417" s="49">
        <f t="shared" si="274"/>
        <v>0</v>
      </c>
      <c r="BC417" s="49">
        <f t="shared" si="275"/>
        <v>0</v>
      </c>
      <c r="BD417" s="49">
        <f t="shared" si="271"/>
        <v>0</v>
      </c>
      <c r="BE417" s="49">
        <f t="shared" si="276"/>
        <v>0</v>
      </c>
      <c r="BF417" s="49">
        <f t="shared" si="263"/>
        <v>0</v>
      </c>
      <c r="BG417" s="49">
        <f t="shared" si="264"/>
        <v>0</v>
      </c>
      <c r="BI417" s="134">
        <f t="shared" si="277"/>
        <v>0</v>
      </c>
      <c r="BJ417" s="134">
        <f t="shared" si="272"/>
        <v>0</v>
      </c>
      <c r="BK417" s="134">
        <f t="shared" si="278"/>
        <v>0</v>
      </c>
    </row>
    <row r="418" spans="1:63" hidden="1">
      <c r="A418" s="187"/>
      <c r="B418" s="2321"/>
      <c r="C418" s="2322"/>
      <c r="D418" s="2337" t="s">
        <v>700</v>
      </c>
      <c r="E418" s="2337"/>
      <c r="F418" s="2337"/>
      <c r="G418" s="2337"/>
      <c r="H418" s="2337"/>
      <c r="I418" s="2337"/>
      <c r="J418" s="2337"/>
      <c r="K418" s="2337"/>
      <c r="L418" s="2337"/>
      <c r="M418" s="2337"/>
      <c r="N418" s="2337"/>
      <c r="O418" s="2337"/>
      <c r="P418" s="2324"/>
      <c r="Q418" s="2324"/>
      <c r="R418" s="2325"/>
      <c r="S418" s="2324"/>
      <c r="T418" s="2324"/>
      <c r="U418" s="2326"/>
      <c r="V418" s="2327"/>
      <c r="W418" s="2327"/>
      <c r="X418" s="2327"/>
      <c r="Y418" s="2327"/>
      <c r="Z418" s="2327"/>
      <c r="AA418" s="2328"/>
      <c r="AB418" s="2329"/>
      <c r="AC418" s="2326"/>
      <c r="AD418" s="2330">
        <f t="shared" si="265"/>
        <v>0</v>
      </c>
      <c r="AE418" s="2330"/>
      <c r="AF418" s="2330"/>
      <c r="AG418" s="2330">
        <f t="shared" si="273"/>
        <v>0</v>
      </c>
      <c r="AH418" s="2330"/>
      <c r="AI418" s="2330"/>
      <c r="AJ418" s="2330">
        <f t="shared" si="266"/>
        <v>0</v>
      </c>
      <c r="AK418" s="2330"/>
      <c r="AL418" s="2330"/>
      <c r="AM418" s="2331">
        <f t="shared" si="267"/>
        <v>0</v>
      </c>
      <c r="AN418" s="2331"/>
      <c r="AO418" s="2331"/>
      <c r="AP418" s="2331"/>
      <c r="AQ418" s="2332">
        <f t="shared" si="268"/>
        <v>0</v>
      </c>
      <c r="AR418" s="2332"/>
      <c r="AS418" s="2332"/>
      <c r="AT418" s="2332">
        <f t="shared" si="269"/>
        <v>0</v>
      </c>
      <c r="AV418" s="151" t="str">
        <f t="shared" si="262"/>
        <v>ROOFING</v>
      </c>
      <c r="AW418" s="681"/>
      <c r="AX418" s="230"/>
      <c r="AY418" s="230"/>
      <c r="AZ418" s="679"/>
      <c r="BA418" s="49">
        <f t="shared" si="270"/>
        <v>0</v>
      </c>
      <c r="BB418" s="49">
        <f t="shared" si="274"/>
        <v>0</v>
      </c>
      <c r="BC418" s="49">
        <f t="shared" si="275"/>
        <v>0</v>
      </c>
      <c r="BD418" s="49">
        <f t="shared" si="271"/>
        <v>0</v>
      </c>
      <c r="BE418" s="49">
        <f t="shared" si="276"/>
        <v>0</v>
      </c>
      <c r="BF418" s="49">
        <f t="shared" si="263"/>
        <v>0</v>
      </c>
      <c r="BG418" s="49">
        <f t="shared" si="264"/>
        <v>0</v>
      </c>
      <c r="BI418" s="134">
        <f t="shared" si="277"/>
        <v>0</v>
      </c>
      <c r="BJ418" s="134">
        <f t="shared" si="272"/>
        <v>0</v>
      </c>
      <c r="BK418" s="134">
        <f t="shared" si="278"/>
        <v>0</v>
      </c>
    </row>
    <row r="419" spans="1:63" hidden="1">
      <c r="A419" s="187"/>
      <c r="B419" s="2321"/>
      <c r="C419" s="2322"/>
      <c r="D419" s="2334" t="s">
        <v>701</v>
      </c>
      <c r="E419" s="2334"/>
      <c r="F419" s="2334"/>
      <c r="G419" s="2334"/>
      <c r="H419" s="2334"/>
      <c r="I419" s="2334"/>
      <c r="J419" s="2334"/>
      <c r="K419" s="2334"/>
      <c r="L419" s="2334"/>
      <c r="M419" s="2334"/>
      <c r="N419" s="2334"/>
      <c r="O419" s="2334"/>
      <c r="P419" s="2324"/>
      <c r="Q419" s="2324"/>
      <c r="R419" s="2325"/>
      <c r="S419" s="2324" t="s">
        <v>9</v>
      </c>
      <c r="T419" s="2324"/>
      <c r="U419" s="2326">
        <v>300</v>
      </c>
      <c r="V419" s="2327"/>
      <c r="W419" s="2327"/>
      <c r="X419" s="2327">
        <v>500</v>
      </c>
      <c r="Y419" s="2327"/>
      <c r="Z419" s="2327"/>
      <c r="AA419" s="2328"/>
      <c r="AB419" s="2329"/>
      <c r="AC419" s="2326"/>
      <c r="AD419" s="2330">
        <f t="shared" si="265"/>
        <v>0</v>
      </c>
      <c r="AE419" s="2330"/>
      <c r="AF419" s="2330"/>
      <c r="AG419" s="2330">
        <f t="shared" si="273"/>
        <v>0</v>
      </c>
      <c r="AH419" s="2330"/>
      <c r="AI419" s="2330"/>
      <c r="AJ419" s="2330">
        <f t="shared" si="266"/>
        <v>0</v>
      </c>
      <c r="AK419" s="2330"/>
      <c r="AL419" s="2330"/>
      <c r="AM419" s="2331">
        <f t="shared" si="267"/>
        <v>0</v>
      </c>
      <c r="AN419" s="2331"/>
      <c r="AO419" s="2331"/>
      <c r="AP419" s="2331"/>
      <c r="AQ419" s="2332">
        <f t="shared" si="268"/>
        <v>0</v>
      </c>
      <c r="AR419" s="2332"/>
      <c r="AS419" s="2332"/>
      <c r="AT419" s="2332">
        <f t="shared" si="269"/>
        <v>0</v>
      </c>
      <c r="AV419" s="151" t="str">
        <f t="shared" si="262"/>
        <v>ROOFING</v>
      </c>
      <c r="AW419" s="681"/>
      <c r="AX419" s="230"/>
      <c r="AY419" s="230"/>
      <c r="AZ419" s="679"/>
      <c r="BA419" s="49">
        <f t="shared" si="270"/>
        <v>0</v>
      </c>
      <c r="BB419" s="49">
        <f t="shared" si="274"/>
        <v>0</v>
      </c>
      <c r="BC419" s="49">
        <f t="shared" si="275"/>
        <v>0</v>
      </c>
      <c r="BD419" s="49">
        <f t="shared" si="271"/>
        <v>0</v>
      </c>
      <c r="BE419" s="49">
        <f t="shared" si="276"/>
        <v>0</v>
      </c>
      <c r="BF419" s="49">
        <f t="shared" si="263"/>
        <v>0</v>
      </c>
      <c r="BG419" s="49">
        <f t="shared" si="264"/>
        <v>0</v>
      </c>
      <c r="BI419" s="134">
        <f t="shared" si="277"/>
        <v>0</v>
      </c>
      <c r="BJ419" s="134">
        <f t="shared" si="272"/>
        <v>0</v>
      </c>
      <c r="BK419" s="134">
        <f t="shared" si="278"/>
        <v>0</v>
      </c>
    </row>
    <row r="420" spans="1:63" hidden="1">
      <c r="A420" s="187"/>
      <c r="B420" s="2333"/>
      <c r="C420" s="2333"/>
      <c r="D420" s="2334"/>
      <c r="E420" s="2334"/>
      <c r="F420" s="2334"/>
      <c r="G420" s="2334"/>
      <c r="H420" s="2334"/>
      <c r="I420" s="2334"/>
      <c r="J420" s="2334"/>
      <c r="K420" s="2334"/>
      <c r="L420" s="2334"/>
      <c r="M420" s="2334"/>
      <c r="N420" s="2334"/>
      <c r="O420" s="2334"/>
      <c r="P420" s="2324"/>
      <c r="Q420" s="2324"/>
      <c r="R420" s="2325"/>
      <c r="S420" s="2324"/>
      <c r="T420" s="2324"/>
      <c r="U420" s="2326"/>
      <c r="V420" s="2327"/>
      <c r="W420" s="2327"/>
      <c r="X420" s="2327"/>
      <c r="Y420" s="2327"/>
      <c r="Z420" s="2327"/>
      <c r="AA420" s="2328"/>
      <c r="AB420" s="2329"/>
      <c r="AC420" s="2326"/>
      <c r="AD420" s="2330">
        <f t="shared" si="265"/>
        <v>0</v>
      </c>
      <c r="AE420" s="2330"/>
      <c r="AF420" s="2330"/>
      <c r="AG420" s="2330">
        <f t="shared" si="273"/>
        <v>0</v>
      </c>
      <c r="AH420" s="2330"/>
      <c r="AI420" s="2330"/>
      <c r="AJ420" s="2330">
        <f t="shared" si="266"/>
        <v>0</v>
      </c>
      <c r="AK420" s="2330"/>
      <c r="AL420" s="2330"/>
      <c r="AM420" s="2331">
        <f t="shared" si="267"/>
        <v>0</v>
      </c>
      <c r="AN420" s="2331"/>
      <c r="AO420" s="2331"/>
      <c r="AP420" s="2331"/>
      <c r="AQ420" s="2332">
        <f t="shared" si="268"/>
        <v>0</v>
      </c>
      <c r="AR420" s="2332"/>
      <c r="AS420" s="2332"/>
      <c r="AT420" s="2332">
        <f t="shared" si="269"/>
        <v>0</v>
      </c>
      <c r="AV420" s="151" t="str">
        <f t="shared" si="262"/>
        <v>ROOFING</v>
      </c>
      <c r="AW420" s="681"/>
      <c r="AX420" s="230"/>
      <c r="AY420" s="230"/>
      <c r="AZ420" s="679"/>
      <c r="BA420" s="49">
        <f t="shared" si="270"/>
        <v>0</v>
      </c>
      <c r="BB420" s="49">
        <f t="shared" si="274"/>
        <v>0</v>
      </c>
      <c r="BC420" s="49">
        <f t="shared" si="275"/>
        <v>0</v>
      </c>
      <c r="BD420" s="49">
        <f t="shared" si="271"/>
        <v>0</v>
      </c>
      <c r="BE420" s="49">
        <f t="shared" si="276"/>
        <v>0</v>
      </c>
      <c r="BF420" s="49">
        <f t="shared" si="263"/>
        <v>0</v>
      </c>
      <c r="BG420" s="49">
        <f t="shared" si="264"/>
        <v>0</v>
      </c>
      <c r="BI420" s="134">
        <f t="shared" si="277"/>
        <v>0</v>
      </c>
      <c r="BJ420" s="134">
        <f t="shared" si="272"/>
        <v>0</v>
      </c>
      <c r="BK420" s="134">
        <f t="shared" si="278"/>
        <v>0</v>
      </c>
    </row>
    <row r="421" spans="1:63" hidden="1">
      <c r="A421" s="187"/>
      <c r="B421" s="2321"/>
      <c r="C421" s="2322"/>
      <c r="D421" s="2334" t="s">
        <v>702</v>
      </c>
      <c r="E421" s="2334"/>
      <c r="F421" s="2334"/>
      <c r="G421" s="2334"/>
      <c r="H421" s="2334"/>
      <c r="I421" s="2334"/>
      <c r="J421" s="2334"/>
      <c r="K421" s="2334"/>
      <c r="L421" s="2334"/>
      <c r="M421" s="2334"/>
      <c r="N421" s="2334"/>
      <c r="O421" s="2334"/>
      <c r="P421" s="2324"/>
      <c r="Q421" s="2324"/>
      <c r="R421" s="2325"/>
      <c r="S421" s="2324" t="s">
        <v>12</v>
      </c>
      <c r="T421" s="2324"/>
      <c r="U421" s="2326">
        <v>4</v>
      </c>
      <c r="V421" s="2327"/>
      <c r="W421" s="2327"/>
      <c r="X421" s="2327">
        <v>3</v>
      </c>
      <c r="Y421" s="2327"/>
      <c r="Z421" s="2327"/>
      <c r="AA421" s="2328"/>
      <c r="AB421" s="2329"/>
      <c r="AC421" s="2326"/>
      <c r="AD421" s="2330">
        <f t="shared" si="265"/>
        <v>0</v>
      </c>
      <c r="AE421" s="2330"/>
      <c r="AF421" s="2330"/>
      <c r="AG421" s="2330">
        <f t="shared" si="273"/>
        <v>0</v>
      </c>
      <c r="AH421" s="2330"/>
      <c r="AI421" s="2330"/>
      <c r="AJ421" s="2330">
        <f t="shared" si="266"/>
        <v>0</v>
      </c>
      <c r="AK421" s="2330"/>
      <c r="AL421" s="2330"/>
      <c r="AM421" s="2331">
        <f t="shared" si="267"/>
        <v>0</v>
      </c>
      <c r="AN421" s="2331"/>
      <c r="AO421" s="2331"/>
      <c r="AP421" s="2331"/>
      <c r="AQ421" s="2332">
        <f t="shared" si="268"/>
        <v>0</v>
      </c>
      <c r="AR421" s="2332"/>
      <c r="AS421" s="2332"/>
      <c r="AT421" s="2332">
        <f t="shared" si="269"/>
        <v>0</v>
      </c>
      <c r="AV421" s="151" t="str">
        <f t="shared" si="262"/>
        <v>ROOFING</v>
      </c>
      <c r="AW421" s="681"/>
      <c r="AX421" s="230"/>
      <c r="AY421" s="230"/>
      <c r="AZ421" s="679"/>
      <c r="BA421" s="49">
        <f t="shared" si="270"/>
        <v>0</v>
      </c>
      <c r="BB421" s="49">
        <f t="shared" si="274"/>
        <v>0</v>
      </c>
      <c r="BC421" s="49">
        <f t="shared" si="275"/>
        <v>0</v>
      </c>
      <c r="BD421" s="49">
        <f t="shared" si="271"/>
        <v>0</v>
      </c>
      <c r="BE421" s="49">
        <f>SUM(BA421:BC421)</f>
        <v>0</v>
      </c>
      <c r="BF421" s="49">
        <f t="shared" si="263"/>
        <v>0</v>
      </c>
      <c r="BG421" s="49">
        <f t="shared" si="264"/>
        <v>0</v>
      </c>
      <c r="BI421" s="134">
        <f t="shared" si="277"/>
        <v>0</v>
      </c>
      <c r="BJ421" s="134">
        <f t="shared" si="272"/>
        <v>0</v>
      </c>
      <c r="BK421" s="134">
        <f t="shared" si="278"/>
        <v>0</v>
      </c>
    </row>
    <row r="422" spans="1:63" hidden="1">
      <c r="A422" s="187"/>
      <c r="B422" s="2321"/>
      <c r="C422" s="2322"/>
      <c r="D422" s="2334" t="s">
        <v>730</v>
      </c>
      <c r="E422" s="2334"/>
      <c r="F422" s="2334"/>
      <c r="G422" s="2334"/>
      <c r="H422" s="2334"/>
      <c r="I422" s="2334"/>
      <c r="J422" s="2334"/>
      <c r="K422" s="2334"/>
      <c r="L422" s="2334"/>
      <c r="M422" s="2334"/>
      <c r="N422" s="2334"/>
      <c r="O422" s="2334"/>
      <c r="P422" s="2324"/>
      <c r="Q422" s="2324"/>
      <c r="R422" s="2325"/>
      <c r="S422" s="2324" t="s">
        <v>18</v>
      </c>
      <c r="T422" s="2324"/>
      <c r="U422" s="2326">
        <v>20</v>
      </c>
      <c r="V422" s="2327"/>
      <c r="W422" s="2327"/>
      <c r="X422" s="2327"/>
      <c r="Y422" s="2327"/>
      <c r="Z422" s="2327"/>
      <c r="AA422" s="2328"/>
      <c r="AB422" s="2329"/>
      <c r="AC422" s="2326"/>
      <c r="AD422" s="2330">
        <f t="shared" si="265"/>
        <v>0</v>
      </c>
      <c r="AE422" s="2330"/>
      <c r="AF422" s="2330"/>
      <c r="AG422" s="2330">
        <f t="shared" si="273"/>
        <v>0</v>
      </c>
      <c r="AH422" s="2330"/>
      <c r="AI422" s="2330"/>
      <c r="AJ422" s="2330">
        <f t="shared" si="266"/>
        <v>0</v>
      </c>
      <c r="AK422" s="2330"/>
      <c r="AL422" s="2330"/>
      <c r="AM422" s="2331">
        <f t="shared" si="267"/>
        <v>0</v>
      </c>
      <c r="AN422" s="2331"/>
      <c r="AO422" s="2331"/>
      <c r="AP422" s="2331"/>
      <c r="AQ422" s="2332">
        <f t="shared" si="268"/>
        <v>0</v>
      </c>
      <c r="AR422" s="2332"/>
      <c r="AS422" s="2332"/>
      <c r="AT422" s="2332">
        <f t="shared" si="269"/>
        <v>0</v>
      </c>
      <c r="AV422" s="151" t="str">
        <f t="shared" si="262"/>
        <v>ROOFING</v>
      </c>
      <c r="AW422" s="681"/>
      <c r="AX422" s="230"/>
      <c r="AY422" s="230"/>
      <c r="AZ422" s="679"/>
      <c r="BA422" s="49">
        <f t="shared" si="270"/>
        <v>0</v>
      </c>
      <c r="BB422" s="49">
        <f t="shared" si="274"/>
        <v>0</v>
      </c>
      <c r="BC422" s="49">
        <f t="shared" si="275"/>
        <v>0</v>
      </c>
      <c r="BD422" s="49">
        <f t="shared" si="271"/>
        <v>0</v>
      </c>
      <c r="BE422" s="49">
        <f>SUM(BA422:BC422)</f>
        <v>0</v>
      </c>
      <c r="BF422" s="49">
        <f t="shared" si="263"/>
        <v>0</v>
      </c>
      <c r="BG422" s="49">
        <f t="shared" si="264"/>
        <v>0</v>
      </c>
      <c r="BI422" s="134">
        <f t="shared" si="277"/>
        <v>0</v>
      </c>
      <c r="BJ422" s="134">
        <f t="shared" si="272"/>
        <v>0</v>
      </c>
      <c r="BK422" s="134">
        <f t="shared" si="278"/>
        <v>0</v>
      </c>
    </row>
    <row r="423" spans="1:63" hidden="1">
      <c r="A423" s="187"/>
      <c r="B423" s="2333"/>
      <c r="C423" s="2333"/>
      <c r="D423" s="2334"/>
      <c r="E423" s="2334"/>
      <c r="F423" s="2334"/>
      <c r="G423" s="2334"/>
      <c r="H423" s="2334"/>
      <c r="I423" s="2334"/>
      <c r="J423" s="2334"/>
      <c r="K423" s="2334"/>
      <c r="L423" s="2334"/>
      <c r="M423" s="2334"/>
      <c r="N423" s="2334"/>
      <c r="O423" s="2334"/>
      <c r="P423" s="2324"/>
      <c r="Q423" s="2324"/>
      <c r="R423" s="2325"/>
      <c r="S423" s="2324"/>
      <c r="T423" s="2324"/>
      <c r="U423" s="2326"/>
      <c r="V423" s="2327"/>
      <c r="W423" s="2327"/>
      <c r="X423" s="2327"/>
      <c r="Y423" s="2327"/>
      <c r="Z423" s="2327"/>
      <c r="AA423" s="2328"/>
      <c r="AB423" s="2329"/>
      <c r="AC423" s="2326"/>
      <c r="AD423" s="2330">
        <f t="shared" si="265"/>
        <v>0</v>
      </c>
      <c r="AE423" s="2330"/>
      <c r="AF423" s="2330"/>
      <c r="AG423" s="2330">
        <f t="shared" si="273"/>
        <v>0</v>
      </c>
      <c r="AH423" s="2330"/>
      <c r="AI423" s="2330"/>
      <c r="AJ423" s="2330">
        <f t="shared" si="266"/>
        <v>0</v>
      </c>
      <c r="AK423" s="2330"/>
      <c r="AL423" s="2330"/>
      <c r="AM423" s="2331">
        <f t="shared" si="267"/>
        <v>0</v>
      </c>
      <c r="AN423" s="2331"/>
      <c r="AO423" s="2331"/>
      <c r="AP423" s="2331"/>
      <c r="AQ423" s="2332">
        <f t="shared" si="268"/>
        <v>0</v>
      </c>
      <c r="AR423" s="2332"/>
      <c r="AS423" s="2332"/>
      <c r="AT423" s="2332">
        <f t="shared" si="269"/>
        <v>0</v>
      </c>
      <c r="AV423" s="151" t="str">
        <f t="shared" si="262"/>
        <v>ROOFING</v>
      </c>
      <c r="AW423" s="681"/>
      <c r="AX423" s="230"/>
      <c r="AY423" s="230"/>
      <c r="AZ423" s="679"/>
      <c r="BA423" s="49">
        <f t="shared" si="270"/>
        <v>0</v>
      </c>
      <c r="BB423" s="49">
        <f t="shared" si="274"/>
        <v>0</v>
      </c>
      <c r="BC423" s="49">
        <f t="shared" si="275"/>
        <v>0</v>
      </c>
      <c r="BD423" s="49">
        <f t="shared" si="271"/>
        <v>0</v>
      </c>
      <c r="BE423" s="49">
        <f t="shared" ref="BE423:BE428" si="279">SUM(BA423:BC423)</f>
        <v>0</v>
      </c>
      <c r="BF423" s="49">
        <f t="shared" si="263"/>
        <v>0</v>
      </c>
      <c r="BG423" s="49">
        <f t="shared" si="264"/>
        <v>0</v>
      </c>
      <c r="BI423" s="134">
        <f t="shared" si="277"/>
        <v>0</v>
      </c>
      <c r="BJ423" s="134">
        <f t="shared" si="272"/>
        <v>0</v>
      </c>
      <c r="BK423" s="134">
        <f t="shared" si="278"/>
        <v>0</v>
      </c>
    </row>
    <row r="424" spans="1:63" hidden="1">
      <c r="A424" s="187"/>
      <c r="B424" s="2333"/>
      <c r="C424" s="2333"/>
      <c r="D424" s="2334"/>
      <c r="E424" s="2334"/>
      <c r="F424" s="2334"/>
      <c r="G424" s="2334"/>
      <c r="H424" s="2334"/>
      <c r="I424" s="2334"/>
      <c r="J424" s="2334"/>
      <c r="K424" s="2334"/>
      <c r="L424" s="2334"/>
      <c r="M424" s="2334"/>
      <c r="N424" s="2334"/>
      <c r="O424" s="2334"/>
      <c r="P424" s="2324"/>
      <c r="Q424" s="2324"/>
      <c r="R424" s="2325"/>
      <c r="S424" s="2324"/>
      <c r="T424" s="2324"/>
      <c r="U424" s="2326"/>
      <c r="V424" s="2327"/>
      <c r="W424" s="2327"/>
      <c r="X424" s="2327"/>
      <c r="Y424" s="2327"/>
      <c r="Z424" s="2327"/>
      <c r="AA424" s="2328"/>
      <c r="AB424" s="2329"/>
      <c r="AC424" s="2326"/>
      <c r="AD424" s="2330">
        <f t="shared" si="265"/>
        <v>0</v>
      </c>
      <c r="AE424" s="2330"/>
      <c r="AF424" s="2330"/>
      <c r="AG424" s="2330">
        <f t="shared" si="273"/>
        <v>0</v>
      </c>
      <c r="AH424" s="2330"/>
      <c r="AI424" s="2330"/>
      <c r="AJ424" s="2330">
        <f t="shared" si="266"/>
        <v>0</v>
      </c>
      <c r="AK424" s="2330"/>
      <c r="AL424" s="2330"/>
      <c r="AM424" s="2331">
        <f t="shared" si="267"/>
        <v>0</v>
      </c>
      <c r="AN424" s="2331"/>
      <c r="AO424" s="2331"/>
      <c r="AP424" s="2331"/>
      <c r="AQ424" s="2332">
        <f t="shared" si="268"/>
        <v>0</v>
      </c>
      <c r="AR424" s="2332"/>
      <c r="AS424" s="2332"/>
      <c r="AT424" s="2332">
        <f t="shared" si="269"/>
        <v>0</v>
      </c>
      <c r="AV424" s="151" t="str">
        <f t="shared" si="262"/>
        <v>ROOFING</v>
      </c>
      <c r="AW424" s="681"/>
      <c r="AX424" s="230"/>
      <c r="AY424" s="230"/>
      <c r="AZ424" s="679"/>
      <c r="BA424" s="49">
        <f t="shared" si="270"/>
        <v>0</v>
      </c>
      <c r="BB424" s="49">
        <f t="shared" si="274"/>
        <v>0</v>
      </c>
      <c r="BC424" s="49">
        <f t="shared" si="275"/>
        <v>0</v>
      </c>
      <c r="BD424" s="49">
        <f t="shared" si="271"/>
        <v>0</v>
      </c>
      <c r="BE424" s="49">
        <f t="shared" si="279"/>
        <v>0</v>
      </c>
      <c r="BF424" s="49">
        <f t="shared" si="263"/>
        <v>0</v>
      </c>
      <c r="BG424" s="49">
        <f t="shared" si="264"/>
        <v>0</v>
      </c>
      <c r="BI424" s="134">
        <f t="shared" si="277"/>
        <v>0</v>
      </c>
      <c r="BJ424" s="134">
        <f t="shared" si="272"/>
        <v>0</v>
      </c>
      <c r="BK424" s="134">
        <f t="shared" si="278"/>
        <v>0</v>
      </c>
    </row>
    <row r="425" spans="1:63" hidden="1">
      <c r="A425" s="187"/>
      <c r="B425" s="2333"/>
      <c r="C425" s="2333"/>
      <c r="D425" s="2334"/>
      <c r="E425" s="2334"/>
      <c r="F425" s="2334"/>
      <c r="G425" s="2334"/>
      <c r="H425" s="2334"/>
      <c r="I425" s="2334"/>
      <c r="J425" s="2334"/>
      <c r="K425" s="2334"/>
      <c r="L425" s="2334"/>
      <c r="M425" s="2334"/>
      <c r="N425" s="2334"/>
      <c r="O425" s="2334"/>
      <c r="P425" s="2324"/>
      <c r="Q425" s="2324"/>
      <c r="R425" s="2325"/>
      <c r="S425" s="2324"/>
      <c r="T425" s="2324"/>
      <c r="U425" s="2326"/>
      <c r="V425" s="2327"/>
      <c r="W425" s="2327"/>
      <c r="X425" s="2327"/>
      <c r="Y425" s="2327"/>
      <c r="Z425" s="2327"/>
      <c r="AA425" s="2328"/>
      <c r="AB425" s="2329"/>
      <c r="AC425" s="2326"/>
      <c r="AD425" s="2330">
        <f t="shared" si="265"/>
        <v>0</v>
      </c>
      <c r="AE425" s="2330"/>
      <c r="AF425" s="2330"/>
      <c r="AG425" s="2330">
        <f t="shared" si="273"/>
        <v>0</v>
      </c>
      <c r="AH425" s="2330"/>
      <c r="AI425" s="2330"/>
      <c r="AJ425" s="2330">
        <f t="shared" si="266"/>
        <v>0</v>
      </c>
      <c r="AK425" s="2330"/>
      <c r="AL425" s="2330"/>
      <c r="AM425" s="2331">
        <f t="shared" si="267"/>
        <v>0</v>
      </c>
      <c r="AN425" s="2331"/>
      <c r="AO425" s="2331"/>
      <c r="AP425" s="2331"/>
      <c r="AQ425" s="2332">
        <f t="shared" si="268"/>
        <v>0</v>
      </c>
      <c r="AR425" s="2332"/>
      <c r="AS425" s="2332"/>
      <c r="AT425" s="2332">
        <f t="shared" si="269"/>
        <v>0</v>
      </c>
      <c r="AV425" s="151" t="str">
        <f t="shared" si="262"/>
        <v>ROOFING</v>
      </c>
      <c r="AW425" s="681"/>
      <c r="AX425" s="230"/>
      <c r="AY425" s="230"/>
      <c r="AZ425" s="679"/>
      <c r="BA425" s="49">
        <f t="shared" si="270"/>
        <v>0</v>
      </c>
      <c r="BB425" s="49">
        <f t="shared" si="274"/>
        <v>0</v>
      </c>
      <c r="BC425" s="49">
        <f t="shared" si="275"/>
        <v>0</v>
      </c>
      <c r="BD425" s="49">
        <f t="shared" si="271"/>
        <v>0</v>
      </c>
      <c r="BE425" s="49">
        <f t="shared" si="279"/>
        <v>0</v>
      </c>
      <c r="BF425" s="49">
        <f t="shared" si="263"/>
        <v>0</v>
      </c>
      <c r="BG425" s="49">
        <f t="shared" si="264"/>
        <v>0</v>
      </c>
      <c r="BI425" s="134">
        <f t="shared" si="277"/>
        <v>0</v>
      </c>
      <c r="BJ425" s="134">
        <f t="shared" si="272"/>
        <v>0</v>
      </c>
      <c r="BK425" s="134">
        <f t="shared" si="278"/>
        <v>0</v>
      </c>
    </row>
    <row r="426" spans="1:63" hidden="1">
      <c r="A426" s="187"/>
      <c r="B426" s="2333"/>
      <c r="C426" s="2333"/>
      <c r="D426" s="2334"/>
      <c r="E426" s="2334"/>
      <c r="F426" s="2334"/>
      <c r="G426" s="2334"/>
      <c r="H426" s="2334"/>
      <c r="I426" s="2334"/>
      <c r="J426" s="2334"/>
      <c r="K426" s="2334"/>
      <c r="L426" s="2334"/>
      <c r="M426" s="2334"/>
      <c r="N426" s="2334"/>
      <c r="O426" s="2334"/>
      <c r="P426" s="2324"/>
      <c r="Q426" s="2324"/>
      <c r="R426" s="2325"/>
      <c r="S426" s="2324"/>
      <c r="T426" s="2324"/>
      <c r="U426" s="2326"/>
      <c r="V426" s="2327"/>
      <c r="W426" s="2327"/>
      <c r="X426" s="2327"/>
      <c r="Y426" s="2327"/>
      <c r="Z426" s="2327"/>
      <c r="AA426" s="2328"/>
      <c r="AB426" s="2329"/>
      <c r="AC426" s="2326"/>
      <c r="AD426" s="2330">
        <f t="shared" si="265"/>
        <v>0</v>
      </c>
      <c r="AE426" s="2330"/>
      <c r="AF426" s="2330"/>
      <c r="AG426" s="2330">
        <f t="shared" si="273"/>
        <v>0</v>
      </c>
      <c r="AH426" s="2330"/>
      <c r="AI426" s="2330"/>
      <c r="AJ426" s="2330">
        <f t="shared" si="266"/>
        <v>0</v>
      </c>
      <c r="AK426" s="2330"/>
      <c r="AL426" s="2330"/>
      <c r="AM426" s="2331">
        <f t="shared" si="267"/>
        <v>0</v>
      </c>
      <c r="AN426" s="2331"/>
      <c r="AO426" s="2331"/>
      <c r="AP426" s="2331"/>
      <c r="AQ426" s="2332">
        <f t="shared" si="268"/>
        <v>0</v>
      </c>
      <c r="AR426" s="2332"/>
      <c r="AS426" s="2332"/>
      <c r="AT426" s="2332">
        <f t="shared" si="269"/>
        <v>0</v>
      </c>
      <c r="AV426" s="151" t="str">
        <f t="shared" si="262"/>
        <v>ROOFING</v>
      </c>
      <c r="AW426" s="681"/>
      <c r="AX426" s="230"/>
      <c r="AY426" s="230"/>
      <c r="AZ426" s="679"/>
      <c r="BA426" s="49">
        <f t="shared" si="270"/>
        <v>0</v>
      </c>
      <c r="BB426" s="49">
        <f t="shared" si="274"/>
        <v>0</v>
      </c>
      <c r="BC426" s="49">
        <f t="shared" si="275"/>
        <v>0</v>
      </c>
      <c r="BD426" s="49">
        <f t="shared" si="271"/>
        <v>0</v>
      </c>
      <c r="BE426" s="49">
        <f t="shared" si="279"/>
        <v>0</v>
      </c>
      <c r="BF426" s="49">
        <f t="shared" si="263"/>
        <v>0</v>
      </c>
      <c r="BG426" s="49">
        <f t="shared" si="264"/>
        <v>0</v>
      </c>
      <c r="BI426" s="134">
        <f t="shared" si="277"/>
        <v>0</v>
      </c>
      <c r="BJ426" s="134">
        <f t="shared" si="272"/>
        <v>0</v>
      </c>
      <c r="BK426" s="134">
        <f t="shared" si="278"/>
        <v>0</v>
      </c>
    </row>
    <row r="427" spans="1:63" hidden="1">
      <c r="A427" s="187"/>
      <c r="B427" s="2333"/>
      <c r="C427" s="2333"/>
      <c r="D427" s="2334"/>
      <c r="E427" s="2334"/>
      <c r="F427" s="2334"/>
      <c r="G427" s="2334"/>
      <c r="H427" s="2334"/>
      <c r="I427" s="2334"/>
      <c r="J427" s="2334"/>
      <c r="K427" s="2334"/>
      <c r="L427" s="2334"/>
      <c r="M427" s="2334"/>
      <c r="N427" s="2334"/>
      <c r="O427" s="2334"/>
      <c r="P427" s="2324"/>
      <c r="Q427" s="2324"/>
      <c r="R427" s="2325"/>
      <c r="S427" s="2324"/>
      <c r="T427" s="2324"/>
      <c r="U427" s="2326"/>
      <c r="V427" s="2327"/>
      <c r="W427" s="2327"/>
      <c r="X427" s="2327"/>
      <c r="Y427" s="2327"/>
      <c r="Z427" s="2327"/>
      <c r="AA427" s="2328"/>
      <c r="AB427" s="2329"/>
      <c r="AC427" s="2326"/>
      <c r="AD427" s="2330">
        <f t="shared" si="265"/>
        <v>0</v>
      </c>
      <c r="AE427" s="2330"/>
      <c r="AF427" s="2330"/>
      <c r="AG427" s="2330">
        <f t="shared" si="273"/>
        <v>0</v>
      </c>
      <c r="AH427" s="2330"/>
      <c r="AI427" s="2330"/>
      <c r="AJ427" s="2330">
        <f t="shared" si="266"/>
        <v>0</v>
      </c>
      <c r="AK427" s="2330"/>
      <c r="AL427" s="2330"/>
      <c r="AM427" s="2331">
        <f t="shared" si="267"/>
        <v>0</v>
      </c>
      <c r="AN427" s="2331"/>
      <c r="AO427" s="2331"/>
      <c r="AP427" s="2331"/>
      <c r="AQ427" s="2332">
        <f t="shared" si="268"/>
        <v>0</v>
      </c>
      <c r="AR427" s="2332"/>
      <c r="AS427" s="2332"/>
      <c r="AT427" s="2332">
        <f t="shared" si="269"/>
        <v>0</v>
      </c>
      <c r="AV427" s="151" t="str">
        <f t="shared" si="262"/>
        <v>ROOFING</v>
      </c>
      <c r="AW427" s="681"/>
      <c r="AX427" s="230"/>
      <c r="AY427" s="230"/>
      <c r="AZ427" s="679"/>
      <c r="BA427" s="49">
        <f t="shared" si="270"/>
        <v>0</v>
      </c>
      <c r="BB427" s="49">
        <f t="shared" si="274"/>
        <v>0</v>
      </c>
      <c r="BC427" s="49">
        <f t="shared" si="275"/>
        <v>0</v>
      </c>
      <c r="BD427" s="49">
        <f t="shared" si="271"/>
        <v>0</v>
      </c>
      <c r="BE427" s="49">
        <f t="shared" si="279"/>
        <v>0</v>
      </c>
      <c r="BF427" s="49">
        <f t="shared" si="263"/>
        <v>0</v>
      </c>
      <c r="BG427" s="49">
        <f t="shared" si="264"/>
        <v>0</v>
      </c>
      <c r="BI427" s="134">
        <f t="shared" si="277"/>
        <v>0</v>
      </c>
      <c r="BJ427" s="134">
        <f t="shared" si="272"/>
        <v>0</v>
      </c>
      <c r="BK427" s="134">
        <f t="shared" si="278"/>
        <v>0</v>
      </c>
    </row>
    <row r="428" spans="1:63" hidden="1">
      <c r="A428" s="187"/>
      <c r="B428" s="2333"/>
      <c r="C428" s="2333"/>
      <c r="D428" s="2334"/>
      <c r="E428" s="2334"/>
      <c r="F428" s="2334"/>
      <c r="G428" s="2334"/>
      <c r="H428" s="2334"/>
      <c r="I428" s="2334"/>
      <c r="J428" s="2334"/>
      <c r="K428" s="2334"/>
      <c r="L428" s="2334"/>
      <c r="M428" s="2334"/>
      <c r="N428" s="2334"/>
      <c r="O428" s="2334"/>
      <c r="P428" s="2324"/>
      <c r="Q428" s="2324"/>
      <c r="R428" s="2325"/>
      <c r="S428" s="2324"/>
      <c r="T428" s="2324"/>
      <c r="U428" s="2326"/>
      <c r="V428" s="2327"/>
      <c r="W428" s="2327"/>
      <c r="X428" s="2327"/>
      <c r="Y428" s="2327"/>
      <c r="Z428" s="2327"/>
      <c r="AA428" s="2328"/>
      <c r="AB428" s="2329"/>
      <c r="AC428" s="2326"/>
      <c r="AD428" s="2330">
        <f t="shared" si="265"/>
        <v>0</v>
      </c>
      <c r="AE428" s="2330"/>
      <c r="AF428" s="2330"/>
      <c r="AG428" s="2330">
        <f t="shared" si="273"/>
        <v>0</v>
      </c>
      <c r="AH428" s="2330"/>
      <c r="AI428" s="2330"/>
      <c r="AJ428" s="2330">
        <f t="shared" si="266"/>
        <v>0</v>
      </c>
      <c r="AK428" s="2330"/>
      <c r="AL428" s="2330"/>
      <c r="AM428" s="2331">
        <f t="shared" si="267"/>
        <v>0</v>
      </c>
      <c r="AN428" s="2331"/>
      <c r="AO428" s="2331"/>
      <c r="AP428" s="2331"/>
      <c r="AQ428" s="2332">
        <f t="shared" si="268"/>
        <v>0</v>
      </c>
      <c r="AR428" s="2332"/>
      <c r="AS428" s="2332"/>
      <c r="AT428" s="2332">
        <f t="shared" si="269"/>
        <v>0</v>
      </c>
      <c r="AV428" s="151" t="str">
        <f t="shared" si="262"/>
        <v>ROOFING</v>
      </c>
      <c r="AW428" s="681"/>
      <c r="AX428" s="230"/>
      <c r="AY428" s="230"/>
      <c r="AZ428" s="679"/>
      <c r="BA428" s="49">
        <f t="shared" si="270"/>
        <v>0</v>
      </c>
      <c r="BB428" s="49">
        <f t="shared" si="274"/>
        <v>0</v>
      </c>
      <c r="BC428" s="49">
        <f t="shared" si="275"/>
        <v>0</v>
      </c>
      <c r="BD428" s="49">
        <f t="shared" si="271"/>
        <v>0</v>
      </c>
      <c r="BE428" s="49">
        <f t="shared" si="279"/>
        <v>0</v>
      </c>
      <c r="BF428" s="49">
        <f t="shared" si="263"/>
        <v>0</v>
      </c>
      <c r="BG428" s="49">
        <f t="shared" si="264"/>
        <v>0</v>
      </c>
      <c r="BI428" s="134">
        <f t="shared" si="277"/>
        <v>0</v>
      </c>
      <c r="BJ428" s="134">
        <f t="shared" si="272"/>
        <v>0</v>
      </c>
      <c r="BK428" s="134">
        <f t="shared" si="278"/>
        <v>0</v>
      </c>
    </row>
    <row r="429" spans="1:63" hidden="1">
      <c r="A429" s="187"/>
      <c r="B429" s="2333"/>
      <c r="C429" s="2333"/>
      <c r="D429" s="2334"/>
      <c r="E429" s="2334"/>
      <c r="F429" s="2334"/>
      <c r="G429" s="2334"/>
      <c r="H429" s="2334"/>
      <c r="I429" s="2334"/>
      <c r="J429" s="2334"/>
      <c r="K429" s="2334"/>
      <c r="L429" s="2334"/>
      <c r="M429" s="2334"/>
      <c r="N429" s="2334"/>
      <c r="O429" s="2334"/>
      <c r="P429" s="2324"/>
      <c r="Q429" s="2324"/>
      <c r="R429" s="2325"/>
      <c r="S429" s="2324"/>
      <c r="T429" s="2324"/>
      <c r="U429" s="2326"/>
      <c r="V429" s="2327"/>
      <c r="W429" s="2327"/>
      <c r="X429" s="2327"/>
      <c r="Y429" s="2327"/>
      <c r="Z429" s="2327"/>
      <c r="AA429" s="2328"/>
      <c r="AB429" s="2329"/>
      <c r="AC429" s="2326"/>
      <c r="AD429" s="2330">
        <f t="shared" ref="AD429:AD436" si="280">((P429*U429)-AM429)</f>
        <v>0</v>
      </c>
      <c r="AE429" s="2330"/>
      <c r="AF429" s="2330"/>
      <c r="AG429" s="2330">
        <f t="shared" si="273"/>
        <v>0</v>
      </c>
      <c r="AH429" s="2330"/>
      <c r="AI429" s="2330"/>
      <c r="AJ429" s="2330">
        <f t="shared" ref="AJ429:AJ436" si="281">P429*AA429</f>
        <v>0</v>
      </c>
      <c r="AK429" s="2330"/>
      <c r="AL429" s="2330"/>
      <c r="AM429" s="2331">
        <f t="shared" si="267"/>
        <v>0</v>
      </c>
      <c r="AN429" s="2331"/>
      <c r="AO429" s="2331"/>
      <c r="AP429" s="2331"/>
      <c r="AQ429" s="2332">
        <f t="shared" ref="AQ429:AQ436" si="282">SUM(AD429:AL429)</f>
        <v>0</v>
      </c>
      <c r="AR429" s="2332"/>
      <c r="AS429" s="2332"/>
      <c r="AT429" s="2332">
        <f t="shared" ref="AT429:AT436" si="283">SUM(AD429:AL429)</f>
        <v>0</v>
      </c>
      <c r="AV429" s="151" t="str">
        <f t="shared" si="262"/>
        <v>ROOFING</v>
      </c>
      <c r="AW429" s="681"/>
      <c r="AX429" s="230"/>
      <c r="AY429" s="230"/>
      <c r="AZ429" s="679"/>
      <c r="BA429" s="49">
        <f t="shared" ref="BA429:BA436" si="284">AD429</f>
        <v>0</v>
      </c>
      <c r="BB429" s="49">
        <f t="shared" ref="BB429:BB436" si="285">AG429</f>
        <v>0</v>
      </c>
      <c r="BC429" s="49">
        <f t="shared" ref="BC429:BC436" si="286">AJ429</f>
        <v>0</v>
      </c>
      <c r="BD429" s="49">
        <f t="shared" ref="BD429:BD436" si="287">IF(B429="x",1,0)</f>
        <v>0</v>
      </c>
      <c r="BE429" s="49">
        <f t="shared" ref="BE429:BE436" si="288">SUM(BA429:BC429)</f>
        <v>0</v>
      </c>
      <c r="BF429" s="49">
        <f t="shared" ref="BF429:BF436" si="289">AQ429</f>
        <v>0</v>
      </c>
      <c r="BG429" s="49">
        <f t="shared" ref="BG429:BG436" si="290">AM429</f>
        <v>0</v>
      </c>
      <c r="BI429" s="134">
        <f t="shared" ref="BI429:BI436" si="291">AD429</f>
        <v>0</v>
      </c>
      <c r="BJ429" s="134">
        <f t="shared" ref="BJ429:BJ436" si="292">AM429</f>
        <v>0</v>
      </c>
      <c r="BK429" s="134">
        <f t="shared" ref="BK429:BK436" si="293">BJ429+BI429</f>
        <v>0</v>
      </c>
    </row>
    <row r="430" spans="1:63" hidden="1">
      <c r="A430" s="187"/>
      <c r="B430" s="2333"/>
      <c r="C430" s="2333"/>
      <c r="D430" s="2334"/>
      <c r="E430" s="2334"/>
      <c r="F430" s="2334"/>
      <c r="G430" s="2334"/>
      <c r="H430" s="2334"/>
      <c r="I430" s="2334"/>
      <c r="J430" s="2334"/>
      <c r="K430" s="2334"/>
      <c r="L430" s="2334"/>
      <c r="M430" s="2334"/>
      <c r="N430" s="2334"/>
      <c r="O430" s="2334"/>
      <c r="P430" s="2324"/>
      <c r="Q430" s="2324"/>
      <c r="R430" s="2325"/>
      <c r="S430" s="2324"/>
      <c r="T430" s="2324"/>
      <c r="U430" s="2326"/>
      <c r="V430" s="2327"/>
      <c r="W430" s="2327"/>
      <c r="X430" s="2327"/>
      <c r="Y430" s="2327"/>
      <c r="Z430" s="2327"/>
      <c r="AA430" s="2328"/>
      <c r="AB430" s="2329"/>
      <c r="AC430" s="2326"/>
      <c r="AD430" s="2330">
        <f t="shared" si="280"/>
        <v>0</v>
      </c>
      <c r="AE430" s="2330"/>
      <c r="AF430" s="2330"/>
      <c r="AG430" s="2330">
        <f t="shared" si="273"/>
        <v>0</v>
      </c>
      <c r="AH430" s="2330"/>
      <c r="AI430" s="2330"/>
      <c r="AJ430" s="2330">
        <f t="shared" si="281"/>
        <v>0</v>
      </c>
      <c r="AK430" s="2330"/>
      <c r="AL430" s="2330"/>
      <c r="AM430" s="2331">
        <f t="shared" si="267"/>
        <v>0</v>
      </c>
      <c r="AN430" s="2331"/>
      <c r="AO430" s="2331"/>
      <c r="AP430" s="2331"/>
      <c r="AQ430" s="2332">
        <f t="shared" si="282"/>
        <v>0</v>
      </c>
      <c r="AR430" s="2332"/>
      <c r="AS430" s="2332"/>
      <c r="AT430" s="2332">
        <f t="shared" si="283"/>
        <v>0</v>
      </c>
      <c r="AV430" s="151" t="str">
        <f t="shared" si="262"/>
        <v>ROOFING</v>
      </c>
      <c r="AW430" s="681"/>
      <c r="AX430" s="230"/>
      <c r="AY430" s="230"/>
      <c r="AZ430" s="679"/>
      <c r="BA430" s="49">
        <f t="shared" si="284"/>
        <v>0</v>
      </c>
      <c r="BB430" s="49">
        <f t="shared" si="285"/>
        <v>0</v>
      </c>
      <c r="BC430" s="49">
        <f t="shared" si="286"/>
        <v>0</v>
      </c>
      <c r="BD430" s="49">
        <f t="shared" si="287"/>
        <v>0</v>
      </c>
      <c r="BE430" s="49">
        <f t="shared" si="288"/>
        <v>0</v>
      </c>
      <c r="BF430" s="49">
        <f t="shared" si="289"/>
        <v>0</v>
      </c>
      <c r="BG430" s="49">
        <f t="shared" si="290"/>
        <v>0</v>
      </c>
      <c r="BI430" s="134">
        <f t="shared" si="291"/>
        <v>0</v>
      </c>
      <c r="BJ430" s="134">
        <f t="shared" si="292"/>
        <v>0</v>
      </c>
      <c r="BK430" s="134">
        <f t="shared" si="293"/>
        <v>0</v>
      </c>
    </row>
    <row r="431" spans="1:63" hidden="1">
      <c r="A431" s="187"/>
      <c r="B431" s="2333"/>
      <c r="C431" s="2333"/>
      <c r="D431" s="2334"/>
      <c r="E431" s="2334"/>
      <c r="F431" s="2334"/>
      <c r="G431" s="2334"/>
      <c r="H431" s="2334"/>
      <c r="I431" s="2334"/>
      <c r="J431" s="2334"/>
      <c r="K431" s="2334"/>
      <c r="L431" s="2334"/>
      <c r="M431" s="2334"/>
      <c r="N431" s="2334"/>
      <c r="O431" s="2334"/>
      <c r="P431" s="2324"/>
      <c r="Q431" s="2324"/>
      <c r="R431" s="2325"/>
      <c r="S431" s="2324"/>
      <c r="T431" s="2324"/>
      <c r="U431" s="2326"/>
      <c r="V431" s="2327"/>
      <c r="W431" s="2327"/>
      <c r="X431" s="2327"/>
      <c r="Y431" s="2327"/>
      <c r="Z431" s="2327"/>
      <c r="AA431" s="2328"/>
      <c r="AB431" s="2329"/>
      <c r="AC431" s="2326"/>
      <c r="AD431" s="2330">
        <f t="shared" si="280"/>
        <v>0</v>
      </c>
      <c r="AE431" s="2330"/>
      <c r="AF431" s="2330"/>
      <c r="AG431" s="2330">
        <f t="shared" si="273"/>
        <v>0</v>
      </c>
      <c r="AH431" s="2330"/>
      <c r="AI431" s="2330"/>
      <c r="AJ431" s="2330">
        <f t="shared" si="281"/>
        <v>0</v>
      </c>
      <c r="AK431" s="2330"/>
      <c r="AL431" s="2330"/>
      <c r="AM431" s="2331">
        <f t="shared" si="267"/>
        <v>0</v>
      </c>
      <c r="AN431" s="2331"/>
      <c r="AO431" s="2331"/>
      <c r="AP431" s="2331"/>
      <c r="AQ431" s="2332">
        <f t="shared" si="282"/>
        <v>0</v>
      </c>
      <c r="AR431" s="2332"/>
      <c r="AS431" s="2332"/>
      <c r="AT431" s="2332">
        <f t="shared" si="283"/>
        <v>0</v>
      </c>
      <c r="AV431" s="151" t="str">
        <f t="shared" si="262"/>
        <v>ROOFING</v>
      </c>
      <c r="AW431" s="681"/>
      <c r="AX431" s="230"/>
      <c r="AY431" s="230"/>
      <c r="AZ431" s="679"/>
      <c r="BA431" s="49">
        <f t="shared" si="284"/>
        <v>0</v>
      </c>
      <c r="BB431" s="49">
        <f t="shared" si="285"/>
        <v>0</v>
      </c>
      <c r="BC431" s="49">
        <f t="shared" si="286"/>
        <v>0</v>
      </c>
      <c r="BD431" s="49">
        <f t="shared" si="287"/>
        <v>0</v>
      </c>
      <c r="BE431" s="49">
        <f t="shared" si="288"/>
        <v>0</v>
      </c>
      <c r="BF431" s="49">
        <f t="shared" si="289"/>
        <v>0</v>
      </c>
      <c r="BG431" s="49">
        <f t="shared" si="290"/>
        <v>0</v>
      </c>
      <c r="BI431" s="134">
        <f t="shared" si="291"/>
        <v>0</v>
      </c>
      <c r="BJ431" s="134">
        <f t="shared" si="292"/>
        <v>0</v>
      </c>
      <c r="BK431" s="134">
        <f t="shared" si="293"/>
        <v>0</v>
      </c>
    </row>
    <row r="432" spans="1:63" hidden="1">
      <c r="A432" s="187"/>
      <c r="B432" s="2333"/>
      <c r="C432" s="2333"/>
      <c r="D432" s="2334"/>
      <c r="E432" s="2334"/>
      <c r="F432" s="2334"/>
      <c r="G432" s="2334"/>
      <c r="H432" s="2334"/>
      <c r="I432" s="2334"/>
      <c r="J432" s="2334"/>
      <c r="K432" s="2334"/>
      <c r="L432" s="2334"/>
      <c r="M432" s="2334"/>
      <c r="N432" s="2334"/>
      <c r="O432" s="2334"/>
      <c r="P432" s="2324"/>
      <c r="Q432" s="2324"/>
      <c r="R432" s="2325"/>
      <c r="S432" s="2324"/>
      <c r="T432" s="2324"/>
      <c r="U432" s="2326"/>
      <c r="V432" s="2327"/>
      <c r="W432" s="2327"/>
      <c r="X432" s="2327"/>
      <c r="Y432" s="2327"/>
      <c r="Z432" s="2327"/>
      <c r="AA432" s="2328"/>
      <c r="AB432" s="2329"/>
      <c r="AC432" s="2326"/>
      <c r="AD432" s="2330">
        <f t="shared" si="280"/>
        <v>0</v>
      </c>
      <c r="AE432" s="2330"/>
      <c r="AF432" s="2330"/>
      <c r="AG432" s="2330">
        <f t="shared" si="273"/>
        <v>0</v>
      </c>
      <c r="AH432" s="2330"/>
      <c r="AI432" s="2330"/>
      <c r="AJ432" s="2330">
        <f t="shared" si="281"/>
        <v>0</v>
      </c>
      <c r="AK432" s="2330"/>
      <c r="AL432" s="2330"/>
      <c r="AM432" s="2331">
        <f t="shared" si="267"/>
        <v>0</v>
      </c>
      <c r="AN432" s="2331"/>
      <c r="AO432" s="2331"/>
      <c r="AP432" s="2331"/>
      <c r="AQ432" s="2332">
        <f t="shared" si="282"/>
        <v>0</v>
      </c>
      <c r="AR432" s="2332"/>
      <c r="AS432" s="2332"/>
      <c r="AT432" s="2332">
        <f t="shared" si="283"/>
        <v>0</v>
      </c>
      <c r="AV432" s="151" t="str">
        <f t="shared" si="262"/>
        <v>ROOFING</v>
      </c>
      <c r="AW432" s="681"/>
      <c r="AX432" s="230"/>
      <c r="AY432" s="230"/>
      <c r="AZ432" s="679"/>
      <c r="BA432" s="49">
        <f t="shared" si="284"/>
        <v>0</v>
      </c>
      <c r="BB432" s="49">
        <f t="shared" si="285"/>
        <v>0</v>
      </c>
      <c r="BC432" s="49">
        <f t="shared" si="286"/>
        <v>0</v>
      </c>
      <c r="BD432" s="49">
        <f t="shared" si="287"/>
        <v>0</v>
      </c>
      <c r="BE432" s="49">
        <f t="shared" si="288"/>
        <v>0</v>
      </c>
      <c r="BF432" s="49">
        <f t="shared" si="289"/>
        <v>0</v>
      </c>
      <c r="BG432" s="49">
        <f t="shared" si="290"/>
        <v>0</v>
      </c>
      <c r="BI432" s="134">
        <f t="shared" si="291"/>
        <v>0</v>
      </c>
      <c r="BJ432" s="134">
        <f t="shared" si="292"/>
        <v>0</v>
      </c>
      <c r="BK432" s="134">
        <f t="shared" si="293"/>
        <v>0</v>
      </c>
    </row>
    <row r="433" spans="1:63" hidden="1">
      <c r="A433" s="187"/>
      <c r="B433" s="2333"/>
      <c r="C433" s="2333"/>
      <c r="D433" s="2334"/>
      <c r="E433" s="2334"/>
      <c r="F433" s="2334"/>
      <c r="G433" s="2334"/>
      <c r="H433" s="2334"/>
      <c r="I433" s="2334"/>
      <c r="J433" s="2334"/>
      <c r="K433" s="2334"/>
      <c r="L433" s="2334"/>
      <c r="M433" s="2334"/>
      <c r="N433" s="2334"/>
      <c r="O433" s="2334"/>
      <c r="P433" s="2324"/>
      <c r="Q433" s="2324"/>
      <c r="R433" s="2325"/>
      <c r="S433" s="2324"/>
      <c r="T433" s="2324"/>
      <c r="U433" s="2326"/>
      <c r="V433" s="2327"/>
      <c r="W433" s="2327"/>
      <c r="X433" s="2327"/>
      <c r="Y433" s="2327"/>
      <c r="Z433" s="2327"/>
      <c r="AA433" s="2328"/>
      <c r="AB433" s="2329"/>
      <c r="AC433" s="2326"/>
      <c r="AD433" s="2330">
        <f t="shared" si="280"/>
        <v>0</v>
      </c>
      <c r="AE433" s="2330"/>
      <c r="AF433" s="2330"/>
      <c r="AG433" s="2330">
        <f t="shared" si="273"/>
        <v>0</v>
      </c>
      <c r="AH433" s="2330"/>
      <c r="AI433" s="2330"/>
      <c r="AJ433" s="2330">
        <f t="shared" si="281"/>
        <v>0</v>
      </c>
      <c r="AK433" s="2330"/>
      <c r="AL433" s="2330"/>
      <c r="AM433" s="2331">
        <f t="shared" si="267"/>
        <v>0</v>
      </c>
      <c r="AN433" s="2331"/>
      <c r="AO433" s="2331"/>
      <c r="AP433" s="2331"/>
      <c r="AQ433" s="2332">
        <f t="shared" si="282"/>
        <v>0</v>
      </c>
      <c r="AR433" s="2332"/>
      <c r="AS433" s="2332"/>
      <c r="AT433" s="2332">
        <f t="shared" si="283"/>
        <v>0</v>
      </c>
      <c r="AV433" s="151" t="str">
        <f t="shared" si="262"/>
        <v>ROOFING</v>
      </c>
      <c r="AW433" s="681"/>
      <c r="AX433" s="230"/>
      <c r="AY433" s="230"/>
      <c r="AZ433" s="679"/>
      <c r="BA433" s="49">
        <f t="shared" si="284"/>
        <v>0</v>
      </c>
      <c r="BB433" s="49">
        <f t="shared" si="285"/>
        <v>0</v>
      </c>
      <c r="BC433" s="49">
        <f t="shared" si="286"/>
        <v>0</v>
      </c>
      <c r="BD433" s="49">
        <f t="shared" si="287"/>
        <v>0</v>
      </c>
      <c r="BE433" s="49">
        <f t="shared" si="288"/>
        <v>0</v>
      </c>
      <c r="BF433" s="49">
        <f t="shared" si="289"/>
        <v>0</v>
      </c>
      <c r="BG433" s="49">
        <f t="shared" si="290"/>
        <v>0</v>
      </c>
      <c r="BI433" s="134">
        <f t="shared" si="291"/>
        <v>0</v>
      </c>
      <c r="BJ433" s="134">
        <f t="shared" si="292"/>
        <v>0</v>
      </c>
      <c r="BK433" s="134">
        <f t="shared" si="293"/>
        <v>0</v>
      </c>
    </row>
    <row r="434" spans="1:63" hidden="1">
      <c r="A434" s="187"/>
      <c r="B434" s="2333"/>
      <c r="C434" s="2333"/>
      <c r="D434" s="2334"/>
      <c r="E434" s="2334"/>
      <c r="F434" s="2334"/>
      <c r="G434" s="2334"/>
      <c r="H434" s="2334"/>
      <c r="I434" s="2334"/>
      <c r="J434" s="2334"/>
      <c r="K434" s="2334"/>
      <c r="L434" s="2334"/>
      <c r="M434" s="2334"/>
      <c r="N434" s="2334"/>
      <c r="O434" s="2334"/>
      <c r="P434" s="2324"/>
      <c r="Q434" s="2324"/>
      <c r="R434" s="2325"/>
      <c r="S434" s="2324"/>
      <c r="T434" s="2324"/>
      <c r="U434" s="2326"/>
      <c r="V434" s="2327"/>
      <c r="W434" s="2327"/>
      <c r="X434" s="2327"/>
      <c r="Y434" s="2327"/>
      <c r="Z434" s="2327"/>
      <c r="AA434" s="2328"/>
      <c r="AB434" s="2329"/>
      <c r="AC434" s="2326"/>
      <c r="AD434" s="2330">
        <f t="shared" si="280"/>
        <v>0</v>
      </c>
      <c r="AE434" s="2330"/>
      <c r="AF434" s="2330"/>
      <c r="AG434" s="2330">
        <f t="shared" si="273"/>
        <v>0</v>
      </c>
      <c r="AH434" s="2330"/>
      <c r="AI434" s="2330"/>
      <c r="AJ434" s="2330">
        <f t="shared" si="281"/>
        <v>0</v>
      </c>
      <c r="AK434" s="2330"/>
      <c r="AL434" s="2330"/>
      <c r="AM434" s="2331">
        <f t="shared" si="267"/>
        <v>0</v>
      </c>
      <c r="AN434" s="2331"/>
      <c r="AO434" s="2331"/>
      <c r="AP434" s="2331"/>
      <c r="AQ434" s="2332">
        <f t="shared" si="282"/>
        <v>0</v>
      </c>
      <c r="AR434" s="2332"/>
      <c r="AS434" s="2332"/>
      <c r="AT434" s="2332">
        <f t="shared" si="283"/>
        <v>0</v>
      </c>
      <c r="AV434" s="151" t="str">
        <f t="shared" si="262"/>
        <v>ROOFING</v>
      </c>
      <c r="AW434" s="681"/>
      <c r="AX434" s="230"/>
      <c r="AY434" s="230"/>
      <c r="AZ434" s="679"/>
      <c r="BA434" s="49">
        <f t="shared" si="284"/>
        <v>0</v>
      </c>
      <c r="BB434" s="49">
        <f t="shared" si="285"/>
        <v>0</v>
      </c>
      <c r="BC434" s="49">
        <f t="shared" si="286"/>
        <v>0</v>
      </c>
      <c r="BD434" s="49">
        <f t="shared" si="287"/>
        <v>0</v>
      </c>
      <c r="BE434" s="49">
        <f t="shared" si="288"/>
        <v>0</v>
      </c>
      <c r="BF434" s="49">
        <f t="shared" si="289"/>
        <v>0</v>
      </c>
      <c r="BG434" s="49">
        <f t="shared" si="290"/>
        <v>0</v>
      </c>
      <c r="BI434" s="134">
        <f t="shared" si="291"/>
        <v>0</v>
      </c>
      <c r="BJ434" s="134">
        <f t="shared" si="292"/>
        <v>0</v>
      </c>
      <c r="BK434" s="134">
        <f t="shared" si="293"/>
        <v>0</v>
      </c>
    </row>
    <row r="435" spans="1:63" hidden="1">
      <c r="A435" s="187"/>
      <c r="B435" s="2333"/>
      <c r="C435" s="2333"/>
      <c r="D435" s="2334"/>
      <c r="E435" s="2334"/>
      <c r="F435" s="2334"/>
      <c r="G435" s="2334"/>
      <c r="H435" s="2334"/>
      <c r="I435" s="2334"/>
      <c r="J435" s="2334"/>
      <c r="K435" s="2334"/>
      <c r="L435" s="2334"/>
      <c r="M435" s="2334"/>
      <c r="N435" s="2334"/>
      <c r="O435" s="2334"/>
      <c r="P435" s="2324"/>
      <c r="Q435" s="2324"/>
      <c r="R435" s="2325"/>
      <c r="S435" s="2324"/>
      <c r="T435" s="2324"/>
      <c r="U435" s="2326"/>
      <c r="V435" s="2327"/>
      <c r="W435" s="2327"/>
      <c r="X435" s="2327"/>
      <c r="Y435" s="2327"/>
      <c r="Z435" s="2327"/>
      <c r="AA435" s="2328"/>
      <c r="AB435" s="2329"/>
      <c r="AC435" s="2326"/>
      <c r="AD435" s="2330">
        <f t="shared" si="280"/>
        <v>0</v>
      </c>
      <c r="AE435" s="2330"/>
      <c r="AF435" s="2330"/>
      <c r="AG435" s="2330">
        <f t="shared" si="273"/>
        <v>0</v>
      </c>
      <c r="AH435" s="2330"/>
      <c r="AI435" s="2330"/>
      <c r="AJ435" s="2330">
        <f t="shared" si="281"/>
        <v>0</v>
      </c>
      <c r="AK435" s="2330"/>
      <c r="AL435" s="2330"/>
      <c r="AM435" s="2331">
        <f t="shared" si="267"/>
        <v>0</v>
      </c>
      <c r="AN435" s="2331"/>
      <c r="AO435" s="2331"/>
      <c r="AP435" s="2331"/>
      <c r="AQ435" s="2332">
        <f t="shared" si="282"/>
        <v>0</v>
      </c>
      <c r="AR435" s="2332"/>
      <c r="AS435" s="2332"/>
      <c r="AT435" s="2332">
        <f t="shared" si="283"/>
        <v>0</v>
      </c>
      <c r="AV435" s="151" t="str">
        <f t="shared" si="262"/>
        <v>ROOFING</v>
      </c>
      <c r="AW435" s="681"/>
      <c r="AX435" s="230"/>
      <c r="AY435" s="230"/>
      <c r="AZ435" s="679"/>
      <c r="BA435" s="49">
        <f t="shared" si="284"/>
        <v>0</v>
      </c>
      <c r="BB435" s="49">
        <f t="shared" si="285"/>
        <v>0</v>
      </c>
      <c r="BC435" s="49">
        <f t="shared" si="286"/>
        <v>0</v>
      </c>
      <c r="BD435" s="49">
        <f t="shared" si="287"/>
        <v>0</v>
      </c>
      <c r="BE435" s="49">
        <f t="shared" si="288"/>
        <v>0</v>
      </c>
      <c r="BF435" s="49">
        <f t="shared" si="289"/>
        <v>0</v>
      </c>
      <c r="BG435" s="49">
        <f t="shared" si="290"/>
        <v>0</v>
      </c>
      <c r="BI435" s="134">
        <f t="shared" si="291"/>
        <v>0</v>
      </c>
      <c r="BJ435" s="134">
        <f t="shared" si="292"/>
        <v>0</v>
      </c>
      <c r="BK435" s="134">
        <f t="shared" si="293"/>
        <v>0</v>
      </c>
    </row>
    <row r="436" spans="1:63" hidden="1">
      <c r="A436" s="187"/>
      <c r="B436" s="2333"/>
      <c r="C436" s="2333"/>
      <c r="D436" s="2334"/>
      <c r="E436" s="2334"/>
      <c r="F436" s="2334"/>
      <c r="G436" s="2334"/>
      <c r="H436" s="2334"/>
      <c r="I436" s="2334"/>
      <c r="J436" s="2334"/>
      <c r="K436" s="2334"/>
      <c r="L436" s="2334"/>
      <c r="M436" s="2334"/>
      <c r="N436" s="2334"/>
      <c r="O436" s="2334"/>
      <c r="P436" s="2324"/>
      <c r="Q436" s="2324"/>
      <c r="R436" s="2325"/>
      <c r="S436" s="2324"/>
      <c r="T436" s="2324"/>
      <c r="U436" s="2326"/>
      <c r="V436" s="2327"/>
      <c r="W436" s="2327"/>
      <c r="X436" s="2327"/>
      <c r="Y436" s="2327"/>
      <c r="Z436" s="2327"/>
      <c r="AA436" s="2328"/>
      <c r="AB436" s="2329"/>
      <c r="AC436" s="2326"/>
      <c r="AD436" s="2330">
        <f t="shared" si="280"/>
        <v>0</v>
      </c>
      <c r="AE436" s="2330"/>
      <c r="AF436" s="2330"/>
      <c r="AG436" s="2330">
        <f t="shared" si="273"/>
        <v>0</v>
      </c>
      <c r="AH436" s="2330"/>
      <c r="AI436" s="2330"/>
      <c r="AJ436" s="2330">
        <f t="shared" si="281"/>
        <v>0</v>
      </c>
      <c r="AK436" s="2330"/>
      <c r="AL436" s="2330"/>
      <c r="AM436" s="2331">
        <f t="shared" si="267"/>
        <v>0</v>
      </c>
      <c r="AN436" s="2331"/>
      <c r="AO436" s="2331"/>
      <c r="AP436" s="2331"/>
      <c r="AQ436" s="2332">
        <f t="shared" si="282"/>
        <v>0</v>
      </c>
      <c r="AR436" s="2332"/>
      <c r="AS436" s="2332"/>
      <c r="AT436" s="2332">
        <f t="shared" si="283"/>
        <v>0</v>
      </c>
      <c r="AV436" s="151" t="str">
        <f t="shared" si="262"/>
        <v>ROOFING</v>
      </c>
      <c r="AW436" s="681"/>
      <c r="AX436" s="230"/>
      <c r="AY436" s="230"/>
      <c r="AZ436" s="679"/>
      <c r="BA436" s="49">
        <f t="shared" si="284"/>
        <v>0</v>
      </c>
      <c r="BB436" s="49">
        <f t="shared" si="285"/>
        <v>0</v>
      </c>
      <c r="BC436" s="49">
        <f t="shared" si="286"/>
        <v>0</v>
      </c>
      <c r="BD436" s="49">
        <f t="shared" si="287"/>
        <v>0</v>
      </c>
      <c r="BE436" s="49">
        <f t="shared" si="288"/>
        <v>0</v>
      </c>
      <c r="BF436" s="49">
        <f t="shared" si="289"/>
        <v>0</v>
      </c>
      <c r="BG436" s="49">
        <f t="shared" si="290"/>
        <v>0</v>
      </c>
      <c r="BI436" s="134">
        <f t="shared" si="291"/>
        <v>0</v>
      </c>
      <c r="BJ436" s="134">
        <f t="shared" si="292"/>
        <v>0</v>
      </c>
      <c r="BK436" s="134">
        <f t="shared" si="293"/>
        <v>0</v>
      </c>
    </row>
    <row r="437" spans="1:63" hidden="1">
      <c r="A437" s="187"/>
      <c r="B437" s="2333"/>
      <c r="C437" s="2333"/>
      <c r="D437" s="2334"/>
      <c r="E437" s="2334"/>
      <c r="F437" s="2334"/>
      <c r="G437" s="2334"/>
      <c r="H437" s="2334"/>
      <c r="I437" s="2334"/>
      <c r="J437" s="2334"/>
      <c r="K437" s="2334"/>
      <c r="L437" s="2334"/>
      <c r="M437" s="2334"/>
      <c r="N437" s="2334"/>
      <c r="O437" s="2334"/>
      <c r="P437" s="2324"/>
      <c r="Q437" s="2324"/>
      <c r="R437" s="2325"/>
      <c r="S437" s="2324"/>
      <c r="T437" s="2324"/>
      <c r="U437" s="2326"/>
      <c r="V437" s="2327"/>
      <c r="W437" s="2327"/>
      <c r="X437" s="2327"/>
      <c r="Y437" s="2327"/>
      <c r="Z437" s="2327"/>
      <c r="AA437" s="2328"/>
      <c r="AB437" s="2329"/>
      <c r="AC437" s="2326"/>
      <c r="AD437" s="2330">
        <f t="shared" si="265"/>
        <v>0</v>
      </c>
      <c r="AE437" s="2330"/>
      <c r="AF437" s="2330"/>
      <c r="AG437" s="2330">
        <f t="shared" si="273"/>
        <v>0</v>
      </c>
      <c r="AH437" s="2330"/>
      <c r="AI437" s="2330"/>
      <c r="AJ437" s="2330">
        <f t="shared" si="266"/>
        <v>0</v>
      </c>
      <c r="AK437" s="2330"/>
      <c r="AL437" s="2330"/>
      <c r="AM437" s="2331">
        <f t="shared" si="267"/>
        <v>0</v>
      </c>
      <c r="AN437" s="2331"/>
      <c r="AO437" s="2331"/>
      <c r="AP437" s="2331"/>
      <c r="AQ437" s="2332">
        <f t="shared" si="268"/>
        <v>0</v>
      </c>
      <c r="AR437" s="2332"/>
      <c r="AS437" s="2332"/>
      <c r="AT437" s="2332">
        <f t="shared" si="269"/>
        <v>0</v>
      </c>
      <c r="AV437" s="151" t="str">
        <f t="shared" si="262"/>
        <v>ROOFING</v>
      </c>
      <c r="AW437" s="681"/>
      <c r="AX437" s="230"/>
      <c r="AY437" s="230"/>
      <c r="AZ437" s="679"/>
      <c r="BA437" s="49">
        <f t="shared" si="270"/>
        <v>0</v>
      </c>
      <c r="BB437" s="49">
        <f t="shared" si="274"/>
        <v>0</v>
      </c>
      <c r="BC437" s="49">
        <f t="shared" si="275"/>
        <v>0</v>
      </c>
      <c r="BD437" s="49">
        <f t="shared" si="271"/>
        <v>0</v>
      </c>
      <c r="BE437" s="49">
        <f t="shared" ref="BE437:BE442" si="294">SUM(BA437:BC437)</f>
        <v>0</v>
      </c>
      <c r="BF437" s="49">
        <f t="shared" si="263"/>
        <v>0</v>
      </c>
      <c r="BG437" s="49">
        <f t="shared" si="264"/>
        <v>0</v>
      </c>
      <c r="BI437" s="134">
        <f t="shared" si="277"/>
        <v>0</v>
      </c>
      <c r="BJ437" s="134">
        <f t="shared" si="272"/>
        <v>0</v>
      </c>
      <c r="BK437" s="134">
        <f t="shared" si="278"/>
        <v>0</v>
      </c>
    </row>
    <row r="438" spans="1:63" hidden="1">
      <c r="A438" s="187"/>
      <c r="B438" s="2333"/>
      <c r="C438" s="2333"/>
      <c r="D438" s="2334"/>
      <c r="E438" s="2334"/>
      <c r="F438" s="2334"/>
      <c r="G438" s="2334"/>
      <c r="H438" s="2334"/>
      <c r="I438" s="2334"/>
      <c r="J438" s="2334"/>
      <c r="K438" s="2334"/>
      <c r="L438" s="2334"/>
      <c r="M438" s="2334"/>
      <c r="N438" s="2334"/>
      <c r="O438" s="2334"/>
      <c r="P438" s="2324"/>
      <c r="Q438" s="2324"/>
      <c r="R438" s="2325"/>
      <c r="S438" s="2324"/>
      <c r="T438" s="2324"/>
      <c r="U438" s="2326"/>
      <c r="V438" s="2327"/>
      <c r="W438" s="2327"/>
      <c r="X438" s="2327"/>
      <c r="Y438" s="2327"/>
      <c r="Z438" s="2327"/>
      <c r="AA438" s="2328"/>
      <c r="AB438" s="2329"/>
      <c r="AC438" s="2326"/>
      <c r="AD438" s="2330">
        <f t="shared" si="265"/>
        <v>0</v>
      </c>
      <c r="AE438" s="2330"/>
      <c r="AF438" s="2330"/>
      <c r="AG438" s="2330">
        <f t="shared" si="273"/>
        <v>0</v>
      </c>
      <c r="AH438" s="2330"/>
      <c r="AI438" s="2330"/>
      <c r="AJ438" s="2330">
        <f t="shared" si="266"/>
        <v>0</v>
      </c>
      <c r="AK438" s="2330"/>
      <c r="AL438" s="2330"/>
      <c r="AM438" s="2331">
        <f t="shared" si="267"/>
        <v>0</v>
      </c>
      <c r="AN438" s="2331"/>
      <c r="AO438" s="2331"/>
      <c r="AP438" s="2331"/>
      <c r="AQ438" s="2332">
        <f t="shared" si="268"/>
        <v>0</v>
      </c>
      <c r="AR438" s="2332"/>
      <c r="AS438" s="2332"/>
      <c r="AT438" s="2332">
        <f t="shared" si="269"/>
        <v>0</v>
      </c>
      <c r="AV438" s="151" t="str">
        <f t="shared" si="262"/>
        <v>ROOFING</v>
      </c>
      <c r="AW438" s="681"/>
      <c r="AX438" s="230"/>
      <c r="AY438" s="230"/>
      <c r="AZ438" s="679"/>
      <c r="BA438" s="49">
        <f t="shared" si="270"/>
        <v>0</v>
      </c>
      <c r="BB438" s="49">
        <f t="shared" si="274"/>
        <v>0</v>
      </c>
      <c r="BC438" s="49">
        <f t="shared" si="275"/>
        <v>0</v>
      </c>
      <c r="BD438" s="49">
        <f t="shared" si="271"/>
        <v>0</v>
      </c>
      <c r="BE438" s="49">
        <f t="shared" si="294"/>
        <v>0</v>
      </c>
      <c r="BF438" s="49">
        <f t="shared" si="263"/>
        <v>0</v>
      </c>
      <c r="BG438" s="49">
        <f t="shared" si="264"/>
        <v>0</v>
      </c>
      <c r="BI438" s="134">
        <f t="shared" si="277"/>
        <v>0</v>
      </c>
      <c r="BJ438" s="134">
        <f t="shared" si="272"/>
        <v>0</v>
      </c>
      <c r="BK438" s="134">
        <f t="shared" si="278"/>
        <v>0</v>
      </c>
    </row>
    <row r="439" spans="1:63" hidden="1">
      <c r="A439" s="187"/>
      <c r="B439" s="2333"/>
      <c r="C439" s="2333"/>
      <c r="D439" s="2334"/>
      <c r="E439" s="2334"/>
      <c r="F439" s="2334"/>
      <c r="G439" s="2334"/>
      <c r="H439" s="2334"/>
      <c r="I439" s="2334"/>
      <c r="J439" s="2334"/>
      <c r="K439" s="2334"/>
      <c r="L439" s="2334"/>
      <c r="M439" s="2334"/>
      <c r="N439" s="2334"/>
      <c r="O439" s="2334"/>
      <c r="P439" s="2324"/>
      <c r="Q439" s="2324"/>
      <c r="R439" s="2325"/>
      <c r="S439" s="2324"/>
      <c r="T439" s="2324"/>
      <c r="U439" s="2326"/>
      <c r="V439" s="2327"/>
      <c r="W439" s="2327"/>
      <c r="X439" s="2327"/>
      <c r="Y439" s="2327"/>
      <c r="Z439" s="2327"/>
      <c r="AA439" s="2328"/>
      <c r="AB439" s="2329"/>
      <c r="AC439" s="2326"/>
      <c r="AD439" s="2330">
        <f>((P439*U439)-AM439)</f>
        <v>0</v>
      </c>
      <c r="AE439" s="2330"/>
      <c r="AF439" s="2330"/>
      <c r="AG439" s="2330">
        <f t="shared" si="273"/>
        <v>0</v>
      </c>
      <c r="AH439" s="2330"/>
      <c r="AI439" s="2330"/>
      <c r="AJ439" s="2330">
        <f>P439*AA439</f>
        <v>0</v>
      </c>
      <c r="AK439" s="2330"/>
      <c r="AL439" s="2330"/>
      <c r="AM439" s="2331">
        <f t="shared" si="267"/>
        <v>0</v>
      </c>
      <c r="AN439" s="2331"/>
      <c r="AO439" s="2331"/>
      <c r="AP439" s="2331"/>
      <c r="AQ439" s="2332">
        <f>SUM(AD439:AL439)</f>
        <v>0</v>
      </c>
      <c r="AR439" s="2332"/>
      <c r="AS439" s="2332"/>
      <c r="AT439" s="2332">
        <f>SUM(AD439:AL439)</f>
        <v>0</v>
      </c>
      <c r="AV439" s="151" t="str">
        <f t="shared" si="262"/>
        <v>ROOFING</v>
      </c>
      <c r="AW439" s="681"/>
      <c r="AX439" s="230"/>
      <c r="AY439" s="230"/>
      <c r="AZ439" s="679"/>
      <c r="BA439" s="49">
        <f>AD439</f>
        <v>0</v>
      </c>
      <c r="BB439" s="49">
        <f>AG439</f>
        <v>0</v>
      </c>
      <c r="BC439" s="49">
        <f>AJ439</f>
        <v>0</v>
      </c>
      <c r="BD439" s="49">
        <f>IF(B439="x",1,0)</f>
        <v>0</v>
      </c>
      <c r="BE439" s="49">
        <f t="shared" si="294"/>
        <v>0</v>
      </c>
      <c r="BF439" s="49">
        <f>AQ439</f>
        <v>0</v>
      </c>
      <c r="BG439" s="49">
        <f>AM439</f>
        <v>0</v>
      </c>
      <c r="BI439" s="134">
        <f>AD439</f>
        <v>0</v>
      </c>
      <c r="BJ439" s="134">
        <f>AM439</f>
        <v>0</v>
      </c>
      <c r="BK439" s="134">
        <f>BJ439+BI439</f>
        <v>0</v>
      </c>
    </row>
    <row r="440" spans="1:63" hidden="1">
      <c r="A440" s="187"/>
      <c r="B440" s="2333"/>
      <c r="C440" s="2333"/>
      <c r="D440" s="2334"/>
      <c r="E440" s="2334"/>
      <c r="F440" s="2334"/>
      <c r="G440" s="2334"/>
      <c r="H440" s="2334"/>
      <c r="I440" s="2334"/>
      <c r="J440" s="2334"/>
      <c r="K440" s="2334"/>
      <c r="L440" s="2334"/>
      <c r="M440" s="2334"/>
      <c r="N440" s="2334"/>
      <c r="O440" s="2334"/>
      <c r="P440" s="2324"/>
      <c r="Q440" s="2324"/>
      <c r="R440" s="2325"/>
      <c r="S440" s="2324"/>
      <c r="T440" s="2324"/>
      <c r="U440" s="2326"/>
      <c r="V440" s="2327"/>
      <c r="W440" s="2327"/>
      <c r="X440" s="2327"/>
      <c r="Y440" s="2327"/>
      <c r="Z440" s="2327"/>
      <c r="AA440" s="2328"/>
      <c r="AB440" s="2329"/>
      <c r="AC440" s="2326"/>
      <c r="AD440" s="2330">
        <f>((P440*U440)-AM440)</f>
        <v>0</v>
      </c>
      <c r="AE440" s="2330"/>
      <c r="AF440" s="2330"/>
      <c r="AG440" s="2330">
        <f t="shared" si="273"/>
        <v>0</v>
      </c>
      <c r="AH440" s="2330"/>
      <c r="AI440" s="2330"/>
      <c r="AJ440" s="2330">
        <f>P440*AA440</f>
        <v>0</v>
      </c>
      <c r="AK440" s="2330"/>
      <c r="AL440" s="2330"/>
      <c r="AM440" s="2331">
        <f t="shared" si="267"/>
        <v>0</v>
      </c>
      <c r="AN440" s="2331"/>
      <c r="AO440" s="2331"/>
      <c r="AP440" s="2331"/>
      <c r="AQ440" s="2332">
        <f>SUM(AD440:AL440)</f>
        <v>0</v>
      </c>
      <c r="AR440" s="2332"/>
      <c r="AS440" s="2332"/>
      <c r="AT440" s="2332">
        <f>SUM(AD440:AL440)</f>
        <v>0</v>
      </c>
      <c r="AV440" s="151" t="str">
        <f t="shared" si="262"/>
        <v>ROOFING</v>
      </c>
      <c r="AW440" s="681"/>
      <c r="AX440" s="230"/>
      <c r="AY440" s="230"/>
      <c r="AZ440" s="679"/>
      <c r="BA440" s="49">
        <f>AD440</f>
        <v>0</v>
      </c>
      <c r="BB440" s="49">
        <f>AG440</f>
        <v>0</v>
      </c>
      <c r="BC440" s="49">
        <f>AJ440</f>
        <v>0</v>
      </c>
      <c r="BD440" s="49">
        <f>IF(B440="x",1,0)</f>
        <v>0</v>
      </c>
      <c r="BE440" s="49">
        <f t="shared" si="294"/>
        <v>0</v>
      </c>
      <c r="BF440" s="49">
        <f>AQ440</f>
        <v>0</v>
      </c>
      <c r="BG440" s="49">
        <f>AM440</f>
        <v>0</v>
      </c>
      <c r="BI440" s="134">
        <f>AD440</f>
        <v>0</v>
      </c>
      <c r="BJ440" s="134">
        <f>AM440</f>
        <v>0</v>
      </c>
      <c r="BK440" s="134">
        <f>BJ440+BI440</f>
        <v>0</v>
      </c>
    </row>
    <row r="441" spans="1:63" hidden="1">
      <c r="A441" s="187"/>
      <c r="B441" s="2333"/>
      <c r="C441" s="2333"/>
      <c r="D441" s="2334"/>
      <c r="E441" s="2334"/>
      <c r="F441" s="2334"/>
      <c r="G441" s="2334"/>
      <c r="H441" s="2334"/>
      <c r="I441" s="2334"/>
      <c r="J441" s="2334"/>
      <c r="K441" s="2334"/>
      <c r="L441" s="2334"/>
      <c r="M441" s="2334"/>
      <c r="N441" s="2334"/>
      <c r="O441" s="2334"/>
      <c r="P441" s="2324"/>
      <c r="Q441" s="2324"/>
      <c r="R441" s="2325"/>
      <c r="S441" s="2324"/>
      <c r="T441" s="2324"/>
      <c r="U441" s="2326"/>
      <c r="V441" s="2327"/>
      <c r="W441" s="2327"/>
      <c r="X441" s="2327"/>
      <c r="Y441" s="2327"/>
      <c r="Z441" s="2327"/>
      <c r="AA441" s="2328"/>
      <c r="AB441" s="2329"/>
      <c r="AC441" s="2326"/>
      <c r="AD441" s="2330">
        <f>((P441*U441)-AM441)</f>
        <v>0</v>
      </c>
      <c r="AE441" s="2330"/>
      <c r="AF441" s="2330"/>
      <c r="AG441" s="2330">
        <f t="shared" si="273"/>
        <v>0</v>
      </c>
      <c r="AH441" s="2330"/>
      <c r="AI441" s="2330"/>
      <c r="AJ441" s="2330">
        <f>P441*AA441</f>
        <v>0</v>
      </c>
      <c r="AK441" s="2330"/>
      <c r="AL441" s="2330"/>
      <c r="AM441" s="2331">
        <f t="shared" si="267"/>
        <v>0</v>
      </c>
      <c r="AN441" s="2331"/>
      <c r="AO441" s="2331"/>
      <c r="AP441" s="2331"/>
      <c r="AQ441" s="2332">
        <f>SUM(AD441:AL441)</f>
        <v>0</v>
      </c>
      <c r="AR441" s="2332"/>
      <c r="AS441" s="2332"/>
      <c r="AT441" s="2332">
        <f>SUM(AD441:AL441)</f>
        <v>0</v>
      </c>
      <c r="AV441" s="151" t="str">
        <f t="shared" si="262"/>
        <v>ROOFING</v>
      </c>
      <c r="AW441" s="681"/>
      <c r="AX441" s="230"/>
      <c r="AY441" s="230"/>
      <c r="AZ441" s="679"/>
      <c r="BA441" s="49">
        <f>AD441</f>
        <v>0</v>
      </c>
      <c r="BB441" s="49">
        <f>AG441</f>
        <v>0</v>
      </c>
      <c r="BC441" s="49">
        <f>AJ441</f>
        <v>0</v>
      </c>
      <c r="BD441" s="49">
        <f>IF(B441="x",1,0)</f>
        <v>0</v>
      </c>
      <c r="BE441" s="49">
        <f t="shared" si="294"/>
        <v>0</v>
      </c>
      <c r="BF441" s="49">
        <f>AQ441</f>
        <v>0</v>
      </c>
      <c r="BG441" s="49">
        <f>AM441</f>
        <v>0</v>
      </c>
      <c r="BI441" s="134">
        <f>AD441</f>
        <v>0</v>
      </c>
      <c r="BJ441" s="134">
        <f>AM441</f>
        <v>0</v>
      </c>
      <c r="BK441" s="134">
        <f>BJ441+BI441</f>
        <v>0</v>
      </c>
    </row>
    <row r="442" spans="1:63" hidden="1">
      <c r="A442" s="187"/>
      <c r="B442" s="2333"/>
      <c r="C442" s="2333"/>
      <c r="D442" s="2334"/>
      <c r="E442" s="2334"/>
      <c r="F442" s="2334"/>
      <c r="G442" s="2334"/>
      <c r="H442" s="2334"/>
      <c r="I442" s="2334"/>
      <c r="J442" s="2334"/>
      <c r="K442" s="2334"/>
      <c r="L442" s="2334"/>
      <c r="M442" s="2334"/>
      <c r="N442" s="2334"/>
      <c r="O442" s="2334"/>
      <c r="P442" s="2324"/>
      <c r="Q442" s="2324"/>
      <c r="R442" s="2325"/>
      <c r="S442" s="2324"/>
      <c r="T442" s="2324"/>
      <c r="U442" s="2326"/>
      <c r="V442" s="2327"/>
      <c r="W442" s="2327"/>
      <c r="X442" s="2327"/>
      <c r="Y442" s="2327"/>
      <c r="Z442" s="2327"/>
      <c r="AA442" s="2328"/>
      <c r="AB442" s="2329"/>
      <c r="AC442" s="2326"/>
      <c r="AD442" s="2330">
        <f>((P442*U442)-AM442)</f>
        <v>0</v>
      </c>
      <c r="AE442" s="2330"/>
      <c r="AF442" s="2330"/>
      <c r="AG442" s="2330">
        <f t="shared" si="273"/>
        <v>0</v>
      </c>
      <c r="AH442" s="2330"/>
      <c r="AI442" s="2330"/>
      <c r="AJ442" s="2330">
        <f>P442*AA442</f>
        <v>0</v>
      </c>
      <c r="AK442" s="2330"/>
      <c r="AL442" s="2330"/>
      <c r="AM442" s="2331">
        <f t="shared" si="267"/>
        <v>0</v>
      </c>
      <c r="AN442" s="2331"/>
      <c r="AO442" s="2331"/>
      <c r="AP442" s="2331"/>
      <c r="AQ442" s="2332">
        <f>SUM(AD442:AL442)</f>
        <v>0</v>
      </c>
      <c r="AR442" s="2332"/>
      <c r="AS442" s="2332"/>
      <c r="AT442" s="2332">
        <f>SUM(AD442:AL442)</f>
        <v>0</v>
      </c>
      <c r="AV442" s="151" t="str">
        <f t="shared" si="262"/>
        <v>ROOFING</v>
      </c>
      <c r="AW442" s="681"/>
      <c r="AX442" s="230"/>
      <c r="AY442" s="230"/>
      <c r="AZ442" s="679"/>
      <c r="BA442" s="49">
        <f>AD442</f>
        <v>0</v>
      </c>
      <c r="BB442" s="49">
        <f>AG442</f>
        <v>0</v>
      </c>
      <c r="BC442" s="49">
        <f>AJ442</f>
        <v>0</v>
      </c>
      <c r="BD442" s="49">
        <f>IF(B442="x",1,0)</f>
        <v>0</v>
      </c>
      <c r="BE442" s="49">
        <f t="shared" si="294"/>
        <v>0</v>
      </c>
      <c r="BF442" s="49">
        <f>AQ442</f>
        <v>0</v>
      </c>
      <c r="BG442" s="49">
        <f>AM442</f>
        <v>0</v>
      </c>
      <c r="BI442" s="134">
        <f>AD442</f>
        <v>0</v>
      </c>
      <c r="BJ442" s="134">
        <f>AM442</f>
        <v>0</v>
      </c>
      <c r="BK442" s="134">
        <f>BJ442+BI442</f>
        <v>0</v>
      </c>
    </row>
    <row r="443" spans="1:63" ht="5.0999999999999996" hidden="1" customHeight="1">
      <c r="A443" s="187"/>
      <c r="B443" s="64"/>
      <c r="C443" s="64"/>
      <c r="D443" s="885"/>
      <c r="E443" s="885"/>
      <c r="F443" s="885"/>
      <c r="G443" s="885"/>
      <c r="H443" s="885"/>
      <c r="I443" s="885"/>
      <c r="J443" s="885"/>
      <c r="K443" s="885"/>
      <c r="L443" s="885"/>
      <c r="M443" s="885"/>
      <c r="N443" s="885"/>
      <c r="O443" s="885"/>
      <c r="P443" s="66"/>
      <c r="Q443" s="66"/>
      <c r="R443" s="66"/>
      <c r="S443" s="66"/>
      <c r="T443" s="66"/>
      <c r="U443" s="67"/>
      <c r="V443" s="67"/>
      <c r="W443" s="67"/>
      <c r="X443" s="67"/>
      <c r="Y443" s="67"/>
      <c r="Z443" s="67"/>
      <c r="AA443" s="67"/>
      <c r="AB443" s="67"/>
      <c r="AC443" s="67"/>
      <c r="AD443" s="68"/>
      <c r="AE443" s="68"/>
      <c r="AF443" s="68"/>
      <c r="AG443" s="68"/>
      <c r="AH443" s="68"/>
      <c r="AI443" s="68"/>
      <c r="AJ443" s="68"/>
      <c r="AK443" s="68"/>
      <c r="AL443" s="68"/>
      <c r="AM443" s="69"/>
      <c r="AN443" s="69"/>
      <c r="AO443" s="69"/>
      <c r="AP443" s="69"/>
      <c r="AQ443" s="661"/>
      <c r="AR443" s="661"/>
      <c r="AS443" s="661"/>
      <c r="AT443" s="661"/>
      <c r="AV443" s="369" t="str">
        <f t="shared" si="262"/>
        <v>ROOFING</v>
      </c>
      <c r="AW443" s="696"/>
      <c r="AX443" s="696"/>
      <c r="AY443" s="696"/>
      <c r="AZ443" s="369"/>
      <c r="BA443" s="75">
        <f>BA402</f>
        <v>0</v>
      </c>
      <c r="BB443" s="75">
        <f>BB402</f>
        <v>0</v>
      </c>
      <c r="BC443" s="75">
        <f>BC402</f>
        <v>0</v>
      </c>
      <c r="BD443" s="75">
        <f>BD402</f>
        <v>0</v>
      </c>
      <c r="BE443" s="75">
        <f>BE402</f>
        <v>0</v>
      </c>
      <c r="BF443" s="75"/>
      <c r="BG443" s="75"/>
      <c r="BI443" s="75"/>
      <c r="BJ443" s="75"/>
      <c r="BK443" s="75"/>
    </row>
    <row r="444" spans="1:63" ht="21.6" hidden="1" customHeight="1">
      <c r="A444" s="187"/>
      <c r="B444" s="2341"/>
      <c r="C444" s="2341"/>
      <c r="D444" s="886"/>
      <c r="E444" s="886"/>
      <c r="F444" s="886"/>
      <c r="G444" s="886"/>
      <c r="H444" s="886"/>
      <c r="I444" s="886"/>
      <c r="J444" s="886"/>
      <c r="K444" s="886"/>
      <c r="L444" s="886"/>
      <c r="M444" s="886"/>
      <c r="N444" s="886"/>
      <c r="O444" s="886"/>
      <c r="P444" s="37"/>
      <c r="Q444" s="37"/>
      <c r="R444" s="37"/>
      <c r="S444" s="37"/>
      <c r="T444" s="37"/>
      <c r="U444" s="37"/>
      <c r="V444" s="37"/>
      <c r="W444" s="37"/>
      <c r="X444" s="37"/>
      <c r="Y444" s="37"/>
      <c r="Z444" s="37"/>
      <c r="AA444" s="37"/>
      <c r="AB444" s="37"/>
      <c r="AC444" s="370" t="str">
        <f>CONCATENATE(D402," ","TOTAL")</f>
        <v>ROOFING TOTAL</v>
      </c>
      <c r="AD444" s="2342">
        <f>SUBTOTAL(9,AD403:AD443)</f>
        <v>0</v>
      </c>
      <c r="AE444" s="2342"/>
      <c r="AF444" s="2342"/>
      <c r="AG444" s="2342">
        <f>SUBTOTAL(9,AG403:AG443)</f>
        <v>0</v>
      </c>
      <c r="AH444" s="2342"/>
      <c r="AI444" s="2342"/>
      <c r="AJ444" s="2342">
        <f>SUBTOTAL(9,AJ403:AJ443)</f>
        <v>0</v>
      </c>
      <c r="AK444" s="2342"/>
      <c r="AL444" s="2342"/>
      <c r="AM444" s="2342">
        <f>SUBTOTAL(9,AM403:AM443)</f>
        <v>0</v>
      </c>
      <c r="AN444" s="2342"/>
      <c r="AO444" s="2342"/>
      <c r="AP444" s="2342"/>
      <c r="AQ444" s="2336">
        <f>SUBTOTAL(9,AQ403:AQ443)</f>
        <v>0</v>
      </c>
      <c r="AR444" s="2336"/>
      <c r="AS444" s="2336"/>
      <c r="AT444" s="2336" t="e">
        <f>SUM(AT400:AT435)</f>
        <v>#REF!</v>
      </c>
      <c r="AV444" s="151" t="str">
        <f t="shared" si="262"/>
        <v>ROOFING</v>
      </c>
      <c r="AW444" s="682"/>
      <c r="AX444" s="695"/>
      <c r="AY444" s="695"/>
      <c r="AZ444" s="274"/>
      <c r="BA444" s="74">
        <f>BA402</f>
        <v>0</v>
      </c>
      <c r="BB444" s="74">
        <f>BB402</f>
        <v>0</v>
      </c>
      <c r="BC444" s="74">
        <f>BC402</f>
        <v>0</v>
      </c>
      <c r="BD444" s="74">
        <f>BD402</f>
        <v>0</v>
      </c>
      <c r="BE444" s="74">
        <f>BE402</f>
        <v>0</v>
      </c>
      <c r="BF444" s="74">
        <f>SUM(BF402:BF443)</f>
        <v>0</v>
      </c>
      <c r="BG444" s="49">
        <f>SUM(BG402:BG443)</f>
        <v>0</v>
      </c>
      <c r="BI444" s="74">
        <f>SUM(BI403:BI443)</f>
        <v>0</v>
      </c>
      <c r="BJ444" s="74">
        <f>SUM(BJ403:BJ443)</f>
        <v>0</v>
      </c>
      <c r="BK444" s="49">
        <f>SUM(BK403:BK443)</f>
        <v>0</v>
      </c>
    </row>
    <row r="445" spans="1:63" ht="5.0999999999999996" hidden="1" customHeight="1">
      <c r="A445" s="187"/>
      <c r="B445" s="64"/>
      <c r="C445" s="64"/>
      <c r="D445" s="885"/>
      <c r="E445" s="885"/>
      <c r="F445" s="885"/>
      <c r="G445" s="885"/>
      <c r="H445" s="885"/>
      <c r="I445" s="885"/>
      <c r="J445" s="885"/>
      <c r="K445" s="885"/>
      <c r="L445" s="885"/>
      <c r="M445" s="885"/>
      <c r="N445" s="885"/>
      <c r="O445" s="885"/>
      <c r="P445" s="66"/>
      <c r="Q445" s="66"/>
      <c r="R445" s="66"/>
      <c r="S445" s="66"/>
      <c r="T445" s="66"/>
      <c r="U445" s="67"/>
      <c r="V445" s="67"/>
      <c r="W445" s="67"/>
      <c r="X445" s="67"/>
      <c r="Y445" s="67"/>
      <c r="Z445" s="67"/>
      <c r="AA445" s="67"/>
      <c r="AB445" s="67"/>
      <c r="AC445" s="67"/>
      <c r="AD445" s="68"/>
      <c r="AE445" s="68"/>
      <c r="AF445" s="68"/>
      <c r="AG445" s="68"/>
      <c r="AH445" s="68"/>
      <c r="AI445" s="68"/>
      <c r="AJ445" s="68"/>
      <c r="AK445" s="68"/>
      <c r="AL445" s="68"/>
      <c r="AM445" s="69"/>
      <c r="AN445" s="69"/>
      <c r="AO445" s="69"/>
      <c r="AP445" s="69"/>
      <c r="AQ445" s="661"/>
      <c r="AR445" s="661"/>
      <c r="AS445" s="661"/>
      <c r="AT445" s="661"/>
      <c r="AV445" s="369" t="str">
        <f t="shared" si="262"/>
        <v>ROOFING</v>
      </c>
      <c r="AW445" s="696"/>
      <c r="AX445" s="696"/>
      <c r="AY445" s="696"/>
      <c r="AZ445" s="369"/>
      <c r="BA445" s="75">
        <f>BA402</f>
        <v>0</v>
      </c>
      <c r="BB445" s="75">
        <f>BB402</f>
        <v>0</v>
      </c>
      <c r="BC445" s="75">
        <f>BC402</f>
        <v>0</v>
      </c>
      <c r="BD445" s="75">
        <f>BD402</f>
        <v>0</v>
      </c>
      <c r="BE445" s="75">
        <f>BE402</f>
        <v>0</v>
      </c>
      <c r="BF445" s="75"/>
      <c r="BG445" s="75"/>
      <c r="BI445" s="75"/>
      <c r="BJ445" s="75"/>
      <c r="BK445" s="75"/>
    </row>
    <row r="446" spans="1:63" ht="9.6" hidden="1" customHeight="1">
      <c r="A446" s="187"/>
      <c r="B446" s="71"/>
      <c r="C446" s="71"/>
      <c r="D446" s="887"/>
      <c r="E446" s="887"/>
      <c r="F446" s="887"/>
      <c r="G446" s="887"/>
      <c r="H446" s="887"/>
      <c r="I446" s="887"/>
      <c r="J446" s="887"/>
      <c r="K446" s="887"/>
      <c r="L446" s="887"/>
      <c r="M446" s="887"/>
      <c r="N446" s="887"/>
      <c r="O446" s="887"/>
      <c r="P446" s="72"/>
      <c r="Q446" s="72"/>
      <c r="R446" s="72"/>
      <c r="S446" s="72"/>
      <c r="T446" s="72"/>
      <c r="U446" s="72"/>
      <c r="V446" s="72"/>
      <c r="W446" s="72"/>
      <c r="X446" s="72"/>
      <c r="Y446" s="72"/>
      <c r="Z446" s="72"/>
      <c r="AA446" s="72"/>
      <c r="AB446" s="72"/>
      <c r="AC446" s="73"/>
      <c r="AD446" s="662"/>
      <c r="AE446" s="662"/>
      <c r="AF446" s="662"/>
      <c r="AG446" s="662"/>
      <c r="AH446" s="662"/>
      <c r="AI446" s="662"/>
      <c r="AJ446" s="662"/>
      <c r="AK446" s="662"/>
      <c r="AL446" s="662"/>
      <c r="AM446" s="662"/>
      <c r="AN446" s="662"/>
      <c r="AO446" s="662"/>
      <c r="AP446" s="662"/>
      <c r="AQ446" s="663"/>
      <c r="AR446" s="663"/>
      <c r="AS446" s="663"/>
      <c r="AT446" s="663"/>
      <c r="AV446" s="371" t="str">
        <f t="shared" si="262"/>
        <v>ROOFING</v>
      </c>
      <c r="AW446" s="699"/>
      <c r="AX446" s="801"/>
      <c r="AY446" s="801"/>
      <c r="AZ446" s="371"/>
      <c r="BA446" s="125">
        <f>BA444</f>
        <v>0</v>
      </c>
      <c r="BB446" s="125">
        <f t="shared" ref="BB446:BG446" si="295">BB444</f>
        <v>0</v>
      </c>
      <c r="BC446" s="125">
        <f>BC444</f>
        <v>0</v>
      </c>
      <c r="BD446" s="125">
        <f t="shared" si="295"/>
        <v>0</v>
      </c>
      <c r="BE446" s="125">
        <f t="shared" si="295"/>
        <v>0</v>
      </c>
      <c r="BF446" s="125">
        <f t="shared" si="295"/>
        <v>0</v>
      </c>
      <c r="BG446" s="125">
        <f t="shared" si="295"/>
        <v>0</v>
      </c>
      <c r="BI446" s="125"/>
      <c r="BJ446" s="125"/>
      <c r="BK446" s="125"/>
    </row>
    <row r="447" spans="1:63" ht="23.1" customHeight="1">
      <c r="A447" s="186" t="s">
        <v>952</v>
      </c>
      <c r="B447" s="2343"/>
      <c r="C447" s="2344"/>
      <c r="D447" s="2387" t="str">
        <f>T(Y75)</f>
        <v>EXTERIOR DOORS &amp; WINDOWS</v>
      </c>
      <c r="E447" s="2388"/>
      <c r="F447" s="2388"/>
      <c r="G447" s="2388"/>
      <c r="H447" s="2388"/>
      <c r="I447" s="2388"/>
      <c r="J447" s="2388"/>
      <c r="K447" s="2388"/>
      <c r="L447" s="2388"/>
      <c r="M447" s="2388"/>
      <c r="N447" s="2388"/>
      <c r="O447" s="2389"/>
      <c r="P447" s="2345"/>
      <c r="Q447" s="2345"/>
      <c r="R447" s="2345"/>
      <c r="S447" s="2346"/>
      <c r="T447" s="2347"/>
      <c r="U447" s="2348"/>
      <c r="V447" s="2348"/>
      <c r="W447" s="2348"/>
      <c r="X447" s="2348"/>
      <c r="Y447" s="2348"/>
      <c r="Z447" s="2348"/>
      <c r="AA447" s="2348"/>
      <c r="AB447" s="2348"/>
      <c r="AC447" s="2348"/>
      <c r="AD447" s="2342">
        <f>AD489</f>
        <v>0</v>
      </c>
      <c r="AE447" s="2342"/>
      <c r="AF447" s="2342"/>
      <c r="AG447" s="2342">
        <f>AG489</f>
        <v>0</v>
      </c>
      <c r="AH447" s="2342"/>
      <c r="AI447" s="2342"/>
      <c r="AJ447" s="2342">
        <f>AJ489</f>
        <v>0</v>
      </c>
      <c r="AK447" s="2342"/>
      <c r="AL447" s="2342"/>
      <c r="AM447" s="2342">
        <f>AM489</f>
        <v>0</v>
      </c>
      <c r="AN447" s="2342"/>
      <c r="AO447" s="2342"/>
      <c r="AP447" s="2342"/>
      <c r="AQ447" s="2336">
        <f>AQ489</f>
        <v>0</v>
      </c>
      <c r="AR447" s="2336"/>
      <c r="AS447" s="2336"/>
      <c r="AT447" s="2336" t="e">
        <f>SUM(#REF!)</f>
        <v>#REF!</v>
      </c>
      <c r="AV447" s="151" t="str">
        <f t="shared" ref="AV447:AV491" si="296">$D$447</f>
        <v>EXTERIOR DOORS &amp; WINDOWS</v>
      </c>
      <c r="AW447" s="700"/>
      <c r="AX447" s="700"/>
      <c r="AY447" s="700"/>
      <c r="AZ447" s="701"/>
      <c r="BA447" s="49">
        <f>SUM(BA448:BA487)</f>
        <v>0</v>
      </c>
      <c r="BB447" s="49">
        <f>SUM(BB448:BB487)</f>
        <v>0</v>
      </c>
      <c r="BC447" s="49">
        <f>SUM(BC448:BC487)</f>
        <v>0</v>
      </c>
      <c r="BD447" s="49">
        <f>SUM(BD448:BD487)</f>
        <v>0</v>
      </c>
      <c r="BE447" s="49">
        <f>SUM(BE448:BE487)</f>
        <v>0</v>
      </c>
      <c r="BF447" s="49">
        <f t="shared" ref="BF447:BF487" si="297">AQ447</f>
        <v>0</v>
      </c>
      <c r="BG447" s="49">
        <f t="shared" ref="BG447:BG487" si="298">AM447</f>
        <v>0</v>
      </c>
      <c r="BI447" s="134">
        <f>AD447</f>
        <v>0</v>
      </c>
      <c r="BJ447" s="134">
        <f>AM447</f>
        <v>0</v>
      </c>
      <c r="BK447" s="134">
        <f>BJ447+BI447</f>
        <v>0</v>
      </c>
    </row>
    <row r="448" spans="1:63" hidden="1">
      <c r="A448" s="187"/>
      <c r="B448" s="2321"/>
      <c r="C448" s="2322"/>
      <c r="D448" s="2337" t="s">
        <v>708</v>
      </c>
      <c r="E448" s="2337"/>
      <c r="F448" s="2337"/>
      <c r="G448" s="2337"/>
      <c r="H448" s="2337"/>
      <c r="I448" s="2337"/>
      <c r="J448" s="2337"/>
      <c r="K448" s="2337"/>
      <c r="L448" s="2337"/>
      <c r="M448" s="2337"/>
      <c r="N448" s="2337"/>
      <c r="O448" s="2337"/>
      <c r="P448" s="2324"/>
      <c r="Q448" s="2324"/>
      <c r="R448" s="2325"/>
      <c r="S448" s="2324"/>
      <c r="T448" s="2324"/>
      <c r="U448" s="2326"/>
      <c r="V448" s="2327"/>
      <c r="W448" s="2327"/>
      <c r="X448" s="2327"/>
      <c r="Y448" s="2327"/>
      <c r="Z448" s="2327"/>
      <c r="AA448" s="2328"/>
      <c r="AB448" s="2329"/>
      <c r="AC448" s="2326"/>
      <c r="AD448" s="2330">
        <f t="shared" ref="AD448:AD487" si="299">((P448*U448)-AM448)</f>
        <v>0</v>
      </c>
      <c r="AE448" s="2330"/>
      <c r="AF448" s="2330"/>
      <c r="AG448" s="2330">
        <f>P448*X448*(1+$Y$85)</f>
        <v>0</v>
      </c>
      <c r="AH448" s="2330"/>
      <c r="AI448" s="2330"/>
      <c r="AJ448" s="2330">
        <f t="shared" ref="AJ448:AJ487" si="300">P448*AA448</f>
        <v>0</v>
      </c>
      <c r="AK448" s="2330"/>
      <c r="AL448" s="2330"/>
      <c r="AM448" s="2331">
        <f t="shared" ref="AM448:AM487" si="301">IF($B448="x",$P448*$U448,0)</f>
        <v>0</v>
      </c>
      <c r="AN448" s="2331"/>
      <c r="AO448" s="2331"/>
      <c r="AP448" s="2331"/>
      <c r="AQ448" s="2332">
        <f t="shared" ref="AQ448:AQ487" si="302">SUM(AD448:AL448)</f>
        <v>0</v>
      </c>
      <c r="AR448" s="2332"/>
      <c r="AS448" s="2332"/>
      <c r="AT448" s="2332">
        <f t="shared" ref="AT448:AT487" si="303">SUM(AD448:AL448)</f>
        <v>0</v>
      </c>
      <c r="AV448" s="151" t="str">
        <f t="shared" si="296"/>
        <v>EXTERIOR DOORS &amp; WINDOWS</v>
      </c>
      <c r="AW448" s="681"/>
      <c r="AX448" s="230"/>
      <c r="AY448" s="230"/>
      <c r="AZ448" s="679"/>
      <c r="BA448" s="49">
        <f t="shared" ref="BA448:BA487" si="304">AD448</f>
        <v>0</v>
      </c>
      <c r="BB448" s="49">
        <f>AG448</f>
        <v>0</v>
      </c>
      <c r="BC448" s="49">
        <f>AJ448</f>
        <v>0</v>
      </c>
      <c r="BD448" s="49">
        <f t="shared" ref="BD448:BD487" si="305">IF(B448="x",1,0)</f>
        <v>0</v>
      </c>
      <c r="BE448" s="49">
        <f>SUM(BA448:BC448)</f>
        <v>0</v>
      </c>
      <c r="BF448" s="49">
        <f t="shared" si="297"/>
        <v>0</v>
      </c>
      <c r="BG448" s="49">
        <f t="shared" si="298"/>
        <v>0</v>
      </c>
      <c r="BI448" s="134">
        <f>AD448</f>
        <v>0</v>
      </c>
      <c r="BJ448" s="134">
        <f t="shared" ref="BJ448:BJ487" si="306">AM448</f>
        <v>0</v>
      </c>
      <c r="BK448" s="134">
        <f>BJ448+BI448</f>
        <v>0</v>
      </c>
    </row>
    <row r="449" spans="1:63" hidden="1">
      <c r="A449" s="187"/>
      <c r="B449" s="2321"/>
      <c r="C449" s="2322"/>
      <c r="D449" s="2338" t="s">
        <v>709</v>
      </c>
      <c r="E449" s="2338"/>
      <c r="F449" s="2338"/>
      <c r="G449" s="2338"/>
      <c r="H449" s="2338"/>
      <c r="I449" s="2338"/>
      <c r="J449" s="2338"/>
      <c r="K449" s="2338"/>
      <c r="L449" s="2338"/>
      <c r="M449" s="2338"/>
      <c r="N449" s="2338"/>
      <c r="O449" s="2338"/>
      <c r="P449" s="2324"/>
      <c r="Q449" s="2324"/>
      <c r="R449" s="2325"/>
      <c r="S449" s="2324" t="s">
        <v>3</v>
      </c>
      <c r="T449" s="2324" t="s">
        <v>3</v>
      </c>
      <c r="U449" s="2326"/>
      <c r="V449" s="2327"/>
      <c r="W449" s="2327"/>
      <c r="X449" s="2327"/>
      <c r="Y449" s="2327"/>
      <c r="Z449" s="2327"/>
      <c r="AA449" s="2328"/>
      <c r="AB449" s="2329"/>
      <c r="AC449" s="2326"/>
      <c r="AD449" s="2330">
        <f t="shared" si="299"/>
        <v>0</v>
      </c>
      <c r="AE449" s="2330"/>
      <c r="AF449" s="2330"/>
      <c r="AG449" s="2330">
        <f t="shared" ref="AG449:AG487" si="307">P449*X449*(1+$Y$85)</f>
        <v>0</v>
      </c>
      <c r="AH449" s="2330"/>
      <c r="AI449" s="2330"/>
      <c r="AJ449" s="2330">
        <f t="shared" si="300"/>
        <v>0</v>
      </c>
      <c r="AK449" s="2330"/>
      <c r="AL449" s="2330"/>
      <c r="AM449" s="2331">
        <f t="shared" si="301"/>
        <v>0</v>
      </c>
      <c r="AN449" s="2331"/>
      <c r="AO449" s="2331"/>
      <c r="AP449" s="2331"/>
      <c r="AQ449" s="2332">
        <f t="shared" si="302"/>
        <v>0</v>
      </c>
      <c r="AR449" s="2332"/>
      <c r="AS449" s="2332"/>
      <c r="AT449" s="2332">
        <f t="shared" si="303"/>
        <v>0</v>
      </c>
      <c r="AV449" s="151" t="str">
        <f t="shared" si="296"/>
        <v>EXTERIOR DOORS &amp; WINDOWS</v>
      </c>
      <c r="AW449" s="681"/>
      <c r="AX449" s="230"/>
      <c r="AY449" s="230"/>
      <c r="AZ449" s="679"/>
      <c r="BA449" s="49">
        <f t="shared" si="304"/>
        <v>0</v>
      </c>
      <c r="BB449" s="49">
        <f t="shared" ref="BB449:BB487" si="308">AG449</f>
        <v>0</v>
      </c>
      <c r="BC449" s="49">
        <f t="shared" ref="BC449:BC487" si="309">AJ449</f>
        <v>0</v>
      </c>
      <c r="BD449" s="49">
        <f t="shared" si="305"/>
        <v>0</v>
      </c>
      <c r="BE449" s="49">
        <f t="shared" ref="BE449:BE465" si="310">SUM(BA449:BC449)</f>
        <v>0</v>
      </c>
      <c r="BF449" s="49">
        <f t="shared" si="297"/>
        <v>0</v>
      </c>
      <c r="BG449" s="49">
        <f t="shared" si="298"/>
        <v>0</v>
      </c>
      <c r="BI449" s="134">
        <f t="shared" ref="BI449:BI487" si="311">AD449</f>
        <v>0</v>
      </c>
      <c r="BJ449" s="134">
        <f t="shared" si="306"/>
        <v>0</v>
      </c>
      <c r="BK449" s="134">
        <f t="shared" ref="BK449:BK487" si="312">BJ449+BI449</f>
        <v>0</v>
      </c>
    </row>
    <row r="450" spans="1:63" hidden="1">
      <c r="A450" s="187"/>
      <c r="B450" s="2333"/>
      <c r="C450" s="2333"/>
      <c r="D450" s="2334" t="s">
        <v>216</v>
      </c>
      <c r="E450" s="2334"/>
      <c r="F450" s="2334"/>
      <c r="G450" s="2334"/>
      <c r="H450" s="2334"/>
      <c r="I450" s="2334"/>
      <c r="J450" s="2334"/>
      <c r="K450" s="2334"/>
      <c r="L450" s="2334"/>
      <c r="M450" s="2334"/>
      <c r="N450" s="2334"/>
      <c r="O450" s="2334"/>
      <c r="P450" s="2324"/>
      <c r="Q450" s="2324"/>
      <c r="R450" s="2325"/>
      <c r="S450" s="2324" t="s">
        <v>2</v>
      </c>
      <c r="T450" s="2324" t="s">
        <v>2</v>
      </c>
      <c r="U450" s="2326">
        <v>200</v>
      </c>
      <c r="V450" s="2327"/>
      <c r="W450" s="2327"/>
      <c r="X450" s="2327">
        <v>250</v>
      </c>
      <c r="Y450" s="2327"/>
      <c r="Z450" s="2327">
        <v>175</v>
      </c>
      <c r="AA450" s="2328"/>
      <c r="AB450" s="2329"/>
      <c r="AC450" s="2326"/>
      <c r="AD450" s="2330">
        <f t="shared" si="299"/>
        <v>0</v>
      </c>
      <c r="AE450" s="2330"/>
      <c r="AF450" s="2330"/>
      <c r="AG450" s="2330">
        <f t="shared" si="307"/>
        <v>0</v>
      </c>
      <c r="AH450" s="2330"/>
      <c r="AI450" s="2330"/>
      <c r="AJ450" s="2330">
        <f t="shared" si="300"/>
        <v>0</v>
      </c>
      <c r="AK450" s="2330"/>
      <c r="AL450" s="2330"/>
      <c r="AM450" s="2331">
        <f t="shared" si="301"/>
        <v>0</v>
      </c>
      <c r="AN450" s="2331"/>
      <c r="AO450" s="2331"/>
      <c r="AP450" s="2331"/>
      <c r="AQ450" s="2332">
        <f t="shared" si="302"/>
        <v>0</v>
      </c>
      <c r="AR450" s="2332"/>
      <c r="AS450" s="2332"/>
      <c r="AT450" s="2332">
        <f t="shared" si="303"/>
        <v>0</v>
      </c>
      <c r="AV450" s="151" t="str">
        <f t="shared" si="296"/>
        <v>EXTERIOR DOORS &amp; WINDOWS</v>
      </c>
      <c r="AW450" s="681"/>
      <c r="AX450" s="230"/>
      <c r="AY450" s="230"/>
      <c r="AZ450" s="679"/>
      <c r="BA450" s="49">
        <f t="shared" si="304"/>
        <v>0</v>
      </c>
      <c r="BB450" s="49">
        <f t="shared" si="308"/>
        <v>0</v>
      </c>
      <c r="BC450" s="49">
        <f t="shared" si="309"/>
        <v>0</v>
      </c>
      <c r="BD450" s="49">
        <f t="shared" si="305"/>
        <v>0</v>
      </c>
      <c r="BE450" s="49">
        <f t="shared" si="310"/>
        <v>0</v>
      </c>
      <c r="BF450" s="49">
        <f t="shared" si="297"/>
        <v>0</v>
      </c>
      <c r="BG450" s="49">
        <f t="shared" si="298"/>
        <v>0</v>
      </c>
      <c r="BI450" s="134">
        <f t="shared" si="311"/>
        <v>0</v>
      </c>
      <c r="BJ450" s="134">
        <f t="shared" si="306"/>
        <v>0</v>
      </c>
      <c r="BK450" s="134">
        <f t="shared" si="312"/>
        <v>0</v>
      </c>
    </row>
    <row r="451" spans="1:63" hidden="1">
      <c r="A451" s="187"/>
      <c r="B451" s="2333"/>
      <c r="C451" s="2333"/>
      <c r="D451" s="2334" t="s">
        <v>706</v>
      </c>
      <c r="E451" s="2334"/>
      <c r="F451" s="2334"/>
      <c r="G451" s="2334"/>
      <c r="H451" s="2334"/>
      <c r="I451" s="2334"/>
      <c r="J451" s="2334"/>
      <c r="K451" s="2334"/>
      <c r="L451" s="2334"/>
      <c r="M451" s="2334"/>
      <c r="N451" s="2334"/>
      <c r="O451" s="2334"/>
      <c r="P451" s="2324"/>
      <c r="Q451" s="2324"/>
      <c r="R451" s="2325"/>
      <c r="S451" s="2324" t="s">
        <v>2</v>
      </c>
      <c r="T451" s="2324" t="s">
        <v>2</v>
      </c>
      <c r="U451" s="2326">
        <v>300</v>
      </c>
      <c r="V451" s="2327"/>
      <c r="W451" s="2327"/>
      <c r="X451" s="2327">
        <v>500</v>
      </c>
      <c r="Y451" s="2327"/>
      <c r="Z451" s="2327">
        <v>400</v>
      </c>
      <c r="AA451" s="2328"/>
      <c r="AB451" s="2329"/>
      <c r="AC451" s="2326"/>
      <c r="AD451" s="2330">
        <f t="shared" si="299"/>
        <v>0</v>
      </c>
      <c r="AE451" s="2330"/>
      <c r="AF451" s="2330"/>
      <c r="AG451" s="2330">
        <f t="shared" si="307"/>
        <v>0</v>
      </c>
      <c r="AH451" s="2330"/>
      <c r="AI451" s="2330"/>
      <c r="AJ451" s="2330">
        <f t="shared" si="300"/>
        <v>0</v>
      </c>
      <c r="AK451" s="2330"/>
      <c r="AL451" s="2330"/>
      <c r="AM451" s="2331">
        <f t="shared" si="301"/>
        <v>0</v>
      </c>
      <c r="AN451" s="2331"/>
      <c r="AO451" s="2331"/>
      <c r="AP451" s="2331"/>
      <c r="AQ451" s="2332">
        <f t="shared" si="302"/>
        <v>0</v>
      </c>
      <c r="AR451" s="2332"/>
      <c r="AS451" s="2332"/>
      <c r="AT451" s="2332">
        <f t="shared" si="303"/>
        <v>0</v>
      </c>
      <c r="AV451" s="151" t="str">
        <f t="shared" si="296"/>
        <v>EXTERIOR DOORS &amp; WINDOWS</v>
      </c>
      <c r="AW451" s="681"/>
      <c r="AX451" s="230"/>
      <c r="AY451" s="230"/>
      <c r="AZ451" s="679"/>
      <c r="BA451" s="49">
        <f t="shared" si="304"/>
        <v>0</v>
      </c>
      <c r="BB451" s="49">
        <f t="shared" si="308"/>
        <v>0</v>
      </c>
      <c r="BC451" s="49">
        <f t="shared" si="309"/>
        <v>0</v>
      </c>
      <c r="BD451" s="49">
        <f t="shared" si="305"/>
        <v>0</v>
      </c>
      <c r="BE451" s="49">
        <f t="shared" si="310"/>
        <v>0</v>
      </c>
      <c r="BF451" s="49">
        <f t="shared" si="297"/>
        <v>0</v>
      </c>
      <c r="BG451" s="49">
        <f t="shared" si="298"/>
        <v>0</v>
      </c>
      <c r="BI451" s="134">
        <f t="shared" si="311"/>
        <v>0</v>
      </c>
      <c r="BJ451" s="134">
        <f t="shared" si="306"/>
        <v>0</v>
      </c>
      <c r="BK451" s="134">
        <f t="shared" si="312"/>
        <v>0</v>
      </c>
    </row>
    <row r="452" spans="1:63" hidden="1">
      <c r="A452" s="187"/>
      <c r="B452" s="2321"/>
      <c r="C452" s="2322"/>
      <c r="D452" s="2334" t="s">
        <v>470</v>
      </c>
      <c r="E452" s="2334"/>
      <c r="F452" s="2334"/>
      <c r="G452" s="2334"/>
      <c r="H452" s="2334"/>
      <c r="I452" s="2334"/>
      <c r="J452" s="2334"/>
      <c r="K452" s="2334"/>
      <c r="L452" s="2334"/>
      <c r="M452" s="2334"/>
      <c r="N452" s="2334"/>
      <c r="O452" s="2334"/>
      <c r="P452" s="2324"/>
      <c r="Q452" s="2324"/>
      <c r="R452" s="2325"/>
      <c r="S452" s="2324" t="s">
        <v>2</v>
      </c>
      <c r="T452" s="2324" t="s">
        <v>2</v>
      </c>
      <c r="U452" s="2326">
        <v>25</v>
      </c>
      <c r="V452" s="2327"/>
      <c r="W452" s="2327"/>
      <c r="X452" s="2327">
        <v>25</v>
      </c>
      <c r="Y452" s="2327"/>
      <c r="Z452" s="2327">
        <v>25</v>
      </c>
      <c r="AA452" s="2328"/>
      <c r="AB452" s="2329"/>
      <c r="AC452" s="2326"/>
      <c r="AD452" s="2330">
        <f t="shared" si="299"/>
        <v>0</v>
      </c>
      <c r="AE452" s="2330"/>
      <c r="AF452" s="2330"/>
      <c r="AG452" s="2330">
        <f t="shared" si="307"/>
        <v>0</v>
      </c>
      <c r="AH452" s="2330"/>
      <c r="AI452" s="2330"/>
      <c r="AJ452" s="2330">
        <f t="shared" si="300"/>
        <v>0</v>
      </c>
      <c r="AK452" s="2330"/>
      <c r="AL452" s="2330"/>
      <c r="AM452" s="2331">
        <f t="shared" si="301"/>
        <v>0</v>
      </c>
      <c r="AN452" s="2331"/>
      <c r="AO452" s="2331"/>
      <c r="AP452" s="2331"/>
      <c r="AQ452" s="2332">
        <f t="shared" si="302"/>
        <v>0</v>
      </c>
      <c r="AR452" s="2332"/>
      <c r="AS452" s="2332"/>
      <c r="AT452" s="2332">
        <f t="shared" si="303"/>
        <v>0</v>
      </c>
      <c r="AV452" s="151" t="str">
        <f t="shared" si="296"/>
        <v>EXTERIOR DOORS &amp; WINDOWS</v>
      </c>
      <c r="AW452" s="681"/>
      <c r="AX452" s="230"/>
      <c r="AY452" s="230"/>
      <c r="AZ452" s="679"/>
      <c r="BA452" s="49">
        <f t="shared" si="304"/>
        <v>0</v>
      </c>
      <c r="BB452" s="49">
        <f t="shared" si="308"/>
        <v>0</v>
      </c>
      <c r="BC452" s="49">
        <f t="shared" si="309"/>
        <v>0</v>
      </c>
      <c r="BD452" s="49">
        <f t="shared" si="305"/>
        <v>0</v>
      </c>
      <c r="BE452" s="49">
        <f t="shared" si="310"/>
        <v>0</v>
      </c>
      <c r="BF452" s="49">
        <f t="shared" si="297"/>
        <v>0</v>
      </c>
      <c r="BG452" s="49">
        <f t="shared" si="298"/>
        <v>0</v>
      </c>
      <c r="BI452" s="134">
        <f t="shared" si="311"/>
        <v>0</v>
      </c>
      <c r="BJ452" s="134">
        <f t="shared" si="306"/>
        <v>0</v>
      </c>
      <c r="BK452" s="134">
        <f t="shared" si="312"/>
        <v>0</v>
      </c>
    </row>
    <row r="453" spans="1:63" hidden="1">
      <c r="A453" s="187"/>
      <c r="B453" s="2321"/>
      <c r="C453" s="2322"/>
      <c r="D453" s="2334" t="s">
        <v>471</v>
      </c>
      <c r="E453" s="2334"/>
      <c r="F453" s="2334"/>
      <c r="G453" s="2334"/>
      <c r="H453" s="2334"/>
      <c r="I453" s="2334"/>
      <c r="J453" s="2334"/>
      <c r="K453" s="2334"/>
      <c r="L453" s="2334"/>
      <c r="M453" s="2334"/>
      <c r="N453" s="2334"/>
      <c r="O453" s="2334"/>
      <c r="P453" s="2324"/>
      <c r="Q453" s="2324"/>
      <c r="R453" s="2325"/>
      <c r="S453" s="2324" t="s">
        <v>2</v>
      </c>
      <c r="T453" s="2324" t="s">
        <v>2</v>
      </c>
      <c r="U453" s="2326">
        <v>125</v>
      </c>
      <c r="V453" s="2327"/>
      <c r="W453" s="2327"/>
      <c r="X453" s="2327">
        <v>250</v>
      </c>
      <c r="Y453" s="2327"/>
      <c r="Z453" s="2327">
        <v>225</v>
      </c>
      <c r="AA453" s="2328"/>
      <c r="AB453" s="2329"/>
      <c r="AC453" s="2326"/>
      <c r="AD453" s="2330">
        <f t="shared" si="299"/>
        <v>0</v>
      </c>
      <c r="AE453" s="2330"/>
      <c r="AF453" s="2330"/>
      <c r="AG453" s="2330">
        <f t="shared" si="307"/>
        <v>0</v>
      </c>
      <c r="AH453" s="2330"/>
      <c r="AI453" s="2330"/>
      <c r="AJ453" s="2330">
        <f t="shared" si="300"/>
        <v>0</v>
      </c>
      <c r="AK453" s="2330"/>
      <c r="AL453" s="2330"/>
      <c r="AM453" s="2331">
        <f t="shared" si="301"/>
        <v>0</v>
      </c>
      <c r="AN453" s="2331"/>
      <c r="AO453" s="2331"/>
      <c r="AP453" s="2331"/>
      <c r="AQ453" s="2332">
        <f t="shared" si="302"/>
        <v>0</v>
      </c>
      <c r="AR453" s="2332"/>
      <c r="AS453" s="2332"/>
      <c r="AT453" s="2332">
        <f t="shared" si="303"/>
        <v>0</v>
      </c>
      <c r="AV453" s="151" t="str">
        <f t="shared" si="296"/>
        <v>EXTERIOR DOORS &amp; WINDOWS</v>
      </c>
      <c r="AW453" s="681"/>
      <c r="AX453" s="230"/>
      <c r="AY453" s="230"/>
      <c r="AZ453" s="679"/>
      <c r="BA453" s="49">
        <f t="shared" si="304"/>
        <v>0</v>
      </c>
      <c r="BB453" s="49">
        <f t="shared" si="308"/>
        <v>0</v>
      </c>
      <c r="BC453" s="49">
        <f t="shared" si="309"/>
        <v>0</v>
      </c>
      <c r="BD453" s="49">
        <f t="shared" si="305"/>
        <v>0</v>
      </c>
      <c r="BE453" s="49">
        <f t="shared" si="310"/>
        <v>0</v>
      </c>
      <c r="BF453" s="49">
        <f t="shared" si="297"/>
        <v>0</v>
      </c>
      <c r="BG453" s="49">
        <f t="shared" si="298"/>
        <v>0</v>
      </c>
      <c r="BI453" s="134">
        <f t="shared" si="311"/>
        <v>0</v>
      </c>
      <c r="BJ453" s="134">
        <f t="shared" si="306"/>
        <v>0</v>
      </c>
      <c r="BK453" s="134">
        <f t="shared" si="312"/>
        <v>0</v>
      </c>
    </row>
    <row r="454" spans="1:63" hidden="1">
      <c r="A454" s="187"/>
      <c r="B454" s="2321"/>
      <c r="C454" s="2322"/>
      <c r="D454" s="2334" t="s">
        <v>707</v>
      </c>
      <c r="E454" s="2334"/>
      <c r="F454" s="2334"/>
      <c r="G454" s="2334"/>
      <c r="H454" s="2334"/>
      <c r="I454" s="2334"/>
      <c r="J454" s="2334"/>
      <c r="K454" s="2334"/>
      <c r="L454" s="2334"/>
      <c r="M454" s="2334"/>
      <c r="N454" s="2334"/>
      <c r="O454" s="2334"/>
      <c r="P454" s="2324"/>
      <c r="Q454" s="2324"/>
      <c r="R454" s="2325"/>
      <c r="S454" s="2324" t="s">
        <v>2</v>
      </c>
      <c r="T454" s="2324" t="s">
        <v>2</v>
      </c>
      <c r="U454" s="2326">
        <v>300</v>
      </c>
      <c r="V454" s="2327"/>
      <c r="W454" s="2327"/>
      <c r="X454" s="2327">
        <v>500</v>
      </c>
      <c r="Y454" s="2327"/>
      <c r="Z454" s="2327">
        <v>400</v>
      </c>
      <c r="AA454" s="2328"/>
      <c r="AB454" s="2329"/>
      <c r="AC454" s="2326"/>
      <c r="AD454" s="2330">
        <f t="shared" si="299"/>
        <v>0</v>
      </c>
      <c r="AE454" s="2330"/>
      <c r="AF454" s="2330"/>
      <c r="AG454" s="2330">
        <f t="shared" si="307"/>
        <v>0</v>
      </c>
      <c r="AH454" s="2330"/>
      <c r="AI454" s="2330"/>
      <c r="AJ454" s="2330">
        <f t="shared" si="300"/>
        <v>0</v>
      </c>
      <c r="AK454" s="2330"/>
      <c r="AL454" s="2330"/>
      <c r="AM454" s="2331">
        <f t="shared" si="301"/>
        <v>0</v>
      </c>
      <c r="AN454" s="2331"/>
      <c r="AO454" s="2331"/>
      <c r="AP454" s="2331"/>
      <c r="AQ454" s="2332">
        <f t="shared" si="302"/>
        <v>0</v>
      </c>
      <c r="AR454" s="2332"/>
      <c r="AS454" s="2332"/>
      <c r="AT454" s="2332">
        <f t="shared" si="303"/>
        <v>0</v>
      </c>
      <c r="AV454" s="151" t="str">
        <f t="shared" si="296"/>
        <v>EXTERIOR DOORS &amp; WINDOWS</v>
      </c>
      <c r="AW454" s="681"/>
      <c r="AX454" s="230"/>
      <c r="AY454" s="230"/>
      <c r="AZ454" s="679"/>
      <c r="BA454" s="49">
        <f t="shared" si="304"/>
        <v>0</v>
      </c>
      <c r="BB454" s="49">
        <f t="shared" si="308"/>
        <v>0</v>
      </c>
      <c r="BC454" s="49">
        <f t="shared" si="309"/>
        <v>0</v>
      </c>
      <c r="BD454" s="49">
        <f t="shared" si="305"/>
        <v>0</v>
      </c>
      <c r="BE454" s="49">
        <f t="shared" si="310"/>
        <v>0</v>
      </c>
      <c r="BF454" s="49">
        <f t="shared" si="297"/>
        <v>0</v>
      </c>
      <c r="BG454" s="49">
        <f t="shared" si="298"/>
        <v>0</v>
      </c>
      <c r="BI454" s="134">
        <f t="shared" si="311"/>
        <v>0</v>
      </c>
      <c r="BJ454" s="134">
        <f t="shared" si="306"/>
        <v>0</v>
      </c>
      <c r="BK454" s="134">
        <f t="shared" si="312"/>
        <v>0</v>
      </c>
    </row>
    <row r="455" spans="1:63" ht="17.25" hidden="1" customHeight="1">
      <c r="A455" s="187"/>
      <c r="B455" s="2321"/>
      <c r="C455" s="2322"/>
      <c r="D455" s="2334"/>
      <c r="E455" s="2334"/>
      <c r="F455" s="2334"/>
      <c r="G455" s="2334"/>
      <c r="H455" s="2334"/>
      <c r="I455" s="2334"/>
      <c r="J455" s="2334"/>
      <c r="K455" s="2334"/>
      <c r="L455" s="2334"/>
      <c r="M455" s="2334"/>
      <c r="N455" s="2334"/>
      <c r="O455" s="2334"/>
      <c r="P455" s="2324"/>
      <c r="Q455" s="2324"/>
      <c r="R455" s="2325"/>
      <c r="S455" s="2324"/>
      <c r="T455" s="2324"/>
      <c r="U455" s="2326"/>
      <c r="V455" s="2327"/>
      <c r="W455" s="2327"/>
      <c r="X455" s="2327"/>
      <c r="Y455" s="2327"/>
      <c r="Z455" s="2327"/>
      <c r="AA455" s="2328"/>
      <c r="AB455" s="2329"/>
      <c r="AC455" s="2326"/>
      <c r="AD455" s="2330">
        <f t="shared" si="299"/>
        <v>0</v>
      </c>
      <c r="AE455" s="2330"/>
      <c r="AF455" s="2330"/>
      <c r="AG455" s="2330">
        <f t="shared" si="307"/>
        <v>0</v>
      </c>
      <c r="AH455" s="2330"/>
      <c r="AI455" s="2330"/>
      <c r="AJ455" s="2330">
        <f t="shared" si="300"/>
        <v>0</v>
      </c>
      <c r="AK455" s="2330"/>
      <c r="AL455" s="2330"/>
      <c r="AM455" s="2331">
        <f t="shared" si="301"/>
        <v>0</v>
      </c>
      <c r="AN455" s="2331"/>
      <c r="AO455" s="2331"/>
      <c r="AP455" s="2331"/>
      <c r="AQ455" s="2332">
        <f t="shared" si="302"/>
        <v>0</v>
      </c>
      <c r="AR455" s="2332"/>
      <c r="AS455" s="2332"/>
      <c r="AT455" s="2332">
        <f t="shared" si="303"/>
        <v>0</v>
      </c>
      <c r="AV455" s="151" t="str">
        <f t="shared" si="296"/>
        <v>EXTERIOR DOORS &amp; WINDOWS</v>
      </c>
      <c r="AW455" s="681"/>
      <c r="AX455" s="230"/>
      <c r="AY455" s="230"/>
      <c r="AZ455" s="679"/>
      <c r="BA455" s="49">
        <f t="shared" si="304"/>
        <v>0</v>
      </c>
      <c r="BB455" s="49">
        <f t="shared" si="308"/>
        <v>0</v>
      </c>
      <c r="BC455" s="49">
        <f t="shared" si="309"/>
        <v>0</v>
      </c>
      <c r="BD455" s="49">
        <f t="shared" si="305"/>
        <v>0</v>
      </c>
      <c r="BE455" s="49">
        <f t="shared" si="310"/>
        <v>0</v>
      </c>
      <c r="BF455" s="49">
        <f t="shared" si="297"/>
        <v>0</v>
      </c>
      <c r="BG455" s="49">
        <f t="shared" si="298"/>
        <v>0</v>
      </c>
      <c r="BI455" s="134">
        <f t="shared" si="311"/>
        <v>0</v>
      </c>
      <c r="BJ455" s="134">
        <f t="shared" si="306"/>
        <v>0</v>
      </c>
      <c r="BK455" s="134">
        <f t="shared" si="312"/>
        <v>0</v>
      </c>
    </row>
    <row r="456" spans="1:63" hidden="1">
      <c r="A456" s="187"/>
      <c r="B456" s="2333"/>
      <c r="C456" s="2333"/>
      <c r="D456" s="2334"/>
      <c r="E456" s="2334"/>
      <c r="F456" s="2334"/>
      <c r="G456" s="2334"/>
      <c r="H456" s="2334"/>
      <c r="I456" s="2334"/>
      <c r="J456" s="2334"/>
      <c r="K456" s="2334"/>
      <c r="L456" s="2334"/>
      <c r="M456" s="2334"/>
      <c r="N456" s="2334"/>
      <c r="O456" s="2334"/>
      <c r="P456" s="2324"/>
      <c r="Q456" s="2324"/>
      <c r="R456" s="2325"/>
      <c r="S456" s="2324"/>
      <c r="T456" s="2324"/>
      <c r="U456" s="2326"/>
      <c r="V456" s="2327"/>
      <c r="W456" s="2327"/>
      <c r="X456" s="2327"/>
      <c r="Y456" s="2327"/>
      <c r="Z456" s="2327"/>
      <c r="AA456" s="2328"/>
      <c r="AB456" s="2329"/>
      <c r="AC456" s="2326"/>
      <c r="AD456" s="2330">
        <f t="shared" si="299"/>
        <v>0</v>
      </c>
      <c r="AE456" s="2330"/>
      <c r="AF456" s="2330"/>
      <c r="AG456" s="2330">
        <f t="shared" si="307"/>
        <v>0</v>
      </c>
      <c r="AH456" s="2330"/>
      <c r="AI456" s="2330"/>
      <c r="AJ456" s="2330">
        <f t="shared" si="300"/>
        <v>0</v>
      </c>
      <c r="AK456" s="2330"/>
      <c r="AL456" s="2330"/>
      <c r="AM456" s="2331">
        <f t="shared" si="301"/>
        <v>0</v>
      </c>
      <c r="AN456" s="2331"/>
      <c r="AO456" s="2331"/>
      <c r="AP456" s="2331"/>
      <c r="AQ456" s="2332">
        <f t="shared" si="302"/>
        <v>0</v>
      </c>
      <c r="AR456" s="2332"/>
      <c r="AS456" s="2332"/>
      <c r="AT456" s="2332">
        <f t="shared" si="303"/>
        <v>0</v>
      </c>
      <c r="AV456" s="151" t="str">
        <f t="shared" si="296"/>
        <v>EXTERIOR DOORS &amp; WINDOWS</v>
      </c>
      <c r="AW456" s="681"/>
      <c r="AX456" s="230"/>
      <c r="AY456" s="230"/>
      <c r="AZ456" s="679"/>
      <c r="BA456" s="49">
        <f t="shared" si="304"/>
        <v>0</v>
      </c>
      <c r="BB456" s="49">
        <f t="shared" si="308"/>
        <v>0</v>
      </c>
      <c r="BC456" s="49">
        <f t="shared" si="309"/>
        <v>0</v>
      </c>
      <c r="BD456" s="49">
        <f t="shared" si="305"/>
        <v>0</v>
      </c>
      <c r="BE456" s="49">
        <f t="shared" si="310"/>
        <v>0</v>
      </c>
      <c r="BF456" s="49">
        <f t="shared" si="297"/>
        <v>0</v>
      </c>
      <c r="BG456" s="49">
        <f t="shared" si="298"/>
        <v>0</v>
      </c>
      <c r="BI456" s="134">
        <f t="shared" si="311"/>
        <v>0</v>
      </c>
      <c r="BJ456" s="134">
        <f t="shared" si="306"/>
        <v>0</v>
      </c>
      <c r="BK456" s="134">
        <f t="shared" si="312"/>
        <v>0</v>
      </c>
    </row>
    <row r="457" spans="1:63" hidden="1">
      <c r="A457" s="187"/>
      <c r="B457" s="2333"/>
      <c r="C457" s="2333"/>
      <c r="D457" s="2337" t="s">
        <v>135</v>
      </c>
      <c r="E457" s="2337"/>
      <c r="F457" s="2337"/>
      <c r="G457" s="2337"/>
      <c r="H457" s="2337"/>
      <c r="I457" s="2337"/>
      <c r="J457" s="2337"/>
      <c r="K457" s="2337"/>
      <c r="L457" s="2337"/>
      <c r="M457" s="2337"/>
      <c r="N457" s="2337"/>
      <c r="O457" s="2337"/>
      <c r="P457" s="2324"/>
      <c r="Q457" s="2324"/>
      <c r="R457" s="2325"/>
      <c r="S457" s="2324"/>
      <c r="T457" s="2324"/>
      <c r="U457" s="2326"/>
      <c r="V457" s="2327"/>
      <c r="W457" s="2327"/>
      <c r="X457" s="2327"/>
      <c r="Y457" s="2327"/>
      <c r="Z457" s="2327"/>
      <c r="AA457" s="2328"/>
      <c r="AB457" s="2329"/>
      <c r="AC457" s="2326"/>
      <c r="AD457" s="2330">
        <f t="shared" si="299"/>
        <v>0</v>
      </c>
      <c r="AE457" s="2330"/>
      <c r="AF457" s="2330"/>
      <c r="AG457" s="2330">
        <f t="shared" si="307"/>
        <v>0</v>
      </c>
      <c r="AH457" s="2330"/>
      <c r="AI457" s="2330"/>
      <c r="AJ457" s="2330">
        <f t="shared" si="300"/>
        <v>0</v>
      </c>
      <c r="AK457" s="2330"/>
      <c r="AL457" s="2330"/>
      <c r="AM457" s="2331">
        <f t="shared" si="301"/>
        <v>0</v>
      </c>
      <c r="AN457" s="2331"/>
      <c r="AO457" s="2331"/>
      <c r="AP457" s="2331"/>
      <c r="AQ457" s="2332">
        <f t="shared" si="302"/>
        <v>0</v>
      </c>
      <c r="AR457" s="2332"/>
      <c r="AS457" s="2332"/>
      <c r="AT457" s="2332">
        <f t="shared" si="303"/>
        <v>0</v>
      </c>
      <c r="AV457" s="151" t="str">
        <f t="shared" si="296"/>
        <v>EXTERIOR DOORS &amp; WINDOWS</v>
      </c>
      <c r="AW457" s="681"/>
      <c r="AX457" s="230"/>
      <c r="AY457" s="230"/>
      <c r="AZ457" s="679"/>
      <c r="BA457" s="49">
        <f t="shared" si="304"/>
        <v>0</v>
      </c>
      <c r="BB457" s="49">
        <f t="shared" si="308"/>
        <v>0</v>
      </c>
      <c r="BC457" s="49">
        <f t="shared" si="309"/>
        <v>0</v>
      </c>
      <c r="BD457" s="49">
        <f t="shared" si="305"/>
        <v>0</v>
      </c>
      <c r="BE457" s="49">
        <f t="shared" si="310"/>
        <v>0</v>
      </c>
      <c r="BF457" s="49">
        <f t="shared" si="297"/>
        <v>0</v>
      </c>
      <c r="BG457" s="49">
        <f t="shared" si="298"/>
        <v>0</v>
      </c>
      <c r="BI457" s="134">
        <f t="shared" si="311"/>
        <v>0</v>
      </c>
      <c r="BJ457" s="134">
        <f t="shared" si="306"/>
        <v>0</v>
      </c>
      <c r="BK457" s="134">
        <f t="shared" si="312"/>
        <v>0</v>
      </c>
    </row>
    <row r="458" spans="1:63" hidden="1">
      <c r="A458" s="187"/>
      <c r="B458" s="2321"/>
      <c r="C458" s="2322"/>
      <c r="D458" s="2334" t="s">
        <v>710</v>
      </c>
      <c r="E458" s="2334"/>
      <c r="F458" s="2334"/>
      <c r="G458" s="2334"/>
      <c r="H458" s="2334"/>
      <c r="I458" s="2334"/>
      <c r="J458" s="2334"/>
      <c r="K458" s="2334"/>
      <c r="L458" s="2334"/>
      <c r="M458" s="2334"/>
      <c r="N458" s="2334"/>
      <c r="O458" s="2334"/>
      <c r="P458" s="2324"/>
      <c r="Q458" s="2324"/>
      <c r="R458" s="2325"/>
      <c r="S458" s="2324" t="s">
        <v>2</v>
      </c>
      <c r="T458" s="2324"/>
      <c r="U458" s="2326">
        <v>75</v>
      </c>
      <c r="V458" s="2327"/>
      <c r="W458" s="2327"/>
      <c r="X458" s="2327">
        <v>175</v>
      </c>
      <c r="Y458" s="2327"/>
      <c r="Z458" s="2327"/>
      <c r="AA458" s="2328"/>
      <c r="AB458" s="2329"/>
      <c r="AC458" s="2326"/>
      <c r="AD458" s="2330">
        <f t="shared" si="299"/>
        <v>0</v>
      </c>
      <c r="AE458" s="2330"/>
      <c r="AF458" s="2330"/>
      <c r="AG458" s="2330">
        <f t="shared" si="307"/>
        <v>0</v>
      </c>
      <c r="AH458" s="2330"/>
      <c r="AI458" s="2330"/>
      <c r="AJ458" s="2330">
        <f t="shared" si="300"/>
        <v>0</v>
      </c>
      <c r="AK458" s="2330"/>
      <c r="AL458" s="2330"/>
      <c r="AM458" s="2331">
        <f t="shared" si="301"/>
        <v>0</v>
      </c>
      <c r="AN458" s="2331"/>
      <c r="AO458" s="2331"/>
      <c r="AP458" s="2331"/>
      <c r="AQ458" s="2332">
        <f t="shared" si="302"/>
        <v>0</v>
      </c>
      <c r="AR458" s="2332"/>
      <c r="AS458" s="2332"/>
      <c r="AT458" s="2332">
        <f t="shared" si="303"/>
        <v>0</v>
      </c>
      <c r="AV458" s="151" t="str">
        <f t="shared" si="296"/>
        <v>EXTERIOR DOORS &amp; WINDOWS</v>
      </c>
      <c r="AW458" s="681"/>
      <c r="AX458" s="230"/>
      <c r="AY458" s="230"/>
      <c r="AZ458" s="679"/>
      <c r="BA458" s="49">
        <f t="shared" si="304"/>
        <v>0</v>
      </c>
      <c r="BB458" s="49">
        <f t="shared" si="308"/>
        <v>0</v>
      </c>
      <c r="BC458" s="49">
        <f t="shared" si="309"/>
        <v>0</v>
      </c>
      <c r="BD458" s="49">
        <f t="shared" si="305"/>
        <v>0</v>
      </c>
      <c r="BE458" s="49">
        <f t="shared" si="310"/>
        <v>0</v>
      </c>
      <c r="BF458" s="49">
        <f t="shared" si="297"/>
        <v>0</v>
      </c>
      <c r="BG458" s="49">
        <f t="shared" si="298"/>
        <v>0</v>
      </c>
      <c r="BI458" s="134">
        <f t="shared" si="311"/>
        <v>0</v>
      </c>
      <c r="BJ458" s="134">
        <f t="shared" si="306"/>
        <v>0</v>
      </c>
      <c r="BK458" s="134">
        <f t="shared" si="312"/>
        <v>0</v>
      </c>
    </row>
    <row r="459" spans="1:63" hidden="1">
      <c r="A459" s="187"/>
      <c r="B459" s="2321"/>
      <c r="C459" s="2322"/>
      <c r="D459" s="2334" t="s">
        <v>711</v>
      </c>
      <c r="E459" s="2334"/>
      <c r="F459" s="2334"/>
      <c r="G459" s="2334"/>
      <c r="H459" s="2334"/>
      <c r="I459" s="2334"/>
      <c r="J459" s="2334"/>
      <c r="K459" s="2334"/>
      <c r="L459" s="2334"/>
      <c r="M459" s="2334"/>
      <c r="N459" s="2334"/>
      <c r="O459" s="2334"/>
      <c r="P459" s="2324"/>
      <c r="Q459" s="2324"/>
      <c r="R459" s="2325"/>
      <c r="S459" s="2324" t="s">
        <v>2</v>
      </c>
      <c r="T459" s="2324"/>
      <c r="U459" s="2326">
        <v>75</v>
      </c>
      <c r="V459" s="2327"/>
      <c r="W459" s="2327"/>
      <c r="X459" s="2327">
        <v>175</v>
      </c>
      <c r="Y459" s="2327"/>
      <c r="Z459" s="2327"/>
      <c r="AA459" s="2328"/>
      <c r="AB459" s="2329"/>
      <c r="AC459" s="2326"/>
      <c r="AD459" s="2330">
        <f t="shared" si="299"/>
        <v>0</v>
      </c>
      <c r="AE459" s="2330"/>
      <c r="AF459" s="2330"/>
      <c r="AG459" s="2330">
        <f t="shared" si="307"/>
        <v>0</v>
      </c>
      <c r="AH459" s="2330"/>
      <c r="AI459" s="2330"/>
      <c r="AJ459" s="2330">
        <f t="shared" si="300"/>
        <v>0</v>
      </c>
      <c r="AK459" s="2330"/>
      <c r="AL459" s="2330"/>
      <c r="AM459" s="2331">
        <f t="shared" si="301"/>
        <v>0</v>
      </c>
      <c r="AN459" s="2331"/>
      <c r="AO459" s="2331"/>
      <c r="AP459" s="2331"/>
      <c r="AQ459" s="2332">
        <f t="shared" si="302"/>
        <v>0</v>
      </c>
      <c r="AR459" s="2332"/>
      <c r="AS459" s="2332"/>
      <c r="AT459" s="2332">
        <f t="shared" si="303"/>
        <v>0</v>
      </c>
      <c r="AV459" s="151" t="str">
        <f t="shared" si="296"/>
        <v>EXTERIOR DOORS &amp; WINDOWS</v>
      </c>
      <c r="AW459" s="681"/>
      <c r="AX459" s="230"/>
      <c r="AY459" s="230"/>
      <c r="AZ459" s="679"/>
      <c r="BA459" s="49">
        <f t="shared" si="304"/>
        <v>0</v>
      </c>
      <c r="BB459" s="49">
        <f t="shared" si="308"/>
        <v>0</v>
      </c>
      <c r="BC459" s="49">
        <f t="shared" si="309"/>
        <v>0</v>
      </c>
      <c r="BD459" s="49">
        <f t="shared" si="305"/>
        <v>0</v>
      </c>
      <c r="BE459" s="49">
        <f t="shared" si="310"/>
        <v>0</v>
      </c>
      <c r="BF459" s="49">
        <f t="shared" si="297"/>
        <v>0</v>
      </c>
      <c r="BG459" s="49">
        <f t="shared" si="298"/>
        <v>0</v>
      </c>
      <c r="BI459" s="134">
        <f t="shared" si="311"/>
        <v>0</v>
      </c>
      <c r="BJ459" s="134">
        <f t="shared" si="306"/>
        <v>0</v>
      </c>
      <c r="BK459" s="134">
        <f t="shared" si="312"/>
        <v>0</v>
      </c>
    </row>
    <row r="460" spans="1:63" hidden="1">
      <c r="A460" s="187"/>
      <c r="B460" s="2333"/>
      <c r="C460" s="2333"/>
      <c r="D460" s="2334" t="s">
        <v>717</v>
      </c>
      <c r="E460" s="2334"/>
      <c r="F460" s="2334"/>
      <c r="G460" s="2334"/>
      <c r="H460" s="2334"/>
      <c r="I460" s="2334"/>
      <c r="J460" s="2334"/>
      <c r="K460" s="2334"/>
      <c r="L460" s="2334"/>
      <c r="M460" s="2334"/>
      <c r="N460" s="2334"/>
      <c r="O460" s="2334"/>
      <c r="P460" s="2324"/>
      <c r="Q460" s="2324"/>
      <c r="R460" s="2325"/>
      <c r="S460" s="2324" t="s">
        <v>2</v>
      </c>
      <c r="T460" s="2324"/>
      <c r="U460" s="2326">
        <v>75</v>
      </c>
      <c r="V460" s="2327"/>
      <c r="W460" s="2327"/>
      <c r="X460" s="2327">
        <v>350</v>
      </c>
      <c r="Y460" s="2327"/>
      <c r="Z460" s="2327"/>
      <c r="AA460" s="2328"/>
      <c r="AB460" s="2329"/>
      <c r="AC460" s="2326"/>
      <c r="AD460" s="2330">
        <f t="shared" si="299"/>
        <v>0</v>
      </c>
      <c r="AE460" s="2330"/>
      <c r="AF460" s="2330"/>
      <c r="AG460" s="2330">
        <f t="shared" si="307"/>
        <v>0</v>
      </c>
      <c r="AH460" s="2330"/>
      <c r="AI460" s="2330"/>
      <c r="AJ460" s="2330">
        <f t="shared" si="300"/>
        <v>0</v>
      </c>
      <c r="AK460" s="2330"/>
      <c r="AL460" s="2330"/>
      <c r="AM460" s="2331">
        <f t="shared" si="301"/>
        <v>0</v>
      </c>
      <c r="AN460" s="2331"/>
      <c r="AO460" s="2331"/>
      <c r="AP460" s="2331"/>
      <c r="AQ460" s="2332">
        <f t="shared" si="302"/>
        <v>0</v>
      </c>
      <c r="AR460" s="2332"/>
      <c r="AS460" s="2332"/>
      <c r="AT460" s="2332">
        <f t="shared" si="303"/>
        <v>0</v>
      </c>
      <c r="AV460" s="151" t="str">
        <f t="shared" si="296"/>
        <v>EXTERIOR DOORS &amp; WINDOWS</v>
      </c>
      <c r="AW460" s="681"/>
      <c r="AX460" s="230"/>
      <c r="AY460" s="230"/>
      <c r="AZ460" s="679"/>
      <c r="BA460" s="49">
        <f t="shared" si="304"/>
        <v>0</v>
      </c>
      <c r="BB460" s="49">
        <f t="shared" si="308"/>
        <v>0</v>
      </c>
      <c r="BC460" s="49">
        <f t="shared" si="309"/>
        <v>0</v>
      </c>
      <c r="BD460" s="49">
        <f t="shared" si="305"/>
        <v>0</v>
      </c>
      <c r="BE460" s="49">
        <f t="shared" si="310"/>
        <v>0</v>
      </c>
      <c r="BF460" s="49">
        <f t="shared" si="297"/>
        <v>0</v>
      </c>
      <c r="BG460" s="49">
        <f t="shared" si="298"/>
        <v>0</v>
      </c>
      <c r="BI460" s="134">
        <f t="shared" si="311"/>
        <v>0</v>
      </c>
      <c r="BJ460" s="134">
        <f t="shared" si="306"/>
        <v>0</v>
      </c>
      <c r="BK460" s="134">
        <f t="shared" si="312"/>
        <v>0</v>
      </c>
    </row>
    <row r="461" spans="1:63" hidden="1">
      <c r="A461" s="187"/>
      <c r="B461" s="2333"/>
      <c r="C461" s="2333"/>
      <c r="D461" s="2334" t="s">
        <v>714</v>
      </c>
      <c r="E461" s="2334"/>
      <c r="F461" s="2334"/>
      <c r="G461" s="2334"/>
      <c r="H461" s="2334"/>
      <c r="I461" s="2334"/>
      <c r="J461" s="2334"/>
      <c r="K461" s="2334"/>
      <c r="L461" s="2334"/>
      <c r="M461" s="2334"/>
      <c r="N461" s="2334"/>
      <c r="O461" s="2334"/>
      <c r="P461" s="2324"/>
      <c r="Q461" s="2324"/>
      <c r="R461" s="2325"/>
      <c r="S461" s="2324" t="s">
        <v>2</v>
      </c>
      <c r="T461" s="2324"/>
      <c r="U461" s="2326">
        <v>75</v>
      </c>
      <c r="V461" s="2327"/>
      <c r="W461" s="2327"/>
      <c r="X461" s="2327">
        <v>50</v>
      </c>
      <c r="Y461" s="2327"/>
      <c r="Z461" s="2327"/>
      <c r="AA461" s="2328"/>
      <c r="AB461" s="2329"/>
      <c r="AC461" s="2326"/>
      <c r="AD461" s="2330">
        <f>((P461*U461)-AM461)</f>
        <v>0</v>
      </c>
      <c r="AE461" s="2330"/>
      <c r="AF461" s="2330"/>
      <c r="AG461" s="2330">
        <f t="shared" si="307"/>
        <v>0</v>
      </c>
      <c r="AH461" s="2330"/>
      <c r="AI461" s="2330"/>
      <c r="AJ461" s="2330">
        <f>P461*AA461</f>
        <v>0</v>
      </c>
      <c r="AK461" s="2330"/>
      <c r="AL461" s="2330"/>
      <c r="AM461" s="2331">
        <f>IF($B461="x",$P461*$U461,0)</f>
        <v>0</v>
      </c>
      <c r="AN461" s="2331"/>
      <c r="AO461" s="2331"/>
      <c r="AP461" s="2331"/>
      <c r="AQ461" s="2332">
        <f t="shared" si="302"/>
        <v>0</v>
      </c>
      <c r="AR461" s="2332"/>
      <c r="AS461" s="2332"/>
      <c r="AT461" s="2332">
        <f t="shared" si="303"/>
        <v>0</v>
      </c>
      <c r="AV461" s="151" t="str">
        <f t="shared" si="296"/>
        <v>EXTERIOR DOORS &amp; WINDOWS</v>
      </c>
      <c r="AW461" s="681"/>
      <c r="AX461" s="230"/>
      <c r="AY461" s="230"/>
      <c r="AZ461" s="679"/>
      <c r="BA461" s="49">
        <f t="shared" si="304"/>
        <v>0</v>
      </c>
      <c r="BB461" s="49">
        <f t="shared" si="308"/>
        <v>0</v>
      </c>
      <c r="BC461" s="49">
        <f t="shared" si="309"/>
        <v>0</v>
      </c>
      <c r="BD461" s="49">
        <f t="shared" si="305"/>
        <v>0</v>
      </c>
      <c r="BE461" s="49">
        <f t="shared" si="310"/>
        <v>0</v>
      </c>
      <c r="BF461" s="49">
        <f t="shared" si="297"/>
        <v>0</v>
      </c>
      <c r="BG461" s="49">
        <f t="shared" si="298"/>
        <v>0</v>
      </c>
      <c r="BI461" s="134">
        <f t="shared" si="311"/>
        <v>0</v>
      </c>
      <c r="BJ461" s="134">
        <f t="shared" si="306"/>
        <v>0</v>
      </c>
      <c r="BK461" s="134">
        <f t="shared" si="312"/>
        <v>0</v>
      </c>
    </row>
    <row r="462" spans="1:63" hidden="1">
      <c r="A462" s="187"/>
      <c r="B462" s="2321"/>
      <c r="C462" s="2322"/>
      <c r="D462" s="2334" t="s">
        <v>715</v>
      </c>
      <c r="E462" s="2334"/>
      <c r="F462" s="2334"/>
      <c r="G462" s="2334"/>
      <c r="H462" s="2334"/>
      <c r="I462" s="2334"/>
      <c r="J462" s="2334"/>
      <c r="K462" s="2334"/>
      <c r="L462" s="2334"/>
      <c r="M462" s="2334"/>
      <c r="N462" s="2334"/>
      <c r="O462" s="2334"/>
      <c r="P462" s="2324"/>
      <c r="Q462" s="2324"/>
      <c r="R462" s="2325"/>
      <c r="S462" s="2324" t="s">
        <v>2</v>
      </c>
      <c r="T462" s="2324"/>
      <c r="U462" s="2326">
        <v>10</v>
      </c>
      <c r="V462" s="2327"/>
      <c r="W462" s="2327"/>
      <c r="X462" s="2327">
        <v>50</v>
      </c>
      <c r="Y462" s="2327"/>
      <c r="Z462" s="2327"/>
      <c r="AA462" s="2328"/>
      <c r="AB462" s="2329"/>
      <c r="AC462" s="2326"/>
      <c r="AD462" s="2330">
        <f>((P462*U462)-AM462)</f>
        <v>0</v>
      </c>
      <c r="AE462" s="2330"/>
      <c r="AF462" s="2330"/>
      <c r="AG462" s="2330">
        <f t="shared" si="307"/>
        <v>0</v>
      </c>
      <c r="AH462" s="2330"/>
      <c r="AI462" s="2330"/>
      <c r="AJ462" s="2330">
        <f>P462*AA462</f>
        <v>0</v>
      </c>
      <c r="AK462" s="2330"/>
      <c r="AL462" s="2330"/>
      <c r="AM462" s="2331">
        <f>IF($B462="x",$P462*$U462,0)</f>
        <v>0</v>
      </c>
      <c r="AN462" s="2331"/>
      <c r="AO462" s="2331"/>
      <c r="AP462" s="2331"/>
      <c r="AQ462" s="2332">
        <f t="shared" si="302"/>
        <v>0</v>
      </c>
      <c r="AR462" s="2332"/>
      <c r="AS462" s="2332"/>
      <c r="AT462" s="2332">
        <f t="shared" si="303"/>
        <v>0</v>
      </c>
      <c r="AV462" s="151" t="str">
        <f t="shared" si="296"/>
        <v>EXTERIOR DOORS &amp; WINDOWS</v>
      </c>
      <c r="AW462" s="681"/>
      <c r="AX462" s="230"/>
      <c r="AY462" s="230"/>
      <c r="AZ462" s="679"/>
      <c r="BA462" s="49">
        <f t="shared" si="304"/>
        <v>0</v>
      </c>
      <c r="BB462" s="49">
        <f t="shared" si="308"/>
        <v>0</v>
      </c>
      <c r="BC462" s="49">
        <f t="shared" si="309"/>
        <v>0</v>
      </c>
      <c r="BD462" s="49">
        <f t="shared" si="305"/>
        <v>0</v>
      </c>
      <c r="BE462" s="49">
        <f t="shared" si="310"/>
        <v>0</v>
      </c>
      <c r="BF462" s="49">
        <f t="shared" si="297"/>
        <v>0</v>
      </c>
      <c r="BG462" s="49">
        <f t="shared" si="298"/>
        <v>0</v>
      </c>
      <c r="BI462" s="134">
        <f t="shared" si="311"/>
        <v>0</v>
      </c>
      <c r="BJ462" s="134">
        <f t="shared" si="306"/>
        <v>0</v>
      </c>
      <c r="BK462" s="134">
        <f t="shared" si="312"/>
        <v>0</v>
      </c>
    </row>
    <row r="463" spans="1:63" hidden="1">
      <c r="A463" s="187"/>
      <c r="B463" s="2321"/>
      <c r="C463" s="2322"/>
      <c r="D463" s="2334" t="s">
        <v>716</v>
      </c>
      <c r="E463" s="2334"/>
      <c r="F463" s="2334"/>
      <c r="G463" s="2334"/>
      <c r="H463" s="2334"/>
      <c r="I463" s="2334"/>
      <c r="J463" s="2334"/>
      <c r="K463" s="2334"/>
      <c r="L463" s="2334"/>
      <c r="M463" s="2334"/>
      <c r="N463" s="2334"/>
      <c r="O463" s="2334"/>
      <c r="P463" s="2324"/>
      <c r="Q463" s="2324"/>
      <c r="R463" s="2325"/>
      <c r="S463" s="2324" t="s">
        <v>2</v>
      </c>
      <c r="T463" s="2324"/>
      <c r="U463" s="2326">
        <v>10</v>
      </c>
      <c r="V463" s="2327"/>
      <c r="W463" s="2327"/>
      <c r="X463" s="2327">
        <v>12</v>
      </c>
      <c r="Y463" s="2327"/>
      <c r="Z463" s="2327"/>
      <c r="AA463" s="2328"/>
      <c r="AB463" s="2329"/>
      <c r="AC463" s="2326"/>
      <c r="AD463" s="2330">
        <f>((P463*U463)-AM463)</f>
        <v>0</v>
      </c>
      <c r="AE463" s="2330"/>
      <c r="AF463" s="2330"/>
      <c r="AG463" s="2330">
        <f t="shared" si="307"/>
        <v>0</v>
      </c>
      <c r="AH463" s="2330"/>
      <c r="AI463" s="2330"/>
      <c r="AJ463" s="2330">
        <f>P463*AA463</f>
        <v>0</v>
      </c>
      <c r="AK463" s="2330"/>
      <c r="AL463" s="2330"/>
      <c r="AM463" s="2331">
        <f>IF($B463="x",$P463*$U463,0)</f>
        <v>0</v>
      </c>
      <c r="AN463" s="2331"/>
      <c r="AO463" s="2331"/>
      <c r="AP463" s="2331"/>
      <c r="AQ463" s="2332">
        <f t="shared" si="302"/>
        <v>0</v>
      </c>
      <c r="AR463" s="2332"/>
      <c r="AS463" s="2332"/>
      <c r="AT463" s="2332">
        <f t="shared" si="303"/>
        <v>0</v>
      </c>
      <c r="AV463" s="151" t="str">
        <f t="shared" si="296"/>
        <v>EXTERIOR DOORS &amp; WINDOWS</v>
      </c>
      <c r="AW463" s="681"/>
      <c r="AX463" s="230"/>
      <c r="AY463" s="230"/>
      <c r="AZ463" s="679"/>
      <c r="BA463" s="49">
        <f t="shared" si="304"/>
        <v>0</v>
      </c>
      <c r="BB463" s="49">
        <f t="shared" si="308"/>
        <v>0</v>
      </c>
      <c r="BC463" s="49">
        <f t="shared" si="309"/>
        <v>0</v>
      </c>
      <c r="BD463" s="49">
        <f t="shared" si="305"/>
        <v>0</v>
      </c>
      <c r="BE463" s="49">
        <f t="shared" si="310"/>
        <v>0</v>
      </c>
      <c r="BF463" s="49">
        <f t="shared" si="297"/>
        <v>0</v>
      </c>
      <c r="BG463" s="49">
        <f t="shared" si="298"/>
        <v>0</v>
      </c>
      <c r="BI463" s="134">
        <f t="shared" si="311"/>
        <v>0</v>
      </c>
      <c r="BJ463" s="134">
        <f t="shared" si="306"/>
        <v>0</v>
      </c>
      <c r="BK463" s="134">
        <f t="shared" si="312"/>
        <v>0</v>
      </c>
    </row>
    <row r="464" spans="1:63" hidden="1">
      <c r="A464" s="187"/>
      <c r="B464" s="2333"/>
      <c r="C464" s="2333"/>
      <c r="D464" s="2334" t="s">
        <v>712</v>
      </c>
      <c r="E464" s="2334"/>
      <c r="F464" s="2334"/>
      <c r="G464" s="2334"/>
      <c r="H464" s="2334"/>
      <c r="I464" s="2334"/>
      <c r="J464" s="2334"/>
      <c r="K464" s="2334"/>
      <c r="L464" s="2334"/>
      <c r="M464" s="2334"/>
      <c r="N464" s="2334"/>
      <c r="O464" s="2334"/>
      <c r="P464" s="2324"/>
      <c r="Q464" s="2324"/>
      <c r="R464" s="2325"/>
      <c r="S464" s="2324" t="s">
        <v>2</v>
      </c>
      <c r="T464" s="2324" t="s">
        <v>2</v>
      </c>
      <c r="U464" s="2326">
        <v>20</v>
      </c>
      <c r="V464" s="2327"/>
      <c r="W464" s="2327"/>
      <c r="X464" s="2327">
        <v>300</v>
      </c>
      <c r="Y464" s="2327"/>
      <c r="Z464" s="2327">
        <v>150</v>
      </c>
      <c r="AA464" s="2328"/>
      <c r="AB464" s="2329"/>
      <c r="AC464" s="2326"/>
      <c r="AD464" s="2330">
        <f t="shared" si="299"/>
        <v>0</v>
      </c>
      <c r="AE464" s="2330"/>
      <c r="AF464" s="2330"/>
      <c r="AG464" s="2330">
        <f t="shared" si="307"/>
        <v>0</v>
      </c>
      <c r="AH464" s="2330"/>
      <c r="AI464" s="2330"/>
      <c r="AJ464" s="2330">
        <f t="shared" si="300"/>
        <v>0</v>
      </c>
      <c r="AK464" s="2330"/>
      <c r="AL464" s="2330"/>
      <c r="AM464" s="2331">
        <f t="shared" si="301"/>
        <v>0</v>
      </c>
      <c r="AN464" s="2331"/>
      <c r="AO464" s="2331"/>
      <c r="AP464" s="2331"/>
      <c r="AQ464" s="2332">
        <f t="shared" si="302"/>
        <v>0</v>
      </c>
      <c r="AR464" s="2332"/>
      <c r="AS464" s="2332"/>
      <c r="AT464" s="2332">
        <f t="shared" si="303"/>
        <v>0</v>
      </c>
      <c r="AV464" s="151" t="str">
        <f t="shared" si="296"/>
        <v>EXTERIOR DOORS &amp; WINDOWS</v>
      </c>
      <c r="AW464" s="681"/>
      <c r="AX464" s="230"/>
      <c r="AY464" s="230"/>
      <c r="AZ464" s="679"/>
      <c r="BA464" s="49">
        <f t="shared" si="304"/>
        <v>0</v>
      </c>
      <c r="BB464" s="49">
        <f t="shared" si="308"/>
        <v>0</v>
      </c>
      <c r="BC464" s="49">
        <f t="shared" si="309"/>
        <v>0</v>
      </c>
      <c r="BD464" s="49">
        <f t="shared" si="305"/>
        <v>0</v>
      </c>
      <c r="BE464" s="49">
        <f t="shared" si="310"/>
        <v>0</v>
      </c>
      <c r="BF464" s="49">
        <f t="shared" si="297"/>
        <v>0</v>
      </c>
      <c r="BG464" s="49">
        <f t="shared" si="298"/>
        <v>0</v>
      </c>
      <c r="BI464" s="134">
        <f t="shared" si="311"/>
        <v>0</v>
      </c>
      <c r="BJ464" s="134">
        <f t="shared" si="306"/>
        <v>0</v>
      </c>
      <c r="BK464" s="134">
        <f t="shared" si="312"/>
        <v>0</v>
      </c>
    </row>
    <row r="465" spans="1:63" hidden="1">
      <c r="A465" s="187"/>
      <c r="B465" s="2333"/>
      <c r="C465" s="2333"/>
      <c r="D465" s="2334" t="s">
        <v>713</v>
      </c>
      <c r="E465" s="2334"/>
      <c r="F465" s="2334"/>
      <c r="G465" s="2334"/>
      <c r="H465" s="2334"/>
      <c r="I465" s="2334"/>
      <c r="J465" s="2334"/>
      <c r="K465" s="2334"/>
      <c r="L465" s="2334"/>
      <c r="M465" s="2334"/>
      <c r="N465" s="2334"/>
      <c r="O465" s="2334"/>
      <c r="P465" s="2324"/>
      <c r="Q465" s="2324"/>
      <c r="R465" s="2325"/>
      <c r="S465" s="2324" t="s">
        <v>2</v>
      </c>
      <c r="T465" s="2324" t="s">
        <v>2</v>
      </c>
      <c r="U465" s="2326">
        <v>200</v>
      </c>
      <c r="V465" s="2327"/>
      <c r="W465" s="2327"/>
      <c r="X465" s="2327">
        <v>400</v>
      </c>
      <c r="Y465" s="2327"/>
      <c r="Z465" s="2327"/>
      <c r="AA465" s="2328"/>
      <c r="AB465" s="2329"/>
      <c r="AC465" s="2326"/>
      <c r="AD465" s="2330">
        <f t="shared" si="299"/>
        <v>0</v>
      </c>
      <c r="AE465" s="2330"/>
      <c r="AF465" s="2330"/>
      <c r="AG465" s="2330">
        <f t="shared" si="307"/>
        <v>0</v>
      </c>
      <c r="AH465" s="2330"/>
      <c r="AI465" s="2330"/>
      <c r="AJ465" s="2330">
        <f t="shared" si="300"/>
        <v>0</v>
      </c>
      <c r="AK465" s="2330"/>
      <c r="AL465" s="2330"/>
      <c r="AM465" s="2331">
        <f t="shared" si="301"/>
        <v>0</v>
      </c>
      <c r="AN465" s="2331"/>
      <c r="AO465" s="2331"/>
      <c r="AP465" s="2331"/>
      <c r="AQ465" s="2332">
        <f t="shared" si="302"/>
        <v>0</v>
      </c>
      <c r="AR465" s="2332"/>
      <c r="AS465" s="2332"/>
      <c r="AT465" s="2332">
        <f t="shared" si="303"/>
        <v>0</v>
      </c>
      <c r="AV465" s="151" t="str">
        <f t="shared" si="296"/>
        <v>EXTERIOR DOORS &amp; WINDOWS</v>
      </c>
      <c r="AW465" s="681"/>
      <c r="AX465" s="230"/>
      <c r="AY465" s="230"/>
      <c r="AZ465" s="679"/>
      <c r="BA465" s="49">
        <f t="shared" si="304"/>
        <v>0</v>
      </c>
      <c r="BB465" s="49">
        <f t="shared" si="308"/>
        <v>0</v>
      </c>
      <c r="BC465" s="49">
        <f t="shared" si="309"/>
        <v>0</v>
      </c>
      <c r="BD465" s="49">
        <f t="shared" si="305"/>
        <v>0</v>
      </c>
      <c r="BE465" s="49">
        <f t="shared" si="310"/>
        <v>0</v>
      </c>
      <c r="BF465" s="49">
        <f t="shared" si="297"/>
        <v>0</v>
      </c>
      <c r="BG465" s="49">
        <f t="shared" si="298"/>
        <v>0</v>
      </c>
      <c r="BI465" s="134">
        <f t="shared" si="311"/>
        <v>0</v>
      </c>
      <c r="BJ465" s="134">
        <f t="shared" si="306"/>
        <v>0</v>
      </c>
      <c r="BK465" s="134">
        <f t="shared" si="312"/>
        <v>0</v>
      </c>
    </row>
    <row r="466" spans="1:63" hidden="1">
      <c r="A466" s="187"/>
      <c r="B466" s="2321"/>
      <c r="C466" s="2322"/>
      <c r="D466" s="2334"/>
      <c r="E466" s="2334"/>
      <c r="F466" s="2334"/>
      <c r="G466" s="2334"/>
      <c r="H466" s="2334"/>
      <c r="I466" s="2334"/>
      <c r="J466" s="2334"/>
      <c r="K466" s="2334"/>
      <c r="L466" s="2334"/>
      <c r="M466" s="2334"/>
      <c r="N466" s="2334"/>
      <c r="O466" s="2334"/>
      <c r="P466" s="2324"/>
      <c r="Q466" s="2324"/>
      <c r="R466" s="2325"/>
      <c r="S466" s="2324"/>
      <c r="T466" s="2324"/>
      <c r="U466" s="2326"/>
      <c r="V466" s="2327"/>
      <c r="W466" s="2327"/>
      <c r="X466" s="2327"/>
      <c r="Y466" s="2327"/>
      <c r="Z466" s="2327"/>
      <c r="AA466" s="2328"/>
      <c r="AB466" s="2329"/>
      <c r="AC466" s="2326"/>
      <c r="AD466" s="2330">
        <f t="shared" si="299"/>
        <v>0</v>
      </c>
      <c r="AE466" s="2330"/>
      <c r="AF466" s="2330"/>
      <c r="AG466" s="2330">
        <f t="shared" si="307"/>
        <v>0</v>
      </c>
      <c r="AH466" s="2330"/>
      <c r="AI466" s="2330"/>
      <c r="AJ466" s="2330">
        <f t="shared" si="300"/>
        <v>0</v>
      </c>
      <c r="AK466" s="2330"/>
      <c r="AL466" s="2330"/>
      <c r="AM466" s="2331">
        <f t="shared" si="301"/>
        <v>0</v>
      </c>
      <c r="AN466" s="2331"/>
      <c r="AO466" s="2331"/>
      <c r="AP466" s="2331"/>
      <c r="AQ466" s="2332">
        <f t="shared" si="302"/>
        <v>0</v>
      </c>
      <c r="AR466" s="2332"/>
      <c r="AS466" s="2332"/>
      <c r="AT466" s="2332">
        <f t="shared" si="303"/>
        <v>0</v>
      </c>
      <c r="AV466" s="151" t="str">
        <f t="shared" si="296"/>
        <v>EXTERIOR DOORS &amp; WINDOWS</v>
      </c>
      <c r="AW466" s="681"/>
      <c r="AX466" s="230"/>
      <c r="AY466" s="230"/>
      <c r="AZ466" s="679"/>
      <c r="BA466" s="49">
        <f t="shared" si="304"/>
        <v>0</v>
      </c>
      <c r="BB466" s="49">
        <f t="shared" si="308"/>
        <v>0</v>
      </c>
      <c r="BC466" s="49">
        <f t="shared" si="309"/>
        <v>0</v>
      </c>
      <c r="BD466" s="49">
        <f t="shared" si="305"/>
        <v>0</v>
      </c>
      <c r="BE466" s="49">
        <f t="shared" ref="BE466:BE487" si="313">SUM(BA466:BC466)</f>
        <v>0</v>
      </c>
      <c r="BF466" s="49">
        <f t="shared" si="297"/>
        <v>0</v>
      </c>
      <c r="BG466" s="49">
        <f t="shared" si="298"/>
        <v>0</v>
      </c>
      <c r="BI466" s="134">
        <f t="shared" si="311"/>
        <v>0</v>
      </c>
      <c r="BJ466" s="134">
        <f t="shared" si="306"/>
        <v>0</v>
      </c>
      <c r="BK466" s="134">
        <f t="shared" si="312"/>
        <v>0</v>
      </c>
    </row>
    <row r="467" spans="1:63" hidden="1">
      <c r="A467" s="187"/>
      <c r="B467" s="2321"/>
      <c r="C467" s="2322"/>
      <c r="D467" s="2334"/>
      <c r="E467" s="2334"/>
      <c r="F467" s="2334"/>
      <c r="G467" s="2334"/>
      <c r="H467" s="2334"/>
      <c r="I467" s="2334"/>
      <c r="J467" s="2334"/>
      <c r="K467" s="2334"/>
      <c r="L467" s="2334"/>
      <c r="M467" s="2334"/>
      <c r="N467" s="2334"/>
      <c r="O467" s="2334"/>
      <c r="P467" s="2324"/>
      <c r="Q467" s="2324"/>
      <c r="R467" s="2325"/>
      <c r="S467" s="2324"/>
      <c r="T467" s="2324"/>
      <c r="U467" s="2326"/>
      <c r="V467" s="2327"/>
      <c r="W467" s="2327"/>
      <c r="X467" s="2327"/>
      <c r="Y467" s="2327"/>
      <c r="Z467" s="2327"/>
      <c r="AA467" s="2328"/>
      <c r="AB467" s="2329"/>
      <c r="AC467" s="2326"/>
      <c r="AD467" s="2330">
        <f t="shared" si="299"/>
        <v>0</v>
      </c>
      <c r="AE467" s="2330"/>
      <c r="AF467" s="2330"/>
      <c r="AG467" s="2330">
        <f t="shared" si="307"/>
        <v>0</v>
      </c>
      <c r="AH467" s="2330"/>
      <c r="AI467" s="2330"/>
      <c r="AJ467" s="2330">
        <f t="shared" si="300"/>
        <v>0</v>
      </c>
      <c r="AK467" s="2330"/>
      <c r="AL467" s="2330"/>
      <c r="AM467" s="2331">
        <f t="shared" si="301"/>
        <v>0</v>
      </c>
      <c r="AN467" s="2331"/>
      <c r="AO467" s="2331"/>
      <c r="AP467" s="2331"/>
      <c r="AQ467" s="2332">
        <f t="shared" si="302"/>
        <v>0</v>
      </c>
      <c r="AR467" s="2332"/>
      <c r="AS467" s="2332"/>
      <c r="AT467" s="2332">
        <f t="shared" si="303"/>
        <v>0</v>
      </c>
      <c r="AV467" s="151" t="str">
        <f t="shared" si="296"/>
        <v>EXTERIOR DOORS &amp; WINDOWS</v>
      </c>
      <c r="AW467" s="681"/>
      <c r="AX467" s="230"/>
      <c r="AY467" s="230"/>
      <c r="AZ467" s="679"/>
      <c r="BA467" s="49">
        <f t="shared" si="304"/>
        <v>0</v>
      </c>
      <c r="BB467" s="49">
        <f t="shared" si="308"/>
        <v>0</v>
      </c>
      <c r="BC467" s="49">
        <f t="shared" si="309"/>
        <v>0</v>
      </c>
      <c r="BD467" s="49">
        <f t="shared" si="305"/>
        <v>0</v>
      </c>
      <c r="BE467" s="49">
        <f t="shared" si="313"/>
        <v>0</v>
      </c>
      <c r="BF467" s="49">
        <f t="shared" si="297"/>
        <v>0</v>
      </c>
      <c r="BG467" s="49">
        <f t="shared" si="298"/>
        <v>0</v>
      </c>
      <c r="BI467" s="134">
        <f t="shared" si="311"/>
        <v>0</v>
      </c>
      <c r="BJ467" s="134">
        <f t="shared" si="306"/>
        <v>0</v>
      </c>
      <c r="BK467" s="134">
        <f t="shared" si="312"/>
        <v>0</v>
      </c>
    </row>
    <row r="468" spans="1:63" hidden="1">
      <c r="A468" s="187"/>
      <c r="B468" s="2321"/>
      <c r="C468" s="2322"/>
      <c r="D468" s="2334"/>
      <c r="E468" s="2334"/>
      <c r="F468" s="2334"/>
      <c r="G468" s="2334"/>
      <c r="H468" s="2334"/>
      <c r="I468" s="2334"/>
      <c r="J468" s="2334"/>
      <c r="K468" s="2334"/>
      <c r="L468" s="2334"/>
      <c r="M468" s="2334"/>
      <c r="N468" s="2334"/>
      <c r="O468" s="2334"/>
      <c r="P468" s="2324"/>
      <c r="Q468" s="2324"/>
      <c r="R468" s="2325"/>
      <c r="S468" s="2324"/>
      <c r="T468" s="2324"/>
      <c r="U468" s="2326"/>
      <c r="V468" s="2327"/>
      <c r="W468" s="2327"/>
      <c r="X468" s="2327"/>
      <c r="Y468" s="2327"/>
      <c r="Z468" s="2327"/>
      <c r="AA468" s="2328"/>
      <c r="AB468" s="2329"/>
      <c r="AC468" s="2326"/>
      <c r="AD468" s="2330">
        <f t="shared" si="299"/>
        <v>0</v>
      </c>
      <c r="AE468" s="2330"/>
      <c r="AF468" s="2330"/>
      <c r="AG468" s="2330">
        <f t="shared" si="307"/>
        <v>0</v>
      </c>
      <c r="AH468" s="2330"/>
      <c r="AI468" s="2330"/>
      <c r="AJ468" s="2330">
        <f t="shared" si="300"/>
        <v>0</v>
      </c>
      <c r="AK468" s="2330"/>
      <c r="AL468" s="2330"/>
      <c r="AM468" s="2331">
        <f t="shared" si="301"/>
        <v>0</v>
      </c>
      <c r="AN468" s="2331"/>
      <c r="AO468" s="2331"/>
      <c r="AP468" s="2331"/>
      <c r="AQ468" s="2332">
        <f t="shared" si="302"/>
        <v>0</v>
      </c>
      <c r="AR468" s="2332"/>
      <c r="AS468" s="2332"/>
      <c r="AT468" s="2332">
        <f t="shared" si="303"/>
        <v>0</v>
      </c>
      <c r="AV468" s="151" t="str">
        <f t="shared" si="296"/>
        <v>EXTERIOR DOORS &amp; WINDOWS</v>
      </c>
      <c r="AW468" s="681"/>
      <c r="AX468" s="230"/>
      <c r="AY468" s="230"/>
      <c r="AZ468" s="679"/>
      <c r="BA468" s="49">
        <f t="shared" si="304"/>
        <v>0</v>
      </c>
      <c r="BB468" s="49">
        <f t="shared" si="308"/>
        <v>0</v>
      </c>
      <c r="BC468" s="49">
        <f t="shared" si="309"/>
        <v>0</v>
      </c>
      <c r="BD468" s="49">
        <f t="shared" si="305"/>
        <v>0</v>
      </c>
      <c r="BE468" s="49">
        <f t="shared" si="313"/>
        <v>0</v>
      </c>
      <c r="BF468" s="49">
        <f t="shared" si="297"/>
        <v>0</v>
      </c>
      <c r="BG468" s="49">
        <f t="shared" si="298"/>
        <v>0</v>
      </c>
      <c r="BI468" s="134">
        <f t="shared" si="311"/>
        <v>0</v>
      </c>
      <c r="BJ468" s="134">
        <f t="shared" si="306"/>
        <v>0</v>
      </c>
      <c r="BK468" s="134">
        <f t="shared" si="312"/>
        <v>0</v>
      </c>
    </row>
    <row r="469" spans="1:63" hidden="1">
      <c r="A469" s="187"/>
      <c r="B469" s="2321"/>
      <c r="C469" s="2322"/>
      <c r="D469" s="2334"/>
      <c r="E469" s="2334"/>
      <c r="F469" s="2334"/>
      <c r="G469" s="2334"/>
      <c r="H469" s="2334"/>
      <c r="I469" s="2334"/>
      <c r="J469" s="2334"/>
      <c r="K469" s="2334"/>
      <c r="L469" s="2334"/>
      <c r="M469" s="2334"/>
      <c r="N469" s="2334"/>
      <c r="O469" s="2334"/>
      <c r="P469" s="2324"/>
      <c r="Q469" s="2324"/>
      <c r="R469" s="2325"/>
      <c r="S469" s="2324"/>
      <c r="T469" s="2324"/>
      <c r="U469" s="2326"/>
      <c r="V469" s="2327"/>
      <c r="W469" s="2327"/>
      <c r="X469" s="2327"/>
      <c r="Y469" s="2327"/>
      <c r="Z469" s="2327"/>
      <c r="AA469" s="2328"/>
      <c r="AB469" s="2329"/>
      <c r="AC469" s="2326"/>
      <c r="AD469" s="2330">
        <f t="shared" si="299"/>
        <v>0</v>
      </c>
      <c r="AE469" s="2330"/>
      <c r="AF469" s="2330"/>
      <c r="AG469" s="2330">
        <f t="shared" si="307"/>
        <v>0</v>
      </c>
      <c r="AH469" s="2330"/>
      <c r="AI469" s="2330"/>
      <c r="AJ469" s="2330">
        <f t="shared" si="300"/>
        <v>0</v>
      </c>
      <c r="AK469" s="2330"/>
      <c r="AL469" s="2330"/>
      <c r="AM469" s="2331">
        <f t="shared" si="301"/>
        <v>0</v>
      </c>
      <c r="AN469" s="2331"/>
      <c r="AO469" s="2331"/>
      <c r="AP469" s="2331"/>
      <c r="AQ469" s="2332">
        <f t="shared" si="302"/>
        <v>0</v>
      </c>
      <c r="AR469" s="2332"/>
      <c r="AS469" s="2332"/>
      <c r="AT469" s="2332">
        <f t="shared" si="303"/>
        <v>0</v>
      </c>
      <c r="AV469" s="151" t="str">
        <f t="shared" si="296"/>
        <v>EXTERIOR DOORS &amp; WINDOWS</v>
      </c>
      <c r="AW469" s="681"/>
      <c r="AX469" s="230"/>
      <c r="AY469" s="230"/>
      <c r="AZ469" s="679"/>
      <c r="BA469" s="49">
        <f t="shared" si="304"/>
        <v>0</v>
      </c>
      <c r="BB469" s="49">
        <f t="shared" si="308"/>
        <v>0</v>
      </c>
      <c r="BC469" s="49">
        <f t="shared" si="309"/>
        <v>0</v>
      </c>
      <c r="BD469" s="49">
        <f t="shared" si="305"/>
        <v>0</v>
      </c>
      <c r="BE469" s="49">
        <f t="shared" si="313"/>
        <v>0</v>
      </c>
      <c r="BF469" s="49">
        <f t="shared" si="297"/>
        <v>0</v>
      </c>
      <c r="BG469" s="49">
        <f t="shared" si="298"/>
        <v>0</v>
      </c>
      <c r="BI469" s="134">
        <f t="shared" si="311"/>
        <v>0</v>
      </c>
      <c r="BJ469" s="134">
        <f t="shared" si="306"/>
        <v>0</v>
      </c>
      <c r="BK469" s="134">
        <f t="shared" si="312"/>
        <v>0</v>
      </c>
    </row>
    <row r="470" spans="1:63" hidden="1">
      <c r="A470" s="187"/>
      <c r="B470" s="2321"/>
      <c r="C470" s="2322"/>
      <c r="D470" s="2334"/>
      <c r="E470" s="2334"/>
      <c r="F470" s="2334"/>
      <c r="G470" s="2334"/>
      <c r="H470" s="2334"/>
      <c r="I470" s="2334"/>
      <c r="J470" s="2334"/>
      <c r="K470" s="2334"/>
      <c r="L470" s="2334"/>
      <c r="M470" s="2334"/>
      <c r="N470" s="2334"/>
      <c r="O470" s="2334"/>
      <c r="P470" s="2324"/>
      <c r="Q470" s="2324"/>
      <c r="R470" s="2325"/>
      <c r="S470" s="2324"/>
      <c r="T470" s="2324"/>
      <c r="U470" s="2326"/>
      <c r="V470" s="2327"/>
      <c r="W470" s="2327"/>
      <c r="X470" s="2327"/>
      <c r="Y470" s="2327"/>
      <c r="Z470" s="2327"/>
      <c r="AA470" s="2328"/>
      <c r="AB470" s="2329"/>
      <c r="AC470" s="2326"/>
      <c r="AD470" s="2330">
        <f t="shared" ref="AD470:AD475" si="314">((P470*U470)-AM470)</f>
        <v>0</v>
      </c>
      <c r="AE470" s="2330"/>
      <c r="AF470" s="2330"/>
      <c r="AG470" s="2330">
        <f t="shared" si="307"/>
        <v>0</v>
      </c>
      <c r="AH470" s="2330"/>
      <c r="AI470" s="2330"/>
      <c r="AJ470" s="2330">
        <f t="shared" ref="AJ470:AJ475" si="315">P470*AA470</f>
        <v>0</v>
      </c>
      <c r="AK470" s="2330"/>
      <c r="AL470" s="2330"/>
      <c r="AM470" s="2331">
        <f t="shared" si="301"/>
        <v>0</v>
      </c>
      <c r="AN470" s="2331"/>
      <c r="AO470" s="2331"/>
      <c r="AP470" s="2331"/>
      <c r="AQ470" s="2332">
        <f t="shared" ref="AQ470:AQ475" si="316">SUM(AD470:AL470)</f>
        <v>0</v>
      </c>
      <c r="AR470" s="2332"/>
      <c r="AS470" s="2332"/>
      <c r="AT470" s="2332">
        <f t="shared" ref="AT470:AT475" si="317">SUM(AD470:AL470)</f>
        <v>0</v>
      </c>
      <c r="AV470" s="151" t="str">
        <f t="shared" si="296"/>
        <v>EXTERIOR DOORS &amp; WINDOWS</v>
      </c>
      <c r="AW470" s="681"/>
      <c r="AX470" s="230"/>
      <c r="AY470" s="230"/>
      <c r="AZ470" s="679"/>
      <c r="BA470" s="49">
        <f t="shared" ref="BA470:BA475" si="318">AD470</f>
        <v>0</v>
      </c>
      <c r="BB470" s="49">
        <f t="shared" ref="BB470:BB475" si="319">AG470</f>
        <v>0</v>
      </c>
      <c r="BC470" s="49">
        <f t="shared" ref="BC470:BC475" si="320">AJ470</f>
        <v>0</v>
      </c>
      <c r="BD470" s="49">
        <f t="shared" ref="BD470:BD475" si="321">IF(B470="x",1,0)</f>
        <v>0</v>
      </c>
      <c r="BE470" s="49">
        <f t="shared" si="313"/>
        <v>0</v>
      </c>
      <c r="BF470" s="49">
        <f t="shared" ref="BF470:BF475" si="322">AQ470</f>
        <v>0</v>
      </c>
      <c r="BG470" s="49">
        <f t="shared" ref="BG470:BG475" si="323">AM470</f>
        <v>0</v>
      </c>
      <c r="BI470" s="134">
        <f t="shared" ref="BI470:BI475" si="324">AD470</f>
        <v>0</v>
      </c>
      <c r="BJ470" s="134">
        <f t="shared" ref="BJ470:BJ475" si="325">AM470</f>
        <v>0</v>
      </c>
      <c r="BK470" s="134">
        <f t="shared" ref="BK470:BK475" si="326">BJ470+BI470</f>
        <v>0</v>
      </c>
    </row>
    <row r="471" spans="1:63" hidden="1">
      <c r="A471" s="187"/>
      <c r="B471" s="2321"/>
      <c r="C471" s="2322"/>
      <c r="D471" s="2334"/>
      <c r="E471" s="2334"/>
      <c r="F471" s="2334"/>
      <c r="G471" s="2334"/>
      <c r="H471" s="2334"/>
      <c r="I471" s="2334"/>
      <c r="J471" s="2334"/>
      <c r="K471" s="2334"/>
      <c r="L471" s="2334"/>
      <c r="M471" s="2334"/>
      <c r="N471" s="2334"/>
      <c r="O471" s="2334"/>
      <c r="P471" s="2324"/>
      <c r="Q471" s="2324"/>
      <c r="R471" s="2325"/>
      <c r="S471" s="2324"/>
      <c r="T471" s="2324"/>
      <c r="U471" s="2326"/>
      <c r="V471" s="2327"/>
      <c r="W471" s="2327"/>
      <c r="X471" s="2327"/>
      <c r="Y471" s="2327"/>
      <c r="Z471" s="2327"/>
      <c r="AA471" s="2328"/>
      <c r="AB471" s="2329"/>
      <c r="AC471" s="2326"/>
      <c r="AD471" s="2330">
        <f t="shared" si="314"/>
        <v>0</v>
      </c>
      <c r="AE471" s="2330"/>
      <c r="AF471" s="2330"/>
      <c r="AG471" s="2330">
        <f t="shared" si="307"/>
        <v>0</v>
      </c>
      <c r="AH471" s="2330"/>
      <c r="AI471" s="2330"/>
      <c r="AJ471" s="2330">
        <f t="shared" si="315"/>
        <v>0</v>
      </c>
      <c r="AK471" s="2330"/>
      <c r="AL471" s="2330"/>
      <c r="AM471" s="2331">
        <f t="shared" si="301"/>
        <v>0</v>
      </c>
      <c r="AN471" s="2331"/>
      <c r="AO471" s="2331"/>
      <c r="AP471" s="2331"/>
      <c r="AQ471" s="2332">
        <f t="shared" si="316"/>
        <v>0</v>
      </c>
      <c r="AR471" s="2332"/>
      <c r="AS471" s="2332"/>
      <c r="AT471" s="2332">
        <f t="shared" si="317"/>
        <v>0</v>
      </c>
      <c r="AV471" s="151" t="str">
        <f t="shared" si="296"/>
        <v>EXTERIOR DOORS &amp; WINDOWS</v>
      </c>
      <c r="AW471" s="681"/>
      <c r="AX471" s="230"/>
      <c r="AY471" s="230"/>
      <c r="AZ471" s="679"/>
      <c r="BA471" s="49">
        <f t="shared" si="318"/>
        <v>0</v>
      </c>
      <c r="BB471" s="49">
        <f t="shared" si="319"/>
        <v>0</v>
      </c>
      <c r="BC471" s="49">
        <f t="shared" si="320"/>
        <v>0</v>
      </c>
      <c r="BD471" s="49">
        <f t="shared" si="321"/>
        <v>0</v>
      </c>
      <c r="BE471" s="49">
        <f t="shared" si="313"/>
        <v>0</v>
      </c>
      <c r="BF471" s="49">
        <f t="shared" si="322"/>
        <v>0</v>
      </c>
      <c r="BG471" s="49">
        <f t="shared" si="323"/>
        <v>0</v>
      </c>
      <c r="BI471" s="134">
        <f t="shared" si="324"/>
        <v>0</v>
      </c>
      <c r="BJ471" s="134">
        <f t="shared" si="325"/>
        <v>0</v>
      </c>
      <c r="BK471" s="134">
        <f t="shared" si="326"/>
        <v>0</v>
      </c>
    </row>
    <row r="472" spans="1:63" hidden="1">
      <c r="A472" s="187"/>
      <c r="B472" s="2321"/>
      <c r="C472" s="2322"/>
      <c r="D472" s="2334"/>
      <c r="E472" s="2334"/>
      <c r="F472" s="2334"/>
      <c r="G472" s="2334"/>
      <c r="H472" s="2334"/>
      <c r="I472" s="2334"/>
      <c r="J472" s="2334"/>
      <c r="K472" s="2334"/>
      <c r="L472" s="2334"/>
      <c r="M472" s="2334"/>
      <c r="N472" s="2334"/>
      <c r="O472" s="2334"/>
      <c r="P472" s="2324"/>
      <c r="Q472" s="2324"/>
      <c r="R472" s="2325"/>
      <c r="S472" s="2324"/>
      <c r="T472" s="2324"/>
      <c r="U472" s="2326"/>
      <c r="V472" s="2327"/>
      <c r="W472" s="2327"/>
      <c r="X472" s="2327"/>
      <c r="Y472" s="2327"/>
      <c r="Z472" s="2327"/>
      <c r="AA472" s="2328"/>
      <c r="AB472" s="2329"/>
      <c r="AC472" s="2326"/>
      <c r="AD472" s="2330">
        <f t="shared" si="314"/>
        <v>0</v>
      </c>
      <c r="AE472" s="2330"/>
      <c r="AF472" s="2330"/>
      <c r="AG472" s="2330">
        <f t="shared" si="307"/>
        <v>0</v>
      </c>
      <c r="AH472" s="2330"/>
      <c r="AI472" s="2330"/>
      <c r="AJ472" s="2330">
        <f t="shared" si="315"/>
        <v>0</v>
      </c>
      <c r="AK472" s="2330"/>
      <c r="AL472" s="2330"/>
      <c r="AM472" s="2331">
        <f t="shared" si="301"/>
        <v>0</v>
      </c>
      <c r="AN472" s="2331"/>
      <c r="AO472" s="2331"/>
      <c r="AP472" s="2331"/>
      <c r="AQ472" s="2332">
        <f t="shared" si="316"/>
        <v>0</v>
      </c>
      <c r="AR472" s="2332"/>
      <c r="AS472" s="2332"/>
      <c r="AT472" s="2332">
        <f t="shared" si="317"/>
        <v>0</v>
      </c>
      <c r="AV472" s="151" t="str">
        <f t="shared" si="296"/>
        <v>EXTERIOR DOORS &amp; WINDOWS</v>
      </c>
      <c r="AW472" s="681"/>
      <c r="AX472" s="230"/>
      <c r="AY472" s="230"/>
      <c r="AZ472" s="679"/>
      <c r="BA472" s="49">
        <f t="shared" si="318"/>
        <v>0</v>
      </c>
      <c r="BB472" s="49">
        <f t="shared" si="319"/>
        <v>0</v>
      </c>
      <c r="BC472" s="49">
        <f t="shared" si="320"/>
        <v>0</v>
      </c>
      <c r="BD472" s="49">
        <f t="shared" si="321"/>
        <v>0</v>
      </c>
      <c r="BE472" s="49">
        <f t="shared" si="313"/>
        <v>0</v>
      </c>
      <c r="BF472" s="49">
        <f t="shared" si="322"/>
        <v>0</v>
      </c>
      <c r="BG472" s="49">
        <f t="shared" si="323"/>
        <v>0</v>
      </c>
      <c r="BI472" s="134">
        <f t="shared" si="324"/>
        <v>0</v>
      </c>
      <c r="BJ472" s="134">
        <f t="shared" si="325"/>
        <v>0</v>
      </c>
      <c r="BK472" s="134">
        <f t="shared" si="326"/>
        <v>0</v>
      </c>
    </row>
    <row r="473" spans="1:63" hidden="1">
      <c r="A473" s="187"/>
      <c r="B473" s="2321"/>
      <c r="C473" s="2322"/>
      <c r="D473" s="2334"/>
      <c r="E473" s="2334"/>
      <c r="F473" s="2334"/>
      <c r="G473" s="2334"/>
      <c r="H473" s="2334"/>
      <c r="I473" s="2334"/>
      <c r="J473" s="2334"/>
      <c r="K473" s="2334"/>
      <c r="L473" s="2334"/>
      <c r="M473" s="2334"/>
      <c r="N473" s="2334"/>
      <c r="O473" s="2334"/>
      <c r="P473" s="2324"/>
      <c r="Q473" s="2324"/>
      <c r="R473" s="2325"/>
      <c r="S473" s="2324"/>
      <c r="T473" s="2324"/>
      <c r="U473" s="2326"/>
      <c r="V473" s="2327"/>
      <c r="W473" s="2327"/>
      <c r="X473" s="2327"/>
      <c r="Y473" s="2327"/>
      <c r="Z473" s="2327"/>
      <c r="AA473" s="2328"/>
      <c r="AB473" s="2329"/>
      <c r="AC473" s="2326"/>
      <c r="AD473" s="2330">
        <f t="shared" si="314"/>
        <v>0</v>
      </c>
      <c r="AE473" s="2330"/>
      <c r="AF473" s="2330"/>
      <c r="AG473" s="2330">
        <f t="shared" si="307"/>
        <v>0</v>
      </c>
      <c r="AH473" s="2330"/>
      <c r="AI473" s="2330"/>
      <c r="AJ473" s="2330">
        <f t="shared" si="315"/>
        <v>0</v>
      </c>
      <c r="AK473" s="2330"/>
      <c r="AL473" s="2330"/>
      <c r="AM473" s="2331">
        <f t="shared" si="301"/>
        <v>0</v>
      </c>
      <c r="AN473" s="2331"/>
      <c r="AO473" s="2331"/>
      <c r="AP473" s="2331"/>
      <c r="AQ473" s="2332">
        <f t="shared" si="316"/>
        <v>0</v>
      </c>
      <c r="AR473" s="2332"/>
      <c r="AS473" s="2332"/>
      <c r="AT473" s="2332">
        <f t="shared" si="317"/>
        <v>0</v>
      </c>
      <c r="AV473" s="151" t="str">
        <f t="shared" si="296"/>
        <v>EXTERIOR DOORS &amp; WINDOWS</v>
      </c>
      <c r="AW473" s="681"/>
      <c r="AX473" s="230"/>
      <c r="AY473" s="230"/>
      <c r="AZ473" s="679"/>
      <c r="BA473" s="49">
        <f t="shared" si="318"/>
        <v>0</v>
      </c>
      <c r="BB473" s="49">
        <f t="shared" si="319"/>
        <v>0</v>
      </c>
      <c r="BC473" s="49">
        <f t="shared" si="320"/>
        <v>0</v>
      </c>
      <c r="BD473" s="49">
        <f t="shared" si="321"/>
        <v>0</v>
      </c>
      <c r="BE473" s="49">
        <f t="shared" si="313"/>
        <v>0</v>
      </c>
      <c r="BF473" s="49">
        <f t="shared" si="322"/>
        <v>0</v>
      </c>
      <c r="BG473" s="49">
        <f t="shared" si="323"/>
        <v>0</v>
      </c>
      <c r="BI473" s="134">
        <f t="shared" si="324"/>
        <v>0</v>
      </c>
      <c r="BJ473" s="134">
        <f t="shared" si="325"/>
        <v>0</v>
      </c>
      <c r="BK473" s="134">
        <f t="shared" si="326"/>
        <v>0</v>
      </c>
    </row>
    <row r="474" spans="1:63" hidden="1">
      <c r="A474" s="187"/>
      <c r="B474" s="2321"/>
      <c r="C474" s="2322"/>
      <c r="D474" s="2334"/>
      <c r="E474" s="2334"/>
      <c r="F474" s="2334"/>
      <c r="G474" s="2334"/>
      <c r="H474" s="2334"/>
      <c r="I474" s="2334"/>
      <c r="J474" s="2334"/>
      <c r="K474" s="2334"/>
      <c r="L474" s="2334"/>
      <c r="M474" s="2334"/>
      <c r="N474" s="2334"/>
      <c r="O474" s="2334"/>
      <c r="P474" s="2324"/>
      <c r="Q474" s="2324"/>
      <c r="R474" s="2325"/>
      <c r="S474" s="2324"/>
      <c r="T474" s="2324"/>
      <c r="U474" s="2326"/>
      <c r="V474" s="2327"/>
      <c r="W474" s="2327"/>
      <c r="X474" s="2327"/>
      <c r="Y474" s="2327"/>
      <c r="Z474" s="2327"/>
      <c r="AA474" s="2328"/>
      <c r="AB474" s="2329"/>
      <c r="AC474" s="2326"/>
      <c r="AD474" s="2330">
        <f t="shared" si="314"/>
        <v>0</v>
      </c>
      <c r="AE474" s="2330"/>
      <c r="AF474" s="2330"/>
      <c r="AG474" s="2330">
        <f t="shared" si="307"/>
        <v>0</v>
      </c>
      <c r="AH474" s="2330"/>
      <c r="AI474" s="2330"/>
      <c r="AJ474" s="2330">
        <f t="shared" si="315"/>
        <v>0</v>
      </c>
      <c r="AK474" s="2330"/>
      <c r="AL474" s="2330"/>
      <c r="AM474" s="2331">
        <f t="shared" si="301"/>
        <v>0</v>
      </c>
      <c r="AN474" s="2331"/>
      <c r="AO474" s="2331"/>
      <c r="AP474" s="2331"/>
      <c r="AQ474" s="2332">
        <f t="shared" si="316"/>
        <v>0</v>
      </c>
      <c r="AR474" s="2332"/>
      <c r="AS474" s="2332"/>
      <c r="AT474" s="2332">
        <f t="shared" si="317"/>
        <v>0</v>
      </c>
      <c r="AV474" s="151" t="str">
        <f t="shared" si="296"/>
        <v>EXTERIOR DOORS &amp; WINDOWS</v>
      </c>
      <c r="AW474" s="681"/>
      <c r="AX474" s="230"/>
      <c r="AY474" s="230"/>
      <c r="AZ474" s="679"/>
      <c r="BA474" s="49">
        <f t="shared" si="318"/>
        <v>0</v>
      </c>
      <c r="BB474" s="49">
        <f t="shared" si="319"/>
        <v>0</v>
      </c>
      <c r="BC474" s="49">
        <f t="shared" si="320"/>
        <v>0</v>
      </c>
      <c r="BD474" s="49">
        <f t="shared" si="321"/>
        <v>0</v>
      </c>
      <c r="BE474" s="49">
        <f t="shared" si="313"/>
        <v>0</v>
      </c>
      <c r="BF474" s="49">
        <f t="shared" si="322"/>
        <v>0</v>
      </c>
      <c r="BG474" s="49">
        <f t="shared" si="323"/>
        <v>0</v>
      </c>
      <c r="BI474" s="134">
        <f t="shared" si="324"/>
        <v>0</v>
      </c>
      <c r="BJ474" s="134">
        <f t="shared" si="325"/>
        <v>0</v>
      </c>
      <c r="BK474" s="134">
        <f t="shared" si="326"/>
        <v>0</v>
      </c>
    </row>
    <row r="475" spans="1:63" hidden="1">
      <c r="A475" s="187"/>
      <c r="B475" s="2321"/>
      <c r="C475" s="2322"/>
      <c r="D475" s="2334"/>
      <c r="E475" s="2334"/>
      <c r="F475" s="2334"/>
      <c r="G475" s="2334"/>
      <c r="H475" s="2334"/>
      <c r="I475" s="2334"/>
      <c r="J475" s="2334"/>
      <c r="K475" s="2334"/>
      <c r="L475" s="2334"/>
      <c r="M475" s="2334"/>
      <c r="N475" s="2334"/>
      <c r="O475" s="2334"/>
      <c r="P475" s="2324"/>
      <c r="Q475" s="2324"/>
      <c r="R475" s="2325"/>
      <c r="S475" s="2324"/>
      <c r="T475" s="2324"/>
      <c r="U475" s="2326"/>
      <c r="V475" s="2327"/>
      <c r="W475" s="2327"/>
      <c r="X475" s="2327"/>
      <c r="Y475" s="2327"/>
      <c r="Z475" s="2327"/>
      <c r="AA475" s="2328"/>
      <c r="AB475" s="2329"/>
      <c r="AC475" s="2326"/>
      <c r="AD475" s="2330">
        <f t="shared" si="314"/>
        <v>0</v>
      </c>
      <c r="AE475" s="2330"/>
      <c r="AF475" s="2330"/>
      <c r="AG475" s="2330">
        <f t="shared" si="307"/>
        <v>0</v>
      </c>
      <c r="AH475" s="2330"/>
      <c r="AI475" s="2330"/>
      <c r="AJ475" s="2330">
        <f t="shared" si="315"/>
        <v>0</v>
      </c>
      <c r="AK475" s="2330"/>
      <c r="AL475" s="2330"/>
      <c r="AM475" s="2331">
        <f t="shared" si="301"/>
        <v>0</v>
      </c>
      <c r="AN475" s="2331"/>
      <c r="AO475" s="2331"/>
      <c r="AP475" s="2331"/>
      <c r="AQ475" s="2332">
        <f t="shared" si="316"/>
        <v>0</v>
      </c>
      <c r="AR475" s="2332"/>
      <c r="AS475" s="2332"/>
      <c r="AT475" s="2332">
        <f t="shared" si="317"/>
        <v>0</v>
      </c>
      <c r="AV475" s="151" t="str">
        <f t="shared" si="296"/>
        <v>EXTERIOR DOORS &amp; WINDOWS</v>
      </c>
      <c r="AW475" s="681"/>
      <c r="AX475" s="230"/>
      <c r="AY475" s="230"/>
      <c r="AZ475" s="679"/>
      <c r="BA475" s="49">
        <f t="shared" si="318"/>
        <v>0</v>
      </c>
      <c r="BB475" s="49">
        <f t="shared" si="319"/>
        <v>0</v>
      </c>
      <c r="BC475" s="49">
        <f t="shared" si="320"/>
        <v>0</v>
      </c>
      <c r="BD475" s="49">
        <f t="shared" si="321"/>
        <v>0</v>
      </c>
      <c r="BE475" s="49">
        <f t="shared" si="313"/>
        <v>0</v>
      </c>
      <c r="BF475" s="49">
        <f t="shared" si="322"/>
        <v>0</v>
      </c>
      <c r="BG475" s="49">
        <f t="shared" si="323"/>
        <v>0</v>
      </c>
      <c r="BI475" s="134">
        <f t="shared" si="324"/>
        <v>0</v>
      </c>
      <c r="BJ475" s="134">
        <f t="shared" si="325"/>
        <v>0</v>
      </c>
      <c r="BK475" s="134">
        <f t="shared" si="326"/>
        <v>0</v>
      </c>
    </row>
    <row r="476" spans="1:63" hidden="1">
      <c r="A476" s="187"/>
      <c r="B476" s="2321"/>
      <c r="C476" s="2322"/>
      <c r="D476" s="2334"/>
      <c r="E476" s="2334"/>
      <c r="F476" s="2334"/>
      <c r="G476" s="2334"/>
      <c r="H476" s="2334"/>
      <c r="I476" s="2334"/>
      <c r="J476" s="2334"/>
      <c r="K476" s="2334"/>
      <c r="L476" s="2334"/>
      <c r="M476" s="2334"/>
      <c r="N476" s="2334"/>
      <c r="O476" s="2334"/>
      <c r="P476" s="2324"/>
      <c r="Q476" s="2324"/>
      <c r="R476" s="2325"/>
      <c r="S476" s="2324"/>
      <c r="T476" s="2324"/>
      <c r="U476" s="2326"/>
      <c r="V476" s="2327"/>
      <c r="W476" s="2327"/>
      <c r="X476" s="2327"/>
      <c r="Y476" s="2327"/>
      <c r="Z476" s="2327"/>
      <c r="AA476" s="2328"/>
      <c r="AB476" s="2329"/>
      <c r="AC476" s="2326"/>
      <c r="AD476" s="2330">
        <f>((P476*U476)-AM476)</f>
        <v>0</v>
      </c>
      <c r="AE476" s="2330"/>
      <c r="AF476" s="2330"/>
      <c r="AG476" s="2330">
        <f t="shared" si="307"/>
        <v>0</v>
      </c>
      <c r="AH476" s="2330"/>
      <c r="AI476" s="2330"/>
      <c r="AJ476" s="2330">
        <f>P476*AA476</f>
        <v>0</v>
      </c>
      <c r="AK476" s="2330"/>
      <c r="AL476" s="2330"/>
      <c r="AM476" s="2331">
        <f t="shared" si="301"/>
        <v>0</v>
      </c>
      <c r="AN476" s="2331"/>
      <c r="AO476" s="2331"/>
      <c r="AP476" s="2331"/>
      <c r="AQ476" s="2332">
        <f>SUM(AD476:AL476)</f>
        <v>0</v>
      </c>
      <c r="AR476" s="2332"/>
      <c r="AS476" s="2332"/>
      <c r="AT476" s="2332">
        <f>SUM(AD476:AL476)</f>
        <v>0</v>
      </c>
      <c r="AV476" s="151" t="str">
        <f t="shared" si="296"/>
        <v>EXTERIOR DOORS &amp; WINDOWS</v>
      </c>
      <c r="AW476" s="681"/>
      <c r="AX476" s="230"/>
      <c r="AY476" s="230"/>
      <c r="AZ476" s="679"/>
      <c r="BA476" s="49">
        <f>AD476</f>
        <v>0</v>
      </c>
      <c r="BB476" s="49">
        <f>AG476</f>
        <v>0</v>
      </c>
      <c r="BC476" s="49">
        <f>AJ476</f>
        <v>0</v>
      </c>
      <c r="BD476" s="49">
        <f>IF(B476="x",1,0)</f>
        <v>0</v>
      </c>
      <c r="BE476" s="49">
        <f t="shared" si="313"/>
        <v>0</v>
      </c>
      <c r="BF476" s="49">
        <f>AQ476</f>
        <v>0</v>
      </c>
      <c r="BG476" s="49">
        <f>AM476</f>
        <v>0</v>
      </c>
      <c r="BI476" s="134">
        <f>AD476</f>
        <v>0</v>
      </c>
      <c r="BJ476" s="134">
        <f>AM476</f>
        <v>0</v>
      </c>
      <c r="BK476" s="134">
        <f>BJ476+BI476</f>
        <v>0</v>
      </c>
    </row>
    <row r="477" spans="1:63" hidden="1">
      <c r="A477" s="187"/>
      <c r="B477" s="2321"/>
      <c r="C477" s="2322"/>
      <c r="D477" s="2334"/>
      <c r="E477" s="2334"/>
      <c r="F477" s="2334"/>
      <c r="G477" s="2334"/>
      <c r="H477" s="2334"/>
      <c r="I477" s="2334"/>
      <c r="J477" s="2334"/>
      <c r="K477" s="2334"/>
      <c r="L477" s="2334"/>
      <c r="M477" s="2334"/>
      <c r="N477" s="2334"/>
      <c r="O477" s="2334"/>
      <c r="P477" s="2324"/>
      <c r="Q477" s="2324"/>
      <c r="R477" s="2325"/>
      <c r="S477" s="2324"/>
      <c r="T477" s="2324"/>
      <c r="U477" s="2326"/>
      <c r="V477" s="2327"/>
      <c r="W477" s="2327"/>
      <c r="X477" s="2327"/>
      <c r="Y477" s="2327"/>
      <c r="Z477" s="2327"/>
      <c r="AA477" s="2328"/>
      <c r="AB477" s="2329"/>
      <c r="AC477" s="2326"/>
      <c r="AD477" s="2330">
        <f>((P477*U477)-AM477)</f>
        <v>0</v>
      </c>
      <c r="AE477" s="2330"/>
      <c r="AF477" s="2330"/>
      <c r="AG477" s="2330">
        <f t="shared" si="307"/>
        <v>0</v>
      </c>
      <c r="AH477" s="2330"/>
      <c r="AI477" s="2330"/>
      <c r="AJ477" s="2330">
        <f>P477*AA477</f>
        <v>0</v>
      </c>
      <c r="AK477" s="2330"/>
      <c r="AL477" s="2330"/>
      <c r="AM477" s="2331">
        <f t="shared" si="301"/>
        <v>0</v>
      </c>
      <c r="AN477" s="2331"/>
      <c r="AO477" s="2331"/>
      <c r="AP477" s="2331"/>
      <c r="AQ477" s="2332">
        <f>SUM(AD477:AL477)</f>
        <v>0</v>
      </c>
      <c r="AR477" s="2332"/>
      <c r="AS477" s="2332"/>
      <c r="AT477" s="2332">
        <f>SUM(AD477:AL477)</f>
        <v>0</v>
      </c>
      <c r="AV477" s="151" t="str">
        <f t="shared" si="296"/>
        <v>EXTERIOR DOORS &amp; WINDOWS</v>
      </c>
      <c r="AW477" s="681"/>
      <c r="AX477" s="230"/>
      <c r="AY477" s="230"/>
      <c r="AZ477" s="679"/>
      <c r="BA477" s="49">
        <f>AD477</f>
        <v>0</v>
      </c>
      <c r="BB477" s="49">
        <f>AG477</f>
        <v>0</v>
      </c>
      <c r="BC477" s="49">
        <f>AJ477</f>
        <v>0</v>
      </c>
      <c r="BD477" s="49">
        <f>IF(B477="x",1,0)</f>
        <v>0</v>
      </c>
      <c r="BE477" s="49">
        <f t="shared" si="313"/>
        <v>0</v>
      </c>
      <c r="BF477" s="49">
        <f>AQ477</f>
        <v>0</v>
      </c>
      <c r="BG477" s="49">
        <f>AM477</f>
        <v>0</v>
      </c>
      <c r="BI477" s="134">
        <f>AD477</f>
        <v>0</v>
      </c>
      <c r="BJ477" s="134">
        <f>AM477</f>
        <v>0</v>
      </c>
      <c r="BK477" s="134">
        <f>BJ477+BI477</f>
        <v>0</v>
      </c>
    </row>
    <row r="478" spans="1:63" hidden="1">
      <c r="A478" s="187"/>
      <c r="B478" s="2321"/>
      <c r="C478" s="2322"/>
      <c r="D478" s="2334"/>
      <c r="E478" s="2334"/>
      <c r="F478" s="2334"/>
      <c r="G478" s="2334"/>
      <c r="H478" s="2334"/>
      <c r="I478" s="2334"/>
      <c r="J478" s="2334"/>
      <c r="K478" s="2334"/>
      <c r="L478" s="2334"/>
      <c r="M478" s="2334"/>
      <c r="N478" s="2334"/>
      <c r="O478" s="2334"/>
      <c r="P478" s="2324"/>
      <c r="Q478" s="2324"/>
      <c r="R478" s="2325"/>
      <c r="S478" s="2324"/>
      <c r="T478" s="2324"/>
      <c r="U478" s="2326"/>
      <c r="V478" s="2327"/>
      <c r="W478" s="2327"/>
      <c r="X478" s="2327"/>
      <c r="Y478" s="2327"/>
      <c r="Z478" s="2327"/>
      <c r="AA478" s="2328"/>
      <c r="AB478" s="2329"/>
      <c r="AC478" s="2326"/>
      <c r="AD478" s="2330">
        <f>((P478*U478)-AM478)</f>
        <v>0</v>
      </c>
      <c r="AE478" s="2330"/>
      <c r="AF478" s="2330"/>
      <c r="AG478" s="2330">
        <f t="shared" si="307"/>
        <v>0</v>
      </c>
      <c r="AH478" s="2330"/>
      <c r="AI478" s="2330"/>
      <c r="AJ478" s="2330">
        <f>P478*AA478</f>
        <v>0</v>
      </c>
      <c r="AK478" s="2330"/>
      <c r="AL478" s="2330"/>
      <c r="AM478" s="2331">
        <f t="shared" si="301"/>
        <v>0</v>
      </c>
      <c r="AN478" s="2331"/>
      <c r="AO478" s="2331"/>
      <c r="AP478" s="2331"/>
      <c r="AQ478" s="2332">
        <f>SUM(AD478:AL478)</f>
        <v>0</v>
      </c>
      <c r="AR478" s="2332"/>
      <c r="AS478" s="2332"/>
      <c r="AT478" s="2332">
        <f>SUM(AD478:AL478)</f>
        <v>0</v>
      </c>
      <c r="AV478" s="151" t="str">
        <f t="shared" si="296"/>
        <v>EXTERIOR DOORS &amp; WINDOWS</v>
      </c>
      <c r="AW478" s="681"/>
      <c r="AX478" s="230"/>
      <c r="AY478" s="230"/>
      <c r="AZ478" s="679"/>
      <c r="BA478" s="49">
        <f>AD478</f>
        <v>0</v>
      </c>
      <c r="BB478" s="49">
        <f>AG478</f>
        <v>0</v>
      </c>
      <c r="BC478" s="49">
        <f>AJ478</f>
        <v>0</v>
      </c>
      <c r="BD478" s="49">
        <f>IF(B478="x",1,0)</f>
        <v>0</v>
      </c>
      <c r="BE478" s="49">
        <f t="shared" si="313"/>
        <v>0</v>
      </c>
      <c r="BF478" s="49">
        <f>AQ478</f>
        <v>0</v>
      </c>
      <c r="BG478" s="49">
        <f>AM478</f>
        <v>0</v>
      </c>
      <c r="BI478" s="134">
        <f>AD478</f>
        <v>0</v>
      </c>
      <c r="BJ478" s="134">
        <f>AM478</f>
        <v>0</v>
      </c>
      <c r="BK478" s="134">
        <f>BJ478+BI478</f>
        <v>0</v>
      </c>
    </row>
    <row r="479" spans="1:63" hidden="1">
      <c r="A479" s="187"/>
      <c r="B479" s="2321"/>
      <c r="C479" s="2322"/>
      <c r="D479" s="2334"/>
      <c r="E479" s="2334"/>
      <c r="F479" s="2334"/>
      <c r="G479" s="2334"/>
      <c r="H479" s="2334"/>
      <c r="I479" s="2334"/>
      <c r="J479" s="2334"/>
      <c r="K479" s="2334"/>
      <c r="L479" s="2334"/>
      <c r="M479" s="2334"/>
      <c r="N479" s="2334"/>
      <c r="O479" s="2334"/>
      <c r="P479" s="2324"/>
      <c r="Q479" s="2324"/>
      <c r="R479" s="2325"/>
      <c r="S479" s="2324"/>
      <c r="T479" s="2324"/>
      <c r="U479" s="2326"/>
      <c r="V479" s="2327"/>
      <c r="W479" s="2327"/>
      <c r="X479" s="2327"/>
      <c r="Y479" s="2327"/>
      <c r="Z479" s="2327"/>
      <c r="AA479" s="2328"/>
      <c r="AB479" s="2329"/>
      <c r="AC479" s="2326"/>
      <c r="AD479" s="2330">
        <f>((P479*U479)-AM479)</f>
        <v>0</v>
      </c>
      <c r="AE479" s="2330"/>
      <c r="AF479" s="2330"/>
      <c r="AG479" s="2330">
        <f t="shared" si="307"/>
        <v>0</v>
      </c>
      <c r="AH479" s="2330"/>
      <c r="AI479" s="2330"/>
      <c r="AJ479" s="2330">
        <f>P479*AA479</f>
        <v>0</v>
      </c>
      <c r="AK479" s="2330"/>
      <c r="AL479" s="2330"/>
      <c r="AM479" s="2331">
        <f t="shared" si="301"/>
        <v>0</v>
      </c>
      <c r="AN479" s="2331"/>
      <c r="AO479" s="2331"/>
      <c r="AP479" s="2331"/>
      <c r="AQ479" s="2332">
        <f>SUM(AD479:AL479)</f>
        <v>0</v>
      </c>
      <c r="AR479" s="2332"/>
      <c r="AS479" s="2332"/>
      <c r="AT479" s="2332">
        <f>SUM(AD479:AL479)</f>
        <v>0</v>
      </c>
      <c r="AV479" s="151" t="str">
        <f t="shared" si="296"/>
        <v>EXTERIOR DOORS &amp; WINDOWS</v>
      </c>
      <c r="AW479" s="681"/>
      <c r="AX479" s="230"/>
      <c r="AY479" s="230"/>
      <c r="AZ479" s="679"/>
      <c r="BA479" s="49">
        <f>AD479</f>
        <v>0</v>
      </c>
      <c r="BB479" s="49">
        <f>AG479</f>
        <v>0</v>
      </c>
      <c r="BC479" s="49">
        <f>AJ479</f>
        <v>0</v>
      </c>
      <c r="BD479" s="49">
        <f>IF(B479="x",1,0)</f>
        <v>0</v>
      </c>
      <c r="BE479" s="49">
        <f t="shared" si="313"/>
        <v>0</v>
      </c>
      <c r="BF479" s="49">
        <f>AQ479</f>
        <v>0</v>
      </c>
      <c r="BG479" s="49">
        <f>AM479</f>
        <v>0</v>
      </c>
      <c r="BI479" s="134">
        <f>AD479</f>
        <v>0</v>
      </c>
      <c r="BJ479" s="134">
        <f>AM479</f>
        <v>0</v>
      </c>
      <c r="BK479" s="134">
        <f>BJ479+BI479</f>
        <v>0</v>
      </c>
    </row>
    <row r="480" spans="1:63" hidden="1">
      <c r="A480" s="187"/>
      <c r="B480" s="2321"/>
      <c r="C480" s="2322"/>
      <c r="D480" s="2334"/>
      <c r="E480" s="2334"/>
      <c r="F480" s="2334"/>
      <c r="G480" s="2334"/>
      <c r="H480" s="2334"/>
      <c r="I480" s="2334"/>
      <c r="J480" s="2334"/>
      <c r="K480" s="2334"/>
      <c r="L480" s="2334"/>
      <c r="M480" s="2334"/>
      <c r="N480" s="2334"/>
      <c r="O480" s="2334"/>
      <c r="P480" s="2324"/>
      <c r="Q480" s="2324"/>
      <c r="R480" s="2325"/>
      <c r="S480" s="2324"/>
      <c r="T480" s="2324"/>
      <c r="U480" s="2326"/>
      <c r="V480" s="2327"/>
      <c r="W480" s="2327"/>
      <c r="X480" s="2327"/>
      <c r="Y480" s="2327"/>
      <c r="Z480" s="2327"/>
      <c r="AA480" s="2328"/>
      <c r="AB480" s="2329"/>
      <c r="AC480" s="2326"/>
      <c r="AD480" s="2330">
        <f t="shared" si="299"/>
        <v>0</v>
      </c>
      <c r="AE480" s="2330"/>
      <c r="AF480" s="2330"/>
      <c r="AG480" s="2330">
        <f t="shared" si="307"/>
        <v>0</v>
      </c>
      <c r="AH480" s="2330"/>
      <c r="AI480" s="2330"/>
      <c r="AJ480" s="2330">
        <f t="shared" si="300"/>
        <v>0</v>
      </c>
      <c r="AK480" s="2330"/>
      <c r="AL480" s="2330"/>
      <c r="AM480" s="2331">
        <f t="shared" si="301"/>
        <v>0</v>
      </c>
      <c r="AN480" s="2331"/>
      <c r="AO480" s="2331"/>
      <c r="AP480" s="2331"/>
      <c r="AQ480" s="2332">
        <f t="shared" si="302"/>
        <v>0</v>
      </c>
      <c r="AR480" s="2332"/>
      <c r="AS480" s="2332"/>
      <c r="AT480" s="2332">
        <f t="shared" si="303"/>
        <v>0</v>
      </c>
      <c r="AV480" s="151" t="str">
        <f t="shared" si="296"/>
        <v>EXTERIOR DOORS &amp; WINDOWS</v>
      </c>
      <c r="AW480" s="681"/>
      <c r="AX480" s="230"/>
      <c r="AY480" s="230"/>
      <c r="AZ480" s="679"/>
      <c r="BA480" s="49">
        <f t="shared" si="304"/>
        <v>0</v>
      </c>
      <c r="BB480" s="49">
        <f t="shared" si="308"/>
        <v>0</v>
      </c>
      <c r="BC480" s="49">
        <f t="shared" si="309"/>
        <v>0</v>
      </c>
      <c r="BD480" s="49">
        <f t="shared" si="305"/>
        <v>0</v>
      </c>
      <c r="BE480" s="49">
        <f t="shared" si="313"/>
        <v>0</v>
      </c>
      <c r="BF480" s="49">
        <f t="shared" si="297"/>
        <v>0</v>
      </c>
      <c r="BG480" s="49">
        <f t="shared" si="298"/>
        <v>0</v>
      </c>
      <c r="BI480" s="134">
        <f t="shared" si="311"/>
        <v>0</v>
      </c>
      <c r="BJ480" s="134">
        <f t="shared" si="306"/>
        <v>0</v>
      </c>
      <c r="BK480" s="134">
        <f t="shared" si="312"/>
        <v>0</v>
      </c>
    </row>
    <row r="481" spans="1:63" hidden="1">
      <c r="A481" s="187"/>
      <c r="B481" s="2321"/>
      <c r="C481" s="2322"/>
      <c r="D481" s="2334"/>
      <c r="E481" s="2334"/>
      <c r="F481" s="2334"/>
      <c r="G481" s="2334"/>
      <c r="H481" s="2334"/>
      <c r="I481" s="2334"/>
      <c r="J481" s="2334"/>
      <c r="K481" s="2334"/>
      <c r="L481" s="2334"/>
      <c r="M481" s="2334"/>
      <c r="N481" s="2334"/>
      <c r="O481" s="2334"/>
      <c r="P481" s="2324"/>
      <c r="Q481" s="2324"/>
      <c r="R481" s="2325"/>
      <c r="S481" s="2324"/>
      <c r="T481" s="2324"/>
      <c r="U481" s="2326"/>
      <c r="V481" s="2327"/>
      <c r="W481" s="2327"/>
      <c r="X481" s="2327"/>
      <c r="Y481" s="2327"/>
      <c r="Z481" s="2327"/>
      <c r="AA481" s="2328"/>
      <c r="AB481" s="2329"/>
      <c r="AC481" s="2326"/>
      <c r="AD481" s="2330">
        <f t="shared" si="299"/>
        <v>0</v>
      </c>
      <c r="AE481" s="2330"/>
      <c r="AF481" s="2330"/>
      <c r="AG481" s="2330">
        <f t="shared" si="307"/>
        <v>0</v>
      </c>
      <c r="AH481" s="2330"/>
      <c r="AI481" s="2330"/>
      <c r="AJ481" s="2330">
        <f t="shared" si="300"/>
        <v>0</v>
      </c>
      <c r="AK481" s="2330"/>
      <c r="AL481" s="2330"/>
      <c r="AM481" s="2331">
        <f t="shared" si="301"/>
        <v>0</v>
      </c>
      <c r="AN481" s="2331"/>
      <c r="AO481" s="2331"/>
      <c r="AP481" s="2331"/>
      <c r="AQ481" s="2332">
        <f t="shared" si="302"/>
        <v>0</v>
      </c>
      <c r="AR481" s="2332"/>
      <c r="AS481" s="2332"/>
      <c r="AT481" s="2332">
        <f t="shared" si="303"/>
        <v>0</v>
      </c>
      <c r="AV481" s="151" t="str">
        <f t="shared" si="296"/>
        <v>EXTERIOR DOORS &amp; WINDOWS</v>
      </c>
      <c r="AW481" s="681"/>
      <c r="AX481" s="230"/>
      <c r="AY481" s="230"/>
      <c r="AZ481" s="679"/>
      <c r="BA481" s="49">
        <f t="shared" si="304"/>
        <v>0</v>
      </c>
      <c r="BB481" s="49">
        <f t="shared" si="308"/>
        <v>0</v>
      </c>
      <c r="BC481" s="49">
        <f t="shared" si="309"/>
        <v>0</v>
      </c>
      <c r="BD481" s="49">
        <f t="shared" si="305"/>
        <v>0</v>
      </c>
      <c r="BE481" s="49">
        <f t="shared" si="313"/>
        <v>0</v>
      </c>
      <c r="BF481" s="49">
        <f t="shared" si="297"/>
        <v>0</v>
      </c>
      <c r="BG481" s="49">
        <f t="shared" si="298"/>
        <v>0</v>
      </c>
      <c r="BI481" s="134">
        <f t="shared" si="311"/>
        <v>0</v>
      </c>
      <c r="BJ481" s="134">
        <f t="shared" si="306"/>
        <v>0</v>
      </c>
      <c r="BK481" s="134">
        <f t="shared" si="312"/>
        <v>0</v>
      </c>
    </row>
    <row r="482" spans="1:63" hidden="1">
      <c r="A482" s="187"/>
      <c r="B482" s="2321"/>
      <c r="C482" s="2322"/>
      <c r="D482" s="2334"/>
      <c r="E482" s="2334"/>
      <c r="F482" s="2334"/>
      <c r="G482" s="2334"/>
      <c r="H482" s="2334"/>
      <c r="I482" s="2334"/>
      <c r="J482" s="2334"/>
      <c r="K482" s="2334"/>
      <c r="L482" s="2334"/>
      <c r="M482" s="2334"/>
      <c r="N482" s="2334"/>
      <c r="O482" s="2334"/>
      <c r="P482" s="2324"/>
      <c r="Q482" s="2324"/>
      <c r="R482" s="2325"/>
      <c r="S482" s="2324"/>
      <c r="T482" s="2324"/>
      <c r="U482" s="2326"/>
      <c r="V482" s="2327"/>
      <c r="W482" s="2327"/>
      <c r="X482" s="2327"/>
      <c r="Y482" s="2327"/>
      <c r="Z482" s="2327"/>
      <c r="AA482" s="2328"/>
      <c r="AB482" s="2329"/>
      <c r="AC482" s="2326"/>
      <c r="AD482" s="2330">
        <f>((P482*U482)-AM482)</f>
        <v>0</v>
      </c>
      <c r="AE482" s="2330"/>
      <c r="AF482" s="2330"/>
      <c r="AG482" s="2330">
        <f t="shared" si="307"/>
        <v>0</v>
      </c>
      <c r="AH482" s="2330"/>
      <c r="AI482" s="2330"/>
      <c r="AJ482" s="2330">
        <f>P482*AA482</f>
        <v>0</v>
      </c>
      <c r="AK482" s="2330"/>
      <c r="AL482" s="2330"/>
      <c r="AM482" s="2331">
        <f t="shared" si="301"/>
        <v>0</v>
      </c>
      <c r="AN482" s="2331"/>
      <c r="AO482" s="2331"/>
      <c r="AP482" s="2331"/>
      <c r="AQ482" s="2332">
        <f>SUM(AD482:AL482)</f>
        <v>0</v>
      </c>
      <c r="AR482" s="2332"/>
      <c r="AS482" s="2332"/>
      <c r="AT482" s="2332">
        <f>SUM(AD482:AL482)</f>
        <v>0</v>
      </c>
      <c r="AV482" s="151" t="str">
        <f t="shared" si="296"/>
        <v>EXTERIOR DOORS &amp; WINDOWS</v>
      </c>
      <c r="AW482" s="681"/>
      <c r="AX482" s="230"/>
      <c r="AY482" s="230"/>
      <c r="AZ482" s="679"/>
      <c r="BA482" s="49">
        <f>AD482</f>
        <v>0</v>
      </c>
      <c r="BB482" s="49">
        <f>AG482</f>
        <v>0</v>
      </c>
      <c r="BC482" s="49">
        <f>AJ482</f>
        <v>0</v>
      </c>
      <c r="BD482" s="49">
        <f>IF(B482="x",1,0)</f>
        <v>0</v>
      </c>
      <c r="BE482" s="49">
        <f t="shared" si="313"/>
        <v>0</v>
      </c>
      <c r="BF482" s="49">
        <f>AQ482</f>
        <v>0</v>
      </c>
      <c r="BG482" s="49">
        <f>AM482</f>
        <v>0</v>
      </c>
      <c r="BI482" s="134">
        <f>AD482</f>
        <v>0</v>
      </c>
      <c r="BJ482" s="134">
        <f>AM482</f>
        <v>0</v>
      </c>
      <c r="BK482" s="134">
        <f>BJ482+BI482</f>
        <v>0</v>
      </c>
    </row>
    <row r="483" spans="1:63" hidden="1">
      <c r="A483" s="187"/>
      <c r="B483" s="2321"/>
      <c r="C483" s="2322"/>
      <c r="D483" s="2334"/>
      <c r="E483" s="2334"/>
      <c r="F483" s="2334"/>
      <c r="G483" s="2334"/>
      <c r="H483" s="2334"/>
      <c r="I483" s="2334"/>
      <c r="J483" s="2334"/>
      <c r="K483" s="2334"/>
      <c r="L483" s="2334"/>
      <c r="M483" s="2334"/>
      <c r="N483" s="2334"/>
      <c r="O483" s="2334"/>
      <c r="P483" s="2324"/>
      <c r="Q483" s="2324"/>
      <c r="R483" s="2325"/>
      <c r="S483" s="2324"/>
      <c r="T483" s="2324"/>
      <c r="U483" s="2326"/>
      <c r="V483" s="2327"/>
      <c r="W483" s="2327"/>
      <c r="X483" s="2327"/>
      <c r="Y483" s="2327"/>
      <c r="Z483" s="2327"/>
      <c r="AA483" s="2328"/>
      <c r="AB483" s="2329"/>
      <c r="AC483" s="2326"/>
      <c r="AD483" s="2330">
        <f>((P483*U483)-AM483)</f>
        <v>0</v>
      </c>
      <c r="AE483" s="2330"/>
      <c r="AF483" s="2330"/>
      <c r="AG483" s="2330">
        <f t="shared" si="307"/>
        <v>0</v>
      </c>
      <c r="AH483" s="2330"/>
      <c r="AI483" s="2330"/>
      <c r="AJ483" s="2330">
        <f>P483*AA483</f>
        <v>0</v>
      </c>
      <c r="AK483" s="2330"/>
      <c r="AL483" s="2330"/>
      <c r="AM483" s="2331">
        <f t="shared" si="301"/>
        <v>0</v>
      </c>
      <c r="AN483" s="2331"/>
      <c r="AO483" s="2331"/>
      <c r="AP483" s="2331"/>
      <c r="AQ483" s="2332">
        <f>SUM(AD483:AL483)</f>
        <v>0</v>
      </c>
      <c r="AR483" s="2332"/>
      <c r="AS483" s="2332"/>
      <c r="AT483" s="2332">
        <f>SUM(AD483:AL483)</f>
        <v>0</v>
      </c>
      <c r="AV483" s="151" t="str">
        <f t="shared" si="296"/>
        <v>EXTERIOR DOORS &amp; WINDOWS</v>
      </c>
      <c r="AW483" s="681"/>
      <c r="AX483" s="230"/>
      <c r="AY483" s="230"/>
      <c r="AZ483" s="679"/>
      <c r="BA483" s="49">
        <f>AD483</f>
        <v>0</v>
      </c>
      <c r="BB483" s="49">
        <f>AG483</f>
        <v>0</v>
      </c>
      <c r="BC483" s="49">
        <f>AJ483</f>
        <v>0</v>
      </c>
      <c r="BD483" s="49">
        <f>IF(B483="x",1,0)</f>
        <v>0</v>
      </c>
      <c r="BE483" s="49">
        <f t="shared" si="313"/>
        <v>0</v>
      </c>
      <c r="BF483" s="49">
        <f>AQ483</f>
        <v>0</v>
      </c>
      <c r="BG483" s="49">
        <f>AM483</f>
        <v>0</v>
      </c>
      <c r="BI483" s="134">
        <f>AD483</f>
        <v>0</v>
      </c>
      <c r="BJ483" s="134">
        <f>AM483</f>
        <v>0</v>
      </c>
      <c r="BK483" s="134">
        <f>BJ483+BI483</f>
        <v>0</v>
      </c>
    </row>
    <row r="484" spans="1:63" hidden="1">
      <c r="A484" s="187"/>
      <c r="B484" s="2321"/>
      <c r="C484" s="2322"/>
      <c r="D484" s="2334"/>
      <c r="E484" s="2334"/>
      <c r="F484" s="2334"/>
      <c r="G484" s="2334"/>
      <c r="H484" s="2334"/>
      <c r="I484" s="2334"/>
      <c r="J484" s="2334"/>
      <c r="K484" s="2334"/>
      <c r="L484" s="2334"/>
      <c r="M484" s="2334"/>
      <c r="N484" s="2334"/>
      <c r="O484" s="2334"/>
      <c r="P484" s="2324"/>
      <c r="Q484" s="2324"/>
      <c r="R484" s="2325"/>
      <c r="S484" s="2324"/>
      <c r="T484" s="2324"/>
      <c r="U484" s="2326"/>
      <c r="V484" s="2327"/>
      <c r="W484" s="2327"/>
      <c r="X484" s="2327"/>
      <c r="Y484" s="2327"/>
      <c r="Z484" s="2327"/>
      <c r="AA484" s="2328"/>
      <c r="AB484" s="2329"/>
      <c r="AC484" s="2326"/>
      <c r="AD484" s="2330">
        <f>((P484*U484)-AM484)</f>
        <v>0</v>
      </c>
      <c r="AE484" s="2330"/>
      <c r="AF484" s="2330"/>
      <c r="AG484" s="2330">
        <f t="shared" si="307"/>
        <v>0</v>
      </c>
      <c r="AH484" s="2330"/>
      <c r="AI484" s="2330"/>
      <c r="AJ484" s="2330">
        <f>P484*AA484</f>
        <v>0</v>
      </c>
      <c r="AK484" s="2330"/>
      <c r="AL484" s="2330"/>
      <c r="AM484" s="2331">
        <f t="shared" si="301"/>
        <v>0</v>
      </c>
      <c r="AN484" s="2331"/>
      <c r="AO484" s="2331"/>
      <c r="AP484" s="2331"/>
      <c r="AQ484" s="2332">
        <f>SUM(AD484:AL484)</f>
        <v>0</v>
      </c>
      <c r="AR484" s="2332"/>
      <c r="AS484" s="2332"/>
      <c r="AT484" s="2332">
        <f>SUM(AD484:AL484)</f>
        <v>0</v>
      </c>
      <c r="AV484" s="151" t="str">
        <f t="shared" si="296"/>
        <v>EXTERIOR DOORS &amp; WINDOWS</v>
      </c>
      <c r="AW484" s="681"/>
      <c r="AX484" s="230"/>
      <c r="AY484" s="230"/>
      <c r="AZ484" s="679"/>
      <c r="BA484" s="49">
        <f>AD484</f>
        <v>0</v>
      </c>
      <c r="BB484" s="49">
        <f>AG484</f>
        <v>0</v>
      </c>
      <c r="BC484" s="49">
        <f>AJ484</f>
        <v>0</v>
      </c>
      <c r="BD484" s="49">
        <f>IF(B484="x",1,0)</f>
        <v>0</v>
      </c>
      <c r="BE484" s="49">
        <f t="shared" si="313"/>
        <v>0</v>
      </c>
      <c r="BF484" s="49">
        <f>AQ484</f>
        <v>0</v>
      </c>
      <c r="BG484" s="49">
        <f>AM484</f>
        <v>0</v>
      </c>
      <c r="BI484" s="134">
        <f>AD484</f>
        <v>0</v>
      </c>
      <c r="BJ484" s="134">
        <f>AM484</f>
        <v>0</v>
      </c>
      <c r="BK484" s="134">
        <f>BJ484+BI484</f>
        <v>0</v>
      </c>
    </row>
    <row r="485" spans="1:63" hidden="1">
      <c r="A485" s="187"/>
      <c r="B485" s="2321"/>
      <c r="C485" s="2322"/>
      <c r="D485" s="2334"/>
      <c r="E485" s="2334"/>
      <c r="F485" s="2334"/>
      <c r="G485" s="2334"/>
      <c r="H485" s="2334"/>
      <c r="I485" s="2334"/>
      <c r="J485" s="2334"/>
      <c r="K485" s="2334"/>
      <c r="L485" s="2334"/>
      <c r="M485" s="2334"/>
      <c r="N485" s="2334"/>
      <c r="O485" s="2334"/>
      <c r="P485" s="2324"/>
      <c r="Q485" s="2324"/>
      <c r="R485" s="2325"/>
      <c r="S485" s="2324"/>
      <c r="T485" s="2324"/>
      <c r="U485" s="2326"/>
      <c r="V485" s="2327"/>
      <c r="W485" s="2327"/>
      <c r="X485" s="2327"/>
      <c r="Y485" s="2327"/>
      <c r="Z485" s="2327"/>
      <c r="AA485" s="2328"/>
      <c r="AB485" s="2329"/>
      <c r="AC485" s="2326"/>
      <c r="AD485" s="2330">
        <f>((P485*U485)-AM485)</f>
        <v>0</v>
      </c>
      <c r="AE485" s="2330"/>
      <c r="AF485" s="2330"/>
      <c r="AG485" s="2330">
        <f t="shared" si="307"/>
        <v>0</v>
      </c>
      <c r="AH485" s="2330"/>
      <c r="AI485" s="2330"/>
      <c r="AJ485" s="2330">
        <f>P485*AA485</f>
        <v>0</v>
      </c>
      <c r="AK485" s="2330"/>
      <c r="AL485" s="2330"/>
      <c r="AM485" s="2331">
        <f t="shared" si="301"/>
        <v>0</v>
      </c>
      <c r="AN485" s="2331"/>
      <c r="AO485" s="2331"/>
      <c r="AP485" s="2331"/>
      <c r="AQ485" s="2332">
        <f>SUM(AD485:AL485)</f>
        <v>0</v>
      </c>
      <c r="AR485" s="2332"/>
      <c r="AS485" s="2332"/>
      <c r="AT485" s="2332">
        <f>SUM(AD485:AL485)</f>
        <v>0</v>
      </c>
      <c r="AV485" s="151" t="str">
        <f t="shared" si="296"/>
        <v>EXTERIOR DOORS &amp; WINDOWS</v>
      </c>
      <c r="AW485" s="681"/>
      <c r="AX485" s="230"/>
      <c r="AY485" s="230"/>
      <c r="AZ485" s="679"/>
      <c r="BA485" s="49">
        <f>AD485</f>
        <v>0</v>
      </c>
      <c r="BB485" s="49">
        <f>AG485</f>
        <v>0</v>
      </c>
      <c r="BC485" s="49">
        <f>AJ485</f>
        <v>0</v>
      </c>
      <c r="BD485" s="49">
        <f>IF(B485="x",1,0)</f>
        <v>0</v>
      </c>
      <c r="BE485" s="49">
        <f t="shared" si="313"/>
        <v>0</v>
      </c>
      <c r="BF485" s="49">
        <f>AQ485</f>
        <v>0</v>
      </c>
      <c r="BG485" s="49">
        <f>AM485</f>
        <v>0</v>
      </c>
      <c r="BI485" s="134">
        <f>AD485</f>
        <v>0</v>
      </c>
      <c r="BJ485" s="134">
        <f>AM485</f>
        <v>0</v>
      </c>
      <c r="BK485" s="134">
        <f>BJ485+BI485</f>
        <v>0</v>
      </c>
    </row>
    <row r="486" spans="1:63" hidden="1">
      <c r="A486" s="187"/>
      <c r="B486" s="2321"/>
      <c r="C486" s="2322"/>
      <c r="D486" s="2334"/>
      <c r="E486" s="2334"/>
      <c r="F486" s="2334"/>
      <c r="G486" s="2334"/>
      <c r="H486" s="2334"/>
      <c r="I486" s="2334"/>
      <c r="J486" s="2334"/>
      <c r="K486" s="2334"/>
      <c r="L486" s="2334"/>
      <c r="M486" s="2334"/>
      <c r="N486" s="2334"/>
      <c r="O486" s="2334"/>
      <c r="P486" s="2324"/>
      <c r="Q486" s="2324"/>
      <c r="R486" s="2325"/>
      <c r="S486" s="2324"/>
      <c r="T486" s="2324"/>
      <c r="U486" s="2326"/>
      <c r="V486" s="2327"/>
      <c r="W486" s="2327"/>
      <c r="X486" s="2327"/>
      <c r="Y486" s="2327"/>
      <c r="Z486" s="2327"/>
      <c r="AA486" s="2328"/>
      <c r="AB486" s="2329"/>
      <c r="AC486" s="2326"/>
      <c r="AD486" s="2330">
        <f t="shared" si="299"/>
        <v>0</v>
      </c>
      <c r="AE486" s="2330"/>
      <c r="AF486" s="2330"/>
      <c r="AG486" s="2330">
        <f t="shared" si="307"/>
        <v>0</v>
      </c>
      <c r="AH486" s="2330"/>
      <c r="AI486" s="2330"/>
      <c r="AJ486" s="2330">
        <f t="shared" si="300"/>
        <v>0</v>
      </c>
      <c r="AK486" s="2330"/>
      <c r="AL486" s="2330"/>
      <c r="AM486" s="2331">
        <f t="shared" si="301"/>
        <v>0</v>
      </c>
      <c r="AN486" s="2331"/>
      <c r="AO486" s="2331"/>
      <c r="AP486" s="2331"/>
      <c r="AQ486" s="2332">
        <f t="shared" si="302"/>
        <v>0</v>
      </c>
      <c r="AR486" s="2332"/>
      <c r="AS486" s="2332"/>
      <c r="AT486" s="2332">
        <f t="shared" si="303"/>
        <v>0</v>
      </c>
      <c r="AV486" s="151" t="str">
        <f t="shared" si="296"/>
        <v>EXTERIOR DOORS &amp; WINDOWS</v>
      </c>
      <c r="AW486" s="681"/>
      <c r="AX486" s="230"/>
      <c r="AY486" s="230"/>
      <c r="AZ486" s="679"/>
      <c r="BA486" s="49">
        <f t="shared" si="304"/>
        <v>0</v>
      </c>
      <c r="BB486" s="49">
        <f t="shared" si="308"/>
        <v>0</v>
      </c>
      <c r="BC486" s="49">
        <f t="shared" si="309"/>
        <v>0</v>
      </c>
      <c r="BD486" s="49">
        <f t="shared" si="305"/>
        <v>0</v>
      </c>
      <c r="BE486" s="49">
        <f t="shared" si="313"/>
        <v>0</v>
      </c>
      <c r="BF486" s="49">
        <f t="shared" si="297"/>
        <v>0</v>
      </c>
      <c r="BG486" s="49">
        <f t="shared" si="298"/>
        <v>0</v>
      </c>
      <c r="BI486" s="134">
        <f t="shared" si="311"/>
        <v>0</v>
      </c>
      <c r="BJ486" s="134">
        <f t="shared" si="306"/>
        <v>0</v>
      </c>
      <c r="BK486" s="134">
        <f t="shared" si="312"/>
        <v>0</v>
      </c>
    </row>
    <row r="487" spans="1:63" hidden="1">
      <c r="A487" s="187"/>
      <c r="B487" s="2321"/>
      <c r="C487" s="2322"/>
      <c r="D487" s="2334"/>
      <c r="E487" s="2334"/>
      <c r="F487" s="2334"/>
      <c r="G487" s="2334"/>
      <c r="H487" s="2334"/>
      <c r="I487" s="2334"/>
      <c r="J487" s="2334"/>
      <c r="K487" s="2334"/>
      <c r="L487" s="2334"/>
      <c r="M487" s="2334"/>
      <c r="N487" s="2334"/>
      <c r="O487" s="2334"/>
      <c r="P487" s="2324"/>
      <c r="Q487" s="2324"/>
      <c r="R487" s="2325"/>
      <c r="S487" s="2324"/>
      <c r="T487" s="2324"/>
      <c r="U487" s="2326"/>
      <c r="V487" s="2327"/>
      <c r="W487" s="2327"/>
      <c r="X487" s="2327"/>
      <c r="Y487" s="2327"/>
      <c r="Z487" s="2327"/>
      <c r="AA487" s="2328"/>
      <c r="AB487" s="2329"/>
      <c r="AC487" s="2326"/>
      <c r="AD487" s="2330">
        <f t="shared" si="299"/>
        <v>0</v>
      </c>
      <c r="AE487" s="2330"/>
      <c r="AF487" s="2330"/>
      <c r="AG487" s="2330">
        <f t="shared" si="307"/>
        <v>0</v>
      </c>
      <c r="AH487" s="2330"/>
      <c r="AI487" s="2330"/>
      <c r="AJ487" s="2330">
        <f t="shared" si="300"/>
        <v>0</v>
      </c>
      <c r="AK487" s="2330"/>
      <c r="AL487" s="2330"/>
      <c r="AM487" s="2331">
        <f t="shared" si="301"/>
        <v>0</v>
      </c>
      <c r="AN487" s="2331"/>
      <c r="AO487" s="2331"/>
      <c r="AP487" s="2331"/>
      <c r="AQ487" s="2332">
        <f t="shared" si="302"/>
        <v>0</v>
      </c>
      <c r="AR487" s="2332"/>
      <c r="AS487" s="2332"/>
      <c r="AT487" s="2332">
        <f t="shared" si="303"/>
        <v>0</v>
      </c>
      <c r="AV487" s="151" t="str">
        <f t="shared" si="296"/>
        <v>EXTERIOR DOORS &amp; WINDOWS</v>
      </c>
      <c r="AW487" s="681"/>
      <c r="AX487" s="230"/>
      <c r="AY487" s="230"/>
      <c r="AZ487" s="679"/>
      <c r="BA487" s="49">
        <f t="shared" si="304"/>
        <v>0</v>
      </c>
      <c r="BB487" s="49">
        <f t="shared" si="308"/>
        <v>0</v>
      </c>
      <c r="BC487" s="49">
        <f t="shared" si="309"/>
        <v>0</v>
      </c>
      <c r="BD487" s="49">
        <f t="shared" si="305"/>
        <v>0</v>
      </c>
      <c r="BE487" s="49">
        <f t="shared" si="313"/>
        <v>0</v>
      </c>
      <c r="BF487" s="49">
        <f t="shared" si="297"/>
        <v>0</v>
      </c>
      <c r="BG487" s="49">
        <f t="shared" si="298"/>
        <v>0</v>
      </c>
      <c r="BI487" s="134">
        <f t="shared" si="311"/>
        <v>0</v>
      </c>
      <c r="BJ487" s="134">
        <f t="shared" si="306"/>
        <v>0</v>
      </c>
      <c r="BK487" s="134">
        <f t="shared" si="312"/>
        <v>0</v>
      </c>
    </row>
    <row r="488" spans="1:63" ht="5.0999999999999996" hidden="1" customHeight="1">
      <c r="A488" s="187"/>
      <c r="B488" s="64"/>
      <c r="C488" s="64"/>
      <c r="D488" s="885"/>
      <c r="E488" s="885"/>
      <c r="F488" s="885"/>
      <c r="G488" s="885"/>
      <c r="H488" s="885"/>
      <c r="I488" s="885"/>
      <c r="J488" s="885"/>
      <c r="K488" s="885"/>
      <c r="L488" s="885"/>
      <c r="M488" s="885"/>
      <c r="N488" s="885"/>
      <c r="O488" s="885"/>
      <c r="P488" s="66"/>
      <c r="Q488" s="66"/>
      <c r="R488" s="66"/>
      <c r="S488" s="66"/>
      <c r="T488" s="66"/>
      <c r="U488" s="67"/>
      <c r="V488" s="67"/>
      <c r="W488" s="67"/>
      <c r="X488" s="67"/>
      <c r="Y488" s="67"/>
      <c r="Z488" s="67"/>
      <c r="AA488" s="67"/>
      <c r="AB488" s="67"/>
      <c r="AC488" s="67"/>
      <c r="AD488" s="68"/>
      <c r="AE488" s="68"/>
      <c r="AF488" s="68"/>
      <c r="AG488" s="68"/>
      <c r="AH488" s="68"/>
      <c r="AI488" s="68"/>
      <c r="AJ488" s="68"/>
      <c r="AK488" s="68"/>
      <c r="AL488" s="68"/>
      <c r="AM488" s="69"/>
      <c r="AN488" s="69"/>
      <c r="AO488" s="69"/>
      <c r="AP488" s="69"/>
      <c r="AQ488" s="661"/>
      <c r="AR488" s="661"/>
      <c r="AS488" s="661"/>
      <c r="AT488" s="661"/>
      <c r="AV488" s="369" t="str">
        <f t="shared" si="296"/>
        <v>EXTERIOR DOORS &amp; WINDOWS</v>
      </c>
      <c r="AW488" s="696"/>
      <c r="AX488" s="696"/>
      <c r="AY488" s="696"/>
      <c r="AZ488" s="369"/>
      <c r="BA488" s="75">
        <f>BA447</f>
        <v>0</v>
      </c>
      <c r="BB488" s="75">
        <f>BB447</f>
        <v>0</v>
      </c>
      <c r="BC488" s="75">
        <f>BC447</f>
        <v>0</v>
      </c>
      <c r="BD488" s="75">
        <f>BD447</f>
        <v>0</v>
      </c>
      <c r="BE488" s="75">
        <f>BE447</f>
        <v>0</v>
      </c>
      <c r="BF488" s="75"/>
      <c r="BG488" s="75"/>
      <c r="BI488" s="75"/>
      <c r="BJ488" s="75"/>
      <c r="BK488" s="75"/>
    </row>
    <row r="489" spans="1:63" ht="21.6" hidden="1" customHeight="1">
      <c r="A489" s="187"/>
      <c r="B489" s="2341"/>
      <c r="C489" s="2341"/>
      <c r="D489" s="886"/>
      <c r="E489" s="886"/>
      <c r="F489" s="886"/>
      <c r="G489" s="886"/>
      <c r="H489" s="886"/>
      <c r="I489" s="886"/>
      <c r="J489" s="886"/>
      <c r="K489" s="886"/>
      <c r="L489" s="886"/>
      <c r="M489" s="886"/>
      <c r="N489" s="886"/>
      <c r="O489" s="886"/>
      <c r="P489" s="37"/>
      <c r="Q489" s="37"/>
      <c r="R489" s="37"/>
      <c r="S489" s="37"/>
      <c r="T489" s="37"/>
      <c r="U489" s="37"/>
      <c r="V489" s="37"/>
      <c r="W489" s="37"/>
      <c r="X489" s="37"/>
      <c r="Y489" s="37"/>
      <c r="Z489" s="37"/>
      <c r="AA489" s="37"/>
      <c r="AB489" s="37"/>
      <c r="AC489" s="370" t="str">
        <f>CONCATENATE(D447," ","TOTAL")</f>
        <v>EXTERIOR DOORS &amp; WINDOWS TOTAL</v>
      </c>
      <c r="AD489" s="2342">
        <f>SUBTOTAL(9,AD448:AD488)</f>
        <v>0</v>
      </c>
      <c r="AE489" s="2342"/>
      <c r="AF489" s="2342"/>
      <c r="AG489" s="2342">
        <f>SUBTOTAL(9,AG448:AG488)</f>
        <v>0</v>
      </c>
      <c r="AH489" s="2342"/>
      <c r="AI489" s="2342"/>
      <c r="AJ489" s="2342">
        <f>SUBTOTAL(9,AJ448:AJ488)</f>
        <v>0</v>
      </c>
      <c r="AK489" s="2342"/>
      <c r="AL489" s="2342"/>
      <c r="AM489" s="2342">
        <f>SUBTOTAL(9,AM448:AM488)</f>
        <v>0</v>
      </c>
      <c r="AN489" s="2342"/>
      <c r="AO489" s="2342"/>
      <c r="AP489" s="2342"/>
      <c r="AQ489" s="2336">
        <f>SUBTOTAL(9,AQ448:AQ488)</f>
        <v>0</v>
      </c>
      <c r="AR489" s="2336"/>
      <c r="AS489" s="2336"/>
      <c r="AT489" s="2336" t="e">
        <f>SUM(AT445:AT480)</f>
        <v>#REF!</v>
      </c>
      <c r="AV489" s="151" t="str">
        <f t="shared" si="296"/>
        <v>EXTERIOR DOORS &amp; WINDOWS</v>
      </c>
      <c r="AW489" s="682"/>
      <c r="AX489" s="695"/>
      <c r="AY489" s="695"/>
      <c r="AZ489" s="274"/>
      <c r="BA489" s="74">
        <f>BA447</f>
        <v>0</v>
      </c>
      <c r="BB489" s="74">
        <f>BB447</f>
        <v>0</v>
      </c>
      <c r="BC489" s="74">
        <f>BC447</f>
        <v>0</v>
      </c>
      <c r="BD489" s="74">
        <f>BD447</f>
        <v>0</v>
      </c>
      <c r="BE489" s="74">
        <f>BE447</f>
        <v>0</v>
      </c>
      <c r="BF489" s="74">
        <f>SUM(BF447:BF488)</f>
        <v>0</v>
      </c>
      <c r="BG489" s="49">
        <f>SUM(BG447:BG488)</f>
        <v>0</v>
      </c>
      <c r="BI489" s="74">
        <f>SUM(BI448:BI488)</f>
        <v>0</v>
      </c>
      <c r="BJ489" s="74">
        <f>SUM(BJ448:BJ488)</f>
        <v>0</v>
      </c>
      <c r="BK489" s="49">
        <f>SUM(BK448:BK488)</f>
        <v>0</v>
      </c>
    </row>
    <row r="490" spans="1:63" ht="5.0999999999999996" hidden="1" customHeight="1">
      <c r="A490" s="187"/>
      <c r="B490" s="64"/>
      <c r="C490" s="64"/>
      <c r="D490" s="885"/>
      <c r="E490" s="885"/>
      <c r="F490" s="885"/>
      <c r="G490" s="885"/>
      <c r="H490" s="885"/>
      <c r="I490" s="885"/>
      <c r="J490" s="885"/>
      <c r="K490" s="885"/>
      <c r="L490" s="885"/>
      <c r="M490" s="885"/>
      <c r="N490" s="885"/>
      <c r="O490" s="885"/>
      <c r="P490" s="66"/>
      <c r="Q490" s="66"/>
      <c r="R490" s="66"/>
      <c r="S490" s="66"/>
      <c r="T490" s="66"/>
      <c r="U490" s="67"/>
      <c r="V490" s="67"/>
      <c r="W490" s="67"/>
      <c r="X490" s="67"/>
      <c r="Y490" s="67"/>
      <c r="Z490" s="67"/>
      <c r="AA490" s="67"/>
      <c r="AB490" s="67"/>
      <c r="AC490" s="67"/>
      <c r="AD490" s="68"/>
      <c r="AE490" s="68"/>
      <c r="AF490" s="68"/>
      <c r="AG490" s="68"/>
      <c r="AH490" s="68"/>
      <c r="AI490" s="68"/>
      <c r="AJ490" s="68"/>
      <c r="AK490" s="68"/>
      <c r="AL490" s="68"/>
      <c r="AM490" s="69"/>
      <c r="AN490" s="69"/>
      <c r="AO490" s="69"/>
      <c r="AP490" s="69"/>
      <c r="AQ490" s="661"/>
      <c r="AR490" s="661"/>
      <c r="AS490" s="661"/>
      <c r="AT490" s="661"/>
      <c r="AV490" s="369" t="str">
        <f t="shared" si="296"/>
        <v>EXTERIOR DOORS &amp; WINDOWS</v>
      </c>
      <c r="AW490" s="696"/>
      <c r="AX490" s="696"/>
      <c r="AY490" s="696"/>
      <c r="AZ490" s="369"/>
      <c r="BA490" s="75">
        <f>BA447</f>
        <v>0</v>
      </c>
      <c r="BB490" s="75">
        <f>BB447</f>
        <v>0</v>
      </c>
      <c r="BC490" s="75">
        <f>BC447</f>
        <v>0</v>
      </c>
      <c r="BD490" s="75">
        <f>BD447</f>
        <v>0</v>
      </c>
      <c r="BE490" s="75">
        <f>BE447</f>
        <v>0</v>
      </c>
      <c r="BF490" s="75"/>
      <c r="BG490" s="75"/>
      <c r="BI490" s="75"/>
      <c r="BJ490" s="75"/>
      <c r="BK490" s="75"/>
    </row>
    <row r="491" spans="1:63" ht="9.6" hidden="1" customHeight="1">
      <c r="A491" s="187"/>
      <c r="B491" s="71"/>
      <c r="C491" s="71"/>
      <c r="D491" s="887"/>
      <c r="E491" s="887"/>
      <c r="F491" s="887"/>
      <c r="G491" s="887"/>
      <c r="H491" s="887"/>
      <c r="I491" s="887"/>
      <c r="J491" s="887"/>
      <c r="K491" s="887"/>
      <c r="L491" s="887"/>
      <c r="M491" s="887"/>
      <c r="N491" s="887"/>
      <c r="O491" s="887"/>
      <c r="P491" s="72"/>
      <c r="Q491" s="72"/>
      <c r="R491" s="72"/>
      <c r="S491" s="72"/>
      <c r="T491" s="72"/>
      <c r="U491" s="72"/>
      <c r="V491" s="72"/>
      <c r="W491" s="72"/>
      <c r="X491" s="72"/>
      <c r="Y491" s="72"/>
      <c r="Z491" s="72"/>
      <c r="AA491" s="72"/>
      <c r="AB491" s="72"/>
      <c r="AC491" s="73"/>
      <c r="AD491" s="662"/>
      <c r="AE491" s="662"/>
      <c r="AF491" s="662"/>
      <c r="AG491" s="662"/>
      <c r="AH491" s="662"/>
      <c r="AI491" s="662"/>
      <c r="AJ491" s="662"/>
      <c r="AK491" s="662"/>
      <c r="AL491" s="662"/>
      <c r="AM491" s="662"/>
      <c r="AN491" s="662"/>
      <c r="AO491" s="662"/>
      <c r="AP491" s="662"/>
      <c r="AQ491" s="663"/>
      <c r="AR491" s="663"/>
      <c r="AS491" s="663"/>
      <c r="AT491" s="663"/>
      <c r="AV491" s="371" t="str">
        <f t="shared" si="296"/>
        <v>EXTERIOR DOORS &amp; WINDOWS</v>
      </c>
      <c r="AW491" s="699"/>
      <c r="AX491" s="801"/>
      <c r="AY491" s="801"/>
      <c r="AZ491" s="371"/>
      <c r="BA491" s="125">
        <f>BA489</f>
        <v>0</v>
      </c>
      <c r="BB491" s="125">
        <f t="shared" ref="BB491:BG491" si="327">BB489</f>
        <v>0</v>
      </c>
      <c r="BC491" s="125">
        <f>BC489</f>
        <v>0</v>
      </c>
      <c r="BD491" s="125">
        <f t="shared" si="327"/>
        <v>0</v>
      </c>
      <c r="BE491" s="125">
        <f t="shared" si="327"/>
        <v>0</v>
      </c>
      <c r="BF491" s="125">
        <f t="shared" si="327"/>
        <v>0</v>
      </c>
      <c r="BG491" s="125">
        <f t="shared" si="327"/>
        <v>0</v>
      </c>
      <c r="BI491" s="125"/>
      <c r="BJ491" s="125"/>
      <c r="BK491" s="125"/>
    </row>
    <row r="492" spans="1:63" ht="21.6" customHeight="1">
      <c r="A492" s="186" t="s">
        <v>952</v>
      </c>
      <c r="B492" s="2343"/>
      <c r="C492" s="2344"/>
      <c r="D492" s="2387" t="str">
        <f>T(Y76)</f>
        <v>GARAGE DOORS</v>
      </c>
      <c r="E492" s="2388"/>
      <c r="F492" s="2388"/>
      <c r="G492" s="2388"/>
      <c r="H492" s="2388"/>
      <c r="I492" s="2388"/>
      <c r="J492" s="2388"/>
      <c r="K492" s="2388"/>
      <c r="L492" s="2388"/>
      <c r="M492" s="2388"/>
      <c r="N492" s="2388"/>
      <c r="O492" s="2389"/>
      <c r="P492" s="2345"/>
      <c r="Q492" s="2345"/>
      <c r="R492" s="2345"/>
      <c r="S492" s="2346"/>
      <c r="T492" s="2347"/>
      <c r="U492" s="2348"/>
      <c r="V492" s="2348"/>
      <c r="W492" s="2348"/>
      <c r="X492" s="2348"/>
      <c r="Y492" s="2348"/>
      <c r="Z492" s="2348"/>
      <c r="AA492" s="2348"/>
      <c r="AB492" s="2348"/>
      <c r="AC492" s="2348"/>
      <c r="AD492" s="2342">
        <f>AD534</f>
        <v>0</v>
      </c>
      <c r="AE492" s="2342"/>
      <c r="AF492" s="2342"/>
      <c r="AG492" s="2342">
        <f>AG534</f>
        <v>0</v>
      </c>
      <c r="AH492" s="2342"/>
      <c r="AI492" s="2342"/>
      <c r="AJ492" s="2342">
        <f>AJ534</f>
        <v>0</v>
      </c>
      <c r="AK492" s="2342"/>
      <c r="AL492" s="2342"/>
      <c r="AM492" s="2342">
        <f>AM534</f>
        <v>0</v>
      </c>
      <c r="AN492" s="2342"/>
      <c r="AO492" s="2342"/>
      <c r="AP492" s="2342"/>
      <c r="AQ492" s="2336">
        <f>AQ534</f>
        <v>0</v>
      </c>
      <c r="AR492" s="2336"/>
      <c r="AS492" s="2336"/>
      <c r="AT492" s="2336" t="e">
        <f>SUM(#REF!)</f>
        <v>#REF!</v>
      </c>
      <c r="AV492" s="151" t="str">
        <f t="shared" ref="AV492:AV536" si="328">$D$492</f>
        <v>GARAGE DOORS</v>
      </c>
      <c r="AW492" s="700"/>
      <c r="AX492" s="700"/>
      <c r="AY492" s="700"/>
      <c r="AZ492" s="701"/>
      <c r="BA492" s="49">
        <f>SUM(BA493:BA532)</f>
        <v>0</v>
      </c>
      <c r="BB492" s="49">
        <f>SUM(BB493:BB532)</f>
        <v>0</v>
      </c>
      <c r="BC492" s="49">
        <f>SUM(BC493:BC532)</f>
        <v>0</v>
      </c>
      <c r="BD492" s="49">
        <f>SUM(BD493:BD532)</f>
        <v>0</v>
      </c>
      <c r="BE492" s="49">
        <f>SUM(BE493:BE532)</f>
        <v>0</v>
      </c>
      <c r="BF492" s="49">
        <f t="shared" ref="BF492:BF512" si="329">AQ492</f>
        <v>0</v>
      </c>
      <c r="BG492" s="49">
        <f t="shared" ref="BG492:BG512" si="330">AM492</f>
        <v>0</v>
      </c>
      <c r="BI492" s="134">
        <f>AD492</f>
        <v>0</v>
      </c>
      <c r="BJ492" s="134">
        <f>AM492</f>
        <v>0</v>
      </c>
      <c r="BK492" s="134">
        <f>BJ492+BI492</f>
        <v>0</v>
      </c>
    </row>
    <row r="493" spans="1:63" hidden="1">
      <c r="A493" s="187"/>
      <c r="B493" s="2321"/>
      <c r="C493" s="2322"/>
      <c r="D493" s="2338" t="s">
        <v>739</v>
      </c>
      <c r="E493" s="2338"/>
      <c r="F493" s="2338"/>
      <c r="G493" s="2338"/>
      <c r="H493" s="2338"/>
      <c r="I493" s="2338"/>
      <c r="J493" s="2338"/>
      <c r="K493" s="2338"/>
      <c r="L493" s="2338"/>
      <c r="M493" s="2338"/>
      <c r="N493" s="2338"/>
      <c r="O493" s="2338"/>
      <c r="P493" s="2324"/>
      <c r="Q493" s="2324"/>
      <c r="R493" s="2325"/>
      <c r="S493" s="2324" t="s">
        <v>3</v>
      </c>
      <c r="T493" s="2324" t="s">
        <v>2</v>
      </c>
      <c r="U493" s="2326"/>
      <c r="V493" s="2327"/>
      <c r="W493" s="2327"/>
      <c r="X493" s="2327"/>
      <c r="Y493" s="2327"/>
      <c r="Z493" s="2327"/>
      <c r="AA493" s="2328"/>
      <c r="AB493" s="2329"/>
      <c r="AC493" s="2326"/>
      <c r="AD493" s="2330">
        <f t="shared" ref="AD493:AD512" si="331">((P493*U493)-AM493)</f>
        <v>0</v>
      </c>
      <c r="AE493" s="2330"/>
      <c r="AF493" s="2330"/>
      <c r="AG493" s="2330">
        <f>P493*X493*(1+$Y$85)</f>
        <v>0</v>
      </c>
      <c r="AH493" s="2330"/>
      <c r="AI493" s="2330"/>
      <c r="AJ493" s="2330">
        <f t="shared" ref="AJ493:AJ512" si="332">P493*AA493</f>
        <v>0</v>
      </c>
      <c r="AK493" s="2330"/>
      <c r="AL493" s="2330"/>
      <c r="AM493" s="2331">
        <f t="shared" ref="AM493:AM532" si="333">IF($B493="x",$P493*$U493,0)</f>
        <v>0</v>
      </c>
      <c r="AN493" s="2331"/>
      <c r="AO493" s="2331"/>
      <c r="AP493" s="2331"/>
      <c r="AQ493" s="2332">
        <f t="shared" ref="AQ493:AQ512" si="334">SUM(AD493:AL493)</f>
        <v>0</v>
      </c>
      <c r="AR493" s="2332"/>
      <c r="AS493" s="2332"/>
      <c r="AT493" s="2332">
        <f t="shared" ref="AT493:AT512" si="335">SUM(AD493:AL493)</f>
        <v>0</v>
      </c>
      <c r="AV493" s="151" t="str">
        <f t="shared" si="328"/>
        <v>GARAGE DOORS</v>
      </c>
      <c r="AW493" s="681"/>
      <c r="AX493" s="230"/>
      <c r="AY493" s="230"/>
      <c r="AZ493" s="679"/>
      <c r="BA493" s="49">
        <f t="shared" ref="BA493:BA512" si="336">AD493</f>
        <v>0</v>
      </c>
      <c r="BB493" s="49">
        <f>AG493</f>
        <v>0</v>
      </c>
      <c r="BC493" s="49">
        <f>AJ493</f>
        <v>0</v>
      </c>
      <c r="BD493" s="49">
        <f t="shared" ref="BD493:BD512" si="337">IF(B493="x",1,0)</f>
        <v>0</v>
      </c>
      <c r="BE493" s="49">
        <f>SUM(BA493:BC493)</f>
        <v>0</v>
      </c>
      <c r="BF493" s="49">
        <f t="shared" si="329"/>
        <v>0</v>
      </c>
      <c r="BG493" s="49">
        <f t="shared" si="330"/>
        <v>0</v>
      </c>
      <c r="BI493" s="134">
        <f>AD493</f>
        <v>0</v>
      </c>
      <c r="BJ493" s="134">
        <f t="shared" ref="BJ493:BJ512" si="338">AM493</f>
        <v>0</v>
      </c>
      <c r="BK493" s="134">
        <f>BJ493+BI493</f>
        <v>0</v>
      </c>
    </row>
    <row r="494" spans="1:63" hidden="1">
      <c r="A494" s="187"/>
      <c r="B494" s="2321"/>
      <c r="C494" s="2322"/>
      <c r="D494" s="2334" t="s">
        <v>428</v>
      </c>
      <c r="E494" s="2334"/>
      <c r="F494" s="2334"/>
      <c r="G494" s="2334"/>
      <c r="H494" s="2334"/>
      <c r="I494" s="2334"/>
      <c r="J494" s="2334"/>
      <c r="K494" s="2334"/>
      <c r="L494" s="2334"/>
      <c r="M494" s="2334"/>
      <c r="N494" s="2334"/>
      <c r="O494" s="2334"/>
      <c r="P494" s="2324"/>
      <c r="Q494" s="2324"/>
      <c r="R494" s="2325"/>
      <c r="S494" s="2324" t="s">
        <v>2</v>
      </c>
      <c r="T494" s="2324" t="s">
        <v>2</v>
      </c>
      <c r="U494" s="2326">
        <v>200</v>
      </c>
      <c r="V494" s="2327"/>
      <c r="W494" s="2327"/>
      <c r="X494" s="2327">
        <v>450</v>
      </c>
      <c r="Y494" s="2327"/>
      <c r="Z494" s="2327">
        <v>400</v>
      </c>
      <c r="AA494" s="2328"/>
      <c r="AB494" s="2329"/>
      <c r="AC494" s="2326"/>
      <c r="AD494" s="2330">
        <f t="shared" si="331"/>
        <v>0</v>
      </c>
      <c r="AE494" s="2330"/>
      <c r="AF494" s="2330"/>
      <c r="AG494" s="2330">
        <f t="shared" ref="AG494:AG532" si="339">P494*X494*(1+$Y$85)</f>
        <v>0</v>
      </c>
      <c r="AH494" s="2330"/>
      <c r="AI494" s="2330"/>
      <c r="AJ494" s="2330">
        <f t="shared" si="332"/>
        <v>0</v>
      </c>
      <c r="AK494" s="2330"/>
      <c r="AL494" s="2330"/>
      <c r="AM494" s="2331">
        <f t="shared" si="333"/>
        <v>0</v>
      </c>
      <c r="AN494" s="2331"/>
      <c r="AO494" s="2331"/>
      <c r="AP494" s="2331"/>
      <c r="AQ494" s="2332">
        <f t="shared" si="334"/>
        <v>0</v>
      </c>
      <c r="AR494" s="2332"/>
      <c r="AS494" s="2332"/>
      <c r="AT494" s="2332">
        <f t="shared" si="335"/>
        <v>0</v>
      </c>
      <c r="AV494" s="151" t="str">
        <f t="shared" si="328"/>
        <v>GARAGE DOORS</v>
      </c>
      <c r="AW494" s="681"/>
      <c r="AX494" s="230"/>
      <c r="AY494" s="230"/>
      <c r="AZ494" s="679"/>
      <c r="BA494" s="49">
        <f t="shared" si="336"/>
        <v>0</v>
      </c>
      <c r="BB494" s="49">
        <f t="shared" ref="BB494:BB512" si="340">AG494</f>
        <v>0</v>
      </c>
      <c r="BC494" s="49">
        <f t="shared" ref="BC494:BC512" si="341">AJ494</f>
        <v>0</v>
      </c>
      <c r="BD494" s="49">
        <f t="shared" si="337"/>
        <v>0</v>
      </c>
      <c r="BE494" s="49">
        <f t="shared" ref="BE494:BE510" si="342">SUM(BA494:BC494)</f>
        <v>0</v>
      </c>
      <c r="BF494" s="49">
        <f t="shared" si="329"/>
        <v>0</v>
      </c>
      <c r="BG494" s="49">
        <f t="shared" si="330"/>
        <v>0</v>
      </c>
      <c r="BI494" s="134">
        <f t="shared" ref="BI494:BI512" si="343">AD494</f>
        <v>0</v>
      </c>
      <c r="BJ494" s="134">
        <f t="shared" si="338"/>
        <v>0</v>
      </c>
      <c r="BK494" s="134">
        <f t="shared" ref="BK494:BK512" si="344">BJ494+BI494</f>
        <v>0</v>
      </c>
    </row>
    <row r="495" spans="1:63" hidden="1">
      <c r="A495" s="187"/>
      <c r="B495" s="2333"/>
      <c r="C495" s="2333"/>
      <c r="D495" s="2334" t="s">
        <v>427</v>
      </c>
      <c r="E495" s="2334"/>
      <c r="F495" s="2334"/>
      <c r="G495" s="2334"/>
      <c r="H495" s="2334"/>
      <c r="I495" s="2334"/>
      <c r="J495" s="2334"/>
      <c r="K495" s="2334"/>
      <c r="L495" s="2334"/>
      <c r="M495" s="2334"/>
      <c r="N495" s="2334"/>
      <c r="O495" s="2334"/>
      <c r="P495" s="2324"/>
      <c r="Q495" s="2324"/>
      <c r="R495" s="2325"/>
      <c r="S495" s="2324" t="s">
        <v>2</v>
      </c>
      <c r="T495" s="2324" t="s">
        <v>2</v>
      </c>
      <c r="U495" s="2326">
        <v>300</v>
      </c>
      <c r="V495" s="2327"/>
      <c r="W495" s="2327"/>
      <c r="X495" s="2327">
        <v>750</v>
      </c>
      <c r="Y495" s="2327"/>
      <c r="Z495" s="2327">
        <v>750</v>
      </c>
      <c r="AA495" s="2328"/>
      <c r="AB495" s="2329"/>
      <c r="AC495" s="2326"/>
      <c r="AD495" s="2330">
        <f t="shared" si="331"/>
        <v>0</v>
      </c>
      <c r="AE495" s="2330"/>
      <c r="AF495" s="2330"/>
      <c r="AG495" s="2330">
        <f t="shared" si="339"/>
        <v>0</v>
      </c>
      <c r="AH495" s="2330"/>
      <c r="AI495" s="2330"/>
      <c r="AJ495" s="2330">
        <f t="shared" si="332"/>
        <v>0</v>
      </c>
      <c r="AK495" s="2330"/>
      <c r="AL495" s="2330"/>
      <c r="AM495" s="2331">
        <f t="shared" si="333"/>
        <v>0</v>
      </c>
      <c r="AN495" s="2331"/>
      <c r="AO495" s="2331"/>
      <c r="AP495" s="2331"/>
      <c r="AQ495" s="2332">
        <f t="shared" si="334"/>
        <v>0</v>
      </c>
      <c r="AR495" s="2332"/>
      <c r="AS495" s="2332"/>
      <c r="AT495" s="2332">
        <f t="shared" si="335"/>
        <v>0</v>
      </c>
      <c r="AV495" s="151" t="str">
        <f t="shared" si="328"/>
        <v>GARAGE DOORS</v>
      </c>
      <c r="AW495" s="681"/>
      <c r="AX495" s="230"/>
      <c r="AY495" s="230"/>
      <c r="AZ495" s="679"/>
      <c r="BA495" s="49">
        <f t="shared" si="336"/>
        <v>0</v>
      </c>
      <c r="BB495" s="49">
        <f t="shared" si="340"/>
        <v>0</v>
      </c>
      <c r="BC495" s="49">
        <f t="shared" si="341"/>
        <v>0</v>
      </c>
      <c r="BD495" s="49">
        <f t="shared" si="337"/>
        <v>0</v>
      </c>
      <c r="BE495" s="49">
        <f t="shared" si="342"/>
        <v>0</v>
      </c>
      <c r="BF495" s="49">
        <f t="shared" si="329"/>
        <v>0</v>
      </c>
      <c r="BG495" s="49">
        <f t="shared" si="330"/>
        <v>0</v>
      </c>
      <c r="BI495" s="134">
        <f t="shared" si="343"/>
        <v>0</v>
      </c>
      <c r="BJ495" s="134">
        <f t="shared" si="338"/>
        <v>0</v>
      </c>
      <c r="BK495" s="134">
        <f t="shared" si="344"/>
        <v>0</v>
      </c>
    </row>
    <row r="496" spans="1:63" hidden="1">
      <c r="A496" s="187"/>
      <c r="B496" s="2333"/>
      <c r="C496" s="2333"/>
      <c r="D496" s="2334" t="s">
        <v>691</v>
      </c>
      <c r="E496" s="2334"/>
      <c r="F496" s="2334"/>
      <c r="G496" s="2334"/>
      <c r="H496" s="2334"/>
      <c r="I496" s="2334"/>
      <c r="J496" s="2334"/>
      <c r="K496" s="2334"/>
      <c r="L496" s="2334"/>
      <c r="M496" s="2334"/>
      <c r="N496" s="2334"/>
      <c r="O496" s="2334"/>
      <c r="P496" s="2324"/>
      <c r="Q496" s="2324"/>
      <c r="R496" s="2325"/>
      <c r="S496" s="2324" t="s">
        <v>2</v>
      </c>
      <c r="T496" s="2324" t="s">
        <v>2</v>
      </c>
      <c r="U496" s="2326">
        <v>100</v>
      </c>
      <c r="V496" s="2327"/>
      <c r="W496" s="2327"/>
      <c r="X496" s="2327">
        <v>150</v>
      </c>
      <c r="Y496" s="2327"/>
      <c r="Z496" s="2327">
        <v>150</v>
      </c>
      <c r="AA496" s="2328"/>
      <c r="AB496" s="2329"/>
      <c r="AC496" s="2326"/>
      <c r="AD496" s="2330">
        <f t="shared" si="331"/>
        <v>0</v>
      </c>
      <c r="AE496" s="2330"/>
      <c r="AF496" s="2330"/>
      <c r="AG496" s="2330">
        <f t="shared" si="339"/>
        <v>0</v>
      </c>
      <c r="AH496" s="2330"/>
      <c r="AI496" s="2330"/>
      <c r="AJ496" s="2330">
        <f t="shared" si="332"/>
        <v>0</v>
      </c>
      <c r="AK496" s="2330"/>
      <c r="AL496" s="2330"/>
      <c r="AM496" s="2331">
        <f t="shared" si="333"/>
        <v>0</v>
      </c>
      <c r="AN496" s="2331"/>
      <c r="AO496" s="2331"/>
      <c r="AP496" s="2331"/>
      <c r="AQ496" s="2332">
        <f t="shared" si="334"/>
        <v>0</v>
      </c>
      <c r="AR496" s="2332"/>
      <c r="AS496" s="2332"/>
      <c r="AT496" s="2332">
        <f t="shared" si="335"/>
        <v>0</v>
      </c>
      <c r="AV496" s="151" t="str">
        <f t="shared" si="328"/>
        <v>GARAGE DOORS</v>
      </c>
      <c r="AW496" s="681"/>
      <c r="AX496" s="230"/>
      <c r="AY496" s="230"/>
      <c r="AZ496" s="679"/>
      <c r="BA496" s="49">
        <f t="shared" si="336"/>
        <v>0</v>
      </c>
      <c r="BB496" s="49">
        <f t="shared" si="340"/>
        <v>0</v>
      </c>
      <c r="BC496" s="49">
        <f t="shared" si="341"/>
        <v>0</v>
      </c>
      <c r="BD496" s="49">
        <f t="shared" si="337"/>
        <v>0</v>
      </c>
      <c r="BE496" s="49">
        <f t="shared" si="342"/>
        <v>0</v>
      </c>
      <c r="BF496" s="49">
        <f t="shared" si="329"/>
        <v>0</v>
      </c>
      <c r="BG496" s="49">
        <f t="shared" si="330"/>
        <v>0</v>
      </c>
      <c r="BI496" s="134">
        <f t="shared" si="343"/>
        <v>0</v>
      </c>
      <c r="BJ496" s="134">
        <f t="shared" si="338"/>
        <v>0</v>
      </c>
      <c r="BK496" s="134">
        <f t="shared" si="344"/>
        <v>0</v>
      </c>
    </row>
    <row r="497" spans="1:63" hidden="1">
      <c r="A497" s="187"/>
      <c r="B497" s="2321"/>
      <c r="C497" s="2322"/>
      <c r="D497" s="2334" t="s">
        <v>692</v>
      </c>
      <c r="E497" s="2334"/>
      <c r="F497" s="2334"/>
      <c r="G497" s="2334"/>
      <c r="H497" s="2334"/>
      <c r="I497" s="2334"/>
      <c r="J497" s="2334"/>
      <c r="K497" s="2334"/>
      <c r="L497" s="2334"/>
      <c r="M497" s="2334"/>
      <c r="N497" s="2334"/>
      <c r="O497" s="2334"/>
      <c r="P497" s="2324"/>
      <c r="Q497" s="2324"/>
      <c r="R497" s="2325"/>
      <c r="S497" s="2324" t="s">
        <v>2</v>
      </c>
      <c r="T497" s="2324"/>
      <c r="U497" s="2326">
        <v>100</v>
      </c>
      <c r="V497" s="2327"/>
      <c r="W497" s="2327"/>
      <c r="X497" s="2327">
        <v>50</v>
      </c>
      <c r="Y497" s="2327"/>
      <c r="Z497" s="2327"/>
      <c r="AA497" s="2328"/>
      <c r="AB497" s="2329"/>
      <c r="AC497" s="2326"/>
      <c r="AD497" s="2330">
        <f t="shared" si="331"/>
        <v>0</v>
      </c>
      <c r="AE497" s="2330"/>
      <c r="AF497" s="2330"/>
      <c r="AG497" s="2330">
        <f t="shared" si="339"/>
        <v>0</v>
      </c>
      <c r="AH497" s="2330"/>
      <c r="AI497" s="2330"/>
      <c r="AJ497" s="2330">
        <f t="shared" si="332"/>
        <v>0</v>
      </c>
      <c r="AK497" s="2330"/>
      <c r="AL497" s="2330"/>
      <c r="AM497" s="2331">
        <f t="shared" si="333"/>
        <v>0</v>
      </c>
      <c r="AN497" s="2331"/>
      <c r="AO497" s="2331"/>
      <c r="AP497" s="2331"/>
      <c r="AQ497" s="2332">
        <f t="shared" si="334"/>
        <v>0</v>
      </c>
      <c r="AR497" s="2332"/>
      <c r="AS497" s="2332"/>
      <c r="AT497" s="2332">
        <f t="shared" si="335"/>
        <v>0</v>
      </c>
      <c r="AV497" s="151" t="str">
        <f t="shared" si="328"/>
        <v>GARAGE DOORS</v>
      </c>
      <c r="AW497" s="681"/>
      <c r="AX497" s="230"/>
      <c r="AY497" s="230"/>
      <c r="AZ497" s="679"/>
      <c r="BA497" s="49">
        <f t="shared" si="336"/>
        <v>0</v>
      </c>
      <c r="BB497" s="49">
        <f t="shared" si="340"/>
        <v>0</v>
      </c>
      <c r="BC497" s="49">
        <f t="shared" si="341"/>
        <v>0</v>
      </c>
      <c r="BD497" s="49">
        <f t="shared" si="337"/>
        <v>0</v>
      </c>
      <c r="BE497" s="49">
        <f t="shared" si="342"/>
        <v>0</v>
      </c>
      <c r="BF497" s="49">
        <f t="shared" si="329"/>
        <v>0</v>
      </c>
      <c r="BG497" s="49">
        <f t="shared" si="330"/>
        <v>0</v>
      </c>
      <c r="BI497" s="134">
        <f t="shared" si="343"/>
        <v>0</v>
      </c>
      <c r="BJ497" s="134">
        <f t="shared" si="338"/>
        <v>0</v>
      </c>
      <c r="BK497" s="134">
        <f t="shared" si="344"/>
        <v>0</v>
      </c>
    </row>
    <row r="498" spans="1:63" hidden="1">
      <c r="A498" s="187"/>
      <c r="B498" s="2321"/>
      <c r="C498" s="2322"/>
      <c r="D498" s="2334"/>
      <c r="E498" s="2334"/>
      <c r="F498" s="2334"/>
      <c r="G498" s="2334"/>
      <c r="H498" s="2334"/>
      <c r="I498" s="2334"/>
      <c r="J498" s="2334"/>
      <c r="K498" s="2334"/>
      <c r="L498" s="2334"/>
      <c r="M498" s="2334"/>
      <c r="N498" s="2334"/>
      <c r="O498" s="2334"/>
      <c r="P498" s="2324"/>
      <c r="Q498" s="2324"/>
      <c r="R498" s="2325"/>
      <c r="S498" s="2324"/>
      <c r="T498" s="2324"/>
      <c r="U498" s="2326"/>
      <c r="V498" s="2327"/>
      <c r="W498" s="2327"/>
      <c r="X498" s="2327"/>
      <c r="Y498" s="2327"/>
      <c r="Z498" s="2327"/>
      <c r="AA498" s="2328"/>
      <c r="AB498" s="2329"/>
      <c r="AC498" s="2326"/>
      <c r="AD498" s="2330">
        <f t="shared" si="331"/>
        <v>0</v>
      </c>
      <c r="AE498" s="2330"/>
      <c r="AF498" s="2330"/>
      <c r="AG498" s="2330">
        <f t="shared" si="339"/>
        <v>0</v>
      </c>
      <c r="AH498" s="2330"/>
      <c r="AI498" s="2330"/>
      <c r="AJ498" s="2330">
        <f t="shared" si="332"/>
        <v>0</v>
      </c>
      <c r="AK498" s="2330"/>
      <c r="AL498" s="2330"/>
      <c r="AM498" s="2331">
        <f t="shared" si="333"/>
        <v>0</v>
      </c>
      <c r="AN498" s="2331"/>
      <c r="AO498" s="2331"/>
      <c r="AP498" s="2331"/>
      <c r="AQ498" s="2332">
        <f t="shared" si="334"/>
        <v>0</v>
      </c>
      <c r="AR498" s="2332"/>
      <c r="AS498" s="2332"/>
      <c r="AT498" s="2332">
        <f t="shared" si="335"/>
        <v>0</v>
      </c>
      <c r="AV498" s="151" t="str">
        <f t="shared" si="328"/>
        <v>GARAGE DOORS</v>
      </c>
      <c r="AW498" s="681"/>
      <c r="AX498" s="230"/>
      <c r="AY498" s="230"/>
      <c r="AZ498" s="679"/>
      <c r="BA498" s="49">
        <f t="shared" si="336"/>
        <v>0</v>
      </c>
      <c r="BB498" s="49">
        <f t="shared" si="340"/>
        <v>0</v>
      </c>
      <c r="BC498" s="49">
        <f t="shared" si="341"/>
        <v>0</v>
      </c>
      <c r="BD498" s="49">
        <f t="shared" si="337"/>
        <v>0</v>
      </c>
      <c r="BE498" s="49">
        <f t="shared" si="342"/>
        <v>0</v>
      </c>
      <c r="BF498" s="49">
        <f t="shared" si="329"/>
        <v>0</v>
      </c>
      <c r="BG498" s="49">
        <f t="shared" si="330"/>
        <v>0</v>
      </c>
      <c r="BI498" s="134">
        <f t="shared" si="343"/>
        <v>0</v>
      </c>
      <c r="BJ498" s="134">
        <f t="shared" si="338"/>
        <v>0</v>
      </c>
      <c r="BK498" s="134">
        <f t="shared" si="344"/>
        <v>0</v>
      </c>
    </row>
    <row r="499" spans="1:63" hidden="1">
      <c r="A499" s="187"/>
      <c r="B499" s="2321"/>
      <c r="C499" s="2322"/>
      <c r="D499" s="2334"/>
      <c r="E499" s="2334"/>
      <c r="F499" s="2334"/>
      <c r="G499" s="2334"/>
      <c r="H499" s="2334"/>
      <c r="I499" s="2334"/>
      <c r="J499" s="2334"/>
      <c r="K499" s="2334"/>
      <c r="L499" s="2334"/>
      <c r="M499" s="2334"/>
      <c r="N499" s="2334"/>
      <c r="O499" s="2334"/>
      <c r="P499" s="2324"/>
      <c r="Q499" s="2324"/>
      <c r="R499" s="2325"/>
      <c r="S499" s="2324"/>
      <c r="T499" s="2324"/>
      <c r="U499" s="2326"/>
      <c r="V499" s="2327"/>
      <c r="W499" s="2327"/>
      <c r="X499" s="2327"/>
      <c r="Y499" s="2327"/>
      <c r="Z499" s="2327"/>
      <c r="AA499" s="2328"/>
      <c r="AB499" s="2329"/>
      <c r="AC499" s="2326"/>
      <c r="AD499" s="2330">
        <f t="shared" si="331"/>
        <v>0</v>
      </c>
      <c r="AE499" s="2330"/>
      <c r="AF499" s="2330"/>
      <c r="AG499" s="2330">
        <f t="shared" si="339"/>
        <v>0</v>
      </c>
      <c r="AH499" s="2330"/>
      <c r="AI499" s="2330"/>
      <c r="AJ499" s="2330">
        <f t="shared" si="332"/>
        <v>0</v>
      </c>
      <c r="AK499" s="2330"/>
      <c r="AL499" s="2330"/>
      <c r="AM499" s="2331">
        <f t="shared" si="333"/>
        <v>0</v>
      </c>
      <c r="AN499" s="2331"/>
      <c r="AO499" s="2331"/>
      <c r="AP499" s="2331"/>
      <c r="AQ499" s="2332">
        <f t="shared" si="334"/>
        <v>0</v>
      </c>
      <c r="AR499" s="2332"/>
      <c r="AS499" s="2332"/>
      <c r="AT499" s="2332">
        <f t="shared" si="335"/>
        <v>0</v>
      </c>
      <c r="AV499" s="151" t="str">
        <f t="shared" si="328"/>
        <v>GARAGE DOORS</v>
      </c>
      <c r="AW499" s="681"/>
      <c r="AX499" s="230"/>
      <c r="AY499" s="230"/>
      <c r="AZ499" s="679"/>
      <c r="BA499" s="49">
        <f t="shared" si="336"/>
        <v>0</v>
      </c>
      <c r="BB499" s="49">
        <f t="shared" si="340"/>
        <v>0</v>
      </c>
      <c r="BC499" s="49">
        <f t="shared" si="341"/>
        <v>0</v>
      </c>
      <c r="BD499" s="49">
        <f t="shared" si="337"/>
        <v>0</v>
      </c>
      <c r="BE499" s="49">
        <f t="shared" si="342"/>
        <v>0</v>
      </c>
      <c r="BF499" s="49">
        <f t="shared" si="329"/>
        <v>0</v>
      </c>
      <c r="BG499" s="49">
        <f t="shared" si="330"/>
        <v>0</v>
      </c>
      <c r="BI499" s="134">
        <f t="shared" si="343"/>
        <v>0</v>
      </c>
      <c r="BJ499" s="134">
        <f t="shared" si="338"/>
        <v>0</v>
      </c>
      <c r="BK499" s="134">
        <f t="shared" si="344"/>
        <v>0</v>
      </c>
    </row>
    <row r="500" spans="1:63" hidden="1">
      <c r="A500" s="187"/>
      <c r="B500" s="2333"/>
      <c r="C500" s="2333"/>
      <c r="D500" s="2334"/>
      <c r="E500" s="2334"/>
      <c r="F500" s="2334"/>
      <c r="G500" s="2334"/>
      <c r="H500" s="2334"/>
      <c r="I500" s="2334"/>
      <c r="J500" s="2334"/>
      <c r="K500" s="2334"/>
      <c r="L500" s="2334"/>
      <c r="M500" s="2334"/>
      <c r="N500" s="2334"/>
      <c r="O500" s="2334"/>
      <c r="P500" s="2324"/>
      <c r="Q500" s="2324"/>
      <c r="R500" s="2325"/>
      <c r="S500" s="2324"/>
      <c r="T500" s="2324"/>
      <c r="U500" s="2326"/>
      <c r="V500" s="2327"/>
      <c r="W500" s="2327"/>
      <c r="X500" s="2327"/>
      <c r="Y500" s="2327"/>
      <c r="Z500" s="2327"/>
      <c r="AA500" s="2328"/>
      <c r="AB500" s="2329"/>
      <c r="AC500" s="2326"/>
      <c r="AD500" s="2330">
        <f t="shared" si="331"/>
        <v>0</v>
      </c>
      <c r="AE500" s="2330"/>
      <c r="AF500" s="2330"/>
      <c r="AG500" s="2330">
        <f t="shared" si="339"/>
        <v>0</v>
      </c>
      <c r="AH500" s="2330"/>
      <c r="AI500" s="2330"/>
      <c r="AJ500" s="2330">
        <f t="shared" si="332"/>
        <v>0</v>
      </c>
      <c r="AK500" s="2330"/>
      <c r="AL500" s="2330"/>
      <c r="AM500" s="2331">
        <f t="shared" si="333"/>
        <v>0</v>
      </c>
      <c r="AN500" s="2331"/>
      <c r="AO500" s="2331"/>
      <c r="AP500" s="2331"/>
      <c r="AQ500" s="2332">
        <f t="shared" si="334"/>
        <v>0</v>
      </c>
      <c r="AR500" s="2332"/>
      <c r="AS500" s="2332"/>
      <c r="AT500" s="2332">
        <f t="shared" si="335"/>
        <v>0</v>
      </c>
      <c r="AV500" s="151" t="str">
        <f t="shared" si="328"/>
        <v>GARAGE DOORS</v>
      </c>
      <c r="AW500" s="681"/>
      <c r="AX500" s="230"/>
      <c r="AY500" s="230"/>
      <c r="AZ500" s="679"/>
      <c r="BA500" s="49">
        <f t="shared" si="336"/>
        <v>0</v>
      </c>
      <c r="BB500" s="49">
        <f t="shared" si="340"/>
        <v>0</v>
      </c>
      <c r="BC500" s="49">
        <f t="shared" si="341"/>
        <v>0</v>
      </c>
      <c r="BD500" s="49">
        <f t="shared" si="337"/>
        <v>0</v>
      </c>
      <c r="BE500" s="49">
        <f t="shared" si="342"/>
        <v>0</v>
      </c>
      <c r="BF500" s="49">
        <f t="shared" si="329"/>
        <v>0</v>
      </c>
      <c r="BG500" s="49">
        <f t="shared" si="330"/>
        <v>0</v>
      </c>
      <c r="BI500" s="134">
        <f t="shared" si="343"/>
        <v>0</v>
      </c>
      <c r="BJ500" s="134">
        <f t="shared" si="338"/>
        <v>0</v>
      </c>
      <c r="BK500" s="134">
        <f t="shared" si="344"/>
        <v>0</v>
      </c>
    </row>
    <row r="501" spans="1:63" hidden="1">
      <c r="A501" s="187"/>
      <c r="B501" s="2321"/>
      <c r="C501" s="2322"/>
      <c r="D501" s="2334"/>
      <c r="E501" s="2334"/>
      <c r="F501" s="2334"/>
      <c r="G501" s="2334"/>
      <c r="H501" s="2334"/>
      <c r="I501" s="2334"/>
      <c r="J501" s="2334"/>
      <c r="K501" s="2334"/>
      <c r="L501" s="2334"/>
      <c r="M501" s="2334"/>
      <c r="N501" s="2334"/>
      <c r="O501" s="2334"/>
      <c r="P501" s="2324"/>
      <c r="Q501" s="2324"/>
      <c r="R501" s="2325"/>
      <c r="S501" s="2324"/>
      <c r="T501" s="2324"/>
      <c r="U501" s="2326"/>
      <c r="V501" s="2327"/>
      <c r="W501" s="2327"/>
      <c r="X501" s="2327"/>
      <c r="Y501" s="2327"/>
      <c r="Z501" s="2327"/>
      <c r="AA501" s="2328"/>
      <c r="AB501" s="2329"/>
      <c r="AC501" s="2326"/>
      <c r="AD501" s="2330">
        <f t="shared" si="331"/>
        <v>0</v>
      </c>
      <c r="AE501" s="2330"/>
      <c r="AF501" s="2330"/>
      <c r="AG501" s="2330">
        <f t="shared" si="339"/>
        <v>0</v>
      </c>
      <c r="AH501" s="2330"/>
      <c r="AI501" s="2330"/>
      <c r="AJ501" s="2330">
        <f t="shared" si="332"/>
        <v>0</v>
      </c>
      <c r="AK501" s="2330"/>
      <c r="AL501" s="2330"/>
      <c r="AM501" s="2331">
        <f t="shared" si="333"/>
        <v>0</v>
      </c>
      <c r="AN501" s="2331"/>
      <c r="AO501" s="2331"/>
      <c r="AP501" s="2331"/>
      <c r="AQ501" s="2332">
        <f t="shared" si="334"/>
        <v>0</v>
      </c>
      <c r="AR501" s="2332"/>
      <c r="AS501" s="2332"/>
      <c r="AT501" s="2332">
        <f t="shared" si="335"/>
        <v>0</v>
      </c>
      <c r="AV501" s="151" t="str">
        <f t="shared" si="328"/>
        <v>GARAGE DOORS</v>
      </c>
      <c r="AW501" s="681"/>
      <c r="AX501" s="230"/>
      <c r="AY501" s="230"/>
      <c r="AZ501" s="679"/>
      <c r="BA501" s="49">
        <f t="shared" si="336"/>
        <v>0</v>
      </c>
      <c r="BB501" s="49">
        <f t="shared" si="340"/>
        <v>0</v>
      </c>
      <c r="BC501" s="49">
        <f t="shared" si="341"/>
        <v>0</v>
      </c>
      <c r="BD501" s="49">
        <f t="shared" si="337"/>
        <v>0</v>
      </c>
      <c r="BE501" s="49">
        <f t="shared" si="342"/>
        <v>0</v>
      </c>
      <c r="BF501" s="49">
        <f t="shared" si="329"/>
        <v>0</v>
      </c>
      <c r="BG501" s="49">
        <f t="shared" si="330"/>
        <v>0</v>
      </c>
      <c r="BI501" s="134">
        <f t="shared" si="343"/>
        <v>0</v>
      </c>
      <c r="BJ501" s="134">
        <f t="shared" si="338"/>
        <v>0</v>
      </c>
      <c r="BK501" s="134">
        <f t="shared" si="344"/>
        <v>0</v>
      </c>
    </row>
    <row r="502" spans="1:63" hidden="1">
      <c r="A502" s="187"/>
      <c r="B502" s="2321"/>
      <c r="C502" s="2322"/>
      <c r="D502" s="2334"/>
      <c r="E502" s="2334"/>
      <c r="F502" s="2334"/>
      <c r="G502" s="2334"/>
      <c r="H502" s="2334"/>
      <c r="I502" s="2334"/>
      <c r="J502" s="2334"/>
      <c r="K502" s="2334"/>
      <c r="L502" s="2334"/>
      <c r="M502" s="2334"/>
      <c r="N502" s="2334"/>
      <c r="O502" s="2334"/>
      <c r="P502" s="2324"/>
      <c r="Q502" s="2324"/>
      <c r="R502" s="2325"/>
      <c r="S502" s="2324"/>
      <c r="T502" s="2324"/>
      <c r="U502" s="2326"/>
      <c r="V502" s="2327"/>
      <c r="W502" s="2327"/>
      <c r="X502" s="2327"/>
      <c r="Y502" s="2327"/>
      <c r="Z502" s="2327"/>
      <c r="AA502" s="2328"/>
      <c r="AB502" s="2329"/>
      <c r="AC502" s="2326"/>
      <c r="AD502" s="2330">
        <f t="shared" si="331"/>
        <v>0</v>
      </c>
      <c r="AE502" s="2330"/>
      <c r="AF502" s="2330"/>
      <c r="AG502" s="2330">
        <f t="shared" si="339"/>
        <v>0</v>
      </c>
      <c r="AH502" s="2330"/>
      <c r="AI502" s="2330"/>
      <c r="AJ502" s="2330">
        <f t="shared" si="332"/>
        <v>0</v>
      </c>
      <c r="AK502" s="2330"/>
      <c r="AL502" s="2330"/>
      <c r="AM502" s="2331">
        <f t="shared" si="333"/>
        <v>0</v>
      </c>
      <c r="AN502" s="2331"/>
      <c r="AO502" s="2331"/>
      <c r="AP502" s="2331"/>
      <c r="AQ502" s="2332">
        <f t="shared" si="334"/>
        <v>0</v>
      </c>
      <c r="AR502" s="2332"/>
      <c r="AS502" s="2332"/>
      <c r="AT502" s="2332">
        <f t="shared" si="335"/>
        <v>0</v>
      </c>
      <c r="AV502" s="151" t="str">
        <f t="shared" si="328"/>
        <v>GARAGE DOORS</v>
      </c>
      <c r="AW502" s="681"/>
      <c r="AX502" s="230"/>
      <c r="AY502" s="230"/>
      <c r="AZ502" s="679"/>
      <c r="BA502" s="49">
        <f t="shared" si="336"/>
        <v>0</v>
      </c>
      <c r="BB502" s="49">
        <f t="shared" si="340"/>
        <v>0</v>
      </c>
      <c r="BC502" s="49">
        <f t="shared" si="341"/>
        <v>0</v>
      </c>
      <c r="BD502" s="49">
        <f t="shared" si="337"/>
        <v>0</v>
      </c>
      <c r="BE502" s="49">
        <f t="shared" si="342"/>
        <v>0</v>
      </c>
      <c r="BF502" s="49">
        <f t="shared" si="329"/>
        <v>0</v>
      </c>
      <c r="BG502" s="49">
        <f t="shared" si="330"/>
        <v>0</v>
      </c>
      <c r="BI502" s="134">
        <f t="shared" si="343"/>
        <v>0</v>
      </c>
      <c r="BJ502" s="134">
        <f t="shared" si="338"/>
        <v>0</v>
      </c>
      <c r="BK502" s="134">
        <f t="shared" si="344"/>
        <v>0</v>
      </c>
    </row>
    <row r="503" spans="1:63" hidden="1">
      <c r="A503" s="187"/>
      <c r="B503" s="2321"/>
      <c r="C503" s="2322"/>
      <c r="D503" s="2334"/>
      <c r="E503" s="2334"/>
      <c r="F503" s="2334"/>
      <c r="G503" s="2334"/>
      <c r="H503" s="2334"/>
      <c r="I503" s="2334"/>
      <c r="J503" s="2334"/>
      <c r="K503" s="2334"/>
      <c r="L503" s="2334"/>
      <c r="M503" s="2334"/>
      <c r="N503" s="2334"/>
      <c r="O503" s="2334"/>
      <c r="P503" s="2324"/>
      <c r="Q503" s="2324"/>
      <c r="R503" s="2325"/>
      <c r="S503" s="2324"/>
      <c r="T503" s="2324"/>
      <c r="U503" s="2326"/>
      <c r="V503" s="2327"/>
      <c r="W503" s="2327"/>
      <c r="X503" s="2327"/>
      <c r="Y503" s="2327"/>
      <c r="Z503" s="2327"/>
      <c r="AA503" s="2328"/>
      <c r="AB503" s="2329"/>
      <c r="AC503" s="2326"/>
      <c r="AD503" s="2330">
        <f t="shared" si="331"/>
        <v>0</v>
      </c>
      <c r="AE503" s="2330"/>
      <c r="AF503" s="2330"/>
      <c r="AG503" s="2330">
        <f t="shared" si="339"/>
        <v>0</v>
      </c>
      <c r="AH503" s="2330"/>
      <c r="AI503" s="2330"/>
      <c r="AJ503" s="2330">
        <f t="shared" si="332"/>
        <v>0</v>
      </c>
      <c r="AK503" s="2330"/>
      <c r="AL503" s="2330"/>
      <c r="AM503" s="2331">
        <f t="shared" si="333"/>
        <v>0</v>
      </c>
      <c r="AN503" s="2331"/>
      <c r="AO503" s="2331"/>
      <c r="AP503" s="2331"/>
      <c r="AQ503" s="2332">
        <f t="shared" si="334"/>
        <v>0</v>
      </c>
      <c r="AR503" s="2332"/>
      <c r="AS503" s="2332"/>
      <c r="AT503" s="2332">
        <f t="shared" si="335"/>
        <v>0</v>
      </c>
      <c r="AV503" s="151" t="str">
        <f t="shared" si="328"/>
        <v>GARAGE DOORS</v>
      </c>
      <c r="AW503" s="681"/>
      <c r="AX503" s="230"/>
      <c r="AY503" s="230"/>
      <c r="AZ503" s="679"/>
      <c r="BA503" s="49">
        <f t="shared" si="336"/>
        <v>0</v>
      </c>
      <c r="BB503" s="49">
        <f t="shared" si="340"/>
        <v>0</v>
      </c>
      <c r="BC503" s="49">
        <f t="shared" si="341"/>
        <v>0</v>
      </c>
      <c r="BD503" s="49">
        <f t="shared" si="337"/>
        <v>0</v>
      </c>
      <c r="BE503" s="49">
        <f t="shared" si="342"/>
        <v>0</v>
      </c>
      <c r="BF503" s="49">
        <f t="shared" si="329"/>
        <v>0</v>
      </c>
      <c r="BG503" s="49">
        <f t="shared" si="330"/>
        <v>0</v>
      </c>
      <c r="BI503" s="134">
        <f t="shared" si="343"/>
        <v>0</v>
      </c>
      <c r="BJ503" s="134">
        <f t="shared" si="338"/>
        <v>0</v>
      </c>
      <c r="BK503" s="134">
        <f t="shared" si="344"/>
        <v>0</v>
      </c>
    </row>
    <row r="504" spans="1:63" hidden="1">
      <c r="A504" s="187"/>
      <c r="B504" s="2321"/>
      <c r="C504" s="2322"/>
      <c r="D504" s="2334"/>
      <c r="E504" s="2334"/>
      <c r="F504" s="2334"/>
      <c r="G504" s="2334"/>
      <c r="H504" s="2334"/>
      <c r="I504" s="2334"/>
      <c r="J504" s="2334"/>
      <c r="K504" s="2334"/>
      <c r="L504" s="2334"/>
      <c r="M504" s="2334"/>
      <c r="N504" s="2334"/>
      <c r="O504" s="2334"/>
      <c r="P504" s="2324"/>
      <c r="Q504" s="2324"/>
      <c r="R504" s="2325"/>
      <c r="S504" s="2324"/>
      <c r="T504" s="2324"/>
      <c r="U504" s="2326"/>
      <c r="V504" s="2327"/>
      <c r="W504" s="2327"/>
      <c r="X504" s="2327"/>
      <c r="Y504" s="2327"/>
      <c r="Z504" s="2327"/>
      <c r="AA504" s="2328"/>
      <c r="AB504" s="2329"/>
      <c r="AC504" s="2326"/>
      <c r="AD504" s="2330">
        <f t="shared" si="331"/>
        <v>0</v>
      </c>
      <c r="AE504" s="2330"/>
      <c r="AF504" s="2330"/>
      <c r="AG504" s="2330">
        <f t="shared" si="339"/>
        <v>0</v>
      </c>
      <c r="AH504" s="2330"/>
      <c r="AI504" s="2330"/>
      <c r="AJ504" s="2330">
        <f t="shared" si="332"/>
        <v>0</v>
      </c>
      <c r="AK504" s="2330"/>
      <c r="AL504" s="2330"/>
      <c r="AM504" s="2331">
        <f t="shared" si="333"/>
        <v>0</v>
      </c>
      <c r="AN504" s="2331"/>
      <c r="AO504" s="2331"/>
      <c r="AP504" s="2331"/>
      <c r="AQ504" s="2332">
        <f t="shared" si="334"/>
        <v>0</v>
      </c>
      <c r="AR504" s="2332"/>
      <c r="AS504" s="2332"/>
      <c r="AT504" s="2332">
        <f t="shared" si="335"/>
        <v>0</v>
      </c>
      <c r="AV504" s="151" t="str">
        <f t="shared" si="328"/>
        <v>GARAGE DOORS</v>
      </c>
      <c r="AW504" s="681"/>
      <c r="AX504" s="230"/>
      <c r="AY504" s="230"/>
      <c r="AZ504" s="679"/>
      <c r="BA504" s="49">
        <f t="shared" si="336"/>
        <v>0</v>
      </c>
      <c r="BB504" s="49">
        <f t="shared" si="340"/>
        <v>0</v>
      </c>
      <c r="BC504" s="49">
        <f t="shared" si="341"/>
        <v>0</v>
      </c>
      <c r="BD504" s="49">
        <f t="shared" si="337"/>
        <v>0</v>
      </c>
      <c r="BE504" s="49">
        <f t="shared" si="342"/>
        <v>0</v>
      </c>
      <c r="BF504" s="49">
        <f t="shared" si="329"/>
        <v>0</v>
      </c>
      <c r="BG504" s="49">
        <f t="shared" si="330"/>
        <v>0</v>
      </c>
      <c r="BI504" s="134">
        <f t="shared" si="343"/>
        <v>0</v>
      </c>
      <c r="BJ504" s="134">
        <f t="shared" si="338"/>
        <v>0</v>
      </c>
      <c r="BK504" s="134">
        <f t="shared" si="344"/>
        <v>0</v>
      </c>
    </row>
    <row r="505" spans="1:63" hidden="1">
      <c r="A505" s="187"/>
      <c r="B505" s="2321"/>
      <c r="C505" s="2322"/>
      <c r="D505" s="2334"/>
      <c r="E505" s="2334"/>
      <c r="F505" s="2334"/>
      <c r="G505" s="2334"/>
      <c r="H505" s="2334"/>
      <c r="I505" s="2334"/>
      <c r="J505" s="2334"/>
      <c r="K505" s="2334"/>
      <c r="L505" s="2334"/>
      <c r="M505" s="2334"/>
      <c r="N505" s="2334"/>
      <c r="O505" s="2334"/>
      <c r="P505" s="2324"/>
      <c r="Q505" s="2324"/>
      <c r="R505" s="2325"/>
      <c r="S505" s="2324"/>
      <c r="T505" s="2324"/>
      <c r="U505" s="2326"/>
      <c r="V505" s="2327"/>
      <c r="W505" s="2327"/>
      <c r="X505" s="2327"/>
      <c r="Y505" s="2327"/>
      <c r="Z505" s="2327"/>
      <c r="AA505" s="2328"/>
      <c r="AB505" s="2329"/>
      <c r="AC505" s="2326"/>
      <c r="AD505" s="2330">
        <f t="shared" si="331"/>
        <v>0</v>
      </c>
      <c r="AE505" s="2330"/>
      <c r="AF505" s="2330"/>
      <c r="AG505" s="2330">
        <f t="shared" si="339"/>
        <v>0</v>
      </c>
      <c r="AH505" s="2330"/>
      <c r="AI505" s="2330"/>
      <c r="AJ505" s="2330">
        <f t="shared" si="332"/>
        <v>0</v>
      </c>
      <c r="AK505" s="2330"/>
      <c r="AL505" s="2330"/>
      <c r="AM505" s="2331">
        <f t="shared" si="333"/>
        <v>0</v>
      </c>
      <c r="AN505" s="2331"/>
      <c r="AO505" s="2331"/>
      <c r="AP505" s="2331"/>
      <c r="AQ505" s="2332">
        <f t="shared" si="334"/>
        <v>0</v>
      </c>
      <c r="AR505" s="2332"/>
      <c r="AS505" s="2332"/>
      <c r="AT505" s="2332">
        <f t="shared" si="335"/>
        <v>0</v>
      </c>
      <c r="AV505" s="151" t="str">
        <f t="shared" si="328"/>
        <v>GARAGE DOORS</v>
      </c>
      <c r="AW505" s="681"/>
      <c r="AX505" s="230"/>
      <c r="AY505" s="230"/>
      <c r="AZ505" s="679"/>
      <c r="BA505" s="49">
        <f t="shared" si="336"/>
        <v>0</v>
      </c>
      <c r="BB505" s="49">
        <f t="shared" si="340"/>
        <v>0</v>
      </c>
      <c r="BC505" s="49">
        <f t="shared" si="341"/>
        <v>0</v>
      </c>
      <c r="BD505" s="49">
        <f t="shared" si="337"/>
        <v>0</v>
      </c>
      <c r="BE505" s="49">
        <f t="shared" si="342"/>
        <v>0</v>
      </c>
      <c r="BF505" s="49">
        <f t="shared" si="329"/>
        <v>0</v>
      </c>
      <c r="BG505" s="49">
        <f t="shared" si="330"/>
        <v>0</v>
      </c>
      <c r="BI505" s="134">
        <f t="shared" si="343"/>
        <v>0</v>
      </c>
      <c r="BJ505" s="134">
        <f t="shared" si="338"/>
        <v>0</v>
      </c>
      <c r="BK505" s="134">
        <f t="shared" si="344"/>
        <v>0</v>
      </c>
    </row>
    <row r="506" spans="1:63" hidden="1">
      <c r="A506" s="187"/>
      <c r="B506" s="2321"/>
      <c r="C506" s="2322"/>
      <c r="D506" s="2334"/>
      <c r="E506" s="2334"/>
      <c r="F506" s="2334"/>
      <c r="G506" s="2334"/>
      <c r="H506" s="2334"/>
      <c r="I506" s="2334"/>
      <c r="J506" s="2334"/>
      <c r="K506" s="2334"/>
      <c r="L506" s="2334"/>
      <c r="M506" s="2334"/>
      <c r="N506" s="2334"/>
      <c r="O506" s="2334"/>
      <c r="P506" s="2324"/>
      <c r="Q506" s="2324"/>
      <c r="R506" s="2325"/>
      <c r="S506" s="2324"/>
      <c r="T506" s="2324"/>
      <c r="U506" s="2326"/>
      <c r="V506" s="2327"/>
      <c r="W506" s="2327"/>
      <c r="X506" s="2327"/>
      <c r="Y506" s="2327"/>
      <c r="Z506" s="2327"/>
      <c r="AA506" s="2328"/>
      <c r="AB506" s="2329"/>
      <c r="AC506" s="2326"/>
      <c r="AD506" s="2330">
        <f t="shared" si="331"/>
        <v>0</v>
      </c>
      <c r="AE506" s="2330"/>
      <c r="AF506" s="2330"/>
      <c r="AG506" s="2330">
        <f t="shared" si="339"/>
        <v>0</v>
      </c>
      <c r="AH506" s="2330"/>
      <c r="AI506" s="2330"/>
      <c r="AJ506" s="2330">
        <f t="shared" si="332"/>
        <v>0</v>
      </c>
      <c r="AK506" s="2330"/>
      <c r="AL506" s="2330"/>
      <c r="AM506" s="2331">
        <f t="shared" si="333"/>
        <v>0</v>
      </c>
      <c r="AN506" s="2331"/>
      <c r="AO506" s="2331"/>
      <c r="AP506" s="2331"/>
      <c r="AQ506" s="2332">
        <f t="shared" si="334"/>
        <v>0</v>
      </c>
      <c r="AR506" s="2332"/>
      <c r="AS506" s="2332"/>
      <c r="AT506" s="2332">
        <f t="shared" si="335"/>
        <v>0</v>
      </c>
      <c r="AV506" s="151" t="str">
        <f t="shared" si="328"/>
        <v>GARAGE DOORS</v>
      </c>
      <c r="AW506" s="681"/>
      <c r="AX506" s="230"/>
      <c r="AY506" s="230"/>
      <c r="AZ506" s="679"/>
      <c r="BA506" s="49">
        <f t="shared" si="336"/>
        <v>0</v>
      </c>
      <c r="BB506" s="49">
        <f t="shared" si="340"/>
        <v>0</v>
      </c>
      <c r="BC506" s="49">
        <f t="shared" si="341"/>
        <v>0</v>
      </c>
      <c r="BD506" s="49">
        <f t="shared" si="337"/>
        <v>0</v>
      </c>
      <c r="BE506" s="49">
        <f t="shared" si="342"/>
        <v>0</v>
      </c>
      <c r="BF506" s="49">
        <f t="shared" si="329"/>
        <v>0</v>
      </c>
      <c r="BG506" s="49">
        <f t="shared" si="330"/>
        <v>0</v>
      </c>
      <c r="BI506" s="134">
        <f t="shared" si="343"/>
        <v>0</v>
      </c>
      <c r="BJ506" s="134">
        <f t="shared" si="338"/>
        <v>0</v>
      </c>
      <c r="BK506" s="134">
        <f t="shared" si="344"/>
        <v>0</v>
      </c>
    </row>
    <row r="507" spans="1:63" hidden="1">
      <c r="A507" s="187"/>
      <c r="B507" s="2333"/>
      <c r="C507" s="2333"/>
      <c r="D507" s="2334"/>
      <c r="E507" s="2334"/>
      <c r="F507" s="2334"/>
      <c r="G507" s="2334"/>
      <c r="H507" s="2334"/>
      <c r="I507" s="2334"/>
      <c r="J507" s="2334"/>
      <c r="K507" s="2334"/>
      <c r="L507" s="2334"/>
      <c r="M507" s="2334"/>
      <c r="N507" s="2334"/>
      <c r="O507" s="2334"/>
      <c r="P507" s="2324"/>
      <c r="Q507" s="2324"/>
      <c r="R507" s="2325"/>
      <c r="S507" s="2324"/>
      <c r="T507" s="2324"/>
      <c r="U507" s="2326"/>
      <c r="V507" s="2327"/>
      <c r="W507" s="2327"/>
      <c r="X507" s="2327"/>
      <c r="Y507" s="2327"/>
      <c r="Z507" s="2327"/>
      <c r="AA507" s="2328"/>
      <c r="AB507" s="2329"/>
      <c r="AC507" s="2326"/>
      <c r="AD507" s="2330">
        <f t="shared" si="331"/>
        <v>0</v>
      </c>
      <c r="AE507" s="2330"/>
      <c r="AF507" s="2330"/>
      <c r="AG507" s="2330">
        <f t="shared" si="339"/>
        <v>0</v>
      </c>
      <c r="AH507" s="2330"/>
      <c r="AI507" s="2330"/>
      <c r="AJ507" s="2330">
        <f t="shared" si="332"/>
        <v>0</v>
      </c>
      <c r="AK507" s="2330"/>
      <c r="AL507" s="2330"/>
      <c r="AM507" s="2331">
        <f t="shared" si="333"/>
        <v>0</v>
      </c>
      <c r="AN507" s="2331"/>
      <c r="AO507" s="2331"/>
      <c r="AP507" s="2331"/>
      <c r="AQ507" s="2332">
        <f t="shared" si="334"/>
        <v>0</v>
      </c>
      <c r="AR507" s="2332"/>
      <c r="AS507" s="2332"/>
      <c r="AT507" s="2332">
        <f t="shared" si="335"/>
        <v>0</v>
      </c>
      <c r="AV507" s="151" t="str">
        <f t="shared" si="328"/>
        <v>GARAGE DOORS</v>
      </c>
      <c r="AW507" s="681"/>
      <c r="AX507" s="230"/>
      <c r="AY507" s="230"/>
      <c r="AZ507" s="679"/>
      <c r="BA507" s="49">
        <f t="shared" si="336"/>
        <v>0</v>
      </c>
      <c r="BB507" s="49">
        <f t="shared" si="340"/>
        <v>0</v>
      </c>
      <c r="BC507" s="49">
        <f t="shared" si="341"/>
        <v>0</v>
      </c>
      <c r="BD507" s="49">
        <f t="shared" si="337"/>
        <v>0</v>
      </c>
      <c r="BE507" s="49">
        <f t="shared" si="342"/>
        <v>0</v>
      </c>
      <c r="BF507" s="49">
        <f t="shared" si="329"/>
        <v>0</v>
      </c>
      <c r="BG507" s="49">
        <f t="shared" si="330"/>
        <v>0</v>
      </c>
      <c r="BI507" s="134">
        <f t="shared" si="343"/>
        <v>0</v>
      </c>
      <c r="BJ507" s="134">
        <f t="shared" si="338"/>
        <v>0</v>
      </c>
      <c r="BK507" s="134">
        <f t="shared" si="344"/>
        <v>0</v>
      </c>
    </row>
    <row r="508" spans="1:63" hidden="1">
      <c r="A508" s="187"/>
      <c r="B508" s="2321"/>
      <c r="C508" s="2322"/>
      <c r="D508" s="2334"/>
      <c r="E508" s="2334"/>
      <c r="F508" s="2334"/>
      <c r="G508" s="2334"/>
      <c r="H508" s="2334"/>
      <c r="I508" s="2334"/>
      <c r="J508" s="2334"/>
      <c r="K508" s="2334"/>
      <c r="L508" s="2334"/>
      <c r="M508" s="2334"/>
      <c r="N508" s="2334"/>
      <c r="O508" s="2334"/>
      <c r="P508" s="2324"/>
      <c r="Q508" s="2324"/>
      <c r="R508" s="2325"/>
      <c r="S508" s="2324"/>
      <c r="T508" s="2324"/>
      <c r="U508" s="2326"/>
      <c r="V508" s="2327"/>
      <c r="W508" s="2327"/>
      <c r="X508" s="2327"/>
      <c r="Y508" s="2327"/>
      <c r="Z508" s="2327"/>
      <c r="AA508" s="2328"/>
      <c r="AB508" s="2329"/>
      <c r="AC508" s="2326"/>
      <c r="AD508" s="2330">
        <f t="shared" si="331"/>
        <v>0</v>
      </c>
      <c r="AE508" s="2330"/>
      <c r="AF508" s="2330"/>
      <c r="AG508" s="2330">
        <f t="shared" si="339"/>
        <v>0</v>
      </c>
      <c r="AH508" s="2330"/>
      <c r="AI508" s="2330"/>
      <c r="AJ508" s="2330">
        <f t="shared" si="332"/>
        <v>0</v>
      </c>
      <c r="AK508" s="2330"/>
      <c r="AL508" s="2330"/>
      <c r="AM508" s="2331">
        <f t="shared" si="333"/>
        <v>0</v>
      </c>
      <c r="AN508" s="2331"/>
      <c r="AO508" s="2331"/>
      <c r="AP508" s="2331"/>
      <c r="AQ508" s="2332">
        <f t="shared" si="334"/>
        <v>0</v>
      </c>
      <c r="AR508" s="2332"/>
      <c r="AS508" s="2332"/>
      <c r="AT508" s="2332">
        <f t="shared" si="335"/>
        <v>0</v>
      </c>
      <c r="AV508" s="151" t="str">
        <f t="shared" si="328"/>
        <v>GARAGE DOORS</v>
      </c>
      <c r="AW508" s="681"/>
      <c r="AX508" s="230"/>
      <c r="AY508" s="230"/>
      <c r="AZ508" s="679"/>
      <c r="BA508" s="49">
        <f t="shared" si="336"/>
        <v>0</v>
      </c>
      <c r="BB508" s="49">
        <f t="shared" si="340"/>
        <v>0</v>
      </c>
      <c r="BC508" s="49">
        <f t="shared" si="341"/>
        <v>0</v>
      </c>
      <c r="BD508" s="49">
        <f t="shared" si="337"/>
        <v>0</v>
      </c>
      <c r="BE508" s="49">
        <f t="shared" si="342"/>
        <v>0</v>
      </c>
      <c r="BF508" s="49">
        <f t="shared" si="329"/>
        <v>0</v>
      </c>
      <c r="BG508" s="49">
        <f t="shared" si="330"/>
        <v>0</v>
      </c>
      <c r="BI508" s="134">
        <f t="shared" si="343"/>
        <v>0</v>
      </c>
      <c r="BJ508" s="134">
        <f t="shared" si="338"/>
        <v>0</v>
      </c>
      <c r="BK508" s="134">
        <f t="shared" si="344"/>
        <v>0</v>
      </c>
    </row>
    <row r="509" spans="1:63" hidden="1">
      <c r="A509" s="187"/>
      <c r="B509" s="2321"/>
      <c r="C509" s="2322"/>
      <c r="D509" s="2334"/>
      <c r="E509" s="2334"/>
      <c r="F509" s="2334"/>
      <c r="G509" s="2334"/>
      <c r="H509" s="2334"/>
      <c r="I509" s="2334"/>
      <c r="J509" s="2334"/>
      <c r="K509" s="2334"/>
      <c r="L509" s="2334"/>
      <c r="M509" s="2334"/>
      <c r="N509" s="2334"/>
      <c r="O509" s="2334"/>
      <c r="P509" s="2324"/>
      <c r="Q509" s="2324"/>
      <c r="R509" s="2325"/>
      <c r="S509" s="2324"/>
      <c r="T509" s="2324"/>
      <c r="U509" s="2326"/>
      <c r="V509" s="2327"/>
      <c r="W509" s="2327"/>
      <c r="X509" s="2327"/>
      <c r="Y509" s="2327"/>
      <c r="Z509" s="2327"/>
      <c r="AA509" s="2328"/>
      <c r="AB509" s="2329"/>
      <c r="AC509" s="2326"/>
      <c r="AD509" s="2330">
        <f t="shared" si="331"/>
        <v>0</v>
      </c>
      <c r="AE509" s="2330"/>
      <c r="AF509" s="2330"/>
      <c r="AG509" s="2330">
        <f t="shared" si="339"/>
        <v>0</v>
      </c>
      <c r="AH509" s="2330"/>
      <c r="AI509" s="2330"/>
      <c r="AJ509" s="2330">
        <f t="shared" si="332"/>
        <v>0</v>
      </c>
      <c r="AK509" s="2330"/>
      <c r="AL509" s="2330"/>
      <c r="AM509" s="2331">
        <f t="shared" si="333"/>
        <v>0</v>
      </c>
      <c r="AN509" s="2331"/>
      <c r="AO509" s="2331"/>
      <c r="AP509" s="2331"/>
      <c r="AQ509" s="2332">
        <f t="shared" si="334"/>
        <v>0</v>
      </c>
      <c r="AR509" s="2332"/>
      <c r="AS509" s="2332"/>
      <c r="AT509" s="2332">
        <f t="shared" si="335"/>
        <v>0</v>
      </c>
      <c r="AV509" s="151" t="str">
        <f t="shared" si="328"/>
        <v>GARAGE DOORS</v>
      </c>
      <c r="AW509" s="681"/>
      <c r="AX509" s="230"/>
      <c r="AY509" s="230"/>
      <c r="AZ509" s="679"/>
      <c r="BA509" s="49">
        <f t="shared" si="336"/>
        <v>0</v>
      </c>
      <c r="BB509" s="49">
        <f t="shared" si="340"/>
        <v>0</v>
      </c>
      <c r="BC509" s="49">
        <f t="shared" si="341"/>
        <v>0</v>
      </c>
      <c r="BD509" s="49">
        <f t="shared" si="337"/>
        <v>0</v>
      </c>
      <c r="BE509" s="49">
        <f t="shared" si="342"/>
        <v>0</v>
      </c>
      <c r="BF509" s="49">
        <f t="shared" si="329"/>
        <v>0</v>
      </c>
      <c r="BG509" s="49">
        <f t="shared" si="330"/>
        <v>0</v>
      </c>
      <c r="BI509" s="134">
        <f t="shared" si="343"/>
        <v>0</v>
      </c>
      <c r="BJ509" s="134">
        <f t="shared" si="338"/>
        <v>0</v>
      </c>
      <c r="BK509" s="134">
        <f t="shared" si="344"/>
        <v>0</v>
      </c>
    </row>
    <row r="510" spans="1:63" hidden="1">
      <c r="A510" s="187"/>
      <c r="B510" s="2321"/>
      <c r="C510" s="2322"/>
      <c r="D510" s="2334"/>
      <c r="E510" s="2334"/>
      <c r="F510" s="2334"/>
      <c r="G510" s="2334"/>
      <c r="H510" s="2334"/>
      <c r="I510" s="2334"/>
      <c r="J510" s="2334"/>
      <c r="K510" s="2334"/>
      <c r="L510" s="2334"/>
      <c r="M510" s="2334"/>
      <c r="N510" s="2334"/>
      <c r="O510" s="2334"/>
      <c r="P510" s="2324"/>
      <c r="Q510" s="2324"/>
      <c r="R510" s="2325"/>
      <c r="S510" s="2324"/>
      <c r="T510" s="2324"/>
      <c r="U510" s="2326"/>
      <c r="V510" s="2327"/>
      <c r="W510" s="2327"/>
      <c r="X510" s="2327"/>
      <c r="Y510" s="2327"/>
      <c r="Z510" s="2327"/>
      <c r="AA510" s="2328"/>
      <c r="AB510" s="2329"/>
      <c r="AC510" s="2326"/>
      <c r="AD510" s="2330">
        <f t="shared" si="331"/>
        <v>0</v>
      </c>
      <c r="AE510" s="2330"/>
      <c r="AF510" s="2330"/>
      <c r="AG510" s="2330">
        <f t="shared" si="339"/>
        <v>0</v>
      </c>
      <c r="AH510" s="2330"/>
      <c r="AI510" s="2330"/>
      <c r="AJ510" s="2330">
        <f t="shared" si="332"/>
        <v>0</v>
      </c>
      <c r="AK510" s="2330"/>
      <c r="AL510" s="2330"/>
      <c r="AM510" s="2331">
        <f t="shared" si="333"/>
        <v>0</v>
      </c>
      <c r="AN510" s="2331"/>
      <c r="AO510" s="2331"/>
      <c r="AP510" s="2331"/>
      <c r="AQ510" s="2332">
        <f t="shared" si="334"/>
        <v>0</v>
      </c>
      <c r="AR510" s="2332"/>
      <c r="AS510" s="2332"/>
      <c r="AT510" s="2332">
        <f t="shared" si="335"/>
        <v>0</v>
      </c>
      <c r="AV510" s="151" t="str">
        <f t="shared" si="328"/>
        <v>GARAGE DOORS</v>
      </c>
      <c r="AW510" s="681"/>
      <c r="AX510" s="230"/>
      <c r="AY510" s="230"/>
      <c r="AZ510" s="679"/>
      <c r="BA510" s="49">
        <f t="shared" si="336"/>
        <v>0</v>
      </c>
      <c r="BB510" s="49">
        <f t="shared" si="340"/>
        <v>0</v>
      </c>
      <c r="BC510" s="49">
        <f t="shared" si="341"/>
        <v>0</v>
      </c>
      <c r="BD510" s="49">
        <f t="shared" si="337"/>
        <v>0</v>
      </c>
      <c r="BE510" s="49">
        <f t="shared" si="342"/>
        <v>0</v>
      </c>
      <c r="BF510" s="49">
        <f t="shared" si="329"/>
        <v>0</v>
      </c>
      <c r="BG510" s="49">
        <f t="shared" si="330"/>
        <v>0</v>
      </c>
      <c r="BI510" s="134">
        <f t="shared" si="343"/>
        <v>0</v>
      </c>
      <c r="BJ510" s="134">
        <f t="shared" si="338"/>
        <v>0</v>
      </c>
      <c r="BK510" s="134">
        <f t="shared" si="344"/>
        <v>0</v>
      </c>
    </row>
    <row r="511" spans="1:63" hidden="1">
      <c r="A511" s="187"/>
      <c r="B511" s="2321"/>
      <c r="C511" s="2322"/>
      <c r="D511" s="2334"/>
      <c r="E511" s="2334"/>
      <c r="F511" s="2334"/>
      <c r="G511" s="2334"/>
      <c r="H511" s="2334"/>
      <c r="I511" s="2334"/>
      <c r="J511" s="2334"/>
      <c r="K511" s="2334"/>
      <c r="L511" s="2334"/>
      <c r="M511" s="2334"/>
      <c r="N511" s="2334"/>
      <c r="O511" s="2334"/>
      <c r="P511" s="2324"/>
      <c r="Q511" s="2324"/>
      <c r="R511" s="2325"/>
      <c r="S511" s="2324"/>
      <c r="T511" s="2324"/>
      <c r="U511" s="2326"/>
      <c r="V511" s="2327"/>
      <c r="W511" s="2327"/>
      <c r="X511" s="2327"/>
      <c r="Y511" s="2327"/>
      <c r="Z511" s="2327"/>
      <c r="AA511" s="2328"/>
      <c r="AB511" s="2329"/>
      <c r="AC511" s="2326"/>
      <c r="AD511" s="2330">
        <f t="shared" si="331"/>
        <v>0</v>
      </c>
      <c r="AE511" s="2330"/>
      <c r="AF511" s="2330"/>
      <c r="AG511" s="2330">
        <f t="shared" si="339"/>
        <v>0</v>
      </c>
      <c r="AH511" s="2330"/>
      <c r="AI511" s="2330"/>
      <c r="AJ511" s="2330">
        <f t="shared" si="332"/>
        <v>0</v>
      </c>
      <c r="AK511" s="2330"/>
      <c r="AL511" s="2330"/>
      <c r="AM511" s="2331">
        <f t="shared" si="333"/>
        <v>0</v>
      </c>
      <c r="AN511" s="2331"/>
      <c r="AO511" s="2331"/>
      <c r="AP511" s="2331"/>
      <c r="AQ511" s="2332">
        <f t="shared" si="334"/>
        <v>0</v>
      </c>
      <c r="AR511" s="2332"/>
      <c r="AS511" s="2332"/>
      <c r="AT511" s="2332">
        <f t="shared" si="335"/>
        <v>0</v>
      </c>
      <c r="AV511" s="151" t="str">
        <f t="shared" si="328"/>
        <v>GARAGE DOORS</v>
      </c>
      <c r="AW511" s="681"/>
      <c r="AX511" s="230"/>
      <c r="AY511" s="230"/>
      <c r="AZ511" s="679"/>
      <c r="BA511" s="49">
        <f t="shared" si="336"/>
        <v>0</v>
      </c>
      <c r="BB511" s="49">
        <f t="shared" si="340"/>
        <v>0</v>
      </c>
      <c r="BC511" s="49">
        <f t="shared" si="341"/>
        <v>0</v>
      </c>
      <c r="BD511" s="49">
        <f t="shared" si="337"/>
        <v>0</v>
      </c>
      <c r="BE511" s="49">
        <f>SUM(BA511:BC511)</f>
        <v>0</v>
      </c>
      <c r="BF511" s="49">
        <f t="shared" si="329"/>
        <v>0</v>
      </c>
      <c r="BG511" s="49">
        <f t="shared" si="330"/>
        <v>0</v>
      </c>
      <c r="BI511" s="134">
        <f t="shared" si="343"/>
        <v>0</v>
      </c>
      <c r="BJ511" s="134">
        <f t="shared" si="338"/>
        <v>0</v>
      </c>
      <c r="BK511" s="134">
        <f t="shared" si="344"/>
        <v>0</v>
      </c>
    </row>
    <row r="512" spans="1:63" hidden="1">
      <c r="A512" s="187"/>
      <c r="B512" s="2321"/>
      <c r="C512" s="2322"/>
      <c r="D512" s="2334"/>
      <c r="E512" s="2334"/>
      <c r="F512" s="2334"/>
      <c r="G512" s="2334"/>
      <c r="H512" s="2334"/>
      <c r="I512" s="2334"/>
      <c r="J512" s="2334"/>
      <c r="K512" s="2334"/>
      <c r="L512" s="2334"/>
      <c r="M512" s="2334"/>
      <c r="N512" s="2334"/>
      <c r="O512" s="2334"/>
      <c r="P512" s="2324"/>
      <c r="Q512" s="2324"/>
      <c r="R512" s="2325"/>
      <c r="S512" s="2324"/>
      <c r="T512" s="2324"/>
      <c r="U512" s="2326"/>
      <c r="V512" s="2327"/>
      <c r="W512" s="2327"/>
      <c r="X512" s="2327"/>
      <c r="Y512" s="2327"/>
      <c r="Z512" s="2327"/>
      <c r="AA512" s="2328"/>
      <c r="AB512" s="2329"/>
      <c r="AC512" s="2326"/>
      <c r="AD512" s="2330">
        <f t="shared" si="331"/>
        <v>0</v>
      </c>
      <c r="AE512" s="2330"/>
      <c r="AF512" s="2330"/>
      <c r="AG512" s="2330">
        <f t="shared" si="339"/>
        <v>0</v>
      </c>
      <c r="AH512" s="2330"/>
      <c r="AI512" s="2330"/>
      <c r="AJ512" s="2330">
        <f t="shared" si="332"/>
        <v>0</v>
      </c>
      <c r="AK512" s="2330"/>
      <c r="AL512" s="2330"/>
      <c r="AM512" s="2331">
        <f t="shared" si="333"/>
        <v>0</v>
      </c>
      <c r="AN512" s="2331"/>
      <c r="AO512" s="2331"/>
      <c r="AP512" s="2331"/>
      <c r="AQ512" s="2332">
        <f t="shared" si="334"/>
        <v>0</v>
      </c>
      <c r="AR512" s="2332"/>
      <c r="AS512" s="2332"/>
      <c r="AT512" s="2332">
        <f t="shared" si="335"/>
        <v>0</v>
      </c>
      <c r="AV512" s="151" t="str">
        <f t="shared" si="328"/>
        <v>GARAGE DOORS</v>
      </c>
      <c r="AW512" s="681"/>
      <c r="AX512" s="230"/>
      <c r="AY512" s="230"/>
      <c r="AZ512" s="679"/>
      <c r="BA512" s="49">
        <f t="shared" si="336"/>
        <v>0</v>
      </c>
      <c r="BB512" s="49">
        <f t="shared" si="340"/>
        <v>0</v>
      </c>
      <c r="BC512" s="49">
        <f t="shared" si="341"/>
        <v>0</v>
      </c>
      <c r="BD512" s="49">
        <f t="shared" si="337"/>
        <v>0</v>
      </c>
      <c r="BE512" s="49">
        <f>SUM(BA512:BC512)</f>
        <v>0</v>
      </c>
      <c r="BF512" s="49">
        <f t="shared" si="329"/>
        <v>0</v>
      </c>
      <c r="BG512" s="49">
        <f t="shared" si="330"/>
        <v>0</v>
      </c>
      <c r="BI512" s="134">
        <f t="shared" si="343"/>
        <v>0</v>
      </c>
      <c r="BJ512" s="134">
        <f t="shared" si="338"/>
        <v>0</v>
      </c>
      <c r="BK512" s="134">
        <f t="shared" si="344"/>
        <v>0</v>
      </c>
    </row>
    <row r="513" spans="1:63" hidden="1">
      <c r="A513" s="187"/>
      <c r="B513" s="2321"/>
      <c r="C513" s="2322"/>
      <c r="D513" s="2334"/>
      <c r="E513" s="2334"/>
      <c r="F513" s="2334"/>
      <c r="G513" s="2334"/>
      <c r="H513" s="2334"/>
      <c r="I513" s="2334"/>
      <c r="J513" s="2334"/>
      <c r="K513" s="2334"/>
      <c r="L513" s="2334"/>
      <c r="M513" s="2334"/>
      <c r="N513" s="2334"/>
      <c r="O513" s="2334"/>
      <c r="P513" s="2324"/>
      <c r="Q513" s="2324"/>
      <c r="R513" s="2325"/>
      <c r="S513" s="2324"/>
      <c r="T513" s="2324"/>
      <c r="U513" s="2326"/>
      <c r="V513" s="2327"/>
      <c r="W513" s="2327"/>
      <c r="X513" s="2327"/>
      <c r="Y513" s="2327"/>
      <c r="Z513" s="2327"/>
      <c r="AA513" s="2328"/>
      <c r="AB513" s="2329"/>
      <c r="AC513" s="2326"/>
      <c r="AD513" s="2330">
        <f t="shared" ref="AD513:AD532" si="345">((P513*U513)-AM513)</f>
        <v>0</v>
      </c>
      <c r="AE513" s="2330"/>
      <c r="AF513" s="2330"/>
      <c r="AG513" s="2330">
        <f t="shared" si="339"/>
        <v>0</v>
      </c>
      <c r="AH513" s="2330"/>
      <c r="AI513" s="2330"/>
      <c r="AJ513" s="2330">
        <f t="shared" ref="AJ513:AJ532" si="346">P513*AA513</f>
        <v>0</v>
      </c>
      <c r="AK513" s="2330"/>
      <c r="AL513" s="2330"/>
      <c r="AM513" s="2331">
        <f t="shared" si="333"/>
        <v>0</v>
      </c>
      <c r="AN513" s="2331"/>
      <c r="AO513" s="2331"/>
      <c r="AP513" s="2331"/>
      <c r="AQ513" s="2332">
        <f t="shared" ref="AQ513:AQ532" si="347">SUM(AD513:AL513)</f>
        <v>0</v>
      </c>
      <c r="AR513" s="2332"/>
      <c r="AS513" s="2332"/>
      <c r="AT513" s="2332">
        <f t="shared" ref="AT513:AT532" si="348">SUM(AD513:AL513)</f>
        <v>0</v>
      </c>
      <c r="AV513" s="151" t="str">
        <f t="shared" si="328"/>
        <v>GARAGE DOORS</v>
      </c>
      <c r="AW513" s="681"/>
      <c r="AX513" s="230"/>
      <c r="AY513" s="230"/>
      <c r="AZ513" s="679"/>
      <c r="BA513" s="49">
        <f t="shared" ref="BA513:BA532" si="349">AD513</f>
        <v>0</v>
      </c>
      <c r="BB513" s="49">
        <f>AG513</f>
        <v>0</v>
      </c>
      <c r="BC513" s="49">
        <f>AJ513</f>
        <v>0</v>
      </c>
      <c r="BD513" s="49">
        <f t="shared" ref="BD513:BD532" si="350">IF(B513="x",1,0)</f>
        <v>0</v>
      </c>
      <c r="BE513" s="49">
        <f>SUM(BA513:BC513)</f>
        <v>0</v>
      </c>
      <c r="BF513" s="49">
        <f t="shared" ref="BF513:BF532" si="351">AQ513</f>
        <v>0</v>
      </c>
      <c r="BG513" s="49">
        <f t="shared" ref="BG513:BG532" si="352">AM513</f>
        <v>0</v>
      </c>
      <c r="BI513" s="134">
        <f>AD513</f>
        <v>0</v>
      </c>
      <c r="BJ513" s="134">
        <f t="shared" ref="BJ513:BJ532" si="353">AM513</f>
        <v>0</v>
      </c>
      <c r="BK513" s="134">
        <f>BJ513+BI513</f>
        <v>0</v>
      </c>
    </row>
    <row r="514" spans="1:63" hidden="1">
      <c r="A514" s="187"/>
      <c r="B514" s="2321"/>
      <c r="C514" s="2322"/>
      <c r="D514" s="2334"/>
      <c r="E514" s="2334"/>
      <c r="F514" s="2334"/>
      <c r="G514" s="2334"/>
      <c r="H514" s="2334"/>
      <c r="I514" s="2334"/>
      <c r="J514" s="2334"/>
      <c r="K514" s="2334"/>
      <c r="L514" s="2334"/>
      <c r="M514" s="2334"/>
      <c r="N514" s="2334"/>
      <c r="O514" s="2334"/>
      <c r="P514" s="2324"/>
      <c r="Q514" s="2324"/>
      <c r="R514" s="2325"/>
      <c r="S514" s="2324"/>
      <c r="T514" s="2324"/>
      <c r="U514" s="2326"/>
      <c r="V514" s="2327"/>
      <c r="W514" s="2327"/>
      <c r="X514" s="2327"/>
      <c r="Y514" s="2327"/>
      <c r="Z514" s="2327"/>
      <c r="AA514" s="2328"/>
      <c r="AB514" s="2329"/>
      <c r="AC514" s="2326"/>
      <c r="AD514" s="2330">
        <f t="shared" si="345"/>
        <v>0</v>
      </c>
      <c r="AE514" s="2330"/>
      <c r="AF514" s="2330"/>
      <c r="AG514" s="2330">
        <f t="shared" si="339"/>
        <v>0</v>
      </c>
      <c r="AH514" s="2330"/>
      <c r="AI514" s="2330"/>
      <c r="AJ514" s="2330">
        <f t="shared" si="346"/>
        <v>0</v>
      </c>
      <c r="AK514" s="2330"/>
      <c r="AL514" s="2330"/>
      <c r="AM514" s="2331">
        <f t="shared" si="333"/>
        <v>0</v>
      </c>
      <c r="AN514" s="2331"/>
      <c r="AO514" s="2331"/>
      <c r="AP514" s="2331"/>
      <c r="AQ514" s="2332">
        <f t="shared" si="347"/>
        <v>0</v>
      </c>
      <c r="AR514" s="2332"/>
      <c r="AS514" s="2332"/>
      <c r="AT514" s="2332">
        <f t="shared" si="348"/>
        <v>0</v>
      </c>
      <c r="AV514" s="151" t="str">
        <f t="shared" si="328"/>
        <v>GARAGE DOORS</v>
      </c>
      <c r="AW514" s="681"/>
      <c r="AX514" s="230"/>
      <c r="AY514" s="230"/>
      <c r="AZ514" s="679"/>
      <c r="BA514" s="49">
        <f t="shared" si="349"/>
        <v>0</v>
      </c>
      <c r="BB514" s="49">
        <f t="shared" ref="BB514:BB532" si="354">AG514</f>
        <v>0</v>
      </c>
      <c r="BC514" s="49">
        <f t="shared" ref="BC514:BC532" si="355">AJ514</f>
        <v>0</v>
      </c>
      <c r="BD514" s="49">
        <f t="shared" si="350"/>
        <v>0</v>
      </c>
      <c r="BE514" s="49">
        <f t="shared" ref="BE514:BE530" si="356">SUM(BA514:BC514)</f>
        <v>0</v>
      </c>
      <c r="BF514" s="49">
        <f t="shared" si="351"/>
        <v>0</v>
      </c>
      <c r="BG514" s="49">
        <f t="shared" si="352"/>
        <v>0</v>
      </c>
      <c r="BI514" s="134">
        <f t="shared" ref="BI514:BI532" si="357">AD514</f>
        <v>0</v>
      </c>
      <c r="BJ514" s="134">
        <f t="shared" si="353"/>
        <v>0</v>
      </c>
      <c r="BK514" s="134">
        <f t="shared" ref="BK514:BK532" si="358">BJ514+BI514</f>
        <v>0</v>
      </c>
    </row>
    <row r="515" spans="1:63" hidden="1">
      <c r="A515" s="187"/>
      <c r="B515" s="2333"/>
      <c r="C515" s="2333"/>
      <c r="D515" s="2334"/>
      <c r="E515" s="2334"/>
      <c r="F515" s="2334"/>
      <c r="G515" s="2334"/>
      <c r="H515" s="2334"/>
      <c r="I515" s="2334"/>
      <c r="J515" s="2334"/>
      <c r="K515" s="2334"/>
      <c r="L515" s="2334"/>
      <c r="M515" s="2334"/>
      <c r="N515" s="2334"/>
      <c r="O515" s="2334"/>
      <c r="P515" s="2324"/>
      <c r="Q515" s="2324"/>
      <c r="R515" s="2325"/>
      <c r="S515" s="2324"/>
      <c r="T515" s="2324"/>
      <c r="U515" s="2326"/>
      <c r="V515" s="2327"/>
      <c r="W515" s="2327"/>
      <c r="X515" s="2327"/>
      <c r="Y515" s="2327"/>
      <c r="Z515" s="2327"/>
      <c r="AA515" s="2328"/>
      <c r="AB515" s="2329"/>
      <c r="AC515" s="2326"/>
      <c r="AD515" s="2330">
        <f t="shared" si="345"/>
        <v>0</v>
      </c>
      <c r="AE515" s="2330"/>
      <c r="AF515" s="2330"/>
      <c r="AG515" s="2330">
        <f t="shared" si="339"/>
        <v>0</v>
      </c>
      <c r="AH515" s="2330"/>
      <c r="AI515" s="2330"/>
      <c r="AJ515" s="2330">
        <f t="shared" si="346"/>
        <v>0</v>
      </c>
      <c r="AK515" s="2330"/>
      <c r="AL515" s="2330"/>
      <c r="AM515" s="2331">
        <f t="shared" si="333"/>
        <v>0</v>
      </c>
      <c r="AN515" s="2331"/>
      <c r="AO515" s="2331"/>
      <c r="AP515" s="2331"/>
      <c r="AQ515" s="2332">
        <f t="shared" si="347"/>
        <v>0</v>
      </c>
      <c r="AR515" s="2332"/>
      <c r="AS515" s="2332"/>
      <c r="AT515" s="2332">
        <f t="shared" si="348"/>
        <v>0</v>
      </c>
      <c r="AV515" s="151" t="str">
        <f t="shared" si="328"/>
        <v>GARAGE DOORS</v>
      </c>
      <c r="AW515" s="681"/>
      <c r="AX515" s="230"/>
      <c r="AY515" s="230"/>
      <c r="AZ515" s="679"/>
      <c r="BA515" s="49">
        <f t="shared" si="349"/>
        <v>0</v>
      </c>
      <c r="BB515" s="49">
        <f t="shared" si="354"/>
        <v>0</v>
      </c>
      <c r="BC515" s="49">
        <f t="shared" si="355"/>
        <v>0</v>
      </c>
      <c r="BD515" s="49">
        <f t="shared" si="350"/>
        <v>0</v>
      </c>
      <c r="BE515" s="49">
        <f t="shared" si="356"/>
        <v>0</v>
      </c>
      <c r="BF515" s="49">
        <f t="shared" si="351"/>
        <v>0</v>
      </c>
      <c r="BG515" s="49">
        <f t="shared" si="352"/>
        <v>0</v>
      </c>
      <c r="BI515" s="134">
        <f t="shared" si="357"/>
        <v>0</v>
      </c>
      <c r="BJ515" s="134">
        <f t="shared" si="353"/>
        <v>0</v>
      </c>
      <c r="BK515" s="134">
        <f t="shared" si="358"/>
        <v>0</v>
      </c>
    </row>
    <row r="516" spans="1:63" hidden="1">
      <c r="A516" s="187"/>
      <c r="B516" s="2333"/>
      <c r="C516" s="2333"/>
      <c r="D516" s="2334"/>
      <c r="E516" s="2334"/>
      <c r="F516" s="2334"/>
      <c r="G516" s="2334"/>
      <c r="H516" s="2334"/>
      <c r="I516" s="2334"/>
      <c r="J516" s="2334"/>
      <c r="K516" s="2334"/>
      <c r="L516" s="2334"/>
      <c r="M516" s="2334"/>
      <c r="N516" s="2334"/>
      <c r="O516" s="2334"/>
      <c r="P516" s="2324"/>
      <c r="Q516" s="2324"/>
      <c r="R516" s="2325"/>
      <c r="S516" s="2324"/>
      <c r="T516" s="2324"/>
      <c r="U516" s="2326"/>
      <c r="V516" s="2327"/>
      <c r="W516" s="2327"/>
      <c r="X516" s="2327"/>
      <c r="Y516" s="2327"/>
      <c r="Z516" s="2327"/>
      <c r="AA516" s="2328"/>
      <c r="AB516" s="2329"/>
      <c r="AC516" s="2326"/>
      <c r="AD516" s="2330">
        <f t="shared" si="345"/>
        <v>0</v>
      </c>
      <c r="AE516" s="2330"/>
      <c r="AF516" s="2330"/>
      <c r="AG516" s="2330">
        <f t="shared" si="339"/>
        <v>0</v>
      </c>
      <c r="AH516" s="2330"/>
      <c r="AI516" s="2330"/>
      <c r="AJ516" s="2330">
        <f t="shared" si="346"/>
        <v>0</v>
      </c>
      <c r="AK516" s="2330"/>
      <c r="AL516" s="2330"/>
      <c r="AM516" s="2331">
        <f t="shared" si="333"/>
        <v>0</v>
      </c>
      <c r="AN516" s="2331"/>
      <c r="AO516" s="2331"/>
      <c r="AP516" s="2331"/>
      <c r="AQ516" s="2332">
        <f t="shared" si="347"/>
        <v>0</v>
      </c>
      <c r="AR516" s="2332"/>
      <c r="AS516" s="2332"/>
      <c r="AT516" s="2332">
        <f t="shared" si="348"/>
        <v>0</v>
      </c>
      <c r="AV516" s="151" t="str">
        <f t="shared" si="328"/>
        <v>GARAGE DOORS</v>
      </c>
      <c r="AW516" s="681"/>
      <c r="AX516" s="230"/>
      <c r="AY516" s="230"/>
      <c r="AZ516" s="679"/>
      <c r="BA516" s="49">
        <f t="shared" si="349"/>
        <v>0</v>
      </c>
      <c r="BB516" s="49">
        <f t="shared" si="354"/>
        <v>0</v>
      </c>
      <c r="BC516" s="49">
        <f t="shared" si="355"/>
        <v>0</v>
      </c>
      <c r="BD516" s="49">
        <f t="shared" si="350"/>
        <v>0</v>
      </c>
      <c r="BE516" s="49">
        <f t="shared" si="356"/>
        <v>0</v>
      </c>
      <c r="BF516" s="49">
        <f t="shared" si="351"/>
        <v>0</v>
      </c>
      <c r="BG516" s="49">
        <f t="shared" si="352"/>
        <v>0</v>
      </c>
      <c r="BI516" s="134">
        <f t="shared" si="357"/>
        <v>0</v>
      </c>
      <c r="BJ516" s="134">
        <f t="shared" si="353"/>
        <v>0</v>
      </c>
      <c r="BK516" s="134">
        <f t="shared" si="358"/>
        <v>0</v>
      </c>
    </row>
    <row r="517" spans="1:63" hidden="1">
      <c r="A517" s="187"/>
      <c r="B517" s="2321"/>
      <c r="C517" s="2322"/>
      <c r="D517" s="2334"/>
      <c r="E517" s="2334"/>
      <c r="F517" s="2334"/>
      <c r="G517" s="2334"/>
      <c r="H517" s="2334"/>
      <c r="I517" s="2334"/>
      <c r="J517" s="2334"/>
      <c r="K517" s="2334"/>
      <c r="L517" s="2334"/>
      <c r="M517" s="2334"/>
      <c r="N517" s="2334"/>
      <c r="O517" s="2334"/>
      <c r="P517" s="2324"/>
      <c r="Q517" s="2324"/>
      <c r="R517" s="2325"/>
      <c r="S517" s="2324"/>
      <c r="T517" s="2324"/>
      <c r="U517" s="2326"/>
      <c r="V517" s="2327"/>
      <c r="W517" s="2327"/>
      <c r="X517" s="2327"/>
      <c r="Y517" s="2327"/>
      <c r="Z517" s="2327"/>
      <c r="AA517" s="2328"/>
      <c r="AB517" s="2329"/>
      <c r="AC517" s="2326"/>
      <c r="AD517" s="2330">
        <f t="shared" si="345"/>
        <v>0</v>
      </c>
      <c r="AE517" s="2330"/>
      <c r="AF517" s="2330"/>
      <c r="AG517" s="2330">
        <f t="shared" si="339"/>
        <v>0</v>
      </c>
      <c r="AH517" s="2330"/>
      <c r="AI517" s="2330"/>
      <c r="AJ517" s="2330">
        <f t="shared" si="346"/>
        <v>0</v>
      </c>
      <c r="AK517" s="2330"/>
      <c r="AL517" s="2330"/>
      <c r="AM517" s="2331">
        <f t="shared" si="333"/>
        <v>0</v>
      </c>
      <c r="AN517" s="2331"/>
      <c r="AO517" s="2331"/>
      <c r="AP517" s="2331"/>
      <c r="AQ517" s="2332">
        <f t="shared" si="347"/>
        <v>0</v>
      </c>
      <c r="AR517" s="2332"/>
      <c r="AS517" s="2332"/>
      <c r="AT517" s="2332">
        <f t="shared" si="348"/>
        <v>0</v>
      </c>
      <c r="AV517" s="151" t="str">
        <f t="shared" si="328"/>
        <v>GARAGE DOORS</v>
      </c>
      <c r="AW517" s="681"/>
      <c r="AX517" s="230"/>
      <c r="AY517" s="230"/>
      <c r="AZ517" s="679"/>
      <c r="BA517" s="49">
        <f t="shared" si="349"/>
        <v>0</v>
      </c>
      <c r="BB517" s="49">
        <f t="shared" si="354"/>
        <v>0</v>
      </c>
      <c r="BC517" s="49">
        <f t="shared" si="355"/>
        <v>0</v>
      </c>
      <c r="BD517" s="49">
        <f t="shared" si="350"/>
        <v>0</v>
      </c>
      <c r="BE517" s="49">
        <f t="shared" si="356"/>
        <v>0</v>
      </c>
      <c r="BF517" s="49">
        <f t="shared" si="351"/>
        <v>0</v>
      </c>
      <c r="BG517" s="49">
        <f t="shared" si="352"/>
        <v>0</v>
      </c>
      <c r="BI517" s="134">
        <f t="shared" si="357"/>
        <v>0</v>
      </c>
      <c r="BJ517" s="134">
        <f t="shared" si="353"/>
        <v>0</v>
      </c>
      <c r="BK517" s="134">
        <f t="shared" si="358"/>
        <v>0</v>
      </c>
    </row>
    <row r="518" spans="1:63" hidden="1">
      <c r="A518" s="187"/>
      <c r="B518" s="2321"/>
      <c r="C518" s="2322"/>
      <c r="D518" s="2334"/>
      <c r="E518" s="2334"/>
      <c r="F518" s="2334"/>
      <c r="G518" s="2334"/>
      <c r="H518" s="2334"/>
      <c r="I518" s="2334"/>
      <c r="J518" s="2334"/>
      <c r="K518" s="2334"/>
      <c r="L518" s="2334"/>
      <c r="M518" s="2334"/>
      <c r="N518" s="2334"/>
      <c r="O518" s="2334"/>
      <c r="P518" s="2324"/>
      <c r="Q518" s="2324"/>
      <c r="R518" s="2325"/>
      <c r="S518" s="2324"/>
      <c r="T518" s="2324"/>
      <c r="U518" s="2326"/>
      <c r="V518" s="2327"/>
      <c r="W518" s="2327"/>
      <c r="X518" s="2327"/>
      <c r="Y518" s="2327"/>
      <c r="Z518" s="2327"/>
      <c r="AA518" s="2328"/>
      <c r="AB518" s="2329"/>
      <c r="AC518" s="2326"/>
      <c r="AD518" s="2330">
        <f t="shared" si="345"/>
        <v>0</v>
      </c>
      <c r="AE518" s="2330"/>
      <c r="AF518" s="2330"/>
      <c r="AG518" s="2330">
        <f t="shared" si="339"/>
        <v>0</v>
      </c>
      <c r="AH518" s="2330"/>
      <c r="AI518" s="2330"/>
      <c r="AJ518" s="2330">
        <f t="shared" si="346"/>
        <v>0</v>
      </c>
      <c r="AK518" s="2330"/>
      <c r="AL518" s="2330"/>
      <c r="AM518" s="2331">
        <f t="shared" si="333"/>
        <v>0</v>
      </c>
      <c r="AN518" s="2331"/>
      <c r="AO518" s="2331"/>
      <c r="AP518" s="2331"/>
      <c r="AQ518" s="2332">
        <f t="shared" si="347"/>
        <v>0</v>
      </c>
      <c r="AR518" s="2332"/>
      <c r="AS518" s="2332"/>
      <c r="AT518" s="2332">
        <f t="shared" si="348"/>
        <v>0</v>
      </c>
      <c r="AV518" s="151" t="str">
        <f t="shared" si="328"/>
        <v>GARAGE DOORS</v>
      </c>
      <c r="AW518" s="681"/>
      <c r="AX518" s="230"/>
      <c r="AY518" s="230"/>
      <c r="AZ518" s="679"/>
      <c r="BA518" s="49">
        <f t="shared" si="349"/>
        <v>0</v>
      </c>
      <c r="BB518" s="49">
        <f t="shared" si="354"/>
        <v>0</v>
      </c>
      <c r="BC518" s="49">
        <f t="shared" si="355"/>
        <v>0</v>
      </c>
      <c r="BD518" s="49">
        <f t="shared" si="350"/>
        <v>0</v>
      </c>
      <c r="BE518" s="49">
        <f t="shared" si="356"/>
        <v>0</v>
      </c>
      <c r="BF518" s="49">
        <f t="shared" si="351"/>
        <v>0</v>
      </c>
      <c r="BG518" s="49">
        <f t="shared" si="352"/>
        <v>0</v>
      </c>
      <c r="BI518" s="134">
        <f t="shared" si="357"/>
        <v>0</v>
      </c>
      <c r="BJ518" s="134">
        <f t="shared" si="353"/>
        <v>0</v>
      </c>
      <c r="BK518" s="134">
        <f t="shared" si="358"/>
        <v>0</v>
      </c>
    </row>
    <row r="519" spans="1:63" hidden="1">
      <c r="A519" s="187"/>
      <c r="B519" s="2321"/>
      <c r="C519" s="2322"/>
      <c r="D519" s="2334"/>
      <c r="E519" s="2334"/>
      <c r="F519" s="2334"/>
      <c r="G519" s="2334"/>
      <c r="H519" s="2334"/>
      <c r="I519" s="2334"/>
      <c r="J519" s="2334"/>
      <c r="K519" s="2334"/>
      <c r="L519" s="2334"/>
      <c r="M519" s="2334"/>
      <c r="N519" s="2334"/>
      <c r="O519" s="2334"/>
      <c r="P519" s="2324"/>
      <c r="Q519" s="2324"/>
      <c r="R519" s="2325"/>
      <c r="S519" s="2324"/>
      <c r="T519" s="2324"/>
      <c r="U519" s="2326"/>
      <c r="V519" s="2327"/>
      <c r="W519" s="2327"/>
      <c r="X519" s="2327"/>
      <c r="Y519" s="2327"/>
      <c r="Z519" s="2327"/>
      <c r="AA519" s="2328"/>
      <c r="AB519" s="2329"/>
      <c r="AC519" s="2326"/>
      <c r="AD519" s="2330">
        <f t="shared" si="345"/>
        <v>0</v>
      </c>
      <c r="AE519" s="2330"/>
      <c r="AF519" s="2330"/>
      <c r="AG519" s="2330">
        <f t="shared" si="339"/>
        <v>0</v>
      </c>
      <c r="AH519" s="2330"/>
      <c r="AI519" s="2330"/>
      <c r="AJ519" s="2330">
        <f t="shared" si="346"/>
        <v>0</v>
      </c>
      <c r="AK519" s="2330"/>
      <c r="AL519" s="2330"/>
      <c r="AM519" s="2331">
        <f t="shared" si="333"/>
        <v>0</v>
      </c>
      <c r="AN519" s="2331"/>
      <c r="AO519" s="2331"/>
      <c r="AP519" s="2331"/>
      <c r="AQ519" s="2332">
        <f t="shared" si="347"/>
        <v>0</v>
      </c>
      <c r="AR519" s="2332"/>
      <c r="AS519" s="2332"/>
      <c r="AT519" s="2332">
        <f t="shared" si="348"/>
        <v>0</v>
      </c>
      <c r="AV519" s="151" t="str">
        <f t="shared" si="328"/>
        <v>GARAGE DOORS</v>
      </c>
      <c r="AW519" s="681"/>
      <c r="AX519" s="230"/>
      <c r="AY519" s="230"/>
      <c r="AZ519" s="679"/>
      <c r="BA519" s="49">
        <f t="shared" si="349"/>
        <v>0</v>
      </c>
      <c r="BB519" s="49">
        <f t="shared" si="354"/>
        <v>0</v>
      </c>
      <c r="BC519" s="49">
        <f t="shared" si="355"/>
        <v>0</v>
      </c>
      <c r="BD519" s="49">
        <f t="shared" si="350"/>
        <v>0</v>
      </c>
      <c r="BE519" s="49">
        <f t="shared" si="356"/>
        <v>0</v>
      </c>
      <c r="BF519" s="49">
        <f t="shared" si="351"/>
        <v>0</v>
      </c>
      <c r="BG519" s="49">
        <f t="shared" si="352"/>
        <v>0</v>
      </c>
      <c r="BI519" s="134">
        <f t="shared" si="357"/>
        <v>0</v>
      </c>
      <c r="BJ519" s="134">
        <f t="shared" si="353"/>
        <v>0</v>
      </c>
      <c r="BK519" s="134">
        <f t="shared" si="358"/>
        <v>0</v>
      </c>
    </row>
    <row r="520" spans="1:63" hidden="1">
      <c r="A520" s="187"/>
      <c r="B520" s="2333"/>
      <c r="C520" s="2333"/>
      <c r="D520" s="2334"/>
      <c r="E520" s="2334"/>
      <c r="F520" s="2334"/>
      <c r="G520" s="2334"/>
      <c r="H520" s="2334"/>
      <c r="I520" s="2334"/>
      <c r="J520" s="2334"/>
      <c r="K520" s="2334"/>
      <c r="L520" s="2334"/>
      <c r="M520" s="2334"/>
      <c r="N520" s="2334"/>
      <c r="O520" s="2334"/>
      <c r="P520" s="2324"/>
      <c r="Q520" s="2324"/>
      <c r="R520" s="2325"/>
      <c r="S520" s="2324"/>
      <c r="T520" s="2324"/>
      <c r="U520" s="2326"/>
      <c r="V520" s="2327"/>
      <c r="W520" s="2327"/>
      <c r="X520" s="2327"/>
      <c r="Y520" s="2327"/>
      <c r="Z520" s="2327"/>
      <c r="AA520" s="2328"/>
      <c r="AB520" s="2329"/>
      <c r="AC520" s="2326"/>
      <c r="AD520" s="2330">
        <f t="shared" si="345"/>
        <v>0</v>
      </c>
      <c r="AE520" s="2330"/>
      <c r="AF520" s="2330"/>
      <c r="AG520" s="2330">
        <f t="shared" si="339"/>
        <v>0</v>
      </c>
      <c r="AH520" s="2330"/>
      <c r="AI520" s="2330"/>
      <c r="AJ520" s="2330">
        <f t="shared" si="346"/>
        <v>0</v>
      </c>
      <c r="AK520" s="2330"/>
      <c r="AL520" s="2330"/>
      <c r="AM520" s="2331">
        <f t="shared" si="333"/>
        <v>0</v>
      </c>
      <c r="AN520" s="2331"/>
      <c r="AO520" s="2331"/>
      <c r="AP520" s="2331"/>
      <c r="AQ520" s="2332">
        <f t="shared" si="347"/>
        <v>0</v>
      </c>
      <c r="AR520" s="2332"/>
      <c r="AS520" s="2332"/>
      <c r="AT520" s="2332">
        <f t="shared" si="348"/>
        <v>0</v>
      </c>
      <c r="AV520" s="151" t="str">
        <f t="shared" si="328"/>
        <v>GARAGE DOORS</v>
      </c>
      <c r="AW520" s="681"/>
      <c r="AX520" s="230"/>
      <c r="AY520" s="230"/>
      <c r="AZ520" s="679"/>
      <c r="BA520" s="49">
        <f t="shared" si="349"/>
        <v>0</v>
      </c>
      <c r="BB520" s="49">
        <f t="shared" si="354"/>
        <v>0</v>
      </c>
      <c r="BC520" s="49">
        <f t="shared" si="355"/>
        <v>0</v>
      </c>
      <c r="BD520" s="49">
        <f t="shared" si="350"/>
        <v>0</v>
      </c>
      <c r="BE520" s="49">
        <f t="shared" si="356"/>
        <v>0</v>
      </c>
      <c r="BF520" s="49">
        <f t="shared" si="351"/>
        <v>0</v>
      </c>
      <c r="BG520" s="49">
        <f t="shared" si="352"/>
        <v>0</v>
      </c>
      <c r="BI520" s="134">
        <f t="shared" si="357"/>
        <v>0</v>
      </c>
      <c r="BJ520" s="134">
        <f t="shared" si="353"/>
        <v>0</v>
      </c>
      <c r="BK520" s="134">
        <f t="shared" si="358"/>
        <v>0</v>
      </c>
    </row>
    <row r="521" spans="1:63" hidden="1">
      <c r="A521" s="187"/>
      <c r="B521" s="2321"/>
      <c r="C521" s="2322"/>
      <c r="D521" s="2334"/>
      <c r="E521" s="2334"/>
      <c r="F521" s="2334"/>
      <c r="G521" s="2334"/>
      <c r="H521" s="2334"/>
      <c r="I521" s="2334"/>
      <c r="J521" s="2334"/>
      <c r="K521" s="2334"/>
      <c r="L521" s="2334"/>
      <c r="M521" s="2334"/>
      <c r="N521" s="2334"/>
      <c r="O521" s="2334"/>
      <c r="P521" s="2324"/>
      <c r="Q521" s="2324"/>
      <c r="R521" s="2325"/>
      <c r="S521" s="2324"/>
      <c r="T521" s="2324"/>
      <c r="U521" s="2326"/>
      <c r="V521" s="2327"/>
      <c r="W521" s="2327"/>
      <c r="X521" s="2327"/>
      <c r="Y521" s="2327"/>
      <c r="Z521" s="2327"/>
      <c r="AA521" s="2328"/>
      <c r="AB521" s="2329"/>
      <c r="AC521" s="2326"/>
      <c r="AD521" s="2330">
        <f t="shared" si="345"/>
        <v>0</v>
      </c>
      <c r="AE521" s="2330"/>
      <c r="AF521" s="2330"/>
      <c r="AG521" s="2330">
        <f t="shared" si="339"/>
        <v>0</v>
      </c>
      <c r="AH521" s="2330"/>
      <c r="AI521" s="2330"/>
      <c r="AJ521" s="2330">
        <f t="shared" si="346"/>
        <v>0</v>
      </c>
      <c r="AK521" s="2330"/>
      <c r="AL521" s="2330"/>
      <c r="AM521" s="2331">
        <f t="shared" si="333"/>
        <v>0</v>
      </c>
      <c r="AN521" s="2331"/>
      <c r="AO521" s="2331"/>
      <c r="AP521" s="2331"/>
      <c r="AQ521" s="2332">
        <f t="shared" si="347"/>
        <v>0</v>
      </c>
      <c r="AR521" s="2332"/>
      <c r="AS521" s="2332"/>
      <c r="AT521" s="2332">
        <f t="shared" si="348"/>
        <v>0</v>
      </c>
      <c r="AV521" s="151" t="str">
        <f t="shared" si="328"/>
        <v>GARAGE DOORS</v>
      </c>
      <c r="AW521" s="681"/>
      <c r="AX521" s="230"/>
      <c r="AY521" s="230"/>
      <c r="AZ521" s="679"/>
      <c r="BA521" s="49">
        <f t="shared" si="349"/>
        <v>0</v>
      </c>
      <c r="BB521" s="49">
        <f t="shared" si="354"/>
        <v>0</v>
      </c>
      <c r="BC521" s="49">
        <f t="shared" si="355"/>
        <v>0</v>
      </c>
      <c r="BD521" s="49">
        <f t="shared" si="350"/>
        <v>0</v>
      </c>
      <c r="BE521" s="49">
        <f t="shared" si="356"/>
        <v>0</v>
      </c>
      <c r="BF521" s="49">
        <f t="shared" si="351"/>
        <v>0</v>
      </c>
      <c r="BG521" s="49">
        <f t="shared" si="352"/>
        <v>0</v>
      </c>
      <c r="BI521" s="134">
        <f t="shared" si="357"/>
        <v>0</v>
      </c>
      <c r="BJ521" s="134">
        <f t="shared" si="353"/>
        <v>0</v>
      </c>
      <c r="BK521" s="134">
        <f t="shared" si="358"/>
        <v>0</v>
      </c>
    </row>
    <row r="522" spans="1:63" hidden="1">
      <c r="A522" s="187"/>
      <c r="B522" s="2321"/>
      <c r="C522" s="2322"/>
      <c r="D522" s="2334"/>
      <c r="E522" s="2334"/>
      <c r="F522" s="2334"/>
      <c r="G522" s="2334"/>
      <c r="H522" s="2334"/>
      <c r="I522" s="2334"/>
      <c r="J522" s="2334"/>
      <c r="K522" s="2334"/>
      <c r="L522" s="2334"/>
      <c r="M522" s="2334"/>
      <c r="N522" s="2334"/>
      <c r="O522" s="2334"/>
      <c r="P522" s="2324"/>
      <c r="Q522" s="2324"/>
      <c r="R522" s="2325"/>
      <c r="S522" s="2324"/>
      <c r="T522" s="2324"/>
      <c r="U522" s="2326"/>
      <c r="V522" s="2327"/>
      <c r="W522" s="2327"/>
      <c r="X522" s="2327"/>
      <c r="Y522" s="2327"/>
      <c r="Z522" s="2327"/>
      <c r="AA522" s="2328"/>
      <c r="AB522" s="2329"/>
      <c r="AC522" s="2326"/>
      <c r="AD522" s="2330">
        <f t="shared" si="345"/>
        <v>0</v>
      </c>
      <c r="AE522" s="2330"/>
      <c r="AF522" s="2330"/>
      <c r="AG522" s="2330">
        <f t="shared" si="339"/>
        <v>0</v>
      </c>
      <c r="AH522" s="2330"/>
      <c r="AI522" s="2330"/>
      <c r="AJ522" s="2330">
        <f t="shared" si="346"/>
        <v>0</v>
      </c>
      <c r="AK522" s="2330"/>
      <c r="AL522" s="2330"/>
      <c r="AM522" s="2331">
        <f t="shared" si="333"/>
        <v>0</v>
      </c>
      <c r="AN522" s="2331"/>
      <c r="AO522" s="2331"/>
      <c r="AP522" s="2331"/>
      <c r="AQ522" s="2332">
        <f t="shared" si="347"/>
        <v>0</v>
      </c>
      <c r="AR522" s="2332"/>
      <c r="AS522" s="2332"/>
      <c r="AT522" s="2332">
        <f t="shared" si="348"/>
        <v>0</v>
      </c>
      <c r="AV522" s="151" t="str">
        <f t="shared" si="328"/>
        <v>GARAGE DOORS</v>
      </c>
      <c r="AW522" s="681"/>
      <c r="AX522" s="230"/>
      <c r="AY522" s="230"/>
      <c r="AZ522" s="679"/>
      <c r="BA522" s="49">
        <f t="shared" si="349"/>
        <v>0</v>
      </c>
      <c r="BB522" s="49">
        <f t="shared" si="354"/>
        <v>0</v>
      </c>
      <c r="BC522" s="49">
        <f t="shared" si="355"/>
        <v>0</v>
      </c>
      <c r="BD522" s="49">
        <f t="shared" si="350"/>
        <v>0</v>
      </c>
      <c r="BE522" s="49">
        <f t="shared" si="356"/>
        <v>0</v>
      </c>
      <c r="BF522" s="49">
        <f t="shared" si="351"/>
        <v>0</v>
      </c>
      <c r="BG522" s="49">
        <f t="shared" si="352"/>
        <v>0</v>
      </c>
      <c r="BI522" s="134">
        <f t="shared" si="357"/>
        <v>0</v>
      </c>
      <c r="BJ522" s="134">
        <f t="shared" si="353"/>
        <v>0</v>
      </c>
      <c r="BK522" s="134">
        <f t="shared" si="358"/>
        <v>0</v>
      </c>
    </row>
    <row r="523" spans="1:63" hidden="1">
      <c r="A523" s="187"/>
      <c r="B523" s="2321"/>
      <c r="C523" s="2322"/>
      <c r="D523" s="2334"/>
      <c r="E523" s="2334"/>
      <c r="F523" s="2334"/>
      <c r="G523" s="2334"/>
      <c r="H523" s="2334"/>
      <c r="I523" s="2334"/>
      <c r="J523" s="2334"/>
      <c r="K523" s="2334"/>
      <c r="L523" s="2334"/>
      <c r="M523" s="2334"/>
      <c r="N523" s="2334"/>
      <c r="O523" s="2334"/>
      <c r="P523" s="2324"/>
      <c r="Q523" s="2324"/>
      <c r="R523" s="2325"/>
      <c r="S523" s="2324"/>
      <c r="T523" s="2324"/>
      <c r="U523" s="2326"/>
      <c r="V523" s="2327"/>
      <c r="W523" s="2327"/>
      <c r="X523" s="2327"/>
      <c r="Y523" s="2327"/>
      <c r="Z523" s="2327"/>
      <c r="AA523" s="2328"/>
      <c r="AB523" s="2329"/>
      <c r="AC523" s="2326"/>
      <c r="AD523" s="2330">
        <f t="shared" si="345"/>
        <v>0</v>
      </c>
      <c r="AE523" s="2330"/>
      <c r="AF523" s="2330"/>
      <c r="AG523" s="2330">
        <f t="shared" si="339"/>
        <v>0</v>
      </c>
      <c r="AH523" s="2330"/>
      <c r="AI523" s="2330"/>
      <c r="AJ523" s="2330">
        <f t="shared" si="346"/>
        <v>0</v>
      </c>
      <c r="AK523" s="2330"/>
      <c r="AL523" s="2330"/>
      <c r="AM523" s="2331">
        <f t="shared" si="333"/>
        <v>0</v>
      </c>
      <c r="AN523" s="2331"/>
      <c r="AO523" s="2331"/>
      <c r="AP523" s="2331"/>
      <c r="AQ523" s="2332">
        <f t="shared" si="347"/>
        <v>0</v>
      </c>
      <c r="AR523" s="2332"/>
      <c r="AS523" s="2332"/>
      <c r="AT523" s="2332">
        <f t="shared" si="348"/>
        <v>0</v>
      </c>
      <c r="AV523" s="151" t="str">
        <f t="shared" si="328"/>
        <v>GARAGE DOORS</v>
      </c>
      <c r="AW523" s="681"/>
      <c r="AX523" s="230"/>
      <c r="AY523" s="230"/>
      <c r="AZ523" s="679"/>
      <c r="BA523" s="49">
        <f t="shared" si="349"/>
        <v>0</v>
      </c>
      <c r="BB523" s="49">
        <f t="shared" si="354"/>
        <v>0</v>
      </c>
      <c r="BC523" s="49">
        <f t="shared" si="355"/>
        <v>0</v>
      </c>
      <c r="BD523" s="49">
        <f t="shared" si="350"/>
        <v>0</v>
      </c>
      <c r="BE523" s="49">
        <f t="shared" si="356"/>
        <v>0</v>
      </c>
      <c r="BF523" s="49">
        <f t="shared" si="351"/>
        <v>0</v>
      </c>
      <c r="BG523" s="49">
        <f t="shared" si="352"/>
        <v>0</v>
      </c>
      <c r="BI523" s="134">
        <f t="shared" si="357"/>
        <v>0</v>
      </c>
      <c r="BJ523" s="134">
        <f t="shared" si="353"/>
        <v>0</v>
      </c>
      <c r="BK523" s="134">
        <f t="shared" si="358"/>
        <v>0</v>
      </c>
    </row>
    <row r="524" spans="1:63" hidden="1">
      <c r="A524" s="187"/>
      <c r="B524" s="2321"/>
      <c r="C524" s="2322"/>
      <c r="D524" s="2334"/>
      <c r="E524" s="2334"/>
      <c r="F524" s="2334"/>
      <c r="G524" s="2334"/>
      <c r="H524" s="2334"/>
      <c r="I524" s="2334"/>
      <c r="J524" s="2334"/>
      <c r="K524" s="2334"/>
      <c r="L524" s="2334"/>
      <c r="M524" s="2334"/>
      <c r="N524" s="2334"/>
      <c r="O524" s="2334"/>
      <c r="P524" s="2324"/>
      <c r="Q524" s="2324"/>
      <c r="R524" s="2325"/>
      <c r="S524" s="2324"/>
      <c r="T524" s="2324"/>
      <c r="U524" s="2326"/>
      <c r="V524" s="2327"/>
      <c r="W524" s="2327"/>
      <c r="X524" s="2327"/>
      <c r="Y524" s="2327"/>
      <c r="Z524" s="2327"/>
      <c r="AA524" s="2328"/>
      <c r="AB524" s="2329"/>
      <c r="AC524" s="2326"/>
      <c r="AD524" s="2330">
        <f t="shared" si="345"/>
        <v>0</v>
      </c>
      <c r="AE524" s="2330"/>
      <c r="AF524" s="2330"/>
      <c r="AG524" s="2330">
        <f t="shared" si="339"/>
        <v>0</v>
      </c>
      <c r="AH524" s="2330"/>
      <c r="AI524" s="2330"/>
      <c r="AJ524" s="2330">
        <f t="shared" si="346"/>
        <v>0</v>
      </c>
      <c r="AK524" s="2330"/>
      <c r="AL524" s="2330"/>
      <c r="AM524" s="2331">
        <f t="shared" si="333"/>
        <v>0</v>
      </c>
      <c r="AN524" s="2331"/>
      <c r="AO524" s="2331"/>
      <c r="AP524" s="2331"/>
      <c r="AQ524" s="2332">
        <f t="shared" si="347"/>
        <v>0</v>
      </c>
      <c r="AR524" s="2332"/>
      <c r="AS524" s="2332"/>
      <c r="AT524" s="2332">
        <f t="shared" si="348"/>
        <v>0</v>
      </c>
      <c r="AV524" s="151" t="str">
        <f t="shared" si="328"/>
        <v>GARAGE DOORS</v>
      </c>
      <c r="AW524" s="681"/>
      <c r="AX524" s="230"/>
      <c r="AY524" s="230"/>
      <c r="AZ524" s="679"/>
      <c r="BA524" s="49">
        <f t="shared" si="349"/>
        <v>0</v>
      </c>
      <c r="BB524" s="49">
        <f t="shared" si="354"/>
        <v>0</v>
      </c>
      <c r="BC524" s="49">
        <f t="shared" si="355"/>
        <v>0</v>
      </c>
      <c r="BD524" s="49">
        <f t="shared" si="350"/>
        <v>0</v>
      </c>
      <c r="BE524" s="49">
        <f t="shared" si="356"/>
        <v>0</v>
      </c>
      <c r="BF524" s="49">
        <f t="shared" si="351"/>
        <v>0</v>
      </c>
      <c r="BG524" s="49">
        <f t="shared" si="352"/>
        <v>0</v>
      </c>
      <c r="BI524" s="134">
        <f t="shared" si="357"/>
        <v>0</v>
      </c>
      <c r="BJ524" s="134">
        <f t="shared" si="353"/>
        <v>0</v>
      </c>
      <c r="BK524" s="134">
        <f t="shared" si="358"/>
        <v>0</v>
      </c>
    </row>
    <row r="525" spans="1:63" hidden="1">
      <c r="A525" s="187"/>
      <c r="B525" s="2321"/>
      <c r="C525" s="2322"/>
      <c r="D525" s="2334"/>
      <c r="E525" s="2334"/>
      <c r="F525" s="2334"/>
      <c r="G525" s="2334"/>
      <c r="H525" s="2334"/>
      <c r="I525" s="2334"/>
      <c r="J525" s="2334"/>
      <c r="K525" s="2334"/>
      <c r="L525" s="2334"/>
      <c r="M525" s="2334"/>
      <c r="N525" s="2334"/>
      <c r="O525" s="2334"/>
      <c r="P525" s="2324"/>
      <c r="Q525" s="2324"/>
      <c r="R525" s="2325"/>
      <c r="S525" s="2324"/>
      <c r="T525" s="2324"/>
      <c r="U525" s="2326"/>
      <c r="V525" s="2327"/>
      <c r="W525" s="2327"/>
      <c r="X525" s="2327"/>
      <c r="Y525" s="2327"/>
      <c r="Z525" s="2327"/>
      <c r="AA525" s="2328"/>
      <c r="AB525" s="2329"/>
      <c r="AC525" s="2326"/>
      <c r="AD525" s="2330">
        <f t="shared" si="345"/>
        <v>0</v>
      </c>
      <c r="AE525" s="2330"/>
      <c r="AF525" s="2330"/>
      <c r="AG525" s="2330">
        <f t="shared" si="339"/>
        <v>0</v>
      </c>
      <c r="AH525" s="2330"/>
      <c r="AI525" s="2330"/>
      <c r="AJ525" s="2330">
        <f t="shared" si="346"/>
        <v>0</v>
      </c>
      <c r="AK525" s="2330"/>
      <c r="AL525" s="2330"/>
      <c r="AM525" s="2331">
        <f t="shared" si="333"/>
        <v>0</v>
      </c>
      <c r="AN525" s="2331"/>
      <c r="AO525" s="2331"/>
      <c r="AP525" s="2331"/>
      <c r="AQ525" s="2332">
        <f t="shared" si="347"/>
        <v>0</v>
      </c>
      <c r="AR525" s="2332"/>
      <c r="AS525" s="2332"/>
      <c r="AT525" s="2332">
        <f t="shared" si="348"/>
        <v>0</v>
      </c>
      <c r="AV525" s="151" t="str">
        <f t="shared" si="328"/>
        <v>GARAGE DOORS</v>
      </c>
      <c r="AW525" s="681"/>
      <c r="AX525" s="230"/>
      <c r="AY525" s="230"/>
      <c r="AZ525" s="679"/>
      <c r="BA525" s="49">
        <f t="shared" si="349"/>
        <v>0</v>
      </c>
      <c r="BB525" s="49">
        <f t="shared" si="354"/>
        <v>0</v>
      </c>
      <c r="BC525" s="49">
        <f t="shared" si="355"/>
        <v>0</v>
      </c>
      <c r="BD525" s="49">
        <f t="shared" si="350"/>
        <v>0</v>
      </c>
      <c r="BE525" s="49">
        <f t="shared" si="356"/>
        <v>0</v>
      </c>
      <c r="BF525" s="49">
        <f t="shared" si="351"/>
        <v>0</v>
      </c>
      <c r="BG525" s="49">
        <f t="shared" si="352"/>
        <v>0</v>
      </c>
      <c r="BI525" s="134">
        <f t="shared" si="357"/>
        <v>0</v>
      </c>
      <c r="BJ525" s="134">
        <f t="shared" si="353"/>
        <v>0</v>
      </c>
      <c r="BK525" s="134">
        <f t="shared" si="358"/>
        <v>0</v>
      </c>
    </row>
    <row r="526" spans="1:63" hidden="1">
      <c r="A526" s="187"/>
      <c r="B526" s="2321"/>
      <c r="C526" s="2322"/>
      <c r="D526" s="2334"/>
      <c r="E526" s="2334"/>
      <c r="F526" s="2334"/>
      <c r="G526" s="2334"/>
      <c r="H526" s="2334"/>
      <c r="I526" s="2334"/>
      <c r="J526" s="2334"/>
      <c r="K526" s="2334"/>
      <c r="L526" s="2334"/>
      <c r="M526" s="2334"/>
      <c r="N526" s="2334"/>
      <c r="O526" s="2334"/>
      <c r="P526" s="2324"/>
      <c r="Q526" s="2324"/>
      <c r="R526" s="2325"/>
      <c r="S526" s="2324"/>
      <c r="T526" s="2324"/>
      <c r="U526" s="2326"/>
      <c r="V526" s="2327"/>
      <c r="W526" s="2327"/>
      <c r="X526" s="2327"/>
      <c r="Y526" s="2327"/>
      <c r="Z526" s="2327"/>
      <c r="AA526" s="2328"/>
      <c r="AB526" s="2329"/>
      <c r="AC526" s="2326"/>
      <c r="AD526" s="2330">
        <f t="shared" si="345"/>
        <v>0</v>
      </c>
      <c r="AE526" s="2330"/>
      <c r="AF526" s="2330"/>
      <c r="AG526" s="2330">
        <f t="shared" si="339"/>
        <v>0</v>
      </c>
      <c r="AH526" s="2330"/>
      <c r="AI526" s="2330"/>
      <c r="AJ526" s="2330">
        <f t="shared" si="346"/>
        <v>0</v>
      </c>
      <c r="AK526" s="2330"/>
      <c r="AL526" s="2330"/>
      <c r="AM526" s="2331">
        <f t="shared" si="333"/>
        <v>0</v>
      </c>
      <c r="AN526" s="2331"/>
      <c r="AO526" s="2331"/>
      <c r="AP526" s="2331"/>
      <c r="AQ526" s="2332">
        <f t="shared" si="347"/>
        <v>0</v>
      </c>
      <c r="AR526" s="2332"/>
      <c r="AS526" s="2332"/>
      <c r="AT526" s="2332">
        <f t="shared" si="348"/>
        <v>0</v>
      </c>
      <c r="AV526" s="151" t="str">
        <f t="shared" si="328"/>
        <v>GARAGE DOORS</v>
      </c>
      <c r="AW526" s="681"/>
      <c r="AX526" s="230"/>
      <c r="AY526" s="230"/>
      <c r="AZ526" s="679"/>
      <c r="BA526" s="49">
        <f t="shared" si="349"/>
        <v>0</v>
      </c>
      <c r="BB526" s="49">
        <f t="shared" si="354"/>
        <v>0</v>
      </c>
      <c r="BC526" s="49">
        <f t="shared" si="355"/>
        <v>0</v>
      </c>
      <c r="BD526" s="49">
        <f t="shared" si="350"/>
        <v>0</v>
      </c>
      <c r="BE526" s="49">
        <f t="shared" si="356"/>
        <v>0</v>
      </c>
      <c r="BF526" s="49">
        <f t="shared" si="351"/>
        <v>0</v>
      </c>
      <c r="BG526" s="49">
        <f t="shared" si="352"/>
        <v>0</v>
      </c>
      <c r="BI526" s="134">
        <f t="shared" si="357"/>
        <v>0</v>
      </c>
      <c r="BJ526" s="134">
        <f t="shared" si="353"/>
        <v>0</v>
      </c>
      <c r="BK526" s="134">
        <f t="shared" si="358"/>
        <v>0</v>
      </c>
    </row>
    <row r="527" spans="1:63" hidden="1">
      <c r="A527" s="187"/>
      <c r="B527" s="2333"/>
      <c r="C527" s="2333"/>
      <c r="D527" s="2334"/>
      <c r="E527" s="2334"/>
      <c r="F527" s="2334"/>
      <c r="G527" s="2334"/>
      <c r="H527" s="2334"/>
      <c r="I527" s="2334"/>
      <c r="J527" s="2334"/>
      <c r="K527" s="2334"/>
      <c r="L527" s="2334"/>
      <c r="M527" s="2334"/>
      <c r="N527" s="2334"/>
      <c r="O527" s="2334"/>
      <c r="P527" s="2324"/>
      <c r="Q527" s="2324"/>
      <c r="R527" s="2325"/>
      <c r="S527" s="2324"/>
      <c r="T527" s="2324"/>
      <c r="U527" s="2326"/>
      <c r="V527" s="2327"/>
      <c r="W527" s="2327"/>
      <c r="X527" s="2327"/>
      <c r="Y527" s="2327"/>
      <c r="Z527" s="2327"/>
      <c r="AA527" s="2328"/>
      <c r="AB527" s="2329"/>
      <c r="AC527" s="2326"/>
      <c r="AD527" s="2330">
        <f t="shared" si="345"/>
        <v>0</v>
      </c>
      <c r="AE527" s="2330"/>
      <c r="AF527" s="2330"/>
      <c r="AG527" s="2330">
        <f t="shared" si="339"/>
        <v>0</v>
      </c>
      <c r="AH527" s="2330"/>
      <c r="AI527" s="2330"/>
      <c r="AJ527" s="2330">
        <f t="shared" si="346"/>
        <v>0</v>
      </c>
      <c r="AK527" s="2330"/>
      <c r="AL527" s="2330"/>
      <c r="AM527" s="2331">
        <f t="shared" si="333"/>
        <v>0</v>
      </c>
      <c r="AN527" s="2331"/>
      <c r="AO527" s="2331"/>
      <c r="AP527" s="2331"/>
      <c r="AQ527" s="2332">
        <f t="shared" si="347"/>
        <v>0</v>
      </c>
      <c r="AR527" s="2332"/>
      <c r="AS527" s="2332"/>
      <c r="AT527" s="2332">
        <f t="shared" si="348"/>
        <v>0</v>
      </c>
      <c r="AV527" s="151" t="str">
        <f t="shared" si="328"/>
        <v>GARAGE DOORS</v>
      </c>
      <c r="AW527" s="681"/>
      <c r="AX527" s="230"/>
      <c r="AY527" s="230"/>
      <c r="AZ527" s="679"/>
      <c r="BA527" s="49">
        <f t="shared" si="349"/>
        <v>0</v>
      </c>
      <c r="BB527" s="49">
        <f t="shared" si="354"/>
        <v>0</v>
      </c>
      <c r="BC527" s="49">
        <f t="shared" si="355"/>
        <v>0</v>
      </c>
      <c r="BD527" s="49">
        <f t="shared" si="350"/>
        <v>0</v>
      </c>
      <c r="BE527" s="49">
        <f t="shared" si="356"/>
        <v>0</v>
      </c>
      <c r="BF527" s="49">
        <f t="shared" si="351"/>
        <v>0</v>
      </c>
      <c r="BG527" s="49">
        <f t="shared" si="352"/>
        <v>0</v>
      </c>
      <c r="BI527" s="134">
        <f t="shared" si="357"/>
        <v>0</v>
      </c>
      <c r="BJ527" s="134">
        <f t="shared" si="353"/>
        <v>0</v>
      </c>
      <c r="BK527" s="134">
        <f t="shared" si="358"/>
        <v>0</v>
      </c>
    </row>
    <row r="528" spans="1:63" hidden="1">
      <c r="A528" s="187"/>
      <c r="B528" s="2321"/>
      <c r="C528" s="2322"/>
      <c r="D528" s="2334"/>
      <c r="E528" s="2334"/>
      <c r="F528" s="2334"/>
      <c r="G528" s="2334"/>
      <c r="H528" s="2334"/>
      <c r="I528" s="2334"/>
      <c r="J528" s="2334"/>
      <c r="K528" s="2334"/>
      <c r="L528" s="2334"/>
      <c r="M528" s="2334"/>
      <c r="N528" s="2334"/>
      <c r="O528" s="2334"/>
      <c r="P528" s="2324"/>
      <c r="Q528" s="2324"/>
      <c r="R528" s="2325"/>
      <c r="S528" s="2324"/>
      <c r="T528" s="2324"/>
      <c r="U528" s="2326"/>
      <c r="V528" s="2327"/>
      <c r="W528" s="2327"/>
      <c r="X528" s="2327"/>
      <c r="Y528" s="2327"/>
      <c r="Z528" s="2327"/>
      <c r="AA528" s="2328"/>
      <c r="AB528" s="2329"/>
      <c r="AC528" s="2326"/>
      <c r="AD528" s="2330">
        <f t="shared" si="345"/>
        <v>0</v>
      </c>
      <c r="AE528" s="2330"/>
      <c r="AF528" s="2330"/>
      <c r="AG528" s="2330">
        <f t="shared" si="339"/>
        <v>0</v>
      </c>
      <c r="AH528" s="2330"/>
      <c r="AI528" s="2330"/>
      <c r="AJ528" s="2330">
        <f t="shared" si="346"/>
        <v>0</v>
      </c>
      <c r="AK528" s="2330"/>
      <c r="AL528" s="2330"/>
      <c r="AM528" s="2331">
        <f t="shared" si="333"/>
        <v>0</v>
      </c>
      <c r="AN528" s="2331"/>
      <c r="AO528" s="2331"/>
      <c r="AP528" s="2331"/>
      <c r="AQ528" s="2332">
        <f t="shared" si="347"/>
        <v>0</v>
      </c>
      <c r="AR528" s="2332"/>
      <c r="AS528" s="2332"/>
      <c r="AT528" s="2332">
        <f t="shared" si="348"/>
        <v>0</v>
      </c>
      <c r="AV528" s="151" t="str">
        <f t="shared" si="328"/>
        <v>GARAGE DOORS</v>
      </c>
      <c r="AW528" s="681"/>
      <c r="AX528" s="230"/>
      <c r="AY528" s="230"/>
      <c r="AZ528" s="679"/>
      <c r="BA528" s="49">
        <f t="shared" si="349"/>
        <v>0</v>
      </c>
      <c r="BB528" s="49">
        <f t="shared" si="354"/>
        <v>0</v>
      </c>
      <c r="BC528" s="49">
        <f t="shared" si="355"/>
        <v>0</v>
      </c>
      <c r="BD528" s="49">
        <f t="shared" si="350"/>
        <v>0</v>
      </c>
      <c r="BE528" s="49">
        <f t="shared" si="356"/>
        <v>0</v>
      </c>
      <c r="BF528" s="49">
        <f t="shared" si="351"/>
        <v>0</v>
      </c>
      <c r="BG528" s="49">
        <f t="shared" si="352"/>
        <v>0</v>
      </c>
      <c r="BI528" s="134">
        <f t="shared" si="357"/>
        <v>0</v>
      </c>
      <c r="BJ528" s="134">
        <f t="shared" si="353"/>
        <v>0</v>
      </c>
      <c r="BK528" s="134">
        <f t="shared" si="358"/>
        <v>0</v>
      </c>
    </row>
    <row r="529" spans="1:63" hidden="1">
      <c r="A529" s="187"/>
      <c r="B529" s="2321"/>
      <c r="C529" s="2322"/>
      <c r="D529" s="2334"/>
      <c r="E529" s="2334"/>
      <c r="F529" s="2334"/>
      <c r="G529" s="2334"/>
      <c r="H529" s="2334"/>
      <c r="I529" s="2334"/>
      <c r="J529" s="2334"/>
      <c r="K529" s="2334"/>
      <c r="L529" s="2334"/>
      <c r="M529" s="2334"/>
      <c r="N529" s="2334"/>
      <c r="O529" s="2334"/>
      <c r="P529" s="2324"/>
      <c r="Q529" s="2324"/>
      <c r="R529" s="2325"/>
      <c r="S529" s="2324"/>
      <c r="T529" s="2324"/>
      <c r="U529" s="2326"/>
      <c r="V529" s="2327"/>
      <c r="W529" s="2327"/>
      <c r="X529" s="2327"/>
      <c r="Y529" s="2327"/>
      <c r="Z529" s="2327"/>
      <c r="AA529" s="2328"/>
      <c r="AB529" s="2329"/>
      <c r="AC529" s="2326"/>
      <c r="AD529" s="2330">
        <f t="shared" si="345"/>
        <v>0</v>
      </c>
      <c r="AE529" s="2330"/>
      <c r="AF529" s="2330"/>
      <c r="AG529" s="2330">
        <f t="shared" si="339"/>
        <v>0</v>
      </c>
      <c r="AH529" s="2330"/>
      <c r="AI529" s="2330"/>
      <c r="AJ529" s="2330">
        <f t="shared" si="346"/>
        <v>0</v>
      </c>
      <c r="AK529" s="2330"/>
      <c r="AL529" s="2330"/>
      <c r="AM529" s="2331">
        <f t="shared" si="333"/>
        <v>0</v>
      </c>
      <c r="AN529" s="2331"/>
      <c r="AO529" s="2331"/>
      <c r="AP529" s="2331"/>
      <c r="AQ529" s="2332">
        <f t="shared" si="347"/>
        <v>0</v>
      </c>
      <c r="AR529" s="2332"/>
      <c r="AS529" s="2332"/>
      <c r="AT529" s="2332">
        <f t="shared" si="348"/>
        <v>0</v>
      </c>
      <c r="AV529" s="151" t="str">
        <f t="shared" si="328"/>
        <v>GARAGE DOORS</v>
      </c>
      <c r="AW529" s="681"/>
      <c r="AX529" s="230"/>
      <c r="AY529" s="230"/>
      <c r="AZ529" s="679"/>
      <c r="BA529" s="49">
        <f t="shared" si="349"/>
        <v>0</v>
      </c>
      <c r="BB529" s="49">
        <f t="shared" si="354"/>
        <v>0</v>
      </c>
      <c r="BC529" s="49">
        <f t="shared" si="355"/>
        <v>0</v>
      </c>
      <c r="BD529" s="49">
        <f t="shared" si="350"/>
        <v>0</v>
      </c>
      <c r="BE529" s="49">
        <f t="shared" si="356"/>
        <v>0</v>
      </c>
      <c r="BF529" s="49">
        <f t="shared" si="351"/>
        <v>0</v>
      </c>
      <c r="BG529" s="49">
        <f t="shared" si="352"/>
        <v>0</v>
      </c>
      <c r="BI529" s="134">
        <f t="shared" si="357"/>
        <v>0</v>
      </c>
      <c r="BJ529" s="134">
        <f t="shared" si="353"/>
        <v>0</v>
      </c>
      <c r="BK529" s="134">
        <f t="shared" si="358"/>
        <v>0</v>
      </c>
    </row>
    <row r="530" spans="1:63" hidden="1">
      <c r="A530" s="187"/>
      <c r="B530" s="2321"/>
      <c r="C530" s="2322"/>
      <c r="D530" s="2334"/>
      <c r="E530" s="2334"/>
      <c r="F530" s="2334"/>
      <c r="G530" s="2334"/>
      <c r="H530" s="2334"/>
      <c r="I530" s="2334"/>
      <c r="J530" s="2334"/>
      <c r="K530" s="2334"/>
      <c r="L530" s="2334"/>
      <c r="M530" s="2334"/>
      <c r="N530" s="2334"/>
      <c r="O530" s="2334"/>
      <c r="P530" s="2324"/>
      <c r="Q530" s="2324"/>
      <c r="R530" s="2325"/>
      <c r="S530" s="2324"/>
      <c r="T530" s="2324"/>
      <c r="U530" s="2326"/>
      <c r="V530" s="2327"/>
      <c r="W530" s="2327"/>
      <c r="X530" s="2327"/>
      <c r="Y530" s="2327"/>
      <c r="Z530" s="2327"/>
      <c r="AA530" s="2328"/>
      <c r="AB530" s="2329"/>
      <c r="AC530" s="2326"/>
      <c r="AD530" s="2330">
        <f t="shared" si="345"/>
        <v>0</v>
      </c>
      <c r="AE530" s="2330"/>
      <c r="AF530" s="2330"/>
      <c r="AG530" s="2330">
        <f t="shared" si="339"/>
        <v>0</v>
      </c>
      <c r="AH530" s="2330"/>
      <c r="AI530" s="2330"/>
      <c r="AJ530" s="2330">
        <f t="shared" si="346"/>
        <v>0</v>
      </c>
      <c r="AK530" s="2330"/>
      <c r="AL530" s="2330"/>
      <c r="AM530" s="2331">
        <f t="shared" si="333"/>
        <v>0</v>
      </c>
      <c r="AN530" s="2331"/>
      <c r="AO530" s="2331"/>
      <c r="AP530" s="2331"/>
      <c r="AQ530" s="2332">
        <f t="shared" si="347"/>
        <v>0</v>
      </c>
      <c r="AR530" s="2332"/>
      <c r="AS530" s="2332"/>
      <c r="AT530" s="2332">
        <f t="shared" si="348"/>
        <v>0</v>
      </c>
      <c r="AV530" s="151" t="str">
        <f t="shared" si="328"/>
        <v>GARAGE DOORS</v>
      </c>
      <c r="AW530" s="681"/>
      <c r="AX530" s="230"/>
      <c r="AY530" s="230"/>
      <c r="AZ530" s="679"/>
      <c r="BA530" s="49">
        <f t="shared" si="349"/>
        <v>0</v>
      </c>
      <c r="BB530" s="49">
        <f t="shared" si="354"/>
        <v>0</v>
      </c>
      <c r="BC530" s="49">
        <f t="shared" si="355"/>
        <v>0</v>
      </c>
      <c r="BD530" s="49">
        <f t="shared" si="350"/>
        <v>0</v>
      </c>
      <c r="BE530" s="49">
        <f t="shared" si="356"/>
        <v>0</v>
      </c>
      <c r="BF530" s="49">
        <f t="shared" si="351"/>
        <v>0</v>
      </c>
      <c r="BG530" s="49">
        <f t="shared" si="352"/>
        <v>0</v>
      </c>
      <c r="BI530" s="134">
        <f t="shared" si="357"/>
        <v>0</v>
      </c>
      <c r="BJ530" s="134">
        <f t="shared" si="353"/>
        <v>0</v>
      </c>
      <c r="BK530" s="134">
        <f t="shared" si="358"/>
        <v>0</v>
      </c>
    </row>
    <row r="531" spans="1:63" hidden="1">
      <c r="A531" s="187"/>
      <c r="B531" s="2321"/>
      <c r="C531" s="2322"/>
      <c r="D531" s="2334"/>
      <c r="E531" s="2334"/>
      <c r="F531" s="2334"/>
      <c r="G531" s="2334"/>
      <c r="H531" s="2334"/>
      <c r="I531" s="2334"/>
      <c r="J531" s="2334"/>
      <c r="K531" s="2334"/>
      <c r="L531" s="2334"/>
      <c r="M531" s="2334"/>
      <c r="N531" s="2334"/>
      <c r="O531" s="2334"/>
      <c r="P531" s="2324"/>
      <c r="Q531" s="2324"/>
      <c r="R531" s="2325"/>
      <c r="S531" s="2324"/>
      <c r="T531" s="2324"/>
      <c r="U531" s="2326"/>
      <c r="V531" s="2327"/>
      <c r="W531" s="2327"/>
      <c r="X531" s="2327"/>
      <c r="Y531" s="2327"/>
      <c r="Z531" s="2327"/>
      <c r="AA531" s="2328"/>
      <c r="AB531" s="2329"/>
      <c r="AC531" s="2326"/>
      <c r="AD531" s="2330">
        <f t="shared" si="345"/>
        <v>0</v>
      </c>
      <c r="AE531" s="2330"/>
      <c r="AF531" s="2330"/>
      <c r="AG531" s="2330">
        <f t="shared" si="339"/>
        <v>0</v>
      </c>
      <c r="AH531" s="2330"/>
      <c r="AI531" s="2330"/>
      <c r="AJ531" s="2330">
        <f t="shared" si="346"/>
        <v>0</v>
      </c>
      <c r="AK531" s="2330"/>
      <c r="AL531" s="2330"/>
      <c r="AM531" s="2331">
        <f t="shared" si="333"/>
        <v>0</v>
      </c>
      <c r="AN531" s="2331"/>
      <c r="AO531" s="2331"/>
      <c r="AP531" s="2331"/>
      <c r="AQ531" s="2332">
        <f t="shared" si="347"/>
        <v>0</v>
      </c>
      <c r="AR531" s="2332"/>
      <c r="AS531" s="2332"/>
      <c r="AT531" s="2332">
        <f t="shared" si="348"/>
        <v>0</v>
      </c>
      <c r="AV531" s="151" t="str">
        <f t="shared" si="328"/>
        <v>GARAGE DOORS</v>
      </c>
      <c r="AW531" s="681"/>
      <c r="AX531" s="230"/>
      <c r="AY531" s="230"/>
      <c r="AZ531" s="679"/>
      <c r="BA531" s="49">
        <f t="shared" si="349"/>
        <v>0</v>
      </c>
      <c r="BB531" s="49">
        <f t="shared" si="354"/>
        <v>0</v>
      </c>
      <c r="BC531" s="49">
        <f t="shared" si="355"/>
        <v>0</v>
      </c>
      <c r="BD531" s="49">
        <f t="shared" si="350"/>
        <v>0</v>
      </c>
      <c r="BE531" s="49">
        <f>SUM(BA531:BC531)</f>
        <v>0</v>
      </c>
      <c r="BF531" s="49">
        <f t="shared" si="351"/>
        <v>0</v>
      </c>
      <c r="BG531" s="49">
        <f t="shared" si="352"/>
        <v>0</v>
      </c>
      <c r="BI531" s="134">
        <f t="shared" si="357"/>
        <v>0</v>
      </c>
      <c r="BJ531" s="134">
        <f t="shared" si="353"/>
        <v>0</v>
      </c>
      <c r="BK531" s="134">
        <f t="shared" si="358"/>
        <v>0</v>
      </c>
    </row>
    <row r="532" spans="1:63" hidden="1">
      <c r="A532" s="187"/>
      <c r="B532" s="2321"/>
      <c r="C532" s="2322"/>
      <c r="D532" s="2334"/>
      <c r="E532" s="2334"/>
      <c r="F532" s="2334"/>
      <c r="G532" s="2334"/>
      <c r="H532" s="2334"/>
      <c r="I532" s="2334"/>
      <c r="J532" s="2334"/>
      <c r="K532" s="2334"/>
      <c r="L532" s="2334"/>
      <c r="M532" s="2334"/>
      <c r="N532" s="2334"/>
      <c r="O532" s="2334"/>
      <c r="P532" s="2324"/>
      <c r="Q532" s="2324"/>
      <c r="R532" s="2325"/>
      <c r="S532" s="2324"/>
      <c r="T532" s="2324"/>
      <c r="U532" s="2326"/>
      <c r="V532" s="2327"/>
      <c r="W532" s="2327"/>
      <c r="X532" s="2327"/>
      <c r="Y532" s="2327"/>
      <c r="Z532" s="2327"/>
      <c r="AA532" s="2328"/>
      <c r="AB532" s="2329"/>
      <c r="AC532" s="2326"/>
      <c r="AD532" s="2330">
        <f t="shared" si="345"/>
        <v>0</v>
      </c>
      <c r="AE532" s="2330"/>
      <c r="AF532" s="2330"/>
      <c r="AG532" s="2330">
        <f t="shared" si="339"/>
        <v>0</v>
      </c>
      <c r="AH532" s="2330"/>
      <c r="AI532" s="2330"/>
      <c r="AJ532" s="2330">
        <f t="shared" si="346"/>
        <v>0</v>
      </c>
      <c r="AK532" s="2330"/>
      <c r="AL532" s="2330"/>
      <c r="AM532" s="2331">
        <f t="shared" si="333"/>
        <v>0</v>
      </c>
      <c r="AN532" s="2331"/>
      <c r="AO532" s="2331"/>
      <c r="AP532" s="2331"/>
      <c r="AQ532" s="2332">
        <f t="shared" si="347"/>
        <v>0</v>
      </c>
      <c r="AR532" s="2332"/>
      <c r="AS532" s="2332"/>
      <c r="AT532" s="2332">
        <f t="shared" si="348"/>
        <v>0</v>
      </c>
      <c r="AV532" s="151" t="str">
        <f t="shared" si="328"/>
        <v>GARAGE DOORS</v>
      </c>
      <c r="AW532" s="681"/>
      <c r="AX532" s="230"/>
      <c r="AY532" s="230"/>
      <c r="AZ532" s="679"/>
      <c r="BA532" s="49">
        <f t="shared" si="349"/>
        <v>0</v>
      </c>
      <c r="BB532" s="49">
        <f t="shared" si="354"/>
        <v>0</v>
      </c>
      <c r="BC532" s="49">
        <f t="shared" si="355"/>
        <v>0</v>
      </c>
      <c r="BD532" s="49">
        <f t="shared" si="350"/>
        <v>0</v>
      </c>
      <c r="BE532" s="49">
        <f>SUM(BA532:BC532)</f>
        <v>0</v>
      </c>
      <c r="BF532" s="49">
        <f t="shared" si="351"/>
        <v>0</v>
      </c>
      <c r="BG532" s="49">
        <f t="shared" si="352"/>
        <v>0</v>
      </c>
      <c r="BI532" s="134">
        <f t="shared" si="357"/>
        <v>0</v>
      </c>
      <c r="BJ532" s="134">
        <f t="shared" si="353"/>
        <v>0</v>
      </c>
      <c r="BK532" s="134">
        <f t="shared" si="358"/>
        <v>0</v>
      </c>
    </row>
    <row r="533" spans="1:63" ht="5.0999999999999996" hidden="1" customHeight="1">
      <c r="A533" s="187"/>
      <c r="B533" s="64"/>
      <c r="C533" s="64"/>
      <c r="D533" s="885"/>
      <c r="E533" s="885"/>
      <c r="F533" s="885"/>
      <c r="G533" s="885"/>
      <c r="H533" s="885"/>
      <c r="I533" s="885"/>
      <c r="J533" s="885"/>
      <c r="K533" s="885"/>
      <c r="L533" s="885"/>
      <c r="M533" s="885"/>
      <c r="N533" s="885"/>
      <c r="O533" s="885"/>
      <c r="P533" s="66"/>
      <c r="Q533" s="66"/>
      <c r="R533" s="66"/>
      <c r="S533" s="66"/>
      <c r="T533" s="66"/>
      <c r="U533" s="67"/>
      <c r="V533" s="67"/>
      <c r="W533" s="67"/>
      <c r="X533" s="67"/>
      <c r="Y533" s="67"/>
      <c r="Z533" s="67"/>
      <c r="AA533" s="67"/>
      <c r="AB533" s="67"/>
      <c r="AC533" s="67"/>
      <c r="AD533" s="68"/>
      <c r="AE533" s="68"/>
      <c r="AF533" s="68"/>
      <c r="AG533" s="68"/>
      <c r="AH533" s="68"/>
      <c r="AI533" s="68"/>
      <c r="AJ533" s="68"/>
      <c r="AK533" s="68"/>
      <c r="AL533" s="68"/>
      <c r="AM533" s="69"/>
      <c r="AN533" s="69"/>
      <c r="AO533" s="69"/>
      <c r="AP533" s="69"/>
      <c r="AQ533" s="661"/>
      <c r="AR533" s="661"/>
      <c r="AS533" s="661"/>
      <c r="AT533" s="661"/>
      <c r="AV533" s="369" t="str">
        <f t="shared" si="328"/>
        <v>GARAGE DOORS</v>
      </c>
      <c r="AW533" s="696"/>
      <c r="AX533" s="696"/>
      <c r="AY533" s="696"/>
      <c r="AZ533" s="369"/>
      <c r="BA533" s="75">
        <f>BA492</f>
        <v>0</v>
      </c>
      <c r="BB533" s="75">
        <f>BB492</f>
        <v>0</v>
      </c>
      <c r="BC533" s="75">
        <f>BC492</f>
        <v>0</v>
      </c>
      <c r="BD533" s="75">
        <f>BD492</f>
        <v>0</v>
      </c>
      <c r="BE533" s="75">
        <f>BE492</f>
        <v>0</v>
      </c>
      <c r="BF533" s="75"/>
      <c r="BG533" s="75"/>
      <c r="BI533" s="75"/>
      <c r="BJ533" s="75"/>
      <c r="BK533" s="75"/>
    </row>
    <row r="534" spans="1:63" ht="21.6" hidden="1" customHeight="1">
      <c r="A534" s="187"/>
      <c r="B534" s="2341"/>
      <c r="C534" s="2341"/>
      <c r="D534" s="886"/>
      <c r="E534" s="886"/>
      <c r="F534" s="886"/>
      <c r="G534" s="886"/>
      <c r="H534" s="886"/>
      <c r="I534" s="886"/>
      <c r="J534" s="886"/>
      <c r="K534" s="886"/>
      <c r="L534" s="886"/>
      <c r="M534" s="886"/>
      <c r="N534" s="886"/>
      <c r="O534" s="886"/>
      <c r="P534" s="37"/>
      <c r="Q534" s="37"/>
      <c r="R534" s="37"/>
      <c r="S534" s="37"/>
      <c r="T534" s="37"/>
      <c r="U534" s="37"/>
      <c r="V534" s="37"/>
      <c r="W534" s="37"/>
      <c r="X534" s="37"/>
      <c r="Y534" s="37"/>
      <c r="Z534" s="37"/>
      <c r="AA534" s="37"/>
      <c r="AB534" s="37"/>
      <c r="AC534" s="370" t="str">
        <f>CONCATENATE(D492," ","TOTAL")</f>
        <v>GARAGE DOORS TOTAL</v>
      </c>
      <c r="AD534" s="2342">
        <f>SUBTOTAL(9,AD493:AD533)</f>
        <v>0</v>
      </c>
      <c r="AE534" s="2342"/>
      <c r="AF534" s="2342"/>
      <c r="AG534" s="2342">
        <f>SUBTOTAL(9,AG493:AG533)</f>
        <v>0</v>
      </c>
      <c r="AH534" s="2342"/>
      <c r="AI534" s="2342"/>
      <c r="AJ534" s="2342">
        <f>SUBTOTAL(9,AJ493:AJ533)</f>
        <v>0</v>
      </c>
      <c r="AK534" s="2342"/>
      <c r="AL534" s="2342"/>
      <c r="AM534" s="2342">
        <f>SUBTOTAL(9,AM493:AM533)</f>
        <v>0</v>
      </c>
      <c r="AN534" s="2342"/>
      <c r="AO534" s="2342"/>
      <c r="AP534" s="2342"/>
      <c r="AQ534" s="2336">
        <f>SUBTOTAL(9,AQ493:AQ533)</f>
        <v>0</v>
      </c>
      <c r="AR534" s="2336"/>
      <c r="AS534" s="2336"/>
      <c r="AT534" s="2336" t="e">
        <f>SUM(AT490:AT525)</f>
        <v>#REF!</v>
      </c>
      <c r="AV534" s="151" t="str">
        <f t="shared" si="328"/>
        <v>GARAGE DOORS</v>
      </c>
      <c r="AW534" s="682"/>
      <c r="AX534" s="695"/>
      <c r="AY534" s="695"/>
      <c r="AZ534" s="274"/>
      <c r="BA534" s="74">
        <f>BA492</f>
        <v>0</v>
      </c>
      <c r="BB534" s="74">
        <f>BB492</f>
        <v>0</v>
      </c>
      <c r="BC534" s="74">
        <f>BC492</f>
        <v>0</v>
      </c>
      <c r="BD534" s="74">
        <f>BD492</f>
        <v>0</v>
      </c>
      <c r="BE534" s="74">
        <f>BE492</f>
        <v>0</v>
      </c>
      <c r="BF534" s="74">
        <f>SUM(BF492:BF533)</f>
        <v>0</v>
      </c>
      <c r="BG534" s="49">
        <f>SUM(BG492:BG533)</f>
        <v>0</v>
      </c>
      <c r="BI534" s="74">
        <f>SUM(BI493:BI533)</f>
        <v>0</v>
      </c>
      <c r="BJ534" s="74">
        <f>SUM(BJ493:BJ533)</f>
        <v>0</v>
      </c>
      <c r="BK534" s="49">
        <f>SUM(BK493:BK533)</f>
        <v>0</v>
      </c>
    </row>
    <row r="535" spans="1:63" ht="5.0999999999999996" hidden="1" customHeight="1">
      <c r="A535" s="187"/>
      <c r="B535" s="64"/>
      <c r="C535" s="64"/>
      <c r="D535" s="885"/>
      <c r="E535" s="885"/>
      <c r="F535" s="885"/>
      <c r="G535" s="885"/>
      <c r="H535" s="885"/>
      <c r="I535" s="885"/>
      <c r="J535" s="885"/>
      <c r="K535" s="885"/>
      <c r="L535" s="885"/>
      <c r="M535" s="885"/>
      <c r="N535" s="885"/>
      <c r="O535" s="885"/>
      <c r="P535" s="66"/>
      <c r="Q535" s="66"/>
      <c r="R535" s="66"/>
      <c r="S535" s="66"/>
      <c r="T535" s="66"/>
      <c r="U535" s="67"/>
      <c r="V535" s="67"/>
      <c r="W535" s="67"/>
      <c r="X535" s="67"/>
      <c r="Y535" s="67"/>
      <c r="Z535" s="67"/>
      <c r="AA535" s="67"/>
      <c r="AB535" s="67"/>
      <c r="AC535" s="67"/>
      <c r="AD535" s="68"/>
      <c r="AE535" s="68"/>
      <c r="AF535" s="68"/>
      <c r="AG535" s="68"/>
      <c r="AH535" s="68"/>
      <c r="AI535" s="68"/>
      <c r="AJ535" s="68"/>
      <c r="AK535" s="68"/>
      <c r="AL535" s="68"/>
      <c r="AM535" s="69"/>
      <c r="AN535" s="69"/>
      <c r="AO535" s="69"/>
      <c r="AP535" s="69"/>
      <c r="AQ535" s="661"/>
      <c r="AR535" s="661"/>
      <c r="AS535" s="661"/>
      <c r="AT535" s="661"/>
      <c r="AV535" s="369" t="str">
        <f t="shared" si="328"/>
        <v>GARAGE DOORS</v>
      </c>
      <c r="AW535" s="696"/>
      <c r="AX535" s="696"/>
      <c r="AY535" s="696"/>
      <c r="AZ535" s="369"/>
      <c r="BA535" s="75">
        <f>BA492</f>
        <v>0</v>
      </c>
      <c r="BB535" s="75">
        <f>BB492</f>
        <v>0</v>
      </c>
      <c r="BC535" s="75">
        <f>BC492</f>
        <v>0</v>
      </c>
      <c r="BD535" s="75">
        <f>BD492</f>
        <v>0</v>
      </c>
      <c r="BE535" s="75">
        <f>BE492</f>
        <v>0</v>
      </c>
      <c r="BF535" s="75"/>
      <c r="BG535" s="75"/>
      <c r="BI535" s="75"/>
      <c r="BJ535" s="75"/>
      <c r="BK535" s="75"/>
    </row>
    <row r="536" spans="1:63" ht="9.6" hidden="1" customHeight="1">
      <c r="A536" s="187"/>
      <c r="B536" s="71"/>
      <c r="C536" s="71"/>
      <c r="D536" s="887"/>
      <c r="E536" s="887"/>
      <c r="F536" s="887"/>
      <c r="G536" s="887"/>
      <c r="H536" s="887"/>
      <c r="I536" s="887"/>
      <c r="J536" s="887"/>
      <c r="K536" s="887"/>
      <c r="L536" s="887"/>
      <c r="M536" s="887"/>
      <c r="N536" s="887"/>
      <c r="O536" s="887"/>
      <c r="P536" s="72"/>
      <c r="Q536" s="72"/>
      <c r="R536" s="72"/>
      <c r="S536" s="72"/>
      <c r="T536" s="72"/>
      <c r="U536" s="72"/>
      <c r="V536" s="72"/>
      <c r="W536" s="72"/>
      <c r="X536" s="72"/>
      <c r="Y536" s="72"/>
      <c r="Z536" s="72"/>
      <c r="AA536" s="72"/>
      <c r="AB536" s="72"/>
      <c r="AC536" s="73"/>
      <c r="AD536" s="662"/>
      <c r="AE536" s="662"/>
      <c r="AF536" s="662"/>
      <c r="AG536" s="662"/>
      <c r="AH536" s="662"/>
      <c r="AI536" s="662"/>
      <c r="AJ536" s="662"/>
      <c r="AK536" s="662"/>
      <c r="AL536" s="662"/>
      <c r="AM536" s="662"/>
      <c r="AN536" s="662"/>
      <c r="AO536" s="662"/>
      <c r="AP536" s="662"/>
      <c r="AQ536" s="663"/>
      <c r="AR536" s="663"/>
      <c r="AS536" s="663"/>
      <c r="AT536" s="663"/>
      <c r="AV536" s="371" t="str">
        <f t="shared" si="328"/>
        <v>GARAGE DOORS</v>
      </c>
      <c r="AW536" s="699"/>
      <c r="AX536" s="801"/>
      <c r="AY536" s="801"/>
      <c r="AZ536" s="371"/>
      <c r="BA536" s="125">
        <f>BA534</f>
        <v>0</v>
      </c>
      <c r="BB536" s="125">
        <f t="shared" ref="BB536:BG536" si="359">BB534</f>
        <v>0</v>
      </c>
      <c r="BC536" s="125">
        <f>BC534</f>
        <v>0</v>
      </c>
      <c r="BD536" s="125">
        <f t="shared" si="359"/>
        <v>0</v>
      </c>
      <c r="BE536" s="125">
        <f t="shared" si="359"/>
        <v>0</v>
      </c>
      <c r="BF536" s="125">
        <f t="shared" si="359"/>
        <v>0</v>
      </c>
      <c r="BG536" s="125">
        <f t="shared" si="359"/>
        <v>0</v>
      </c>
      <c r="BI536" s="125"/>
      <c r="BJ536" s="125"/>
      <c r="BK536" s="125"/>
    </row>
    <row r="537" spans="1:63" ht="21.6" customHeight="1">
      <c r="A537" s="186" t="s">
        <v>952</v>
      </c>
      <c r="B537" s="2343"/>
      <c r="C537" s="2344"/>
      <c r="D537" s="2387" t="str">
        <f>T(Y77)</f>
        <v>LANDSCAPING</v>
      </c>
      <c r="E537" s="2388"/>
      <c r="F537" s="2388"/>
      <c r="G537" s="2388"/>
      <c r="H537" s="2388"/>
      <c r="I537" s="2388"/>
      <c r="J537" s="2388"/>
      <c r="K537" s="2388"/>
      <c r="L537" s="2388"/>
      <c r="M537" s="2388"/>
      <c r="N537" s="2388"/>
      <c r="O537" s="2389"/>
      <c r="P537" s="2345"/>
      <c r="Q537" s="2345"/>
      <c r="R537" s="2345"/>
      <c r="S537" s="2346"/>
      <c r="T537" s="2347"/>
      <c r="U537" s="2348"/>
      <c r="V537" s="2348"/>
      <c r="W537" s="2348"/>
      <c r="X537" s="2348"/>
      <c r="Y537" s="2348"/>
      <c r="Z537" s="2348"/>
      <c r="AA537" s="2348"/>
      <c r="AB537" s="2348"/>
      <c r="AC537" s="2348"/>
      <c r="AD537" s="2342">
        <f>AD579</f>
        <v>0</v>
      </c>
      <c r="AE537" s="2342"/>
      <c r="AF537" s="2342"/>
      <c r="AG537" s="2342">
        <f>AG579</f>
        <v>0</v>
      </c>
      <c r="AH537" s="2342"/>
      <c r="AI537" s="2342"/>
      <c r="AJ537" s="2342">
        <f>AJ579</f>
        <v>0</v>
      </c>
      <c r="AK537" s="2342"/>
      <c r="AL537" s="2342"/>
      <c r="AM537" s="2342">
        <f>AM579</f>
        <v>0</v>
      </c>
      <c r="AN537" s="2342"/>
      <c r="AO537" s="2342"/>
      <c r="AP537" s="2342"/>
      <c r="AQ537" s="2336">
        <f>AQ579</f>
        <v>0</v>
      </c>
      <c r="AR537" s="2336"/>
      <c r="AS537" s="2336"/>
      <c r="AT537" s="2336" t="e">
        <f>SUM(#REF!)</f>
        <v>#REF!</v>
      </c>
      <c r="AV537" s="151" t="str">
        <f t="shared" ref="AV537:AV581" si="360">$D$537</f>
        <v>LANDSCAPING</v>
      </c>
      <c r="AW537" s="700"/>
      <c r="AX537" s="700"/>
      <c r="AY537" s="700"/>
      <c r="AZ537" s="701"/>
      <c r="BA537" s="49">
        <f>SUM(BA538:BA577)</f>
        <v>0</v>
      </c>
      <c r="BB537" s="49">
        <f>SUM(BB538:BB577)</f>
        <v>0</v>
      </c>
      <c r="BC537" s="49">
        <f>SUM(BC538:BC577)</f>
        <v>0</v>
      </c>
      <c r="BD537" s="49">
        <f>SUM(BD538:BD577)</f>
        <v>0</v>
      </c>
      <c r="BE537" s="49">
        <f>SUM(BE538:BE577)</f>
        <v>0</v>
      </c>
      <c r="BF537" s="49">
        <f>AQ537</f>
        <v>0</v>
      </c>
      <c r="BG537" s="49">
        <f>AM537</f>
        <v>0</v>
      </c>
      <c r="BI537" s="134">
        <f>AD537</f>
        <v>0</v>
      </c>
      <c r="BJ537" s="134">
        <f>AM537</f>
        <v>0</v>
      </c>
      <c r="BK537" s="134">
        <f>BJ537+BI537</f>
        <v>0</v>
      </c>
    </row>
    <row r="538" spans="1:63" hidden="1">
      <c r="A538" s="187"/>
      <c r="B538" s="2321"/>
      <c r="C538" s="2322"/>
      <c r="D538" s="2338" t="s">
        <v>218</v>
      </c>
      <c r="E538" s="2338"/>
      <c r="F538" s="2338"/>
      <c r="G538" s="2338"/>
      <c r="H538" s="2338"/>
      <c r="I538" s="2338"/>
      <c r="J538" s="2338"/>
      <c r="K538" s="2338"/>
      <c r="L538" s="2338"/>
      <c r="M538" s="2338"/>
      <c r="N538" s="2338"/>
      <c r="O538" s="2338"/>
      <c r="P538" s="2324"/>
      <c r="Q538" s="2324"/>
      <c r="R538" s="2325"/>
      <c r="S538" s="2324" t="s">
        <v>3</v>
      </c>
      <c r="T538" s="2324" t="s">
        <v>3</v>
      </c>
      <c r="U538" s="2326">
        <v>250</v>
      </c>
      <c r="V538" s="2327"/>
      <c r="W538" s="2327"/>
      <c r="X538" s="2327">
        <v>300</v>
      </c>
      <c r="Y538" s="2327"/>
      <c r="Z538" s="2327"/>
      <c r="AA538" s="2328"/>
      <c r="AB538" s="2329"/>
      <c r="AC538" s="2326"/>
      <c r="AD538" s="2330">
        <f t="shared" ref="AD538:AD557" si="361">((P538*U538)-AM538)</f>
        <v>0</v>
      </c>
      <c r="AE538" s="2330"/>
      <c r="AF538" s="2330"/>
      <c r="AG538" s="2330">
        <f>P538*X538*(1+$Y$85)</f>
        <v>0</v>
      </c>
      <c r="AH538" s="2330"/>
      <c r="AI538" s="2330"/>
      <c r="AJ538" s="2330">
        <f t="shared" ref="AJ538:AJ557" si="362">P538*AA538</f>
        <v>0</v>
      </c>
      <c r="AK538" s="2330"/>
      <c r="AL538" s="2330"/>
      <c r="AM538" s="2331">
        <f t="shared" ref="AM538:AM577" si="363">IF($B538="x",$P538*$U538,0)</f>
        <v>0</v>
      </c>
      <c r="AN538" s="2331"/>
      <c r="AO538" s="2331"/>
      <c r="AP538" s="2331"/>
      <c r="AQ538" s="2332">
        <f t="shared" ref="AQ538:AQ557" si="364">SUM(AD538:AL538)</f>
        <v>0</v>
      </c>
      <c r="AR538" s="2332"/>
      <c r="AS538" s="2332"/>
      <c r="AT538" s="2332">
        <f t="shared" ref="AT538:AT557" si="365">SUM(AD538:AL538)</f>
        <v>0</v>
      </c>
      <c r="AV538" s="151" t="str">
        <f t="shared" si="360"/>
        <v>LANDSCAPING</v>
      </c>
      <c r="AW538" s="681"/>
      <c r="AX538" s="230"/>
      <c r="AY538" s="230"/>
      <c r="AZ538" s="679"/>
      <c r="BA538" s="49">
        <f t="shared" ref="BA538:BA557" si="366">AD538</f>
        <v>0</v>
      </c>
      <c r="BB538" s="49">
        <f>AG538</f>
        <v>0</v>
      </c>
      <c r="BC538" s="49">
        <f>AJ538</f>
        <v>0</v>
      </c>
      <c r="BD538" s="49">
        <f t="shared" ref="BD538:BD557" si="367">IF(B538="x",1,0)</f>
        <v>0</v>
      </c>
      <c r="BE538" s="49">
        <f>SUM(BA538:BC538)</f>
        <v>0</v>
      </c>
      <c r="BF538" s="49">
        <f t="shared" ref="BF538:BF557" si="368">AQ538</f>
        <v>0</v>
      </c>
      <c r="BG538" s="49">
        <f t="shared" ref="BG538:BG557" si="369">AM538</f>
        <v>0</v>
      </c>
      <c r="BI538" s="134">
        <f>AD538</f>
        <v>0</v>
      </c>
      <c r="BJ538" s="134">
        <f t="shared" ref="BJ538:BJ557" si="370">AM538</f>
        <v>0</v>
      </c>
      <c r="BK538" s="134">
        <f>BJ538+BI538</f>
        <v>0</v>
      </c>
    </row>
    <row r="539" spans="1:63" hidden="1">
      <c r="A539" s="187"/>
      <c r="B539" s="2321"/>
      <c r="C539" s="2322"/>
      <c r="D539" s="2334" t="s">
        <v>429</v>
      </c>
      <c r="E539" s="2334"/>
      <c r="F539" s="2334"/>
      <c r="G539" s="2334"/>
      <c r="H539" s="2334"/>
      <c r="I539" s="2334"/>
      <c r="J539" s="2334"/>
      <c r="K539" s="2334"/>
      <c r="L539" s="2334"/>
      <c r="M539" s="2334"/>
      <c r="N539" s="2334"/>
      <c r="O539" s="2334"/>
      <c r="P539" s="2324"/>
      <c r="Q539" s="2324"/>
      <c r="R539" s="2325"/>
      <c r="S539" s="2324" t="s">
        <v>11</v>
      </c>
      <c r="T539" s="2324" t="s">
        <v>11</v>
      </c>
      <c r="U539" s="2326">
        <v>0.15</v>
      </c>
      <c r="V539" s="2327"/>
      <c r="W539" s="2327"/>
      <c r="X539" s="2327">
        <v>0.25</v>
      </c>
      <c r="Y539" s="2327"/>
      <c r="Z539" s="2327">
        <v>0.25</v>
      </c>
      <c r="AA539" s="2328"/>
      <c r="AB539" s="2329"/>
      <c r="AC539" s="2326"/>
      <c r="AD539" s="2330">
        <f t="shared" si="361"/>
        <v>0</v>
      </c>
      <c r="AE539" s="2330"/>
      <c r="AF539" s="2330"/>
      <c r="AG539" s="2330">
        <f t="shared" ref="AG539:AG577" si="371">P539*X539*(1+$Y$85)</f>
        <v>0</v>
      </c>
      <c r="AH539" s="2330"/>
      <c r="AI539" s="2330"/>
      <c r="AJ539" s="2330">
        <f t="shared" si="362"/>
        <v>0</v>
      </c>
      <c r="AK539" s="2330"/>
      <c r="AL539" s="2330"/>
      <c r="AM539" s="2331">
        <f t="shared" si="363"/>
        <v>0</v>
      </c>
      <c r="AN539" s="2331"/>
      <c r="AO539" s="2331"/>
      <c r="AP539" s="2331"/>
      <c r="AQ539" s="2332">
        <f t="shared" si="364"/>
        <v>0</v>
      </c>
      <c r="AR539" s="2332"/>
      <c r="AS539" s="2332"/>
      <c r="AT539" s="2332">
        <f t="shared" si="365"/>
        <v>0</v>
      </c>
      <c r="AV539" s="151" t="str">
        <f t="shared" si="360"/>
        <v>LANDSCAPING</v>
      </c>
      <c r="AW539" s="681"/>
      <c r="AX539" s="230"/>
      <c r="AY539" s="230"/>
      <c r="AZ539" s="679"/>
      <c r="BA539" s="49">
        <f t="shared" si="366"/>
        <v>0</v>
      </c>
      <c r="BB539" s="49">
        <f t="shared" ref="BB539:BB557" si="372">AG539</f>
        <v>0</v>
      </c>
      <c r="BC539" s="49">
        <f t="shared" ref="BC539:BC557" si="373">AJ539</f>
        <v>0</v>
      </c>
      <c r="BD539" s="49">
        <f t="shared" si="367"/>
        <v>0</v>
      </c>
      <c r="BE539" s="49">
        <f t="shared" ref="BE539:BE555" si="374">SUM(BA539:BC539)</f>
        <v>0</v>
      </c>
      <c r="BF539" s="49">
        <f t="shared" si="368"/>
        <v>0</v>
      </c>
      <c r="BG539" s="49">
        <f t="shared" si="369"/>
        <v>0</v>
      </c>
      <c r="BI539" s="134">
        <f t="shared" ref="BI539:BI557" si="375">AD539</f>
        <v>0</v>
      </c>
      <c r="BJ539" s="134">
        <f t="shared" si="370"/>
        <v>0</v>
      </c>
      <c r="BK539" s="134">
        <f t="shared" ref="BK539:BK557" si="376">BJ539+BI539</f>
        <v>0</v>
      </c>
    </row>
    <row r="540" spans="1:63" hidden="1">
      <c r="A540" s="187"/>
      <c r="B540" s="2333"/>
      <c r="C540" s="2333"/>
      <c r="D540" s="2334" t="s">
        <v>430</v>
      </c>
      <c r="E540" s="2334"/>
      <c r="F540" s="2334"/>
      <c r="G540" s="2334"/>
      <c r="H540" s="2334"/>
      <c r="I540" s="2334"/>
      <c r="J540" s="2334"/>
      <c r="K540" s="2334"/>
      <c r="L540" s="2334"/>
      <c r="M540" s="2334"/>
      <c r="N540" s="2334"/>
      <c r="O540" s="2334"/>
      <c r="P540" s="2324"/>
      <c r="Q540" s="2324"/>
      <c r="R540" s="2325"/>
      <c r="S540" s="2324" t="s">
        <v>11</v>
      </c>
      <c r="T540" s="2324" t="s">
        <v>11</v>
      </c>
      <c r="U540" s="2326">
        <v>0.05</v>
      </c>
      <c r="V540" s="2327"/>
      <c r="W540" s="2327"/>
      <c r="X540" s="2327">
        <v>0.05</v>
      </c>
      <c r="Y540" s="2327"/>
      <c r="Z540" s="2327">
        <v>0.05</v>
      </c>
      <c r="AA540" s="2328"/>
      <c r="AB540" s="2329"/>
      <c r="AC540" s="2326"/>
      <c r="AD540" s="2330">
        <f t="shared" si="361"/>
        <v>0</v>
      </c>
      <c r="AE540" s="2330"/>
      <c r="AF540" s="2330"/>
      <c r="AG540" s="2330">
        <f t="shared" si="371"/>
        <v>0</v>
      </c>
      <c r="AH540" s="2330"/>
      <c r="AI540" s="2330"/>
      <c r="AJ540" s="2330">
        <f t="shared" si="362"/>
        <v>0</v>
      </c>
      <c r="AK540" s="2330"/>
      <c r="AL540" s="2330"/>
      <c r="AM540" s="2331">
        <f t="shared" si="363"/>
        <v>0</v>
      </c>
      <c r="AN540" s="2331"/>
      <c r="AO540" s="2331"/>
      <c r="AP540" s="2331"/>
      <c r="AQ540" s="2332">
        <f t="shared" si="364"/>
        <v>0</v>
      </c>
      <c r="AR540" s="2332"/>
      <c r="AS540" s="2332"/>
      <c r="AT540" s="2332">
        <f t="shared" si="365"/>
        <v>0</v>
      </c>
      <c r="AV540" s="151" t="str">
        <f t="shared" si="360"/>
        <v>LANDSCAPING</v>
      </c>
      <c r="AW540" s="681"/>
      <c r="AX540" s="230"/>
      <c r="AY540" s="230"/>
      <c r="AZ540" s="679"/>
      <c r="BA540" s="49">
        <f t="shared" si="366"/>
        <v>0</v>
      </c>
      <c r="BB540" s="49">
        <f t="shared" si="372"/>
        <v>0</v>
      </c>
      <c r="BC540" s="49">
        <f t="shared" si="373"/>
        <v>0</v>
      </c>
      <c r="BD540" s="49">
        <f t="shared" si="367"/>
        <v>0</v>
      </c>
      <c r="BE540" s="49">
        <f t="shared" si="374"/>
        <v>0</v>
      </c>
      <c r="BF540" s="49">
        <f t="shared" si="368"/>
        <v>0</v>
      </c>
      <c r="BG540" s="49">
        <f t="shared" si="369"/>
        <v>0</v>
      </c>
      <c r="BI540" s="134">
        <f t="shared" si="375"/>
        <v>0</v>
      </c>
      <c r="BJ540" s="134">
        <f t="shared" si="370"/>
        <v>0</v>
      </c>
      <c r="BK540" s="134">
        <f t="shared" si="376"/>
        <v>0</v>
      </c>
    </row>
    <row r="541" spans="1:63" hidden="1">
      <c r="A541" s="187"/>
      <c r="B541" s="2333"/>
      <c r="C541" s="2333"/>
      <c r="D541" s="2334" t="s">
        <v>306</v>
      </c>
      <c r="E541" s="2334"/>
      <c r="F541" s="2334"/>
      <c r="G541" s="2334"/>
      <c r="H541" s="2334"/>
      <c r="I541" s="2334"/>
      <c r="J541" s="2334"/>
      <c r="K541" s="2334"/>
      <c r="L541" s="2334"/>
      <c r="M541" s="2334"/>
      <c r="N541" s="2334"/>
      <c r="O541" s="2334"/>
      <c r="P541" s="2324"/>
      <c r="Q541" s="2324"/>
      <c r="R541" s="2325"/>
      <c r="S541" s="2324" t="s">
        <v>2</v>
      </c>
      <c r="T541" s="2324" t="s">
        <v>2</v>
      </c>
      <c r="U541" s="2326">
        <v>10</v>
      </c>
      <c r="V541" s="2327"/>
      <c r="W541" s="2327"/>
      <c r="X541" s="2327">
        <v>10</v>
      </c>
      <c r="Y541" s="2327"/>
      <c r="Z541" s="2327">
        <v>10</v>
      </c>
      <c r="AA541" s="2328"/>
      <c r="AB541" s="2329"/>
      <c r="AC541" s="2326"/>
      <c r="AD541" s="2330">
        <f t="shared" si="361"/>
        <v>0</v>
      </c>
      <c r="AE541" s="2330"/>
      <c r="AF541" s="2330"/>
      <c r="AG541" s="2330">
        <f t="shared" si="371"/>
        <v>0</v>
      </c>
      <c r="AH541" s="2330"/>
      <c r="AI541" s="2330"/>
      <c r="AJ541" s="2330">
        <f t="shared" si="362"/>
        <v>0</v>
      </c>
      <c r="AK541" s="2330"/>
      <c r="AL541" s="2330"/>
      <c r="AM541" s="2331">
        <f t="shared" si="363"/>
        <v>0</v>
      </c>
      <c r="AN541" s="2331"/>
      <c r="AO541" s="2331"/>
      <c r="AP541" s="2331"/>
      <c r="AQ541" s="2332">
        <f t="shared" si="364"/>
        <v>0</v>
      </c>
      <c r="AR541" s="2332"/>
      <c r="AS541" s="2332"/>
      <c r="AT541" s="2332">
        <f t="shared" si="365"/>
        <v>0</v>
      </c>
      <c r="AV541" s="151" t="str">
        <f t="shared" si="360"/>
        <v>LANDSCAPING</v>
      </c>
      <c r="AW541" s="681"/>
      <c r="AX541" s="230"/>
      <c r="AY541" s="230"/>
      <c r="AZ541" s="679"/>
      <c r="BA541" s="49">
        <f t="shared" si="366"/>
        <v>0</v>
      </c>
      <c r="BB541" s="49">
        <f t="shared" si="372"/>
        <v>0</v>
      </c>
      <c r="BC541" s="49">
        <f t="shared" si="373"/>
        <v>0</v>
      </c>
      <c r="BD541" s="49">
        <f t="shared" si="367"/>
        <v>0</v>
      </c>
      <c r="BE541" s="49">
        <f t="shared" si="374"/>
        <v>0</v>
      </c>
      <c r="BF541" s="49">
        <f t="shared" si="368"/>
        <v>0</v>
      </c>
      <c r="BG541" s="49">
        <f t="shared" si="369"/>
        <v>0</v>
      </c>
      <c r="BI541" s="134">
        <f t="shared" si="375"/>
        <v>0</v>
      </c>
      <c r="BJ541" s="134">
        <f t="shared" si="370"/>
        <v>0</v>
      </c>
      <c r="BK541" s="134">
        <f t="shared" si="376"/>
        <v>0</v>
      </c>
    </row>
    <row r="542" spans="1:63" hidden="1">
      <c r="A542" s="187"/>
      <c r="B542" s="2321"/>
      <c r="C542" s="2322"/>
      <c r="D542" s="2334" t="s">
        <v>307</v>
      </c>
      <c r="E542" s="2334"/>
      <c r="F542" s="2334"/>
      <c r="G542" s="2334"/>
      <c r="H542" s="2334"/>
      <c r="I542" s="2334"/>
      <c r="J542" s="2334"/>
      <c r="K542" s="2334"/>
      <c r="L542" s="2334"/>
      <c r="M542" s="2334"/>
      <c r="N542" s="2334"/>
      <c r="O542" s="2334"/>
      <c r="P542" s="2324"/>
      <c r="Q542" s="2324"/>
      <c r="R542" s="2325"/>
      <c r="S542" s="2324" t="s">
        <v>2</v>
      </c>
      <c r="T542" s="2324" t="s">
        <v>2</v>
      </c>
      <c r="U542" s="2326">
        <v>15</v>
      </c>
      <c r="V542" s="2327"/>
      <c r="W542" s="2327"/>
      <c r="X542" s="2327">
        <v>20</v>
      </c>
      <c r="Y542" s="2327"/>
      <c r="Z542" s="2327">
        <v>25</v>
      </c>
      <c r="AA542" s="2328"/>
      <c r="AB542" s="2329"/>
      <c r="AC542" s="2326"/>
      <c r="AD542" s="2330">
        <f t="shared" si="361"/>
        <v>0</v>
      </c>
      <c r="AE542" s="2330"/>
      <c r="AF542" s="2330"/>
      <c r="AG542" s="2330">
        <f t="shared" si="371"/>
        <v>0</v>
      </c>
      <c r="AH542" s="2330"/>
      <c r="AI542" s="2330"/>
      <c r="AJ542" s="2330">
        <f t="shared" si="362"/>
        <v>0</v>
      </c>
      <c r="AK542" s="2330"/>
      <c r="AL542" s="2330"/>
      <c r="AM542" s="2331">
        <f t="shared" si="363"/>
        <v>0</v>
      </c>
      <c r="AN542" s="2331"/>
      <c r="AO542" s="2331"/>
      <c r="AP542" s="2331"/>
      <c r="AQ542" s="2332">
        <f t="shared" si="364"/>
        <v>0</v>
      </c>
      <c r="AR542" s="2332"/>
      <c r="AS542" s="2332"/>
      <c r="AT542" s="2332">
        <f t="shared" si="365"/>
        <v>0</v>
      </c>
      <c r="AV542" s="151" t="str">
        <f t="shared" si="360"/>
        <v>LANDSCAPING</v>
      </c>
      <c r="AW542" s="681"/>
      <c r="AX542" s="230"/>
      <c r="AY542" s="230"/>
      <c r="AZ542" s="679"/>
      <c r="BA542" s="49">
        <f t="shared" si="366"/>
        <v>0</v>
      </c>
      <c r="BB542" s="49">
        <f t="shared" si="372"/>
        <v>0</v>
      </c>
      <c r="BC542" s="49">
        <f t="shared" si="373"/>
        <v>0</v>
      </c>
      <c r="BD542" s="49">
        <f t="shared" si="367"/>
        <v>0</v>
      </c>
      <c r="BE542" s="49">
        <f t="shared" si="374"/>
        <v>0</v>
      </c>
      <c r="BF542" s="49">
        <f t="shared" si="368"/>
        <v>0</v>
      </c>
      <c r="BG542" s="49">
        <f t="shared" si="369"/>
        <v>0</v>
      </c>
      <c r="BI542" s="134">
        <f t="shared" si="375"/>
        <v>0</v>
      </c>
      <c r="BJ542" s="134">
        <f t="shared" si="370"/>
        <v>0</v>
      </c>
      <c r="BK542" s="134">
        <f t="shared" si="376"/>
        <v>0</v>
      </c>
    </row>
    <row r="543" spans="1:63" hidden="1">
      <c r="A543" s="187"/>
      <c r="B543" s="2321"/>
      <c r="C543" s="2322"/>
      <c r="D543" s="2334" t="s">
        <v>804</v>
      </c>
      <c r="E543" s="2334"/>
      <c r="F543" s="2334"/>
      <c r="G543" s="2334"/>
      <c r="H543" s="2334"/>
      <c r="I543" s="2334"/>
      <c r="J543" s="2334"/>
      <c r="K543" s="2334"/>
      <c r="L543" s="2334"/>
      <c r="M543" s="2334"/>
      <c r="N543" s="2334"/>
      <c r="O543" s="2334"/>
      <c r="P543" s="2324"/>
      <c r="Q543" s="2324"/>
      <c r="R543" s="2325"/>
      <c r="S543" s="2324" t="s">
        <v>2</v>
      </c>
      <c r="T543" s="2324"/>
      <c r="U543" s="2326">
        <v>25</v>
      </c>
      <c r="V543" s="2327"/>
      <c r="W543" s="2327"/>
      <c r="X543" s="2327">
        <v>35</v>
      </c>
      <c r="Y543" s="2327"/>
      <c r="Z543" s="2327"/>
      <c r="AA543" s="2328"/>
      <c r="AB543" s="2329"/>
      <c r="AC543" s="2326"/>
      <c r="AD543" s="2330">
        <f t="shared" si="361"/>
        <v>0</v>
      </c>
      <c r="AE543" s="2330"/>
      <c r="AF543" s="2330"/>
      <c r="AG543" s="2330">
        <f t="shared" si="371"/>
        <v>0</v>
      </c>
      <c r="AH543" s="2330"/>
      <c r="AI543" s="2330"/>
      <c r="AJ543" s="2330">
        <f t="shared" si="362"/>
        <v>0</v>
      </c>
      <c r="AK543" s="2330"/>
      <c r="AL543" s="2330"/>
      <c r="AM543" s="2331">
        <f t="shared" si="363"/>
        <v>0</v>
      </c>
      <c r="AN543" s="2331"/>
      <c r="AO543" s="2331"/>
      <c r="AP543" s="2331"/>
      <c r="AQ543" s="2332">
        <f t="shared" si="364"/>
        <v>0</v>
      </c>
      <c r="AR543" s="2332"/>
      <c r="AS543" s="2332"/>
      <c r="AT543" s="2332">
        <f t="shared" si="365"/>
        <v>0</v>
      </c>
      <c r="AV543" s="151" t="str">
        <f t="shared" si="360"/>
        <v>LANDSCAPING</v>
      </c>
      <c r="AW543" s="681"/>
      <c r="AX543" s="230"/>
      <c r="AY543" s="230"/>
      <c r="AZ543" s="679"/>
      <c r="BA543" s="49">
        <f t="shared" si="366"/>
        <v>0</v>
      </c>
      <c r="BB543" s="49">
        <f t="shared" si="372"/>
        <v>0</v>
      </c>
      <c r="BC543" s="49">
        <f t="shared" si="373"/>
        <v>0</v>
      </c>
      <c r="BD543" s="49">
        <f t="shared" si="367"/>
        <v>0</v>
      </c>
      <c r="BE543" s="49">
        <f t="shared" si="374"/>
        <v>0</v>
      </c>
      <c r="BF543" s="49">
        <f t="shared" si="368"/>
        <v>0</v>
      </c>
      <c r="BG543" s="49">
        <f t="shared" si="369"/>
        <v>0</v>
      </c>
      <c r="BI543" s="134">
        <f t="shared" si="375"/>
        <v>0</v>
      </c>
      <c r="BJ543" s="134">
        <f t="shared" si="370"/>
        <v>0</v>
      </c>
      <c r="BK543" s="134">
        <f t="shared" si="376"/>
        <v>0</v>
      </c>
    </row>
    <row r="544" spans="1:63" hidden="1">
      <c r="A544" s="187"/>
      <c r="B544" s="2321"/>
      <c r="C544" s="2322"/>
      <c r="D544" s="2334" t="s">
        <v>805</v>
      </c>
      <c r="E544" s="2334"/>
      <c r="F544" s="2334"/>
      <c r="G544" s="2334"/>
      <c r="H544" s="2334"/>
      <c r="I544" s="2334"/>
      <c r="J544" s="2334"/>
      <c r="K544" s="2334"/>
      <c r="L544" s="2334"/>
      <c r="M544" s="2334"/>
      <c r="N544" s="2334"/>
      <c r="O544" s="2334"/>
      <c r="P544" s="2324"/>
      <c r="Q544" s="2324"/>
      <c r="R544" s="2325"/>
      <c r="S544" s="2324" t="s">
        <v>2</v>
      </c>
      <c r="T544" s="2324" t="s">
        <v>2</v>
      </c>
      <c r="U544" s="2326">
        <v>45</v>
      </c>
      <c r="V544" s="2327"/>
      <c r="W544" s="2327"/>
      <c r="X544" s="2327">
        <v>50</v>
      </c>
      <c r="Y544" s="2327"/>
      <c r="Z544" s="2327">
        <v>85</v>
      </c>
      <c r="AA544" s="2328"/>
      <c r="AB544" s="2329"/>
      <c r="AC544" s="2326"/>
      <c r="AD544" s="2330">
        <f t="shared" si="361"/>
        <v>0</v>
      </c>
      <c r="AE544" s="2330"/>
      <c r="AF544" s="2330"/>
      <c r="AG544" s="2330">
        <f t="shared" si="371"/>
        <v>0</v>
      </c>
      <c r="AH544" s="2330"/>
      <c r="AI544" s="2330"/>
      <c r="AJ544" s="2330">
        <f t="shared" si="362"/>
        <v>0</v>
      </c>
      <c r="AK544" s="2330"/>
      <c r="AL544" s="2330"/>
      <c r="AM544" s="2331">
        <f t="shared" si="363"/>
        <v>0</v>
      </c>
      <c r="AN544" s="2331"/>
      <c r="AO544" s="2331"/>
      <c r="AP544" s="2331"/>
      <c r="AQ544" s="2332">
        <f t="shared" si="364"/>
        <v>0</v>
      </c>
      <c r="AR544" s="2332"/>
      <c r="AS544" s="2332"/>
      <c r="AT544" s="2332">
        <f t="shared" si="365"/>
        <v>0</v>
      </c>
      <c r="AV544" s="151" t="str">
        <f t="shared" si="360"/>
        <v>LANDSCAPING</v>
      </c>
      <c r="AW544" s="681"/>
      <c r="AX544" s="230"/>
      <c r="AY544" s="230"/>
      <c r="AZ544" s="679"/>
      <c r="BA544" s="49">
        <f t="shared" si="366"/>
        <v>0</v>
      </c>
      <c r="BB544" s="49">
        <f t="shared" si="372"/>
        <v>0</v>
      </c>
      <c r="BC544" s="49">
        <f t="shared" si="373"/>
        <v>0</v>
      </c>
      <c r="BD544" s="49">
        <f t="shared" si="367"/>
        <v>0</v>
      </c>
      <c r="BE544" s="49">
        <f t="shared" si="374"/>
        <v>0</v>
      </c>
      <c r="BF544" s="49">
        <f t="shared" si="368"/>
        <v>0</v>
      </c>
      <c r="BG544" s="49">
        <f t="shared" si="369"/>
        <v>0</v>
      </c>
      <c r="BI544" s="134">
        <f t="shared" si="375"/>
        <v>0</v>
      </c>
      <c r="BJ544" s="134">
        <f t="shared" si="370"/>
        <v>0</v>
      </c>
      <c r="BK544" s="134">
        <f t="shared" si="376"/>
        <v>0</v>
      </c>
    </row>
    <row r="545" spans="1:63" hidden="1">
      <c r="A545" s="187"/>
      <c r="B545" s="2333"/>
      <c r="C545" s="2333"/>
      <c r="D545" s="2334" t="s">
        <v>807</v>
      </c>
      <c r="E545" s="2334"/>
      <c r="F545" s="2334"/>
      <c r="G545" s="2334"/>
      <c r="H545" s="2334"/>
      <c r="I545" s="2334"/>
      <c r="J545" s="2334"/>
      <c r="K545" s="2334"/>
      <c r="L545" s="2334"/>
      <c r="M545" s="2334"/>
      <c r="N545" s="2334"/>
      <c r="O545" s="2334"/>
      <c r="P545" s="2324"/>
      <c r="Q545" s="2324"/>
      <c r="R545" s="2325"/>
      <c r="S545" s="2324" t="s">
        <v>2</v>
      </c>
      <c r="T545" s="2324"/>
      <c r="U545" s="2326">
        <v>50</v>
      </c>
      <c r="V545" s="2327"/>
      <c r="W545" s="2327"/>
      <c r="X545" s="2327">
        <v>75</v>
      </c>
      <c r="Y545" s="2327"/>
      <c r="Z545" s="2327"/>
      <c r="AA545" s="2328"/>
      <c r="AB545" s="2329"/>
      <c r="AC545" s="2326"/>
      <c r="AD545" s="2330">
        <f t="shared" si="361"/>
        <v>0</v>
      </c>
      <c r="AE545" s="2330"/>
      <c r="AF545" s="2330"/>
      <c r="AG545" s="2330">
        <f t="shared" si="371"/>
        <v>0</v>
      </c>
      <c r="AH545" s="2330"/>
      <c r="AI545" s="2330"/>
      <c r="AJ545" s="2330">
        <f t="shared" si="362"/>
        <v>0</v>
      </c>
      <c r="AK545" s="2330"/>
      <c r="AL545" s="2330"/>
      <c r="AM545" s="2331">
        <f t="shared" si="363"/>
        <v>0</v>
      </c>
      <c r="AN545" s="2331"/>
      <c r="AO545" s="2331"/>
      <c r="AP545" s="2331"/>
      <c r="AQ545" s="2332">
        <f t="shared" si="364"/>
        <v>0</v>
      </c>
      <c r="AR545" s="2332"/>
      <c r="AS545" s="2332"/>
      <c r="AT545" s="2332">
        <f t="shared" si="365"/>
        <v>0</v>
      </c>
      <c r="AV545" s="151" t="str">
        <f t="shared" si="360"/>
        <v>LANDSCAPING</v>
      </c>
      <c r="AW545" s="681"/>
      <c r="AX545" s="230"/>
      <c r="AY545" s="230"/>
      <c r="AZ545" s="679"/>
      <c r="BA545" s="49">
        <f t="shared" si="366"/>
        <v>0</v>
      </c>
      <c r="BB545" s="49">
        <f t="shared" si="372"/>
        <v>0</v>
      </c>
      <c r="BC545" s="49">
        <f t="shared" si="373"/>
        <v>0</v>
      </c>
      <c r="BD545" s="49">
        <f t="shared" si="367"/>
        <v>0</v>
      </c>
      <c r="BE545" s="49">
        <f t="shared" si="374"/>
        <v>0</v>
      </c>
      <c r="BF545" s="49">
        <f t="shared" si="368"/>
        <v>0</v>
      </c>
      <c r="BG545" s="49">
        <f t="shared" si="369"/>
        <v>0</v>
      </c>
      <c r="BI545" s="134">
        <f t="shared" si="375"/>
        <v>0</v>
      </c>
      <c r="BJ545" s="134">
        <f t="shared" si="370"/>
        <v>0</v>
      </c>
      <c r="BK545" s="134">
        <f t="shared" si="376"/>
        <v>0</v>
      </c>
    </row>
    <row r="546" spans="1:63" hidden="1">
      <c r="A546" s="187"/>
      <c r="B546" s="2333"/>
      <c r="C546" s="2333"/>
      <c r="D546" s="2334" t="s">
        <v>806</v>
      </c>
      <c r="E546" s="2334"/>
      <c r="F546" s="2334"/>
      <c r="G546" s="2334"/>
      <c r="H546" s="2334"/>
      <c r="I546" s="2334"/>
      <c r="J546" s="2334"/>
      <c r="K546" s="2334"/>
      <c r="L546" s="2334"/>
      <c r="M546" s="2334"/>
      <c r="N546" s="2334"/>
      <c r="O546" s="2334"/>
      <c r="P546" s="2324"/>
      <c r="Q546" s="2324"/>
      <c r="R546" s="2325"/>
      <c r="S546" s="2324" t="s">
        <v>2</v>
      </c>
      <c r="T546" s="2324"/>
      <c r="U546" s="2326">
        <v>75</v>
      </c>
      <c r="V546" s="2327"/>
      <c r="W546" s="2327"/>
      <c r="X546" s="2327">
        <v>200</v>
      </c>
      <c r="Y546" s="2327"/>
      <c r="Z546" s="2327"/>
      <c r="AA546" s="2328"/>
      <c r="AB546" s="2329"/>
      <c r="AC546" s="2326"/>
      <c r="AD546" s="2330">
        <f t="shared" si="361"/>
        <v>0</v>
      </c>
      <c r="AE546" s="2330"/>
      <c r="AF546" s="2330"/>
      <c r="AG546" s="2330">
        <f t="shared" si="371"/>
        <v>0</v>
      </c>
      <c r="AH546" s="2330"/>
      <c r="AI546" s="2330"/>
      <c r="AJ546" s="2330">
        <f t="shared" si="362"/>
        <v>0</v>
      </c>
      <c r="AK546" s="2330"/>
      <c r="AL546" s="2330"/>
      <c r="AM546" s="2331">
        <f t="shared" si="363"/>
        <v>0</v>
      </c>
      <c r="AN546" s="2331"/>
      <c r="AO546" s="2331"/>
      <c r="AP546" s="2331"/>
      <c r="AQ546" s="2332">
        <f t="shared" si="364"/>
        <v>0</v>
      </c>
      <c r="AR546" s="2332"/>
      <c r="AS546" s="2332"/>
      <c r="AT546" s="2332">
        <f t="shared" si="365"/>
        <v>0</v>
      </c>
      <c r="AV546" s="151" t="str">
        <f t="shared" si="360"/>
        <v>LANDSCAPING</v>
      </c>
      <c r="AW546" s="681"/>
      <c r="AX546" s="230"/>
      <c r="AY546" s="230"/>
      <c r="AZ546" s="679"/>
      <c r="BA546" s="49">
        <f t="shared" si="366"/>
        <v>0</v>
      </c>
      <c r="BB546" s="49">
        <f t="shared" si="372"/>
        <v>0</v>
      </c>
      <c r="BC546" s="49">
        <f t="shared" si="373"/>
        <v>0</v>
      </c>
      <c r="BD546" s="49">
        <f t="shared" si="367"/>
        <v>0</v>
      </c>
      <c r="BE546" s="49">
        <f t="shared" si="374"/>
        <v>0</v>
      </c>
      <c r="BF546" s="49">
        <f t="shared" si="368"/>
        <v>0</v>
      </c>
      <c r="BG546" s="49">
        <f t="shared" si="369"/>
        <v>0</v>
      </c>
      <c r="BI546" s="134">
        <f t="shared" si="375"/>
        <v>0</v>
      </c>
      <c r="BJ546" s="134">
        <f t="shared" si="370"/>
        <v>0</v>
      </c>
      <c r="BK546" s="134">
        <f t="shared" si="376"/>
        <v>0</v>
      </c>
    </row>
    <row r="547" spans="1:63" hidden="1">
      <c r="A547" s="187"/>
      <c r="B547" s="2321"/>
      <c r="C547" s="2322"/>
      <c r="D547" s="2334" t="s">
        <v>43</v>
      </c>
      <c r="E547" s="2334"/>
      <c r="F547" s="2334"/>
      <c r="G547" s="2334"/>
      <c r="H547" s="2334"/>
      <c r="I547" s="2334"/>
      <c r="J547" s="2334"/>
      <c r="K547" s="2334"/>
      <c r="L547" s="2334"/>
      <c r="M547" s="2334"/>
      <c r="N547" s="2334"/>
      <c r="O547" s="2334"/>
      <c r="P547" s="2324"/>
      <c r="Q547" s="2324"/>
      <c r="R547" s="2325"/>
      <c r="S547" s="2324" t="s">
        <v>11</v>
      </c>
      <c r="T547" s="2324" t="s">
        <v>11</v>
      </c>
      <c r="U547" s="2326">
        <v>0.25</v>
      </c>
      <c r="V547" s="2327"/>
      <c r="W547" s="2327"/>
      <c r="X547" s="2327">
        <v>0.5</v>
      </c>
      <c r="Y547" s="2327"/>
      <c r="Z547" s="2327">
        <v>0.5</v>
      </c>
      <c r="AA547" s="2328"/>
      <c r="AB547" s="2329"/>
      <c r="AC547" s="2326"/>
      <c r="AD547" s="2330">
        <f t="shared" si="361"/>
        <v>0</v>
      </c>
      <c r="AE547" s="2330"/>
      <c r="AF547" s="2330"/>
      <c r="AG547" s="2330">
        <f t="shared" si="371"/>
        <v>0</v>
      </c>
      <c r="AH547" s="2330"/>
      <c r="AI547" s="2330"/>
      <c r="AJ547" s="2330">
        <f t="shared" si="362"/>
        <v>0</v>
      </c>
      <c r="AK547" s="2330"/>
      <c r="AL547" s="2330"/>
      <c r="AM547" s="2331">
        <f t="shared" si="363"/>
        <v>0</v>
      </c>
      <c r="AN547" s="2331"/>
      <c r="AO547" s="2331"/>
      <c r="AP547" s="2331"/>
      <c r="AQ547" s="2332">
        <f t="shared" si="364"/>
        <v>0</v>
      </c>
      <c r="AR547" s="2332"/>
      <c r="AS547" s="2332"/>
      <c r="AT547" s="2332">
        <f t="shared" si="365"/>
        <v>0</v>
      </c>
      <c r="AV547" s="151" t="str">
        <f t="shared" si="360"/>
        <v>LANDSCAPING</v>
      </c>
      <c r="AW547" s="681"/>
      <c r="AX547" s="230"/>
      <c r="AY547" s="230"/>
      <c r="AZ547" s="679"/>
      <c r="BA547" s="49">
        <f t="shared" si="366"/>
        <v>0</v>
      </c>
      <c r="BB547" s="49">
        <f t="shared" si="372"/>
        <v>0</v>
      </c>
      <c r="BC547" s="49">
        <f t="shared" si="373"/>
        <v>0</v>
      </c>
      <c r="BD547" s="49">
        <f t="shared" si="367"/>
        <v>0</v>
      </c>
      <c r="BE547" s="49">
        <f t="shared" si="374"/>
        <v>0</v>
      </c>
      <c r="BF547" s="49">
        <f t="shared" si="368"/>
        <v>0</v>
      </c>
      <c r="BG547" s="49">
        <f t="shared" si="369"/>
        <v>0</v>
      </c>
      <c r="BI547" s="134">
        <f t="shared" si="375"/>
        <v>0</v>
      </c>
      <c r="BJ547" s="134">
        <f t="shared" si="370"/>
        <v>0</v>
      </c>
      <c r="BK547" s="134">
        <f t="shared" si="376"/>
        <v>0</v>
      </c>
    </row>
    <row r="548" spans="1:63" hidden="1">
      <c r="A548" s="187"/>
      <c r="B548" s="2321"/>
      <c r="C548" s="2322"/>
      <c r="D548" s="2334" t="s">
        <v>808</v>
      </c>
      <c r="E548" s="2334"/>
      <c r="F548" s="2334"/>
      <c r="G548" s="2334"/>
      <c r="H548" s="2334"/>
      <c r="I548" s="2334"/>
      <c r="J548" s="2334"/>
      <c r="K548" s="2334"/>
      <c r="L548" s="2334"/>
      <c r="M548" s="2334"/>
      <c r="N548" s="2334"/>
      <c r="O548" s="2334"/>
      <c r="P548" s="2324"/>
      <c r="Q548" s="2324"/>
      <c r="R548" s="2325"/>
      <c r="S548" s="2324" t="s">
        <v>11</v>
      </c>
      <c r="T548" s="2324"/>
      <c r="U548" s="2326">
        <v>0.5</v>
      </c>
      <c r="V548" s="2327"/>
      <c r="W548" s="2327"/>
      <c r="X548" s="2327">
        <v>1</v>
      </c>
      <c r="Y548" s="2327"/>
      <c r="Z548" s="2327"/>
      <c r="AA548" s="2328"/>
      <c r="AB548" s="2329"/>
      <c r="AC548" s="2326"/>
      <c r="AD548" s="2330">
        <f t="shared" si="361"/>
        <v>0</v>
      </c>
      <c r="AE548" s="2330"/>
      <c r="AF548" s="2330"/>
      <c r="AG548" s="2330">
        <f t="shared" si="371"/>
        <v>0</v>
      </c>
      <c r="AH548" s="2330"/>
      <c r="AI548" s="2330"/>
      <c r="AJ548" s="2330">
        <f t="shared" si="362"/>
        <v>0</v>
      </c>
      <c r="AK548" s="2330"/>
      <c r="AL548" s="2330"/>
      <c r="AM548" s="2331">
        <f t="shared" si="363"/>
        <v>0</v>
      </c>
      <c r="AN548" s="2331"/>
      <c r="AO548" s="2331"/>
      <c r="AP548" s="2331"/>
      <c r="AQ548" s="2332">
        <f t="shared" si="364"/>
        <v>0</v>
      </c>
      <c r="AR548" s="2332"/>
      <c r="AS548" s="2332"/>
      <c r="AT548" s="2332">
        <f t="shared" si="365"/>
        <v>0</v>
      </c>
      <c r="AV548" s="151" t="str">
        <f t="shared" si="360"/>
        <v>LANDSCAPING</v>
      </c>
      <c r="AW548" s="681"/>
      <c r="AX548" s="230"/>
      <c r="AY548" s="230"/>
      <c r="AZ548" s="679"/>
      <c r="BA548" s="49">
        <f t="shared" si="366"/>
        <v>0</v>
      </c>
      <c r="BB548" s="49">
        <f t="shared" si="372"/>
        <v>0</v>
      </c>
      <c r="BC548" s="49">
        <f t="shared" si="373"/>
        <v>0</v>
      </c>
      <c r="BD548" s="49">
        <f t="shared" si="367"/>
        <v>0</v>
      </c>
      <c r="BE548" s="49">
        <f t="shared" si="374"/>
        <v>0</v>
      </c>
      <c r="BF548" s="49">
        <f t="shared" si="368"/>
        <v>0</v>
      </c>
      <c r="BG548" s="49">
        <f t="shared" si="369"/>
        <v>0</v>
      </c>
      <c r="BI548" s="134">
        <f t="shared" si="375"/>
        <v>0</v>
      </c>
      <c r="BJ548" s="134">
        <f t="shared" si="370"/>
        <v>0</v>
      </c>
      <c r="BK548" s="134">
        <f t="shared" si="376"/>
        <v>0</v>
      </c>
    </row>
    <row r="549" spans="1:63" hidden="1">
      <c r="A549" s="187"/>
      <c r="B549" s="2321"/>
      <c r="C549" s="2322"/>
      <c r="D549" s="2334" t="s">
        <v>809</v>
      </c>
      <c r="E549" s="2334"/>
      <c r="F549" s="2334"/>
      <c r="G549" s="2334"/>
      <c r="H549" s="2334"/>
      <c r="I549" s="2334"/>
      <c r="J549" s="2334"/>
      <c r="K549" s="2334"/>
      <c r="L549" s="2334"/>
      <c r="M549" s="2334"/>
      <c r="N549" s="2334"/>
      <c r="O549" s="2334"/>
      <c r="P549" s="2324"/>
      <c r="Q549" s="2324"/>
      <c r="R549" s="2325"/>
      <c r="S549" s="2324" t="s">
        <v>11</v>
      </c>
      <c r="T549" s="2324"/>
      <c r="U549" s="2326">
        <v>0.5</v>
      </c>
      <c r="V549" s="2327"/>
      <c r="W549" s="2327"/>
      <c r="X549" s="2327">
        <v>1.75</v>
      </c>
      <c r="Y549" s="2327"/>
      <c r="Z549" s="2327"/>
      <c r="AA549" s="2328"/>
      <c r="AB549" s="2329"/>
      <c r="AC549" s="2326"/>
      <c r="AD549" s="2330">
        <f t="shared" si="361"/>
        <v>0</v>
      </c>
      <c r="AE549" s="2330"/>
      <c r="AF549" s="2330"/>
      <c r="AG549" s="2330">
        <f t="shared" si="371"/>
        <v>0</v>
      </c>
      <c r="AH549" s="2330"/>
      <c r="AI549" s="2330"/>
      <c r="AJ549" s="2330">
        <f t="shared" si="362"/>
        <v>0</v>
      </c>
      <c r="AK549" s="2330"/>
      <c r="AL549" s="2330"/>
      <c r="AM549" s="2331">
        <f t="shared" si="363"/>
        <v>0</v>
      </c>
      <c r="AN549" s="2331"/>
      <c r="AO549" s="2331"/>
      <c r="AP549" s="2331"/>
      <c r="AQ549" s="2332">
        <f t="shared" si="364"/>
        <v>0</v>
      </c>
      <c r="AR549" s="2332"/>
      <c r="AS549" s="2332"/>
      <c r="AT549" s="2332">
        <f t="shared" si="365"/>
        <v>0</v>
      </c>
      <c r="AV549" s="151" t="str">
        <f t="shared" si="360"/>
        <v>LANDSCAPING</v>
      </c>
      <c r="AW549" s="681"/>
      <c r="AX549" s="230"/>
      <c r="AY549" s="230"/>
      <c r="AZ549" s="679"/>
      <c r="BA549" s="49">
        <f t="shared" si="366"/>
        <v>0</v>
      </c>
      <c r="BB549" s="49">
        <f t="shared" si="372"/>
        <v>0</v>
      </c>
      <c r="BC549" s="49">
        <f t="shared" si="373"/>
        <v>0</v>
      </c>
      <c r="BD549" s="49">
        <f t="shared" si="367"/>
        <v>0</v>
      </c>
      <c r="BE549" s="49">
        <f t="shared" si="374"/>
        <v>0</v>
      </c>
      <c r="BF549" s="49">
        <f t="shared" si="368"/>
        <v>0</v>
      </c>
      <c r="BG549" s="49">
        <f t="shared" si="369"/>
        <v>0</v>
      </c>
      <c r="BI549" s="134">
        <f t="shared" si="375"/>
        <v>0</v>
      </c>
      <c r="BJ549" s="134">
        <f t="shared" si="370"/>
        <v>0</v>
      </c>
      <c r="BK549" s="134">
        <f t="shared" si="376"/>
        <v>0</v>
      </c>
    </row>
    <row r="550" spans="1:63" hidden="1">
      <c r="A550" s="187"/>
      <c r="B550" s="2333"/>
      <c r="C550" s="2333"/>
      <c r="D550" s="2334" t="s">
        <v>219</v>
      </c>
      <c r="E550" s="2334"/>
      <c r="F550" s="2334"/>
      <c r="G550" s="2334"/>
      <c r="H550" s="2334"/>
      <c r="I550" s="2334"/>
      <c r="J550" s="2334"/>
      <c r="K550" s="2334"/>
      <c r="L550" s="2334"/>
      <c r="M550" s="2334"/>
      <c r="N550" s="2334"/>
      <c r="O550" s="2334"/>
      <c r="P550" s="2324"/>
      <c r="Q550" s="2324"/>
      <c r="R550" s="2325"/>
      <c r="S550" s="2324" t="s">
        <v>2</v>
      </c>
      <c r="T550" s="2324" t="s">
        <v>2</v>
      </c>
      <c r="U550" s="2326">
        <v>500</v>
      </c>
      <c r="V550" s="2327"/>
      <c r="W550" s="2327"/>
      <c r="X550" s="2327"/>
      <c r="Y550" s="2327"/>
      <c r="Z550" s="2327"/>
      <c r="AA550" s="2328"/>
      <c r="AB550" s="2329"/>
      <c r="AC550" s="2326"/>
      <c r="AD550" s="2330">
        <f t="shared" si="361"/>
        <v>0</v>
      </c>
      <c r="AE550" s="2330"/>
      <c r="AF550" s="2330"/>
      <c r="AG550" s="2330">
        <f t="shared" si="371"/>
        <v>0</v>
      </c>
      <c r="AH550" s="2330"/>
      <c r="AI550" s="2330"/>
      <c r="AJ550" s="2330">
        <f t="shared" si="362"/>
        <v>0</v>
      </c>
      <c r="AK550" s="2330"/>
      <c r="AL550" s="2330"/>
      <c r="AM550" s="2331">
        <f t="shared" si="363"/>
        <v>0</v>
      </c>
      <c r="AN550" s="2331"/>
      <c r="AO550" s="2331"/>
      <c r="AP550" s="2331"/>
      <c r="AQ550" s="2332">
        <f t="shared" si="364"/>
        <v>0</v>
      </c>
      <c r="AR550" s="2332"/>
      <c r="AS550" s="2332"/>
      <c r="AT550" s="2332">
        <f t="shared" si="365"/>
        <v>0</v>
      </c>
      <c r="AV550" s="151" t="str">
        <f t="shared" si="360"/>
        <v>LANDSCAPING</v>
      </c>
      <c r="AW550" s="681"/>
      <c r="AX550" s="230"/>
      <c r="AY550" s="230"/>
      <c r="AZ550" s="679"/>
      <c r="BA550" s="49">
        <f t="shared" si="366"/>
        <v>0</v>
      </c>
      <c r="BB550" s="49">
        <f t="shared" si="372"/>
        <v>0</v>
      </c>
      <c r="BC550" s="49">
        <f t="shared" si="373"/>
        <v>0</v>
      </c>
      <c r="BD550" s="49">
        <f t="shared" si="367"/>
        <v>0</v>
      </c>
      <c r="BE550" s="49">
        <f t="shared" si="374"/>
        <v>0</v>
      </c>
      <c r="BF550" s="49">
        <f t="shared" si="368"/>
        <v>0</v>
      </c>
      <c r="BG550" s="49">
        <f t="shared" si="369"/>
        <v>0</v>
      </c>
      <c r="BI550" s="134">
        <f t="shared" si="375"/>
        <v>0</v>
      </c>
      <c r="BJ550" s="134">
        <f t="shared" si="370"/>
        <v>0</v>
      </c>
      <c r="BK550" s="134">
        <f t="shared" si="376"/>
        <v>0</v>
      </c>
    </row>
    <row r="551" spans="1:63" hidden="1">
      <c r="A551" s="187"/>
      <c r="B551" s="2321"/>
      <c r="C551" s="2322"/>
      <c r="D551" s="2334" t="s">
        <v>810</v>
      </c>
      <c r="E551" s="2334"/>
      <c r="F551" s="2334"/>
      <c r="G551" s="2334"/>
      <c r="H551" s="2334"/>
      <c r="I551" s="2334"/>
      <c r="J551" s="2334"/>
      <c r="K551" s="2334"/>
      <c r="L551" s="2334"/>
      <c r="M551" s="2334"/>
      <c r="N551" s="2334"/>
      <c r="O551" s="2334"/>
      <c r="P551" s="2324"/>
      <c r="Q551" s="2324"/>
      <c r="R551" s="2325"/>
      <c r="S551" s="2324" t="s">
        <v>11</v>
      </c>
      <c r="T551" s="2324" t="s">
        <v>11</v>
      </c>
      <c r="U551" s="2326">
        <v>10</v>
      </c>
      <c r="V551" s="2327"/>
      <c r="W551" s="2327"/>
      <c r="X551" s="2327">
        <v>7.5</v>
      </c>
      <c r="Y551" s="2327"/>
      <c r="Z551" s="2327">
        <v>7.5</v>
      </c>
      <c r="AA551" s="2328"/>
      <c r="AB551" s="2329"/>
      <c r="AC551" s="2326"/>
      <c r="AD551" s="2330">
        <f t="shared" si="361"/>
        <v>0</v>
      </c>
      <c r="AE551" s="2330"/>
      <c r="AF551" s="2330"/>
      <c r="AG551" s="2330">
        <f t="shared" si="371"/>
        <v>0</v>
      </c>
      <c r="AH551" s="2330"/>
      <c r="AI551" s="2330"/>
      <c r="AJ551" s="2330">
        <f t="shared" si="362"/>
        <v>0</v>
      </c>
      <c r="AK551" s="2330"/>
      <c r="AL551" s="2330"/>
      <c r="AM551" s="2331">
        <f t="shared" si="363"/>
        <v>0</v>
      </c>
      <c r="AN551" s="2331"/>
      <c r="AO551" s="2331"/>
      <c r="AP551" s="2331"/>
      <c r="AQ551" s="2332">
        <f t="shared" si="364"/>
        <v>0</v>
      </c>
      <c r="AR551" s="2332"/>
      <c r="AS551" s="2332"/>
      <c r="AT551" s="2332">
        <f t="shared" si="365"/>
        <v>0</v>
      </c>
      <c r="AV551" s="151" t="str">
        <f t="shared" si="360"/>
        <v>LANDSCAPING</v>
      </c>
      <c r="AW551" s="681"/>
      <c r="AX551" s="230"/>
      <c r="AY551" s="230"/>
      <c r="AZ551" s="679"/>
      <c r="BA551" s="49">
        <f t="shared" si="366"/>
        <v>0</v>
      </c>
      <c r="BB551" s="49">
        <f t="shared" si="372"/>
        <v>0</v>
      </c>
      <c r="BC551" s="49">
        <f t="shared" si="373"/>
        <v>0</v>
      </c>
      <c r="BD551" s="49">
        <f t="shared" si="367"/>
        <v>0</v>
      </c>
      <c r="BE551" s="49">
        <f t="shared" si="374"/>
        <v>0</v>
      </c>
      <c r="BF551" s="49">
        <f t="shared" si="368"/>
        <v>0</v>
      </c>
      <c r="BG551" s="49">
        <f t="shared" si="369"/>
        <v>0</v>
      </c>
      <c r="BI551" s="134">
        <f t="shared" si="375"/>
        <v>0</v>
      </c>
      <c r="BJ551" s="134">
        <f t="shared" si="370"/>
        <v>0</v>
      </c>
      <c r="BK551" s="134">
        <f t="shared" si="376"/>
        <v>0</v>
      </c>
    </row>
    <row r="552" spans="1:63" hidden="1">
      <c r="A552" s="187"/>
      <c r="B552" s="2321"/>
      <c r="C552" s="2322"/>
      <c r="D552" s="2334"/>
      <c r="E552" s="2334"/>
      <c r="F552" s="2334"/>
      <c r="G552" s="2334"/>
      <c r="H552" s="2334"/>
      <c r="I552" s="2334"/>
      <c r="J552" s="2334"/>
      <c r="K552" s="2334"/>
      <c r="L552" s="2334"/>
      <c r="M552" s="2334"/>
      <c r="N552" s="2334"/>
      <c r="O552" s="2334"/>
      <c r="P552" s="2324"/>
      <c r="Q552" s="2324"/>
      <c r="R552" s="2325"/>
      <c r="S552" s="2324"/>
      <c r="T552" s="2324"/>
      <c r="U552" s="2326"/>
      <c r="V552" s="2327"/>
      <c r="W552" s="2327"/>
      <c r="X552" s="2327"/>
      <c r="Y552" s="2327"/>
      <c r="Z552" s="2327"/>
      <c r="AA552" s="2328"/>
      <c r="AB552" s="2329"/>
      <c r="AC552" s="2326"/>
      <c r="AD552" s="2330">
        <f t="shared" si="361"/>
        <v>0</v>
      </c>
      <c r="AE552" s="2330"/>
      <c r="AF552" s="2330"/>
      <c r="AG552" s="2330">
        <f t="shared" si="371"/>
        <v>0</v>
      </c>
      <c r="AH552" s="2330"/>
      <c r="AI552" s="2330"/>
      <c r="AJ552" s="2330">
        <f t="shared" si="362"/>
        <v>0</v>
      </c>
      <c r="AK552" s="2330"/>
      <c r="AL552" s="2330"/>
      <c r="AM552" s="2331">
        <f t="shared" si="363"/>
        <v>0</v>
      </c>
      <c r="AN552" s="2331"/>
      <c r="AO552" s="2331"/>
      <c r="AP552" s="2331"/>
      <c r="AQ552" s="2332">
        <f t="shared" si="364"/>
        <v>0</v>
      </c>
      <c r="AR552" s="2332"/>
      <c r="AS552" s="2332"/>
      <c r="AT552" s="2332">
        <f t="shared" si="365"/>
        <v>0</v>
      </c>
      <c r="AV552" s="151" t="str">
        <f t="shared" si="360"/>
        <v>LANDSCAPING</v>
      </c>
      <c r="AW552" s="681"/>
      <c r="AX552" s="230"/>
      <c r="AY552" s="230"/>
      <c r="AZ552" s="679"/>
      <c r="BA552" s="49">
        <f t="shared" si="366"/>
        <v>0</v>
      </c>
      <c r="BB552" s="49">
        <f t="shared" si="372"/>
        <v>0</v>
      </c>
      <c r="BC552" s="49">
        <f t="shared" si="373"/>
        <v>0</v>
      </c>
      <c r="BD552" s="49">
        <f t="shared" si="367"/>
        <v>0</v>
      </c>
      <c r="BE552" s="49">
        <f t="shared" si="374"/>
        <v>0</v>
      </c>
      <c r="BF552" s="49">
        <f t="shared" si="368"/>
        <v>0</v>
      </c>
      <c r="BG552" s="49">
        <f t="shared" si="369"/>
        <v>0</v>
      </c>
      <c r="BI552" s="134">
        <f t="shared" si="375"/>
        <v>0</v>
      </c>
      <c r="BJ552" s="134">
        <f t="shared" si="370"/>
        <v>0</v>
      </c>
      <c r="BK552" s="134">
        <f t="shared" si="376"/>
        <v>0</v>
      </c>
    </row>
    <row r="553" spans="1:63" hidden="1">
      <c r="A553" s="187"/>
      <c r="B553" s="2321"/>
      <c r="C553" s="2322"/>
      <c r="D553" s="2334"/>
      <c r="E553" s="2334"/>
      <c r="F553" s="2334"/>
      <c r="G553" s="2334"/>
      <c r="H553" s="2334"/>
      <c r="I553" s="2334"/>
      <c r="J553" s="2334"/>
      <c r="K553" s="2334"/>
      <c r="L553" s="2334"/>
      <c r="M553" s="2334"/>
      <c r="N553" s="2334"/>
      <c r="O553" s="2334"/>
      <c r="P553" s="2324"/>
      <c r="Q553" s="2324"/>
      <c r="R553" s="2325"/>
      <c r="S553" s="2324"/>
      <c r="T553" s="2324"/>
      <c r="U553" s="2326"/>
      <c r="V553" s="2327"/>
      <c r="W553" s="2327"/>
      <c r="X553" s="2327"/>
      <c r="Y553" s="2327"/>
      <c r="Z553" s="2327"/>
      <c r="AA553" s="2328"/>
      <c r="AB553" s="2329"/>
      <c r="AC553" s="2326"/>
      <c r="AD553" s="2330">
        <f t="shared" si="361"/>
        <v>0</v>
      </c>
      <c r="AE553" s="2330"/>
      <c r="AF553" s="2330"/>
      <c r="AG553" s="2330">
        <f t="shared" si="371"/>
        <v>0</v>
      </c>
      <c r="AH553" s="2330"/>
      <c r="AI553" s="2330"/>
      <c r="AJ553" s="2330">
        <f t="shared" si="362"/>
        <v>0</v>
      </c>
      <c r="AK553" s="2330"/>
      <c r="AL553" s="2330"/>
      <c r="AM553" s="2331">
        <f t="shared" si="363"/>
        <v>0</v>
      </c>
      <c r="AN553" s="2331"/>
      <c r="AO553" s="2331"/>
      <c r="AP553" s="2331"/>
      <c r="AQ553" s="2332">
        <f t="shared" si="364"/>
        <v>0</v>
      </c>
      <c r="AR553" s="2332"/>
      <c r="AS553" s="2332"/>
      <c r="AT553" s="2332">
        <f t="shared" si="365"/>
        <v>0</v>
      </c>
      <c r="AV553" s="151" t="str">
        <f t="shared" si="360"/>
        <v>LANDSCAPING</v>
      </c>
      <c r="AW553" s="681"/>
      <c r="AX553" s="230"/>
      <c r="AY553" s="230"/>
      <c r="AZ553" s="679"/>
      <c r="BA553" s="49">
        <f t="shared" si="366"/>
        <v>0</v>
      </c>
      <c r="BB553" s="49">
        <f t="shared" si="372"/>
        <v>0</v>
      </c>
      <c r="BC553" s="49">
        <f t="shared" si="373"/>
        <v>0</v>
      </c>
      <c r="BD553" s="49">
        <f t="shared" si="367"/>
        <v>0</v>
      </c>
      <c r="BE553" s="49">
        <f t="shared" si="374"/>
        <v>0</v>
      </c>
      <c r="BF553" s="49">
        <f t="shared" si="368"/>
        <v>0</v>
      </c>
      <c r="BG553" s="49">
        <f t="shared" si="369"/>
        <v>0</v>
      </c>
      <c r="BI553" s="134">
        <f t="shared" si="375"/>
        <v>0</v>
      </c>
      <c r="BJ553" s="134">
        <f t="shared" si="370"/>
        <v>0</v>
      </c>
      <c r="BK553" s="134">
        <f t="shared" si="376"/>
        <v>0</v>
      </c>
    </row>
    <row r="554" spans="1:63" hidden="1">
      <c r="A554" s="187"/>
      <c r="B554" s="2333"/>
      <c r="C554" s="2333"/>
      <c r="D554" s="2334"/>
      <c r="E554" s="2334"/>
      <c r="F554" s="2334"/>
      <c r="G554" s="2334"/>
      <c r="H554" s="2334"/>
      <c r="I554" s="2334"/>
      <c r="J554" s="2334"/>
      <c r="K554" s="2334"/>
      <c r="L554" s="2334"/>
      <c r="M554" s="2334"/>
      <c r="N554" s="2334"/>
      <c r="O554" s="2334"/>
      <c r="P554" s="2324"/>
      <c r="Q554" s="2324"/>
      <c r="R554" s="2325"/>
      <c r="S554" s="2324"/>
      <c r="T554" s="2324"/>
      <c r="U554" s="2326"/>
      <c r="V554" s="2327"/>
      <c r="W554" s="2327"/>
      <c r="X554" s="2327"/>
      <c r="Y554" s="2327"/>
      <c r="Z554" s="2327"/>
      <c r="AA554" s="2328"/>
      <c r="AB554" s="2329"/>
      <c r="AC554" s="2326"/>
      <c r="AD554" s="2330">
        <f t="shared" si="361"/>
        <v>0</v>
      </c>
      <c r="AE554" s="2330"/>
      <c r="AF554" s="2330"/>
      <c r="AG554" s="2330">
        <f t="shared" si="371"/>
        <v>0</v>
      </c>
      <c r="AH554" s="2330"/>
      <c r="AI554" s="2330"/>
      <c r="AJ554" s="2330">
        <f t="shared" si="362"/>
        <v>0</v>
      </c>
      <c r="AK554" s="2330"/>
      <c r="AL554" s="2330"/>
      <c r="AM554" s="2331">
        <f t="shared" si="363"/>
        <v>0</v>
      </c>
      <c r="AN554" s="2331"/>
      <c r="AO554" s="2331"/>
      <c r="AP554" s="2331"/>
      <c r="AQ554" s="2332">
        <f t="shared" si="364"/>
        <v>0</v>
      </c>
      <c r="AR554" s="2332"/>
      <c r="AS554" s="2332"/>
      <c r="AT554" s="2332">
        <f t="shared" si="365"/>
        <v>0</v>
      </c>
      <c r="AV554" s="151" t="str">
        <f t="shared" si="360"/>
        <v>LANDSCAPING</v>
      </c>
      <c r="AW554" s="681"/>
      <c r="AX554" s="230"/>
      <c r="AY554" s="230"/>
      <c r="AZ554" s="679"/>
      <c r="BA554" s="49">
        <f t="shared" si="366"/>
        <v>0</v>
      </c>
      <c r="BB554" s="49">
        <f t="shared" si="372"/>
        <v>0</v>
      </c>
      <c r="BC554" s="49">
        <f t="shared" si="373"/>
        <v>0</v>
      </c>
      <c r="BD554" s="49">
        <f t="shared" si="367"/>
        <v>0</v>
      </c>
      <c r="BE554" s="49">
        <f t="shared" si="374"/>
        <v>0</v>
      </c>
      <c r="BF554" s="49">
        <f t="shared" si="368"/>
        <v>0</v>
      </c>
      <c r="BG554" s="49">
        <f t="shared" si="369"/>
        <v>0</v>
      </c>
      <c r="BI554" s="134">
        <f t="shared" si="375"/>
        <v>0</v>
      </c>
      <c r="BJ554" s="134">
        <f t="shared" si="370"/>
        <v>0</v>
      </c>
      <c r="BK554" s="134">
        <f t="shared" si="376"/>
        <v>0</v>
      </c>
    </row>
    <row r="555" spans="1:63" hidden="1">
      <c r="A555" s="187"/>
      <c r="B555" s="2321"/>
      <c r="C555" s="2322"/>
      <c r="D555" s="2334"/>
      <c r="E555" s="2334"/>
      <c r="F555" s="2334"/>
      <c r="G555" s="2334"/>
      <c r="H555" s="2334"/>
      <c r="I555" s="2334"/>
      <c r="J555" s="2334"/>
      <c r="K555" s="2334"/>
      <c r="L555" s="2334"/>
      <c r="M555" s="2334"/>
      <c r="N555" s="2334"/>
      <c r="O555" s="2334"/>
      <c r="P555" s="2324"/>
      <c r="Q555" s="2324"/>
      <c r="R555" s="2325"/>
      <c r="S555" s="2324"/>
      <c r="T555" s="2324"/>
      <c r="U555" s="2326"/>
      <c r="V555" s="2327"/>
      <c r="W555" s="2327"/>
      <c r="X555" s="2327"/>
      <c r="Y555" s="2327"/>
      <c r="Z555" s="2327"/>
      <c r="AA555" s="2328"/>
      <c r="AB555" s="2329"/>
      <c r="AC555" s="2326"/>
      <c r="AD555" s="2330">
        <f t="shared" si="361"/>
        <v>0</v>
      </c>
      <c r="AE555" s="2330"/>
      <c r="AF555" s="2330"/>
      <c r="AG555" s="2330">
        <f t="shared" si="371"/>
        <v>0</v>
      </c>
      <c r="AH555" s="2330"/>
      <c r="AI555" s="2330"/>
      <c r="AJ555" s="2330">
        <f t="shared" si="362"/>
        <v>0</v>
      </c>
      <c r="AK555" s="2330"/>
      <c r="AL555" s="2330"/>
      <c r="AM555" s="2331">
        <f t="shared" si="363"/>
        <v>0</v>
      </c>
      <c r="AN555" s="2331"/>
      <c r="AO555" s="2331"/>
      <c r="AP555" s="2331"/>
      <c r="AQ555" s="2332">
        <f t="shared" si="364"/>
        <v>0</v>
      </c>
      <c r="AR555" s="2332"/>
      <c r="AS555" s="2332"/>
      <c r="AT555" s="2332">
        <f t="shared" si="365"/>
        <v>0</v>
      </c>
      <c r="AV555" s="151" t="str">
        <f t="shared" si="360"/>
        <v>LANDSCAPING</v>
      </c>
      <c r="AW555" s="681"/>
      <c r="AX555" s="230"/>
      <c r="AY555" s="230"/>
      <c r="AZ555" s="679"/>
      <c r="BA555" s="49">
        <f t="shared" si="366"/>
        <v>0</v>
      </c>
      <c r="BB555" s="49">
        <f t="shared" si="372"/>
        <v>0</v>
      </c>
      <c r="BC555" s="49">
        <f t="shared" si="373"/>
        <v>0</v>
      </c>
      <c r="BD555" s="49">
        <f t="shared" si="367"/>
        <v>0</v>
      </c>
      <c r="BE555" s="49">
        <f t="shared" si="374"/>
        <v>0</v>
      </c>
      <c r="BF555" s="49">
        <f t="shared" si="368"/>
        <v>0</v>
      </c>
      <c r="BG555" s="49">
        <f t="shared" si="369"/>
        <v>0</v>
      </c>
      <c r="BI555" s="134">
        <f t="shared" si="375"/>
        <v>0</v>
      </c>
      <c r="BJ555" s="134">
        <f t="shared" si="370"/>
        <v>0</v>
      </c>
      <c r="BK555" s="134">
        <f t="shared" si="376"/>
        <v>0</v>
      </c>
    </row>
    <row r="556" spans="1:63" hidden="1">
      <c r="A556" s="187"/>
      <c r="B556" s="2321"/>
      <c r="C556" s="2322"/>
      <c r="D556" s="2334"/>
      <c r="E556" s="2334"/>
      <c r="F556" s="2334"/>
      <c r="G556" s="2334"/>
      <c r="H556" s="2334"/>
      <c r="I556" s="2334"/>
      <c r="J556" s="2334"/>
      <c r="K556" s="2334"/>
      <c r="L556" s="2334"/>
      <c r="M556" s="2334"/>
      <c r="N556" s="2334"/>
      <c r="O556" s="2334"/>
      <c r="P556" s="2324"/>
      <c r="Q556" s="2324"/>
      <c r="R556" s="2325"/>
      <c r="S556" s="2324"/>
      <c r="T556" s="2324"/>
      <c r="U556" s="2326"/>
      <c r="V556" s="2327"/>
      <c r="W556" s="2327"/>
      <c r="X556" s="2327"/>
      <c r="Y556" s="2327"/>
      <c r="Z556" s="2327"/>
      <c r="AA556" s="2328"/>
      <c r="AB556" s="2329"/>
      <c r="AC556" s="2326"/>
      <c r="AD556" s="2330">
        <f t="shared" si="361"/>
        <v>0</v>
      </c>
      <c r="AE556" s="2330"/>
      <c r="AF556" s="2330"/>
      <c r="AG556" s="2330">
        <f t="shared" si="371"/>
        <v>0</v>
      </c>
      <c r="AH556" s="2330"/>
      <c r="AI556" s="2330"/>
      <c r="AJ556" s="2330">
        <f t="shared" si="362"/>
        <v>0</v>
      </c>
      <c r="AK556" s="2330"/>
      <c r="AL556" s="2330"/>
      <c r="AM556" s="2331">
        <f t="shared" si="363"/>
        <v>0</v>
      </c>
      <c r="AN556" s="2331"/>
      <c r="AO556" s="2331"/>
      <c r="AP556" s="2331"/>
      <c r="AQ556" s="2332">
        <f t="shared" si="364"/>
        <v>0</v>
      </c>
      <c r="AR556" s="2332"/>
      <c r="AS556" s="2332"/>
      <c r="AT556" s="2332">
        <f t="shared" si="365"/>
        <v>0</v>
      </c>
      <c r="AV556" s="151" t="str">
        <f t="shared" si="360"/>
        <v>LANDSCAPING</v>
      </c>
      <c r="AW556" s="681"/>
      <c r="AX556" s="230"/>
      <c r="AY556" s="230"/>
      <c r="AZ556" s="679"/>
      <c r="BA556" s="49">
        <f t="shared" si="366"/>
        <v>0</v>
      </c>
      <c r="BB556" s="49">
        <f t="shared" si="372"/>
        <v>0</v>
      </c>
      <c r="BC556" s="49">
        <f t="shared" si="373"/>
        <v>0</v>
      </c>
      <c r="BD556" s="49">
        <f t="shared" si="367"/>
        <v>0</v>
      </c>
      <c r="BE556" s="49">
        <f>SUM(BA556:BC556)</f>
        <v>0</v>
      </c>
      <c r="BF556" s="49">
        <f t="shared" si="368"/>
        <v>0</v>
      </c>
      <c r="BG556" s="49">
        <f t="shared" si="369"/>
        <v>0</v>
      </c>
      <c r="BI556" s="134">
        <f t="shared" si="375"/>
        <v>0</v>
      </c>
      <c r="BJ556" s="134">
        <f t="shared" si="370"/>
        <v>0</v>
      </c>
      <c r="BK556" s="134">
        <f t="shared" si="376"/>
        <v>0</v>
      </c>
    </row>
    <row r="557" spans="1:63" hidden="1">
      <c r="A557" s="187"/>
      <c r="B557" s="2333"/>
      <c r="C557" s="2333"/>
      <c r="D557" s="2334"/>
      <c r="E557" s="2334"/>
      <c r="F557" s="2334"/>
      <c r="G557" s="2334"/>
      <c r="H557" s="2334"/>
      <c r="I557" s="2334"/>
      <c r="J557" s="2334"/>
      <c r="K557" s="2334"/>
      <c r="L557" s="2334"/>
      <c r="M557" s="2334"/>
      <c r="N557" s="2334"/>
      <c r="O557" s="2334"/>
      <c r="P557" s="2324"/>
      <c r="Q557" s="2324"/>
      <c r="R557" s="2325"/>
      <c r="S557" s="2324"/>
      <c r="T557" s="2324"/>
      <c r="U557" s="2326"/>
      <c r="V557" s="2327"/>
      <c r="W557" s="2327"/>
      <c r="X557" s="2327"/>
      <c r="Y557" s="2327"/>
      <c r="Z557" s="2327"/>
      <c r="AA557" s="2328"/>
      <c r="AB557" s="2329"/>
      <c r="AC557" s="2326"/>
      <c r="AD557" s="2330">
        <f t="shared" si="361"/>
        <v>0</v>
      </c>
      <c r="AE557" s="2330"/>
      <c r="AF557" s="2330"/>
      <c r="AG557" s="2330">
        <f t="shared" si="371"/>
        <v>0</v>
      </c>
      <c r="AH557" s="2330"/>
      <c r="AI557" s="2330"/>
      <c r="AJ557" s="2330">
        <f t="shared" si="362"/>
        <v>0</v>
      </c>
      <c r="AK557" s="2330"/>
      <c r="AL557" s="2330"/>
      <c r="AM557" s="2331">
        <f t="shared" si="363"/>
        <v>0</v>
      </c>
      <c r="AN557" s="2331"/>
      <c r="AO557" s="2331"/>
      <c r="AP557" s="2331"/>
      <c r="AQ557" s="2332">
        <f t="shared" si="364"/>
        <v>0</v>
      </c>
      <c r="AR557" s="2332"/>
      <c r="AS557" s="2332"/>
      <c r="AT557" s="2332">
        <f t="shared" si="365"/>
        <v>0</v>
      </c>
      <c r="AV557" s="151" t="str">
        <f t="shared" si="360"/>
        <v>LANDSCAPING</v>
      </c>
      <c r="AW557" s="681"/>
      <c r="AX557" s="230"/>
      <c r="AY557" s="230"/>
      <c r="AZ557" s="679"/>
      <c r="BA557" s="49">
        <f t="shared" si="366"/>
        <v>0</v>
      </c>
      <c r="BB557" s="49">
        <f t="shared" si="372"/>
        <v>0</v>
      </c>
      <c r="BC557" s="49">
        <f t="shared" si="373"/>
        <v>0</v>
      </c>
      <c r="BD557" s="49">
        <f t="shared" si="367"/>
        <v>0</v>
      </c>
      <c r="BE557" s="49">
        <f>SUM(BA557:BC557)</f>
        <v>0</v>
      </c>
      <c r="BF557" s="49">
        <f t="shared" si="368"/>
        <v>0</v>
      </c>
      <c r="BG557" s="49">
        <f t="shared" si="369"/>
        <v>0</v>
      </c>
      <c r="BI557" s="134">
        <f t="shared" si="375"/>
        <v>0</v>
      </c>
      <c r="BJ557" s="134">
        <f t="shared" si="370"/>
        <v>0</v>
      </c>
      <c r="BK557" s="134">
        <f t="shared" si="376"/>
        <v>0</v>
      </c>
    </row>
    <row r="558" spans="1:63" hidden="1">
      <c r="A558" s="187"/>
      <c r="B558" s="2321"/>
      <c r="C558" s="2322"/>
      <c r="D558" s="2334"/>
      <c r="E558" s="2334"/>
      <c r="F558" s="2334"/>
      <c r="G558" s="2334"/>
      <c r="H558" s="2334"/>
      <c r="I558" s="2334"/>
      <c r="J558" s="2334"/>
      <c r="K558" s="2334"/>
      <c r="L558" s="2334"/>
      <c r="M558" s="2334"/>
      <c r="N558" s="2334"/>
      <c r="O558" s="2334"/>
      <c r="P558" s="2324"/>
      <c r="Q558" s="2324"/>
      <c r="R558" s="2325"/>
      <c r="S558" s="2324"/>
      <c r="T558" s="2324"/>
      <c r="U558" s="2326"/>
      <c r="V558" s="2327"/>
      <c r="W558" s="2327"/>
      <c r="X558" s="2327"/>
      <c r="Y558" s="2327"/>
      <c r="Z558" s="2327"/>
      <c r="AA558" s="2328"/>
      <c r="AB558" s="2329"/>
      <c r="AC558" s="2326"/>
      <c r="AD558" s="2330">
        <f t="shared" ref="AD558:AD577" si="377">((P558*U558)-AM558)</f>
        <v>0</v>
      </c>
      <c r="AE558" s="2330"/>
      <c r="AF558" s="2330"/>
      <c r="AG558" s="2330">
        <f t="shared" si="371"/>
        <v>0</v>
      </c>
      <c r="AH558" s="2330"/>
      <c r="AI558" s="2330"/>
      <c r="AJ558" s="2330">
        <f t="shared" ref="AJ558:AJ577" si="378">P558*AA558</f>
        <v>0</v>
      </c>
      <c r="AK558" s="2330"/>
      <c r="AL558" s="2330"/>
      <c r="AM558" s="2331">
        <f t="shared" si="363"/>
        <v>0</v>
      </c>
      <c r="AN558" s="2331"/>
      <c r="AO558" s="2331"/>
      <c r="AP558" s="2331"/>
      <c r="AQ558" s="2332">
        <f t="shared" ref="AQ558:AQ577" si="379">SUM(AD558:AL558)</f>
        <v>0</v>
      </c>
      <c r="AR558" s="2332"/>
      <c r="AS558" s="2332"/>
      <c r="AT558" s="2332">
        <f t="shared" ref="AT558:AT577" si="380">SUM(AD558:AL558)</f>
        <v>0</v>
      </c>
      <c r="AV558" s="151" t="str">
        <f t="shared" si="360"/>
        <v>LANDSCAPING</v>
      </c>
      <c r="AW558" s="681"/>
      <c r="AX558" s="230"/>
      <c r="AY558" s="230"/>
      <c r="AZ558" s="679"/>
      <c r="BA558" s="49">
        <f t="shared" ref="BA558:BA577" si="381">AD558</f>
        <v>0</v>
      </c>
      <c r="BB558" s="49">
        <f>AG558</f>
        <v>0</v>
      </c>
      <c r="BC558" s="49">
        <f>AJ558</f>
        <v>0</v>
      </c>
      <c r="BD558" s="49">
        <f t="shared" ref="BD558:BD577" si="382">IF(B558="x",1,0)</f>
        <v>0</v>
      </c>
      <c r="BE558" s="49">
        <f>SUM(BA558:BC558)</f>
        <v>0</v>
      </c>
      <c r="BF558" s="49">
        <f t="shared" ref="BF558:BF577" si="383">AQ558</f>
        <v>0</v>
      </c>
      <c r="BG558" s="49">
        <f t="shared" ref="BG558:BG577" si="384">AM558</f>
        <v>0</v>
      </c>
      <c r="BI558" s="134">
        <f>AD558</f>
        <v>0</v>
      </c>
      <c r="BJ558" s="134">
        <f t="shared" ref="BJ558:BJ577" si="385">AM558</f>
        <v>0</v>
      </c>
      <c r="BK558" s="134">
        <f>BJ558+BI558</f>
        <v>0</v>
      </c>
    </row>
    <row r="559" spans="1:63" hidden="1">
      <c r="A559" s="187"/>
      <c r="B559" s="2321"/>
      <c r="C559" s="2322"/>
      <c r="D559" s="2334"/>
      <c r="E559" s="2334"/>
      <c r="F559" s="2334"/>
      <c r="G559" s="2334"/>
      <c r="H559" s="2334"/>
      <c r="I559" s="2334"/>
      <c r="J559" s="2334"/>
      <c r="K559" s="2334"/>
      <c r="L559" s="2334"/>
      <c r="M559" s="2334"/>
      <c r="N559" s="2334"/>
      <c r="O559" s="2334"/>
      <c r="P559" s="2324"/>
      <c r="Q559" s="2324"/>
      <c r="R559" s="2325"/>
      <c r="S559" s="2324"/>
      <c r="T559" s="2324"/>
      <c r="U559" s="2326"/>
      <c r="V559" s="2327"/>
      <c r="W559" s="2327"/>
      <c r="X559" s="2327"/>
      <c r="Y559" s="2327"/>
      <c r="Z559" s="2327"/>
      <c r="AA559" s="2328"/>
      <c r="AB559" s="2329"/>
      <c r="AC559" s="2326"/>
      <c r="AD559" s="2330">
        <f t="shared" si="377"/>
        <v>0</v>
      </c>
      <c r="AE559" s="2330"/>
      <c r="AF559" s="2330"/>
      <c r="AG559" s="2330">
        <f t="shared" si="371"/>
        <v>0</v>
      </c>
      <c r="AH559" s="2330"/>
      <c r="AI559" s="2330"/>
      <c r="AJ559" s="2330">
        <f t="shared" si="378"/>
        <v>0</v>
      </c>
      <c r="AK559" s="2330"/>
      <c r="AL559" s="2330"/>
      <c r="AM559" s="2331">
        <f t="shared" si="363"/>
        <v>0</v>
      </c>
      <c r="AN559" s="2331"/>
      <c r="AO559" s="2331"/>
      <c r="AP559" s="2331"/>
      <c r="AQ559" s="2332">
        <f t="shared" si="379"/>
        <v>0</v>
      </c>
      <c r="AR559" s="2332"/>
      <c r="AS559" s="2332"/>
      <c r="AT559" s="2332">
        <f t="shared" si="380"/>
        <v>0</v>
      </c>
      <c r="AV559" s="151" t="str">
        <f t="shared" si="360"/>
        <v>LANDSCAPING</v>
      </c>
      <c r="AW559" s="681"/>
      <c r="AX559" s="230"/>
      <c r="AY559" s="230"/>
      <c r="AZ559" s="679"/>
      <c r="BA559" s="49">
        <f t="shared" si="381"/>
        <v>0</v>
      </c>
      <c r="BB559" s="49">
        <f t="shared" ref="BB559:BB577" si="386">AG559</f>
        <v>0</v>
      </c>
      <c r="BC559" s="49">
        <f t="shared" ref="BC559:BC577" si="387">AJ559</f>
        <v>0</v>
      </c>
      <c r="BD559" s="49">
        <f t="shared" si="382"/>
        <v>0</v>
      </c>
      <c r="BE559" s="49">
        <f t="shared" ref="BE559:BE575" si="388">SUM(BA559:BC559)</f>
        <v>0</v>
      </c>
      <c r="BF559" s="49">
        <f t="shared" si="383"/>
        <v>0</v>
      </c>
      <c r="BG559" s="49">
        <f t="shared" si="384"/>
        <v>0</v>
      </c>
      <c r="BI559" s="134">
        <f t="shared" ref="BI559:BI577" si="389">AD559</f>
        <v>0</v>
      </c>
      <c r="BJ559" s="134">
        <f t="shared" si="385"/>
        <v>0</v>
      </c>
      <c r="BK559" s="134">
        <f t="shared" ref="BK559:BK577" si="390">BJ559+BI559</f>
        <v>0</v>
      </c>
    </row>
    <row r="560" spans="1:63" hidden="1">
      <c r="A560" s="187"/>
      <c r="B560" s="2333"/>
      <c r="C560" s="2333"/>
      <c r="D560" s="2334"/>
      <c r="E560" s="2334"/>
      <c r="F560" s="2334"/>
      <c r="G560" s="2334"/>
      <c r="H560" s="2334"/>
      <c r="I560" s="2334"/>
      <c r="J560" s="2334"/>
      <c r="K560" s="2334"/>
      <c r="L560" s="2334"/>
      <c r="M560" s="2334"/>
      <c r="N560" s="2334"/>
      <c r="O560" s="2334"/>
      <c r="P560" s="2324"/>
      <c r="Q560" s="2324"/>
      <c r="R560" s="2325"/>
      <c r="S560" s="2324"/>
      <c r="T560" s="2324"/>
      <c r="U560" s="2326"/>
      <c r="V560" s="2327"/>
      <c r="W560" s="2327"/>
      <c r="X560" s="2327"/>
      <c r="Y560" s="2327"/>
      <c r="Z560" s="2327"/>
      <c r="AA560" s="2328"/>
      <c r="AB560" s="2329"/>
      <c r="AC560" s="2326"/>
      <c r="AD560" s="2330">
        <f t="shared" si="377"/>
        <v>0</v>
      </c>
      <c r="AE560" s="2330"/>
      <c r="AF560" s="2330"/>
      <c r="AG560" s="2330">
        <f t="shared" si="371"/>
        <v>0</v>
      </c>
      <c r="AH560" s="2330"/>
      <c r="AI560" s="2330"/>
      <c r="AJ560" s="2330">
        <f t="shared" si="378"/>
        <v>0</v>
      </c>
      <c r="AK560" s="2330"/>
      <c r="AL560" s="2330"/>
      <c r="AM560" s="2331">
        <f t="shared" si="363"/>
        <v>0</v>
      </c>
      <c r="AN560" s="2331"/>
      <c r="AO560" s="2331"/>
      <c r="AP560" s="2331"/>
      <c r="AQ560" s="2332">
        <f t="shared" si="379"/>
        <v>0</v>
      </c>
      <c r="AR560" s="2332"/>
      <c r="AS560" s="2332"/>
      <c r="AT560" s="2332">
        <f t="shared" si="380"/>
        <v>0</v>
      </c>
      <c r="AV560" s="151" t="str">
        <f t="shared" si="360"/>
        <v>LANDSCAPING</v>
      </c>
      <c r="AW560" s="681"/>
      <c r="AX560" s="230"/>
      <c r="AY560" s="230"/>
      <c r="AZ560" s="679"/>
      <c r="BA560" s="49">
        <f t="shared" si="381"/>
        <v>0</v>
      </c>
      <c r="BB560" s="49">
        <f t="shared" si="386"/>
        <v>0</v>
      </c>
      <c r="BC560" s="49">
        <f t="shared" si="387"/>
        <v>0</v>
      </c>
      <c r="BD560" s="49">
        <f t="shared" si="382"/>
        <v>0</v>
      </c>
      <c r="BE560" s="49">
        <f t="shared" si="388"/>
        <v>0</v>
      </c>
      <c r="BF560" s="49">
        <f t="shared" si="383"/>
        <v>0</v>
      </c>
      <c r="BG560" s="49">
        <f t="shared" si="384"/>
        <v>0</v>
      </c>
      <c r="BI560" s="134">
        <f t="shared" si="389"/>
        <v>0</v>
      </c>
      <c r="BJ560" s="134">
        <f t="shared" si="385"/>
        <v>0</v>
      </c>
      <c r="BK560" s="134">
        <f t="shared" si="390"/>
        <v>0</v>
      </c>
    </row>
    <row r="561" spans="1:63" hidden="1">
      <c r="A561" s="187"/>
      <c r="B561" s="2333"/>
      <c r="C561" s="2333"/>
      <c r="D561" s="2334"/>
      <c r="E561" s="2334"/>
      <c r="F561" s="2334"/>
      <c r="G561" s="2334"/>
      <c r="H561" s="2334"/>
      <c r="I561" s="2334"/>
      <c r="J561" s="2334"/>
      <c r="K561" s="2334"/>
      <c r="L561" s="2334"/>
      <c r="M561" s="2334"/>
      <c r="N561" s="2334"/>
      <c r="O561" s="2334"/>
      <c r="P561" s="2324"/>
      <c r="Q561" s="2324"/>
      <c r="R561" s="2325"/>
      <c r="S561" s="2324"/>
      <c r="T561" s="2324"/>
      <c r="U561" s="2326"/>
      <c r="V561" s="2327"/>
      <c r="W561" s="2327"/>
      <c r="X561" s="2327"/>
      <c r="Y561" s="2327"/>
      <c r="Z561" s="2327"/>
      <c r="AA561" s="2328"/>
      <c r="AB561" s="2329"/>
      <c r="AC561" s="2326"/>
      <c r="AD561" s="2330">
        <f t="shared" si="377"/>
        <v>0</v>
      </c>
      <c r="AE561" s="2330"/>
      <c r="AF561" s="2330"/>
      <c r="AG561" s="2330">
        <f t="shared" si="371"/>
        <v>0</v>
      </c>
      <c r="AH561" s="2330"/>
      <c r="AI561" s="2330"/>
      <c r="AJ561" s="2330">
        <f t="shared" si="378"/>
        <v>0</v>
      </c>
      <c r="AK561" s="2330"/>
      <c r="AL561" s="2330"/>
      <c r="AM561" s="2331">
        <f t="shared" si="363"/>
        <v>0</v>
      </c>
      <c r="AN561" s="2331"/>
      <c r="AO561" s="2331"/>
      <c r="AP561" s="2331"/>
      <c r="AQ561" s="2332">
        <f t="shared" si="379"/>
        <v>0</v>
      </c>
      <c r="AR561" s="2332"/>
      <c r="AS561" s="2332"/>
      <c r="AT561" s="2332">
        <f t="shared" si="380"/>
        <v>0</v>
      </c>
      <c r="AV561" s="151" t="str">
        <f t="shared" si="360"/>
        <v>LANDSCAPING</v>
      </c>
      <c r="AW561" s="681"/>
      <c r="AX561" s="230"/>
      <c r="AY561" s="230"/>
      <c r="AZ561" s="679"/>
      <c r="BA561" s="49">
        <f t="shared" si="381"/>
        <v>0</v>
      </c>
      <c r="BB561" s="49">
        <f t="shared" si="386"/>
        <v>0</v>
      </c>
      <c r="BC561" s="49">
        <f t="shared" si="387"/>
        <v>0</v>
      </c>
      <c r="BD561" s="49">
        <f t="shared" si="382"/>
        <v>0</v>
      </c>
      <c r="BE561" s="49">
        <f t="shared" si="388"/>
        <v>0</v>
      </c>
      <c r="BF561" s="49">
        <f t="shared" si="383"/>
        <v>0</v>
      </c>
      <c r="BG561" s="49">
        <f t="shared" si="384"/>
        <v>0</v>
      </c>
      <c r="BI561" s="134">
        <f t="shared" si="389"/>
        <v>0</v>
      </c>
      <c r="BJ561" s="134">
        <f t="shared" si="385"/>
        <v>0</v>
      </c>
      <c r="BK561" s="134">
        <f t="shared" si="390"/>
        <v>0</v>
      </c>
    </row>
    <row r="562" spans="1:63" hidden="1">
      <c r="A562" s="187"/>
      <c r="B562" s="2321"/>
      <c r="C562" s="2322"/>
      <c r="D562" s="2334"/>
      <c r="E562" s="2334"/>
      <c r="F562" s="2334"/>
      <c r="G562" s="2334"/>
      <c r="H562" s="2334"/>
      <c r="I562" s="2334"/>
      <c r="J562" s="2334"/>
      <c r="K562" s="2334"/>
      <c r="L562" s="2334"/>
      <c r="M562" s="2334"/>
      <c r="N562" s="2334"/>
      <c r="O562" s="2334"/>
      <c r="P562" s="2324"/>
      <c r="Q562" s="2324"/>
      <c r="R562" s="2325"/>
      <c r="S562" s="2324"/>
      <c r="T562" s="2324"/>
      <c r="U562" s="2326"/>
      <c r="V562" s="2327"/>
      <c r="W562" s="2327"/>
      <c r="X562" s="2327"/>
      <c r="Y562" s="2327"/>
      <c r="Z562" s="2327"/>
      <c r="AA562" s="2328"/>
      <c r="AB562" s="2329"/>
      <c r="AC562" s="2326"/>
      <c r="AD562" s="2330">
        <f t="shared" si="377"/>
        <v>0</v>
      </c>
      <c r="AE562" s="2330"/>
      <c r="AF562" s="2330"/>
      <c r="AG562" s="2330">
        <f t="shared" si="371"/>
        <v>0</v>
      </c>
      <c r="AH562" s="2330"/>
      <c r="AI562" s="2330"/>
      <c r="AJ562" s="2330">
        <f t="shared" si="378"/>
        <v>0</v>
      </c>
      <c r="AK562" s="2330"/>
      <c r="AL562" s="2330"/>
      <c r="AM562" s="2331">
        <f t="shared" si="363"/>
        <v>0</v>
      </c>
      <c r="AN562" s="2331"/>
      <c r="AO562" s="2331"/>
      <c r="AP562" s="2331"/>
      <c r="AQ562" s="2332">
        <f t="shared" si="379"/>
        <v>0</v>
      </c>
      <c r="AR562" s="2332"/>
      <c r="AS562" s="2332"/>
      <c r="AT562" s="2332">
        <f t="shared" si="380"/>
        <v>0</v>
      </c>
      <c r="AV562" s="151" t="str">
        <f t="shared" si="360"/>
        <v>LANDSCAPING</v>
      </c>
      <c r="AW562" s="681"/>
      <c r="AX562" s="230"/>
      <c r="AY562" s="230"/>
      <c r="AZ562" s="679"/>
      <c r="BA562" s="49">
        <f t="shared" si="381"/>
        <v>0</v>
      </c>
      <c r="BB562" s="49">
        <f t="shared" si="386"/>
        <v>0</v>
      </c>
      <c r="BC562" s="49">
        <f t="shared" si="387"/>
        <v>0</v>
      </c>
      <c r="BD562" s="49">
        <f t="shared" si="382"/>
        <v>0</v>
      </c>
      <c r="BE562" s="49">
        <f t="shared" si="388"/>
        <v>0</v>
      </c>
      <c r="BF562" s="49">
        <f t="shared" si="383"/>
        <v>0</v>
      </c>
      <c r="BG562" s="49">
        <f t="shared" si="384"/>
        <v>0</v>
      </c>
      <c r="BI562" s="134">
        <f t="shared" si="389"/>
        <v>0</v>
      </c>
      <c r="BJ562" s="134">
        <f t="shared" si="385"/>
        <v>0</v>
      </c>
      <c r="BK562" s="134">
        <f t="shared" si="390"/>
        <v>0</v>
      </c>
    </row>
    <row r="563" spans="1:63" hidden="1">
      <c r="A563" s="187"/>
      <c r="B563" s="2321"/>
      <c r="C563" s="2322"/>
      <c r="D563" s="2334"/>
      <c r="E563" s="2334"/>
      <c r="F563" s="2334"/>
      <c r="G563" s="2334"/>
      <c r="H563" s="2334"/>
      <c r="I563" s="2334"/>
      <c r="J563" s="2334"/>
      <c r="K563" s="2334"/>
      <c r="L563" s="2334"/>
      <c r="M563" s="2334"/>
      <c r="N563" s="2334"/>
      <c r="O563" s="2334"/>
      <c r="P563" s="2324"/>
      <c r="Q563" s="2324"/>
      <c r="R563" s="2325"/>
      <c r="S563" s="2324"/>
      <c r="T563" s="2324"/>
      <c r="U563" s="2326"/>
      <c r="V563" s="2327"/>
      <c r="W563" s="2327"/>
      <c r="X563" s="2327"/>
      <c r="Y563" s="2327"/>
      <c r="Z563" s="2327"/>
      <c r="AA563" s="2328"/>
      <c r="AB563" s="2329"/>
      <c r="AC563" s="2326"/>
      <c r="AD563" s="2330">
        <f t="shared" si="377"/>
        <v>0</v>
      </c>
      <c r="AE563" s="2330"/>
      <c r="AF563" s="2330"/>
      <c r="AG563" s="2330">
        <f t="shared" si="371"/>
        <v>0</v>
      </c>
      <c r="AH563" s="2330"/>
      <c r="AI563" s="2330"/>
      <c r="AJ563" s="2330">
        <f t="shared" si="378"/>
        <v>0</v>
      </c>
      <c r="AK563" s="2330"/>
      <c r="AL563" s="2330"/>
      <c r="AM563" s="2331">
        <f t="shared" si="363"/>
        <v>0</v>
      </c>
      <c r="AN563" s="2331"/>
      <c r="AO563" s="2331"/>
      <c r="AP563" s="2331"/>
      <c r="AQ563" s="2332">
        <f t="shared" si="379"/>
        <v>0</v>
      </c>
      <c r="AR563" s="2332"/>
      <c r="AS563" s="2332"/>
      <c r="AT563" s="2332">
        <f t="shared" si="380"/>
        <v>0</v>
      </c>
      <c r="AV563" s="151" t="str">
        <f t="shared" si="360"/>
        <v>LANDSCAPING</v>
      </c>
      <c r="AW563" s="681"/>
      <c r="AX563" s="230"/>
      <c r="AY563" s="230"/>
      <c r="AZ563" s="679"/>
      <c r="BA563" s="49">
        <f t="shared" si="381"/>
        <v>0</v>
      </c>
      <c r="BB563" s="49">
        <f t="shared" si="386"/>
        <v>0</v>
      </c>
      <c r="BC563" s="49">
        <f t="shared" si="387"/>
        <v>0</v>
      </c>
      <c r="BD563" s="49">
        <f t="shared" si="382"/>
        <v>0</v>
      </c>
      <c r="BE563" s="49">
        <f t="shared" si="388"/>
        <v>0</v>
      </c>
      <c r="BF563" s="49">
        <f t="shared" si="383"/>
        <v>0</v>
      </c>
      <c r="BG563" s="49">
        <f t="shared" si="384"/>
        <v>0</v>
      </c>
      <c r="BI563" s="134">
        <f t="shared" si="389"/>
        <v>0</v>
      </c>
      <c r="BJ563" s="134">
        <f t="shared" si="385"/>
        <v>0</v>
      </c>
      <c r="BK563" s="134">
        <f t="shared" si="390"/>
        <v>0</v>
      </c>
    </row>
    <row r="564" spans="1:63" hidden="1">
      <c r="A564" s="187"/>
      <c r="B564" s="2321"/>
      <c r="C564" s="2322"/>
      <c r="D564" s="2334"/>
      <c r="E564" s="2334"/>
      <c r="F564" s="2334"/>
      <c r="G564" s="2334"/>
      <c r="H564" s="2334"/>
      <c r="I564" s="2334"/>
      <c r="J564" s="2334"/>
      <c r="K564" s="2334"/>
      <c r="L564" s="2334"/>
      <c r="M564" s="2334"/>
      <c r="N564" s="2334"/>
      <c r="O564" s="2334"/>
      <c r="P564" s="2324"/>
      <c r="Q564" s="2324"/>
      <c r="R564" s="2325"/>
      <c r="S564" s="2324"/>
      <c r="T564" s="2324"/>
      <c r="U564" s="2326"/>
      <c r="V564" s="2327"/>
      <c r="W564" s="2327"/>
      <c r="X564" s="2327"/>
      <c r="Y564" s="2327"/>
      <c r="Z564" s="2327"/>
      <c r="AA564" s="2328"/>
      <c r="AB564" s="2329"/>
      <c r="AC564" s="2326"/>
      <c r="AD564" s="2330">
        <f t="shared" si="377"/>
        <v>0</v>
      </c>
      <c r="AE564" s="2330"/>
      <c r="AF564" s="2330"/>
      <c r="AG564" s="2330">
        <f t="shared" si="371"/>
        <v>0</v>
      </c>
      <c r="AH564" s="2330"/>
      <c r="AI564" s="2330"/>
      <c r="AJ564" s="2330">
        <f t="shared" si="378"/>
        <v>0</v>
      </c>
      <c r="AK564" s="2330"/>
      <c r="AL564" s="2330"/>
      <c r="AM564" s="2331">
        <f t="shared" si="363"/>
        <v>0</v>
      </c>
      <c r="AN564" s="2331"/>
      <c r="AO564" s="2331"/>
      <c r="AP564" s="2331"/>
      <c r="AQ564" s="2332">
        <f t="shared" si="379"/>
        <v>0</v>
      </c>
      <c r="AR564" s="2332"/>
      <c r="AS564" s="2332"/>
      <c r="AT564" s="2332">
        <f t="shared" si="380"/>
        <v>0</v>
      </c>
      <c r="AV564" s="151" t="str">
        <f t="shared" si="360"/>
        <v>LANDSCAPING</v>
      </c>
      <c r="AW564" s="681"/>
      <c r="AX564" s="230"/>
      <c r="AY564" s="230"/>
      <c r="AZ564" s="679"/>
      <c r="BA564" s="49">
        <f t="shared" si="381"/>
        <v>0</v>
      </c>
      <c r="BB564" s="49">
        <f t="shared" si="386"/>
        <v>0</v>
      </c>
      <c r="BC564" s="49">
        <f t="shared" si="387"/>
        <v>0</v>
      </c>
      <c r="BD564" s="49">
        <f t="shared" si="382"/>
        <v>0</v>
      </c>
      <c r="BE564" s="49">
        <f t="shared" si="388"/>
        <v>0</v>
      </c>
      <c r="BF564" s="49">
        <f t="shared" si="383"/>
        <v>0</v>
      </c>
      <c r="BG564" s="49">
        <f t="shared" si="384"/>
        <v>0</v>
      </c>
      <c r="BI564" s="134">
        <f t="shared" si="389"/>
        <v>0</v>
      </c>
      <c r="BJ564" s="134">
        <f t="shared" si="385"/>
        <v>0</v>
      </c>
      <c r="BK564" s="134">
        <f t="shared" si="390"/>
        <v>0</v>
      </c>
    </row>
    <row r="565" spans="1:63" hidden="1">
      <c r="A565" s="187"/>
      <c r="B565" s="2333"/>
      <c r="C565" s="2333"/>
      <c r="D565" s="2334"/>
      <c r="E565" s="2334"/>
      <c r="F565" s="2334"/>
      <c r="G565" s="2334"/>
      <c r="H565" s="2334"/>
      <c r="I565" s="2334"/>
      <c r="J565" s="2334"/>
      <c r="K565" s="2334"/>
      <c r="L565" s="2334"/>
      <c r="M565" s="2334"/>
      <c r="N565" s="2334"/>
      <c r="O565" s="2334"/>
      <c r="P565" s="2324"/>
      <c r="Q565" s="2324"/>
      <c r="R565" s="2325"/>
      <c r="S565" s="2324"/>
      <c r="T565" s="2324"/>
      <c r="U565" s="2326"/>
      <c r="V565" s="2327"/>
      <c r="W565" s="2327"/>
      <c r="X565" s="2327"/>
      <c r="Y565" s="2327"/>
      <c r="Z565" s="2327"/>
      <c r="AA565" s="2328"/>
      <c r="AB565" s="2329"/>
      <c r="AC565" s="2326"/>
      <c r="AD565" s="2330">
        <f t="shared" si="377"/>
        <v>0</v>
      </c>
      <c r="AE565" s="2330"/>
      <c r="AF565" s="2330"/>
      <c r="AG565" s="2330">
        <f t="shared" si="371"/>
        <v>0</v>
      </c>
      <c r="AH565" s="2330"/>
      <c r="AI565" s="2330"/>
      <c r="AJ565" s="2330">
        <f t="shared" si="378"/>
        <v>0</v>
      </c>
      <c r="AK565" s="2330"/>
      <c r="AL565" s="2330"/>
      <c r="AM565" s="2331">
        <f t="shared" si="363"/>
        <v>0</v>
      </c>
      <c r="AN565" s="2331"/>
      <c r="AO565" s="2331"/>
      <c r="AP565" s="2331"/>
      <c r="AQ565" s="2332">
        <f t="shared" si="379"/>
        <v>0</v>
      </c>
      <c r="AR565" s="2332"/>
      <c r="AS565" s="2332"/>
      <c r="AT565" s="2332">
        <f t="shared" si="380"/>
        <v>0</v>
      </c>
      <c r="AV565" s="151" t="str">
        <f t="shared" si="360"/>
        <v>LANDSCAPING</v>
      </c>
      <c r="AW565" s="681"/>
      <c r="AX565" s="230"/>
      <c r="AY565" s="230"/>
      <c r="AZ565" s="679"/>
      <c r="BA565" s="49">
        <f t="shared" si="381"/>
        <v>0</v>
      </c>
      <c r="BB565" s="49">
        <f t="shared" si="386"/>
        <v>0</v>
      </c>
      <c r="BC565" s="49">
        <f t="shared" si="387"/>
        <v>0</v>
      </c>
      <c r="BD565" s="49">
        <f t="shared" si="382"/>
        <v>0</v>
      </c>
      <c r="BE565" s="49">
        <f t="shared" si="388"/>
        <v>0</v>
      </c>
      <c r="BF565" s="49">
        <f t="shared" si="383"/>
        <v>0</v>
      </c>
      <c r="BG565" s="49">
        <f t="shared" si="384"/>
        <v>0</v>
      </c>
      <c r="BI565" s="134">
        <f t="shared" si="389"/>
        <v>0</v>
      </c>
      <c r="BJ565" s="134">
        <f t="shared" si="385"/>
        <v>0</v>
      </c>
      <c r="BK565" s="134">
        <f t="shared" si="390"/>
        <v>0</v>
      </c>
    </row>
    <row r="566" spans="1:63" hidden="1">
      <c r="A566" s="187"/>
      <c r="B566" s="2333"/>
      <c r="C566" s="2333"/>
      <c r="D566" s="2334"/>
      <c r="E566" s="2334"/>
      <c r="F566" s="2334"/>
      <c r="G566" s="2334"/>
      <c r="H566" s="2334"/>
      <c r="I566" s="2334"/>
      <c r="J566" s="2334"/>
      <c r="K566" s="2334"/>
      <c r="L566" s="2334"/>
      <c r="M566" s="2334"/>
      <c r="N566" s="2334"/>
      <c r="O566" s="2334"/>
      <c r="P566" s="2324"/>
      <c r="Q566" s="2324"/>
      <c r="R566" s="2325"/>
      <c r="S566" s="2324"/>
      <c r="T566" s="2324"/>
      <c r="U566" s="2326"/>
      <c r="V566" s="2327"/>
      <c r="W566" s="2327"/>
      <c r="X566" s="2327"/>
      <c r="Y566" s="2327"/>
      <c r="Z566" s="2327"/>
      <c r="AA566" s="2328"/>
      <c r="AB566" s="2329"/>
      <c r="AC566" s="2326"/>
      <c r="AD566" s="2330">
        <f t="shared" si="377"/>
        <v>0</v>
      </c>
      <c r="AE566" s="2330"/>
      <c r="AF566" s="2330"/>
      <c r="AG566" s="2330">
        <f t="shared" si="371"/>
        <v>0</v>
      </c>
      <c r="AH566" s="2330"/>
      <c r="AI566" s="2330"/>
      <c r="AJ566" s="2330">
        <f t="shared" si="378"/>
        <v>0</v>
      </c>
      <c r="AK566" s="2330"/>
      <c r="AL566" s="2330"/>
      <c r="AM566" s="2331">
        <f t="shared" si="363"/>
        <v>0</v>
      </c>
      <c r="AN566" s="2331"/>
      <c r="AO566" s="2331"/>
      <c r="AP566" s="2331"/>
      <c r="AQ566" s="2332">
        <f t="shared" si="379"/>
        <v>0</v>
      </c>
      <c r="AR566" s="2332"/>
      <c r="AS566" s="2332"/>
      <c r="AT566" s="2332">
        <f t="shared" si="380"/>
        <v>0</v>
      </c>
      <c r="AV566" s="151" t="str">
        <f t="shared" si="360"/>
        <v>LANDSCAPING</v>
      </c>
      <c r="AW566" s="681"/>
      <c r="AX566" s="230"/>
      <c r="AY566" s="230"/>
      <c r="AZ566" s="679"/>
      <c r="BA566" s="49">
        <f t="shared" si="381"/>
        <v>0</v>
      </c>
      <c r="BB566" s="49">
        <f t="shared" si="386"/>
        <v>0</v>
      </c>
      <c r="BC566" s="49">
        <f t="shared" si="387"/>
        <v>0</v>
      </c>
      <c r="BD566" s="49">
        <f t="shared" si="382"/>
        <v>0</v>
      </c>
      <c r="BE566" s="49">
        <f t="shared" si="388"/>
        <v>0</v>
      </c>
      <c r="BF566" s="49">
        <f t="shared" si="383"/>
        <v>0</v>
      </c>
      <c r="BG566" s="49">
        <f t="shared" si="384"/>
        <v>0</v>
      </c>
      <c r="BI566" s="134">
        <f t="shared" si="389"/>
        <v>0</v>
      </c>
      <c r="BJ566" s="134">
        <f t="shared" si="385"/>
        <v>0</v>
      </c>
      <c r="BK566" s="134">
        <f t="shared" si="390"/>
        <v>0</v>
      </c>
    </row>
    <row r="567" spans="1:63" hidden="1">
      <c r="A567" s="187"/>
      <c r="B567" s="2321"/>
      <c r="C567" s="2322"/>
      <c r="D567" s="2334"/>
      <c r="E567" s="2334"/>
      <c r="F567" s="2334"/>
      <c r="G567" s="2334"/>
      <c r="H567" s="2334"/>
      <c r="I567" s="2334"/>
      <c r="J567" s="2334"/>
      <c r="K567" s="2334"/>
      <c r="L567" s="2334"/>
      <c r="M567" s="2334"/>
      <c r="N567" s="2334"/>
      <c r="O567" s="2334"/>
      <c r="P567" s="2324"/>
      <c r="Q567" s="2324"/>
      <c r="R567" s="2325"/>
      <c r="S567" s="2324"/>
      <c r="T567" s="2324"/>
      <c r="U567" s="2326"/>
      <c r="V567" s="2327"/>
      <c r="W567" s="2327"/>
      <c r="X567" s="2327"/>
      <c r="Y567" s="2327"/>
      <c r="Z567" s="2327"/>
      <c r="AA567" s="2328"/>
      <c r="AB567" s="2329"/>
      <c r="AC567" s="2326"/>
      <c r="AD567" s="2330">
        <f t="shared" si="377"/>
        <v>0</v>
      </c>
      <c r="AE567" s="2330"/>
      <c r="AF567" s="2330"/>
      <c r="AG567" s="2330">
        <f t="shared" si="371"/>
        <v>0</v>
      </c>
      <c r="AH567" s="2330"/>
      <c r="AI567" s="2330"/>
      <c r="AJ567" s="2330">
        <f t="shared" si="378"/>
        <v>0</v>
      </c>
      <c r="AK567" s="2330"/>
      <c r="AL567" s="2330"/>
      <c r="AM567" s="2331">
        <f t="shared" si="363"/>
        <v>0</v>
      </c>
      <c r="AN567" s="2331"/>
      <c r="AO567" s="2331"/>
      <c r="AP567" s="2331"/>
      <c r="AQ567" s="2332">
        <f t="shared" si="379"/>
        <v>0</v>
      </c>
      <c r="AR567" s="2332"/>
      <c r="AS567" s="2332"/>
      <c r="AT567" s="2332">
        <f t="shared" si="380"/>
        <v>0</v>
      </c>
      <c r="AV567" s="151" t="str">
        <f t="shared" si="360"/>
        <v>LANDSCAPING</v>
      </c>
      <c r="AW567" s="681"/>
      <c r="AX567" s="230"/>
      <c r="AY567" s="230"/>
      <c r="AZ567" s="679"/>
      <c r="BA567" s="49">
        <f t="shared" si="381"/>
        <v>0</v>
      </c>
      <c r="BB567" s="49">
        <f t="shared" si="386"/>
        <v>0</v>
      </c>
      <c r="BC567" s="49">
        <f t="shared" si="387"/>
        <v>0</v>
      </c>
      <c r="BD567" s="49">
        <f t="shared" si="382"/>
        <v>0</v>
      </c>
      <c r="BE567" s="49">
        <f t="shared" si="388"/>
        <v>0</v>
      </c>
      <c r="BF567" s="49">
        <f t="shared" si="383"/>
        <v>0</v>
      </c>
      <c r="BG567" s="49">
        <f t="shared" si="384"/>
        <v>0</v>
      </c>
      <c r="BI567" s="134">
        <f t="shared" si="389"/>
        <v>0</v>
      </c>
      <c r="BJ567" s="134">
        <f t="shared" si="385"/>
        <v>0</v>
      </c>
      <c r="BK567" s="134">
        <f t="shared" si="390"/>
        <v>0</v>
      </c>
    </row>
    <row r="568" spans="1:63" hidden="1">
      <c r="A568" s="187"/>
      <c r="B568" s="2321"/>
      <c r="C568" s="2322"/>
      <c r="D568" s="2334"/>
      <c r="E568" s="2334"/>
      <c r="F568" s="2334"/>
      <c r="G568" s="2334"/>
      <c r="H568" s="2334"/>
      <c r="I568" s="2334"/>
      <c r="J568" s="2334"/>
      <c r="K568" s="2334"/>
      <c r="L568" s="2334"/>
      <c r="M568" s="2334"/>
      <c r="N568" s="2334"/>
      <c r="O568" s="2334"/>
      <c r="P568" s="2324"/>
      <c r="Q568" s="2324"/>
      <c r="R568" s="2325"/>
      <c r="S568" s="2324"/>
      <c r="T568" s="2324"/>
      <c r="U568" s="2326"/>
      <c r="V568" s="2327"/>
      <c r="W568" s="2327"/>
      <c r="X568" s="2327"/>
      <c r="Y568" s="2327"/>
      <c r="Z568" s="2327"/>
      <c r="AA568" s="2328"/>
      <c r="AB568" s="2329"/>
      <c r="AC568" s="2326"/>
      <c r="AD568" s="2330">
        <f t="shared" si="377"/>
        <v>0</v>
      </c>
      <c r="AE568" s="2330"/>
      <c r="AF568" s="2330"/>
      <c r="AG568" s="2330">
        <f t="shared" si="371"/>
        <v>0</v>
      </c>
      <c r="AH568" s="2330"/>
      <c r="AI568" s="2330"/>
      <c r="AJ568" s="2330">
        <f t="shared" si="378"/>
        <v>0</v>
      </c>
      <c r="AK568" s="2330"/>
      <c r="AL568" s="2330"/>
      <c r="AM568" s="2331">
        <f t="shared" si="363"/>
        <v>0</v>
      </c>
      <c r="AN568" s="2331"/>
      <c r="AO568" s="2331"/>
      <c r="AP568" s="2331"/>
      <c r="AQ568" s="2332">
        <f t="shared" si="379"/>
        <v>0</v>
      </c>
      <c r="AR568" s="2332"/>
      <c r="AS568" s="2332"/>
      <c r="AT568" s="2332">
        <f t="shared" si="380"/>
        <v>0</v>
      </c>
      <c r="AV568" s="151" t="str">
        <f t="shared" si="360"/>
        <v>LANDSCAPING</v>
      </c>
      <c r="AW568" s="681"/>
      <c r="AX568" s="230"/>
      <c r="AY568" s="230"/>
      <c r="AZ568" s="679"/>
      <c r="BA568" s="49">
        <f t="shared" si="381"/>
        <v>0</v>
      </c>
      <c r="BB568" s="49">
        <f t="shared" si="386"/>
        <v>0</v>
      </c>
      <c r="BC568" s="49">
        <f t="shared" si="387"/>
        <v>0</v>
      </c>
      <c r="BD568" s="49">
        <f t="shared" si="382"/>
        <v>0</v>
      </c>
      <c r="BE568" s="49">
        <f t="shared" si="388"/>
        <v>0</v>
      </c>
      <c r="BF568" s="49">
        <f t="shared" si="383"/>
        <v>0</v>
      </c>
      <c r="BG568" s="49">
        <f t="shared" si="384"/>
        <v>0</v>
      </c>
      <c r="BI568" s="134">
        <f t="shared" si="389"/>
        <v>0</v>
      </c>
      <c r="BJ568" s="134">
        <f t="shared" si="385"/>
        <v>0</v>
      </c>
      <c r="BK568" s="134">
        <f t="shared" si="390"/>
        <v>0</v>
      </c>
    </row>
    <row r="569" spans="1:63" hidden="1">
      <c r="A569" s="187"/>
      <c r="B569" s="2321"/>
      <c r="C569" s="2322"/>
      <c r="D569" s="2334"/>
      <c r="E569" s="2334"/>
      <c r="F569" s="2334"/>
      <c r="G569" s="2334"/>
      <c r="H569" s="2334"/>
      <c r="I569" s="2334"/>
      <c r="J569" s="2334"/>
      <c r="K569" s="2334"/>
      <c r="L569" s="2334"/>
      <c r="M569" s="2334"/>
      <c r="N569" s="2334"/>
      <c r="O569" s="2334"/>
      <c r="P569" s="2324"/>
      <c r="Q569" s="2324"/>
      <c r="R569" s="2325"/>
      <c r="S569" s="2324"/>
      <c r="T569" s="2324"/>
      <c r="U569" s="2326"/>
      <c r="V569" s="2327"/>
      <c r="W569" s="2327"/>
      <c r="X569" s="2327"/>
      <c r="Y569" s="2327"/>
      <c r="Z569" s="2327"/>
      <c r="AA569" s="2328"/>
      <c r="AB569" s="2329"/>
      <c r="AC569" s="2326"/>
      <c r="AD569" s="2330">
        <f t="shared" si="377"/>
        <v>0</v>
      </c>
      <c r="AE569" s="2330"/>
      <c r="AF569" s="2330"/>
      <c r="AG569" s="2330">
        <f t="shared" si="371"/>
        <v>0</v>
      </c>
      <c r="AH569" s="2330"/>
      <c r="AI569" s="2330"/>
      <c r="AJ569" s="2330">
        <f t="shared" si="378"/>
        <v>0</v>
      </c>
      <c r="AK569" s="2330"/>
      <c r="AL569" s="2330"/>
      <c r="AM569" s="2331">
        <f t="shared" si="363"/>
        <v>0</v>
      </c>
      <c r="AN569" s="2331"/>
      <c r="AO569" s="2331"/>
      <c r="AP569" s="2331"/>
      <c r="AQ569" s="2332">
        <f t="shared" si="379"/>
        <v>0</v>
      </c>
      <c r="AR569" s="2332"/>
      <c r="AS569" s="2332"/>
      <c r="AT569" s="2332">
        <f t="shared" si="380"/>
        <v>0</v>
      </c>
      <c r="AV569" s="151" t="str">
        <f t="shared" si="360"/>
        <v>LANDSCAPING</v>
      </c>
      <c r="AW569" s="681"/>
      <c r="AX569" s="230"/>
      <c r="AY569" s="230"/>
      <c r="AZ569" s="679"/>
      <c r="BA569" s="49">
        <f t="shared" si="381"/>
        <v>0</v>
      </c>
      <c r="BB569" s="49">
        <f t="shared" si="386"/>
        <v>0</v>
      </c>
      <c r="BC569" s="49">
        <f t="shared" si="387"/>
        <v>0</v>
      </c>
      <c r="BD569" s="49">
        <f t="shared" si="382"/>
        <v>0</v>
      </c>
      <c r="BE569" s="49">
        <f t="shared" si="388"/>
        <v>0</v>
      </c>
      <c r="BF569" s="49">
        <f t="shared" si="383"/>
        <v>0</v>
      </c>
      <c r="BG569" s="49">
        <f t="shared" si="384"/>
        <v>0</v>
      </c>
      <c r="BI569" s="134">
        <f t="shared" si="389"/>
        <v>0</v>
      </c>
      <c r="BJ569" s="134">
        <f t="shared" si="385"/>
        <v>0</v>
      </c>
      <c r="BK569" s="134">
        <f t="shared" si="390"/>
        <v>0</v>
      </c>
    </row>
    <row r="570" spans="1:63" hidden="1">
      <c r="A570" s="187"/>
      <c r="B570" s="2333"/>
      <c r="C570" s="2333"/>
      <c r="D570" s="2334"/>
      <c r="E570" s="2334"/>
      <c r="F570" s="2334"/>
      <c r="G570" s="2334"/>
      <c r="H570" s="2334"/>
      <c r="I570" s="2334"/>
      <c r="J570" s="2334"/>
      <c r="K570" s="2334"/>
      <c r="L570" s="2334"/>
      <c r="M570" s="2334"/>
      <c r="N570" s="2334"/>
      <c r="O570" s="2334"/>
      <c r="P570" s="2324"/>
      <c r="Q570" s="2324"/>
      <c r="R570" s="2325"/>
      <c r="S570" s="2324"/>
      <c r="T570" s="2324"/>
      <c r="U570" s="2326"/>
      <c r="V570" s="2327"/>
      <c r="W570" s="2327"/>
      <c r="X570" s="2327"/>
      <c r="Y570" s="2327"/>
      <c r="Z570" s="2327"/>
      <c r="AA570" s="2328"/>
      <c r="AB570" s="2329"/>
      <c r="AC570" s="2326"/>
      <c r="AD570" s="2330">
        <f t="shared" si="377"/>
        <v>0</v>
      </c>
      <c r="AE570" s="2330"/>
      <c r="AF570" s="2330"/>
      <c r="AG570" s="2330">
        <f t="shared" si="371"/>
        <v>0</v>
      </c>
      <c r="AH570" s="2330"/>
      <c r="AI570" s="2330"/>
      <c r="AJ570" s="2330">
        <f t="shared" si="378"/>
        <v>0</v>
      </c>
      <c r="AK570" s="2330"/>
      <c r="AL570" s="2330"/>
      <c r="AM570" s="2331">
        <f t="shared" si="363"/>
        <v>0</v>
      </c>
      <c r="AN570" s="2331"/>
      <c r="AO570" s="2331"/>
      <c r="AP570" s="2331"/>
      <c r="AQ570" s="2332">
        <f t="shared" si="379"/>
        <v>0</v>
      </c>
      <c r="AR570" s="2332"/>
      <c r="AS570" s="2332"/>
      <c r="AT570" s="2332">
        <f t="shared" si="380"/>
        <v>0</v>
      </c>
      <c r="AV570" s="151" t="str">
        <f t="shared" si="360"/>
        <v>LANDSCAPING</v>
      </c>
      <c r="AW570" s="681"/>
      <c r="AX570" s="230"/>
      <c r="AY570" s="230"/>
      <c r="AZ570" s="679"/>
      <c r="BA570" s="49">
        <f t="shared" si="381"/>
        <v>0</v>
      </c>
      <c r="BB570" s="49">
        <f t="shared" si="386"/>
        <v>0</v>
      </c>
      <c r="BC570" s="49">
        <f t="shared" si="387"/>
        <v>0</v>
      </c>
      <c r="BD570" s="49">
        <f t="shared" si="382"/>
        <v>0</v>
      </c>
      <c r="BE570" s="49">
        <f t="shared" si="388"/>
        <v>0</v>
      </c>
      <c r="BF570" s="49">
        <f t="shared" si="383"/>
        <v>0</v>
      </c>
      <c r="BG570" s="49">
        <f t="shared" si="384"/>
        <v>0</v>
      </c>
      <c r="BI570" s="134">
        <f t="shared" si="389"/>
        <v>0</v>
      </c>
      <c r="BJ570" s="134">
        <f t="shared" si="385"/>
        <v>0</v>
      </c>
      <c r="BK570" s="134">
        <f t="shared" si="390"/>
        <v>0</v>
      </c>
    </row>
    <row r="571" spans="1:63" hidden="1">
      <c r="A571" s="187"/>
      <c r="B571" s="2321"/>
      <c r="C571" s="2322"/>
      <c r="D571" s="2334"/>
      <c r="E571" s="2334"/>
      <c r="F571" s="2334"/>
      <c r="G571" s="2334"/>
      <c r="H571" s="2334"/>
      <c r="I571" s="2334"/>
      <c r="J571" s="2334"/>
      <c r="K571" s="2334"/>
      <c r="L571" s="2334"/>
      <c r="M571" s="2334"/>
      <c r="N571" s="2334"/>
      <c r="O571" s="2334"/>
      <c r="P571" s="2324"/>
      <c r="Q571" s="2324"/>
      <c r="R571" s="2325"/>
      <c r="S571" s="2324"/>
      <c r="T571" s="2324"/>
      <c r="U571" s="2326"/>
      <c r="V571" s="2327"/>
      <c r="W571" s="2327"/>
      <c r="X571" s="2327"/>
      <c r="Y571" s="2327"/>
      <c r="Z571" s="2327"/>
      <c r="AA571" s="2328"/>
      <c r="AB571" s="2329"/>
      <c r="AC571" s="2326"/>
      <c r="AD571" s="2330">
        <f t="shared" si="377"/>
        <v>0</v>
      </c>
      <c r="AE571" s="2330"/>
      <c r="AF571" s="2330"/>
      <c r="AG571" s="2330">
        <f t="shared" si="371"/>
        <v>0</v>
      </c>
      <c r="AH571" s="2330"/>
      <c r="AI571" s="2330"/>
      <c r="AJ571" s="2330">
        <f t="shared" si="378"/>
        <v>0</v>
      </c>
      <c r="AK571" s="2330"/>
      <c r="AL571" s="2330"/>
      <c r="AM571" s="2331">
        <f t="shared" si="363"/>
        <v>0</v>
      </c>
      <c r="AN571" s="2331"/>
      <c r="AO571" s="2331"/>
      <c r="AP571" s="2331"/>
      <c r="AQ571" s="2332">
        <f t="shared" si="379"/>
        <v>0</v>
      </c>
      <c r="AR571" s="2332"/>
      <c r="AS571" s="2332"/>
      <c r="AT571" s="2332">
        <f t="shared" si="380"/>
        <v>0</v>
      </c>
      <c r="AV571" s="151" t="str">
        <f t="shared" si="360"/>
        <v>LANDSCAPING</v>
      </c>
      <c r="AW571" s="681"/>
      <c r="AX571" s="230"/>
      <c r="AY571" s="230"/>
      <c r="AZ571" s="679"/>
      <c r="BA571" s="49">
        <f t="shared" si="381"/>
        <v>0</v>
      </c>
      <c r="BB571" s="49">
        <f t="shared" si="386"/>
        <v>0</v>
      </c>
      <c r="BC571" s="49">
        <f t="shared" si="387"/>
        <v>0</v>
      </c>
      <c r="BD571" s="49">
        <f t="shared" si="382"/>
        <v>0</v>
      </c>
      <c r="BE571" s="49">
        <f t="shared" si="388"/>
        <v>0</v>
      </c>
      <c r="BF571" s="49">
        <f t="shared" si="383"/>
        <v>0</v>
      </c>
      <c r="BG571" s="49">
        <f t="shared" si="384"/>
        <v>0</v>
      </c>
      <c r="BI571" s="134">
        <f t="shared" si="389"/>
        <v>0</v>
      </c>
      <c r="BJ571" s="134">
        <f t="shared" si="385"/>
        <v>0</v>
      </c>
      <c r="BK571" s="134">
        <f t="shared" si="390"/>
        <v>0</v>
      </c>
    </row>
    <row r="572" spans="1:63" hidden="1">
      <c r="A572" s="187"/>
      <c r="B572" s="2321"/>
      <c r="C572" s="2322"/>
      <c r="D572" s="2334"/>
      <c r="E572" s="2334"/>
      <c r="F572" s="2334"/>
      <c r="G572" s="2334"/>
      <c r="H572" s="2334"/>
      <c r="I572" s="2334"/>
      <c r="J572" s="2334"/>
      <c r="K572" s="2334"/>
      <c r="L572" s="2334"/>
      <c r="M572" s="2334"/>
      <c r="N572" s="2334"/>
      <c r="O572" s="2334"/>
      <c r="P572" s="2324"/>
      <c r="Q572" s="2324"/>
      <c r="R572" s="2325"/>
      <c r="S572" s="2324"/>
      <c r="T572" s="2324"/>
      <c r="U572" s="2326"/>
      <c r="V572" s="2327"/>
      <c r="W572" s="2327"/>
      <c r="X572" s="2327"/>
      <c r="Y572" s="2327"/>
      <c r="Z572" s="2327"/>
      <c r="AA572" s="2328"/>
      <c r="AB572" s="2329"/>
      <c r="AC572" s="2326"/>
      <c r="AD572" s="2330">
        <f t="shared" si="377"/>
        <v>0</v>
      </c>
      <c r="AE572" s="2330"/>
      <c r="AF572" s="2330"/>
      <c r="AG572" s="2330">
        <f t="shared" si="371"/>
        <v>0</v>
      </c>
      <c r="AH572" s="2330"/>
      <c r="AI572" s="2330"/>
      <c r="AJ572" s="2330">
        <f t="shared" si="378"/>
        <v>0</v>
      </c>
      <c r="AK572" s="2330"/>
      <c r="AL572" s="2330"/>
      <c r="AM572" s="2331">
        <f t="shared" si="363"/>
        <v>0</v>
      </c>
      <c r="AN572" s="2331"/>
      <c r="AO572" s="2331"/>
      <c r="AP572" s="2331"/>
      <c r="AQ572" s="2332">
        <f t="shared" si="379"/>
        <v>0</v>
      </c>
      <c r="AR572" s="2332"/>
      <c r="AS572" s="2332"/>
      <c r="AT572" s="2332">
        <f t="shared" si="380"/>
        <v>0</v>
      </c>
      <c r="AV572" s="151" t="str">
        <f t="shared" si="360"/>
        <v>LANDSCAPING</v>
      </c>
      <c r="AW572" s="681"/>
      <c r="AX572" s="230"/>
      <c r="AY572" s="230"/>
      <c r="AZ572" s="679"/>
      <c r="BA572" s="49">
        <f t="shared" si="381"/>
        <v>0</v>
      </c>
      <c r="BB572" s="49">
        <f t="shared" si="386"/>
        <v>0</v>
      </c>
      <c r="BC572" s="49">
        <f t="shared" si="387"/>
        <v>0</v>
      </c>
      <c r="BD572" s="49">
        <f t="shared" si="382"/>
        <v>0</v>
      </c>
      <c r="BE572" s="49">
        <f t="shared" si="388"/>
        <v>0</v>
      </c>
      <c r="BF572" s="49">
        <f t="shared" si="383"/>
        <v>0</v>
      </c>
      <c r="BG572" s="49">
        <f t="shared" si="384"/>
        <v>0</v>
      </c>
      <c r="BI572" s="134">
        <f t="shared" si="389"/>
        <v>0</v>
      </c>
      <c r="BJ572" s="134">
        <f t="shared" si="385"/>
        <v>0</v>
      </c>
      <c r="BK572" s="134">
        <f t="shared" si="390"/>
        <v>0</v>
      </c>
    </row>
    <row r="573" spans="1:63" hidden="1">
      <c r="A573" s="187"/>
      <c r="B573" s="2321"/>
      <c r="C573" s="2322"/>
      <c r="D573" s="2334"/>
      <c r="E573" s="2334"/>
      <c r="F573" s="2334"/>
      <c r="G573" s="2334"/>
      <c r="H573" s="2334"/>
      <c r="I573" s="2334"/>
      <c r="J573" s="2334"/>
      <c r="K573" s="2334"/>
      <c r="L573" s="2334"/>
      <c r="M573" s="2334"/>
      <c r="N573" s="2334"/>
      <c r="O573" s="2334"/>
      <c r="P573" s="2324"/>
      <c r="Q573" s="2324"/>
      <c r="R573" s="2325"/>
      <c r="S573" s="2324"/>
      <c r="T573" s="2324"/>
      <c r="U573" s="2326"/>
      <c r="V573" s="2327"/>
      <c r="W573" s="2327"/>
      <c r="X573" s="2327"/>
      <c r="Y573" s="2327"/>
      <c r="Z573" s="2327"/>
      <c r="AA573" s="2328"/>
      <c r="AB573" s="2329"/>
      <c r="AC573" s="2326"/>
      <c r="AD573" s="2330">
        <f t="shared" si="377"/>
        <v>0</v>
      </c>
      <c r="AE573" s="2330"/>
      <c r="AF573" s="2330"/>
      <c r="AG573" s="2330">
        <f t="shared" si="371"/>
        <v>0</v>
      </c>
      <c r="AH573" s="2330"/>
      <c r="AI573" s="2330"/>
      <c r="AJ573" s="2330">
        <f t="shared" si="378"/>
        <v>0</v>
      </c>
      <c r="AK573" s="2330"/>
      <c r="AL573" s="2330"/>
      <c r="AM573" s="2331">
        <f t="shared" si="363"/>
        <v>0</v>
      </c>
      <c r="AN573" s="2331"/>
      <c r="AO573" s="2331"/>
      <c r="AP573" s="2331"/>
      <c r="AQ573" s="2332">
        <f t="shared" si="379"/>
        <v>0</v>
      </c>
      <c r="AR573" s="2332"/>
      <c r="AS573" s="2332"/>
      <c r="AT573" s="2332">
        <f t="shared" si="380"/>
        <v>0</v>
      </c>
      <c r="AV573" s="151" t="str">
        <f t="shared" si="360"/>
        <v>LANDSCAPING</v>
      </c>
      <c r="AW573" s="681"/>
      <c r="AX573" s="230"/>
      <c r="AY573" s="230"/>
      <c r="AZ573" s="679"/>
      <c r="BA573" s="49">
        <f t="shared" si="381"/>
        <v>0</v>
      </c>
      <c r="BB573" s="49">
        <f t="shared" si="386"/>
        <v>0</v>
      </c>
      <c r="BC573" s="49">
        <f t="shared" si="387"/>
        <v>0</v>
      </c>
      <c r="BD573" s="49">
        <f t="shared" si="382"/>
        <v>0</v>
      </c>
      <c r="BE573" s="49">
        <f t="shared" si="388"/>
        <v>0</v>
      </c>
      <c r="BF573" s="49">
        <f t="shared" si="383"/>
        <v>0</v>
      </c>
      <c r="BG573" s="49">
        <f t="shared" si="384"/>
        <v>0</v>
      </c>
      <c r="BI573" s="134">
        <f t="shared" si="389"/>
        <v>0</v>
      </c>
      <c r="BJ573" s="134">
        <f t="shared" si="385"/>
        <v>0</v>
      </c>
      <c r="BK573" s="134">
        <f t="shared" si="390"/>
        <v>0</v>
      </c>
    </row>
    <row r="574" spans="1:63" hidden="1">
      <c r="A574" s="187"/>
      <c r="B574" s="2333"/>
      <c r="C574" s="2333"/>
      <c r="D574" s="2334"/>
      <c r="E574" s="2334"/>
      <c r="F574" s="2334"/>
      <c r="G574" s="2334"/>
      <c r="H574" s="2334"/>
      <c r="I574" s="2334"/>
      <c r="J574" s="2334"/>
      <c r="K574" s="2334"/>
      <c r="L574" s="2334"/>
      <c r="M574" s="2334"/>
      <c r="N574" s="2334"/>
      <c r="O574" s="2334"/>
      <c r="P574" s="2324"/>
      <c r="Q574" s="2324"/>
      <c r="R574" s="2325"/>
      <c r="S574" s="2324"/>
      <c r="T574" s="2324"/>
      <c r="U574" s="2326"/>
      <c r="V574" s="2327"/>
      <c r="W574" s="2327"/>
      <c r="X574" s="2327"/>
      <c r="Y574" s="2327"/>
      <c r="Z574" s="2327"/>
      <c r="AA574" s="2328"/>
      <c r="AB574" s="2329"/>
      <c r="AC574" s="2326"/>
      <c r="AD574" s="2330">
        <f t="shared" si="377"/>
        <v>0</v>
      </c>
      <c r="AE574" s="2330"/>
      <c r="AF574" s="2330"/>
      <c r="AG574" s="2330">
        <f t="shared" si="371"/>
        <v>0</v>
      </c>
      <c r="AH574" s="2330"/>
      <c r="AI574" s="2330"/>
      <c r="AJ574" s="2330">
        <f t="shared" si="378"/>
        <v>0</v>
      </c>
      <c r="AK574" s="2330"/>
      <c r="AL574" s="2330"/>
      <c r="AM574" s="2331">
        <f t="shared" si="363"/>
        <v>0</v>
      </c>
      <c r="AN574" s="2331"/>
      <c r="AO574" s="2331"/>
      <c r="AP574" s="2331"/>
      <c r="AQ574" s="2332">
        <f t="shared" si="379"/>
        <v>0</v>
      </c>
      <c r="AR574" s="2332"/>
      <c r="AS574" s="2332"/>
      <c r="AT574" s="2332">
        <f t="shared" si="380"/>
        <v>0</v>
      </c>
      <c r="AV574" s="151" t="str">
        <f t="shared" si="360"/>
        <v>LANDSCAPING</v>
      </c>
      <c r="AW574" s="681"/>
      <c r="AX574" s="230"/>
      <c r="AY574" s="230"/>
      <c r="AZ574" s="679"/>
      <c r="BA574" s="49">
        <f t="shared" si="381"/>
        <v>0</v>
      </c>
      <c r="BB574" s="49">
        <f t="shared" si="386"/>
        <v>0</v>
      </c>
      <c r="BC574" s="49">
        <f t="shared" si="387"/>
        <v>0</v>
      </c>
      <c r="BD574" s="49">
        <f t="shared" si="382"/>
        <v>0</v>
      </c>
      <c r="BE574" s="49">
        <f t="shared" si="388"/>
        <v>0</v>
      </c>
      <c r="BF574" s="49">
        <f t="shared" si="383"/>
        <v>0</v>
      </c>
      <c r="BG574" s="49">
        <f t="shared" si="384"/>
        <v>0</v>
      </c>
      <c r="BI574" s="134">
        <f t="shared" si="389"/>
        <v>0</v>
      </c>
      <c r="BJ574" s="134">
        <f t="shared" si="385"/>
        <v>0</v>
      </c>
      <c r="BK574" s="134">
        <f t="shared" si="390"/>
        <v>0</v>
      </c>
    </row>
    <row r="575" spans="1:63" hidden="1">
      <c r="A575" s="187"/>
      <c r="B575" s="2321"/>
      <c r="C575" s="2322"/>
      <c r="D575" s="2334"/>
      <c r="E575" s="2334"/>
      <c r="F575" s="2334"/>
      <c r="G575" s="2334"/>
      <c r="H575" s="2334"/>
      <c r="I575" s="2334"/>
      <c r="J575" s="2334"/>
      <c r="K575" s="2334"/>
      <c r="L575" s="2334"/>
      <c r="M575" s="2334"/>
      <c r="N575" s="2334"/>
      <c r="O575" s="2334"/>
      <c r="P575" s="2324"/>
      <c r="Q575" s="2324"/>
      <c r="R575" s="2325"/>
      <c r="S575" s="2324"/>
      <c r="T575" s="2324"/>
      <c r="U575" s="2326"/>
      <c r="V575" s="2327"/>
      <c r="W575" s="2327"/>
      <c r="X575" s="2327"/>
      <c r="Y575" s="2327"/>
      <c r="Z575" s="2327"/>
      <c r="AA575" s="2328"/>
      <c r="AB575" s="2329"/>
      <c r="AC575" s="2326"/>
      <c r="AD575" s="2330">
        <f t="shared" si="377"/>
        <v>0</v>
      </c>
      <c r="AE575" s="2330"/>
      <c r="AF575" s="2330"/>
      <c r="AG575" s="2330">
        <f t="shared" si="371"/>
        <v>0</v>
      </c>
      <c r="AH575" s="2330"/>
      <c r="AI575" s="2330"/>
      <c r="AJ575" s="2330">
        <f t="shared" si="378"/>
        <v>0</v>
      </c>
      <c r="AK575" s="2330"/>
      <c r="AL575" s="2330"/>
      <c r="AM575" s="2331">
        <f t="shared" si="363"/>
        <v>0</v>
      </c>
      <c r="AN575" s="2331"/>
      <c r="AO575" s="2331"/>
      <c r="AP575" s="2331"/>
      <c r="AQ575" s="2332">
        <f t="shared" si="379"/>
        <v>0</v>
      </c>
      <c r="AR575" s="2332"/>
      <c r="AS575" s="2332"/>
      <c r="AT575" s="2332">
        <f t="shared" si="380"/>
        <v>0</v>
      </c>
      <c r="AV575" s="151" t="str">
        <f t="shared" si="360"/>
        <v>LANDSCAPING</v>
      </c>
      <c r="AW575" s="681"/>
      <c r="AX575" s="230"/>
      <c r="AY575" s="230"/>
      <c r="AZ575" s="679"/>
      <c r="BA575" s="49">
        <f t="shared" si="381"/>
        <v>0</v>
      </c>
      <c r="BB575" s="49">
        <f t="shared" si="386"/>
        <v>0</v>
      </c>
      <c r="BC575" s="49">
        <f t="shared" si="387"/>
        <v>0</v>
      </c>
      <c r="BD575" s="49">
        <f t="shared" si="382"/>
        <v>0</v>
      </c>
      <c r="BE575" s="49">
        <f t="shared" si="388"/>
        <v>0</v>
      </c>
      <c r="BF575" s="49">
        <f t="shared" si="383"/>
        <v>0</v>
      </c>
      <c r="BG575" s="49">
        <f t="shared" si="384"/>
        <v>0</v>
      </c>
      <c r="BI575" s="134">
        <f t="shared" si="389"/>
        <v>0</v>
      </c>
      <c r="BJ575" s="134">
        <f t="shared" si="385"/>
        <v>0</v>
      </c>
      <c r="BK575" s="134">
        <f t="shared" si="390"/>
        <v>0</v>
      </c>
    </row>
    <row r="576" spans="1:63" hidden="1">
      <c r="A576" s="187"/>
      <c r="B576" s="2321"/>
      <c r="C576" s="2322"/>
      <c r="D576" s="2334"/>
      <c r="E576" s="2334"/>
      <c r="F576" s="2334"/>
      <c r="G576" s="2334"/>
      <c r="H576" s="2334"/>
      <c r="I576" s="2334"/>
      <c r="J576" s="2334"/>
      <c r="K576" s="2334"/>
      <c r="L576" s="2334"/>
      <c r="M576" s="2334"/>
      <c r="N576" s="2334"/>
      <c r="O576" s="2334"/>
      <c r="P576" s="2324"/>
      <c r="Q576" s="2324"/>
      <c r="R576" s="2325"/>
      <c r="S576" s="2324"/>
      <c r="T576" s="2324"/>
      <c r="U576" s="2326"/>
      <c r="V576" s="2327"/>
      <c r="W576" s="2327"/>
      <c r="X576" s="2327"/>
      <c r="Y576" s="2327"/>
      <c r="Z576" s="2327"/>
      <c r="AA576" s="2328"/>
      <c r="AB576" s="2329"/>
      <c r="AC576" s="2326"/>
      <c r="AD576" s="2330">
        <f t="shared" si="377"/>
        <v>0</v>
      </c>
      <c r="AE576" s="2330"/>
      <c r="AF576" s="2330"/>
      <c r="AG576" s="2330">
        <f t="shared" si="371"/>
        <v>0</v>
      </c>
      <c r="AH576" s="2330"/>
      <c r="AI576" s="2330"/>
      <c r="AJ576" s="2330">
        <f t="shared" si="378"/>
        <v>0</v>
      </c>
      <c r="AK576" s="2330"/>
      <c r="AL576" s="2330"/>
      <c r="AM576" s="2331">
        <f t="shared" si="363"/>
        <v>0</v>
      </c>
      <c r="AN576" s="2331"/>
      <c r="AO576" s="2331"/>
      <c r="AP576" s="2331"/>
      <c r="AQ576" s="2332">
        <f t="shared" si="379"/>
        <v>0</v>
      </c>
      <c r="AR576" s="2332"/>
      <c r="AS576" s="2332"/>
      <c r="AT576" s="2332">
        <f t="shared" si="380"/>
        <v>0</v>
      </c>
      <c r="AV576" s="151" t="str">
        <f t="shared" si="360"/>
        <v>LANDSCAPING</v>
      </c>
      <c r="AW576" s="681"/>
      <c r="AX576" s="230"/>
      <c r="AY576" s="230"/>
      <c r="AZ576" s="679"/>
      <c r="BA576" s="49">
        <f t="shared" si="381"/>
        <v>0</v>
      </c>
      <c r="BB576" s="49">
        <f t="shared" si="386"/>
        <v>0</v>
      </c>
      <c r="BC576" s="49">
        <f t="shared" si="387"/>
        <v>0</v>
      </c>
      <c r="BD576" s="49">
        <f t="shared" si="382"/>
        <v>0</v>
      </c>
      <c r="BE576" s="49">
        <f>SUM(BA576:BC576)</f>
        <v>0</v>
      </c>
      <c r="BF576" s="49">
        <f t="shared" si="383"/>
        <v>0</v>
      </c>
      <c r="BG576" s="49">
        <f t="shared" si="384"/>
        <v>0</v>
      </c>
      <c r="BI576" s="134">
        <f t="shared" si="389"/>
        <v>0</v>
      </c>
      <c r="BJ576" s="134">
        <f t="shared" si="385"/>
        <v>0</v>
      </c>
      <c r="BK576" s="134">
        <f t="shared" si="390"/>
        <v>0</v>
      </c>
    </row>
    <row r="577" spans="1:63" hidden="1">
      <c r="A577" s="187"/>
      <c r="B577" s="2333"/>
      <c r="C577" s="2333"/>
      <c r="D577" s="2334"/>
      <c r="E577" s="2334"/>
      <c r="F577" s="2334"/>
      <c r="G577" s="2334"/>
      <c r="H577" s="2334"/>
      <c r="I577" s="2334"/>
      <c r="J577" s="2334"/>
      <c r="K577" s="2334"/>
      <c r="L577" s="2334"/>
      <c r="M577" s="2334"/>
      <c r="N577" s="2334"/>
      <c r="O577" s="2334"/>
      <c r="P577" s="2324"/>
      <c r="Q577" s="2324"/>
      <c r="R577" s="2325"/>
      <c r="S577" s="2324"/>
      <c r="T577" s="2324"/>
      <c r="U577" s="2326"/>
      <c r="V577" s="2327"/>
      <c r="W577" s="2327"/>
      <c r="X577" s="2327"/>
      <c r="Y577" s="2327"/>
      <c r="Z577" s="2327"/>
      <c r="AA577" s="2328"/>
      <c r="AB577" s="2329"/>
      <c r="AC577" s="2326"/>
      <c r="AD577" s="2330">
        <f t="shared" si="377"/>
        <v>0</v>
      </c>
      <c r="AE577" s="2330"/>
      <c r="AF577" s="2330"/>
      <c r="AG577" s="2330">
        <f t="shared" si="371"/>
        <v>0</v>
      </c>
      <c r="AH577" s="2330"/>
      <c r="AI577" s="2330"/>
      <c r="AJ577" s="2330">
        <f t="shared" si="378"/>
        <v>0</v>
      </c>
      <c r="AK577" s="2330"/>
      <c r="AL577" s="2330"/>
      <c r="AM577" s="2331">
        <f t="shared" si="363"/>
        <v>0</v>
      </c>
      <c r="AN577" s="2331"/>
      <c r="AO577" s="2331"/>
      <c r="AP577" s="2331"/>
      <c r="AQ577" s="2332">
        <f t="shared" si="379"/>
        <v>0</v>
      </c>
      <c r="AR577" s="2332"/>
      <c r="AS577" s="2332"/>
      <c r="AT577" s="2332">
        <f t="shared" si="380"/>
        <v>0</v>
      </c>
      <c r="AV577" s="151" t="str">
        <f t="shared" si="360"/>
        <v>LANDSCAPING</v>
      </c>
      <c r="AW577" s="681"/>
      <c r="AX577" s="230"/>
      <c r="AY577" s="230"/>
      <c r="AZ577" s="679"/>
      <c r="BA577" s="49">
        <f t="shared" si="381"/>
        <v>0</v>
      </c>
      <c r="BB577" s="49">
        <f t="shared" si="386"/>
        <v>0</v>
      </c>
      <c r="BC577" s="49">
        <f t="shared" si="387"/>
        <v>0</v>
      </c>
      <c r="BD577" s="49">
        <f t="shared" si="382"/>
        <v>0</v>
      </c>
      <c r="BE577" s="49">
        <f>SUM(BA577:BC577)</f>
        <v>0</v>
      </c>
      <c r="BF577" s="49">
        <f t="shared" si="383"/>
        <v>0</v>
      </c>
      <c r="BG577" s="49">
        <f t="shared" si="384"/>
        <v>0</v>
      </c>
      <c r="BI577" s="134">
        <f t="shared" si="389"/>
        <v>0</v>
      </c>
      <c r="BJ577" s="134">
        <f t="shared" si="385"/>
        <v>0</v>
      </c>
      <c r="BK577" s="134">
        <f t="shared" si="390"/>
        <v>0</v>
      </c>
    </row>
    <row r="578" spans="1:63" ht="5.0999999999999996" hidden="1" customHeight="1">
      <c r="A578" s="187"/>
      <c r="B578" s="64"/>
      <c r="C578" s="64"/>
      <c r="D578" s="885"/>
      <c r="E578" s="885"/>
      <c r="F578" s="885"/>
      <c r="G578" s="885"/>
      <c r="H578" s="885"/>
      <c r="I578" s="885"/>
      <c r="J578" s="885"/>
      <c r="K578" s="885"/>
      <c r="L578" s="885"/>
      <c r="M578" s="885"/>
      <c r="N578" s="885"/>
      <c r="O578" s="885"/>
      <c r="P578" s="66"/>
      <c r="Q578" s="66"/>
      <c r="R578" s="66"/>
      <c r="S578" s="66"/>
      <c r="T578" s="66"/>
      <c r="U578" s="67"/>
      <c r="V578" s="67"/>
      <c r="W578" s="67"/>
      <c r="X578" s="67"/>
      <c r="Y578" s="67"/>
      <c r="Z578" s="67"/>
      <c r="AA578" s="67"/>
      <c r="AB578" s="67"/>
      <c r="AC578" s="67"/>
      <c r="AD578" s="68"/>
      <c r="AE578" s="68"/>
      <c r="AF578" s="68"/>
      <c r="AG578" s="68"/>
      <c r="AH578" s="68"/>
      <c r="AI578" s="68"/>
      <c r="AJ578" s="68"/>
      <c r="AK578" s="68"/>
      <c r="AL578" s="68"/>
      <c r="AM578" s="69"/>
      <c r="AN578" s="69"/>
      <c r="AO578" s="69"/>
      <c r="AP578" s="69"/>
      <c r="AQ578" s="661"/>
      <c r="AR578" s="661"/>
      <c r="AS578" s="661"/>
      <c r="AT578" s="661"/>
      <c r="AV578" s="369" t="str">
        <f t="shared" si="360"/>
        <v>LANDSCAPING</v>
      </c>
      <c r="AW578" s="696"/>
      <c r="AX578" s="696"/>
      <c r="AY578" s="696"/>
      <c r="AZ578" s="369"/>
      <c r="BA578" s="75">
        <f>BA537</f>
        <v>0</v>
      </c>
      <c r="BB578" s="75">
        <f>BB537</f>
        <v>0</v>
      </c>
      <c r="BC578" s="75">
        <f>BC537</f>
        <v>0</v>
      </c>
      <c r="BD578" s="75">
        <f>BD537</f>
        <v>0</v>
      </c>
      <c r="BE578" s="75">
        <f>BE537</f>
        <v>0</v>
      </c>
      <c r="BF578" s="75"/>
      <c r="BG578" s="75"/>
      <c r="BI578" s="75"/>
      <c r="BJ578" s="75"/>
      <c r="BK578" s="75"/>
    </row>
    <row r="579" spans="1:63" ht="21.6" hidden="1" customHeight="1">
      <c r="A579" s="187"/>
      <c r="B579" s="2341"/>
      <c r="C579" s="2341"/>
      <c r="D579" s="886"/>
      <c r="E579" s="886"/>
      <c r="F579" s="886"/>
      <c r="G579" s="886"/>
      <c r="H579" s="886"/>
      <c r="I579" s="886"/>
      <c r="J579" s="886"/>
      <c r="K579" s="886"/>
      <c r="L579" s="886"/>
      <c r="M579" s="886"/>
      <c r="N579" s="886"/>
      <c r="O579" s="886"/>
      <c r="P579" s="37"/>
      <c r="Q579" s="37"/>
      <c r="R579" s="37"/>
      <c r="S579" s="37"/>
      <c r="T579" s="37"/>
      <c r="U579" s="37"/>
      <c r="V579" s="37"/>
      <c r="W579" s="37"/>
      <c r="X579" s="37"/>
      <c r="Y579" s="37"/>
      <c r="Z579" s="37"/>
      <c r="AA579" s="37"/>
      <c r="AB579" s="37"/>
      <c r="AC579" s="370" t="str">
        <f>CONCATENATE(D537," ","TOTAL")</f>
        <v>LANDSCAPING TOTAL</v>
      </c>
      <c r="AD579" s="2342">
        <f>SUBTOTAL(9,AD538:AD578)</f>
        <v>0</v>
      </c>
      <c r="AE579" s="2342"/>
      <c r="AF579" s="2342"/>
      <c r="AG579" s="2342">
        <f>SUBTOTAL(9,AG538:AG578)</f>
        <v>0</v>
      </c>
      <c r="AH579" s="2342"/>
      <c r="AI579" s="2342"/>
      <c r="AJ579" s="2342">
        <f>SUBTOTAL(9,AJ538:AJ578)</f>
        <v>0</v>
      </c>
      <c r="AK579" s="2342"/>
      <c r="AL579" s="2342"/>
      <c r="AM579" s="2342">
        <f>SUBTOTAL(9,AM538:AM578)</f>
        <v>0</v>
      </c>
      <c r="AN579" s="2342"/>
      <c r="AO579" s="2342"/>
      <c r="AP579" s="2342"/>
      <c r="AQ579" s="2336">
        <f>SUBTOTAL(9,AQ538:AQ578)</f>
        <v>0</v>
      </c>
      <c r="AR579" s="2336"/>
      <c r="AS579" s="2336"/>
      <c r="AT579" s="2336" t="e">
        <f>SUM(AT535:AT570)</f>
        <v>#REF!</v>
      </c>
      <c r="AV579" s="151" t="str">
        <f t="shared" si="360"/>
        <v>LANDSCAPING</v>
      </c>
      <c r="AW579" s="682"/>
      <c r="AX579" s="695"/>
      <c r="AY579" s="695"/>
      <c r="AZ579" s="274"/>
      <c r="BA579" s="74">
        <f>BA537</f>
        <v>0</v>
      </c>
      <c r="BB579" s="74">
        <f>BB537</f>
        <v>0</v>
      </c>
      <c r="BC579" s="74">
        <f>BC537</f>
        <v>0</v>
      </c>
      <c r="BD579" s="74">
        <f>BD537</f>
        <v>0</v>
      </c>
      <c r="BE579" s="74">
        <f>BE537</f>
        <v>0</v>
      </c>
      <c r="BF579" s="74">
        <f>SUM(BF537:BF578)</f>
        <v>0</v>
      </c>
      <c r="BG579" s="49">
        <f>SUM(BG537:BG578)</f>
        <v>0</v>
      </c>
      <c r="BI579" s="74">
        <f>SUM(BI538:BI578)</f>
        <v>0</v>
      </c>
      <c r="BJ579" s="74">
        <f>SUM(BJ538:BJ578)</f>
        <v>0</v>
      </c>
      <c r="BK579" s="49">
        <f>SUM(BK538:BK578)</f>
        <v>0</v>
      </c>
    </row>
    <row r="580" spans="1:63" ht="5.0999999999999996" hidden="1" customHeight="1">
      <c r="A580" s="187"/>
      <c r="B580" s="64"/>
      <c r="C580" s="64"/>
      <c r="D580" s="885"/>
      <c r="E580" s="885"/>
      <c r="F580" s="885"/>
      <c r="G580" s="885"/>
      <c r="H580" s="885"/>
      <c r="I580" s="885"/>
      <c r="J580" s="885"/>
      <c r="K580" s="885"/>
      <c r="L580" s="885"/>
      <c r="M580" s="885"/>
      <c r="N580" s="885"/>
      <c r="O580" s="885"/>
      <c r="P580" s="66"/>
      <c r="Q580" s="66"/>
      <c r="R580" s="66"/>
      <c r="S580" s="66"/>
      <c r="T580" s="66"/>
      <c r="U580" s="67"/>
      <c r="V580" s="67"/>
      <c r="W580" s="67"/>
      <c r="X580" s="67"/>
      <c r="Y580" s="67"/>
      <c r="Z580" s="67"/>
      <c r="AA580" s="67"/>
      <c r="AB580" s="67"/>
      <c r="AC580" s="67"/>
      <c r="AD580" s="68"/>
      <c r="AE580" s="68"/>
      <c r="AF580" s="68"/>
      <c r="AG580" s="68"/>
      <c r="AH580" s="68"/>
      <c r="AI580" s="68"/>
      <c r="AJ580" s="68"/>
      <c r="AK580" s="68"/>
      <c r="AL580" s="68"/>
      <c r="AM580" s="69"/>
      <c r="AN580" s="69"/>
      <c r="AO580" s="69"/>
      <c r="AP580" s="69"/>
      <c r="AQ580" s="661"/>
      <c r="AR580" s="661"/>
      <c r="AS580" s="661"/>
      <c r="AT580" s="661"/>
      <c r="AV580" s="369" t="str">
        <f t="shared" si="360"/>
        <v>LANDSCAPING</v>
      </c>
      <c r="AW580" s="696"/>
      <c r="AX580" s="696"/>
      <c r="AY580" s="696"/>
      <c r="AZ580" s="369"/>
      <c r="BA580" s="75">
        <f>BA537</f>
        <v>0</v>
      </c>
      <c r="BB580" s="75">
        <f>BB537</f>
        <v>0</v>
      </c>
      <c r="BC580" s="75">
        <f>BC537</f>
        <v>0</v>
      </c>
      <c r="BD580" s="75">
        <f>BD537</f>
        <v>0</v>
      </c>
      <c r="BE580" s="75">
        <f>BE537</f>
        <v>0</v>
      </c>
      <c r="BF580" s="75"/>
      <c r="BG580" s="75"/>
      <c r="BI580" s="75"/>
      <c r="BJ580" s="75"/>
      <c r="BK580" s="75"/>
    </row>
    <row r="581" spans="1:63" ht="9.6" hidden="1" customHeight="1">
      <c r="A581" s="187"/>
      <c r="B581" s="71"/>
      <c r="C581" s="71"/>
      <c r="D581" s="887"/>
      <c r="E581" s="887"/>
      <c r="F581" s="887"/>
      <c r="G581" s="887"/>
      <c r="H581" s="887"/>
      <c r="I581" s="887"/>
      <c r="J581" s="887"/>
      <c r="K581" s="887"/>
      <c r="L581" s="887"/>
      <c r="M581" s="887"/>
      <c r="N581" s="887"/>
      <c r="O581" s="887"/>
      <c r="P581" s="72"/>
      <c r="Q581" s="72"/>
      <c r="R581" s="72"/>
      <c r="S581" s="72"/>
      <c r="T581" s="72"/>
      <c r="U581" s="72"/>
      <c r="V581" s="72"/>
      <c r="W581" s="72"/>
      <c r="X581" s="72"/>
      <c r="Y581" s="72"/>
      <c r="Z581" s="72"/>
      <c r="AA581" s="72"/>
      <c r="AB581" s="72"/>
      <c r="AC581" s="73"/>
      <c r="AD581" s="662"/>
      <c r="AE581" s="662"/>
      <c r="AF581" s="662"/>
      <c r="AG581" s="662"/>
      <c r="AH581" s="662"/>
      <c r="AI581" s="662"/>
      <c r="AJ581" s="662"/>
      <c r="AK581" s="662"/>
      <c r="AL581" s="662"/>
      <c r="AM581" s="662"/>
      <c r="AN581" s="662"/>
      <c r="AO581" s="662"/>
      <c r="AP581" s="662"/>
      <c r="AQ581" s="663"/>
      <c r="AR581" s="663"/>
      <c r="AS581" s="663"/>
      <c r="AT581" s="663"/>
      <c r="AV581" s="371" t="str">
        <f t="shared" si="360"/>
        <v>LANDSCAPING</v>
      </c>
      <c r="AW581" s="699"/>
      <c r="AX581" s="801"/>
      <c r="AY581" s="801"/>
      <c r="AZ581" s="371"/>
      <c r="BA581" s="125">
        <f>BA579</f>
        <v>0</v>
      </c>
      <c r="BB581" s="125">
        <f t="shared" ref="BB581:BG581" si="391">BB579</f>
        <v>0</v>
      </c>
      <c r="BC581" s="125">
        <f>BC579</f>
        <v>0</v>
      </c>
      <c r="BD581" s="125">
        <f t="shared" si="391"/>
        <v>0</v>
      </c>
      <c r="BE581" s="125">
        <f t="shared" si="391"/>
        <v>0</v>
      </c>
      <c r="BF581" s="125">
        <f t="shared" si="391"/>
        <v>0</v>
      </c>
      <c r="BG581" s="125">
        <f t="shared" si="391"/>
        <v>0</v>
      </c>
      <c r="BI581" s="125"/>
      <c r="BJ581" s="125"/>
      <c r="BK581" s="125"/>
    </row>
    <row r="582" spans="1:63" ht="21.6" customHeight="1">
      <c r="A582" s="186" t="s">
        <v>952</v>
      </c>
      <c r="B582" s="2343"/>
      <c r="C582" s="2344"/>
      <c r="D582" s="2387" t="str">
        <f>T(Y78)</f>
        <v>MISC. EXTERIOR ITEMS</v>
      </c>
      <c r="E582" s="2388"/>
      <c r="F582" s="2388"/>
      <c r="G582" s="2388"/>
      <c r="H582" s="2388"/>
      <c r="I582" s="2388"/>
      <c r="J582" s="2388"/>
      <c r="K582" s="2388"/>
      <c r="L582" s="2388"/>
      <c r="M582" s="2388"/>
      <c r="N582" s="2388"/>
      <c r="O582" s="2389"/>
      <c r="P582" s="2345"/>
      <c r="Q582" s="2345"/>
      <c r="R582" s="2345"/>
      <c r="S582" s="2346"/>
      <c r="T582" s="2347"/>
      <c r="U582" s="2348"/>
      <c r="V582" s="2348"/>
      <c r="W582" s="2348"/>
      <c r="X582" s="2348"/>
      <c r="Y582" s="2348"/>
      <c r="Z582" s="2348"/>
      <c r="AA582" s="2348"/>
      <c r="AB582" s="2348"/>
      <c r="AC582" s="2348"/>
      <c r="AD582" s="2342">
        <f>AD624</f>
        <v>0</v>
      </c>
      <c r="AE582" s="2342"/>
      <c r="AF582" s="2342"/>
      <c r="AG582" s="2342">
        <f>AG624</f>
        <v>0</v>
      </c>
      <c r="AH582" s="2342"/>
      <c r="AI582" s="2342"/>
      <c r="AJ582" s="2342">
        <f>AJ624</f>
        <v>0</v>
      </c>
      <c r="AK582" s="2342"/>
      <c r="AL582" s="2342"/>
      <c r="AM582" s="2342">
        <f>AM624</f>
        <v>0</v>
      </c>
      <c r="AN582" s="2342"/>
      <c r="AO582" s="2342"/>
      <c r="AP582" s="2342"/>
      <c r="AQ582" s="2336">
        <f>AQ624</f>
        <v>0</v>
      </c>
      <c r="AR582" s="2336"/>
      <c r="AS582" s="2336"/>
      <c r="AT582" s="2336" t="e">
        <f>SUM(#REF!)</f>
        <v>#REF!</v>
      </c>
      <c r="AV582" s="151" t="str">
        <f t="shared" ref="AV582:AV626" si="392">$D$582</f>
        <v>MISC. EXTERIOR ITEMS</v>
      </c>
      <c r="AW582" s="700"/>
      <c r="AX582" s="700"/>
      <c r="AY582" s="700"/>
      <c r="AZ582" s="701"/>
      <c r="BA582" s="49">
        <f>SUM(BA583:BA622)</f>
        <v>0</v>
      </c>
      <c r="BB582" s="49">
        <f>SUM(BB583:BB622)</f>
        <v>0</v>
      </c>
      <c r="BC582" s="49">
        <f>SUM(BC583:BC622)</f>
        <v>0</v>
      </c>
      <c r="BD582" s="49">
        <f>SUM(BD583:BD622)</f>
        <v>0</v>
      </c>
      <c r="BE582" s="49">
        <f>SUM(BE583:BE622)</f>
        <v>0</v>
      </c>
      <c r="BF582" s="49">
        <f t="shared" ref="BF582:BF618" si="393">AQ582</f>
        <v>0</v>
      </c>
      <c r="BG582" s="49">
        <f t="shared" ref="BG582:BG618" si="394">AM582</f>
        <v>0</v>
      </c>
      <c r="BI582" s="134">
        <f>AD582</f>
        <v>0</v>
      </c>
      <c r="BJ582" s="134">
        <f>AM582</f>
        <v>0</v>
      </c>
      <c r="BK582" s="134">
        <f>BJ582+BI582</f>
        <v>0</v>
      </c>
    </row>
    <row r="583" spans="1:63" hidden="1">
      <c r="A583" s="187"/>
      <c r="B583" s="2321"/>
      <c r="C583" s="2322"/>
      <c r="D583" s="2338" t="s">
        <v>844</v>
      </c>
      <c r="E583" s="2338"/>
      <c r="F583" s="2338"/>
      <c r="G583" s="2338"/>
      <c r="H583" s="2338"/>
      <c r="I583" s="2338"/>
      <c r="J583" s="2338"/>
      <c r="K583" s="2338"/>
      <c r="L583" s="2338"/>
      <c r="M583" s="2338"/>
      <c r="N583" s="2338"/>
      <c r="O583" s="2338"/>
      <c r="P583" s="2324"/>
      <c r="Q583" s="2324"/>
      <c r="R583" s="2325"/>
      <c r="S583" s="2324" t="s">
        <v>3</v>
      </c>
      <c r="T583" s="2324" t="s">
        <v>11</v>
      </c>
      <c r="U583" s="2326"/>
      <c r="V583" s="2327"/>
      <c r="W583" s="2327"/>
      <c r="X583" s="2327"/>
      <c r="Y583" s="2327"/>
      <c r="Z583" s="2327"/>
      <c r="AA583" s="2328"/>
      <c r="AB583" s="2329"/>
      <c r="AC583" s="2326"/>
      <c r="AD583" s="2330">
        <f t="shared" ref="AD583:AD618" si="395">((P583*U583)-AM583)</f>
        <v>0</v>
      </c>
      <c r="AE583" s="2330"/>
      <c r="AF583" s="2330"/>
      <c r="AG583" s="2330">
        <f>P583*X583*(1+$Y$85)</f>
        <v>0</v>
      </c>
      <c r="AH583" s="2330"/>
      <c r="AI583" s="2330"/>
      <c r="AJ583" s="2330">
        <f t="shared" ref="AJ583:AJ618" si="396">P583*AA583</f>
        <v>0</v>
      </c>
      <c r="AK583" s="2330"/>
      <c r="AL583" s="2330"/>
      <c r="AM583" s="2331">
        <f t="shared" ref="AM583:AM622" si="397">IF($B583="x",$P583*$U583,0)</f>
        <v>0</v>
      </c>
      <c r="AN583" s="2331"/>
      <c r="AO583" s="2331"/>
      <c r="AP583" s="2331"/>
      <c r="AQ583" s="2332">
        <f t="shared" ref="AQ583:AQ618" si="398">SUM(AD583:AL583)</f>
        <v>0</v>
      </c>
      <c r="AR583" s="2332"/>
      <c r="AS583" s="2332"/>
      <c r="AT583" s="2332">
        <f t="shared" ref="AT583:AT618" si="399">SUM(AD583:AL583)</f>
        <v>0</v>
      </c>
      <c r="AV583" s="151" t="str">
        <f t="shared" si="392"/>
        <v>MISC. EXTERIOR ITEMS</v>
      </c>
      <c r="AW583" s="681"/>
      <c r="AX583" s="230"/>
      <c r="AY583" s="230"/>
      <c r="AZ583" s="679"/>
      <c r="BA583" s="49">
        <f t="shared" ref="BA583:BA618" si="400">AD583</f>
        <v>0</v>
      </c>
      <c r="BB583" s="49">
        <f>AG583</f>
        <v>0</v>
      </c>
      <c r="BC583" s="49">
        <f>AJ583</f>
        <v>0</v>
      </c>
      <c r="BD583" s="49">
        <f t="shared" ref="BD583:BD618" si="401">IF(B583="x",1,0)</f>
        <v>0</v>
      </c>
      <c r="BE583" s="49">
        <f>SUM(BA583:BC583)</f>
        <v>0</v>
      </c>
      <c r="BF583" s="49">
        <f t="shared" si="393"/>
        <v>0</v>
      </c>
      <c r="BG583" s="49">
        <f t="shared" si="394"/>
        <v>0</v>
      </c>
      <c r="BI583" s="134">
        <f>AD583</f>
        <v>0</v>
      </c>
      <c r="BJ583" s="134">
        <f t="shared" ref="BJ583:BJ618" si="402">AM583</f>
        <v>0</v>
      </c>
      <c r="BK583" s="134">
        <f>BJ583+BI583</f>
        <v>0</v>
      </c>
    </row>
    <row r="584" spans="1:63" hidden="1">
      <c r="A584" s="187"/>
      <c r="B584" s="2321"/>
      <c r="C584" s="2322"/>
      <c r="D584" s="2337" t="s">
        <v>727</v>
      </c>
      <c r="E584" s="2337"/>
      <c r="F584" s="2337"/>
      <c r="G584" s="2337"/>
      <c r="H584" s="2337"/>
      <c r="I584" s="2337"/>
      <c r="J584" s="2337"/>
      <c r="K584" s="2337"/>
      <c r="L584" s="2337"/>
      <c r="M584" s="2337"/>
      <c r="N584" s="2337"/>
      <c r="O584" s="2337"/>
      <c r="P584" s="2324"/>
      <c r="Q584" s="2324"/>
      <c r="R584" s="2325"/>
      <c r="S584" s="2324"/>
      <c r="T584" s="2324"/>
      <c r="U584" s="2326"/>
      <c r="V584" s="2327"/>
      <c r="W584" s="2327"/>
      <c r="X584" s="2327"/>
      <c r="Y584" s="2327"/>
      <c r="Z584" s="2327"/>
      <c r="AA584" s="2328"/>
      <c r="AB584" s="2329"/>
      <c r="AC584" s="2326"/>
      <c r="AD584" s="2330">
        <f t="shared" si="395"/>
        <v>0</v>
      </c>
      <c r="AE584" s="2330"/>
      <c r="AF584" s="2330"/>
      <c r="AG584" s="2330">
        <f t="shared" ref="AG584:AG622" si="403">P584*X584*(1+$Y$85)</f>
        <v>0</v>
      </c>
      <c r="AH584" s="2330"/>
      <c r="AI584" s="2330"/>
      <c r="AJ584" s="2330">
        <f t="shared" si="396"/>
        <v>0</v>
      </c>
      <c r="AK584" s="2330"/>
      <c r="AL584" s="2330"/>
      <c r="AM584" s="2331">
        <f t="shared" si="397"/>
        <v>0</v>
      </c>
      <c r="AN584" s="2331"/>
      <c r="AO584" s="2331"/>
      <c r="AP584" s="2331"/>
      <c r="AQ584" s="2332">
        <f t="shared" si="398"/>
        <v>0</v>
      </c>
      <c r="AR584" s="2332"/>
      <c r="AS584" s="2332"/>
      <c r="AT584" s="2332">
        <f t="shared" si="399"/>
        <v>0</v>
      </c>
      <c r="AV584" s="151" t="str">
        <f t="shared" si="392"/>
        <v>MISC. EXTERIOR ITEMS</v>
      </c>
      <c r="AW584" s="681"/>
      <c r="AX584" s="230"/>
      <c r="AY584" s="230"/>
      <c r="AZ584" s="679"/>
      <c r="BA584" s="49">
        <f t="shared" si="400"/>
        <v>0</v>
      </c>
      <c r="BB584" s="49">
        <f t="shared" ref="BB584:BB618" si="404">AG584</f>
        <v>0</v>
      </c>
      <c r="BC584" s="49">
        <f t="shared" ref="BC584:BC618" si="405">AJ584</f>
        <v>0</v>
      </c>
      <c r="BD584" s="49">
        <f t="shared" si="401"/>
        <v>0</v>
      </c>
      <c r="BE584" s="49">
        <f t="shared" ref="BE584:BE600" si="406">SUM(BA584:BC584)</f>
        <v>0</v>
      </c>
      <c r="BF584" s="49">
        <f t="shared" si="393"/>
        <v>0</v>
      </c>
      <c r="BG584" s="49">
        <f t="shared" si="394"/>
        <v>0</v>
      </c>
      <c r="BI584" s="134">
        <f t="shared" ref="BI584:BI618" si="407">AD584</f>
        <v>0</v>
      </c>
      <c r="BJ584" s="134">
        <f t="shared" si="402"/>
        <v>0</v>
      </c>
      <c r="BK584" s="134">
        <f t="shared" ref="BK584:BK618" si="408">BJ584+BI584</f>
        <v>0</v>
      </c>
    </row>
    <row r="585" spans="1:63" hidden="1">
      <c r="A585" s="187"/>
      <c r="B585" s="2333"/>
      <c r="C585" s="2333"/>
      <c r="D585" s="2334" t="s">
        <v>17</v>
      </c>
      <c r="E585" s="2334"/>
      <c r="F585" s="2334"/>
      <c r="G585" s="2334"/>
      <c r="H585" s="2334"/>
      <c r="I585" s="2334"/>
      <c r="J585" s="2334"/>
      <c r="K585" s="2334"/>
      <c r="L585" s="2334"/>
      <c r="M585" s="2334"/>
      <c r="N585" s="2334"/>
      <c r="O585" s="2334"/>
      <c r="P585" s="2324"/>
      <c r="Q585" s="2324"/>
      <c r="R585" s="2325"/>
      <c r="S585" s="2324" t="s">
        <v>2</v>
      </c>
      <c r="T585" s="2324"/>
      <c r="U585" s="2326">
        <v>50</v>
      </c>
      <c r="V585" s="2327"/>
      <c r="W585" s="2327"/>
      <c r="X585" s="2327">
        <v>100</v>
      </c>
      <c r="Y585" s="2327"/>
      <c r="Z585" s="2327"/>
      <c r="AA585" s="2328"/>
      <c r="AB585" s="2329"/>
      <c r="AC585" s="2326"/>
      <c r="AD585" s="2330">
        <f t="shared" si="395"/>
        <v>0</v>
      </c>
      <c r="AE585" s="2330"/>
      <c r="AF585" s="2330"/>
      <c r="AG585" s="2330">
        <f t="shared" si="403"/>
        <v>0</v>
      </c>
      <c r="AH585" s="2330"/>
      <c r="AI585" s="2330"/>
      <c r="AJ585" s="2330">
        <f t="shared" si="396"/>
        <v>0</v>
      </c>
      <c r="AK585" s="2330"/>
      <c r="AL585" s="2330"/>
      <c r="AM585" s="2331">
        <f t="shared" si="397"/>
        <v>0</v>
      </c>
      <c r="AN585" s="2331"/>
      <c r="AO585" s="2331"/>
      <c r="AP585" s="2331"/>
      <c r="AQ585" s="2332">
        <f t="shared" si="398"/>
        <v>0</v>
      </c>
      <c r="AR585" s="2332"/>
      <c r="AS585" s="2332"/>
      <c r="AT585" s="2332">
        <f t="shared" si="399"/>
        <v>0</v>
      </c>
      <c r="AV585" s="151" t="str">
        <f t="shared" si="392"/>
        <v>MISC. EXTERIOR ITEMS</v>
      </c>
      <c r="AW585" s="681"/>
      <c r="AX585" s="230"/>
      <c r="AY585" s="230"/>
      <c r="AZ585" s="679"/>
      <c r="BA585" s="49">
        <f t="shared" si="400"/>
        <v>0</v>
      </c>
      <c r="BB585" s="49">
        <f t="shared" si="404"/>
        <v>0</v>
      </c>
      <c r="BC585" s="49">
        <f t="shared" si="405"/>
        <v>0</v>
      </c>
      <c r="BD585" s="49">
        <f t="shared" si="401"/>
        <v>0</v>
      </c>
      <c r="BE585" s="49">
        <f t="shared" si="406"/>
        <v>0</v>
      </c>
      <c r="BF585" s="49">
        <f t="shared" si="393"/>
        <v>0</v>
      </c>
      <c r="BG585" s="49">
        <f t="shared" si="394"/>
        <v>0</v>
      </c>
      <c r="BI585" s="134">
        <f t="shared" si="407"/>
        <v>0</v>
      </c>
      <c r="BJ585" s="134">
        <f t="shared" si="402"/>
        <v>0</v>
      </c>
      <c r="BK585" s="134">
        <f t="shared" si="408"/>
        <v>0</v>
      </c>
    </row>
    <row r="586" spans="1:63" hidden="1">
      <c r="A586" s="187"/>
      <c r="B586" s="2333"/>
      <c r="C586" s="2333"/>
      <c r="D586" s="2334" t="s">
        <v>51</v>
      </c>
      <c r="E586" s="2334"/>
      <c r="F586" s="2334"/>
      <c r="G586" s="2334"/>
      <c r="H586" s="2334"/>
      <c r="I586" s="2334"/>
      <c r="J586" s="2334"/>
      <c r="K586" s="2334"/>
      <c r="L586" s="2334"/>
      <c r="M586" s="2334"/>
      <c r="N586" s="2334"/>
      <c r="O586" s="2334"/>
      <c r="P586" s="2324"/>
      <c r="Q586" s="2324"/>
      <c r="R586" s="2325"/>
      <c r="S586" s="2324" t="s">
        <v>2</v>
      </c>
      <c r="T586" s="2324"/>
      <c r="U586" s="2326">
        <v>25</v>
      </c>
      <c r="V586" s="2327"/>
      <c r="W586" s="2327"/>
      <c r="X586" s="2327">
        <v>40</v>
      </c>
      <c r="Y586" s="2327"/>
      <c r="Z586" s="2327"/>
      <c r="AA586" s="2328"/>
      <c r="AB586" s="2329"/>
      <c r="AC586" s="2326"/>
      <c r="AD586" s="2330">
        <f t="shared" si="395"/>
        <v>0</v>
      </c>
      <c r="AE586" s="2330"/>
      <c r="AF586" s="2330"/>
      <c r="AG586" s="2330">
        <f t="shared" si="403"/>
        <v>0</v>
      </c>
      <c r="AH586" s="2330"/>
      <c r="AI586" s="2330"/>
      <c r="AJ586" s="2330">
        <f t="shared" si="396"/>
        <v>0</v>
      </c>
      <c r="AK586" s="2330"/>
      <c r="AL586" s="2330"/>
      <c r="AM586" s="2331">
        <f t="shared" si="397"/>
        <v>0</v>
      </c>
      <c r="AN586" s="2331"/>
      <c r="AO586" s="2331"/>
      <c r="AP586" s="2331"/>
      <c r="AQ586" s="2332">
        <f t="shared" si="398"/>
        <v>0</v>
      </c>
      <c r="AR586" s="2332"/>
      <c r="AS586" s="2332"/>
      <c r="AT586" s="2332">
        <f t="shared" si="399"/>
        <v>0</v>
      </c>
      <c r="AV586" s="151" t="str">
        <f t="shared" si="392"/>
        <v>MISC. EXTERIOR ITEMS</v>
      </c>
      <c r="AW586" s="681"/>
      <c r="AX586" s="230"/>
      <c r="AY586" s="230"/>
      <c r="AZ586" s="679"/>
      <c r="BA586" s="49">
        <f t="shared" si="400"/>
        <v>0</v>
      </c>
      <c r="BB586" s="49">
        <f t="shared" si="404"/>
        <v>0</v>
      </c>
      <c r="BC586" s="49">
        <f t="shared" si="405"/>
        <v>0</v>
      </c>
      <c r="BD586" s="49">
        <f t="shared" si="401"/>
        <v>0</v>
      </c>
      <c r="BE586" s="49">
        <f t="shared" si="406"/>
        <v>0</v>
      </c>
      <c r="BF586" s="49">
        <f t="shared" si="393"/>
        <v>0</v>
      </c>
      <c r="BG586" s="49">
        <f t="shared" si="394"/>
        <v>0</v>
      </c>
      <c r="BI586" s="134">
        <f t="shared" si="407"/>
        <v>0</v>
      </c>
      <c r="BJ586" s="134">
        <f t="shared" si="402"/>
        <v>0</v>
      </c>
      <c r="BK586" s="134">
        <f t="shared" si="408"/>
        <v>0</v>
      </c>
    </row>
    <row r="587" spans="1:63" hidden="1">
      <c r="A587" s="187"/>
      <c r="B587" s="2321"/>
      <c r="C587" s="2322"/>
      <c r="D587" s="2334" t="s">
        <v>136</v>
      </c>
      <c r="E587" s="2334"/>
      <c r="F587" s="2334"/>
      <c r="G587" s="2334"/>
      <c r="H587" s="2334"/>
      <c r="I587" s="2334"/>
      <c r="J587" s="2334"/>
      <c r="K587" s="2334"/>
      <c r="L587" s="2334"/>
      <c r="M587" s="2334"/>
      <c r="N587" s="2334"/>
      <c r="O587" s="2334"/>
      <c r="P587" s="2324"/>
      <c r="Q587" s="2324"/>
      <c r="R587" s="2325"/>
      <c r="S587" s="2324" t="s">
        <v>2</v>
      </c>
      <c r="T587" s="2324"/>
      <c r="U587" s="2326">
        <v>25</v>
      </c>
      <c r="V587" s="2327"/>
      <c r="W587" s="2327"/>
      <c r="X587" s="2327">
        <v>40</v>
      </c>
      <c r="Y587" s="2327"/>
      <c r="Z587" s="2327"/>
      <c r="AA587" s="2328"/>
      <c r="AB587" s="2329"/>
      <c r="AC587" s="2326"/>
      <c r="AD587" s="2330">
        <f t="shared" si="395"/>
        <v>0</v>
      </c>
      <c r="AE587" s="2330"/>
      <c r="AF587" s="2330"/>
      <c r="AG587" s="2330">
        <f t="shared" si="403"/>
        <v>0</v>
      </c>
      <c r="AH587" s="2330"/>
      <c r="AI587" s="2330"/>
      <c r="AJ587" s="2330">
        <f t="shared" si="396"/>
        <v>0</v>
      </c>
      <c r="AK587" s="2330"/>
      <c r="AL587" s="2330"/>
      <c r="AM587" s="2331">
        <f t="shared" si="397"/>
        <v>0</v>
      </c>
      <c r="AN587" s="2331"/>
      <c r="AO587" s="2331"/>
      <c r="AP587" s="2331"/>
      <c r="AQ587" s="2332">
        <f t="shared" si="398"/>
        <v>0</v>
      </c>
      <c r="AR587" s="2332"/>
      <c r="AS587" s="2332"/>
      <c r="AT587" s="2332">
        <f t="shared" si="399"/>
        <v>0</v>
      </c>
      <c r="AV587" s="151" t="str">
        <f t="shared" si="392"/>
        <v>MISC. EXTERIOR ITEMS</v>
      </c>
      <c r="AW587" s="681"/>
      <c r="AX587" s="230"/>
      <c r="AY587" s="230"/>
      <c r="AZ587" s="679"/>
      <c r="BA587" s="49">
        <f t="shared" si="400"/>
        <v>0</v>
      </c>
      <c r="BB587" s="49">
        <f t="shared" si="404"/>
        <v>0</v>
      </c>
      <c r="BC587" s="49">
        <f t="shared" si="405"/>
        <v>0</v>
      </c>
      <c r="BD587" s="49">
        <f t="shared" si="401"/>
        <v>0</v>
      </c>
      <c r="BE587" s="49">
        <f t="shared" si="406"/>
        <v>0</v>
      </c>
      <c r="BF587" s="49">
        <f t="shared" si="393"/>
        <v>0</v>
      </c>
      <c r="BG587" s="49">
        <f t="shared" si="394"/>
        <v>0</v>
      </c>
      <c r="BI587" s="134">
        <f t="shared" si="407"/>
        <v>0</v>
      </c>
      <c r="BJ587" s="134">
        <f t="shared" si="402"/>
        <v>0</v>
      </c>
      <c r="BK587" s="134">
        <f t="shared" si="408"/>
        <v>0</v>
      </c>
    </row>
    <row r="588" spans="1:63" hidden="1">
      <c r="A588" s="187"/>
      <c r="B588" s="2321"/>
      <c r="C588" s="2322"/>
      <c r="D588" s="2334"/>
      <c r="E588" s="2334"/>
      <c r="F588" s="2334"/>
      <c r="G588" s="2334"/>
      <c r="H588" s="2334"/>
      <c r="I588" s="2334"/>
      <c r="J588" s="2334"/>
      <c r="K588" s="2334"/>
      <c r="L588" s="2334"/>
      <c r="M588" s="2334"/>
      <c r="N588" s="2334"/>
      <c r="O588" s="2334"/>
      <c r="P588" s="2324"/>
      <c r="Q588" s="2324"/>
      <c r="R588" s="2325"/>
      <c r="S588" s="2324"/>
      <c r="T588" s="2324"/>
      <c r="U588" s="2326"/>
      <c r="V588" s="2327"/>
      <c r="W588" s="2327"/>
      <c r="X588" s="2327"/>
      <c r="Y588" s="2327"/>
      <c r="Z588" s="2327"/>
      <c r="AA588" s="2328"/>
      <c r="AB588" s="2329"/>
      <c r="AC588" s="2326"/>
      <c r="AD588" s="2330">
        <f t="shared" si="395"/>
        <v>0</v>
      </c>
      <c r="AE588" s="2330"/>
      <c r="AF588" s="2330"/>
      <c r="AG588" s="2330">
        <f t="shared" si="403"/>
        <v>0</v>
      </c>
      <c r="AH588" s="2330"/>
      <c r="AI588" s="2330"/>
      <c r="AJ588" s="2330">
        <f t="shared" si="396"/>
        <v>0</v>
      </c>
      <c r="AK588" s="2330"/>
      <c r="AL588" s="2330"/>
      <c r="AM588" s="2331">
        <f t="shared" si="397"/>
        <v>0</v>
      </c>
      <c r="AN588" s="2331"/>
      <c r="AO588" s="2331"/>
      <c r="AP588" s="2331"/>
      <c r="AQ588" s="2332">
        <f t="shared" si="398"/>
        <v>0</v>
      </c>
      <c r="AR588" s="2332"/>
      <c r="AS588" s="2332"/>
      <c r="AT588" s="2332">
        <f t="shared" si="399"/>
        <v>0</v>
      </c>
      <c r="AV588" s="151" t="str">
        <f t="shared" si="392"/>
        <v>MISC. EXTERIOR ITEMS</v>
      </c>
      <c r="AW588" s="681"/>
      <c r="AX588" s="230"/>
      <c r="AY588" s="230"/>
      <c r="AZ588" s="679"/>
      <c r="BA588" s="49">
        <f t="shared" si="400"/>
        <v>0</v>
      </c>
      <c r="BB588" s="49">
        <f t="shared" si="404"/>
        <v>0</v>
      </c>
      <c r="BC588" s="49">
        <f t="shared" si="405"/>
        <v>0</v>
      </c>
      <c r="BD588" s="49">
        <f t="shared" si="401"/>
        <v>0</v>
      </c>
      <c r="BE588" s="49">
        <f t="shared" si="406"/>
        <v>0</v>
      </c>
      <c r="BF588" s="49">
        <f t="shared" si="393"/>
        <v>0</v>
      </c>
      <c r="BG588" s="49">
        <f t="shared" si="394"/>
        <v>0</v>
      </c>
      <c r="BI588" s="134">
        <f t="shared" si="407"/>
        <v>0</v>
      </c>
      <c r="BJ588" s="134">
        <f t="shared" si="402"/>
        <v>0</v>
      </c>
      <c r="BK588" s="134">
        <f t="shared" si="408"/>
        <v>0</v>
      </c>
    </row>
    <row r="589" spans="1:63" hidden="1">
      <c r="A589" s="187"/>
      <c r="B589" s="2321"/>
      <c r="C589" s="2322"/>
      <c r="D589" s="2337" t="s">
        <v>728</v>
      </c>
      <c r="E589" s="2337"/>
      <c r="F589" s="2337"/>
      <c r="G589" s="2337"/>
      <c r="H589" s="2337"/>
      <c r="I589" s="2337"/>
      <c r="J589" s="2337"/>
      <c r="K589" s="2337"/>
      <c r="L589" s="2337"/>
      <c r="M589" s="2337"/>
      <c r="N589" s="2337"/>
      <c r="O589" s="2337"/>
      <c r="P589" s="2324"/>
      <c r="Q589" s="2324"/>
      <c r="R589" s="2325"/>
      <c r="S589" s="2324"/>
      <c r="T589" s="2324"/>
      <c r="U589" s="2326"/>
      <c r="V589" s="2327"/>
      <c r="W589" s="2327"/>
      <c r="X589" s="2327"/>
      <c r="Y589" s="2327"/>
      <c r="Z589" s="2327"/>
      <c r="AA589" s="2328"/>
      <c r="AB589" s="2329"/>
      <c r="AC589" s="2326"/>
      <c r="AD589" s="2330">
        <f t="shared" si="395"/>
        <v>0</v>
      </c>
      <c r="AE589" s="2330"/>
      <c r="AF589" s="2330"/>
      <c r="AG589" s="2330">
        <f t="shared" si="403"/>
        <v>0</v>
      </c>
      <c r="AH589" s="2330"/>
      <c r="AI589" s="2330"/>
      <c r="AJ589" s="2330">
        <f t="shared" si="396"/>
        <v>0</v>
      </c>
      <c r="AK589" s="2330"/>
      <c r="AL589" s="2330"/>
      <c r="AM589" s="2331">
        <f t="shared" si="397"/>
        <v>0</v>
      </c>
      <c r="AN589" s="2331"/>
      <c r="AO589" s="2331"/>
      <c r="AP589" s="2331"/>
      <c r="AQ589" s="2332">
        <f t="shared" si="398"/>
        <v>0</v>
      </c>
      <c r="AR589" s="2332"/>
      <c r="AS589" s="2332"/>
      <c r="AT589" s="2332">
        <f t="shared" si="399"/>
        <v>0</v>
      </c>
      <c r="AV589" s="151" t="str">
        <f t="shared" si="392"/>
        <v>MISC. EXTERIOR ITEMS</v>
      </c>
      <c r="AW589" s="681"/>
      <c r="AX589" s="230"/>
      <c r="AY589" s="230"/>
      <c r="AZ589" s="679"/>
      <c r="BA589" s="49">
        <f t="shared" si="400"/>
        <v>0</v>
      </c>
      <c r="BB589" s="49">
        <f t="shared" si="404"/>
        <v>0</v>
      </c>
      <c r="BC589" s="49">
        <f t="shared" si="405"/>
        <v>0</v>
      </c>
      <c r="BD589" s="49">
        <f t="shared" si="401"/>
        <v>0</v>
      </c>
      <c r="BE589" s="49">
        <f t="shared" si="406"/>
        <v>0</v>
      </c>
      <c r="BF589" s="49">
        <f t="shared" si="393"/>
        <v>0</v>
      </c>
      <c r="BG589" s="49">
        <f t="shared" si="394"/>
        <v>0</v>
      </c>
      <c r="BI589" s="134">
        <f t="shared" si="407"/>
        <v>0</v>
      </c>
      <c r="BJ589" s="134">
        <f t="shared" si="402"/>
        <v>0</v>
      </c>
      <c r="BK589" s="134">
        <f t="shared" si="408"/>
        <v>0</v>
      </c>
    </row>
    <row r="590" spans="1:63" hidden="1">
      <c r="A590" s="187"/>
      <c r="B590" s="2333"/>
      <c r="C590" s="2333"/>
      <c r="D590" s="2334" t="s">
        <v>836</v>
      </c>
      <c r="E590" s="2337"/>
      <c r="F590" s="2337"/>
      <c r="G590" s="2337"/>
      <c r="H590" s="2337"/>
      <c r="I590" s="2337"/>
      <c r="J590" s="2337"/>
      <c r="K590" s="2337"/>
      <c r="L590" s="2337"/>
      <c r="M590" s="2337"/>
      <c r="N590" s="2337"/>
      <c r="O590" s="2337"/>
      <c r="P590" s="2324"/>
      <c r="Q590" s="2324"/>
      <c r="R590" s="2325"/>
      <c r="S590" s="2324" t="s">
        <v>12</v>
      </c>
      <c r="T590" s="2324"/>
      <c r="U590" s="2326">
        <v>7</v>
      </c>
      <c r="V590" s="2327"/>
      <c r="W590" s="2327"/>
      <c r="X590" s="2327">
        <v>8</v>
      </c>
      <c r="Y590" s="2327"/>
      <c r="Z590" s="2327"/>
      <c r="AA590" s="2328"/>
      <c r="AB590" s="2329"/>
      <c r="AC590" s="2326"/>
      <c r="AD590" s="2330">
        <f t="shared" si="395"/>
        <v>0</v>
      </c>
      <c r="AE590" s="2330"/>
      <c r="AF590" s="2330"/>
      <c r="AG590" s="2330">
        <f t="shared" si="403"/>
        <v>0</v>
      </c>
      <c r="AH590" s="2330"/>
      <c r="AI590" s="2330"/>
      <c r="AJ590" s="2330">
        <f t="shared" si="396"/>
        <v>0</v>
      </c>
      <c r="AK590" s="2330"/>
      <c r="AL590" s="2330"/>
      <c r="AM590" s="2331">
        <f t="shared" si="397"/>
        <v>0</v>
      </c>
      <c r="AN590" s="2331"/>
      <c r="AO590" s="2331"/>
      <c r="AP590" s="2331"/>
      <c r="AQ590" s="2332">
        <f t="shared" si="398"/>
        <v>0</v>
      </c>
      <c r="AR590" s="2332"/>
      <c r="AS590" s="2332"/>
      <c r="AT590" s="2332">
        <f t="shared" si="399"/>
        <v>0</v>
      </c>
      <c r="AV590" s="151" t="str">
        <f t="shared" si="392"/>
        <v>MISC. EXTERIOR ITEMS</v>
      </c>
      <c r="AW590" s="681"/>
      <c r="AX590" s="230"/>
      <c r="AY590" s="230"/>
      <c r="AZ590" s="679"/>
      <c r="BA590" s="49">
        <f t="shared" si="400"/>
        <v>0</v>
      </c>
      <c r="BB590" s="49">
        <f t="shared" si="404"/>
        <v>0</v>
      </c>
      <c r="BC590" s="49">
        <f t="shared" si="405"/>
        <v>0</v>
      </c>
      <c r="BD590" s="49">
        <f t="shared" si="401"/>
        <v>0</v>
      </c>
      <c r="BE590" s="49">
        <f t="shared" si="406"/>
        <v>0</v>
      </c>
      <c r="BF590" s="49">
        <f t="shared" si="393"/>
        <v>0</v>
      </c>
      <c r="BG590" s="49">
        <f t="shared" si="394"/>
        <v>0</v>
      </c>
      <c r="BI590" s="134">
        <f t="shared" si="407"/>
        <v>0</v>
      </c>
      <c r="BJ590" s="134">
        <f t="shared" si="402"/>
        <v>0</v>
      </c>
      <c r="BK590" s="134">
        <f t="shared" si="408"/>
        <v>0</v>
      </c>
    </row>
    <row r="591" spans="1:63" hidden="1">
      <c r="A591" s="187"/>
      <c r="B591" s="2333"/>
      <c r="C591" s="2333"/>
      <c r="D591" s="2334" t="s">
        <v>431</v>
      </c>
      <c r="E591" s="2334"/>
      <c r="F591" s="2334"/>
      <c r="G591" s="2334"/>
      <c r="H591" s="2334"/>
      <c r="I591" s="2334"/>
      <c r="J591" s="2334"/>
      <c r="K591" s="2334"/>
      <c r="L591" s="2334"/>
      <c r="M591" s="2334"/>
      <c r="N591" s="2334"/>
      <c r="O591" s="2334"/>
      <c r="P591" s="2324"/>
      <c r="Q591" s="2324"/>
      <c r="R591" s="2325"/>
      <c r="S591" s="2324" t="s">
        <v>12</v>
      </c>
      <c r="T591" s="2324"/>
      <c r="U591" s="2326">
        <v>10</v>
      </c>
      <c r="V591" s="2327"/>
      <c r="W591" s="2327"/>
      <c r="X591" s="2327">
        <v>13.5</v>
      </c>
      <c r="Y591" s="2327"/>
      <c r="Z591" s="2327"/>
      <c r="AA591" s="2328"/>
      <c r="AB591" s="2329"/>
      <c r="AC591" s="2326"/>
      <c r="AD591" s="2330">
        <f t="shared" si="395"/>
        <v>0</v>
      </c>
      <c r="AE591" s="2330"/>
      <c r="AF591" s="2330"/>
      <c r="AG591" s="2330">
        <f t="shared" si="403"/>
        <v>0</v>
      </c>
      <c r="AH591" s="2330"/>
      <c r="AI591" s="2330"/>
      <c r="AJ591" s="2330">
        <f t="shared" si="396"/>
        <v>0</v>
      </c>
      <c r="AK591" s="2330"/>
      <c r="AL591" s="2330"/>
      <c r="AM591" s="2331">
        <f t="shared" si="397"/>
        <v>0</v>
      </c>
      <c r="AN591" s="2331"/>
      <c r="AO591" s="2331"/>
      <c r="AP591" s="2331"/>
      <c r="AQ591" s="2332">
        <f t="shared" si="398"/>
        <v>0</v>
      </c>
      <c r="AR591" s="2332"/>
      <c r="AS591" s="2332"/>
      <c r="AT591" s="2332">
        <f t="shared" si="399"/>
        <v>0</v>
      </c>
      <c r="AV591" s="151" t="str">
        <f t="shared" si="392"/>
        <v>MISC. EXTERIOR ITEMS</v>
      </c>
      <c r="AW591" s="681"/>
      <c r="AX591" s="230"/>
      <c r="AY591" s="230"/>
      <c r="AZ591" s="679"/>
      <c r="BA591" s="49">
        <f t="shared" si="400"/>
        <v>0</v>
      </c>
      <c r="BB591" s="49">
        <f t="shared" si="404"/>
        <v>0</v>
      </c>
      <c r="BC591" s="49">
        <f t="shared" si="405"/>
        <v>0</v>
      </c>
      <c r="BD591" s="49">
        <f t="shared" si="401"/>
        <v>0</v>
      </c>
      <c r="BE591" s="49">
        <f t="shared" si="406"/>
        <v>0</v>
      </c>
      <c r="BF591" s="49">
        <f t="shared" si="393"/>
        <v>0</v>
      </c>
      <c r="BG591" s="49">
        <f t="shared" si="394"/>
        <v>0</v>
      </c>
      <c r="BI591" s="134">
        <f t="shared" si="407"/>
        <v>0</v>
      </c>
      <c r="BJ591" s="134">
        <f t="shared" si="402"/>
        <v>0</v>
      </c>
      <c r="BK591" s="134">
        <f t="shared" si="408"/>
        <v>0</v>
      </c>
    </row>
    <row r="592" spans="1:63" hidden="1">
      <c r="A592" s="187"/>
      <c r="B592" s="2321"/>
      <c r="C592" s="2322"/>
      <c r="D592" s="2334"/>
      <c r="E592" s="2334"/>
      <c r="F592" s="2334"/>
      <c r="G592" s="2334"/>
      <c r="H592" s="2334"/>
      <c r="I592" s="2334"/>
      <c r="J592" s="2334"/>
      <c r="K592" s="2334"/>
      <c r="L592" s="2334"/>
      <c r="M592" s="2334"/>
      <c r="N592" s="2334"/>
      <c r="O592" s="2334"/>
      <c r="P592" s="2324"/>
      <c r="Q592" s="2324"/>
      <c r="R592" s="2325"/>
      <c r="S592" s="2324"/>
      <c r="T592" s="2324"/>
      <c r="U592" s="2326"/>
      <c r="V592" s="2327"/>
      <c r="W592" s="2327"/>
      <c r="X592" s="2327"/>
      <c r="Y592" s="2327"/>
      <c r="Z592" s="2327"/>
      <c r="AA592" s="2328"/>
      <c r="AB592" s="2329"/>
      <c r="AC592" s="2326"/>
      <c r="AD592" s="2330">
        <f t="shared" si="395"/>
        <v>0</v>
      </c>
      <c r="AE592" s="2330"/>
      <c r="AF592" s="2330"/>
      <c r="AG592" s="2330">
        <f t="shared" si="403"/>
        <v>0</v>
      </c>
      <c r="AH592" s="2330"/>
      <c r="AI592" s="2330"/>
      <c r="AJ592" s="2330">
        <f t="shared" si="396"/>
        <v>0</v>
      </c>
      <c r="AK592" s="2330"/>
      <c r="AL592" s="2330"/>
      <c r="AM592" s="2331">
        <f t="shared" si="397"/>
        <v>0</v>
      </c>
      <c r="AN592" s="2331"/>
      <c r="AO592" s="2331"/>
      <c r="AP592" s="2331"/>
      <c r="AQ592" s="2332">
        <f t="shared" si="398"/>
        <v>0</v>
      </c>
      <c r="AR592" s="2332"/>
      <c r="AS592" s="2332"/>
      <c r="AT592" s="2332">
        <f t="shared" si="399"/>
        <v>0</v>
      </c>
      <c r="AV592" s="151" t="str">
        <f t="shared" si="392"/>
        <v>MISC. EXTERIOR ITEMS</v>
      </c>
      <c r="AW592" s="681"/>
      <c r="AX592" s="230"/>
      <c r="AY592" s="230"/>
      <c r="AZ592" s="679"/>
      <c r="BA592" s="49">
        <f t="shared" si="400"/>
        <v>0</v>
      </c>
      <c r="BB592" s="49">
        <f t="shared" si="404"/>
        <v>0</v>
      </c>
      <c r="BC592" s="49">
        <f t="shared" si="405"/>
        <v>0</v>
      </c>
      <c r="BD592" s="49">
        <f t="shared" si="401"/>
        <v>0</v>
      </c>
      <c r="BE592" s="49">
        <f t="shared" si="406"/>
        <v>0</v>
      </c>
      <c r="BF592" s="49">
        <f t="shared" si="393"/>
        <v>0</v>
      </c>
      <c r="BG592" s="49">
        <f t="shared" si="394"/>
        <v>0</v>
      </c>
      <c r="BI592" s="134">
        <f t="shared" si="407"/>
        <v>0</v>
      </c>
      <c r="BJ592" s="134">
        <f t="shared" si="402"/>
        <v>0</v>
      </c>
      <c r="BK592" s="134">
        <f t="shared" si="408"/>
        <v>0</v>
      </c>
    </row>
    <row r="593" spans="1:63" hidden="1">
      <c r="A593" s="187"/>
      <c r="B593" s="2321"/>
      <c r="C593" s="2322"/>
      <c r="D593" s="2337" t="s">
        <v>722</v>
      </c>
      <c r="E593" s="2337"/>
      <c r="F593" s="2337"/>
      <c r="G593" s="2337"/>
      <c r="H593" s="2337"/>
      <c r="I593" s="2337"/>
      <c r="J593" s="2337"/>
      <c r="K593" s="2337"/>
      <c r="L593" s="2337"/>
      <c r="M593" s="2337"/>
      <c r="N593" s="2337"/>
      <c r="O593" s="2337"/>
      <c r="P593" s="2324"/>
      <c r="Q593" s="2324"/>
      <c r="R593" s="2325"/>
      <c r="S593" s="2324"/>
      <c r="T593" s="2324"/>
      <c r="U593" s="2326"/>
      <c r="V593" s="2327"/>
      <c r="W593" s="2327"/>
      <c r="X593" s="2327"/>
      <c r="Y593" s="2327"/>
      <c r="Z593" s="2327"/>
      <c r="AA593" s="2328"/>
      <c r="AB593" s="2329"/>
      <c r="AC593" s="2326"/>
      <c r="AD593" s="2330">
        <f t="shared" si="395"/>
        <v>0</v>
      </c>
      <c r="AE593" s="2330"/>
      <c r="AF593" s="2330"/>
      <c r="AG593" s="2330">
        <f t="shared" si="403"/>
        <v>0</v>
      </c>
      <c r="AH593" s="2330"/>
      <c r="AI593" s="2330"/>
      <c r="AJ593" s="2330">
        <f t="shared" si="396"/>
        <v>0</v>
      </c>
      <c r="AK593" s="2330"/>
      <c r="AL593" s="2330"/>
      <c r="AM593" s="2331">
        <f t="shared" si="397"/>
        <v>0</v>
      </c>
      <c r="AN593" s="2331"/>
      <c r="AO593" s="2331"/>
      <c r="AP593" s="2331"/>
      <c r="AQ593" s="2332">
        <f t="shared" si="398"/>
        <v>0</v>
      </c>
      <c r="AR593" s="2332"/>
      <c r="AS593" s="2332"/>
      <c r="AT593" s="2332">
        <f t="shared" si="399"/>
        <v>0</v>
      </c>
      <c r="AV593" s="151" t="str">
        <f t="shared" si="392"/>
        <v>MISC. EXTERIOR ITEMS</v>
      </c>
      <c r="AW593" s="681"/>
      <c r="AX593" s="230"/>
      <c r="AY593" s="230"/>
      <c r="AZ593" s="679"/>
      <c r="BA593" s="49">
        <f t="shared" si="400"/>
        <v>0</v>
      </c>
      <c r="BB593" s="49">
        <f t="shared" si="404"/>
        <v>0</v>
      </c>
      <c r="BC593" s="49">
        <f t="shared" si="405"/>
        <v>0</v>
      </c>
      <c r="BD593" s="49">
        <f t="shared" si="401"/>
        <v>0</v>
      </c>
      <c r="BE593" s="49">
        <f t="shared" si="406"/>
        <v>0</v>
      </c>
      <c r="BF593" s="49">
        <f t="shared" si="393"/>
        <v>0</v>
      </c>
      <c r="BG593" s="49">
        <f t="shared" si="394"/>
        <v>0</v>
      </c>
      <c r="BI593" s="134">
        <f t="shared" si="407"/>
        <v>0</v>
      </c>
      <c r="BJ593" s="134">
        <f t="shared" si="402"/>
        <v>0</v>
      </c>
      <c r="BK593" s="134">
        <f t="shared" si="408"/>
        <v>0</v>
      </c>
    </row>
    <row r="594" spans="1:63" hidden="1">
      <c r="A594" s="187"/>
      <c r="B594" s="2321"/>
      <c r="C594" s="2322"/>
      <c r="D594" s="2334" t="s">
        <v>432</v>
      </c>
      <c r="E594" s="2334"/>
      <c r="F594" s="2334"/>
      <c r="G594" s="2334"/>
      <c r="H594" s="2334"/>
      <c r="I594" s="2334"/>
      <c r="J594" s="2334"/>
      <c r="K594" s="2334"/>
      <c r="L594" s="2334"/>
      <c r="M594" s="2334"/>
      <c r="N594" s="2334"/>
      <c r="O594" s="2334"/>
      <c r="P594" s="2324"/>
      <c r="Q594" s="2324"/>
      <c r="R594" s="2325"/>
      <c r="S594" s="2324" t="s">
        <v>2</v>
      </c>
      <c r="T594" s="2324" t="s">
        <v>12</v>
      </c>
      <c r="U594" s="2326">
        <v>750</v>
      </c>
      <c r="V594" s="2327"/>
      <c r="W594" s="2327"/>
      <c r="X594" s="2327">
        <v>4500</v>
      </c>
      <c r="Y594" s="2327"/>
      <c r="Z594" s="2327">
        <v>4500</v>
      </c>
      <c r="AA594" s="2328"/>
      <c r="AB594" s="2329"/>
      <c r="AC594" s="2326"/>
      <c r="AD594" s="2330">
        <f t="shared" si="395"/>
        <v>0</v>
      </c>
      <c r="AE594" s="2330"/>
      <c r="AF594" s="2330"/>
      <c r="AG594" s="2330">
        <f t="shared" si="403"/>
        <v>0</v>
      </c>
      <c r="AH594" s="2330"/>
      <c r="AI594" s="2330"/>
      <c r="AJ594" s="2330">
        <f t="shared" si="396"/>
        <v>0</v>
      </c>
      <c r="AK594" s="2330"/>
      <c r="AL594" s="2330"/>
      <c r="AM594" s="2331">
        <f t="shared" si="397"/>
        <v>0</v>
      </c>
      <c r="AN594" s="2331"/>
      <c r="AO594" s="2331"/>
      <c r="AP594" s="2331"/>
      <c r="AQ594" s="2332">
        <f t="shared" si="398"/>
        <v>0</v>
      </c>
      <c r="AR594" s="2332"/>
      <c r="AS594" s="2332"/>
      <c r="AT594" s="2332">
        <f t="shared" si="399"/>
        <v>0</v>
      </c>
      <c r="AV594" s="151" t="str">
        <f t="shared" si="392"/>
        <v>MISC. EXTERIOR ITEMS</v>
      </c>
      <c r="AW594" s="681"/>
      <c r="AX594" s="230"/>
      <c r="AY594" s="230"/>
      <c r="AZ594" s="679"/>
      <c r="BA594" s="49">
        <f t="shared" si="400"/>
        <v>0</v>
      </c>
      <c r="BB594" s="49">
        <f t="shared" si="404"/>
        <v>0</v>
      </c>
      <c r="BC594" s="49">
        <f t="shared" si="405"/>
        <v>0</v>
      </c>
      <c r="BD594" s="49">
        <f t="shared" si="401"/>
        <v>0</v>
      </c>
      <c r="BE594" s="49">
        <f t="shared" si="406"/>
        <v>0</v>
      </c>
      <c r="BF594" s="49">
        <f t="shared" si="393"/>
        <v>0</v>
      </c>
      <c r="BG594" s="49">
        <f t="shared" si="394"/>
        <v>0</v>
      </c>
      <c r="BI594" s="134">
        <f t="shared" si="407"/>
        <v>0</v>
      </c>
      <c r="BJ594" s="134">
        <f t="shared" si="402"/>
        <v>0</v>
      </c>
      <c r="BK594" s="134">
        <f t="shared" si="408"/>
        <v>0</v>
      </c>
    </row>
    <row r="595" spans="1:63" hidden="1">
      <c r="A595" s="187"/>
      <c r="B595" s="2333"/>
      <c r="C595" s="2333"/>
      <c r="D595" s="2334" t="s">
        <v>726</v>
      </c>
      <c r="E595" s="2334"/>
      <c r="F595" s="2334"/>
      <c r="G595" s="2334"/>
      <c r="H595" s="2334"/>
      <c r="I595" s="2334"/>
      <c r="J595" s="2334"/>
      <c r="K595" s="2334"/>
      <c r="L595" s="2334"/>
      <c r="M595" s="2334"/>
      <c r="N595" s="2334"/>
      <c r="O595" s="2334"/>
      <c r="P595" s="2324"/>
      <c r="Q595" s="2324"/>
      <c r="R595" s="2325"/>
      <c r="S595" s="2324" t="s">
        <v>2</v>
      </c>
      <c r="T595" s="2324" t="s">
        <v>2</v>
      </c>
      <c r="U595" s="2326">
        <v>500</v>
      </c>
      <c r="V595" s="2327"/>
      <c r="W595" s="2327"/>
      <c r="X595" s="2327">
        <v>1750</v>
      </c>
      <c r="Y595" s="2327"/>
      <c r="Z595" s="2327">
        <v>1600</v>
      </c>
      <c r="AA595" s="2328"/>
      <c r="AB595" s="2329"/>
      <c r="AC595" s="2326"/>
      <c r="AD595" s="2330">
        <f t="shared" si="395"/>
        <v>0</v>
      </c>
      <c r="AE595" s="2330"/>
      <c r="AF595" s="2330"/>
      <c r="AG595" s="2330">
        <f t="shared" si="403"/>
        <v>0</v>
      </c>
      <c r="AH595" s="2330"/>
      <c r="AI595" s="2330"/>
      <c r="AJ595" s="2330">
        <f t="shared" si="396"/>
        <v>0</v>
      </c>
      <c r="AK595" s="2330"/>
      <c r="AL595" s="2330"/>
      <c r="AM595" s="2331">
        <f t="shared" si="397"/>
        <v>0</v>
      </c>
      <c r="AN595" s="2331"/>
      <c r="AO595" s="2331"/>
      <c r="AP595" s="2331"/>
      <c r="AQ595" s="2332">
        <f t="shared" si="398"/>
        <v>0</v>
      </c>
      <c r="AR595" s="2332"/>
      <c r="AS595" s="2332"/>
      <c r="AT595" s="2332">
        <f t="shared" si="399"/>
        <v>0</v>
      </c>
      <c r="AV595" s="151" t="str">
        <f t="shared" si="392"/>
        <v>MISC. EXTERIOR ITEMS</v>
      </c>
      <c r="AW595" s="681"/>
      <c r="AX595" s="230"/>
      <c r="AY595" s="230"/>
      <c r="AZ595" s="679"/>
      <c r="BA595" s="49">
        <f t="shared" si="400"/>
        <v>0</v>
      </c>
      <c r="BB595" s="49">
        <f t="shared" si="404"/>
        <v>0</v>
      </c>
      <c r="BC595" s="49">
        <f t="shared" si="405"/>
        <v>0</v>
      </c>
      <c r="BD595" s="49">
        <f t="shared" si="401"/>
        <v>0</v>
      </c>
      <c r="BE595" s="49">
        <f t="shared" si="406"/>
        <v>0</v>
      </c>
      <c r="BF595" s="49">
        <f t="shared" si="393"/>
        <v>0</v>
      </c>
      <c r="BG595" s="49">
        <f t="shared" si="394"/>
        <v>0</v>
      </c>
      <c r="BI595" s="134">
        <f t="shared" si="407"/>
        <v>0</v>
      </c>
      <c r="BJ595" s="134">
        <f t="shared" si="402"/>
        <v>0</v>
      </c>
      <c r="BK595" s="134">
        <f t="shared" si="408"/>
        <v>0</v>
      </c>
    </row>
    <row r="596" spans="1:63" hidden="1">
      <c r="A596" s="187"/>
      <c r="B596" s="2321"/>
      <c r="C596" s="2322"/>
      <c r="D596" s="2334" t="s">
        <v>729</v>
      </c>
      <c r="E596" s="2334"/>
      <c r="F596" s="2334"/>
      <c r="G596" s="2334"/>
      <c r="H596" s="2334"/>
      <c r="I596" s="2334"/>
      <c r="J596" s="2334"/>
      <c r="K596" s="2334"/>
      <c r="L596" s="2334"/>
      <c r="M596" s="2334"/>
      <c r="N596" s="2334"/>
      <c r="O596" s="2334"/>
      <c r="P596" s="2324"/>
      <c r="Q596" s="2324"/>
      <c r="R596" s="2325"/>
      <c r="S596" s="2324" t="s">
        <v>11</v>
      </c>
      <c r="T596" s="2324"/>
      <c r="U596" s="2326">
        <v>30</v>
      </c>
      <c r="V596" s="2327"/>
      <c r="W596" s="2327"/>
      <c r="X596" s="2327">
        <v>45</v>
      </c>
      <c r="Y596" s="2327"/>
      <c r="Z596" s="2327"/>
      <c r="AA596" s="2328"/>
      <c r="AB596" s="2329"/>
      <c r="AC596" s="2326"/>
      <c r="AD596" s="2330">
        <f t="shared" si="395"/>
        <v>0</v>
      </c>
      <c r="AE596" s="2330"/>
      <c r="AF596" s="2330"/>
      <c r="AG596" s="2330">
        <f t="shared" si="403"/>
        <v>0</v>
      </c>
      <c r="AH596" s="2330"/>
      <c r="AI596" s="2330"/>
      <c r="AJ596" s="2330">
        <f t="shared" si="396"/>
        <v>0</v>
      </c>
      <c r="AK596" s="2330"/>
      <c r="AL596" s="2330"/>
      <c r="AM596" s="2331">
        <f t="shared" si="397"/>
        <v>0</v>
      </c>
      <c r="AN596" s="2331"/>
      <c r="AO596" s="2331"/>
      <c r="AP596" s="2331"/>
      <c r="AQ596" s="2332">
        <f t="shared" si="398"/>
        <v>0</v>
      </c>
      <c r="AR596" s="2332"/>
      <c r="AS596" s="2332"/>
      <c r="AT596" s="2332">
        <f t="shared" si="399"/>
        <v>0</v>
      </c>
      <c r="AV596" s="151" t="str">
        <f t="shared" si="392"/>
        <v>MISC. EXTERIOR ITEMS</v>
      </c>
      <c r="AW596" s="681"/>
      <c r="AX596" s="230"/>
      <c r="AY596" s="230"/>
      <c r="AZ596" s="679"/>
      <c r="BA596" s="49">
        <f t="shared" si="400"/>
        <v>0</v>
      </c>
      <c r="BB596" s="49">
        <f t="shared" si="404"/>
        <v>0</v>
      </c>
      <c r="BC596" s="49">
        <f t="shared" si="405"/>
        <v>0</v>
      </c>
      <c r="BD596" s="49">
        <f t="shared" si="401"/>
        <v>0</v>
      </c>
      <c r="BE596" s="49">
        <f t="shared" si="406"/>
        <v>0</v>
      </c>
      <c r="BF596" s="49">
        <f t="shared" si="393"/>
        <v>0</v>
      </c>
      <c r="BG596" s="49">
        <f t="shared" si="394"/>
        <v>0</v>
      </c>
      <c r="BI596" s="134">
        <f t="shared" si="407"/>
        <v>0</v>
      </c>
      <c r="BJ596" s="134">
        <f t="shared" si="402"/>
        <v>0</v>
      </c>
      <c r="BK596" s="134">
        <f t="shared" si="408"/>
        <v>0</v>
      </c>
    </row>
    <row r="597" spans="1:63" hidden="1">
      <c r="A597" s="187"/>
      <c r="B597" s="2321"/>
      <c r="C597" s="2322"/>
      <c r="D597" s="2334"/>
      <c r="E597" s="2334"/>
      <c r="F597" s="2334"/>
      <c r="G597" s="2334"/>
      <c r="H597" s="2334"/>
      <c r="I597" s="2334"/>
      <c r="J597" s="2334"/>
      <c r="K597" s="2334"/>
      <c r="L597" s="2334"/>
      <c r="M597" s="2334"/>
      <c r="N597" s="2334"/>
      <c r="O597" s="2334"/>
      <c r="P597" s="2324"/>
      <c r="Q597" s="2324"/>
      <c r="R597" s="2325"/>
      <c r="S597" s="2324"/>
      <c r="T597" s="2324"/>
      <c r="U597" s="2326"/>
      <c r="V597" s="2327"/>
      <c r="W597" s="2327"/>
      <c r="X597" s="2327"/>
      <c r="Y597" s="2327"/>
      <c r="Z597" s="2327"/>
      <c r="AA597" s="2328"/>
      <c r="AB597" s="2329"/>
      <c r="AC597" s="2326"/>
      <c r="AD597" s="2330">
        <f t="shared" si="395"/>
        <v>0</v>
      </c>
      <c r="AE597" s="2330"/>
      <c r="AF597" s="2330"/>
      <c r="AG597" s="2330">
        <f t="shared" si="403"/>
        <v>0</v>
      </c>
      <c r="AH597" s="2330"/>
      <c r="AI597" s="2330"/>
      <c r="AJ597" s="2330">
        <f t="shared" si="396"/>
        <v>0</v>
      </c>
      <c r="AK597" s="2330"/>
      <c r="AL597" s="2330"/>
      <c r="AM597" s="2331">
        <f t="shared" si="397"/>
        <v>0</v>
      </c>
      <c r="AN597" s="2331"/>
      <c r="AO597" s="2331"/>
      <c r="AP597" s="2331"/>
      <c r="AQ597" s="2332">
        <f t="shared" si="398"/>
        <v>0</v>
      </c>
      <c r="AR597" s="2332"/>
      <c r="AS597" s="2332"/>
      <c r="AT597" s="2332">
        <f t="shared" si="399"/>
        <v>0</v>
      </c>
      <c r="AV597" s="151" t="str">
        <f t="shared" si="392"/>
        <v>MISC. EXTERIOR ITEMS</v>
      </c>
      <c r="AW597" s="681"/>
      <c r="AX597" s="230"/>
      <c r="AY597" s="230"/>
      <c r="AZ597" s="679"/>
      <c r="BA597" s="49">
        <f t="shared" si="400"/>
        <v>0</v>
      </c>
      <c r="BB597" s="49">
        <f t="shared" si="404"/>
        <v>0</v>
      </c>
      <c r="BC597" s="49">
        <f t="shared" si="405"/>
        <v>0</v>
      </c>
      <c r="BD597" s="49">
        <f t="shared" si="401"/>
        <v>0</v>
      </c>
      <c r="BE597" s="49">
        <f t="shared" si="406"/>
        <v>0</v>
      </c>
      <c r="BF597" s="49">
        <f t="shared" si="393"/>
        <v>0</v>
      </c>
      <c r="BG597" s="49">
        <f t="shared" si="394"/>
        <v>0</v>
      </c>
      <c r="BI597" s="134">
        <f t="shared" si="407"/>
        <v>0</v>
      </c>
      <c r="BJ597" s="134">
        <f t="shared" si="402"/>
        <v>0</v>
      </c>
      <c r="BK597" s="134">
        <f t="shared" si="408"/>
        <v>0</v>
      </c>
    </row>
    <row r="598" spans="1:63" hidden="1">
      <c r="A598" s="187"/>
      <c r="B598" s="2321"/>
      <c r="C598" s="2322"/>
      <c r="D598" s="2337" t="s">
        <v>723</v>
      </c>
      <c r="E598" s="2337"/>
      <c r="F598" s="2337"/>
      <c r="G598" s="2337"/>
      <c r="H598" s="2337"/>
      <c r="I598" s="2337"/>
      <c r="J598" s="2337"/>
      <c r="K598" s="2337"/>
      <c r="L598" s="2337"/>
      <c r="M598" s="2337"/>
      <c r="N598" s="2337"/>
      <c r="O598" s="2337"/>
      <c r="P598" s="2324"/>
      <c r="Q598" s="2324"/>
      <c r="R598" s="2325"/>
      <c r="S598" s="2324"/>
      <c r="T598" s="2324"/>
      <c r="U598" s="2326"/>
      <c r="V598" s="2327"/>
      <c r="W598" s="2327"/>
      <c r="X598" s="2327"/>
      <c r="Y598" s="2327"/>
      <c r="Z598" s="2327"/>
      <c r="AA598" s="2328"/>
      <c r="AB598" s="2329"/>
      <c r="AC598" s="2326"/>
      <c r="AD598" s="2330">
        <f t="shared" si="395"/>
        <v>0</v>
      </c>
      <c r="AE598" s="2330"/>
      <c r="AF598" s="2330"/>
      <c r="AG598" s="2330">
        <f t="shared" si="403"/>
        <v>0</v>
      </c>
      <c r="AH598" s="2330"/>
      <c r="AI598" s="2330"/>
      <c r="AJ598" s="2330">
        <f t="shared" si="396"/>
        <v>0</v>
      </c>
      <c r="AK598" s="2330"/>
      <c r="AL598" s="2330"/>
      <c r="AM598" s="2331">
        <f t="shared" si="397"/>
        <v>0</v>
      </c>
      <c r="AN598" s="2331"/>
      <c r="AO598" s="2331"/>
      <c r="AP598" s="2331"/>
      <c r="AQ598" s="2332">
        <f t="shared" si="398"/>
        <v>0</v>
      </c>
      <c r="AR598" s="2332"/>
      <c r="AS598" s="2332"/>
      <c r="AT598" s="2332">
        <f t="shared" si="399"/>
        <v>0</v>
      </c>
      <c r="AV598" s="151" t="str">
        <f t="shared" si="392"/>
        <v>MISC. EXTERIOR ITEMS</v>
      </c>
      <c r="AW598" s="681"/>
      <c r="AX598" s="230"/>
      <c r="AY598" s="230"/>
      <c r="AZ598" s="679"/>
      <c r="BA598" s="49">
        <f t="shared" si="400"/>
        <v>0</v>
      </c>
      <c r="BB598" s="49">
        <f t="shared" si="404"/>
        <v>0</v>
      </c>
      <c r="BC598" s="49">
        <f t="shared" si="405"/>
        <v>0</v>
      </c>
      <c r="BD598" s="49">
        <f t="shared" si="401"/>
        <v>0</v>
      </c>
      <c r="BE598" s="49">
        <f t="shared" si="406"/>
        <v>0</v>
      </c>
      <c r="BF598" s="49">
        <f t="shared" si="393"/>
        <v>0</v>
      </c>
      <c r="BG598" s="49">
        <f t="shared" si="394"/>
        <v>0</v>
      </c>
      <c r="BI598" s="134">
        <f t="shared" si="407"/>
        <v>0</v>
      </c>
      <c r="BJ598" s="134">
        <f t="shared" si="402"/>
        <v>0</v>
      </c>
      <c r="BK598" s="134">
        <f t="shared" si="408"/>
        <v>0</v>
      </c>
    </row>
    <row r="599" spans="1:63" hidden="1">
      <c r="A599" s="187"/>
      <c r="B599" s="2333"/>
      <c r="C599" s="2333"/>
      <c r="D599" s="2334" t="s">
        <v>740</v>
      </c>
      <c r="E599" s="2334"/>
      <c r="F599" s="2334"/>
      <c r="G599" s="2334"/>
      <c r="H599" s="2334"/>
      <c r="I599" s="2334"/>
      <c r="J599" s="2334"/>
      <c r="K599" s="2334"/>
      <c r="L599" s="2334"/>
      <c r="M599" s="2334"/>
      <c r="N599" s="2334"/>
      <c r="O599" s="2334"/>
      <c r="P599" s="2324"/>
      <c r="Q599" s="2324"/>
      <c r="R599" s="2325"/>
      <c r="S599" s="2324" t="s">
        <v>11</v>
      </c>
      <c r="T599" s="2324"/>
      <c r="U599" s="2326"/>
      <c r="V599" s="2327"/>
      <c r="W599" s="2327"/>
      <c r="X599" s="2327"/>
      <c r="Y599" s="2327"/>
      <c r="Z599" s="2327"/>
      <c r="AA599" s="2328">
        <v>65</v>
      </c>
      <c r="AB599" s="2329"/>
      <c r="AC599" s="2326"/>
      <c r="AD599" s="2330">
        <f t="shared" si="395"/>
        <v>0</v>
      </c>
      <c r="AE599" s="2330"/>
      <c r="AF599" s="2330"/>
      <c r="AG599" s="2330">
        <f t="shared" si="403"/>
        <v>0</v>
      </c>
      <c r="AH599" s="2330"/>
      <c r="AI599" s="2330"/>
      <c r="AJ599" s="2330">
        <f t="shared" si="396"/>
        <v>0</v>
      </c>
      <c r="AK599" s="2330"/>
      <c r="AL599" s="2330"/>
      <c r="AM599" s="2331">
        <f t="shared" si="397"/>
        <v>0</v>
      </c>
      <c r="AN599" s="2331"/>
      <c r="AO599" s="2331"/>
      <c r="AP599" s="2331"/>
      <c r="AQ599" s="2332">
        <f t="shared" si="398"/>
        <v>0</v>
      </c>
      <c r="AR599" s="2332"/>
      <c r="AS599" s="2332"/>
      <c r="AT599" s="2332">
        <f t="shared" si="399"/>
        <v>0</v>
      </c>
      <c r="AV599" s="151" t="str">
        <f t="shared" si="392"/>
        <v>MISC. EXTERIOR ITEMS</v>
      </c>
      <c r="AW599" s="681"/>
      <c r="AX599" s="230"/>
      <c r="AY599" s="230"/>
      <c r="AZ599" s="679"/>
      <c r="BA599" s="49">
        <f t="shared" si="400"/>
        <v>0</v>
      </c>
      <c r="BB599" s="49">
        <f t="shared" si="404"/>
        <v>0</v>
      </c>
      <c r="BC599" s="49">
        <f t="shared" si="405"/>
        <v>0</v>
      </c>
      <c r="BD599" s="49">
        <f t="shared" si="401"/>
        <v>0</v>
      </c>
      <c r="BE599" s="49">
        <f t="shared" si="406"/>
        <v>0</v>
      </c>
      <c r="BF599" s="49">
        <f t="shared" si="393"/>
        <v>0</v>
      </c>
      <c r="BG599" s="49">
        <f t="shared" si="394"/>
        <v>0</v>
      </c>
      <c r="BI599" s="134">
        <f t="shared" si="407"/>
        <v>0</v>
      </c>
      <c r="BJ599" s="134">
        <f t="shared" si="402"/>
        <v>0</v>
      </c>
      <c r="BK599" s="134">
        <f t="shared" si="408"/>
        <v>0</v>
      </c>
    </row>
    <row r="600" spans="1:63" hidden="1">
      <c r="A600" s="187"/>
      <c r="B600" s="2333"/>
      <c r="C600" s="2333"/>
      <c r="D600" s="2334" t="s">
        <v>724</v>
      </c>
      <c r="E600" s="2334"/>
      <c r="F600" s="2334"/>
      <c r="G600" s="2334"/>
      <c r="H600" s="2334"/>
      <c r="I600" s="2334"/>
      <c r="J600" s="2334"/>
      <c r="K600" s="2334"/>
      <c r="L600" s="2334"/>
      <c r="M600" s="2334"/>
      <c r="N600" s="2334"/>
      <c r="O600" s="2334"/>
      <c r="P600" s="2324"/>
      <c r="Q600" s="2324"/>
      <c r="R600" s="2325"/>
      <c r="S600" s="2324" t="s">
        <v>2</v>
      </c>
      <c r="T600" s="2324"/>
      <c r="U600" s="2326">
        <v>2400</v>
      </c>
      <c r="V600" s="2327"/>
      <c r="W600" s="2327"/>
      <c r="X600" s="2327">
        <v>500</v>
      </c>
      <c r="Y600" s="2327"/>
      <c r="Z600" s="2327"/>
      <c r="AA600" s="2328"/>
      <c r="AB600" s="2329"/>
      <c r="AC600" s="2326"/>
      <c r="AD600" s="2330">
        <f t="shared" si="395"/>
        <v>0</v>
      </c>
      <c r="AE600" s="2330"/>
      <c r="AF600" s="2330"/>
      <c r="AG600" s="2330">
        <f t="shared" si="403"/>
        <v>0</v>
      </c>
      <c r="AH600" s="2330"/>
      <c r="AI600" s="2330"/>
      <c r="AJ600" s="2330">
        <f t="shared" si="396"/>
        <v>0</v>
      </c>
      <c r="AK600" s="2330"/>
      <c r="AL600" s="2330"/>
      <c r="AM600" s="2331">
        <f t="shared" si="397"/>
        <v>0</v>
      </c>
      <c r="AN600" s="2331"/>
      <c r="AO600" s="2331"/>
      <c r="AP600" s="2331"/>
      <c r="AQ600" s="2332">
        <f t="shared" si="398"/>
        <v>0</v>
      </c>
      <c r="AR600" s="2332"/>
      <c r="AS600" s="2332"/>
      <c r="AT600" s="2332">
        <f t="shared" si="399"/>
        <v>0</v>
      </c>
      <c r="AV600" s="151" t="str">
        <f t="shared" si="392"/>
        <v>MISC. EXTERIOR ITEMS</v>
      </c>
      <c r="AW600" s="681"/>
      <c r="AX600" s="230"/>
      <c r="AY600" s="230"/>
      <c r="AZ600" s="679"/>
      <c r="BA600" s="49">
        <f t="shared" si="400"/>
        <v>0</v>
      </c>
      <c r="BB600" s="49">
        <f t="shared" si="404"/>
        <v>0</v>
      </c>
      <c r="BC600" s="49">
        <f t="shared" si="405"/>
        <v>0</v>
      </c>
      <c r="BD600" s="49">
        <f t="shared" si="401"/>
        <v>0</v>
      </c>
      <c r="BE600" s="49">
        <f t="shared" si="406"/>
        <v>0</v>
      </c>
      <c r="BF600" s="49">
        <f t="shared" si="393"/>
        <v>0</v>
      </c>
      <c r="BG600" s="49">
        <f t="shared" si="394"/>
        <v>0</v>
      </c>
      <c r="BI600" s="134">
        <f t="shared" si="407"/>
        <v>0</v>
      </c>
      <c r="BJ600" s="134">
        <f t="shared" si="402"/>
        <v>0</v>
      </c>
      <c r="BK600" s="134">
        <f t="shared" si="408"/>
        <v>0</v>
      </c>
    </row>
    <row r="601" spans="1:63" hidden="1">
      <c r="A601" s="187"/>
      <c r="B601" s="2321"/>
      <c r="C601" s="2322"/>
      <c r="D601" s="2334" t="s">
        <v>725</v>
      </c>
      <c r="E601" s="2334"/>
      <c r="F601" s="2334"/>
      <c r="G601" s="2334"/>
      <c r="H601" s="2334"/>
      <c r="I601" s="2334"/>
      <c r="J601" s="2334"/>
      <c r="K601" s="2334"/>
      <c r="L601" s="2334"/>
      <c r="M601" s="2334"/>
      <c r="N601" s="2334"/>
      <c r="O601" s="2334"/>
      <c r="P601" s="2324"/>
      <c r="Q601" s="2324"/>
      <c r="R601" s="2325"/>
      <c r="S601" s="2324" t="s">
        <v>2</v>
      </c>
      <c r="T601" s="2324"/>
      <c r="U601" s="2326">
        <v>1500</v>
      </c>
      <c r="V601" s="2327"/>
      <c r="W601" s="2327"/>
      <c r="X601" s="2327">
        <v>400</v>
      </c>
      <c r="Y601" s="2327"/>
      <c r="Z601" s="2327"/>
      <c r="AA601" s="2328"/>
      <c r="AB601" s="2329"/>
      <c r="AC601" s="2326"/>
      <c r="AD601" s="2330">
        <f t="shared" si="395"/>
        <v>0</v>
      </c>
      <c r="AE601" s="2330"/>
      <c r="AF601" s="2330"/>
      <c r="AG601" s="2330">
        <f t="shared" si="403"/>
        <v>0</v>
      </c>
      <c r="AH601" s="2330"/>
      <c r="AI601" s="2330"/>
      <c r="AJ601" s="2330">
        <f t="shared" si="396"/>
        <v>0</v>
      </c>
      <c r="AK601" s="2330"/>
      <c r="AL601" s="2330"/>
      <c r="AM601" s="2331">
        <f t="shared" si="397"/>
        <v>0</v>
      </c>
      <c r="AN601" s="2331"/>
      <c r="AO601" s="2331"/>
      <c r="AP601" s="2331"/>
      <c r="AQ601" s="2332">
        <f t="shared" si="398"/>
        <v>0</v>
      </c>
      <c r="AR601" s="2332"/>
      <c r="AS601" s="2332"/>
      <c r="AT601" s="2332">
        <f t="shared" si="399"/>
        <v>0</v>
      </c>
      <c r="AV601" s="151" t="str">
        <f t="shared" si="392"/>
        <v>MISC. EXTERIOR ITEMS</v>
      </c>
      <c r="AW601" s="681"/>
      <c r="AX601" s="230"/>
      <c r="AY601" s="230"/>
      <c r="AZ601" s="679"/>
      <c r="BA601" s="49">
        <f t="shared" si="400"/>
        <v>0</v>
      </c>
      <c r="BB601" s="49">
        <f t="shared" si="404"/>
        <v>0</v>
      </c>
      <c r="BC601" s="49">
        <f t="shared" si="405"/>
        <v>0</v>
      </c>
      <c r="BD601" s="49">
        <f t="shared" si="401"/>
        <v>0</v>
      </c>
      <c r="BE601" s="49">
        <f t="shared" ref="BE601:BE622" si="409">SUM(BA601:BC601)</f>
        <v>0</v>
      </c>
      <c r="BF601" s="49">
        <f t="shared" si="393"/>
        <v>0</v>
      </c>
      <c r="BG601" s="49">
        <f t="shared" si="394"/>
        <v>0</v>
      </c>
      <c r="BI601" s="134">
        <f t="shared" si="407"/>
        <v>0</v>
      </c>
      <c r="BJ601" s="134">
        <f t="shared" si="402"/>
        <v>0</v>
      </c>
      <c r="BK601" s="134">
        <f t="shared" si="408"/>
        <v>0</v>
      </c>
    </row>
    <row r="602" spans="1:63" hidden="1">
      <c r="A602" s="187"/>
      <c r="B602" s="2321"/>
      <c r="C602" s="2322"/>
      <c r="D602" s="2334" t="s">
        <v>741</v>
      </c>
      <c r="E602" s="2334"/>
      <c r="F602" s="2334"/>
      <c r="G602" s="2334"/>
      <c r="H602" s="2334"/>
      <c r="I602" s="2334"/>
      <c r="J602" s="2334"/>
      <c r="K602" s="2334"/>
      <c r="L602" s="2334"/>
      <c r="M602" s="2334"/>
      <c r="N602" s="2334"/>
      <c r="O602" s="2334"/>
      <c r="P602" s="2324"/>
      <c r="Q602" s="2324"/>
      <c r="R602" s="2325"/>
      <c r="S602" s="2324" t="s">
        <v>11</v>
      </c>
      <c r="T602" s="2324"/>
      <c r="U602" s="2326">
        <v>9</v>
      </c>
      <c r="V602" s="2327"/>
      <c r="W602" s="2327"/>
      <c r="X602" s="2327">
        <v>1.5</v>
      </c>
      <c r="Y602" s="2327"/>
      <c r="Z602" s="2327"/>
      <c r="AA602" s="2328"/>
      <c r="AB602" s="2329"/>
      <c r="AC602" s="2326"/>
      <c r="AD602" s="2330">
        <f t="shared" si="395"/>
        <v>0</v>
      </c>
      <c r="AE602" s="2330"/>
      <c r="AF602" s="2330"/>
      <c r="AG602" s="2330">
        <f t="shared" si="403"/>
        <v>0</v>
      </c>
      <c r="AH602" s="2330"/>
      <c r="AI602" s="2330"/>
      <c r="AJ602" s="2330">
        <f t="shared" si="396"/>
        <v>0</v>
      </c>
      <c r="AK602" s="2330"/>
      <c r="AL602" s="2330"/>
      <c r="AM602" s="2331">
        <f t="shared" si="397"/>
        <v>0</v>
      </c>
      <c r="AN602" s="2331"/>
      <c r="AO602" s="2331"/>
      <c r="AP602" s="2331"/>
      <c r="AQ602" s="2332">
        <f t="shared" si="398"/>
        <v>0</v>
      </c>
      <c r="AR602" s="2332"/>
      <c r="AS602" s="2332"/>
      <c r="AT602" s="2332">
        <f t="shared" si="399"/>
        <v>0</v>
      </c>
      <c r="AV602" s="151" t="str">
        <f t="shared" si="392"/>
        <v>MISC. EXTERIOR ITEMS</v>
      </c>
      <c r="AW602" s="681"/>
      <c r="AX602" s="230"/>
      <c r="AY602" s="230"/>
      <c r="AZ602" s="679"/>
      <c r="BA602" s="49">
        <f t="shared" si="400"/>
        <v>0</v>
      </c>
      <c r="BB602" s="49">
        <f t="shared" si="404"/>
        <v>0</v>
      </c>
      <c r="BC602" s="49">
        <f t="shared" si="405"/>
        <v>0</v>
      </c>
      <c r="BD602" s="49">
        <f t="shared" si="401"/>
        <v>0</v>
      </c>
      <c r="BE602" s="49">
        <f t="shared" si="409"/>
        <v>0</v>
      </c>
      <c r="BF602" s="49">
        <f t="shared" si="393"/>
        <v>0</v>
      </c>
      <c r="BG602" s="49">
        <f t="shared" si="394"/>
        <v>0</v>
      </c>
      <c r="BI602" s="134">
        <f t="shared" si="407"/>
        <v>0</v>
      </c>
      <c r="BJ602" s="134">
        <f t="shared" si="402"/>
        <v>0</v>
      </c>
      <c r="BK602" s="134">
        <f t="shared" si="408"/>
        <v>0</v>
      </c>
    </row>
    <row r="603" spans="1:63" hidden="1">
      <c r="A603" s="187"/>
      <c r="B603" s="2333"/>
      <c r="C603" s="2333"/>
      <c r="D603" s="2334"/>
      <c r="E603" s="2334"/>
      <c r="F603" s="2334"/>
      <c r="G603" s="2334"/>
      <c r="H603" s="2334"/>
      <c r="I603" s="2334"/>
      <c r="J603" s="2334"/>
      <c r="K603" s="2334"/>
      <c r="L603" s="2334"/>
      <c r="M603" s="2334"/>
      <c r="N603" s="2334"/>
      <c r="O603" s="2334"/>
      <c r="P603" s="2324"/>
      <c r="Q603" s="2324"/>
      <c r="R603" s="2325"/>
      <c r="S603" s="2324"/>
      <c r="T603" s="2324"/>
      <c r="U603" s="2326"/>
      <c r="V603" s="2327"/>
      <c r="W603" s="2327"/>
      <c r="X603" s="2327"/>
      <c r="Y603" s="2327"/>
      <c r="Z603" s="2327"/>
      <c r="AA603" s="2328"/>
      <c r="AB603" s="2329"/>
      <c r="AC603" s="2326"/>
      <c r="AD603" s="2330">
        <f t="shared" si="395"/>
        <v>0</v>
      </c>
      <c r="AE603" s="2330"/>
      <c r="AF603" s="2330"/>
      <c r="AG603" s="2330">
        <f t="shared" si="403"/>
        <v>0</v>
      </c>
      <c r="AH603" s="2330"/>
      <c r="AI603" s="2330"/>
      <c r="AJ603" s="2330">
        <f t="shared" si="396"/>
        <v>0</v>
      </c>
      <c r="AK603" s="2330"/>
      <c r="AL603" s="2330"/>
      <c r="AM603" s="2331">
        <f t="shared" si="397"/>
        <v>0</v>
      </c>
      <c r="AN603" s="2331"/>
      <c r="AO603" s="2331"/>
      <c r="AP603" s="2331"/>
      <c r="AQ603" s="2332">
        <f t="shared" si="398"/>
        <v>0</v>
      </c>
      <c r="AR603" s="2332"/>
      <c r="AS603" s="2332"/>
      <c r="AT603" s="2332">
        <f t="shared" si="399"/>
        <v>0</v>
      </c>
      <c r="AV603" s="151" t="str">
        <f t="shared" si="392"/>
        <v>MISC. EXTERIOR ITEMS</v>
      </c>
      <c r="AW603" s="681"/>
      <c r="AX603" s="230"/>
      <c r="AY603" s="230"/>
      <c r="AZ603" s="679"/>
      <c r="BA603" s="49">
        <f t="shared" si="400"/>
        <v>0</v>
      </c>
      <c r="BB603" s="49">
        <f t="shared" si="404"/>
        <v>0</v>
      </c>
      <c r="BC603" s="49">
        <f t="shared" si="405"/>
        <v>0</v>
      </c>
      <c r="BD603" s="49">
        <f t="shared" si="401"/>
        <v>0</v>
      </c>
      <c r="BE603" s="49">
        <f t="shared" si="409"/>
        <v>0</v>
      </c>
      <c r="BF603" s="49">
        <f t="shared" si="393"/>
        <v>0</v>
      </c>
      <c r="BG603" s="49">
        <f t="shared" si="394"/>
        <v>0</v>
      </c>
      <c r="BI603" s="134">
        <f t="shared" si="407"/>
        <v>0</v>
      </c>
      <c r="BJ603" s="134">
        <f t="shared" si="402"/>
        <v>0</v>
      </c>
      <c r="BK603" s="134">
        <f t="shared" si="408"/>
        <v>0</v>
      </c>
    </row>
    <row r="604" spans="1:63" hidden="1">
      <c r="A604" s="187"/>
      <c r="B604" s="2333"/>
      <c r="C604" s="2333"/>
      <c r="D604" s="2334"/>
      <c r="E604" s="2334"/>
      <c r="F604" s="2334"/>
      <c r="G604" s="2334"/>
      <c r="H604" s="2334"/>
      <c r="I604" s="2334"/>
      <c r="J604" s="2334"/>
      <c r="K604" s="2334"/>
      <c r="L604" s="2334"/>
      <c r="M604" s="2334"/>
      <c r="N604" s="2334"/>
      <c r="O604" s="2334"/>
      <c r="P604" s="2324"/>
      <c r="Q604" s="2324"/>
      <c r="R604" s="2325"/>
      <c r="S604" s="2324"/>
      <c r="T604" s="2324"/>
      <c r="U604" s="2326"/>
      <c r="V604" s="2327"/>
      <c r="W604" s="2327"/>
      <c r="X604" s="2327"/>
      <c r="Y604" s="2327"/>
      <c r="Z604" s="2327"/>
      <c r="AA604" s="2328"/>
      <c r="AB604" s="2329"/>
      <c r="AC604" s="2326"/>
      <c r="AD604" s="2330">
        <f t="shared" si="395"/>
        <v>0</v>
      </c>
      <c r="AE604" s="2330"/>
      <c r="AF604" s="2330"/>
      <c r="AG604" s="2330">
        <f t="shared" si="403"/>
        <v>0</v>
      </c>
      <c r="AH604" s="2330"/>
      <c r="AI604" s="2330"/>
      <c r="AJ604" s="2330">
        <f t="shared" si="396"/>
        <v>0</v>
      </c>
      <c r="AK604" s="2330"/>
      <c r="AL604" s="2330"/>
      <c r="AM604" s="2331">
        <f t="shared" si="397"/>
        <v>0</v>
      </c>
      <c r="AN604" s="2331"/>
      <c r="AO604" s="2331"/>
      <c r="AP604" s="2331"/>
      <c r="AQ604" s="2332">
        <f t="shared" si="398"/>
        <v>0</v>
      </c>
      <c r="AR604" s="2332"/>
      <c r="AS604" s="2332"/>
      <c r="AT604" s="2332">
        <f t="shared" si="399"/>
        <v>0</v>
      </c>
      <c r="AV604" s="151" t="str">
        <f t="shared" si="392"/>
        <v>MISC. EXTERIOR ITEMS</v>
      </c>
      <c r="AW604" s="681"/>
      <c r="AX604" s="230"/>
      <c r="AY604" s="230"/>
      <c r="AZ604" s="679"/>
      <c r="BA604" s="49">
        <f t="shared" si="400"/>
        <v>0</v>
      </c>
      <c r="BB604" s="49">
        <f t="shared" si="404"/>
        <v>0</v>
      </c>
      <c r="BC604" s="49">
        <f t="shared" si="405"/>
        <v>0</v>
      </c>
      <c r="BD604" s="49">
        <f t="shared" si="401"/>
        <v>0</v>
      </c>
      <c r="BE604" s="49">
        <f t="shared" si="409"/>
        <v>0</v>
      </c>
      <c r="BF604" s="49">
        <f t="shared" si="393"/>
        <v>0</v>
      </c>
      <c r="BG604" s="49">
        <f t="shared" si="394"/>
        <v>0</v>
      </c>
      <c r="BI604" s="134">
        <f t="shared" si="407"/>
        <v>0</v>
      </c>
      <c r="BJ604" s="134">
        <f t="shared" si="402"/>
        <v>0</v>
      </c>
      <c r="BK604" s="134">
        <f t="shared" si="408"/>
        <v>0</v>
      </c>
    </row>
    <row r="605" spans="1:63" hidden="1">
      <c r="A605" s="187"/>
      <c r="B605" s="2333"/>
      <c r="C605" s="2333"/>
      <c r="D605" s="2334"/>
      <c r="E605" s="2334"/>
      <c r="F605" s="2334"/>
      <c r="G605" s="2334"/>
      <c r="H605" s="2334"/>
      <c r="I605" s="2334"/>
      <c r="J605" s="2334"/>
      <c r="K605" s="2334"/>
      <c r="L605" s="2334"/>
      <c r="M605" s="2334"/>
      <c r="N605" s="2334"/>
      <c r="O605" s="2334"/>
      <c r="P605" s="2324"/>
      <c r="Q605" s="2324"/>
      <c r="R605" s="2325"/>
      <c r="S605" s="2324"/>
      <c r="T605" s="2324"/>
      <c r="U605" s="2326"/>
      <c r="V605" s="2327"/>
      <c r="W605" s="2327"/>
      <c r="X605" s="2327"/>
      <c r="Y605" s="2327"/>
      <c r="Z605" s="2327"/>
      <c r="AA605" s="2328"/>
      <c r="AB605" s="2329"/>
      <c r="AC605" s="2326"/>
      <c r="AD605" s="2330">
        <f t="shared" ref="AD605:AD612" si="410">((P605*U605)-AM605)</f>
        <v>0</v>
      </c>
      <c r="AE605" s="2330"/>
      <c r="AF605" s="2330"/>
      <c r="AG605" s="2330">
        <f t="shared" si="403"/>
        <v>0</v>
      </c>
      <c r="AH605" s="2330"/>
      <c r="AI605" s="2330"/>
      <c r="AJ605" s="2330">
        <f t="shared" ref="AJ605:AJ612" si="411">P605*AA605</f>
        <v>0</v>
      </c>
      <c r="AK605" s="2330"/>
      <c r="AL605" s="2330"/>
      <c r="AM605" s="2331">
        <f t="shared" si="397"/>
        <v>0</v>
      </c>
      <c r="AN605" s="2331"/>
      <c r="AO605" s="2331"/>
      <c r="AP605" s="2331"/>
      <c r="AQ605" s="2332">
        <f t="shared" ref="AQ605:AQ612" si="412">SUM(AD605:AL605)</f>
        <v>0</v>
      </c>
      <c r="AR605" s="2332"/>
      <c r="AS605" s="2332"/>
      <c r="AT605" s="2332">
        <f t="shared" ref="AT605:AT612" si="413">SUM(AD605:AL605)</f>
        <v>0</v>
      </c>
      <c r="AV605" s="151" t="str">
        <f t="shared" si="392"/>
        <v>MISC. EXTERIOR ITEMS</v>
      </c>
      <c r="AW605" s="681"/>
      <c r="AX605" s="230"/>
      <c r="AY605" s="230"/>
      <c r="AZ605" s="679"/>
      <c r="BA605" s="49">
        <f t="shared" ref="BA605:BA612" si="414">AD605</f>
        <v>0</v>
      </c>
      <c r="BB605" s="49">
        <f t="shared" ref="BB605:BB612" si="415">AG605</f>
        <v>0</v>
      </c>
      <c r="BC605" s="49">
        <f t="shared" ref="BC605:BC612" si="416">AJ605</f>
        <v>0</v>
      </c>
      <c r="BD605" s="49">
        <f t="shared" ref="BD605:BD612" si="417">IF(B605="x",1,0)</f>
        <v>0</v>
      </c>
      <c r="BE605" s="49">
        <f t="shared" si="409"/>
        <v>0</v>
      </c>
      <c r="BF605" s="49">
        <f t="shared" ref="BF605:BF612" si="418">AQ605</f>
        <v>0</v>
      </c>
      <c r="BG605" s="49">
        <f t="shared" ref="BG605:BG612" si="419">AM605</f>
        <v>0</v>
      </c>
      <c r="BI605" s="134">
        <f t="shared" ref="BI605:BI612" si="420">AD605</f>
        <v>0</v>
      </c>
      <c r="BJ605" s="134">
        <f t="shared" ref="BJ605:BJ612" si="421">AM605</f>
        <v>0</v>
      </c>
      <c r="BK605" s="134">
        <f t="shared" ref="BK605:BK612" si="422">BJ605+BI605</f>
        <v>0</v>
      </c>
    </row>
    <row r="606" spans="1:63" hidden="1">
      <c r="A606" s="187"/>
      <c r="B606" s="2333"/>
      <c r="C606" s="2333"/>
      <c r="D606" s="2334"/>
      <c r="E606" s="2334"/>
      <c r="F606" s="2334"/>
      <c r="G606" s="2334"/>
      <c r="H606" s="2334"/>
      <c r="I606" s="2334"/>
      <c r="J606" s="2334"/>
      <c r="K606" s="2334"/>
      <c r="L606" s="2334"/>
      <c r="M606" s="2334"/>
      <c r="N606" s="2334"/>
      <c r="O606" s="2334"/>
      <c r="P606" s="2324"/>
      <c r="Q606" s="2324"/>
      <c r="R606" s="2325"/>
      <c r="S606" s="2324"/>
      <c r="T606" s="2324"/>
      <c r="U606" s="2326"/>
      <c r="V606" s="2327"/>
      <c r="W606" s="2327"/>
      <c r="X606" s="2327"/>
      <c r="Y606" s="2327"/>
      <c r="Z606" s="2327"/>
      <c r="AA606" s="2328"/>
      <c r="AB606" s="2329"/>
      <c r="AC606" s="2326"/>
      <c r="AD606" s="2330">
        <f t="shared" si="410"/>
        <v>0</v>
      </c>
      <c r="AE606" s="2330"/>
      <c r="AF606" s="2330"/>
      <c r="AG606" s="2330">
        <f t="shared" si="403"/>
        <v>0</v>
      </c>
      <c r="AH606" s="2330"/>
      <c r="AI606" s="2330"/>
      <c r="AJ606" s="2330">
        <f t="shared" si="411"/>
        <v>0</v>
      </c>
      <c r="AK606" s="2330"/>
      <c r="AL606" s="2330"/>
      <c r="AM606" s="2331">
        <f t="shared" si="397"/>
        <v>0</v>
      </c>
      <c r="AN606" s="2331"/>
      <c r="AO606" s="2331"/>
      <c r="AP606" s="2331"/>
      <c r="AQ606" s="2332">
        <f t="shared" si="412"/>
        <v>0</v>
      </c>
      <c r="AR606" s="2332"/>
      <c r="AS606" s="2332"/>
      <c r="AT606" s="2332">
        <f t="shared" si="413"/>
        <v>0</v>
      </c>
      <c r="AV606" s="151" t="str">
        <f t="shared" si="392"/>
        <v>MISC. EXTERIOR ITEMS</v>
      </c>
      <c r="AW606" s="681"/>
      <c r="AX606" s="230"/>
      <c r="AY606" s="230"/>
      <c r="AZ606" s="679"/>
      <c r="BA606" s="49">
        <f t="shared" si="414"/>
        <v>0</v>
      </c>
      <c r="BB606" s="49">
        <f t="shared" si="415"/>
        <v>0</v>
      </c>
      <c r="BC606" s="49">
        <f t="shared" si="416"/>
        <v>0</v>
      </c>
      <c r="BD606" s="49">
        <f t="shared" si="417"/>
        <v>0</v>
      </c>
      <c r="BE606" s="49">
        <f t="shared" si="409"/>
        <v>0</v>
      </c>
      <c r="BF606" s="49">
        <f t="shared" si="418"/>
        <v>0</v>
      </c>
      <c r="BG606" s="49">
        <f t="shared" si="419"/>
        <v>0</v>
      </c>
      <c r="BI606" s="134">
        <f t="shared" si="420"/>
        <v>0</v>
      </c>
      <c r="BJ606" s="134">
        <f t="shared" si="421"/>
        <v>0</v>
      </c>
      <c r="BK606" s="134">
        <f t="shared" si="422"/>
        <v>0</v>
      </c>
    </row>
    <row r="607" spans="1:63" hidden="1">
      <c r="A607" s="187"/>
      <c r="B607" s="2321"/>
      <c r="C607" s="2322"/>
      <c r="D607" s="2334"/>
      <c r="E607" s="2334"/>
      <c r="F607" s="2334"/>
      <c r="G607" s="2334"/>
      <c r="H607" s="2334"/>
      <c r="I607" s="2334"/>
      <c r="J607" s="2334"/>
      <c r="K607" s="2334"/>
      <c r="L607" s="2334"/>
      <c r="M607" s="2334"/>
      <c r="N607" s="2334"/>
      <c r="O607" s="2334"/>
      <c r="P607" s="2324"/>
      <c r="Q607" s="2324"/>
      <c r="R607" s="2325"/>
      <c r="S607" s="2324"/>
      <c r="T607" s="2324"/>
      <c r="U607" s="2326"/>
      <c r="V607" s="2327"/>
      <c r="W607" s="2327"/>
      <c r="X607" s="2327"/>
      <c r="Y607" s="2327"/>
      <c r="Z607" s="2327"/>
      <c r="AA607" s="2328"/>
      <c r="AB607" s="2329"/>
      <c r="AC607" s="2326"/>
      <c r="AD607" s="2330">
        <f t="shared" si="410"/>
        <v>0</v>
      </c>
      <c r="AE607" s="2330"/>
      <c r="AF607" s="2330"/>
      <c r="AG607" s="2330">
        <f t="shared" si="403"/>
        <v>0</v>
      </c>
      <c r="AH607" s="2330"/>
      <c r="AI607" s="2330"/>
      <c r="AJ607" s="2330">
        <f t="shared" si="411"/>
        <v>0</v>
      </c>
      <c r="AK607" s="2330"/>
      <c r="AL607" s="2330"/>
      <c r="AM607" s="2331">
        <f t="shared" si="397"/>
        <v>0</v>
      </c>
      <c r="AN607" s="2331"/>
      <c r="AO607" s="2331"/>
      <c r="AP607" s="2331"/>
      <c r="AQ607" s="2332">
        <f t="shared" si="412"/>
        <v>0</v>
      </c>
      <c r="AR607" s="2332"/>
      <c r="AS607" s="2332"/>
      <c r="AT607" s="2332">
        <f t="shared" si="413"/>
        <v>0</v>
      </c>
      <c r="AV607" s="151" t="str">
        <f t="shared" si="392"/>
        <v>MISC. EXTERIOR ITEMS</v>
      </c>
      <c r="AW607" s="681"/>
      <c r="AX607" s="230"/>
      <c r="AY607" s="230"/>
      <c r="AZ607" s="679"/>
      <c r="BA607" s="49">
        <f t="shared" si="414"/>
        <v>0</v>
      </c>
      <c r="BB607" s="49">
        <f t="shared" si="415"/>
        <v>0</v>
      </c>
      <c r="BC607" s="49">
        <f t="shared" si="416"/>
        <v>0</v>
      </c>
      <c r="BD607" s="49">
        <f t="shared" si="417"/>
        <v>0</v>
      </c>
      <c r="BE607" s="49">
        <f t="shared" si="409"/>
        <v>0</v>
      </c>
      <c r="BF607" s="49">
        <f t="shared" si="418"/>
        <v>0</v>
      </c>
      <c r="BG607" s="49">
        <f t="shared" si="419"/>
        <v>0</v>
      </c>
      <c r="BI607" s="134">
        <f t="shared" si="420"/>
        <v>0</v>
      </c>
      <c r="BJ607" s="134">
        <f t="shared" si="421"/>
        <v>0</v>
      </c>
      <c r="BK607" s="134">
        <f t="shared" si="422"/>
        <v>0</v>
      </c>
    </row>
    <row r="608" spans="1:63" hidden="1">
      <c r="A608" s="187"/>
      <c r="B608" s="2321"/>
      <c r="C608" s="2322"/>
      <c r="D608" s="2334"/>
      <c r="E608" s="2334"/>
      <c r="F608" s="2334"/>
      <c r="G608" s="2334"/>
      <c r="H608" s="2334"/>
      <c r="I608" s="2334"/>
      <c r="J608" s="2334"/>
      <c r="K608" s="2334"/>
      <c r="L608" s="2334"/>
      <c r="M608" s="2334"/>
      <c r="N608" s="2334"/>
      <c r="O608" s="2334"/>
      <c r="P608" s="2324"/>
      <c r="Q608" s="2324"/>
      <c r="R608" s="2325"/>
      <c r="S608" s="2324"/>
      <c r="T608" s="2324"/>
      <c r="U608" s="2326"/>
      <c r="V608" s="2327"/>
      <c r="W608" s="2327"/>
      <c r="X608" s="2327"/>
      <c r="Y608" s="2327"/>
      <c r="Z608" s="2327"/>
      <c r="AA608" s="2328"/>
      <c r="AB608" s="2329"/>
      <c r="AC608" s="2326"/>
      <c r="AD608" s="2330">
        <f t="shared" si="410"/>
        <v>0</v>
      </c>
      <c r="AE608" s="2330"/>
      <c r="AF608" s="2330"/>
      <c r="AG608" s="2330">
        <f t="shared" si="403"/>
        <v>0</v>
      </c>
      <c r="AH608" s="2330"/>
      <c r="AI608" s="2330"/>
      <c r="AJ608" s="2330">
        <f t="shared" si="411"/>
        <v>0</v>
      </c>
      <c r="AK608" s="2330"/>
      <c r="AL608" s="2330"/>
      <c r="AM608" s="2331">
        <f t="shared" si="397"/>
        <v>0</v>
      </c>
      <c r="AN608" s="2331"/>
      <c r="AO608" s="2331"/>
      <c r="AP608" s="2331"/>
      <c r="AQ608" s="2332">
        <f t="shared" si="412"/>
        <v>0</v>
      </c>
      <c r="AR608" s="2332"/>
      <c r="AS608" s="2332"/>
      <c r="AT608" s="2332">
        <f t="shared" si="413"/>
        <v>0</v>
      </c>
      <c r="AV608" s="151" t="str">
        <f t="shared" si="392"/>
        <v>MISC. EXTERIOR ITEMS</v>
      </c>
      <c r="AW608" s="681"/>
      <c r="AX608" s="230"/>
      <c r="AY608" s="230"/>
      <c r="AZ608" s="679"/>
      <c r="BA608" s="49">
        <f t="shared" si="414"/>
        <v>0</v>
      </c>
      <c r="BB608" s="49">
        <f t="shared" si="415"/>
        <v>0</v>
      </c>
      <c r="BC608" s="49">
        <f t="shared" si="416"/>
        <v>0</v>
      </c>
      <c r="BD608" s="49">
        <f t="shared" si="417"/>
        <v>0</v>
      </c>
      <c r="BE608" s="49">
        <f t="shared" si="409"/>
        <v>0</v>
      </c>
      <c r="BF608" s="49">
        <f t="shared" si="418"/>
        <v>0</v>
      </c>
      <c r="BG608" s="49">
        <f t="shared" si="419"/>
        <v>0</v>
      </c>
      <c r="BI608" s="134">
        <f t="shared" si="420"/>
        <v>0</v>
      </c>
      <c r="BJ608" s="134">
        <f t="shared" si="421"/>
        <v>0</v>
      </c>
      <c r="BK608" s="134">
        <f t="shared" si="422"/>
        <v>0</v>
      </c>
    </row>
    <row r="609" spans="1:63" hidden="1">
      <c r="A609" s="187"/>
      <c r="B609" s="2333"/>
      <c r="C609" s="2333"/>
      <c r="D609" s="2334"/>
      <c r="E609" s="2334"/>
      <c r="F609" s="2334"/>
      <c r="G609" s="2334"/>
      <c r="H609" s="2334"/>
      <c r="I609" s="2334"/>
      <c r="J609" s="2334"/>
      <c r="K609" s="2334"/>
      <c r="L609" s="2334"/>
      <c r="M609" s="2334"/>
      <c r="N609" s="2334"/>
      <c r="O609" s="2334"/>
      <c r="P609" s="2324"/>
      <c r="Q609" s="2324"/>
      <c r="R609" s="2325"/>
      <c r="S609" s="2324"/>
      <c r="T609" s="2324"/>
      <c r="U609" s="2326"/>
      <c r="V609" s="2327"/>
      <c r="W609" s="2327"/>
      <c r="X609" s="2327"/>
      <c r="Y609" s="2327"/>
      <c r="Z609" s="2327"/>
      <c r="AA609" s="2328"/>
      <c r="AB609" s="2329"/>
      <c r="AC609" s="2326"/>
      <c r="AD609" s="2330">
        <f t="shared" si="410"/>
        <v>0</v>
      </c>
      <c r="AE609" s="2330"/>
      <c r="AF609" s="2330"/>
      <c r="AG609" s="2330">
        <f t="shared" si="403"/>
        <v>0</v>
      </c>
      <c r="AH609" s="2330"/>
      <c r="AI609" s="2330"/>
      <c r="AJ609" s="2330">
        <f t="shared" si="411"/>
        <v>0</v>
      </c>
      <c r="AK609" s="2330"/>
      <c r="AL609" s="2330"/>
      <c r="AM609" s="2331">
        <f t="shared" si="397"/>
        <v>0</v>
      </c>
      <c r="AN609" s="2331"/>
      <c r="AO609" s="2331"/>
      <c r="AP609" s="2331"/>
      <c r="AQ609" s="2332">
        <f t="shared" si="412"/>
        <v>0</v>
      </c>
      <c r="AR609" s="2332"/>
      <c r="AS609" s="2332"/>
      <c r="AT609" s="2332">
        <f t="shared" si="413"/>
        <v>0</v>
      </c>
      <c r="AV609" s="151" t="str">
        <f t="shared" si="392"/>
        <v>MISC. EXTERIOR ITEMS</v>
      </c>
      <c r="AW609" s="681"/>
      <c r="AX609" s="230"/>
      <c r="AY609" s="230"/>
      <c r="AZ609" s="679"/>
      <c r="BA609" s="49">
        <f t="shared" si="414"/>
        <v>0</v>
      </c>
      <c r="BB609" s="49">
        <f t="shared" si="415"/>
        <v>0</v>
      </c>
      <c r="BC609" s="49">
        <f t="shared" si="416"/>
        <v>0</v>
      </c>
      <c r="BD609" s="49">
        <f t="shared" si="417"/>
        <v>0</v>
      </c>
      <c r="BE609" s="49">
        <f t="shared" si="409"/>
        <v>0</v>
      </c>
      <c r="BF609" s="49">
        <f t="shared" si="418"/>
        <v>0</v>
      </c>
      <c r="BG609" s="49">
        <f t="shared" si="419"/>
        <v>0</v>
      </c>
      <c r="BI609" s="134">
        <f t="shared" si="420"/>
        <v>0</v>
      </c>
      <c r="BJ609" s="134">
        <f t="shared" si="421"/>
        <v>0</v>
      </c>
      <c r="BK609" s="134">
        <f t="shared" si="422"/>
        <v>0</v>
      </c>
    </row>
    <row r="610" spans="1:63" hidden="1">
      <c r="A610" s="187"/>
      <c r="B610" s="2333"/>
      <c r="C610" s="2333"/>
      <c r="D610" s="2334"/>
      <c r="E610" s="2334"/>
      <c r="F610" s="2334"/>
      <c r="G610" s="2334"/>
      <c r="H610" s="2334"/>
      <c r="I610" s="2334"/>
      <c r="J610" s="2334"/>
      <c r="K610" s="2334"/>
      <c r="L610" s="2334"/>
      <c r="M610" s="2334"/>
      <c r="N610" s="2334"/>
      <c r="O610" s="2334"/>
      <c r="P610" s="2324"/>
      <c r="Q610" s="2324"/>
      <c r="R610" s="2325"/>
      <c r="S610" s="2324"/>
      <c r="T610" s="2324"/>
      <c r="U610" s="2326"/>
      <c r="V610" s="2327"/>
      <c r="W610" s="2327"/>
      <c r="X610" s="2327"/>
      <c r="Y610" s="2327"/>
      <c r="Z610" s="2327"/>
      <c r="AA610" s="2328"/>
      <c r="AB610" s="2329"/>
      <c r="AC610" s="2326"/>
      <c r="AD610" s="2330">
        <f t="shared" si="410"/>
        <v>0</v>
      </c>
      <c r="AE610" s="2330"/>
      <c r="AF610" s="2330"/>
      <c r="AG610" s="2330">
        <f t="shared" si="403"/>
        <v>0</v>
      </c>
      <c r="AH610" s="2330"/>
      <c r="AI610" s="2330"/>
      <c r="AJ610" s="2330">
        <f t="shared" si="411"/>
        <v>0</v>
      </c>
      <c r="AK610" s="2330"/>
      <c r="AL610" s="2330"/>
      <c r="AM610" s="2331">
        <f t="shared" si="397"/>
        <v>0</v>
      </c>
      <c r="AN610" s="2331"/>
      <c r="AO610" s="2331"/>
      <c r="AP610" s="2331"/>
      <c r="AQ610" s="2332">
        <f t="shared" si="412"/>
        <v>0</v>
      </c>
      <c r="AR610" s="2332"/>
      <c r="AS610" s="2332"/>
      <c r="AT610" s="2332">
        <f t="shared" si="413"/>
        <v>0</v>
      </c>
      <c r="AV610" s="151" t="str">
        <f t="shared" si="392"/>
        <v>MISC. EXTERIOR ITEMS</v>
      </c>
      <c r="AW610" s="681"/>
      <c r="AX610" s="230"/>
      <c r="AY610" s="230"/>
      <c r="AZ610" s="679"/>
      <c r="BA610" s="49">
        <f t="shared" si="414"/>
        <v>0</v>
      </c>
      <c r="BB610" s="49">
        <f t="shared" si="415"/>
        <v>0</v>
      </c>
      <c r="BC610" s="49">
        <f t="shared" si="416"/>
        <v>0</v>
      </c>
      <c r="BD610" s="49">
        <f t="shared" si="417"/>
        <v>0</v>
      </c>
      <c r="BE610" s="49">
        <f t="shared" si="409"/>
        <v>0</v>
      </c>
      <c r="BF610" s="49">
        <f t="shared" si="418"/>
        <v>0</v>
      </c>
      <c r="BG610" s="49">
        <f t="shared" si="419"/>
        <v>0</v>
      </c>
      <c r="BI610" s="134">
        <f t="shared" si="420"/>
        <v>0</v>
      </c>
      <c r="BJ610" s="134">
        <f t="shared" si="421"/>
        <v>0</v>
      </c>
      <c r="BK610" s="134">
        <f t="shared" si="422"/>
        <v>0</v>
      </c>
    </row>
    <row r="611" spans="1:63" hidden="1">
      <c r="A611" s="187"/>
      <c r="B611" s="2321"/>
      <c r="C611" s="2322"/>
      <c r="D611" s="2334"/>
      <c r="E611" s="2334"/>
      <c r="F611" s="2334"/>
      <c r="G611" s="2334"/>
      <c r="H611" s="2334"/>
      <c r="I611" s="2334"/>
      <c r="J611" s="2334"/>
      <c r="K611" s="2334"/>
      <c r="L611" s="2334"/>
      <c r="M611" s="2334"/>
      <c r="N611" s="2334"/>
      <c r="O611" s="2334"/>
      <c r="P611" s="2324"/>
      <c r="Q611" s="2324"/>
      <c r="R611" s="2325"/>
      <c r="S611" s="2324"/>
      <c r="T611" s="2324"/>
      <c r="U611" s="2326"/>
      <c r="V611" s="2327"/>
      <c r="W611" s="2327"/>
      <c r="X611" s="2327"/>
      <c r="Y611" s="2327"/>
      <c r="Z611" s="2327"/>
      <c r="AA611" s="2328"/>
      <c r="AB611" s="2329"/>
      <c r="AC611" s="2326"/>
      <c r="AD611" s="2330">
        <f t="shared" si="410"/>
        <v>0</v>
      </c>
      <c r="AE611" s="2330"/>
      <c r="AF611" s="2330"/>
      <c r="AG611" s="2330">
        <f t="shared" si="403"/>
        <v>0</v>
      </c>
      <c r="AH611" s="2330"/>
      <c r="AI611" s="2330"/>
      <c r="AJ611" s="2330">
        <f t="shared" si="411"/>
        <v>0</v>
      </c>
      <c r="AK611" s="2330"/>
      <c r="AL611" s="2330"/>
      <c r="AM611" s="2331">
        <f t="shared" si="397"/>
        <v>0</v>
      </c>
      <c r="AN611" s="2331"/>
      <c r="AO611" s="2331"/>
      <c r="AP611" s="2331"/>
      <c r="AQ611" s="2332">
        <f t="shared" si="412"/>
        <v>0</v>
      </c>
      <c r="AR611" s="2332"/>
      <c r="AS611" s="2332"/>
      <c r="AT611" s="2332">
        <f t="shared" si="413"/>
        <v>0</v>
      </c>
      <c r="AV611" s="151" t="str">
        <f t="shared" si="392"/>
        <v>MISC. EXTERIOR ITEMS</v>
      </c>
      <c r="AW611" s="681"/>
      <c r="AX611" s="230"/>
      <c r="AY611" s="230"/>
      <c r="AZ611" s="679"/>
      <c r="BA611" s="49">
        <f t="shared" si="414"/>
        <v>0</v>
      </c>
      <c r="BB611" s="49">
        <f t="shared" si="415"/>
        <v>0</v>
      </c>
      <c r="BC611" s="49">
        <f t="shared" si="416"/>
        <v>0</v>
      </c>
      <c r="BD611" s="49">
        <f t="shared" si="417"/>
        <v>0</v>
      </c>
      <c r="BE611" s="49">
        <f t="shared" si="409"/>
        <v>0</v>
      </c>
      <c r="BF611" s="49">
        <f t="shared" si="418"/>
        <v>0</v>
      </c>
      <c r="BG611" s="49">
        <f t="shared" si="419"/>
        <v>0</v>
      </c>
      <c r="BI611" s="134">
        <f t="shared" si="420"/>
        <v>0</v>
      </c>
      <c r="BJ611" s="134">
        <f t="shared" si="421"/>
        <v>0</v>
      </c>
      <c r="BK611" s="134">
        <f t="shared" si="422"/>
        <v>0</v>
      </c>
    </row>
    <row r="612" spans="1:63" hidden="1">
      <c r="A612" s="187"/>
      <c r="B612" s="2321"/>
      <c r="C612" s="2322"/>
      <c r="D612" s="2334"/>
      <c r="E612" s="2334"/>
      <c r="F612" s="2334"/>
      <c r="G612" s="2334"/>
      <c r="H612" s="2334"/>
      <c r="I612" s="2334"/>
      <c r="J612" s="2334"/>
      <c r="K612" s="2334"/>
      <c r="L612" s="2334"/>
      <c r="M612" s="2334"/>
      <c r="N612" s="2334"/>
      <c r="O612" s="2334"/>
      <c r="P612" s="2324"/>
      <c r="Q612" s="2324"/>
      <c r="R612" s="2325"/>
      <c r="S612" s="2324"/>
      <c r="T612" s="2324"/>
      <c r="U612" s="2326"/>
      <c r="V612" s="2327"/>
      <c r="W612" s="2327"/>
      <c r="X612" s="2327"/>
      <c r="Y612" s="2327"/>
      <c r="Z612" s="2327"/>
      <c r="AA612" s="2328"/>
      <c r="AB612" s="2329"/>
      <c r="AC612" s="2326"/>
      <c r="AD612" s="2330">
        <f t="shared" si="410"/>
        <v>0</v>
      </c>
      <c r="AE612" s="2330"/>
      <c r="AF612" s="2330"/>
      <c r="AG612" s="2330">
        <f t="shared" si="403"/>
        <v>0</v>
      </c>
      <c r="AH612" s="2330"/>
      <c r="AI612" s="2330"/>
      <c r="AJ612" s="2330">
        <f t="shared" si="411"/>
        <v>0</v>
      </c>
      <c r="AK612" s="2330"/>
      <c r="AL612" s="2330"/>
      <c r="AM612" s="2331">
        <f t="shared" si="397"/>
        <v>0</v>
      </c>
      <c r="AN612" s="2331"/>
      <c r="AO612" s="2331"/>
      <c r="AP612" s="2331"/>
      <c r="AQ612" s="2332">
        <f t="shared" si="412"/>
        <v>0</v>
      </c>
      <c r="AR612" s="2332"/>
      <c r="AS612" s="2332"/>
      <c r="AT612" s="2332">
        <f t="shared" si="413"/>
        <v>0</v>
      </c>
      <c r="AV612" s="151" t="str">
        <f t="shared" si="392"/>
        <v>MISC. EXTERIOR ITEMS</v>
      </c>
      <c r="AW612" s="681"/>
      <c r="AX612" s="230"/>
      <c r="AY612" s="230"/>
      <c r="AZ612" s="679"/>
      <c r="BA612" s="49">
        <f t="shared" si="414"/>
        <v>0</v>
      </c>
      <c r="BB612" s="49">
        <f t="shared" si="415"/>
        <v>0</v>
      </c>
      <c r="BC612" s="49">
        <f t="shared" si="416"/>
        <v>0</v>
      </c>
      <c r="BD612" s="49">
        <f t="shared" si="417"/>
        <v>0</v>
      </c>
      <c r="BE612" s="49">
        <f t="shared" si="409"/>
        <v>0</v>
      </c>
      <c r="BF612" s="49">
        <f t="shared" si="418"/>
        <v>0</v>
      </c>
      <c r="BG612" s="49">
        <f t="shared" si="419"/>
        <v>0</v>
      </c>
      <c r="BI612" s="134">
        <f t="shared" si="420"/>
        <v>0</v>
      </c>
      <c r="BJ612" s="134">
        <f t="shared" si="421"/>
        <v>0</v>
      </c>
      <c r="BK612" s="134">
        <f t="shared" si="422"/>
        <v>0</v>
      </c>
    </row>
    <row r="613" spans="1:63" hidden="1">
      <c r="A613" s="187"/>
      <c r="B613" s="2333"/>
      <c r="C613" s="2333"/>
      <c r="D613" s="2334"/>
      <c r="E613" s="2334"/>
      <c r="F613" s="2334"/>
      <c r="G613" s="2334"/>
      <c r="H613" s="2334"/>
      <c r="I613" s="2334"/>
      <c r="J613" s="2334"/>
      <c r="K613" s="2334"/>
      <c r="L613" s="2334"/>
      <c r="M613" s="2334"/>
      <c r="N613" s="2334"/>
      <c r="O613" s="2334"/>
      <c r="P613" s="2324"/>
      <c r="Q613" s="2324"/>
      <c r="R613" s="2325"/>
      <c r="S613" s="2324"/>
      <c r="T613" s="2324"/>
      <c r="U613" s="2326"/>
      <c r="V613" s="2327"/>
      <c r="W613" s="2327"/>
      <c r="X613" s="2327"/>
      <c r="Y613" s="2327"/>
      <c r="Z613" s="2327"/>
      <c r="AA613" s="2328"/>
      <c r="AB613" s="2329"/>
      <c r="AC613" s="2326"/>
      <c r="AD613" s="2330">
        <f>((P613*U613)-AM613)</f>
        <v>0</v>
      </c>
      <c r="AE613" s="2330"/>
      <c r="AF613" s="2330"/>
      <c r="AG613" s="2330">
        <f t="shared" si="403"/>
        <v>0</v>
      </c>
      <c r="AH613" s="2330"/>
      <c r="AI613" s="2330"/>
      <c r="AJ613" s="2330">
        <f>P613*AA613</f>
        <v>0</v>
      </c>
      <c r="AK613" s="2330"/>
      <c r="AL613" s="2330"/>
      <c r="AM613" s="2331">
        <f t="shared" si="397"/>
        <v>0</v>
      </c>
      <c r="AN613" s="2331"/>
      <c r="AO613" s="2331"/>
      <c r="AP613" s="2331"/>
      <c r="AQ613" s="2332">
        <f>SUM(AD613:AL613)</f>
        <v>0</v>
      </c>
      <c r="AR613" s="2332"/>
      <c r="AS613" s="2332"/>
      <c r="AT613" s="2332">
        <f>SUM(AD613:AL613)</f>
        <v>0</v>
      </c>
      <c r="AV613" s="151" t="str">
        <f t="shared" si="392"/>
        <v>MISC. EXTERIOR ITEMS</v>
      </c>
      <c r="AW613" s="681"/>
      <c r="AX613" s="230"/>
      <c r="AY613" s="230"/>
      <c r="AZ613" s="679"/>
      <c r="BA613" s="49">
        <f>AD613</f>
        <v>0</v>
      </c>
      <c r="BB613" s="49">
        <f>AG613</f>
        <v>0</v>
      </c>
      <c r="BC613" s="49">
        <f>AJ613</f>
        <v>0</v>
      </c>
      <c r="BD613" s="49">
        <f>IF(B613="x",1,0)</f>
        <v>0</v>
      </c>
      <c r="BE613" s="49">
        <f t="shared" si="409"/>
        <v>0</v>
      </c>
      <c r="BF613" s="49">
        <f>AQ613</f>
        <v>0</v>
      </c>
      <c r="BG613" s="49">
        <f>AM613</f>
        <v>0</v>
      </c>
      <c r="BI613" s="134">
        <f>AD613</f>
        <v>0</v>
      </c>
      <c r="BJ613" s="134">
        <f>AM613</f>
        <v>0</v>
      </c>
      <c r="BK613" s="134">
        <f>BJ613+BI613</f>
        <v>0</v>
      </c>
    </row>
    <row r="614" spans="1:63" hidden="1">
      <c r="A614" s="187"/>
      <c r="B614" s="2333"/>
      <c r="C614" s="2333"/>
      <c r="D614" s="2334"/>
      <c r="E614" s="2334"/>
      <c r="F614" s="2334"/>
      <c r="G614" s="2334"/>
      <c r="H614" s="2334"/>
      <c r="I614" s="2334"/>
      <c r="J614" s="2334"/>
      <c r="K614" s="2334"/>
      <c r="L614" s="2334"/>
      <c r="M614" s="2334"/>
      <c r="N614" s="2334"/>
      <c r="O614" s="2334"/>
      <c r="P614" s="2324"/>
      <c r="Q614" s="2324"/>
      <c r="R614" s="2325"/>
      <c r="S614" s="2324"/>
      <c r="T614" s="2324"/>
      <c r="U614" s="2326"/>
      <c r="V614" s="2327"/>
      <c r="W614" s="2327"/>
      <c r="X614" s="2327"/>
      <c r="Y614" s="2327"/>
      <c r="Z614" s="2327"/>
      <c r="AA614" s="2328"/>
      <c r="AB614" s="2329"/>
      <c r="AC614" s="2326"/>
      <c r="AD614" s="2330">
        <f>((P614*U614)-AM614)</f>
        <v>0</v>
      </c>
      <c r="AE614" s="2330"/>
      <c r="AF614" s="2330"/>
      <c r="AG614" s="2330">
        <f t="shared" si="403"/>
        <v>0</v>
      </c>
      <c r="AH614" s="2330"/>
      <c r="AI614" s="2330"/>
      <c r="AJ614" s="2330">
        <f>P614*AA614</f>
        <v>0</v>
      </c>
      <c r="AK614" s="2330"/>
      <c r="AL614" s="2330"/>
      <c r="AM614" s="2331">
        <f t="shared" si="397"/>
        <v>0</v>
      </c>
      <c r="AN614" s="2331"/>
      <c r="AO614" s="2331"/>
      <c r="AP614" s="2331"/>
      <c r="AQ614" s="2332">
        <f>SUM(AD614:AL614)</f>
        <v>0</v>
      </c>
      <c r="AR614" s="2332"/>
      <c r="AS614" s="2332"/>
      <c r="AT614" s="2332">
        <f>SUM(AD614:AL614)</f>
        <v>0</v>
      </c>
      <c r="AV614" s="151" t="str">
        <f t="shared" si="392"/>
        <v>MISC. EXTERIOR ITEMS</v>
      </c>
      <c r="AW614" s="681"/>
      <c r="AX614" s="230"/>
      <c r="AY614" s="230"/>
      <c r="AZ614" s="679"/>
      <c r="BA614" s="49">
        <f>AD614</f>
        <v>0</v>
      </c>
      <c r="BB614" s="49">
        <f>AG614</f>
        <v>0</v>
      </c>
      <c r="BC614" s="49">
        <f>AJ614</f>
        <v>0</v>
      </c>
      <c r="BD614" s="49">
        <f>IF(B614="x",1,0)</f>
        <v>0</v>
      </c>
      <c r="BE614" s="49">
        <f t="shared" si="409"/>
        <v>0</v>
      </c>
      <c r="BF614" s="49">
        <f>AQ614</f>
        <v>0</v>
      </c>
      <c r="BG614" s="49">
        <f>AM614</f>
        <v>0</v>
      </c>
      <c r="BI614" s="134">
        <f>AD614</f>
        <v>0</v>
      </c>
      <c r="BJ614" s="134">
        <f>AM614</f>
        <v>0</v>
      </c>
      <c r="BK614" s="134">
        <f>BJ614+BI614</f>
        <v>0</v>
      </c>
    </row>
    <row r="615" spans="1:63" hidden="1">
      <c r="A615" s="187"/>
      <c r="B615" s="2333"/>
      <c r="C615" s="2333"/>
      <c r="D615" s="2334"/>
      <c r="E615" s="2334"/>
      <c r="F615" s="2334"/>
      <c r="G615" s="2334"/>
      <c r="H615" s="2334"/>
      <c r="I615" s="2334"/>
      <c r="J615" s="2334"/>
      <c r="K615" s="2334"/>
      <c r="L615" s="2334"/>
      <c r="M615" s="2334"/>
      <c r="N615" s="2334"/>
      <c r="O615" s="2334"/>
      <c r="P615" s="2324"/>
      <c r="Q615" s="2324"/>
      <c r="R615" s="2325"/>
      <c r="S615" s="2324"/>
      <c r="T615" s="2324"/>
      <c r="U615" s="2326"/>
      <c r="V615" s="2327"/>
      <c r="W615" s="2327"/>
      <c r="X615" s="2327"/>
      <c r="Y615" s="2327"/>
      <c r="Z615" s="2327"/>
      <c r="AA615" s="2328"/>
      <c r="AB615" s="2329"/>
      <c r="AC615" s="2326"/>
      <c r="AD615" s="2330">
        <f t="shared" si="395"/>
        <v>0</v>
      </c>
      <c r="AE615" s="2330"/>
      <c r="AF615" s="2330"/>
      <c r="AG615" s="2330">
        <f t="shared" si="403"/>
        <v>0</v>
      </c>
      <c r="AH615" s="2330"/>
      <c r="AI615" s="2330"/>
      <c r="AJ615" s="2330">
        <f t="shared" si="396"/>
        <v>0</v>
      </c>
      <c r="AK615" s="2330"/>
      <c r="AL615" s="2330"/>
      <c r="AM615" s="2331">
        <f t="shared" si="397"/>
        <v>0</v>
      </c>
      <c r="AN615" s="2331"/>
      <c r="AO615" s="2331"/>
      <c r="AP615" s="2331"/>
      <c r="AQ615" s="2332">
        <f t="shared" si="398"/>
        <v>0</v>
      </c>
      <c r="AR615" s="2332"/>
      <c r="AS615" s="2332"/>
      <c r="AT615" s="2332">
        <f t="shared" si="399"/>
        <v>0</v>
      </c>
      <c r="AV615" s="151" t="str">
        <f t="shared" si="392"/>
        <v>MISC. EXTERIOR ITEMS</v>
      </c>
      <c r="AW615" s="681"/>
      <c r="AX615" s="230"/>
      <c r="AY615" s="230"/>
      <c r="AZ615" s="679"/>
      <c r="BA615" s="49">
        <f t="shared" si="400"/>
        <v>0</v>
      </c>
      <c r="BB615" s="49">
        <f t="shared" si="404"/>
        <v>0</v>
      </c>
      <c r="BC615" s="49">
        <f t="shared" si="405"/>
        <v>0</v>
      </c>
      <c r="BD615" s="49">
        <f t="shared" si="401"/>
        <v>0</v>
      </c>
      <c r="BE615" s="49">
        <f t="shared" si="409"/>
        <v>0</v>
      </c>
      <c r="BF615" s="49">
        <f t="shared" si="393"/>
        <v>0</v>
      </c>
      <c r="BG615" s="49">
        <f t="shared" si="394"/>
        <v>0</v>
      </c>
      <c r="BI615" s="134">
        <f t="shared" si="407"/>
        <v>0</v>
      </c>
      <c r="BJ615" s="134">
        <f t="shared" si="402"/>
        <v>0</v>
      </c>
      <c r="BK615" s="134">
        <f t="shared" si="408"/>
        <v>0</v>
      </c>
    </row>
    <row r="616" spans="1:63" hidden="1">
      <c r="A616" s="187"/>
      <c r="B616" s="2333"/>
      <c r="C616" s="2333"/>
      <c r="D616" s="2334"/>
      <c r="E616" s="2334"/>
      <c r="F616" s="2334"/>
      <c r="G616" s="2334"/>
      <c r="H616" s="2334"/>
      <c r="I616" s="2334"/>
      <c r="J616" s="2334"/>
      <c r="K616" s="2334"/>
      <c r="L616" s="2334"/>
      <c r="M616" s="2334"/>
      <c r="N616" s="2334"/>
      <c r="O616" s="2334"/>
      <c r="P616" s="2324"/>
      <c r="Q616" s="2324"/>
      <c r="R616" s="2325"/>
      <c r="S616" s="2324"/>
      <c r="T616" s="2324"/>
      <c r="U616" s="2326"/>
      <c r="V616" s="2327"/>
      <c r="W616" s="2327"/>
      <c r="X616" s="2327"/>
      <c r="Y616" s="2327"/>
      <c r="Z616" s="2327"/>
      <c r="AA616" s="2328"/>
      <c r="AB616" s="2329"/>
      <c r="AC616" s="2326"/>
      <c r="AD616" s="2330">
        <f t="shared" si="395"/>
        <v>0</v>
      </c>
      <c r="AE616" s="2330"/>
      <c r="AF616" s="2330"/>
      <c r="AG616" s="2330">
        <f t="shared" si="403"/>
        <v>0</v>
      </c>
      <c r="AH616" s="2330"/>
      <c r="AI616" s="2330"/>
      <c r="AJ616" s="2330">
        <f t="shared" si="396"/>
        <v>0</v>
      </c>
      <c r="AK616" s="2330"/>
      <c r="AL616" s="2330"/>
      <c r="AM616" s="2331">
        <f t="shared" si="397"/>
        <v>0</v>
      </c>
      <c r="AN616" s="2331"/>
      <c r="AO616" s="2331"/>
      <c r="AP616" s="2331"/>
      <c r="AQ616" s="2332">
        <f t="shared" si="398"/>
        <v>0</v>
      </c>
      <c r="AR616" s="2332"/>
      <c r="AS616" s="2332"/>
      <c r="AT616" s="2332">
        <f t="shared" si="399"/>
        <v>0</v>
      </c>
      <c r="AV616" s="151" t="str">
        <f t="shared" si="392"/>
        <v>MISC. EXTERIOR ITEMS</v>
      </c>
      <c r="AW616" s="681"/>
      <c r="AX616" s="230"/>
      <c r="AY616" s="230"/>
      <c r="AZ616" s="679"/>
      <c r="BA616" s="49">
        <f t="shared" si="400"/>
        <v>0</v>
      </c>
      <c r="BB616" s="49">
        <f t="shared" si="404"/>
        <v>0</v>
      </c>
      <c r="BC616" s="49">
        <f t="shared" si="405"/>
        <v>0</v>
      </c>
      <c r="BD616" s="49">
        <f t="shared" si="401"/>
        <v>0</v>
      </c>
      <c r="BE616" s="49">
        <f t="shared" si="409"/>
        <v>0</v>
      </c>
      <c r="BF616" s="49">
        <f t="shared" si="393"/>
        <v>0</v>
      </c>
      <c r="BG616" s="49">
        <f t="shared" si="394"/>
        <v>0</v>
      </c>
      <c r="BI616" s="134">
        <f t="shared" si="407"/>
        <v>0</v>
      </c>
      <c r="BJ616" s="134">
        <f t="shared" si="402"/>
        <v>0</v>
      </c>
      <c r="BK616" s="134">
        <f t="shared" si="408"/>
        <v>0</v>
      </c>
    </row>
    <row r="617" spans="1:63" hidden="1">
      <c r="A617" s="187"/>
      <c r="B617" s="2321"/>
      <c r="C617" s="2322"/>
      <c r="D617" s="2334"/>
      <c r="E617" s="2334"/>
      <c r="F617" s="2334"/>
      <c r="G617" s="2334"/>
      <c r="H617" s="2334"/>
      <c r="I617" s="2334"/>
      <c r="J617" s="2334"/>
      <c r="K617" s="2334"/>
      <c r="L617" s="2334"/>
      <c r="M617" s="2334"/>
      <c r="N617" s="2334"/>
      <c r="O617" s="2334"/>
      <c r="P617" s="2324"/>
      <c r="Q617" s="2324"/>
      <c r="R617" s="2325"/>
      <c r="S617" s="2324"/>
      <c r="T617" s="2324"/>
      <c r="U617" s="2326"/>
      <c r="V617" s="2327"/>
      <c r="W617" s="2327"/>
      <c r="X617" s="2327"/>
      <c r="Y617" s="2327"/>
      <c r="Z617" s="2327"/>
      <c r="AA617" s="2328"/>
      <c r="AB617" s="2329"/>
      <c r="AC617" s="2326"/>
      <c r="AD617" s="2330">
        <f t="shared" si="395"/>
        <v>0</v>
      </c>
      <c r="AE617" s="2330"/>
      <c r="AF617" s="2330"/>
      <c r="AG617" s="2330">
        <f t="shared" si="403"/>
        <v>0</v>
      </c>
      <c r="AH617" s="2330"/>
      <c r="AI617" s="2330"/>
      <c r="AJ617" s="2330">
        <f t="shared" si="396"/>
        <v>0</v>
      </c>
      <c r="AK617" s="2330"/>
      <c r="AL617" s="2330"/>
      <c r="AM617" s="2331">
        <f t="shared" si="397"/>
        <v>0</v>
      </c>
      <c r="AN617" s="2331"/>
      <c r="AO617" s="2331"/>
      <c r="AP617" s="2331"/>
      <c r="AQ617" s="2332">
        <f t="shared" si="398"/>
        <v>0</v>
      </c>
      <c r="AR617" s="2332"/>
      <c r="AS617" s="2332"/>
      <c r="AT617" s="2332">
        <f t="shared" si="399"/>
        <v>0</v>
      </c>
      <c r="AV617" s="151" t="str">
        <f t="shared" si="392"/>
        <v>MISC. EXTERIOR ITEMS</v>
      </c>
      <c r="AW617" s="681"/>
      <c r="AX617" s="230"/>
      <c r="AY617" s="230"/>
      <c r="AZ617" s="679"/>
      <c r="BA617" s="49">
        <f t="shared" si="400"/>
        <v>0</v>
      </c>
      <c r="BB617" s="49">
        <f t="shared" si="404"/>
        <v>0</v>
      </c>
      <c r="BC617" s="49">
        <f t="shared" si="405"/>
        <v>0</v>
      </c>
      <c r="BD617" s="49">
        <f t="shared" si="401"/>
        <v>0</v>
      </c>
      <c r="BE617" s="49">
        <f t="shared" si="409"/>
        <v>0</v>
      </c>
      <c r="BF617" s="49">
        <f t="shared" si="393"/>
        <v>0</v>
      </c>
      <c r="BG617" s="49">
        <f t="shared" si="394"/>
        <v>0</v>
      </c>
      <c r="BI617" s="134">
        <f t="shared" si="407"/>
        <v>0</v>
      </c>
      <c r="BJ617" s="134">
        <f t="shared" si="402"/>
        <v>0</v>
      </c>
      <c r="BK617" s="134">
        <f t="shared" si="408"/>
        <v>0</v>
      </c>
    </row>
    <row r="618" spans="1:63" hidden="1">
      <c r="A618" s="187"/>
      <c r="B618" s="2321"/>
      <c r="C618" s="2322"/>
      <c r="D618" s="2334"/>
      <c r="E618" s="2334"/>
      <c r="F618" s="2334"/>
      <c r="G618" s="2334"/>
      <c r="H618" s="2334"/>
      <c r="I618" s="2334"/>
      <c r="J618" s="2334"/>
      <c r="K618" s="2334"/>
      <c r="L618" s="2334"/>
      <c r="M618" s="2334"/>
      <c r="N618" s="2334"/>
      <c r="O618" s="2334"/>
      <c r="P618" s="2324"/>
      <c r="Q618" s="2324"/>
      <c r="R618" s="2325"/>
      <c r="S618" s="2324"/>
      <c r="T618" s="2324"/>
      <c r="U618" s="2326"/>
      <c r="V618" s="2327"/>
      <c r="W618" s="2327"/>
      <c r="X618" s="2327"/>
      <c r="Y618" s="2327"/>
      <c r="Z618" s="2327"/>
      <c r="AA618" s="2328"/>
      <c r="AB618" s="2329"/>
      <c r="AC618" s="2326"/>
      <c r="AD618" s="2330">
        <f t="shared" si="395"/>
        <v>0</v>
      </c>
      <c r="AE618" s="2330"/>
      <c r="AF618" s="2330"/>
      <c r="AG618" s="2330">
        <f t="shared" si="403"/>
        <v>0</v>
      </c>
      <c r="AH618" s="2330"/>
      <c r="AI618" s="2330"/>
      <c r="AJ618" s="2330">
        <f t="shared" si="396"/>
        <v>0</v>
      </c>
      <c r="AK618" s="2330"/>
      <c r="AL618" s="2330"/>
      <c r="AM618" s="2331">
        <f t="shared" si="397"/>
        <v>0</v>
      </c>
      <c r="AN618" s="2331"/>
      <c r="AO618" s="2331"/>
      <c r="AP618" s="2331"/>
      <c r="AQ618" s="2332">
        <f t="shared" si="398"/>
        <v>0</v>
      </c>
      <c r="AR618" s="2332"/>
      <c r="AS618" s="2332"/>
      <c r="AT618" s="2332">
        <f t="shared" si="399"/>
        <v>0</v>
      </c>
      <c r="AV618" s="151" t="str">
        <f t="shared" si="392"/>
        <v>MISC. EXTERIOR ITEMS</v>
      </c>
      <c r="AW618" s="681"/>
      <c r="AX618" s="230"/>
      <c r="AY618" s="230"/>
      <c r="AZ618" s="679"/>
      <c r="BA618" s="49">
        <f t="shared" si="400"/>
        <v>0</v>
      </c>
      <c r="BB618" s="49">
        <f t="shared" si="404"/>
        <v>0</v>
      </c>
      <c r="BC618" s="49">
        <f t="shared" si="405"/>
        <v>0</v>
      </c>
      <c r="BD618" s="49">
        <f t="shared" si="401"/>
        <v>0</v>
      </c>
      <c r="BE618" s="49">
        <f t="shared" si="409"/>
        <v>0</v>
      </c>
      <c r="BF618" s="49">
        <f t="shared" si="393"/>
        <v>0</v>
      </c>
      <c r="BG618" s="49">
        <f t="shared" si="394"/>
        <v>0</v>
      </c>
      <c r="BI618" s="134">
        <f t="shared" si="407"/>
        <v>0</v>
      </c>
      <c r="BJ618" s="134">
        <f t="shared" si="402"/>
        <v>0</v>
      </c>
      <c r="BK618" s="134">
        <f t="shared" si="408"/>
        <v>0</v>
      </c>
    </row>
    <row r="619" spans="1:63" hidden="1">
      <c r="A619" s="187"/>
      <c r="B619" s="2333"/>
      <c r="C619" s="2333"/>
      <c r="D619" s="2334"/>
      <c r="E619" s="2334"/>
      <c r="F619" s="2334"/>
      <c r="G619" s="2334"/>
      <c r="H619" s="2334"/>
      <c r="I619" s="2334"/>
      <c r="J619" s="2334"/>
      <c r="K619" s="2334"/>
      <c r="L619" s="2334"/>
      <c r="M619" s="2334"/>
      <c r="N619" s="2334"/>
      <c r="O619" s="2334"/>
      <c r="P619" s="2324"/>
      <c r="Q619" s="2324"/>
      <c r="R619" s="2325"/>
      <c r="S619" s="2324"/>
      <c r="T619" s="2324"/>
      <c r="U619" s="2326"/>
      <c r="V619" s="2327"/>
      <c r="W619" s="2327"/>
      <c r="X619" s="2327"/>
      <c r="Y619" s="2327"/>
      <c r="Z619" s="2327"/>
      <c r="AA619" s="2328"/>
      <c r="AB619" s="2329"/>
      <c r="AC619" s="2326"/>
      <c r="AD619" s="2330">
        <f>((P619*U619)-AM619)</f>
        <v>0</v>
      </c>
      <c r="AE619" s="2330"/>
      <c r="AF619" s="2330"/>
      <c r="AG619" s="2330">
        <f t="shared" si="403"/>
        <v>0</v>
      </c>
      <c r="AH619" s="2330"/>
      <c r="AI619" s="2330"/>
      <c r="AJ619" s="2330">
        <f>P619*AA619</f>
        <v>0</v>
      </c>
      <c r="AK619" s="2330"/>
      <c r="AL619" s="2330"/>
      <c r="AM619" s="2331">
        <f t="shared" si="397"/>
        <v>0</v>
      </c>
      <c r="AN619" s="2331"/>
      <c r="AO619" s="2331"/>
      <c r="AP619" s="2331"/>
      <c r="AQ619" s="2332">
        <f>SUM(AD619:AL619)</f>
        <v>0</v>
      </c>
      <c r="AR619" s="2332"/>
      <c r="AS619" s="2332"/>
      <c r="AT619" s="2332">
        <f>SUM(AD619:AL619)</f>
        <v>0</v>
      </c>
      <c r="AV619" s="151" t="str">
        <f t="shared" si="392"/>
        <v>MISC. EXTERIOR ITEMS</v>
      </c>
      <c r="AW619" s="681"/>
      <c r="AX619" s="230"/>
      <c r="AY619" s="230"/>
      <c r="AZ619" s="679"/>
      <c r="BA619" s="49">
        <f>AD619</f>
        <v>0</v>
      </c>
      <c r="BB619" s="49">
        <f>AG619</f>
        <v>0</v>
      </c>
      <c r="BC619" s="49">
        <f>AJ619</f>
        <v>0</v>
      </c>
      <c r="BD619" s="49">
        <f>IF(B619="x",1,0)</f>
        <v>0</v>
      </c>
      <c r="BE619" s="49">
        <f t="shared" si="409"/>
        <v>0</v>
      </c>
      <c r="BF619" s="49">
        <f>AQ619</f>
        <v>0</v>
      </c>
      <c r="BG619" s="49">
        <f>AM619</f>
        <v>0</v>
      </c>
      <c r="BI619" s="134">
        <f>AD619</f>
        <v>0</v>
      </c>
      <c r="BJ619" s="134">
        <f>AM619</f>
        <v>0</v>
      </c>
      <c r="BK619" s="134">
        <f>BJ619+BI619</f>
        <v>0</v>
      </c>
    </row>
    <row r="620" spans="1:63" hidden="1">
      <c r="A620" s="187"/>
      <c r="B620" s="2333"/>
      <c r="C620" s="2333"/>
      <c r="D620" s="2334"/>
      <c r="E620" s="2334"/>
      <c r="F620" s="2334"/>
      <c r="G620" s="2334"/>
      <c r="H620" s="2334"/>
      <c r="I620" s="2334"/>
      <c r="J620" s="2334"/>
      <c r="K620" s="2334"/>
      <c r="L620" s="2334"/>
      <c r="M620" s="2334"/>
      <c r="N620" s="2334"/>
      <c r="O620" s="2334"/>
      <c r="P620" s="2324"/>
      <c r="Q620" s="2324"/>
      <c r="R620" s="2325"/>
      <c r="S620" s="2324"/>
      <c r="T620" s="2324"/>
      <c r="U620" s="2326"/>
      <c r="V620" s="2327"/>
      <c r="W620" s="2327"/>
      <c r="X620" s="2327"/>
      <c r="Y620" s="2327"/>
      <c r="Z620" s="2327"/>
      <c r="AA620" s="2328"/>
      <c r="AB620" s="2329"/>
      <c r="AC620" s="2326"/>
      <c r="AD620" s="2330">
        <f>((P620*U620)-AM620)</f>
        <v>0</v>
      </c>
      <c r="AE620" s="2330"/>
      <c r="AF620" s="2330"/>
      <c r="AG620" s="2330">
        <f t="shared" si="403"/>
        <v>0</v>
      </c>
      <c r="AH620" s="2330"/>
      <c r="AI620" s="2330"/>
      <c r="AJ620" s="2330">
        <f>P620*AA620</f>
        <v>0</v>
      </c>
      <c r="AK620" s="2330"/>
      <c r="AL620" s="2330"/>
      <c r="AM620" s="2331">
        <f t="shared" si="397"/>
        <v>0</v>
      </c>
      <c r="AN620" s="2331"/>
      <c r="AO620" s="2331"/>
      <c r="AP620" s="2331"/>
      <c r="AQ620" s="2332">
        <f>SUM(AD620:AL620)</f>
        <v>0</v>
      </c>
      <c r="AR620" s="2332"/>
      <c r="AS620" s="2332"/>
      <c r="AT620" s="2332">
        <f>SUM(AD620:AL620)</f>
        <v>0</v>
      </c>
      <c r="AV620" s="151" t="str">
        <f t="shared" si="392"/>
        <v>MISC. EXTERIOR ITEMS</v>
      </c>
      <c r="AW620" s="681"/>
      <c r="AX620" s="230"/>
      <c r="AY620" s="230"/>
      <c r="AZ620" s="679"/>
      <c r="BA620" s="49">
        <f>AD620</f>
        <v>0</v>
      </c>
      <c r="BB620" s="49">
        <f>AG620</f>
        <v>0</v>
      </c>
      <c r="BC620" s="49">
        <f>AJ620</f>
        <v>0</v>
      </c>
      <c r="BD620" s="49">
        <f>IF(B620="x",1,0)</f>
        <v>0</v>
      </c>
      <c r="BE620" s="49">
        <f t="shared" si="409"/>
        <v>0</v>
      </c>
      <c r="BF620" s="49">
        <f>AQ620</f>
        <v>0</v>
      </c>
      <c r="BG620" s="49">
        <f>AM620</f>
        <v>0</v>
      </c>
      <c r="BI620" s="134">
        <f>AD620</f>
        <v>0</v>
      </c>
      <c r="BJ620" s="134">
        <f>AM620</f>
        <v>0</v>
      </c>
      <c r="BK620" s="134">
        <f>BJ620+BI620</f>
        <v>0</v>
      </c>
    </row>
    <row r="621" spans="1:63" hidden="1">
      <c r="A621" s="187"/>
      <c r="B621" s="2321"/>
      <c r="C621" s="2322"/>
      <c r="D621" s="2334"/>
      <c r="E621" s="2334"/>
      <c r="F621" s="2334"/>
      <c r="G621" s="2334"/>
      <c r="H621" s="2334"/>
      <c r="I621" s="2334"/>
      <c r="J621" s="2334"/>
      <c r="K621" s="2334"/>
      <c r="L621" s="2334"/>
      <c r="M621" s="2334"/>
      <c r="N621" s="2334"/>
      <c r="O621" s="2334"/>
      <c r="P621" s="2324"/>
      <c r="Q621" s="2324"/>
      <c r="R621" s="2325"/>
      <c r="S621" s="2324"/>
      <c r="T621" s="2324"/>
      <c r="U621" s="2326"/>
      <c r="V621" s="2327"/>
      <c r="W621" s="2327"/>
      <c r="X621" s="2327"/>
      <c r="Y621" s="2327"/>
      <c r="Z621" s="2327"/>
      <c r="AA621" s="2328"/>
      <c r="AB621" s="2329"/>
      <c r="AC621" s="2326"/>
      <c r="AD621" s="2330">
        <f>((P621*U621)-AM621)</f>
        <v>0</v>
      </c>
      <c r="AE621" s="2330"/>
      <c r="AF621" s="2330"/>
      <c r="AG621" s="2330">
        <f t="shared" si="403"/>
        <v>0</v>
      </c>
      <c r="AH621" s="2330"/>
      <c r="AI621" s="2330"/>
      <c r="AJ621" s="2330">
        <f>P621*AA621</f>
        <v>0</v>
      </c>
      <c r="AK621" s="2330"/>
      <c r="AL621" s="2330"/>
      <c r="AM621" s="2331">
        <f t="shared" si="397"/>
        <v>0</v>
      </c>
      <c r="AN621" s="2331"/>
      <c r="AO621" s="2331"/>
      <c r="AP621" s="2331"/>
      <c r="AQ621" s="2332">
        <f>SUM(AD621:AL621)</f>
        <v>0</v>
      </c>
      <c r="AR621" s="2332"/>
      <c r="AS621" s="2332"/>
      <c r="AT621" s="2332">
        <f>SUM(AD621:AL621)</f>
        <v>0</v>
      </c>
      <c r="AV621" s="151" t="str">
        <f t="shared" si="392"/>
        <v>MISC. EXTERIOR ITEMS</v>
      </c>
      <c r="AW621" s="681"/>
      <c r="AX621" s="230"/>
      <c r="AY621" s="230"/>
      <c r="AZ621" s="679"/>
      <c r="BA621" s="49">
        <f>AD621</f>
        <v>0</v>
      </c>
      <c r="BB621" s="49">
        <f>AG621</f>
        <v>0</v>
      </c>
      <c r="BC621" s="49">
        <f>AJ621</f>
        <v>0</v>
      </c>
      <c r="BD621" s="49">
        <f>IF(B621="x",1,0)</f>
        <v>0</v>
      </c>
      <c r="BE621" s="49">
        <f t="shared" si="409"/>
        <v>0</v>
      </c>
      <c r="BF621" s="49">
        <f>AQ621</f>
        <v>0</v>
      </c>
      <c r="BG621" s="49">
        <f>AM621</f>
        <v>0</v>
      </c>
      <c r="BI621" s="134">
        <f>AD621</f>
        <v>0</v>
      </c>
      <c r="BJ621" s="134">
        <f>AM621</f>
        <v>0</v>
      </c>
      <c r="BK621" s="134">
        <f>BJ621+BI621</f>
        <v>0</v>
      </c>
    </row>
    <row r="622" spans="1:63" hidden="1">
      <c r="A622" s="187"/>
      <c r="B622" s="2321"/>
      <c r="C622" s="2322"/>
      <c r="D622" s="2334"/>
      <c r="E622" s="2334"/>
      <c r="F622" s="2334"/>
      <c r="G622" s="2334"/>
      <c r="H622" s="2334"/>
      <c r="I622" s="2334"/>
      <c r="J622" s="2334"/>
      <c r="K622" s="2334"/>
      <c r="L622" s="2334"/>
      <c r="M622" s="2334"/>
      <c r="N622" s="2334"/>
      <c r="O622" s="2334"/>
      <c r="P622" s="2324"/>
      <c r="Q622" s="2324"/>
      <c r="R622" s="2325"/>
      <c r="S622" s="2324"/>
      <c r="T622" s="2324"/>
      <c r="U622" s="2326"/>
      <c r="V622" s="2327"/>
      <c r="W622" s="2327"/>
      <c r="X622" s="2327"/>
      <c r="Y622" s="2327"/>
      <c r="Z622" s="2327"/>
      <c r="AA622" s="2328"/>
      <c r="AB622" s="2329"/>
      <c r="AC622" s="2326"/>
      <c r="AD622" s="2330">
        <f>((P622*U622)-AM622)</f>
        <v>0</v>
      </c>
      <c r="AE622" s="2330"/>
      <c r="AF622" s="2330"/>
      <c r="AG622" s="2330">
        <f t="shared" si="403"/>
        <v>0</v>
      </c>
      <c r="AH622" s="2330"/>
      <c r="AI622" s="2330"/>
      <c r="AJ622" s="2330">
        <f>P622*AA622</f>
        <v>0</v>
      </c>
      <c r="AK622" s="2330"/>
      <c r="AL622" s="2330"/>
      <c r="AM622" s="2331">
        <f t="shared" si="397"/>
        <v>0</v>
      </c>
      <c r="AN622" s="2331"/>
      <c r="AO622" s="2331"/>
      <c r="AP622" s="2331"/>
      <c r="AQ622" s="2332">
        <f>SUM(AD622:AL622)</f>
        <v>0</v>
      </c>
      <c r="AR622" s="2332"/>
      <c r="AS622" s="2332"/>
      <c r="AT622" s="2332">
        <f>SUM(AD622:AL622)</f>
        <v>0</v>
      </c>
      <c r="AV622" s="151" t="str">
        <f t="shared" si="392"/>
        <v>MISC. EXTERIOR ITEMS</v>
      </c>
      <c r="AW622" s="681"/>
      <c r="AX622" s="230"/>
      <c r="AY622" s="230"/>
      <c r="AZ622" s="679"/>
      <c r="BA622" s="49">
        <f>AD622</f>
        <v>0</v>
      </c>
      <c r="BB622" s="49">
        <f>AG622</f>
        <v>0</v>
      </c>
      <c r="BC622" s="49">
        <f>AJ622</f>
        <v>0</v>
      </c>
      <c r="BD622" s="49">
        <f>IF(B622="x",1,0)</f>
        <v>0</v>
      </c>
      <c r="BE622" s="49">
        <f t="shared" si="409"/>
        <v>0</v>
      </c>
      <c r="BF622" s="49">
        <f>AQ622</f>
        <v>0</v>
      </c>
      <c r="BG622" s="49">
        <f>AM622</f>
        <v>0</v>
      </c>
      <c r="BI622" s="134">
        <f>AD622</f>
        <v>0</v>
      </c>
      <c r="BJ622" s="134">
        <f>AM622</f>
        <v>0</v>
      </c>
      <c r="BK622" s="134">
        <f>BJ622+BI622</f>
        <v>0</v>
      </c>
    </row>
    <row r="623" spans="1:63" ht="5.0999999999999996" hidden="1" customHeight="1">
      <c r="A623" s="187"/>
      <c r="B623" s="64"/>
      <c r="C623" s="64"/>
      <c r="D623" s="885"/>
      <c r="E623" s="885"/>
      <c r="F623" s="885"/>
      <c r="G623" s="885"/>
      <c r="H623" s="885"/>
      <c r="I623" s="885"/>
      <c r="J623" s="885"/>
      <c r="K623" s="885"/>
      <c r="L623" s="885"/>
      <c r="M623" s="885"/>
      <c r="N623" s="885"/>
      <c r="O623" s="885"/>
      <c r="P623" s="66"/>
      <c r="Q623" s="66"/>
      <c r="R623" s="66"/>
      <c r="S623" s="66"/>
      <c r="T623" s="66"/>
      <c r="U623" s="67"/>
      <c r="V623" s="67"/>
      <c r="W623" s="67"/>
      <c r="X623" s="67"/>
      <c r="Y623" s="67"/>
      <c r="Z623" s="67"/>
      <c r="AA623" s="67"/>
      <c r="AB623" s="67"/>
      <c r="AC623" s="67"/>
      <c r="AD623" s="68"/>
      <c r="AE623" s="68"/>
      <c r="AF623" s="68"/>
      <c r="AG623" s="68"/>
      <c r="AH623" s="68"/>
      <c r="AI623" s="68"/>
      <c r="AJ623" s="68"/>
      <c r="AK623" s="68"/>
      <c r="AL623" s="68"/>
      <c r="AM623" s="69"/>
      <c r="AN623" s="69"/>
      <c r="AO623" s="69"/>
      <c r="AP623" s="69"/>
      <c r="AQ623" s="661"/>
      <c r="AR623" s="661"/>
      <c r="AS623" s="661"/>
      <c r="AT623" s="661"/>
      <c r="AV623" s="369" t="str">
        <f t="shared" si="392"/>
        <v>MISC. EXTERIOR ITEMS</v>
      </c>
      <c r="AW623" s="696"/>
      <c r="AX623" s="696"/>
      <c r="AY623" s="696"/>
      <c r="AZ623" s="369"/>
      <c r="BA623" s="75">
        <f>BA582</f>
        <v>0</v>
      </c>
      <c r="BB623" s="75">
        <f>BB582</f>
        <v>0</v>
      </c>
      <c r="BC623" s="75">
        <f>BC582</f>
        <v>0</v>
      </c>
      <c r="BD623" s="75">
        <f>BD582</f>
        <v>0</v>
      </c>
      <c r="BE623" s="75">
        <f>BE582</f>
        <v>0</v>
      </c>
      <c r="BF623" s="75"/>
      <c r="BG623" s="75"/>
      <c r="BI623" s="75"/>
      <c r="BJ623" s="75"/>
      <c r="BK623" s="75"/>
    </row>
    <row r="624" spans="1:63" ht="21.6" hidden="1" customHeight="1">
      <c r="A624" s="187"/>
      <c r="B624" s="2341"/>
      <c r="C624" s="2341"/>
      <c r="D624" s="886"/>
      <c r="E624" s="886"/>
      <c r="F624" s="886"/>
      <c r="G624" s="886"/>
      <c r="H624" s="886"/>
      <c r="I624" s="886"/>
      <c r="J624" s="886"/>
      <c r="K624" s="886"/>
      <c r="L624" s="886"/>
      <c r="M624" s="886"/>
      <c r="N624" s="886"/>
      <c r="O624" s="886"/>
      <c r="P624" s="37"/>
      <c r="Q624" s="37"/>
      <c r="R624" s="37"/>
      <c r="S624" s="37"/>
      <c r="T624" s="37"/>
      <c r="U624" s="37"/>
      <c r="V624" s="37"/>
      <c r="W624" s="37"/>
      <c r="X624" s="37"/>
      <c r="Y624" s="37"/>
      <c r="Z624" s="37"/>
      <c r="AA624" s="37"/>
      <c r="AB624" s="37"/>
      <c r="AC624" s="370" t="str">
        <f>CONCATENATE(D582," ","TOTAL")</f>
        <v>MISC. EXTERIOR ITEMS TOTAL</v>
      </c>
      <c r="AD624" s="2342">
        <f>SUBTOTAL(9,AD583:AD623)</f>
        <v>0</v>
      </c>
      <c r="AE624" s="2342"/>
      <c r="AF624" s="2342"/>
      <c r="AG624" s="2342">
        <f>SUBTOTAL(9,AG583:AG623)</f>
        <v>0</v>
      </c>
      <c r="AH624" s="2342"/>
      <c r="AI624" s="2342"/>
      <c r="AJ624" s="2342">
        <f>SUBTOTAL(9,AJ583:AJ623)</f>
        <v>0</v>
      </c>
      <c r="AK624" s="2342"/>
      <c r="AL624" s="2342"/>
      <c r="AM624" s="2342">
        <f>SUBTOTAL(9,AM583:AM623)</f>
        <v>0</v>
      </c>
      <c r="AN624" s="2342"/>
      <c r="AO624" s="2342"/>
      <c r="AP624" s="2342"/>
      <c r="AQ624" s="2336">
        <f>SUBTOTAL(9,AQ583:AQ623)</f>
        <v>0</v>
      </c>
      <c r="AR624" s="2336"/>
      <c r="AS624" s="2336"/>
      <c r="AT624" s="2336" t="e">
        <f>SUM(AT580:AT615)</f>
        <v>#REF!</v>
      </c>
      <c r="AV624" s="151" t="str">
        <f t="shared" si="392"/>
        <v>MISC. EXTERIOR ITEMS</v>
      </c>
      <c r="AW624" s="682"/>
      <c r="AX624" s="695"/>
      <c r="AY624" s="695"/>
      <c r="AZ624" s="274"/>
      <c r="BA624" s="74">
        <f>BA582</f>
        <v>0</v>
      </c>
      <c r="BB624" s="74">
        <f>BB582</f>
        <v>0</v>
      </c>
      <c r="BC624" s="74">
        <f>BC582</f>
        <v>0</v>
      </c>
      <c r="BD624" s="74">
        <f>BD582</f>
        <v>0</v>
      </c>
      <c r="BE624" s="74">
        <f>BE582</f>
        <v>0</v>
      </c>
      <c r="BF624" s="74">
        <f>SUM(BF582:BF623)</f>
        <v>0</v>
      </c>
      <c r="BG624" s="49">
        <f>SUM(BG582:BG623)</f>
        <v>0</v>
      </c>
      <c r="BI624" s="74">
        <f>SUM(BI583:BI623)</f>
        <v>0</v>
      </c>
      <c r="BJ624" s="74">
        <f>SUM(BJ583:BJ623)</f>
        <v>0</v>
      </c>
      <c r="BK624" s="49">
        <f>SUM(BK583:BK623)</f>
        <v>0</v>
      </c>
    </row>
    <row r="625" spans="1:63" ht="5.0999999999999996" hidden="1" customHeight="1">
      <c r="A625" s="187"/>
      <c r="B625" s="64"/>
      <c r="C625" s="64"/>
      <c r="D625" s="885"/>
      <c r="E625" s="885"/>
      <c r="F625" s="885"/>
      <c r="G625" s="885"/>
      <c r="H625" s="885"/>
      <c r="I625" s="885"/>
      <c r="J625" s="885"/>
      <c r="K625" s="885"/>
      <c r="L625" s="885"/>
      <c r="M625" s="885"/>
      <c r="N625" s="885"/>
      <c r="O625" s="885"/>
      <c r="P625" s="66"/>
      <c r="Q625" s="66"/>
      <c r="R625" s="66"/>
      <c r="S625" s="66"/>
      <c r="T625" s="66"/>
      <c r="U625" s="67"/>
      <c r="V625" s="67"/>
      <c r="W625" s="67"/>
      <c r="X625" s="67"/>
      <c r="Y625" s="67"/>
      <c r="Z625" s="67"/>
      <c r="AA625" s="67"/>
      <c r="AB625" s="67"/>
      <c r="AC625" s="67"/>
      <c r="AD625" s="68"/>
      <c r="AE625" s="68"/>
      <c r="AF625" s="68"/>
      <c r="AG625" s="68"/>
      <c r="AH625" s="68"/>
      <c r="AI625" s="68"/>
      <c r="AJ625" s="68"/>
      <c r="AK625" s="68"/>
      <c r="AL625" s="68"/>
      <c r="AM625" s="69"/>
      <c r="AN625" s="69"/>
      <c r="AO625" s="69"/>
      <c r="AP625" s="69"/>
      <c r="AQ625" s="661"/>
      <c r="AR625" s="661"/>
      <c r="AS625" s="661"/>
      <c r="AT625" s="661"/>
      <c r="AV625" s="369" t="str">
        <f t="shared" si="392"/>
        <v>MISC. EXTERIOR ITEMS</v>
      </c>
      <c r="AW625" s="696"/>
      <c r="AX625" s="696"/>
      <c r="AY625" s="696"/>
      <c r="AZ625" s="369"/>
      <c r="BA625" s="75">
        <f>BA582</f>
        <v>0</v>
      </c>
      <c r="BB625" s="75">
        <f>BB582</f>
        <v>0</v>
      </c>
      <c r="BC625" s="75">
        <f>BC582</f>
        <v>0</v>
      </c>
      <c r="BD625" s="75">
        <f>BD582</f>
        <v>0</v>
      </c>
      <c r="BE625" s="75">
        <f>BE582</f>
        <v>0</v>
      </c>
      <c r="BF625" s="75"/>
      <c r="BG625" s="75"/>
      <c r="BI625" s="75"/>
      <c r="BJ625" s="75"/>
      <c r="BK625" s="75"/>
    </row>
    <row r="626" spans="1:63" ht="9.6" hidden="1" customHeight="1">
      <c r="A626" s="187"/>
      <c r="B626" s="71"/>
      <c r="C626" s="71"/>
      <c r="D626" s="887"/>
      <c r="E626" s="887"/>
      <c r="F626" s="887"/>
      <c r="G626" s="887"/>
      <c r="H626" s="887"/>
      <c r="I626" s="887"/>
      <c r="J626" s="887"/>
      <c r="K626" s="887"/>
      <c r="L626" s="887"/>
      <c r="M626" s="887"/>
      <c r="N626" s="887"/>
      <c r="O626" s="887"/>
      <c r="P626" s="72"/>
      <c r="Q626" s="72"/>
      <c r="R626" s="72"/>
      <c r="S626" s="72"/>
      <c r="T626" s="72"/>
      <c r="U626" s="72"/>
      <c r="V626" s="72"/>
      <c r="W626" s="72"/>
      <c r="X626" s="72"/>
      <c r="Y626" s="72"/>
      <c r="Z626" s="72"/>
      <c r="AA626" s="72"/>
      <c r="AB626" s="72"/>
      <c r="AC626" s="73"/>
      <c r="AD626" s="662"/>
      <c r="AE626" s="662"/>
      <c r="AF626" s="662"/>
      <c r="AG626" s="662"/>
      <c r="AH626" s="662"/>
      <c r="AI626" s="662"/>
      <c r="AJ626" s="662"/>
      <c r="AK626" s="662"/>
      <c r="AL626" s="662"/>
      <c r="AM626" s="662"/>
      <c r="AN626" s="662"/>
      <c r="AO626" s="662"/>
      <c r="AP626" s="662"/>
      <c r="AQ626" s="663"/>
      <c r="AR626" s="663"/>
      <c r="AS626" s="663"/>
      <c r="AT626" s="663"/>
      <c r="AV626" s="371" t="str">
        <f t="shared" si="392"/>
        <v>MISC. EXTERIOR ITEMS</v>
      </c>
      <c r="AW626" s="699"/>
      <c r="AX626" s="801"/>
      <c r="AY626" s="801"/>
      <c r="AZ626" s="371"/>
      <c r="BA626" s="125">
        <f>BA624</f>
        <v>0</v>
      </c>
      <c r="BB626" s="125">
        <f t="shared" ref="BB626:BG626" si="423">BB624</f>
        <v>0</v>
      </c>
      <c r="BC626" s="125">
        <f>BC624</f>
        <v>0</v>
      </c>
      <c r="BD626" s="125">
        <f t="shared" si="423"/>
        <v>0</v>
      </c>
      <c r="BE626" s="125">
        <f t="shared" si="423"/>
        <v>0</v>
      </c>
      <c r="BF626" s="125">
        <f t="shared" si="423"/>
        <v>0</v>
      </c>
      <c r="BG626" s="125">
        <f t="shared" si="423"/>
        <v>0</v>
      </c>
      <c r="BI626" s="125"/>
      <c r="BJ626" s="125"/>
      <c r="BK626" s="125"/>
    </row>
    <row r="627" spans="1:63" ht="23.1" customHeight="1">
      <c r="A627" s="186" t="s">
        <v>952</v>
      </c>
      <c r="B627" s="2343"/>
      <c r="C627" s="2344"/>
      <c r="D627" s="2387" t="str">
        <f>T(Y79)</f>
        <v>FRAMING &amp; DRYWALL</v>
      </c>
      <c r="E627" s="2388"/>
      <c r="F627" s="2388"/>
      <c r="G627" s="2388"/>
      <c r="H627" s="2388"/>
      <c r="I627" s="2388"/>
      <c r="J627" s="2388"/>
      <c r="K627" s="2388"/>
      <c r="L627" s="2388"/>
      <c r="M627" s="2388"/>
      <c r="N627" s="2388"/>
      <c r="O627" s="2389"/>
      <c r="P627" s="2345"/>
      <c r="Q627" s="2345"/>
      <c r="R627" s="2345"/>
      <c r="S627" s="2346"/>
      <c r="T627" s="2347"/>
      <c r="U627" s="2348"/>
      <c r="V627" s="2348"/>
      <c r="W627" s="2348"/>
      <c r="X627" s="2348"/>
      <c r="Y627" s="2348"/>
      <c r="Z627" s="2348"/>
      <c r="AA627" s="2348"/>
      <c r="AB627" s="2348"/>
      <c r="AC627" s="2348"/>
      <c r="AD627" s="2342">
        <f>AD669</f>
        <v>0</v>
      </c>
      <c r="AE627" s="2342"/>
      <c r="AF627" s="2342"/>
      <c r="AG627" s="2342">
        <f>AG669</f>
        <v>0</v>
      </c>
      <c r="AH627" s="2342"/>
      <c r="AI627" s="2342"/>
      <c r="AJ627" s="2342">
        <f>AJ669</f>
        <v>0</v>
      </c>
      <c r="AK627" s="2342"/>
      <c r="AL627" s="2342"/>
      <c r="AM627" s="2342">
        <f>AM669</f>
        <v>0</v>
      </c>
      <c r="AN627" s="2342"/>
      <c r="AO627" s="2342"/>
      <c r="AP627" s="2342"/>
      <c r="AQ627" s="2336">
        <f>AQ669</f>
        <v>0</v>
      </c>
      <c r="AR627" s="2336"/>
      <c r="AS627" s="2336"/>
      <c r="AT627" s="2336" t="e">
        <f>SUM(#REF!)</f>
        <v>#REF!</v>
      </c>
      <c r="AV627" s="151" t="str">
        <f t="shared" ref="AV627:AV671" si="424">$D$627</f>
        <v>FRAMING &amp; DRYWALL</v>
      </c>
      <c r="AW627" s="700"/>
      <c r="AX627" s="700"/>
      <c r="AY627" s="700"/>
      <c r="AZ627" s="701"/>
      <c r="BA627" s="49">
        <f>SUM(BA628:BA667)</f>
        <v>0</v>
      </c>
      <c r="BB627" s="49">
        <f>SUM(BB628:BB667)</f>
        <v>0</v>
      </c>
      <c r="BC627" s="49">
        <f>SUM(BC628:BC667)</f>
        <v>0</v>
      </c>
      <c r="BD627" s="49">
        <f>SUM(BD628:BD667)</f>
        <v>0</v>
      </c>
      <c r="BE627" s="49">
        <f>SUM(BE628:BE667)</f>
        <v>0</v>
      </c>
      <c r="BF627" s="49">
        <f t="shared" ref="BF627:BF647" si="425">AQ627</f>
        <v>0</v>
      </c>
      <c r="BG627" s="49">
        <f t="shared" ref="BG627:BG647" si="426">AM627</f>
        <v>0</v>
      </c>
      <c r="BI627" s="134">
        <f>AD627</f>
        <v>0</v>
      </c>
      <c r="BJ627" s="134">
        <f>AM627</f>
        <v>0</v>
      </c>
      <c r="BK627" s="134">
        <f>BJ627+BI627</f>
        <v>0</v>
      </c>
    </row>
    <row r="628" spans="1:63" hidden="1">
      <c r="A628" s="187"/>
      <c r="B628" s="2321"/>
      <c r="C628" s="2322"/>
      <c r="D628" s="2337" t="s">
        <v>260</v>
      </c>
      <c r="E628" s="2337"/>
      <c r="F628" s="2337"/>
      <c r="G628" s="2337"/>
      <c r="H628" s="2337"/>
      <c r="I628" s="2337"/>
      <c r="J628" s="2337"/>
      <c r="K628" s="2337"/>
      <c r="L628" s="2337"/>
      <c r="M628" s="2337"/>
      <c r="N628" s="2337"/>
      <c r="O628" s="2337"/>
      <c r="P628" s="2324"/>
      <c r="Q628" s="2324"/>
      <c r="R628" s="2325"/>
      <c r="S628" s="2324"/>
      <c r="T628" s="2324"/>
      <c r="U628" s="2326"/>
      <c r="V628" s="2327"/>
      <c r="W628" s="2327"/>
      <c r="X628" s="2327"/>
      <c r="Y628" s="2327"/>
      <c r="Z628" s="2327"/>
      <c r="AA628" s="2328"/>
      <c r="AB628" s="2329"/>
      <c r="AC628" s="2326"/>
      <c r="AD628" s="2330">
        <f t="shared" ref="AD628:AD647" si="427">((P628*U628)-AM628)</f>
        <v>0</v>
      </c>
      <c r="AE628" s="2330"/>
      <c r="AF628" s="2330"/>
      <c r="AG628" s="2330">
        <f>P628*X628*(1+$Y$85)</f>
        <v>0</v>
      </c>
      <c r="AH628" s="2330"/>
      <c r="AI628" s="2330"/>
      <c r="AJ628" s="2330">
        <f t="shared" ref="AJ628:AJ647" si="428">P628*AA628</f>
        <v>0</v>
      </c>
      <c r="AK628" s="2330"/>
      <c r="AL628" s="2330"/>
      <c r="AM628" s="2331">
        <f t="shared" ref="AM628:AM667" si="429">IF($B628="x",$P628*$U628,0)</f>
        <v>0</v>
      </c>
      <c r="AN628" s="2331"/>
      <c r="AO628" s="2331"/>
      <c r="AP628" s="2331"/>
      <c r="AQ628" s="2332">
        <f t="shared" ref="AQ628:AQ647" si="430">SUM(AD628:AL628)</f>
        <v>0</v>
      </c>
      <c r="AR628" s="2332"/>
      <c r="AS628" s="2332"/>
      <c r="AT628" s="2332">
        <f t="shared" ref="AT628:AT647" si="431">SUM(AD628:AL628)</f>
        <v>0</v>
      </c>
      <c r="AV628" s="151" t="str">
        <f t="shared" si="424"/>
        <v>FRAMING &amp; DRYWALL</v>
      </c>
      <c r="AW628" s="681"/>
      <c r="AX628" s="230"/>
      <c r="AY628" s="230"/>
      <c r="AZ628" s="679"/>
      <c r="BA628" s="49">
        <f t="shared" ref="BA628:BA647" si="432">AD628</f>
        <v>0</v>
      </c>
      <c r="BB628" s="49">
        <f>AG628</f>
        <v>0</v>
      </c>
      <c r="BC628" s="49">
        <f>AJ628</f>
        <v>0</v>
      </c>
      <c r="BD628" s="49">
        <f t="shared" ref="BD628:BD647" si="433">IF(B628="x",1,0)</f>
        <v>0</v>
      </c>
      <c r="BE628" s="49">
        <f>SUM(BA628:BC628)</f>
        <v>0</v>
      </c>
      <c r="BF628" s="49">
        <f t="shared" si="425"/>
        <v>0</v>
      </c>
      <c r="BG628" s="49">
        <f t="shared" si="426"/>
        <v>0</v>
      </c>
      <c r="BI628" s="134">
        <f>AD628</f>
        <v>0</v>
      </c>
      <c r="BJ628" s="134">
        <f t="shared" ref="BJ628:BJ647" si="434">AM628</f>
        <v>0</v>
      </c>
      <c r="BK628" s="134">
        <f>BJ628+BI628</f>
        <v>0</v>
      </c>
    </row>
    <row r="629" spans="1:63" hidden="1">
      <c r="A629" s="187"/>
      <c r="B629" s="2321"/>
      <c r="C629" s="2322"/>
      <c r="D629" s="2338" t="s">
        <v>58</v>
      </c>
      <c r="E629" s="2338"/>
      <c r="F629" s="2338"/>
      <c r="G629" s="2338"/>
      <c r="H629" s="2338"/>
      <c r="I629" s="2338"/>
      <c r="J629" s="2338"/>
      <c r="K629" s="2338"/>
      <c r="L629" s="2338"/>
      <c r="M629" s="2338"/>
      <c r="N629" s="2338"/>
      <c r="O629" s="2338"/>
      <c r="P629" s="2324"/>
      <c r="Q629" s="2324"/>
      <c r="R629" s="2325"/>
      <c r="S629" s="2324" t="s">
        <v>3</v>
      </c>
      <c r="T629" s="2324" t="s">
        <v>3</v>
      </c>
      <c r="U629" s="2326"/>
      <c r="V629" s="2327"/>
      <c r="W629" s="2327"/>
      <c r="X629" s="2327"/>
      <c r="Y629" s="2327"/>
      <c r="Z629" s="2327"/>
      <c r="AA629" s="2328">
        <v>750</v>
      </c>
      <c r="AB629" s="2329"/>
      <c r="AC629" s="2326"/>
      <c r="AD629" s="2330">
        <f t="shared" si="427"/>
        <v>0</v>
      </c>
      <c r="AE629" s="2330"/>
      <c r="AF629" s="2330"/>
      <c r="AG629" s="2330">
        <f t="shared" ref="AG629:AG667" si="435">P629*X629*(1+$Y$85)</f>
        <v>0</v>
      </c>
      <c r="AH629" s="2330"/>
      <c r="AI629" s="2330"/>
      <c r="AJ629" s="2330">
        <f t="shared" si="428"/>
        <v>0</v>
      </c>
      <c r="AK629" s="2330"/>
      <c r="AL629" s="2330"/>
      <c r="AM629" s="2331">
        <f t="shared" si="429"/>
        <v>0</v>
      </c>
      <c r="AN629" s="2331"/>
      <c r="AO629" s="2331"/>
      <c r="AP629" s="2331"/>
      <c r="AQ629" s="2332">
        <f t="shared" si="430"/>
        <v>0</v>
      </c>
      <c r="AR629" s="2332"/>
      <c r="AS629" s="2332"/>
      <c r="AT629" s="2332">
        <f t="shared" si="431"/>
        <v>0</v>
      </c>
      <c r="AV629" s="151" t="str">
        <f t="shared" si="424"/>
        <v>FRAMING &amp; DRYWALL</v>
      </c>
      <c r="AW629" s="681"/>
      <c r="AX629" s="230"/>
      <c r="AY629" s="230"/>
      <c r="AZ629" s="679"/>
      <c r="BA629" s="49">
        <f t="shared" si="432"/>
        <v>0</v>
      </c>
      <c r="BB629" s="49">
        <f t="shared" ref="BB629:BB647" si="436">AG629</f>
        <v>0</v>
      </c>
      <c r="BC629" s="49">
        <f t="shared" ref="BC629:BC647" si="437">AJ629</f>
        <v>0</v>
      </c>
      <c r="BD629" s="49">
        <f t="shared" si="433"/>
        <v>0</v>
      </c>
      <c r="BE629" s="49">
        <f t="shared" ref="BE629:BE645" si="438">SUM(BA629:BC629)</f>
        <v>0</v>
      </c>
      <c r="BF629" s="49">
        <f t="shared" si="425"/>
        <v>0</v>
      </c>
      <c r="BG629" s="49">
        <f t="shared" si="426"/>
        <v>0</v>
      </c>
      <c r="BI629" s="134">
        <f t="shared" ref="BI629:BI647" si="439">AD629</f>
        <v>0</v>
      </c>
      <c r="BJ629" s="134">
        <f t="shared" si="434"/>
        <v>0</v>
      </c>
      <c r="BK629" s="134">
        <f t="shared" ref="BK629:BK647" si="440">BJ629+BI629</f>
        <v>0</v>
      </c>
    </row>
    <row r="630" spans="1:63" hidden="1">
      <c r="A630" s="187"/>
      <c r="B630" s="2333"/>
      <c r="C630" s="2333"/>
      <c r="D630" s="2334" t="s">
        <v>434</v>
      </c>
      <c r="E630" s="2334"/>
      <c r="F630" s="2334"/>
      <c r="G630" s="2334"/>
      <c r="H630" s="2334"/>
      <c r="I630" s="2334"/>
      <c r="J630" s="2334"/>
      <c r="K630" s="2334"/>
      <c r="L630" s="2334"/>
      <c r="M630" s="2334"/>
      <c r="N630" s="2334"/>
      <c r="O630" s="2334"/>
      <c r="P630" s="2324"/>
      <c r="Q630" s="2324"/>
      <c r="R630" s="2325"/>
      <c r="S630" s="2324" t="s">
        <v>11</v>
      </c>
      <c r="T630" s="2324" t="s">
        <v>11</v>
      </c>
      <c r="U630" s="2326">
        <v>1</v>
      </c>
      <c r="V630" s="2327"/>
      <c r="W630" s="2327"/>
      <c r="X630" s="2327">
        <v>0.85</v>
      </c>
      <c r="Y630" s="2327"/>
      <c r="Z630" s="2327">
        <v>0.85</v>
      </c>
      <c r="AA630" s="2328"/>
      <c r="AB630" s="2329"/>
      <c r="AC630" s="2326"/>
      <c r="AD630" s="2330">
        <f t="shared" si="427"/>
        <v>0</v>
      </c>
      <c r="AE630" s="2330"/>
      <c r="AF630" s="2330"/>
      <c r="AG630" s="2330">
        <f t="shared" si="435"/>
        <v>0</v>
      </c>
      <c r="AH630" s="2330"/>
      <c r="AI630" s="2330"/>
      <c r="AJ630" s="2330">
        <f t="shared" si="428"/>
        <v>0</v>
      </c>
      <c r="AK630" s="2330"/>
      <c r="AL630" s="2330"/>
      <c r="AM630" s="2331">
        <f t="shared" si="429"/>
        <v>0</v>
      </c>
      <c r="AN630" s="2331"/>
      <c r="AO630" s="2331"/>
      <c r="AP630" s="2331"/>
      <c r="AQ630" s="2332">
        <f t="shared" si="430"/>
        <v>0</v>
      </c>
      <c r="AR630" s="2332"/>
      <c r="AS630" s="2332"/>
      <c r="AT630" s="2332">
        <f t="shared" si="431"/>
        <v>0</v>
      </c>
      <c r="AV630" s="151" t="str">
        <f t="shared" si="424"/>
        <v>FRAMING &amp; DRYWALL</v>
      </c>
      <c r="AW630" s="681"/>
      <c r="AX630" s="230"/>
      <c r="AY630" s="230"/>
      <c r="AZ630" s="679"/>
      <c r="BA630" s="49">
        <f t="shared" si="432"/>
        <v>0</v>
      </c>
      <c r="BB630" s="49">
        <f t="shared" si="436"/>
        <v>0</v>
      </c>
      <c r="BC630" s="49">
        <f t="shared" si="437"/>
        <v>0</v>
      </c>
      <c r="BD630" s="49">
        <f t="shared" si="433"/>
        <v>0</v>
      </c>
      <c r="BE630" s="49">
        <f t="shared" si="438"/>
        <v>0</v>
      </c>
      <c r="BF630" s="49">
        <f t="shared" si="425"/>
        <v>0</v>
      </c>
      <c r="BG630" s="49">
        <f t="shared" si="426"/>
        <v>0</v>
      </c>
      <c r="BI630" s="134">
        <f t="shared" si="439"/>
        <v>0</v>
      </c>
      <c r="BJ630" s="134">
        <f t="shared" si="434"/>
        <v>0</v>
      </c>
      <c r="BK630" s="134">
        <f t="shared" si="440"/>
        <v>0</v>
      </c>
    </row>
    <row r="631" spans="1:63" hidden="1">
      <c r="A631" s="187"/>
      <c r="B631" s="2333"/>
      <c r="C631" s="2333"/>
      <c r="D631" s="2334" t="s">
        <v>441</v>
      </c>
      <c r="E631" s="2334"/>
      <c r="F631" s="2334"/>
      <c r="G631" s="2334"/>
      <c r="H631" s="2334"/>
      <c r="I631" s="2334"/>
      <c r="J631" s="2334"/>
      <c r="K631" s="2334"/>
      <c r="L631" s="2334"/>
      <c r="M631" s="2334"/>
      <c r="N631" s="2334"/>
      <c r="O631" s="2334"/>
      <c r="P631" s="2324"/>
      <c r="Q631" s="2324"/>
      <c r="R631" s="2325"/>
      <c r="S631" s="2324" t="s">
        <v>11</v>
      </c>
      <c r="T631" s="2324" t="s">
        <v>11</v>
      </c>
      <c r="U631" s="2326">
        <v>1</v>
      </c>
      <c r="V631" s="2327"/>
      <c r="W631" s="2327"/>
      <c r="X631" s="2327">
        <v>1.75</v>
      </c>
      <c r="Y631" s="2327"/>
      <c r="Z631" s="2327"/>
      <c r="AA631" s="2328"/>
      <c r="AB631" s="2329"/>
      <c r="AC631" s="2326"/>
      <c r="AD631" s="2330">
        <f t="shared" si="427"/>
        <v>0</v>
      </c>
      <c r="AE631" s="2330"/>
      <c r="AF631" s="2330"/>
      <c r="AG631" s="2330">
        <f t="shared" si="435"/>
        <v>0</v>
      </c>
      <c r="AH631" s="2330"/>
      <c r="AI631" s="2330"/>
      <c r="AJ631" s="2330">
        <f t="shared" si="428"/>
        <v>0</v>
      </c>
      <c r="AK631" s="2330"/>
      <c r="AL631" s="2330"/>
      <c r="AM631" s="2331">
        <f t="shared" si="429"/>
        <v>0</v>
      </c>
      <c r="AN631" s="2331"/>
      <c r="AO631" s="2331"/>
      <c r="AP631" s="2331"/>
      <c r="AQ631" s="2332">
        <f t="shared" si="430"/>
        <v>0</v>
      </c>
      <c r="AR631" s="2332"/>
      <c r="AS631" s="2332"/>
      <c r="AT631" s="2332">
        <f t="shared" si="431"/>
        <v>0</v>
      </c>
      <c r="AV631" s="151" t="str">
        <f t="shared" si="424"/>
        <v>FRAMING &amp; DRYWALL</v>
      </c>
      <c r="AW631" s="681"/>
      <c r="AX631" s="230"/>
      <c r="AY631" s="230"/>
      <c r="AZ631" s="679"/>
      <c r="BA631" s="49">
        <f t="shared" si="432"/>
        <v>0</v>
      </c>
      <c r="BB631" s="49">
        <f t="shared" si="436"/>
        <v>0</v>
      </c>
      <c r="BC631" s="49">
        <f t="shared" si="437"/>
        <v>0</v>
      </c>
      <c r="BD631" s="49">
        <f t="shared" si="433"/>
        <v>0</v>
      </c>
      <c r="BE631" s="49">
        <f t="shared" si="438"/>
        <v>0</v>
      </c>
      <c r="BF631" s="49">
        <f t="shared" si="425"/>
        <v>0</v>
      </c>
      <c r="BG631" s="49">
        <f t="shared" si="426"/>
        <v>0</v>
      </c>
      <c r="BI631" s="134">
        <f t="shared" si="439"/>
        <v>0</v>
      </c>
      <c r="BJ631" s="134">
        <f t="shared" si="434"/>
        <v>0</v>
      </c>
      <c r="BK631" s="134">
        <f t="shared" si="440"/>
        <v>0</v>
      </c>
    </row>
    <row r="632" spans="1:63" hidden="1">
      <c r="A632" s="187"/>
      <c r="B632" s="2321"/>
      <c r="C632" s="2322"/>
      <c r="D632" s="2334" t="s">
        <v>442</v>
      </c>
      <c r="E632" s="2334"/>
      <c r="F632" s="2334"/>
      <c r="G632" s="2334"/>
      <c r="H632" s="2334"/>
      <c r="I632" s="2334"/>
      <c r="J632" s="2334"/>
      <c r="K632" s="2334"/>
      <c r="L632" s="2334"/>
      <c r="M632" s="2334"/>
      <c r="N632" s="2334"/>
      <c r="O632" s="2334"/>
      <c r="P632" s="2324"/>
      <c r="Q632" s="2324"/>
      <c r="R632" s="2325"/>
      <c r="S632" s="2324" t="s">
        <v>11</v>
      </c>
      <c r="T632" s="2324" t="s">
        <v>11</v>
      </c>
      <c r="U632" s="2326">
        <v>1.25</v>
      </c>
      <c r="V632" s="2327"/>
      <c r="W632" s="2327"/>
      <c r="X632" s="2327">
        <v>1.75</v>
      </c>
      <c r="Y632" s="2327"/>
      <c r="Z632" s="2327">
        <v>1.75</v>
      </c>
      <c r="AA632" s="2328"/>
      <c r="AB632" s="2329"/>
      <c r="AC632" s="2326"/>
      <c r="AD632" s="2330">
        <f t="shared" si="427"/>
        <v>0</v>
      </c>
      <c r="AE632" s="2330"/>
      <c r="AF632" s="2330"/>
      <c r="AG632" s="2330">
        <f t="shared" si="435"/>
        <v>0</v>
      </c>
      <c r="AH632" s="2330"/>
      <c r="AI632" s="2330"/>
      <c r="AJ632" s="2330">
        <f t="shared" si="428"/>
        <v>0</v>
      </c>
      <c r="AK632" s="2330"/>
      <c r="AL632" s="2330"/>
      <c r="AM632" s="2331">
        <f t="shared" si="429"/>
        <v>0</v>
      </c>
      <c r="AN632" s="2331"/>
      <c r="AO632" s="2331"/>
      <c r="AP632" s="2331"/>
      <c r="AQ632" s="2332">
        <f t="shared" si="430"/>
        <v>0</v>
      </c>
      <c r="AR632" s="2332"/>
      <c r="AS632" s="2332"/>
      <c r="AT632" s="2332">
        <f t="shared" si="431"/>
        <v>0</v>
      </c>
      <c r="AV632" s="151" t="str">
        <f t="shared" si="424"/>
        <v>FRAMING &amp; DRYWALL</v>
      </c>
      <c r="AW632" s="681"/>
      <c r="AX632" s="230"/>
      <c r="AY632" s="230"/>
      <c r="AZ632" s="679"/>
      <c r="BA632" s="49">
        <f t="shared" si="432"/>
        <v>0</v>
      </c>
      <c r="BB632" s="49">
        <f t="shared" si="436"/>
        <v>0</v>
      </c>
      <c r="BC632" s="49">
        <f t="shared" si="437"/>
        <v>0</v>
      </c>
      <c r="BD632" s="49">
        <f t="shared" si="433"/>
        <v>0</v>
      </c>
      <c r="BE632" s="49">
        <f t="shared" si="438"/>
        <v>0</v>
      </c>
      <c r="BF632" s="49">
        <f t="shared" si="425"/>
        <v>0</v>
      </c>
      <c r="BG632" s="49">
        <f t="shared" si="426"/>
        <v>0</v>
      </c>
      <c r="BI632" s="134">
        <f t="shared" si="439"/>
        <v>0</v>
      </c>
      <c r="BJ632" s="134">
        <f t="shared" si="434"/>
        <v>0</v>
      </c>
      <c r="BK632" s="134">
        <f t="shared" si="440"/>
        <v>0</v>
      </c>
    </row>
    <row r="633" spans="1:63" hidden="1">
      <c r="A633" s="187"/>
      <c r="B633" s="2321"/>
      <c r="C633" s="2322"/>
      <c r="D633" s="2334" t="s">
        <v>433</v>
      </c>
      <c r="E633" s="2334"/>
      <c r="F633" s="2334"/>
      <c r="G633" s="2334"/>
      <c r="H633" s="2334"/>
      <c r="I633" s="2334"/>
      <c r="J633" s="2334"/>
      <c r="K633" s="2334"/>
      <c r="L633" s="2334"/>
      <c r="M633" s="2334"/>
      <c r="N633" s="2334"/>
      <c r="O633" s="2334"/>
      <c r="P633" s="2324"/>
      <c r="Q633" s="2324"/>
      <c r="R633" s="2325"/>
      <c r="S633" s="2324" t="s">
        <v>2</v>
      </c>
      <c r="T633" s="2324" t="s">
        <v>2</v>
      </c>
      <c r="U633" s="2326">
        <v>25</v>
      </c>
      <c r="V633" s="2327"/>
      <c r="W633" s="2327"/>
      <c r="X633" s="2327">
        <v>20</v>
      </c>
      <c r="Y633" s="2327"/>
      <c r="Z633" s="2327">
        <v>20</v>
      </c>
      <c r="AA633" s="2328"/>
      <c r="AB633" s="2329"/>
      <c r="AC633" s="2326"/>
      <c r="AD633" s="2330">
        <f t="shared" si="427"/>
        <v>0</v>
      </c>
      <c r="AE633" s="2330"/>
      <c r="AF633" s="2330"/>
      <c r="AG633" s="2330">
        <f t="shared" si="435"/>
        <v>0</v>
      </c>
      <c r="AH633" s="2330"/>
      <c r="AI633" s="2330"/>
      <c r="AJ633" s="2330">
        <f t="shared" si="428"/>
        <v>0</v>
      </c>
      <c r="AK633" s="2330"/>
      <c r="AL633" s="2330"/>
      <c r="AM633" s="2331">
        <f t="shared" si="429"/>
        <v>0</v>
      </c>
      <c r="AN633" s="2331"/>
      <c r="AO633" s="2331"/>
      <c r="AP633" s="2331"/>
      <c r="AQ633" s="2332">
        <f t="shared" si="430"/>
        <v>0</v>
      </c>
      <c r="AR633" s="2332"/>
      <c r="AS633" s="2332"/>
      <c r="AT633" s="2332">
        <f t="shared" si="431"/>
        <v>0</v>
      </c>
      <c r="AV633" s="151" t="str">
        <f t="shared" si="424"/>
        <v>FRAMING &amp; DRYWALL</v>
      </c>
      <c r="AW633" s="681"/>
      <c r="AX633" s="230"/>
      <c r="AY633" s="230"/>
      <c r="AZ633" s="679"/>
      <c r="BA633" s="49">
        <f t="shared" si="432"/>
        <v>0</v>
      </c>
      <c r="BB633" s="49">
        <f t="shared" si="436"/>
        <v>0</v>
      </c>
      <c r="BC633" s="49">
        <f t="shared" si="437"/>
        <v>0</v>
      </c>
      <c r="BD633" s="49">
        <f t="shared" si="433"/>
        <v>0</v>
      </c>
      <c r="BE633" s="49">
        <f t="shared" si="438"/>
        <v>0</v>
      </c>
      <c r="BF633" s="49">
        <f t="shared" si="425"/>
        <v>0</v>
      </c>
      <c r="BG633" s="49">
        <f t="shared" si="426"/>
        <v>0</v>
      </c>
      <c r="BI633" s="134">
        <f t="shared" si="439"/>
        <v>0</v>
      </c>
      <c r="BJ633" s="134">
        <f t="shared" si="434"/>
        <v>0</v>
      </c>
      <c r="BK633" s="134">
        <f t="shared" si="440"/>
        <v>0</v>
      </c>
    </row>
    <row r="634" spans="1:63" hidden="1">
      <c r="A634" s="187"/>
      <c r="B634" s="2321"/>
      <c r="C634" s="2322"/>
      <c r="D634" s="2334" t="s">
        <v>437</v>
      </c>
      <c r="E634" s="2334"/>
      <c r="F634" s="2334"/>
      <c r="G634" s="2334"/>
      <c r="H634" s="2334"/>
      <c r="I634" s="2334"/>
      <c r="J634" s="2334"/>
      <c r="K634" s="2334"/>
      <c r="L634" s="2334"/>
      <c r="M634" s="2334"/>
      <c r="N634" s="2334"/>
      <c r="O634" s="2334"/>
      <c r="P634" s="2324"/>
      <c r="Q634" s="2324"/>
      <c r="R634" s="2325"/>
      <c r="S634" s="2324" t="s">
        <v>11</v>
      </c>
      <c r="T634" s="2324" t="s">
        <v>11</v>
      </c>
      <c r="U634" s="2326">
        <v>0.75</v>
      </c>
      <c r="V634" s="2327"/>
      <c r="W634" s="2327"/>
      <c r="X634" s="2327">
        <v>0.75</v>
      </c>
      <c r="Y634" s="2327"/>
      <c r="Z634" s="2327">
        <v>0.75</v>
      </c>
      <c r="AA634" s="2328"/>
      <c r="AB634" s="2329"/>
      <c r="AC634" s="2326"/>
      <c r="AD634" s="2330">
        <f t="shared" si="427"/>
        <v>0</v>
      </c>
      <c r="AE634" s="2330"/>
      <c r="AF634" s="2330"/>
      <c r="AG634" s="2330">
        <f t="shared" si="435"/>
        <v>0</v>
      </c>
      <c r="AH634" s="2330"/>
      <c r="AI634" s="2330"/>
      <c r="AJ634" s="2330">
        <f t="shared" si="428"/>
        <v>0</v>
      </c>
      <c r="AK634" s="2330"/>
      <c r="AL634" s="2330"/>
      <c r="AM634" s="2331">
        <f t="shared" si="429"/>
        <v>0</v>
      </c>
      <c r="AN634" s="2331"/>
      <c r="AO634" s="2331"/>
      <c r="AP634" s="2331"/>
      <c r="AQ634" s="2332">
        <f t="shared" si="430"/>
        <v>0</v>
      </c>
      <c r="AR634" s="2332"/>
      <c r="AS634" s="2332"/>
      <c r="AT634" s="2332">
        <f t="shared" si="431"/>
        <v>0</v>
      </c>
      <c r="AV634" s="151" t="str">
        <f t="shared" si="424"/>
        <v>FRAMING &amp; DRYWALL</v>
      </c>
      <c r="AW634" s="681"/>
      <c r="AX634" s="230"/>
      <c r="AY634" s="230"/>
      <c r="AZ634" s="679"/>
      <c r="BA634" s="49">
        <f t="shared" si="432"/>
        <v>0</v>
      </c>
      <c r="BB634" s="49">
        <f t="shared" si="436"/>
        <v>0</v>
      </c>
      <c r="BC634" s="49">
        <f t="shared" si="437"/>
        <v>0</v>
      </c>
      <c r="BD634" s="49">
        <f t="shared" si="433"/>
        <v>0</v>
      </c>
      <c r="BE634" s="49">
        <f t="shared" si="438"/>
        <v>0</v>
      </c>
      <c r="BF634" s="49">
        <f t="shared" si="425"/>
        <v>0</v>
      </c>
      <c r="BG634" s="49">
        <f t="shared" si="426"/>
        <v>0</v>
      </c>
      <c r="BI634" s="134">
        <f t="shared" si="439"/>
        <v>0</v>
      </c>
      <c r="BJ634" s="134">
        <f t="shared" si="434"/>
        <v>0</v>
      </c>
      <c r="BK634" s="134">
        <f t="shared" si="440"/>
        <v>0</v>
      </c>
    </row>
    <row r="635" spans="1:63" hidden="1">
      <c r="A635" s="187"/>
      <c r="B635" s="2333"/>
      <c r="C635" s="2333"/>
      <c r="D635" s="2334" t="s">
        <v>436</v>
      </c>
      <c r="E635" s="2334"/>
      <c r="F635" s="2334"/>
      <c r="G635" s="2334"/>
      <c r="H635" s="2334"/>
      <c r="I635" s="2334"/>
      <c r="J635" s="2334"/>
      <c r="K635" s="2334"/>
      <c r="L635" s="2334"/>
      <c r="M635" s="2334"/>
      <c r="N635" s="2334"/>
      <c r="O635" s="2334"/>
      <c r="P635" s="2324"/>
      <c r="Q635" s="2324"/>
      <c r="R635" s="2325"/>
      <c r="S635" s="2324" t="s">
        <v>11</v>
      </c>
      <c r="T635" s="2324" t="s">
        <v>11</v>
      </c>
      <c r="U635" s="2326">
        <v>1.25</v>
      </c>
      <c r="V635" s="2327"/>
      <c r="W635" s="2327"/>
      <c r="X635" s="2327">
        <v>1</v>
      </c>
      <c r="Y635" s="2327"/>
      <c r="Z635" s="2327">
        <v>1</v>
      </c>
      <c r="AA635" s="2328"/>
      <c r="AB635" s="2329"/>
      <c r="AC635" s="2326"/>
      <c r="AD635" s="2330">
        <f t="shared" si="427"/>
        <v>0</v>
      </c>
      <c r="AE635" s="2330"/>
      <c r="AF635" s="2330"/>
      <c r="AG635" s="2330">
        <f t="shared" si="435"/>
        <v>0</v>
      </c>
      <c r="AH635" s="2330"/>
      <c r="AI635" s="2330"/>
      <c r="AJ635" s="2330">
        <f t="shared" si="428"/>
        <v>0</v>
      </c>
      <c r="AK635" s="2330"/>
      <c r="AL635" s="2330"/>
      <c r="AM635" s="2331">
        <f t="shared" si="429"/>
        <v>0</v>
      </c>
      <c r="AN635" s="2331"/>
      <c r="AO635" s="2331"/>
      <c r="AP635" s="2331"/>
      <c r="AQ635" s="2332">
        <f t="shared" si="430"/>
        <v>0</v>
      </c>
      <c r="AR635" s="2332"/>
      <c r="AS635" s="2332"/>
      <c r="AT635" s="2332">
        <f t="shared" si="431"/>
        <v>0</v>
      </c>
      <c r="AV635" s="151" t="str">
        <f t="shared" si="424"/>
        <v>FRAMING &amp; DRYWALL</v>
      </c>
      <c r="AW635" s="681"/>
      <c r="AX635" s="230"/>
      <c r="AY635" s="230"/>
      <c r="AZ635" s="679"/>
      <c r="BA635" s="49">
        <f t="shared" si="432"/>
        <v>0</v>
      </c>
      <c r="BB635" s="49">
        <f t="shared" si="436"/>
        <v>0</v>
      </c>
      <c r="BC635" s="49">
        <f t="shared" si="437"/>
        <v>0</v>
      </c>
      <c r="BD635" s="49">
        <f t="shared" si="433"/>
        <v>0</v>
      </c>
      <c r="BE635" s="49">
        <f t="shared" si="438"/>
        <v>0</v>
      </c>
      <c r="BF635" s="49">
        <f t="shared" si="425"/>
        <v>0</v>
      </c>
      <c r="BG635" s="49">
        <f t="shared" si="426"/>
        <v>0</v>
      </c>
      <c r="BI635" s="134">
        <f t="shared" si="439"/>
        <v>0</v>
      </c>
      <c r="BJ635" s="134">
        <f t="shared" si="434"/>
        <v>0</v>
      </c>
      <c r="BK635" s="134">
        <f t="shared" si="440"/>
        <v>0</v>
      </c>
    </row>
    <row r="636" spans="1:63" hidden="1">
      <c r="A636" s="187"/>
      <c r="B636" s="2333"/>
      <c r="C636" s="2333"/>
      <c r="D636" s="2334" t="s">
        <v>435</v>
      </c>
      <c r="E636" s="2334"/>
      <c r="F636" s="2334"/>
      <c r="G636" s="2334"/>
      <c r="H636" s="2334"/>
      <c r="I636" s="2334"/>
      <c r="J636" s="2334"/>
      <c r="K636" s="2334"/>
      <c r="L636" s="2334"/>
      <c r="M636" s="2334"/>
      <c r="N636" s="2334"/>
      <c r="O636" s="2334"/>
      <c r="P636" s="2324"/>
      <c r="Q636" s="2324"/>
      <c r="R636" s="2325"/>
      <c r="S636" s="2324" t="s">
        <v>2</v>
      </c>
      <c r="T636" s="2324" t="s">
        <v>2</v>
      </c>
      <c r="U636" s="2326">
        <v>750</v>
      </c>
      <c r="V636" s="2327"/>
      <c r="W636" s="2327"/>
      <c r="X636" s="2327">
        <v>250</v>
      </c>
      <c r="Y636" s="2327"/>
      <c r="Z636" s="2327">
        <v>250</v>
      </c>
      <c r="AA636" s="2328"/>
      <c r="AB636" s="2329"/>
      <c r="AC636" s="2326"/>
      <c r="AD636" s="2330">
        <f t="shared" si="427"/>
        <v>0</v>
      </c>
      <c r="AE636" s="2330"/>
      <c r="AF636" s="2330"/>
      <c r="AG636" s="2330">
        <f t="shared" si="435"/>
        <v>0</v>
      </c>
      <c r="AH636" s="2330"/>
      <c r="AI636" s="2330"/>
      <c r="AJ636" s="2330">
        <f t="shared" si="428"/>
        <v>0</v>
      </c>
      <c r="AK636" s="2330"/>
      <c r="AL636" s="2330"/>
      <c r="AM636" s="2331">
        <f t="shared" si="429"/>
        <v>0</v>
      </c>
      <c r="AN636" s="2331"/>
      <c r="AO636" s="2331"/>
      <c r="AP636" s="2331"/>
      <c r="AQ636" s="2332">
        <f t="shared" si="430"/>
        <v>0</v>
      </c>
      <c r="AR636" s="2332"/>
      <c r="AS636" s="2332"/>
      <c r="AT636" s="2332">
        <f t="shared" si="431"/>
        <v>0</v>
      </c>
      <c r="AV636" s="151" t="str">
        <f t="shared" si="424"/>
        <v>FRAMING &amp; DRYWALL</v>
      </c>
      <c r="AW636" s="681"/>
      <c r="AX636" s="230"/>
      <c r="AY636" s="230"/>
      <c r="AZ636" s="679"/>
      <c r="BA636" s="49">
        <f t="shared" si="432"/>
        <v>0</v>
      </c>
      <c r="BB636" s="49">
        <f t="shared" si="436"/>
        <v>0</v>
      </c>
      <c r="BC636" s="49">
        <f t="shared" si="437"/>
        <v>0</v>
      </c>
      <c r="BD636" s="49">
        <f t="shared" si="433"/>
        <v>0</v>
      </c>
      <c r="BE636" s="49">
        <f t="shared" si="438"/>
        <v>0</v>
      </c>
      <c r="BF636" s="49">
        <f t="shared" si="425"/>
        <v>0</v>
      </c>
      <c r="BG636" s="49">
        <f t="shared" si="426"/>
        <v>0</v>
      </c>
      <c r="BI636" s="134">
        <f t="shared" si="439"/>
        <v>0</v>
      </c>
      <c r="BJ636" s="134">
        <f t="shared" si="434"/>
        <v>0</v>
      </c>
      <c r="BK636" s="134">
        <f t="shared" si="440"/>
        <v>0</v>
      </c>
    </row>
    <row r="637" spans="1:63" hidden="1">
      <c r="A637" s="187"/>
      <c r="B637" s="2321"/>
      <c r="C637" s="2322"/>
      <c r="D637" s="2337" t="s">
        <v>19</v>
      </c>
      <c r="E637" s="2337"/>
      <c r="F637" s="2337"/>
      <c r="G637" s="2337"/>
      <c r="H637" s="2337"/>
      <c r="I637" s="2337"/>
      <c r="J637" s="2337"/>
      <c r="K637" s="2337"/>
      <c r="L637" s="2337"/>
      <c r="M637" s="2337"/>
      <c r="N637" s="2337"/>
      <c r="O637" s="2337"/>
      <c r="P637" s="2324"/>
      <c r="Q637" s="2324"/>
      <c r="R637" s="2325"/>
      <c r="S637" s="2324"/>
      <c r="T637" s="2324"/>
      <c r="U637" s="2326"/>
      <c r="V637" s="2327"/>
      <c r="W637" s="2327"/>
      <c r="X637" s="2327"/>
      <c r="Y637" s="2327"/>
      <c r="Z637" s="2327"/>
      <c r="AA637" s="2328"/>
      <c r="AB637" s="2329"/>
      <c r="AC637" s="2326"/>
      <c r="AD637" s="2330">
        <f t="shared" si="427"/>
        <v>0</v>
      </c>
      <c r="AE637" s="2330"/>
      <c r="AF637" s="2330"/>
      <c r="AG637" s="2330">
        <f t="shared" si="435"/>
        <v>0</v>
      </c>
      <c r="AH637" s="2330"/>
      <c r="AI637" s="2330"/>
      <c r="AJ637" s="2330">
        <f t="shared" si="428"/>
        <v>0</v>
      </c>
      <c r="AK637" s="2330"/>
      <c r="AL637" s="2330"/>
      <c r="AM637" s="2331">
        <f t="shared" si="429"/>
        <v>0</v>
      </c>
      <c r="AN637" s="2331"/>
      <c r="AO637" s="2331"/>
      <c r="AP637" s="2331"/>
      <c r="AQ637" s="2332">
        <f t="shared" si="430"/>
        <v>0</v>
      </c>
      <c r="AR637" s="2332"/>
      <c r="AS637" s="2332"/>
      <c r="AT637" s="2332">
        <f t="shared" si="431"/>
        <v>0</v>
      </c>
      <c r="AV637" s="151" t="str">
        <f t="shared" si="424"/>
        <v>FRAMING &amp; DRYWALL</v>
      </c>
      <c r="AW637" s="681"/>
      <c r="AX637" s="230"/>
      <c r="AY637" s="230"/>
      <c r="AZ637" s="679"/>
      <c r="BA637" s="49">
        <f t="shared" si="432"/>
        <v>0</v>
      </c>
      <c r="BB637" s="49">
        <f t="shared" si="436"/>
        <v>0</v>
      </c>
      <c r="BC637" s="49">
        <f t="shared" si="437"/>
        <v>0</v>
      </c>
      <c r="BD637" s="49">
        <f t="shared" si="433"/>
        <v>0</v>
      </c>
      <c r="BE637" s="49">
        <f t="shared" si="438"/>
        <v>0</v>
      </c>
      <c r="BF637" s="49">
        <f t="shared" si="425"/>
        <v>0</v>
      </c>
      <c r="BG637" s="49">
        <f t="shared" si="426"/>
        <v>0</v>
      </c>
      <c r="BI637" s="134">
        <f t="shared" si="439"/>
        <v>0</v>
      </c>
      <c r="BJ637" s="134">
        <f t="shared" si="434"/>
        <v>0</v>
      </c>
      <c r="BK637" s="134">
        <f t="shared" si="440"/>
        <v>0</v>
      </c>
    </row>
    <row r="638" spans="1:63" hidden="1">
      <c r="A638" s="187"/>
      <c r="B638" s="2333"/>
      <c r="C638" s="2333"/>
      <c r="D638" s="2338" t="s">
        <v>59</v>
      </c>
      <c r="E638" s="2338"/>
      <c r="F638" s="2338"/>
      <c r="G638" s="2338"/>
      <c r="H638" s="2338"/>
      <c r="I638" s="2338"/>
      <c r="J638" s="2338"/>
      <c r="K638" s="2338"/>
      <c r="L638" s="2338"/>
      <c r="M638" s="2338"/>
      <c r="N638" s="2338"/>
      <c r="O638" s="2338"/>
      <c r="P638" s="2324"/>
      <c r="Q638" s="2324"/>
      <c r="R638" s="2325"/>
      <c r="S638" s="2324" t="s">
        <v>3</v>
      </c>
      <c r="T638" s="2324" t="s">
        <v>3</v>
      </c>
      <c r="U638" s="2326"/>
      <c r="V638" s="2327"/>
      <c r="W638" s="2327"/>
      <c r="X638" s="2327"/>
      <c r="Y638" s="2327"/>
      <c r="Z638" s="2327"/>
      <c r="AA638" s="2328"/>
      <c r="AB638" s="2329"/>
      <c r="AC638" s="2326"/>
      <c r="AD638" s="2330">
        <f t="shared" si="427"/>
        <v>0</v>
      </c>
      <c r="AE638" s="2330"/>
      <c r="AF638" s="2330"/>
      <c r="AG638" s="2330">
        <f t="shared" si="435"/>
        <v>0</v>
      </c>
      <c r="AH638" s="2330"/>
      <c r="AI638" s="2330"/>
      <c r="AJ638" s="2330">
        <f t="shared" si="428"/>
        <v>0</v>
      </c>
      <c r="AK638" s="2330"/>
      <c r="AL638" s="2330"/>
      <c r="AM638" s="2331">
        <f t="shared" si="429"/>
        <v>0</v>
      </c>
      <c r="AN638" s="2331"/>
      <c r="AO638" s="2331"/>
      <c r="AP638" s="2331"/>
      <c r="AQ638" s="2332">
        <f t="shared" si="430"/>
        <v>0</v>
      </c>
      <c r="AR638" s="2332"/>
      <c r="AS638" s="2332"/>
      <c r="AT638" s="2332">
        <f t="shared" si="431"/>
        <v>0</v>
      </c>
      <c r="AV638" s="151" t="str">
        <f t="shared" si="424"/>
        <v>FRAMING &amp; DRYWALL</v>
      </c>
      <c r="AW638" s="681"/>
      <c r="AX638" s="230"/>
      <c r="AY638" s="230"/>
      <c r="AZ638" s="679"/>
      <c r="BA638" s="49">
        <f t="shared" si="432"/>
        <v>0</v>
      </c>
      <c r="BB638" s="49">
        <f t="shared" si="436"/>
        <v>0</v>
      </c>
      <c r="BC638" s="49">
        <f t="shared" si="437"/>
        <v>0</v>
      </c>
      <c r="BD638" s="49">
        <f t="shared" si="433"/>
        <v>0</v>
      </c>
      <c r="BE638" s="49">
        <f t="shared" si="438"/>
        <v>0</v>
      </c>
      <c r="BF638" s="49">
        <f t="shared" si="425"/>
        <v>0</v>
      </c>
      <c r="BG638" s="49">
        <f t="shared" si="426"/>
        <v>0</v>
      </c>
      <c r="BI638" s="134">
        <f t="shared" si="439"/>
        <v>0</v>
      </c>
      <c r="BJ638" s="134">
        <f t="shared" si="434"/>
        <v>0</v>
      </c>
      <c r="BK638" s="134">
        <f t="shared" si="440"/>
        <v>0</v>
      </c>
    </row>
    <row r="639" spans="1:63" hidden="1">
      <c r="A639" s="187"/>
      <c r="B639" s="2321"/>
      <c r="C639" s="2322"/>
      <c r="D639" s="2334" t="s">
        <v>438</v>
      </c>
      <c r="E639" s="2334"/>
      <c r="F639" s="2334"/>
      <c r="G639" s="2334"/>
      <c r="H639" s="2334"/>
      <c r="I639" s="2334"/>
      <c r="J639" s="2334"/>
      <c r="K639" s="2334"/>
      <c r="L639" s="2334"/>
      <c r="M639" s="2334"/>
      <c r="N639" s="2334"/>
      <c r="O639" s="2334"/>
      <c r="P639" s="2324"/>
      <c r="Q639" s="2324"/>
      <c r="R639" s="2325"/>
      <c r="S639" s="2324" t="s">
        <v>11</v>
      </c>
      <c r="T639" s="2324" t="s">
        <v>11</v>
      </c>
      <c r="U639" s="2326">
        <v>0.5</v>
      </c>
      <c r="V639" s="2327"/>
      <c r="W639" s="2327"/>
      <c r="X639" s="2327">
        <v>0.5</v>
      </c>
      <c r="Y639" s="2327"/>
      <c r="Z639" s="2327">
        <v>0.5</v>
      </c>
      <c r="AA639" s="2328"/>
      <c r="AB639" s="2329"/>
      <c r="AC639" s="2326"/>
      <c r="AD639" s="2330">
        <f t="shared" si="427"/>
        <v>0</v>
      </c>
      <c r="AE639" s="2330"/>
      <c r="AF639" s="2330"/>
      <c r="AG639" s="2330">
        <f t="shared" si="435"/>
        <v>0</v>
      </c>
      <c r="AH639" s="2330"/>
      <c r="AI639" s="2330"/>
      <c r="AJ639" s="2330">
        <f t="shared" si="428"/>
        <v>0</v>
      </c>
      <c r="AK639" s="2330"/>
      <c r="AL639" s="2330"/>
      <c r="AM639" s="2331">
        <f t="shared" si="429"/>
        <v>0</v>
      </c>
      <c r="AN639" s="2331"/>
      <c r="AO639" s="2331"/>
      <c r="AP639" s="2331"/>
      <c r="AQ639" s="2332">
        <f t="shared" si="430"/>
        <v>0</v>
      </c>
      <c r="AR639" s="2332"/>
      <c r="AS639" s="2332"/>
      <c r="AT639" s="2332">
        <f t="shared" si="431"/>
        <v>0</v>
      </c>
      <c r="AV639" s="151" t="str">
        <f t="shared" si="424"/>
        <v>FRAMING &amp; DRYWALL</v>
      </c>
      <c r="AW639" s="681"/>
      <c r="AX639" s="230"/>
      <c r="AY639" s="230"/>
      <c r="AZ639" s="679"/>
      <c r="BA639" s="49">
        <f t="shared" si="432"/>
        <v>0</v>
      </c>
      <c r="BB639" s="49">
        <f t="shared" si="436"/>
        <v>0</v>
      </c>
      <c r="BC639" s="49">
        <f t="shared" si="437"/>
        <v>0</v>
      </c>
      <c r="BD639" s="49">
        <f t="shared" si="433"/>
        <v>0</v>
      </c>
      <c r="BE639" s="49">
        <f t="shared" si="438"/>
        <v>0</v>
      </c>
      <c r="BF639" s="49">
        <f t="shared" si="425"/>
        <v>0</v>
      </c>
      <c r="BG639" s="49">
        <f t="shared" si="426"/>
        <v>0</v>
      </c>
      <c r="BI639" s="134">
        <f t="shared" si="439"/>
        <v>0</v>
      </c>
      <c r="BJ639" s="134">
        <f t="shared" si="434"/>
        <v>0</v>
      </c>
      <c r="BK639" s="134">
        <f t="shared" si="440"/>
        <v>0</v>
      </c>
    </row>
    <row r="640" spans="1:63" hidden="1">
      <c r="A640" s="187"/>
      <c r="B640" s="2321"/>
      <c r="C640" s="2322"/>
      <c r="D640" s="2334" t="s">
        <v>439</v>
      </c>
      <c r="E640" s="2334"/>
      <c r="F640" s="2334"/>
      <c r="G640" s="2334"/>
      <c r="H640" s="2334"/>
      <c r="I640" s="2334"/>
      <c r="J640" s="2334"/>
      <c r="K640" s="2334"/>
      <c r="L640" s="2334"/>
      <c r="M640" s="2334"/>
      <c r="N640" s="2334"/>
      <c r="O640" s="2334"/>
      <c r="P640" s="2324"/>
      <c r="Q640" s="2324"/>
      <c r="R640" s="2325"/>
      <c r="S640" s="2324" t="s">
        <v>11</v>
      </c>
      <c r="T640" s="2324" t="s">
        <v>11</v>
      </c>
      <c r="U640" s="2326">
        <v>0.75</v>
      </c>
      <c r="V640" s="2327"/>
      <c r="W640" s="2327"/>
      <c r="X640" s="2327">
        <v>0.5</v>
      </c>
      <c r="Y640" s="2327"/>
      <c r="Z640" s="2327">
        <v>0.5</v>
      </c>
      <c r="AA640" s="2328"/>
      <c r="AB640" s="2329"/>
      <c r="AC640" s="2326"/>
      <c r="AD640" s="2330">
        <f t="shared" si="427"/>
        <v>0</v>
      </c>
      <c r="AE640" s="2330"/>
      <c r="AF640" s="2330"/>
      <c r="AG640" s="2330">
        <f t="shared" si="435"/>
        <v>0</v>
      </c>
      <c r="AH640" s="2330"/>
      <c r="AI640" s="2330"/>
      <c r="AJ640" s="2330">
        <f t="shared" si="428"/>
        <v>0</v>
      </c>
      <c r="AK640" s="2330"/>
      <c r="AL640" s="2330"/>
      <c r="AM640" s="2331">
        <f t="shared" si="429"/>
        <v>0</v>
      </c>
      <c r="AN640" s="2331"/>
      <c r="AO640" s="2331"/>
      <c r="AP640" s="2331"/>
      <c r="AQ640" s="2332">
        <f t="shared" si="430"/>
        <v>0</v>
      </c>
      <c r="AR640" s="2332"/>
      <c r="AS640" s="2332"/>
      <c r="AT640" s="2332">
        <f t="shared" si="431"/>
        <v>0</v>
      </c>
      <c r="AV640" s="151" t="str">
        <f t="shared" si="424"/>
        <v>FRAMING &amp; DRYWALL</v>
      </c>
      <c r="AW640" s="681"/>
      <c r="AX640" s="230"/>
      <c r="AY640" s="230"/>
      <c r="AZ640" s="679"/>
      <c r="BA640" s="49">
        <f t="shared" si="432"/>
        <v>0</v>
      </c>
      <c r="BB640" s="49">
        <f t="shared" si="436"/>
        <v>0</v>
      </c>
      <c r="BC640" s="49">
        <f t="shared" si="437"/>
        <v>0</v>
      </c>
      <c r="BD640" s="49">
        <f t="shared" si="433"/>
        <v>0</v>
      </c>
      <c r="BE640" s="49">
        <f t="shared" si="438"/>
        <v>0</v>
      </c>
      <c r="BF640" s="49">
        <f t="shared" si="425"/>
        <v>0</v>
      </c>
      <c r="BG640" s="49">
        <f t="shared" si="426"/>
        <v>0</v>
      </c>
      <c r="BI640" s="134">
        <f t="shared" si="439"/>
        <v>0</v>
      </c>
      <c r="BJ640" s="134">
        <f t="shared" si="434"/>
        <v>0</v>
      </c>
      <c r="BK640" s="134">
        <f t="shared" si="440"/>
        <v>0</v>
      </c>
    </row>
    <row r="641" spans="1:63" hidden="1">
      <c r="A641" s="187"/>
      <c r="B641" s="2333"/>
      <c r="C641" s="2333"/>
      <c r="D641" s="2334" t="s">
        <v>440</v>
      </c>
      <c r="E641" s="2334"/>
      <c r="F641" s="2334"/>
      <c r="G641" s="2334"/>
      <c r="H641" s="2334"/>
      <c r="I641" s="2334"/>
      <c r="J641" s="2334"/>
      <c r="K641" s="2334"/>
      <c r="L641" s="2334"/>
      <c r="M641" s="2334"/>
      <c r="N641" s="2334"/>
      <c r="O641" s="2334"/>
      <c r="P641" s="2324"/>
      <c r="Q641" s="2324"/>
      <c r="R641" s="2325"/>
      <c r="S641" s="2324" t="s">
        <v>11</v>
      </c>
      <c r="T641" s="2324" t="s">
        <v>11</v>
      </c>
      <c r="U641" s="2326">
        <v>0.5</v>
      </c>
      <c r="V641" s="2327"/>
      <c r="W641" s="2327"/>
      <c r="X641" s="2327">
        <v>0.3</v>
      </c>
      <c r="Y641" s="2327"/>
      <c r="Z641" s="2327">
        <v>0.3</v>
      </c>
      <c r="AA641" s="2328"/>
      <c r="AB641" s="2329"/>
      <c r="AC641" s="2326"/>
      <c r="AD641" s="2330">
        <f t="shared" si="427"/>
        <v>0</v>
      </c>
      <c r="AE641" s="2330"/>
      <c r="AF641" s="2330"/>
      <c r="AG641" s="2330">
        <f t="shared" si="435"/>
        <v>0</v>
      </c>
      <c r="AH641" s="2330"/>
      <c r="AI641" s="2330"/>
      <c r="AJ641" s="2330">
        <f t="shared" si="428"/>
        <v>0</v>
      </c>
      <c r="AK641" s="2330"/>
      <c r="AL641" s="2330"/>
      <c r="AM641" s="2331">
        <f t="shared" si="429"/>
        <v>0</v>
      </c>
      <c r="AN641" s="2331"/>
      <c r="AO641" s="2331"/>
      <c r="AP641" s="2331"/>
      <c r="AQ641" s="2332">
        <f t="shared" si="430"/>
        <v>0</v>
      </c>
      <c r="AR641" s="2332"/>
      <c r="AS641" s="2332"/>
      <c r="AT641" s="2332">
        <f t="shared" si="431"/>
        <v>0</v>
      </c>
      <c r="AV641" s="151" t="str">
        <f t="shared" si="424"/>
        <v>FRAMING &amp; DRYWALL</v>
      </c>
      <c r="AW641" s="681"/>
      <c r="AX641" s="230"/>
      <c r="AY641" s="230"/>
      <c r="AZ641" s="679"/>
      <c r="BA641" s="49">
        <f t="shared" si="432"/>
        <v>0</v>
      </c>
      <c r="BB641" s="49">
        <f t="shared" si="436"/>
        <v>0</v>
      </c>
      <c r="BC641" s="49">
        <f t="shared" si="437"/>
        <v>0</v>
      </c>
      <c r="BD641" s="49">
        <f t="shared" si="433"/>
        <v>0</v>
      </c>
      <c r="BE641" s="49">
        <f t="shared" si="438"/>
        <v>0</v>
      </c>
      <c r="BF641" s="49">
        <f t="shared" si="425"/>
        <v>0</v>
      </c>
      <c r="BG641" s="49">
        <f t="shared" si="426"/>
        <v>0</v>
      </c>
      <c r="BI641" s="134">
        <f t="shared" si="439"/>
        <v>0</v>
      </c>
      <c r="BJ641" s="134">
        <f t="shared" si="434"/>
        <v>0</v>
      </c>
      <c r="BK641" s="134">
        <f t="shared" si="440"/>
        <v>0</v>
      </c>
    </row>
    <row r="642" spans="1:63" hidden="1">
      <c r="A642" s="187"/>
      <c r="B642" s="2321"/>
      <c r="C642" s="2322"/>
      <c r="D642" s="2337" t="s">
        <v>20</v>
      </c>
      <c r="E642" s="2337"/>
      <c r="F642" s="2337"/>
      <c r="G642" s="2337"/>
      <c r="H642" s="2337"/>
      <c r="I642" s="2337"/>
      <c r="J642" s="2337"/>
      <c r="K642" s="2337"/>
      <c r="L642" s="2337"/>
      <c r="M642" s="2337"/>
      <c r="N642" s="2337"/>
      <c r="O642" s="2337"/>
      <c r="P642" s="2324"/>
      <c r="Q642" s="2324"/>
      <c r="R642" s="2325"/>
      <c r="S642" s="2324"/>
      <c r="T642" s="2324"/>
      <c r="U642" s="2326"/>
      <c r="V642" s="2327"/>
      <c r="W642" s="2327"/>
      <c r="X642" s="2327"/>
      <c r="Y642" s="2327"/>
      <c r="Z642" s="2327"/>
      <c r="AA642" s="2328"/>
      <c r="AB642" s="2329"/>
      <c r="AC642" s="2326"/>
      <c r="AD642" s="2330">
        <f t="shared" si="427"/>
        <v>0</v>
      </c>
      <c r="AE642" s="2330"/>
      <c r="AF642" s="2330"/>
      <c r="AG642" s="2330">
        <f t="shared" si="435"/>
        <v>0</v>
      </c>
      <c r="AH642" s="2330"/>
      <c r="AI642" s="2330"/>
      <c r="AJ642" s="2330">
        <f t="shared" si="428"/>
        <v>0</v>
      </c>
      <c r="AK642" s="2330"/>
      <c r="AL642" s="2330"/>
      <c r="AM642" s="2331">
        <f t="shared" si="429"/>
        <v>0</v>
      </c>
      <c r="AN642" s="2331"/>
      <c r="AO642" s="2331"/>
      <c r="AP642" s="2331"/>
      <c r="AQ642" s="2332">
        <f t="shared" si="430"/>
        <v>0</v>
      </c>
      <c r="AR642" s="2332"/>
      <c r="AS642" s="2332"/>
      <c r="AT642" s="2332">
        <f t="shared" si="431"/>
        <v>0</v>
      </c>
      <c r="AV642" s="151" t="str">
        <f t="shared" si="424"/>
        <v>FRAMING &amp; DRYWALL</v>
      </c>
      <c r="AW642" s="681"/>
      <c r="AX642" s="230"/>
      <c r="AY642" s="230"/>
      <c r="AZ642" s="679"/>
      <c r="BA642" s="49">
        <f t="shared" si="432"/>
        <v>0</v>
      </c>
      <c r="BB642" s="49">
        <f t="shared" si="436"/>
        <v>0</v>
      </c>
      <c r="BC642" s="49">
        <f t="shared" si="437"/>
        <v>0</v>
      </c>
      <c r="BD642" s="49">
        <f t="shared" si="433"/>
        <v>0</v>
      </c>
      <c r="BE642" s="49">
        <f t="shared" si="438"/>
        <v>0</v>
      </c>
      <c r="BF642" s="49">
        <f t="shared" si="425"/>
        <v>0</v>
      </c>
      <c r="BG642" s="49">
        <f t="shared" si="426"/>
        <v>0</v>
      </c>
      <c r="BI642" s="134">
        <f t="shared" si="439"/>
        <v>0</v>
      </c>
      <c r="BJ642" s="134">
        <f t="shared" si="434"/>
        <v>0</v>
      </c>
      <c r="BK642" s="134">
        <f t="shared" si="440"/>
        <v>0</v>
      </c>
    </row>
    <row r="643" spans="1:63" hidden="1">
      <c r="A643" s="187"/>
      <c r="B643" s="2321"/>
      <c r="C643" s="2322"/>
      <c r="D643" s="2338" t="s">
        <v>53</v>
      </c>
      <c r="E643" s="2338"/>
      <c r="F643" s="2338"/>
      <c r="G643" s="2338"/>
      <c r="H643" s="2338"/>
      <c r="I643" s="2338"/>
      <c r="J643" s="2338"/>
      <c r="K643" s="2338"/>
      <c r="L643" s="2338"/>
      <c r="M643" s="2338"/>
      <c r="N643" s="2338"/>
      <c r="O643" s="2338"/>
      <c r="P643" s="2324"/>
      <c r="Q643" s="2324"/>
      <c r="R643" s="2325"/>
      <c r="S643" s="2324" t="s">
        <v>3</v>
      </c>
      <c r="T643" s="2324" t="s">
        <v>3</v>
      </c>
      <c r="U643" s="2326">
        <v>750</v>
      </c>
      <c r="V643" s="2327"/>
      <c r="W643" s="2327"/>
      <c r="X643" s="2327"/>
      <c r="Y643" s="2327"/>
      <c r="Z643" s="2327"/>
      <c r="AA643" s="2328"/>
      <c r="AB643" s="2329"/>
      <c r="AC643" s="2326"/>
      <c r="AD643" s="2330">
        <f t="shared" si="427"/>
        <v>0</v>
      </c>
      <c r="AE643" s="2330"/>
      <c r="AF643" s="2330"/>
      <c r="AG643" s="2330">
        <f t="shared" si="435"/>
        <v>0</v>
      </c>
      <c r="AH643" s="2330"/>
      <c r="AI643" s="2330"/>
      <c r="AJ643" s="2330">
        <f t="shared" si="428"/>
        <v>0</v>
      </c>
      <c r="AK643" s="2330"/>
      <c r="AL643" s="2330"/>
      <c r="AM643" s="2331">
        <f t="shared" si="429"/>
        <v>0</v>
      </c>
      <c r="AN643" s="2331"/>
      <c r="AO643" s="2331"/>
      <c r="AP643" s="2331"/>
      <c r="AQ643" s="2332">
        <f t="shared" si="430"/>
        <v>0</v>
      </c>
      <c r="AR643" s="2332"/>
      <c r="AS643" s="2332"/>
      <c r="AT643" s="2332">
        <f t="shared" si="431"/>
        <v>0</v>
      </c>
      <c r="AV643" s="151" t="str">
        <f t="shared" si="424"/>
        <v>FRAMING &amp; DRYWALL</v>
      </c>
      <c r="AW643" s="681"/>
      <c r="AX643" s="230"/>
      <c r="AY643" s="230"/>
      <c r="AZ643" s="679"/>
      <c r="BA643" s="49">
        <f t="shared" si="432"/>
        <v>0</v>
      </c>
      <c r="BB643" s="49">
        <f t="shared" si="436"/>
        <v>0</v>
      </c>
      <c r="BC643" s="49">
        <f t="shared" si="437"/>
        <v>0</v>
      </c>
      <c r="BD643" s="49">
        <f t="shared" si="433"/>
        <v>0</v>
      </c>
      <c r="BE643" s="49">
        <f t="shared" si="438"/>
        <v>0</v>
      </c>
      <c r="BF643" s="49">
        <f t="shared" si="425"/>
        <v>0</v>
      </c>
      <c r="BG643" s="49">
        <f t="shared" si="426"/>
        <v>0</v>
      </c>
      <c r="BI643" s="134">
        <f t="shared" si="439"/>
        <v>0</v>
      </c>
      <c r="BJ643" s="134">
        <f t="shared" si="434"/>
        <v>0</v>
      </c>
      <c r="BK643" s="134">
        <f t="shared" si="440"/>
        <v>0</v>
      </c>
    </row>
    <row r="644" spans="1:63" hidden="1">
      <c r="A644" s="187"/>
      <c r="B644" s="2333"/>
      <c r="C644" s="2333"/>
      <c r="D644" s="2334" t="s">
        <v>222</v>
      </c>
      <c r="E644" s="2334"/>
      <c r="F644" s="2334"/>
      <c r="G644" s="2334"/>
      <c r="H644" s="2334"/>
      <c r="I644" s="2334"/>
      <c r="J644" s="2334"/>
      <c r="K644" s="2334"/>
      <c r="L644" s="2334"/>
      <c r="M644" s="2334"/>
      <c r="N644" s="2334"/>
      <c r="O644" s="2334"/>
      <c r="P644" s="2324"/>
      <c r="Q644" s="2324"/>
      <c r="R644" s="2325"/>
      <c r="S644" s="2324" t="s">
        <v>11</v>
      </c>
      <c r="T644" s="2324" t="s">
        <v>11</v>
      </c>
      <c r="U644" s="2326">
        <v>1.75</v>
      </c>
      <c r="V644" s="2327"/>
      <c r="W644" s="2327"/>
      <c r="X644" s="2327">
        <v>1</v>
      </c>
      <c r="Y644" s="2327"/>
      <c r="Z644" s="2327">
        <v>1</v>
      </c>
      <c r="AA644" s="2328"/>
      <c r="AB644" s="2329"/>
      <c r="AC644" s="2326"/>
      <c r="AD644" s="2330">
        <f t="shared" si="427"/>
        <v>0</v>
      </c>
      <c r="AE644" s="2330"/>
      <c r="AF644" s="2330"/>
      <c r="AG644" s="2330">
        <f t="shared" si="435"/>
        <v>0</v>
      </c>
      <c r="AH644" s="2330"/>
      <c r="AI644" s="2330"/>
      <c r="AJ644" s="2330">
        <f t="shared" si="428"/>
        <v>0</v>
      </c>
      <c r="AK644" s="2330"/>
      <c r="AL644" s="2330"/>
      <c r="AM644" s="2331">
        <f t="shared" si="429"/>
        <v>0</v>
      </c>
      <c r="AN644" s="2331"/>
      <c r="AO644" s="2331"/>
      <c r="AP644" s="2331"/>
      <c r="AQ644" s="2332">
        <f t="shared" si="430"/>
        <v>0</v>
      </c>
      <c r="AR644" s="2332"/>
      <c r="AS644" s="2332"/>
      <c r="AT644" s="2332">
        <f t="shared" si="431"/>
        <v>0</v>
      </c>
      <c r="AV644" s="151" t="str">
        <f t="shared" si="424"/>
        <v>FRAMING &amp; DRYWALL</v>
      </c>
      <c r="AW644" s="681"/>
      <c r="AX644" s="230"/>
      <c r="AY644" s="230"/>
      <c r="AZ644" s="679"/>
      <c r="BA644" s="49">
        <f t="shared" si="432"/>
        <v>0</v>
      </c>
      <c r="BB644" s="49">
        <f t="shared" si="436"/>
        <v>0</v>
      </c>
      <c r="BC644" s="49">
        <f t="shared" si="437"/>
        <v>0</v>
      </c>
      <c r="BD644" s="49">
        <f t="shared" si="433"/>
        <v>0</v>
      </c>
      <c r="BE644" s="49">
        <f t="shared" si="438"/>
        <v>0</v>
      </c>
      <c r="BF644" s="49">
        <f t="shared" si="425"/>
        <v>0</v>
      </c>
      <c r="BG644" s="49">
        <f t="shared" si="426"/>
        <v>0</v>
      </c>
      <c r="BI644" s="134">
        <f t="shared" si="439"/>
        <v>0</v>
      </c>
      <c r="BJ644" s="134">
        <f t="shared" si="434"/>
        <v>0</v>
      </c>
      <c r="BK644" s="134">
        <f t="shared" si="440"/>
        <v>0</v>
      </c>
    </row>
    <row r="645" spans="1:63" hidden="1">
      <c r="A645" s="187"/>
      <c r="B645" s="2333"/>
      <c r="C645" s="2333"/>
      <c r="D645" s="2334" t="s">
        <v>298</v>
      </c>
      <c r="E645" s="2334"/>
      <c r="F645" s="2334"/>
      <c r="G645" s="2334"/>
      <c r="H645" s="2334"/>
      <c r="I645" s="2334"/>
      <c r="J645" s="2334"/>
      <c r="K645" s="2334"/>
      <c r="L645" s="2334"/>
      <c r="M645" s="2334"/>
      <c r="N645" s="2334"/>
      <c r="O645" s="2334"/>
      <c r="P645" s="2324"/>
      <c r="Q645" s="2324"/>
      <c r="R645" s="2325"/>
      <c r="S645" s="2324" t="s">
        <v>11</v>
      </c>
      <c r="T645" s="2324" t="s">
        <v>11</v>
      </c>
      <c r="U645" s="2326">
        <v>4</v>
      </c>
      <c r="V645" s="2327"/>
      <c r="W645" s="2327"/>
      <c r="X645" s="2327">
        <v>0.75</v>
      </c>
      <c r="Y645" s="2327"/>
      <c r="Z645" s="2327">
        <v>0.75</v>
      </c>
      <c r="AA645" s="2328"/>
      <c r="AB645" s="2329"/>
      <c r="AC645" s="2326"/>
      <c r="AD645" s="2330">
        <f t="shared" si="427"/>
        <v>0</v>
      </c>
      <c r="AE645" s="2330"/>
      <c r="AF645" s="2330"/>
      <c r="AG645" s="2330">
        <f t="shared" si="435"/>
        <v>0</v>
      </c>
      <c r="AH645" s="2330"/>
      <c r="AI645" s="2330"/>
      <c r="AJ645" s="2330">
        <f t="shared" si="428"/>
        <v>0</v>
      </c>
      <c r="AK645" s="2330"/>
      <c r="AL645" s="2330"/>
      <c r="AM645" s="2331">
        <f t="shared" si="429"/>
        <v>0</v>
      </c>
      <c r="AN645" s="2331"/>
      <c r="AO645" s="2331"/>
      <c r="AP645" s="2331"/>
      <c r="AQ645" s="2332">
        <f t="shared" si="430"/>
        <v>0</v>
      </c>
      <c r="AR645" s="2332"/>
      <c r="AS645" s="2332"/>
      <c r="AT645" s="2332">
        <f t="shared" si="431"/>
        <v>0</v>
      </c>
      <c r="AV645" s="151" t="str">
        <f t="shared" si="424"/>
        <v>FRAMING &amp; DRYWALL</v>
      </c>
      <c r="AW645" s="681"/>
      <c r="AX645" s="230"/>
      <c r="AY645" s="230"/>
      <c r="AZ645" s="679"/>
      <c r="BA645" s="49">
        <f t="shared" si="432"/>
        <v>0</v>
      </c>
      <c r="BB645" s="49">
        <f t="shared" si="436"/>
        <v>0</v>
      </c>
      <c r="BC645" s="49">
        <f t="shared" si="437"/>
        <v>0</v>
      </c>
      <c r="BD645" s="49">
        <f t="shared" si="433"/>
        <v>0</v>
      </c>
      <c r="BE645" s="49">
        <f t="shared" si="438"/>
        <v>0</v>
      </c>
      <c r="BF645" s="49">
        <f t="shared" si="425"/>
        <v>0</v>
      </c>
      <c r="BG645" s="49">
        <f t="shared" si="426"/>
        <v>0</v>
      </c>
      <c r="BI645" s="134">
        <f t="shared" si="439"/>
        <v>0</v>
      </c>
      <c r="BJ645" s="134">
        <f t="shared" si="434"/>
        <v>0</v>
      </c>
      <c r="BK645" s="134">
        <f t="shared" si="440"/>
        <v>0</v>
      </c>
    </row>
    <row r="646" spans="1:63" hidden="1">
      <c r="A646" s="187"/>
      <c r="B646" s="2321"/>
      <c r="C646" s="2322"/>
      <c r="D646" s="2334" t="s">
        <v>837</v>
      </c>
      <c r="E646" s="2334"/>
      <c r="F646" s="2334"/>
      <c r="G646" s="2334"/>
      <c r="H646" s="2334"/>
      <c r="I646" s="2334"/>
      <c r="J646" s="2334"/>
      <c r="K646" s="2334"/>
      <c r="L646" s="2334"/>
      <c r="M646" s="2334"/>
      <c r="N646" s="2334"/>
      <c r="O646" s="2334"/>
      <c r="P646" s="2324"/>
      <c r="Q646" s="2324"/>
      <c r="R646" s="2325"/>
      <c r="S646" s="2324" t="s">
        <v>11</v>
      </c>
      <c r="T646" s="2324" t="s">
        <v>11</v>
      </c>
      <c r="U646" s="2326">
        <v>1</v>
      </c>
      <c r="V646" s="2327"/>
      <c r="W646" s="2327"/>
      <c r="X646" s="2327">
        <v>0.25</v>
      </c>
      <c r="Y646" s="2327"/>
      <c r="Z646" s="2327">
        <v>0.25</v>
      </c>
      <c r="AA646" s="2328"/>
      <c r="AB646" s="2329"/>
      <c r="AC646" s="2326"/>
      <c r="AD646" s="2330">
        <f t="shared" si="427"/>
        <v>0</v>
      </c>
      <c r="AE646" s="2330"/>
      <c r="AF646" s="2330"/>
      <c r="AG646" s="2330">
        <f t="shared" si="435"/>
        <v>0</v>
      </c>
      <c r="AH646" s="2330"/>
      <c r="AI646" s="2330"/>
      <c r="AJ646" s="2330">
        <f t="shared" si="428"/>
        <v>0</v>
      </c>
      <c r="AK646" s="2330"/>
      <c r="AL646" s="2330"/>
      <c r="AM646" s="2331">
        <f t="shared" si="429"/>
        <v>0</v>
      </c>
      <c r="AN646" s="2331"/>
      <c r="AO646" s="2331"/>
      <c r="AP646" s="2331"/>
      <c r="AQ646" s="2332">
        <f t="shared" si="430"/>
        <v>0</v>
      </c>
      <c r="AR646" s="2332"/>
      <c r="AS646" s="2332"/>
      <c r="AT646" s="2332">
        <f t="shared" si="431"/>
        <v>0</v>
      </c>
      <c r="AV646" s="151" t="str">
        <f t="shared" si="424"/>
        <v>FRAMING &amp; DRYWALL</v>
      </c>
      <c r="AW646" s="681"/>
      <c r="AX646" s="230"/>
      <c r="AY646" s="230"/>
      <c r="AZ646" s="679"/>
      <c r="BA646" s="49">
        <f t="shared" si="432"/>
        <v>0</v>
      </c>
      <c r="BB646" s="49">
        <f t="shared" si="436"/>
        <v>0</v>
      </c>
      <c r="BC646" s="49">
        <f t="shared" si="437"/>
        <v>0</v>
      </c>
      <c r="BD646" s="49">
        <f t="shared" si="433"/>
        <v>0</v>
      </c>
      <c r="BE646" s="49">
        <f>SUM(BA646:BC646)</f>
        <v>0</v>
      </c>
      <c r="BF646" s="49">
        <f t="shared" si="425"/>
        <v>0</v>
      </c>
      <c r="BG646" s="49">
        <f t="shared" si="426"/>
        <v>0</v>
      </c>
      <c r="BI646" s="134">
        <f t="shared" si="439"/>
        <v>0</v>
      </c>
      <c r="BJ646" s="134">
        <f t="shared" si="434"/>
        <v>0</v>
      </c>
      <c r="BK646" s="134">
        <f t="shared" si="440"/>
        <v>0</v>
      </c>
    </row>
    <row r="647" spans="1:63" hidden="1">
      <c r="A647" s="187"/>
      <c r="B647" s="2321"/>
      <c r="C647" s="2322"/>
      <c r="D647" s="2334" t="s">
        <v>838</v>
      </c>
      <c r="E647" s="2334"/>
      <c r="F647" s="2334"/>
      <c r="G647" s="2334"/>
      <c r="H647" s="2334"/>
      <c r="I647" s="2334"/>
      <c r="J647" s="2334"/>
      <c r="K647" s="2334"/>
      <c r="L647" s="2334"/>
      <c r="M647" s="2334"/>
      <c r="N647" s="2334"/>
      <c r="O647" s="2334"/>
      <c r="P647" s="2324"/>
      <c r="Q647" s="2324"/>
      <c r="R647" s="2325"/>
      <c r="S647" s="2324" t="s">
        <v>11</v>
      </c>
      <c r="T647" s="2324" t="s">
        <v>11</v>
      </c>
      <c r="U647" s="2326">
        <v>1.25</v>
      </c>
      <c r="V647" s="2327"/>
      <c r="W647" s="2327"/>
      <c r="X647" s="2327">
        <v>0.25</v>
      </c>
      <c r="Y647" s="2327"/>
      <c r="Z647" s="2327">
        <v>0.25</v>
      </c>
      <c r="AA647" s="2328"/>
      <c r="AB647" s="2329"/>
      <c r="AC647" s="2326"/>
      <c r="AD647" s="2330">
        <f t="shared" si="427"/>
        <v>0</v>
      </c>
      <c r="AE647" s="2330"/>
      <c r="AF647" s="2330"/>
      <c r="AG647" s="2330">
        <f t="shared" si="435"/>
        <v>0</v>
      </c>
      <c r="AH647" s="2330"/>
      <c r="AI647" s="2330"/>
      <c r="AJ647" s="2330">
        <f t="shared" si="428"/>
        <v>0</v>
      </c>
      <c r="AK647" s="2330"/>
      <c r="AL647" s="2330"/>
      <c r="AM647" s="2331">
        <f t="shared" si="429"/>
        <v>0</v>
      </c>
      <c r="AN647" s="2331"/>
      <c r="AO647" s="2331"/>
      <c r="AP647" s="2331"/>
      <c r="AQ647" s="2332">
        <f t="shared" si="430"/>
        <v>0</v>
      </c>
      <c r="AR647" s="2332"/>
      <c r="AS647" s="2332"/>
      <c r="AT647" s="2332">
        <f t="shared" si="431"/>
        <v>0</v>
      </c>
      <c r="AV647" s="151" t="str">
        <f t="shared" si="424"/>
        <v>FRAMING &amp; DRYWALL</v>
      </c>
      <c r="AW647" s="681"/>
      <c r="AX647" s="230"/>
      <c r="AY647" s="230"/>
      <c r="AZ647" s="679"/>
      <c r="BA647" s="49">
        <f t="shared" si="432"/>
        <v>0</v>
      </c>
      <c r="BB647" s="49">
        <f t="shared" si="436"/>
        <v>0</v>
      </c>
      <c r="BC647" s="49">
        <f t="shared" si="437"/>
        <v>0</v>
      </c>
      <c r="BD647" s="49">
        <f t="shared" si="433"/>
        <v>0</v>
      </c>
      <c r="BE647" s="49">
        <f>SUM(BA647:BC647)</f>
        <v>0</v>
      </c>
      <c r="BF647" s="49">
        <f t="shared" si="425"/>
        <v>0</v>
      </c>
      <c r="BG647" s="49">
        <f t="shared" si="426"/>
        <v>0</v>
      </c>
      <c r="BI647" s="134">
        <f t="shared" si="439"/>
        <v>0</v>
      </c>
      <c r="BJ647" s="134">
        <f t="shared" si="434"/>
        <v>0</v>
      </c>
      <c r="BK647" s="134">
        <f t="shared" si="440"/>
        <v>0</v>
      </c>
    </row>
    <row r="648" spans="1:63" hidden="1">
      <c r="A648" s="187"/>
      <c r="B648" s="2321"/>
      <c r="C648" s="2322"/>
      <c r="D648" s="2334"/>
      <c r="E648" s="2334"/>
      <c r="F648" s="2334"/>
      <c r="G648" s="2334"/>
      <c r="H648" s="2334"/>
      <c r="I648" s="2334"/>
      <c r="J648" s="2334"/>
      <c r="K648" s="2334"/>
      <c r="L648" s="2334"/>
      <c r="M648" s="2334"/>
      <c r="N648" s="2334"/>
      <c r="O648" s="2334"/>
      <c r="P648" s="2324"/>
      <c r="Q648" s="2324"/>
      <c r="R648" s="2325"/>
      <c r="S648" s="2324"/>
      <c r="T648" s="2324"/>
      <c r="U648" s="2326"/>
      <c r="V648" s="2327"/>
      <c r="W648" s="2327"/>
      <c r="X648" s="2327"/>
      <c r="Y648" s="2327"/>
      <c r="Z648" s="2327"/>
      <c r="AA648" s="2328"/>
      <c r="AB648" s="2329"/>
      <c r="AC648" s="2326"/>
      <c r="AD648" s="2330">
        <f t="shared" ref="AD648:AD667" si="441">((P648*U648)-AM648)</f>
        <v>0</v>
      </c>
      <c r="AE648" s="2330"/>
      <c r="AF648" s="2330"/>
      <c r="AG648" s="2330">
        <f t="shared" si="435"/>
        <v>0</v>
      </c>
      <c r="AH648" s="2330"/>
      <c r="AI648" s="2330"/>
      <c r="AJ648" s="2330">
        <f t="shared" ref="AJ648:AJ667" si="442">P648*AA648</f>
        <v>0</v>
      </c>
      <c r="AK648" s="2330"/>
      <c r="AL648" s="2330"/>
      <c r="AM648" s="2331">
        <f t="shared" si="429"/>
        <v>0</v>
      </c>
      <c r="AN648" s="2331"/>
      <c r="AO648" s="2331"/>
      <c r="AP648" s="2331"/>
      <c r="AQ648" s="2332">
        <f t="shared" ref="AQ648:AQ667" si="443">SUM(AD648:AL648)</f>
        <v>0</v>
      </c>
      <c r="AR648" s="2332"/>
      <c r="AS648" s="2332"/>
      <c r="AT648" s="2332">
        <f t="shared" ref="AT648:AT667" si="444">SUM(AD648:AL648)</f>
        <v>0</v>
      </c>
      <c r="AV648" s="151" t="str">
        <f t="shared" si="424"/>
        <v>FRAMING &amp; DRYWALL</v>
      </c>
      <c r="AW648" s="681"/>
      <c r="AX648" s="230"/>
      <c r="AY648" s="230"/>
      <c r="AZ648" s="679"/>
      <c r="BA648" s="49">
        <f t="shared" ref="BA648:BA667" si="445">AD648</f>
        <v>0</v>
      </c>
      <c r="BB648" s="49">
        <f>AG648</f>
        <v>0</v>
      </c>
      <c r="BC648" s="49">
        <f>AJ648</f>
        <v>0</v>
      </c>
      <c r="BD648" s="49">
        <f t="shared" ref="BD648:BD667" si="446">IF(B648="x",1,0)</f>
        <v>0</v>
      </c>
      <c r="BE648" s="49">
        <f>SUM(BA648:BC648)</f>
        <v>0</v>
      </c>
      <c r="BF648" s="49">
        <f t="shared" ref="BF648:BF667" si="447">AQ648</f>
        <v>0</v>
      </c>
      <c r="BG648" s="49">
        <f t="shared" ref="BG648:BG667" si="448">AM648</f>
        <v>0</v>
      </c>
      <c r="BI648" s="134">
        <f>AD648</f>
        <v>0</v>
      </c>
      <c r="BJ648" s="134">
        <f t="shared" ref="BJ648:BJ667" si="449">AM648</f>
        <v>0</v>
      </c>
      <c r="BK648" s="134">
        <f>BJ648+BI648</f>
        <v>0</v>
      </c>
    </row>
    <row r="649" spans="1:63" hidden="1">
      <c r="A649" s="187"/>
      <c r="B649" s="2321"/>
      <c r="C649" s="2322"/>
      <c r="D649" s="2334"/>
      <c r="E649" s="2334"/>
      <c r="F649" s="2334"/>
      <c r="G649" s="2334"/>
      <c r="H649" s="2334"/>
      <c r="I649" s="2334"/>
      <c r="J649" s="2334"/>
      <c r="K649" s="2334"/>
      <c r="L649" s="2334"/>
      <c r="M649" s="2334"/>
      <c r="N649" s="2334"/>
      <c r="O649" s="2334"/>
      <c r="P649" s="2324"/>
      <c r="Q649" s="2324"/>
      <c r="R649" s="2325"/>
      <c r="S649" s="2324"/>
      <c r="T649" s="2324"/>
      <c r="U649" s="2326"/>
      <c r="V649" s="2327"/>
      <c r="W649" s="2327"/>
      <c r="X649" s="2327"/>
      <c r="Y649" s="2327"/>
      <c r="Z649" s="2327"/>
      <c r="AA649" s="2328"/>
      <c r="AB649" s="2329"/>
      <c r="AC649" s="2326"/>
      <c r="AD649" s="2330">
        <f t="shared" si="441"/>
        <v>0</v>
      </c>
      <c r="AE649" s="2330"/>
      <c r="AF649" s="2330"/>
      <c r="AG649" s="2330">
        <f t="shared" si="435"/>
        <v>0</v>
      </c>
      <c r="AH649" s="2330"/>
      <c r="AI649" s="2330"/>
      <c r="AJ649" s="2330">
        <f t="shared" si="442"/>
        <v>0</v>
      </c>
      <c r="AK649" s="2330"/>
      <c r="AL649" s="2330"/>
      <c r="AM649" s="2331">
        <f t="shared" si="429"/>
        <v>0</v>
      </c>
      <c r="AN649" s="2331"/>
      <c r="AO649" s="2331"/>
      <c r="AP649" s="2331"/>
      <c r="AQ649" s="2332">
        <f t="shared" si="443"/>
        <v>0</v>
      </c>
      <c r="AR649" s="2332"/>
      <c r="AS649" s="2332"/>
      <c r="AT649" s="2332">
        <f t="shared" si="444"/>
        <v>0</v>
      </c>
      <c r="AV649" s="151" t="str">
        <f t="shared" si="424"/>
        <v>FRAMING &amp; DRYWALL</v>
      </c>
      <c r="AW649" s="681"/>
      <c r="AX649" s="230"/>
      <c r="AY649" s="230"/>
      <c r="AZ649" s="679"/>
      <c r="BA649" s="49">
        <f t="shared" si="445"/>
        <v>0</v>
      </c>
      <c r="BB649" s="49">
        <f t="shared" ref="BB649:BB667" si="450">AG649</f>
        <v>0</v>
      </c>
      <c r="BC649" s="49">
        <f t="shared" ref="BC649:BC667" si="451">AJ649</f>
        <v>0</v>
      </c>
      <c r="BD649" s="49">
        <f t="shared" si="446"/>
        <v>0</v>
      </c>
      <c r="BE649" s="49">
        <f t="shared" ref="BE649:BE665" si="452">SUM(BA649:BC649)</f>
        <v>0</v>
      </c>
      <c r="BF649" s="49">
        <f t="shared" si="447"/>
        <v>0</v>
      </c>
      <c r="BG649" s="49">
        <f t="shared" si="448"/>
        <v>0</v>
      </c>
      <c r="BI649" s="134">
        <f t="shared" ref="BI649:BI667" si="453">AD649</f>
        <v>0</v>
      </c>
      <c r="BJ649" s="134">
        <f t="shared" si="449"/>
        <v>0</v>
      </c>
      <c r="BK649" s="134">
        <f t="shared" ref="BK649:BK667" si="454">BJ649+BI649</f>
        <v>0</v>
      </c>
    </row>
    <row r="650" spans="1:63" hidden="1">
      <c r="A650" s="187"/>
      <c r="B650" s="2333"/>
      <c r="C650" s="2333"/>
      <c r="D650" s="2334"/>
      <c r="E650" s="2334"/>
      <c r="F650" s="2334"/>
      <c r="G650" s="2334"/>
      <c r="H650" s="2334"/>
      <c r="I650" s="2334"/>
      <c r="J650" s="2334"/>
      <c r="K650" s="2334"/>
      <c r="L650" s="2334"/>
      <c r="M650" s="2334"/>
      <c r="N650" s="2334"/>
      <c r="O650" s="2334"/>
      <c r="P650" s="2324"/>
      <c r="Q650" s="2324"/>
      <c r="R650" s="2325"/>
      <c r="S650" s="2324"/>
      <c r="T650" s="2324"/>
      <c r="U650" s="2326"/>
      <c r="V650" s="2327"/>
      <c r="W650" s="2327"/>
      <c r="X650" s="2327"/>
      <c r="Y650" s="2327"/>
      <c r="Z650" s="2327"/>
      <c r="AA650" s="2328"/>
      <c r="AB650" s="2329"/>
      <c r="AC650" s="2326"/>
      <c r="AD650" s="2330">
        <f t="shared" si="441"/>
        <v>0</v>
      </c>
      <c r="AE650" s="2330"/>
      <c r="AF650" s="2330"/>
      <c r="AG650" s="2330">
        <f t="shared" si="435"/>
        <v>0</v>
      </c>
      <c r="AH650" s="2330"/>
      <c r="AI650" s="2330"/>
      <c r="AJ650" s="2330">
        <f t="shared" si="442"/>
        <v>0</v>
      </c>
      <c r="AK650" s="2330"/>
      <c r="AL650" s="2330"/>
      <c r="AM650" s="2331">
        <f t="shared" si="429"/>
        <v>0</v>
      </c>
      <c r="AN650" s="2331"/>
      <c r="AO650" s="2331"/>
      <c r="AP650" s="2331"/>
      <c r="AQ650" s="2332">
        <f t="shared" si="443"/>
        <v>0</v>
      </c>
      <c r="AR650" s="2332"/>
      <c r="AS650" s="2332"/>
      <c r="AT650" s="2332">
        <f t="shared" si="444"/>
        <v>0</v>
      </c>
      <c r="AV650" s="151" t="str">
        <f t="shared" si="424"/>
        <v>FRAMING &amp; DRYWALL</v>
      </c>
      <c r="AW650" s="681"/>
      <c r="AX650" s="230"/>
      <c r="AY650" s="230"/>
      <c r="AZ650" s="679"/>
      <c r="BA650" s="49">
        <f t="shared" si="445"/>
        <v>0</v>
      </c>
      <c r="BB650" s="49">
        <f t="shared" si="450"/>
        <v>0</v>
      </c>
      <c r="BC650" s="49">
        <f t="shared" si="451"/>
        <v>0</v>
      </c>
      <c r="BD650" s="49">
        <f t="shared" si="446"/>
        <v>0</v>
      </c>
      <c r="BE650" s="49">
        <f t="shared" si="452"/>
        <v>0</v>
      </c>
      <c r="BF650" s="49">
        <f t="shared" si="447"/>
        <v>0</v>
      </c>
      <c r="BG650" s="49">
        <f t="shared" si="448"/>
        <v>0</v>
      </c>
      <c r="BI650" s="134">
        <f t="shared" si="453"/>
        <v>0</v>
      </c>
      <c r="BJ650" s="134">
        <f t="shared" si="449"/>
        <v>0</v>
      </c>
      <c r="BK650" s="134">
        <f t="shared" si="454"/>
        <v>0</v>
      </c>
    </row>
    <row r="651" spans="1:63" hidden="1">
      <c r="A651" s="187"/>
      <c r="B651" s="2333"/>
      <c r="C651" s="2333"/>
      <c r="D651" s="2334"/>
      <c r="E651" s="2334"/>
      <c r="F651" s="2334"/>
      <c r="G651" s="2334"/>
      <c r="H651" s="2334"/>
      <c r="I651" s="2334"/>
      <c r="J651" s="2334"/>
      <c r="K651" s="2334"/>
      <c r="L651" s="2334"/>
      <c r="M651" s="2334"/>
      <c r="N651" s="2334"/>
      <c r="O651" s="2334"/>
      <c r="P651" s="2324"/>
      <c r="Q651" s="2324"/>
      <c r="R651" s="2325"/>
      <c r="S651" s="2324"/>
      <c r="T651" s="2324"/>
      <c r="U651" s="2326"/>
      <c r="V651" s="2327"/>
      <c r="W651" s="2327"/>
      <c r="X651" s="2327"/>
      <c r="Y651" s="2327"/>
      <c r="Z651" s="2327"/>
      <c r="AA651" s="2328"/>
      <c r="AB651" s="2329"/>
      <c r="AC651" s="2326"/>
      <c r="AD651" s="2330">
        <f t="shared" si="441"/>
        <v>0</v>
      </c>
      <c r="AE651" s="2330"/>
      <c r="AF651" s="2330"/>
      <c r="AG651" s="2330">
        <f t="shared" si="435"/>
        <v>0</v>
      </c>
      <c r="AH651" s="2330"/>
      <c r="AI651" s="2330"/>
      <c r="AJ651" s="2330">
        <f t="shared" si="442"/>
        <v>0</v>
      </c>
      <c r="AK651" s="2330"/>
      <c r="AL651" s="2330"/>
      <c r="AM651" s="2331">
        <f t="shared" si="429"/>
        <v>0</v>
      </c>
      <c r="AN651" s="2331"/>
      <c r="AO651" s="2331"/>
      <c r="AP651" s="2331"/>
      <c r="AQ651" s="2332">
        <f t="shared" si="443"/>
        <v>0</v>
      </c>
      <c r="AR651" s="2332"/>
      <c r="AS651" s="2332"/>
      <c r="AT651" s="2332">
        <f t="shared" si="444"/>
        <v>0</v>
      </c>
      <c r="AV651" s="151" t="str">
        <f t="shared" si="424"/>
        <v>FRAMING &amp; DRYWALL</v>
      </c>
      <c r="AW651" s="681"/>
      <c r="AX651" s="230"/>
      <c r="AY651" s="230"/>
      <c r="AZ651" s="679"/>
      <c r="BA651" s="49">
        <f t="shared" si="445"/>
        <v>0</v>
      </c>
      <c r="BB651" s="49">
        <f t="shared" si="450"/>
        <v>0</v>
      </c>
      <c r="BC651" s="49">
        <f t="shared" si="451"/>
        <v>0</v>
      </c>
      <c r="BD651" s="49">
        <f t="shared" si="446"/>
        <v>0</v>
      </c>
      <c r="BE651" s="49">
        <f t="shared" si="452"/>
        <v>0</v>
      </c>
      <c r="BF651" s="49">
        <f t="shared" si="447"/>
        <v>0</v>
      </c>
      <c r="BG651" s="49">
        <f t="shared" si="448"/>
        <v>0</v>
      </c>
      <c r="BI651" s="134">
        <f t="shared" si="453"/>
        <v>0</v>
      </c>
      <c r="BJ651" s="134">
        <f t="shared" si="449"/>
        <v>0</v>
      </c>
      <c r="BK651" s="134">
        <f t="shared" si="454"/>
        <v>0</v>
      </c>
    </row>
    <row r="652" spans="1:63" hidden="1">
      <c r="A652" s="187"/>
      <c r="B652" s="2321"/>
      <c r="C652" s="2322"/>
      <c r="D652" s="2334"/>
      <c r="E652" s="2334"/>
      <c r="F652" s="2334"/>
      <c r="G652" s="2334"/>
      <c r="H652" s="2334"/>
      <c r="I652" s="2334"/>
      <c r="J652" s="2334"/>
      <c r="K652" s="2334"/>
      <c r="L652" s="2334"/>
      <c r="M652" s="2334"/>
      <c r="N652" s="2334"/>
      <c r="O652" s="2334"/>
      <c r="P652" s="2324"/>
      <c r="Q652" s="2324"/>
      <c r="R652" s="2325"/>
      <c r="S652" s="2324"/>
      <c r="T652" s="2324"/>
      <c r="U652" s="2326"/>
      <c r="V652" s="2327"/>
      <c r="W652" s="2327"/>
      <c r="X652" s="2327"/>
      <c r="Y652" s="2327"/>
      <c r="Z652" s="2327"/>
      <c r="AA652" s="2328"/>
      <c r="AB652" s="2329"/>
      <c r="AC652" s="2326"/>
      <c r="AD652" s="2330">
        <f t="shared" si="441"/>
        <v>0</v>
      </c>
      <c r="AE652" s="2330"/>
      <c r="AF652" s="2330"/>
      <c r="AG652" s="2330">
        <f t="shared" si="435"/>
        <v>0</v>
      </c>
      <c r="AH652" s="2330"/>
      <c r="AI652" s="2330"/>
      <c r="AJ652" s="2330">
        <f t="shared" si="442"/>
        <v>0</v>
      </c>
      <c r="AK652" s="2330"/>
      <c r="AL652" s="2330"/>
      <c r="AM652" s="2331">
        <f t="shared" si="429"/>
        <v>0</v>
      </c>
      <c r="AN652" s="2331"/>
      <c r="AO652" s="2331"/>
      <c r="AP652" s="2331"/>
      <c r="AQ652" s="2332">
        <f t="shared" si="443"/>
        <v>0</v>
      </c>
      <c r="AR652" s="2332"/>
      <c r="AS652" s="2332"/>
      <c r="AT652" s="2332">
        <f t="shared" si="444"/>
        <v>0</v>
      </c>
      <c r="AV652" s="151" t="str">
        <f t="shared" si="424"/>
        <v>FRAMING &amp; DRYWALL</v>
      </c>
      <c r="AW652" s="681"/>
      <c r="AX652" s="230"/>
      <c r="AY652" s="230"/>
      <c r="AZ652" s="679"/>
      <c r="BA652" s="49">
        <f t="shared" si="445"/>
        <v>0</v>
      </c>
      <c r="BB652" s="49">
        <f t="shared" si="450"/>
        <v>0</v>
      </c>
      <c r="BC652" s="49">
        <f t="shared" si="451"/>
        <v>0</v>
      </c>
      <c r="BD652" s="49">
        <f t="shared" si="446"/>
        <v>0</v>
      </c>
      <c r="BE652" s="49">
        <f t="shared" si="452"/>
        <v>0</v>
      </c>
      <c r="BF652" s="49">
        <f t="shared" si="447"/>
        <v>0</v>
      </c>
      <c r="BG652" s="49">
        <f t="shared" si="448"/>
        <v>0</v>
      </c>
      <c r="BI652" s="134">
        <f t="shared" si="453"/>
        <v>0</v>
      </c>
      <c r="BJ652" s="134">
        <f t="shared" si="449"/>
        <v>0</v>
      </c>
      <c r="BK652" s="134">
        <f t="shared" si="454"/>
        <v>0</v>
      </c>
    </row>
    <row r="653" spans="1:63" hidden="1">
      <c r="A653" s="187"/>
      <c r="B653" s="2321"/>
      <c r="C653" s="2322"/>
      <c r="D653" s="2334"/>
      <c r="E653" s="2334"/>
      <c r="F653" s="2334"/>
      <c r="G653" s="2334"/>
      <c r="H653" s="2334"/>
      <c r="I653" s="2334"/>
      <c r="J653" s="2334"/>
      <c r="K653" s="2334"/>
      <c r="L653" s="2334"/>
      <c r="M653" s="2334"/>
      <c r="N653" s="2334"/>
      <c r="O653" s="2334"/>
      <c r="P653" s="2324"/>
      <c r="Q653" s="2324"/>
      <c r="R653" s="2325"/>
      <c r="S653" s="2324"/>
      <c r="T653" s="2324"/>
      <c r="U653" s="2326"/>
      <c r="V653" s="2327"/>
      <c r="W653" s="2327"/>
      <c r="X653" s="2327"/>
      <c r="Y653" s="2327"/>
      <c r="Z653" s="2327"/>
      <c r="AA653" s="2328"/>
      <c r="AB653" s="2329"/>
      <c r="AC653" s="2326"/>
      <c r="AD653" s="2330">
        <f t="shared" si="441"/>
        <v>0</v>
      </c>
      <c r="AE653" s="2330"/>
      <c r="AF653" s="2330"/>
      <c r="AG653" s="2330">
        <f t="shared" si="435"/>
        <v>0</v>
      </c>
      <c r="AH653" s="2330"/>
      <c r="AI653" s="2330"/>
      <c r="AJ653" s="2330">
        <f t="shared" si="442"/>
        <v>0</v>
      </c>
      <c r="AK653" s="2330"/>
      <c r="AL653" s="2330"/>
      <c r="AM653" s="2331">
        <f t="shared" si="429"/>
        <v>0</v>
      </c>
      <c r="AN653" s="2331"/>
      <c r="AO653" s="2331"/>
      <c r="AP653" s="2331"/>
      <c r="AQ653" s="2332">
        <f t="shared" si="443"/>
        <v>0</v>
      </c>
      <c r="AR653" s="2332"/>
      <c r="AS653" s="2332"/>
      <c r="AT653" s="2332">
        <f t="shared" si="444"/>
        <v>0</v>
      </c>
      <c r="AV653" s="151" t="str">
        <f t="shared" si="424"/>
        <v>FRAMING &amp; DRYWALL</v>
      </c>
      <c r="AW653" s="681"/>
      <c r="AX653" s="230"/>
      <c r="AY653" s="230"/>
      <c r="AZ653" s="679"/>
      <c r="BA653" s="49">
        <f t="shared" si="445"/>
        <v>0</v>
      </c>
      <c r="BB653" s="49">
        <f t="shared" si="450"/>
        <v>0</v>
      </c>
      <c r="BC653" s="49">
        <f t="shared" si="451"/>
        <v>0</v>
      </c>
      <c r="BD653" s="49">
        <f t="shared" si="446"/>
        <v>0</v>
      </c>
      <c r="BE653" s="49">
        <f t="shared" si="452"/>
        <v>0</v>
      </c>
      <c r="BF653" s="49">
        <f t="shared" si="447"/>
        <v>0</v>
      </c>
      <c r="BG653" s="49">
        <f t="shared" si="448"/>
        <v>0</v>
      </c>
      <c r="BI653" s="134">
        <f t="shared" si="453"/>
        <v>0</v>
      </c>
      <c r="BJ653" s="134">
        <f t="shared" si="449"/>
        <v>0</v>
      </c>
      <c r="BK653" s="134">
        <f t="shared" si="454"/>
        <v>0</v>
      </c>
    </row>
    <row r="654" spans="1:63" hidden="1">
      <c r="A654" s="187"/>
      <c r="B654" s="2321"/>
      <c r="C654" s="2322"/>
      <c r="D654" s="2334"/>
      <c r="E654" s="2334"/>
      <c r="F654" s="2334"/>
      <c r="G654" s="2334"/>
      <c r="H654" s="2334"/>
      <c r="I654" s="2334"/>
      <c r="J654" s="2334"/>
      <c r="K654" s="2334"/>
      <c r="L654" s="2334"/>
      <c r="M654" s="2334"/>
      <c r="N654" s="2334"/>
      <c r="O654" s="2334"/>
      <c r="P654" s="2324"/>
      <c r="Q654" s="2324"/>
      <c r="R654" s="2325"/>
      <c r="S654" s="2324"/>
      <c r="T654" s="2324"/>
      <c r="U654" s="2326"/>
      <c r="V654" s="2327"/>
      <c r="W654" s="2327"/>
      <c r="X654" s="2327"/>
      <c r="Y654" s="2327"/>
      <c r="Z654" s="2327"/>
      <c r="AA654" s="2328"/>
      <c r="AB654" s="2329"/>
      <c r="AC654" s="2326"/>
      <c r="AD654" s="2330">
        <f t="shared" si="441"/>
        <v>0</v>
      </c>
      <c r="AE654" s="2330"/>
      <c r="AF654" s="2330"/>
      <c r="AG654" s="2330">
        <f t="shared" si="435"/>
        <v>0</v>
      </c>
      <c r="AH654" s="2330"/>
      <c r="AI654" s="2330"/>
      <c r="AJ654" s="2330">
        <f t="shared" si="442"/>
        <v>0</v>
      </c>
      <c r="AK654" s="2330"/>
      <c r="AL654" s="2330"/>
      <c r="AM654" s="2331">
        <f t="shared" si="429"/>
        <v>0</v>
      </c>
      <c r="AN654" s="2331"/>
      <c r="AO654" s="2331"/>
      <c r="AP654" s="2331"/>
      <c r="AQ654" s="2332">
        <f t="shared" si="443"/>
        <v>0</v>
      </c>
      <c r="AR654" s="2332"/>
      <c r="AS654" s="2332"/>
      <c r="AT654" s="2332">
        <f t="shared" si="444"/>
        <v>0</v>
      </c>
      <c r="AV654" s="151" t="str">
        <f t="shared" si="424"/>
        <v>FRAMING &amp; DRYWALL</v>
      </c>
      <c r="AW654" s="681"/>
      <c r="AX654" s="230"/>
      <c r="AY654" s="230"/>
      <c r="AZ654" s="679"/>
      <c r="BA654" s="49">
        <f t="shared" si="445"/>
        <v>0</v>
      </c>
      <c r="BB654" s="49">
        <f t="shared" si="450"/>
        <v>0</v>
      </c>
      <c r="BC654" s="49">
        <f t="shared" si="451"/>
        <v>0</v>
      </c>
      <c r="BD654" s="49">
        <f t="shared" si="446"/>
        <v>0</v>
      </c>
      <c r="BE654" s="49">
        <f t="shared" si="452"/>
        <v>0</v>
      </c>
      <c r="BF654" s="49">
        <f t="shared" si="447"/>
        <v>0</v>
      </c>
      <c r="BG654" s="49">
        <f t="shared" si="448"/>
        <v>0</v>
      </c>
      <c r="BI654" s="134">
        <f t="shared" si="453"/>
        <v>0</v>
      </c>
      <c r="BJ654" s="134">
        <f t="shared" si="449"/>
        <v>0</v>
      </c>
      <c r="BK654" s="134">
        <f t="shared" si="454"/>
        <v>0</v>
      </c>
    </row>
    <row r="655" spans="1:63" hidden="1">
      <c r="A655" s="187"/>
      <c r="B655" s="2333"/>
      <c r="C655" s="2333"/>
      <c r="D655" s="2334"/>
      <c r="E655" s="2334"/>
      <c r="F655" s="2334"/>
      <c r="G655" s="2334"/>
      <c r="H655" s="2334"/>
      <c r="I655" s="2334"/>
      <c r="J655" s="2334"/>
      <c r="K655" s="2334"/>
      <c r="L655" s="2334"/>
      <c r="M655" s="2334"/>
      <c r="N655" s="2334"/>
      <c r="O655" s="2334"/>
      <c r="P655" s="2324"/>
      <c r="Q655" s="2324"/>
      <c r="R655" s="2325"/>
      <c r="S655" s="2324"/>
      <c r="T655" s="2324"/>
      <c r="U655" s="2326"/>
      <c r="V655" s="2327"/>
      <c r="W655" s="2327"/>
      <c r="X655" s="2327"/>
      <c r="Y655" s="2327"/>
      <c r="Z655" s="2327"/>
      <c r="AA655" s="2328"/>
      <c r="AB655" s="2329"/>
      <c r="AC655" s="2326"/>
      <c r="AD655" s="2330">
        <f t="shared" si="441"/>
        <v>0</v>
      </c>
      <c r="AE655" s="2330"/>
      <c r="AF655" s="2330"/>
      <c r="AG655" s="2330">
        <f t="shared" si="435"/>
        <v>0</v>
      </c>
      <c r="AH655" s="2330"/>
      <c r="AI655" s="2330"/>
      <c r="AJ655" s="2330">
        <f t="shared" si="442"/>
        <v>0</v>
      </c>
      <c r="AK655" s="2330"/>
      <c r="AL655" s="2330"/>
      <c r="AM655" s="2331">
        <f t="shared" si="429"/>
        <v>0</v>
      </c>
      <c r="AN655" s="2331"/>
      <c r="AO655" s="2331"/>
      <c r="AP655" s="2331"/>
      <c r="AQ655" s="2332">
        <f t="shared" si="443"/>
        <v>0</v>
      </c>
      <c r="AR655" s="2332"/>
      <c r="AS655" s="2332"/>
      <c r="AT655" s="2332">
        <f t="shared" si="444"/>
        <v>0</v>
      </c>
      <c r="AV655" s="151" t="str">
        <f t="shared" si="424"/>
        <v>FRAMING &amp; DRYWALL</v>
      </c>
      <c r="AW655" s="681"/>
      <c r="AX655" s="230"/>
      <c r="AY655" s="230"/>
      <c r="AZ655" s="679"/>
      <c r="BA655" s="49">
        <f t="shared" si="445"/>
        <v>0</v>
      </c>
      <c r="BB655" s="49">
        <f t="shared" si="450"/>
        <v>0</v>
      </c>
      <c r="BC655" s="49">
        <f t="shared" si="451"/>
        <v>0</v>
      </c>
      <c r="BD655" s="49">
        <f t="shared" si="446"/>
        <v>0</v>
      </c>
      <c r="BE655" s="49">
        <f t="shared" si="452"/>
        <v>0</v>
      </c>
      <c r="BF655" s="49">
        <f t="shared" si="447"/>
        <v>0</v>
      </c>
      <c r="BG655" s="49">
        <f t="shared" si="448"/>
        <v>0</v>
      </c>
      <c r="BI655" s="134">
        <f t="shared" si="453"/>
        <v>0</v>
      </c>
      <c r="BJ655" s="134">
        <f t="shared" si="449"/>
        <v>0</v>
      </c>
      <c r="BK655" s="134">
        <f t="shared" si="454"/>
        <v>0</v>
      </c>
    </row>
    <row r="656" spans="1:63" hidden="1">
      <c r="A656" s="187"/>
      <c r="B656" s="2333"/>
      <c r="C656" s="2333"/>
      <c r="D656" s="2334"/>
      <c r="E656" s="2334"/>
      <c r="F656" s="2334"/>
      <c r="G656" s="2334"/>
      <c r="H656" s="2334"/>
      <c r="I656" s="2334"/>
      <c r="J656" s="2334"/>
      <c r="K656" s="2334"/>
      <c r="L656" s="2334"/>
      <c r="M656" s="2334"/>
      <c r="N656" s="2334"/>
      <c r="O656" s="2334"/>
      <c r="P656" s="2324"/>
      <c r="Q656" s="2324"/>
      <c r="R656" s="2325"/>
      <c r="S656" s="2324"/>
      <c r="T656" s="2324"/>
      <c r="U656" s="2326"/>
      <c r="V656" s="2327"/>
      <c r="W656" s="2327"/>
      <c r="X656" s="2327"/>
      <c r="Y656" s="2327"/>
      <c r="Z656" s="2327"/>
      <c r="AA656" s="2328"/>
      <c r="AB656" s="2329"/>
      <c r="AC656" s="2326"/>
      <c r="AD656" s="2330">
        <f t="shared" si="441"/>
        <v>0</v>
      </c>
      <c r="AE656" s="2330"/>
      <c r="AF656" s="2330"/>
      <c r="AG656" s="2330">
        <f t="shared" si="435"/>
        <v>0</v>
      </c>
      <c r="AH656" s="2330"/>
      <c r="AI656" s="2330"/>
      <c r="AJ656" s="2330">
        <f t="shared" si="442"/>
        <v>0</v>
      </c>
      <c r="AK656" s="2330"/>
      <c r="AL656" s="2330"/>
      <c r="AM656" s="2331">
        <f t="shared" si="429"/>
        <v>0</v>
      </c>
      <c r="AN656" s="2331"/>
      <c r="AO656" s="2331"/>
      <c r="AP656" s="2331"/>
      <c r="AQ656" s="2332">
        <f t="shared" si="443"/>
        <v>0</v>
      </c>
      <c r="AR656" s="2332"/>
      <c r="AS656" s="2332"/>
      <c r="AT656" s="2332">
        <f t="shared" si="444"/>
        <v>0</v>
      </c>
      <c r="AV656" s="151" t="str">
        <f t="shared" si="424"/>
        <v>FRAMING &amp; DRYWALL</v>
      </c>
      <c r="AW656" s="681"/>
      <c r="AX656" s="230"/>
      <c r="AY656" s="230"/>
      <c r="AZ656" s="679"/>
      <c r="BA656" s="49">
        <f t="shared" si="445"/>
        <v>0</v>
      </c>
      <c r="BB656" s="49">
        <f t="shared" si="450"/>
        <v>0</v>
      </c>
      <c r="BC656" s="49">
        <f t="shared" si="451"/>
        <v>0</v>
      </c>
      <c r="BD656" s="49">
        <f t="shared" si="446"/>
        <v>0</v>
      </c>
      <c r="BE656" s="49">
        <f t="shared" si="452"/>
        <v>0</v>
      </c>
      <c r="BF656" s="49">
        <f t="shared" si="447"/>
        <v>0</v>
      </c>
      <c r="BG656" s="49">
        <f t="shared" si="448"/>
        <v>0</v>
      </c>
      <c r="BI656" s="134">
        <f t="shared" si="453"/>
        <v>0</v>
      </c>
      <c r="BJ656" s="134">
        <f t="shared" si="449"/>
        <v>0</v>
      </c>
      <c r="BK656" s="134">
        <f t="shared" si="454"/>
        <v>0</v>
      </c>
    </row>
    <row r="657" spans="1:63" hidden="1">
      <c r="A657" s="187"/>
      <c r="B657" s="2321"/>
      <c r="C657" s="2322"/>
      <c r="D657" s="2334"/>
      <c r="E657" s="2334"/>
      <c r="F657" s="2334"/>
      <c r="G657" s="2334"/>
      <c r="H657" s="2334"/>
      <c r="I657" s="2334"/>
      <c r="J657" s="2334"/>
      <c r="K657" s="2334"/>
      <c r="L657" s="2334"/>
      <c r="M657" s="2334"/>
      <c r="N657" s="2334"/>
      <c r="O657" s="2334"/>
      <c r="P657" s="2324"/>
      <c r="Q657" s="2324"/>
      <c r="R657" s="2325"/>
      <c r="S657" s="2324"/>
      <c r="T657" s="2324"/>
      <c r="U657" s="2326"/>
      <c r="V657" s="2327"/>
      <c r="W657" s="2327"/>
      <c r="X657" s="2327"/>
      <c r="Y657" s="2327"/>
      <c r="Z657" s="2327"/>
      <c r="AA657" s="2328"/>
      <c r="AB657" s="2329"/>
      <c r="AC657" s="2326"/>
      <c r="AD657" s="2330">
        <f t="shared" si="441"/>
        <v>0</v>
      </c>
      <c r="AE657" s="2330"/>
      <c r="AF657" s="2330"/>
      <c r="AG657" s="2330">
        <f t="shared" si="435"/>
        <v>0</v>
      </c>
      <c r="AH657" s="2330"/>
      <c r="AI657" s="2330"/>
      <c r="AJ657" s="2330">
        <f t="shared" si="442"/>
        <v>0</v>
      </c>
      <c r="AK657" s="2330"/>
      <c r="AL657" s="2330"/>
      <c r="AM657" s="2331">
        <f t="shared" si="429"/>
        <v>0</v>
      </c>
      <c r="AN657" s="2331"/>
      <c r="AO657" s="2331"/>
      <c r="AP657" s="2331"/>
      <c r="AQ657" s="2332">
        <f t="shared" si="443"/>
        <v>0</v>
      </c>
      <c r="AR657" s="2332"/>
      <c r="AS657" s="2332"/>
      <c r="AT657" s="2332">
        <f t="shared" si="444"/>
        <v>0</v>
      </c>
      <c r="AV657" s="151" t="str">
        <f t="shared" si="424"/>
        <v>FRAMING &amp; DRYWALL</v>
      </c>
      <c r="AW657" s="681"/>
      <c r="AX657" s="230"/>
      <c r="AY657" s="230"/>
      <c r="AZ657" s="679"/>
      <c r="BA657" s="49">
        <f t="shared" si="445"/>
        <v>0</v>
      </c>
      <c r="BB657" s="49">
        <f t="shared" si="450"/>
        <v>0</v>
      </c>
      <c r="BC657" s="49">
        <f t="shared" si="451"/>
        <v>0</v>
      </c>
      <c r="BD657" s="49">
        <f t="shared" si="446"/>
        <v>0</v>
      </c>
      <c r="BE657" s="49">
        <f t="shared" si="452"/>
        <v>0</v>
      </c>
      <c r="BF657" s="49">
        <f t="shared" si="447"/>
        <v>0</v>
      </c>
      <c r="BG657" s="49">
        <f t="shared" si="448"/>
        <v>0</v>
      </c>
      <c r="BI657" s="134">
        <f t="shared" si="453"/>
        <v>0</v>
      </c>
      <c r="BJ657" s="134">
        <f t="shared" si="449"/>
        <v>0</v>
      </c>
      <c r="BK657" s="134">
        <f t="shared" si="454"/>
        <v>0</v>
      </c>
    </row>
    <row r="658" spans="1:63" hidden="1">
      <c r="A658" s="187"/>
      <c r="B658" s="2333"/>
      <c r="C658" s="2333"/>
      <c r="D658" s="2334"/>
      <c r="E658" s="2334"/>
      <c r="F658" s="2334"/>
      <c r="G658" s="2334"/>
      <c r="H658" s="2334"/>
      <c r="I658" s="2334"/>
      <c r="J658" s="2334"/>
      <c r="K658" s="2334"/>
      <c r="L658" s="2334"/>
      <c r="M658" s="2334"/>
      <c r="N658" s="2334"/>
      <c r="O658" s="2334"/>
      <c r="P658" s="2324"/>
      <c r="Q658" s="2324"/>
      <c r="R658" s="2325"/>
      <c r="S658" s="2324"/>
      <c r="T658" s="2324"/>
      <c r="U658" s="2326"/>
      <c r="V658" s="2327"/>
      <c r="W658" s="2327"/>
      <c r="X658" s="2327"/>
      <c r="Y658" s="2327"/>
      <c r="Z658" s="2327"/>
      <c r="AA658" s="2328"/>
      <c r="AB658" s="2329"/>
      <c r="AC658" s="2326"/>
      <c r="AD658" s="2330">
        <f t="shared" si="441"/>
        <v>0</v>
      </c>
      <c r="AE658" s="2330"/>
      <c r="AF658" s="2330"/>
      <c r="AG658" s="2330">
        <f t="shared" si="435"/>
        <v>0</v>
      </c>
      <c r="AH658" s="2330"/>
      <c r="AI658" s="2330"/>
      <c r="AJ658" s="2330">
        <f t="shared" si="442"/>
        <v>0</v>
      </c>
      <c r="AK658" s="2330"/>
      <c r="AL658" s="2330"/>
      <c r="AM658" s="2331">
        <f t="shared" si="429"/>
        <v>0</v>
      </c>
      <c r="AN658" s="2331"/>
      <c r="AO658" s="2331"/>
      <c r="AP658" s="2331"/>
      <c r="AQ658" s="2332">
        <f t="shared" si="443"/>
        <v>0</v>
      </c>
      <c r="AR658" s="2332"/>
      <c r="AS658" s="2332"/>
      <c r="AT658" s="2332">
        <f t="shared" si="444"/>
        <v>0</v>
      </c>
      <c r="AV658" s="151" t="str">
        <f t="shared" si="424"/>
        <v>FRAMING &amp; DRYWALL</v>
      </c>
      <c r="AW658" s="681"/>
      <c r="AX658" s="230"/>
      <c r="AY658" s="230"/>
      <c r="AZ658" s="679"/>
      <c r="BA658" s="49">
        <f t="shared" si="445"/>
        <v>0</v>
      </c>
      <c r="BB658" s="49">
        <f t="shared" si="450"/>
        <v>0</v>
      </c>
      <c r="BC658" s="49">
        <f t="shared" si="451"/>
        <v>0</v>
      </c>
      <c r="BD658" s="49">
        <f t="shared" si="446"/>
        <v>0</v>
      </c>
      <c r="BE658" s="49">
        <f t="shared" si="452"/>
        <v>0</v>
      </c>
      <c r="BF658" s="49">
        <f t="shared" si="447"/>
        <v>0</v>
      </c>
      <c r="BG658" s="49">
        <f t="shared" si="448"/>
        <v>0</v>
      </c>
      <c r="BI658" s="134">
        <f t="shared" si="453"/>
        <v>0</v>
      </c>
      <c r="BJ658" s="134">
        <f t="shared" si="449"/>
        <v>0</v>
      </c>
      <c r="BK658" s="134">
        <f t="shared" si="454"/>
        <v>0</v>
      </c>
    </row>
    <row r="659" spans="1:63" hidden="1">
      <c r="A659" s="187"/>
      <c r="B659" s="2321"/>
      <c r="C659" s="2322"/>
      <c r="D659" s="2334"/>
      <c r="E659" s="2334"/>
      <c r="F659" s="2334"/>
      <c r="G659" s="2334"/>
      <c r="H659" s="2334"/>
      <c r="I659" s="2334"/>
      <c r="J659" s="2334"/>
      <c r="K659" s="2334"/>
      <c r="L659" s="2334"/>
      <c r="M659" s="2334"/>
      <c r="N659" s="2334"/>
      <c r="O659" s="2334"/>
      <c r="P659" s="2324"/>
      <c r="Q659" s="2324"/>
      <c r="R659" s="2325"/>
      <c r="S659" s="2324"/>
      <c r="T659" s="2324"/>
      <c r="U659" s="2326"/>
      <c r="V659" s="2327"/>
      <c r="W659" s="2327"/>
      <c r="X659" s="2327"/>
      <c r="Y659" s="2327"/>
      <c r="Z659" s="2327"/>
      <c r="AA659" s="2328"/>
      <c r="AB659" s="2329"/>
      <c r="AC659" s="2326"/>
      <c r="AD659" s="2330">
        <f t="shared" si="441"/>
        <v>0</v>
      </c>
      <c r="AE659" s="2330"/>
      <c r="AF659" s="2330"/>
      <c r="AG659" s="2330">
        <f t="shared" si="435"/>
        <v>0</v>
      </c>
      <c r="AH659" s="2330"/>
      <c r="AI659" s="2330"/>
      <c r="AJ659" s="2330">
        <f t="shared" si="442"/>
        <v>0</v>
      </c>
      <c r="AK659" s="2330"/>
      <c r="AL659" s="2330"/>
      <c r="AM659" s="2331">
        <f t="shared" si="429"/>
        <v>0</v>
      </c>
      <c r="AN659" s="2331"/>
      <c r="AO659" s="2331"/>
      <c r="AP659" s="2331"/>
      <c r="AQ659" s="2332">
        <f t="shared" si="443"/>
        <v>0</v>
      </c>
      <c r="AR659" s="2332"/>
      <c r="AS659" s="2332"/>
      <c r="AT659" s="2332">
        <f t="shared" si="444"/>
        <v>0</v>
      </c>
      <c r="AV659" s="151" t="str">
        <f t="shared" si="424"/>
        <v>FRAMING &amp; DRYWALL</v>
      </c>
      <c r="AW659" s="681"/>
      <c r="AX659" s="230"/>
      <c r="AY659" s="230"/>
      <c r="AZ659" s="679"/>
      <c r="BA659" s="49">
        <f t="shared" si="445"/>
        <v>0</v>
      </c>
      <c r="BB659" s="49">
        <f t="shared" si="450"/>
        <v>0</v>
      </c>
      <c r="BC659" s="49">
        <f t="shared" si="451"/>
        <v>0</v>
      </c>
      <c r="BD659" s="49">
        <f t="shared" si="446"/>
        <v>0</v>
      </c>
      <c r="BE659" s="49">
        <f t="shared" si="452"/>
        <v>0</v>
      </c>
      <c r="BF659" s="49">
        <f t="shared" si="447"/>
        <v>0</v>
      </c>
      <c r="BG659" s="49">
        <f t="shared" si="448"/>
        <v>0</v>
      </c>
      <c r="BI659" s="134">
        <f t="shared" si="453"/>
        <v>0</v>
      </c>
      <c r="BJ659" s="134">
        <f t="shared" si="449"/>
        <v>0</v>
      </c>
      <c r="BK659" s="134">
        <f t="shared" si="454"/>
        <v>0</v>
      </c>
    </row>
    <row r="660" spans="1:63" hidden="1">
      <c r="A660" s="187"/>
      <c r="B660" s="2321"/>
      <c r="C660" s="2322"/>
      <c r="D660" s="2334"/>
      <c r="E660" s="2334"/>
      <c r="F660" s="2334"/>
      <c r="G660" s="2334"/>
      <c r="H660" s="2334"/>
      <c r="I660" s="2334"/>
      <c r="J660" s="2334"/>
      <c r="K660" s="2334"/>
      <c r="L660" s="2334"/>
      <c r="M660" s="2334"/>
      <c r="N660" s="2334"/>
      <c r="O660" s="2334"/>
      <c r="P660" s="2324"/>
      <c r="Q660" s="2324"/>
      <c r="R660" s="2325"/>
      <c r="S660" s="2324"/>
      <c r="T660" s="2324"/>
      <c r="U660" s="2326"/>
      <c r="V660" s="2327"/>
      <c r="W660" s="2327"/>
      <c r="X660" s="2327"/>
      <c r="Y660" s="2327"/>
      <c r="Z660" s="2327"/>
      <c r="AA660" s="2328"/>
      <c r="AB660" s="2329"/>
      <c r="AC660" s="2326"/>
      <c r="AD660" s="2330">
        <f t="shared" si="441"/>
        <v>0</v>
      </c>
      <c r="AE660" s="2330"/>
      <c r="AF660" s="2330"/>
      <c r="AG660" s="2330">
        <f t="shared" si="435"/>
        <v>0</v>
      </c>
      <c r="AH660" s="2330"/>
      <c r="AI660" s="2330"/>
      <c r="AJ660" s="2330">
        <f t="shared" si="442"/>
        <v>0</v>
      </c>
      <c r="AK660" s="2330"/>
      <c r="AL660" s="2330"/>
      <c r="AM660" s="2331">
        <f t="shared" si="429"/>
        <v>0</v>
      </c>
      <c r="AN660" s="2331"/>
      <c r="AO660" s="2331"/>
      <c r="AP660" s="2331"/>
      <c r="AQ660" s="2332">
        <f t="shared" si="443"/>
        <v>0</v>
      </c>
      <c r="AR660" s="2332"/>
      <c r="AS660" s="2332"/>
      <c r="AT660" s="2332">
        <f t="shared" si="444"/>
        <v>0</v>
      </c>
      <c r="AV660" s="151" t="str">
        <f t="shared" si="424"/>
        <v>FRAMING &amp; DRYWALL</v>
      </c>
      <c r="AW660" s="681"/>
      <c r="AX660" s="230"/>
      <c r="AY660" s="230"/>
      <c r="AZ660" s="679"/>
      <c r="BA660" s="49">
        <f t="shared" si="445"/>
        <v>0</v>
      </c>
      <c r="BB660" s="49">
        <f t="shared" si="450"/>
        <v>0</v>
      </c>
      <c r="BC660" s="49">
        <f t="shared" si="451"/>
        <v>0</v>
      </c>
      <c r="BD660" s="49">
        <f t="shared" si="446"/>
        <v>0</v>
      </c>
      <c r="BE660" s="49">
        <f t="shared" si="452"/>
        <v>0</v>
      </c>
      <c r="BF660" s="49">
        <f t="shared" si="447"/>
        <v>0</v>
      </c>
      <c r="BG660" s="49">
        <f t="shared" si="448"/>
        <v>0</v>
      </c>
      <c r="BI660" s="134">
        <f t="shared" si="453"/>
        <v>0</v>
      </c>
      <c r="BJ660" s="134">
        <f t="shared" si="449"/>
        <v>0</v>
      </c>
      <c r="BK660" s="134">
        <f t="shared" si="454"/>
        <v>0</v>
      </c>
    </row>
    <row r="661" spans="1:63" hidden="1">
      <c r="A661" s="187"/>
      <c r="B661" s="2333"/>
      <c r="C661" s="2333"/>
      <c r="D661" s="2334"/>
      <c r="E661" s="2334"/>
      <c r="F661" s="2334"/>
      <c r="G661" s="2334"/>
      <c r="H661" s="2334"/>
      <c r="I661" s="2334"/>
      <c r="J661" s="2334"/>
      <c r="K661" s="2334"/>
      <c r="L661" s="2334"/>
      <c r="M661" s="2334"/>
      <c r="N661" s="2334"/>
      <c r="O661" s="2334"/>
      <c r="P661" s="2324"/>
      <c r="Q661" s="2324"/>
      <c r="R661" s="2325"/>
      <c r="S661" s="2324"/>
      <c r="T661" s="2324"/>
      <c r="U661" s="2326"/>
      <c r="V661" s="2327"/>
      <c r="W661" s="2327"/>
      <c r="X661" s="2327"/>
      <c r="Y661" s="2327"/>
      <c r="Z661" s="2327"/>
      <c r="AA661" s="2328"/>
      <c r="AB661" s="2329"/>
      <c r="AC661" s="2326"/>
      <c r="AD661" s="2330">
        <f t="shared" si="441"/>
        <v>0</v>
      </c>
      <c r="AE661" s="2330"/>
      <c r="AF661" s="2330"/>
      <c r="AG661" s="2330">
        <f t="shared" si="435"/>
        <v>0</v>
      </c>
      <c r="AH661" s="2330"/>
      <c r="AI661" s="2330"/>
      <c r="AJ661" s="2330">
        <f t="shared" si="442"/>
        <v>0</v>
      </c>
      <c r="AK661" s="2330"/>
      <c r="AL661" s="2330"/>
      <c r="AM661" s="2331">
        <f t="shared" si="429"/>
        <v>0</v>
      </c>
      <c r="AN661" s="2331"/>
      <c r="AO661" s="2331"/>
      <c r="AP661" s="2331"/>
      <c r="AQ661" s="2332">
        <f t="shared" si="443"/>
        <v>0</v>
      </c>
      <c r="AR661" s="2332"/>
      <c r="AS661" s="2332"/>
      <c r="AT661" s="2332">
        <f t="shared" si="444"/>
        <v>0</v>
      </c>
      <c r="AV661" s="151" t="str">
        <f t="shared" si="424"/>
        <v>FRAMING &amp; DRYWALL</v>
      </c>
      <c r="AW661" s="681"/>
      <c r="AX661" s="230"/>
      <c r="AY661" s="230"/>
      <c r="AZ661" s="679"/>
      <c r="BA661" s="49">
        <f t="shared" si="445"/>
        <v>0</v>
      </c>
      <c r="BB661" s="49">
        <f t="shared" si="450"/>
        <v>0</v>
      </c>
      <c r="BC661" s="49">
        <f t="shared" si="451"/>
        <v>0</v>
      </c>
      <c r="BD661" s="49">
        <f t="shared" si="446"/>
        <v>0</v>
      </c>
      <c r="BE661" s="49">
        <f t="shared" si="452"/>
        <v>0</v>
      </c>
      <c r="BF661" s="49">
        <f t="shared" si="447"/>
        <v>0</v>
      </c>
      <c r="BG661" s="49">
        <f t="shared" si="448"/>
        <v>0</v>
      </c>
      <c r="BI661" s="134">
        <f t="shared" si="453"/>
        <v>0</v>
      </c>
      <c r="BJ661" s="134">
        <f t="shared" si="449"/>
        <v>0</v>
      </c>
      <c r="BK661" s="134">
        <f t="shared" si="454"/>
        <v>0</v>
      </c>
    </row>
    <row r="662" spans="1:63" hidden="1">
      <c r="A662" s="187"/>
      <c r="B662" s="2321"/>
      <c r="C662" s="2322"/>
      <c r="D662" s="2334"/>
      <c r="E662" s="2334"/>
      <c r="F662" s="2334"/>
      <c r="G662" s="2334"/>
      <c r="H662" s="2334"/>
      <c r="I662" s="2334"/>
      <c r="J662" s="2334"/>
      <c r="K662" s="2334"/>
      <c r="L662" s="2334"/>
      <c r="M662" s="2334"/>
      <c r="N662" s="2334"/>
      <c r="O662" s="2334"/>
      <c r="P662" s="2324"/>
      <c r="Q662" s="2324"/>
      <c r="R662" s="2325"/>
      <c r="S662" s="2324"/>
      <c r="T662" s="2324"/>
      <c r="U662" s="2326"/>
      <c r="V662" s="2327"/>
      <c r="W662" s="2327"/>
      <c r="X662" s="2327"/>
      <c r="Y662" s="2327"/>
      <c r="Z662" s="2327"/>
      <c r="AA662" s="2328"/>
      <c r="AB662" s="2329"/>
      <c r="AC662" s="2326"/>
      <c r="AD662" s="2330">
        <f t="shared" si="441"/>
        <v>0</v>
      </c>
      <c r="AE662" s="2330"/>
      <c r="AF662" s="2330"/>
      <c r="AG662" s="2330">
        <f t="shared" si="435"/>
        <v>0</v>
      </c>
      <c r="AH662" s="2330"/>
      <c r="AI662" s="2330"/>
      <c r="AJ662" s="2330">
        <f t="shared" si="442"/>
        <v>0</v>
      </c>
      <c r="AK662" s="2330"/>
      <c r="AL662" s="2330"/>
      <c r="AM662" s="2331">
        <f t="shared" si="429"/>
        <v>0</v>
      </c>
      <c r="AN662" s="2331"/>
      <c r="AO662" s="2331"/>
      <c r="AP662" s="2331"/>
      <c r="AQ662" s="2332">
        <f t="shared" si="443"/>
        <v>0</v>
      </c>
      <c r="AR662" s="2332"/>
      <c r="AS662" s="2332"/>
      <c r="AT662" s="2332">
        <f t="shared" si="444"/>
        <v>0</v>
      </c>
      <c r="AV662" s="151" t="str">
        <f t="shared" si="424"/>
        <v>FRAMING &amp; DRYWALL</v>
      </c>
      <c r="AW662" s="681"/>
      <c r="AX662" s="230"/>
      <c r="AY662" s="230"/>
      <c r="AZ662" s="679"/>
      <c r="BA662" s="49">
        <f t="shared" si="445"/>
        <v>0</v>
      </c>
      <c r="BB662" s="49">
        <f t="shared" si="450"/>
        <v>0</v>
      </c>
      <c r="BC662" s="49">
        <f t="shared" si="451"/>
        <v>0</v>
      </c>
      <c r="BD662" s="49">
        <f t="shared" si="446"/>
        <v>0</v>
      </c>
      <c r="BE662" s="49">
        <f t="shared" si="452"/>
        <v>0</v>
      </c>
      <c r="BF662" s="49">
        <f t="shared" si="447"/>
        <v>0</v>
      </c>
      <c r="BG662" s="49">
        <f t="shared" si="448"/>
        <v>0</v>
      </c>
      <c r="BI662" s="134">
        <f t="shared" si="453"/>
        <v>0</v>
      </c>
      <c r="BJ662" s="134">
        <f t="shared" si="449"/>
        <v>0</v>
      </c>
      <c r="BK662" s="134">
        <f t="shared" si="454"/>
        <v>0</v>
      </c>
    </row>
    <row r="663" spans="1:63" hidden="1">
      <c r="A663" s="187"/>
      <c r="B663" s="2321"/>
      <c r="C663" s="2322"/>
      <c r="D663" s="2334"/>
      <c r="E663" s="2334"/>
      <c r="F663" s="2334"/>
      <c r="G663" s="2334"/>
      <c r="H663" s="2334"/>
      <c r="I663" s="2334"/>
      <c r="J663" s="2334"/>
      <c r="K663" s="2334"/>
      <c r="L663" s="2334"/>
      <c r="M663" s="2334"/>
      <c r="N663" s="2334"/>
      <c r="O663" s="2334"/>
      <c r="P663" s="2324"/>
      <c r="Q663" s="2324"/>
      <c r="R663" s="2325"/>
      <c r="S663" s="2324"/>
      <c r="T663" s="2324"/>
      <c r="U663" s="2326"/>
      <c r="V663" s="2327"/>
      <c r="W663" s="2327"/>
      <c r="X663" s="2327"/>
      <c r="Y663" s="2327"/>
      <c r="Z663" s="2327"/>
      <c r="AA663" s="2328"/>
      <c r="AB663" s="2329"/>
      <c r="AC663" s="2326"/>
      <c r="AD663" s="2330">
        <f t="shared" si="441"/>
        <v>0</v>
      </c>
      <c r="AE663" s="2330"/>
      <c r="AF663" s="2330"/>
      <c r="AG663" s="2330">
        <f t="shared" si="435"/>
        <v>0</v>
      </c>
      <c r="AH663" s="2330"/>
      <c r="AI663" s="2330"/>
      <c r="AJ663" s="2330">
        <f t="shared" si="442"/>
        <v>0</v>
      </c>
      <c r="AK663" s="2330"/>
      <c r="AL663" s="2330"/>
      <c r="AM663" s="2331">
        <f t="shared" si="429"/>
        <v>0</v>
      </c>
      <c r="AN663" s="2331"/>
      <c r="AO663" s="2331"/>
      <c r="AP663" s="2331"/>
      <c r="AQ663" s="2332">
        <f t="shared" si="443"/>
        <v>0</v>
      </c>
      <c r="AR663" s="2332"/>
      <c r="AS663" s="2332"/>
      <c r="AT663" s="2332">
        <f t="shared" si="444"/>
        <v>0</v>
      </c>
      <c r="AV663" s="151" t="str">
        <f t="shared" si="424"/>
        <v>FRAMING &amp; DRYWALL</v>
      </c>
      <c r="AW663" s="681"/>
      <c r="AX663" s="230"/>
      <c r="AY663" s="230"/>
      <c r="AZ663" s="679"/>
      <c r="BA663" s="49">
        <f t="shared" si="445"/>
        <v>0</v>
      </c>
      <c r="BB663" s="49">
        <f t="shared" si="450"/>
        <v>0</v>
      </c>
      <c r="BC663" s="49">
        <f t="shared" si="451"/>
        <v>0</v>
      </c>
      <c r="BD663" s="49">
        <f t="shared" si="446"/>
        <v>0</v>
      </c>
      <c r="BE663" s="49">
        <f t="shared" si="452"/>
        <v>0</v>
      </c>
      <c r="BF663" s="49">
        <f t="shared" si="447"/>
        <v>0</v>
      </c>
      <c r="BG663" s="49">
        <f t="shared" si="448"/>
        <v>0</v>
      </c>
      <c r="BI663" s="134">
        <f t="shared" si="453"/>
        <v>0</v>
      </c>
      <c r="BJ663" s="134">
        <f t="shared" si="449"/>
        <v>0</v>
      </c>
      <c r="BK663" s="134">
        <f t="shared" si="454"/>
        <v>0</v>
      </c>
    </row>
    <row r="664" spans="1:63" hidden="1">
      <c r="A664" s="187"/>
      <c r="B664" s="2333"/>
      <c r="C664" s="2333"/>
      <c r="D664" s="2334"/>
      <c r="E664" s="2334"/>
      <c r="F664" s="2334"/>
      <c r="G664" s="2334"/>
      <c r="H664" s="2334"/>
      <c r="I664" s="2334"/>
      <c r="J664" s="2334"/>
      <c r="K664" s="2334"/>
      <c r="L664" s="2334"/>
      <c r="M664" s="2334"/>
      <c r="N664" s="2334"/>
      <c r="O664" s="2334"/>
      <c r="P664" s="2324"/>
      <c r="Q664" s="2324"/>
      <c r="R664" s="2325"/>
      <c r="S664" s="2324"/>
      <c r="T664" s="2324"/>
      <c r="U664" s="2326"/>
      <c r="V664" s="2327"/>
      <c r="W664" s="2327"/>
      <c r="X664" s="2327"/>
      <c r="Y664" s="2327"/>
      <c r="Z664" s="2327"/>
      <c r="AA664" s="2328"/>
      <c r="AB664" s="2329"/>
      <c r="AC664" s="2326"/>
      <c r="AD664" s="2330">
        <f t="shared" si="441"/>
        <v>0</v>
      </c>
      <c r="AE664" s="2330"/>
      <c r="AF664" s="2330"/>
      <c r="AG664" s="2330">
        <f t="shared" si="435"/>
        <v>0</v>
      </c>
      <c r="AH664" s="2330"/>
      <c r="AI664" s="2330"/>
      <c r="AJ664" s="2330">
        <f t="shared" si="442"/>
        <v>0</v>
      </c>
      <c r="AK664" s="2330"/>
      <c r="AL664" s="2330"/>
      <c r="AM664" s="2331">
        <f t="shared" si="429"/>
        <v>0</v>
      </c>
      <c r="AN664" s="2331"/>
      <c r="AO664" s="2331"/>
      <c r="AP664" s="2331"/>
      <c r="AQ664" s="2332">
        <f t="shared" si="443"/>
        <v>0</v>
      </c>
      <c r="AR664" s="2332"/>
      <c r="AS664" s="2332"/>
      <c r="AT664" s="2332">
        <f t="shared" si="444"/>
        <v>0</v>
      </c>
      <c r="AV664" s="151" t="str">
        <f t="shared" si="424"/>
        <v>FRAMING &amp; DRYWALL</v>
      </c>
      <c r="AW664" s="681"/>
      <c r="AX664" s="230"/>
      <c r="AY664" s="230"/>
      <c r="AZ664" s="679"/>
      <c r="BA664" s="49">
        <f t="shared" si="445"/>
        <v>0</v>
      </c>
      <c r="BB664" s="49">
        <f t="shared" si="450"/>
        <v>0</v>
      </c>
      <c r="BC664" s="49">
        <f t="shared" si="451"/>
        <v>0</v>
      </c>
      <c r="BD664" s="49">
        <f t="shared" si="446"/>
        <v>0</v>
      </c>
      <c r="BE664" s="49">
        <f t="shared" si="452"/>
        <v>0</v>
      </c>
      <c r="BF664" s="49">
        <f t="shared" si="447"/>
        <v>0</v>
      </c>
      <c r="BG664" s="49">
        <f t="shared" si="448"/>
        <v>0</v>
      </c>
      <c r="BI664" s="134">
        <f t="shared" si="453"/>
        <v>0</v>
      </c>
      <c r="BJ664" s="134">
        <f t="shared" si="449"/>
        <v>0</v>
      </c>
      <c r="BK664" s="134">
        <f t="shared" si="454"/>
        <v>0</v>
      </c>
    </row>
    <row r="665" spans="1:63" hidden="1">
      <c r="A665" s="187"/>
      <c r="B665" s="2333"/>
      <c r="C665" s="2333"/>
      <c r="D665" s="2334"/>
      <c r="E665" s="2334"/>
      <c r="F665" s="2334"/>
      <c r="G665" s="2334"/>
      <c r="H665" s="2334"/>
      <c r="I665" s="2334"/>
      <c r="J665" s="2334"/>
      <c r="K665" s="2334"/>
      <c r="L665" s="2334"/>
      <c r="M665" s="2334"/>
      <c r="N665" s="2334"/>
      <c r="O665" s="2334"/>
      <c r="P665" s="2324"/>
      <c r="Q665" s="2324"/>
      <c r="R665" s="2325"/>
      <c r="S665" s="2324"/>
      <c r="T665" s="2324"/>
      <c r="U665" s="2326"/>
      <c r="V665" s="2327"/>
      <c r="W665" s="2327"/>
      <c r="X665" s="2327"/>
      <c r="Y665" s="2327"/>
      <c r="Z665" s="2327"/>
      <c r="AA665" s="2328"/>
      <c r="AB665" s="2329"/>
      <c r="AC665" s="2326"/>
      <c r="AD665" s="2330">
        <f t="shared" si="441"/>
        <v>0</v>
      </c>
      <c r="AE665" s="2330"/>
      <c r="AF665" s="2330"/>
      <c r="AG665" s="2330">
        <f t="shared" si="435"/>
        <v>0</v>
      </c>
      <c r="AH665" s="2330"/>
      <c r="AI665" s="2330"/>
      <c r="AJ665" s="2330">
        <f t="shared" si="442"/>
        <v>0</v>
      </c>
      <c r="AK665" s="2330"/>
      <c r="AL665" s="2330"/>
      <c r="AM665" s="2331">
        <f t="shared" si="429"/>
        <v>0</v>
      </c>
      <c r="AN665" s="2331"/>
      <c r="AO665" s="2331"/>
      <c r="AP665" s="2331"/>
      <c r="AQ665" s="2332">
        <f t="shared" si="443"/>
        <v>0</v>
      </c>
      <c r="AR665" s="2332"/>
      <c r="AS665" s="2332"/>
      <c r="AT665" s="2332">
        <f t="shared" si="444"/>
        <v>0</v>
      </c>
      <c r="AV665" s="151" t="str">
        <f t="shared" si="424"/>
        <v>FRAMING &amp; DRYWALL</v>
      </c>
      <c r="AW665" s="681"/>
      <c r="AX665" s="230"/>
      <c r="AY665" s="230"/>
      <c r="AZ665" s="679"/>
      <c r="BA665" s="49">
        <f t="shared" si="445"/>
        <v>0</v>
      </c>
      <c r="BB665" s="49">
        <f t="shared" si="450"/>
        <v>0</v>
      </c>
      <c r="BC665" s="49">
        <f t="shared" si="451"/>
        <v>0</v>
      </c>
      <c r="BD665" s="49">
        <f t="shared" si="446"/>
        <v>0</v>
      </c>
      <c r="BE665" s="49">
        <f t="shared" si="452"/>
        <v>0</v>
      </c>
      <c r="BF665" s="49">
        <f t="shared" si="447"/>
        <v>0</v>
      </c>
      <c r="BG665" s="49">
        <f t="shared" si="448"/>
        <v>0</v>
      </c>
      <c r="BI665" s="134">
        <f t="shared" si="453"/>
        <v>0</v>
      </c>
      <c r="BJ665" s="134">
        <f t="shared" si="449"/>
        <v>0</v>
      </c>
      <c r="BK665" s="134">
        <f t="shared" si="454"/>
        <v>0</v>
      </c>
    </row>
    <row r="666" spans="1:63" hidden="1">
      <c r="A666" s="187"/>
      <c r="B666" s="2321"/>
      <c r="C666" s="2322"/>
      <c r="D666" s="2334"/>
      <c r="E666" s="2334"/>
      <c r="F666" s="2334"/>
      <c r="G666" s="2334"/>
      <c r="H666" s="2334"/>
      <c r="I666" s="2334"/>
      <c r="J666" s="2334"/>
      <c r="K666" s="2334"/>
      <c r="L666" s="2334"/>
      <c r="M666" s="2334"/>
      <c r="N666" s="2334"/>
      <c r="O666" s="2334"/>
      <c r="P666" s="2324"/>
      <c r="Q666" s="2324"/>
      <c r="R666" s="2325"/>
      <c r="S666" s="2324"/>
      <c r="T666" s="2324"/>
      <c r="U666" s="2326"/>
      <c r="V666" s="2327"/>
      <c r="W666" s="2327"/>
      <c r="X666" s="2327"/>
      <c r="Y666" s="2327"/>
      <c r="Z666" s="2327"/>
      <c r="AA666" s="2328"/>
      <c r="AB666" s="2329"/>
      <c r="AC666" s="2326"/>
      <c r="AD666" s="2330">
        <f t="shared" si="441"/>
        <v>0</v>
      </c>
      <c r="AE666" s="2330"/>
      <c r="AF666" s="2330"/>
      <c r="AG666" s="2330">
        <f t="shared" si="435"/>
        <v>0</v>
      </c>
      <c r="AH666" s="2330"/>
      <c r="AI666" s="2330"/>
      <c r="AJ666" s="2330">
        <f t="shared" si="442"/>
        <v>0</v>
      </c>
      <c r="AK666" s="2330"/>
      <c r="AL666" s="2330"/>
      <c r="AM666" s="2331">
        <f t="shared" si="429"/>
        <v>0</v>
      </c>
      <c r="AN666" s="2331"/>
      <c r="AO666" s="2331"/>
      <c r="AP666" s="2331"/>
      <c r="AQ666" s="2332">
        <f t="shared" si="443"/>
        <v>0</v>
      </c>
      <c r="AR666" s="2332"/>
      <c r="AS666" s="2332"/>
      <c r="AT666" s="2332">
        <f t="shared" si="444"/>
        <v>0</v>
      </c>
      <c r="AV666" s="151" t="str">
        <f t="shared" si="424"/>
        <v>FRAMING &amp; DRYWALL</v>
      </c>
      <c r="AW666" s="681"/>
      <c r="AX666" s="230"/>
      <c r="AY666" s="230"/>
      <c r="AZ666" s="679"/>
      <c r="BA666" s="49">
        <f t="shared" si="445"/>
        <v>0</v>
      </c>
      <c r="BB666" s="49">
        <f t="shared" si="450"/>
        <v>0</v>
      </c>
      <c r="BC666" s="49">
        <f t="shared" si="451"/>
        <v>0</v>
      </c>
      <c r="BD666" s="49">
        <f t="shared" si="446"/>
        <v>0</v>
      </c>
      <c r="BE666" s="49">
        <f>SUM(BA666:BC666)</f>
        <v>0</v>
      </c>
      <c r="BF666" s="49">
        <f t="shared" si="447"/>
        <v>0</v>
      </c>
      <c r="BG666" s="49">
        <f t="shared" si="448"/>
        <v>0</v>
      </c>
      <c r="BI666" s="134">
        <f t="shared" si="453"/>
        <v>0</v>
      </c>
      <c r="BJ666" s="134">
        <f t="shared" si="449"/>
        <v>0</v>
      </c>
      <c r="BK666" s="134">
        <f t="shared" si="454"/>
        <v>0</v>
      </c>
    </row>
    <row r="667" spans="1:63" hidden="1">
      <c r="A667" s="187"/>
      <c r="B667" s="2321"/>
      <c r="C667" s="2322"/>
      <c r="D667" s="2334"/>
      <c r="E667" s="2334"/>
      <c r="F667" s="2334"/>
      <c r="G667" s="2334"/>
      <c r="H667" s="2334"/>
      <c r="I667" s="2334"/>
      <c r="J667" s="2334"/>
      <c r="K667" s="2334"/>
      <c r="L667" s="2334"/>
      <c r="M667" s="2334"/>
      <c r="N667" s="2334"/>
      <c r="O667" s="2334"/>
      <c r="P667" s="2324"/>
      <c r="Q667" s="2324"/>
      <c r="R667" s="2325"/>
      <c r="S667" s="2324"/>
      <c r="T667" s="2324"/>
      <c r="U667" s="2326"/>
      <c r="V667" s="2327"/>
      <c r="W667" s="2327"/>
      <c r="X667" s="2327"/>
      <c r="Y667" s="2327"/>
      <c r="Z667" s="2327"/>
      <c r="AA667" s="2328"/>
      <c r="AB667" s="2329"/>
      <c r="AC667" s="2326"/>
      <c r="AD667" s="2330">
        <f t="shared" si="441"/>
        <v>0</v>
      </c>
      <c r="AE667" s="2330"/>
      <c r="AF667" s="2330"/>
      <c r="AG667" s="2330">
        <f t="shared" si="435"/>
        <v>0</v>
      </c>
      <c r="AH667" s="2330"/>
      <c r="AI667" s="2330"/>
      <c r="AJ667" s="2330">
        <f t="shared" si="442"/>
        <v>0</v>
      </c>
      <c r="AK667" s="2330"/>
      <c r="AL667" s="2330"/>
      <c r="AM667" s="2331">
        <f t="shared" si="429"/>
        <v>0</v>
      </c>
      <c r="AN667" s="2331"/>
      <c r="AO667" s="2331"/>
      <c r="AP667" s="2331"/>
      <c r="AQ667" s="2332">
        <f t="shared" si="443"/>
        <v>0</v>
      </c>
      <c r="AR667" s="2332"/>
      <c r="AS667" s="2332"/>
      <c r="AT667" s="2332">
        <f t="shared" si="444"/>
        <v>0</v>
      </c>
      <c r="AV667" s="151" t="str">
        <f t="shared" si="424"/>
        <v>FRAMING &amp; DRYWALL</v>
      </c>
      <c r="AW667" s="681"/>
      <c r="AX667" s="230"/>
      <c r="AY667" s="230"/>
      <c r="AZ667" s="679"/>
      <c r="BA667" s="49">
        <f t="shared" si="445"/>
        <v>0</v>
      </c>
      <c r="BB667" s="49">
        <f t="shared" si="450"/>
        <v>0</v>
      </c>
      <c r="BC667" s="49">
        <f t="shared" si="451"/>
        <v>0</v>
      </c>
      <c r="BD667" s="49">
        <f t="shared" si="446"/>
        <v>0</v>
      </c>
      <c r="BE667" s="49">
        <f>SUM(BA667:BC667)</f>
        <v>0</v>
      </c>
      <c r="BF667" s="49">
        <f t="shared" si="447"/>
        <v>0</v>
      </c>
      <c r="BG667" s="49">
        <f t="shared" si="448"/>
        <v>0</v>
      </c>
      <c r="BI667" s="134">
        <f t="shared" si="453"/>
        <v>0</v>
      </c>
      <c r="BJ667" s="134">
        <f t="shared" si="449"/>
        <v>0</v>
      </c>
      <c r="BK667" s="134">
        <f t="shared" si="454"/>
        <v>0</v>
      </c>
    </row>
    <row r="668" spans="1:63" ht="5.0999999999999996" hidden="1" customHeight="1">
      <c r="A668" s="187"/>
      <c r="B668" s="64"/>
      <c r="C668" s="64"/>
      <c r="D668" s="885"/>
      <c r="E668" s="885"/>
      <c r="F668" s="885"/>
      <c r="G668" s="885"/>
      <c r="H668" s="885"/>
      <c r="I668" s="885"/>
      <c r="J668" s="885"/>
      <c r="K668" s="885"/>
      <c r="L668" s="885"/>
      <c r="M668" s="885"/>
      <c r="N668" s="885"/>
      <c r="O668" s="885"/>
      <c r="P668" s="66"/>
      <c r="Q668" s="66"/>
      <c r="R668" s="66"/>
      <c r="S668" s="66"/>
      <c r="T668" s="66"/>
      <c r="U668" s="67"/>
      <c r="V668" s="67"/>
      <c r="W668" s="67"/>
      <c r="X668" s="67"/>
      <c r="Y668" s="67"/>
      <c r="Z668" s="67"/>
      <c r="AA668" s="67"/>
      <c r="AB668" s="67"/>
      <c r="AC668" s="67"/>
      <c r="AD668" s="68"/>
      <c r="AE668" s="68"/>
      <c r="AF668" s="68"/>
      <c r="AG668" s="68"/>
      <c r="AH668" s="68"/>
      <c r="AI668" s="68"/>
      <c r="AJ668" s="68"/>
      <c r="AK668" s="68"/>
      <c r="AL668" s="68"/>
      <c r="AM668" s="69"/>
      <c r="AN668" s="69"/>
      <c r="AO668" s="69"/>
      <c r="AP668" s="69"/>
      <c r="AQ668" s="661"/>
      <c r="AR668" s="661"/>
      <c r="AS668" s="661"/>
      <c r="AT668" s="661"/>
      <c r="AV668" s="369" t="str">
        <f t="shared" si="424"/>
        <v>FRAMING &amp; DRYWALL</v>
      </c>
      <c r="AW668" s="696"/>
      <c r="AX668" s="696"/>
      <c r="AY668" s="696"/>
      <c r="AZ668" s="369"/>
      <c r="BA668" s="75">
        <f>BA627</f>
        <v>0</v>
      </c>
      <c r="BB668" s="75">
        <f>BB627</f>
        <v>0</v>
      </c>
      <c r="BC668" s="75">
        <f>BC627</f>
        <v>0</v>
      </c>
      <c r="BD668" s="75">
        <f>BD627</f>
        <v>0</v>
      </c>
      <c r="BE668" s="75">
        <f>BE627</f>
        <v>0</v>
      </c>
      <c r="BF668" s="75"/>
      <c r="BG668" s="75"/>
      <c r="BI668" s="75"/>
      <c r="BJ668" s="75"/>
      <c r="BK668" s="75"/>
    </row>
    <row r="669" spans="1:63" ht="21.6" hidden="1" customHeight="1">
      <c r="A669" s="187"/>
      <c r="B669" s="2341"/>
      <c r="C669" s="2341"/>
      <c r="D669" s="886"/>
      <c r="E669" s="886"/>
      <c r="F669" s="886"/>
      <c r="G669" s="886"/>
      <c r="H669" s="886"/>
      <c r="I669" s="886"/>
      <c r="J669" s="886"/>
      <c r="K669" s="886"/>
      <c r="L669" s="886"/>
      <c r="M669" s="886"/>
      <c r="N669" s="886"/>
      <c r="O669" s="886"/>
      <c r="P669" s="37"/>
      <c r="Q669" s="37"/>
      <c r="R669" s="37"/>
      <c r="S669" s="37"/>
      <c r="T669" s="37"/>
      <c r="U669" s="37"/>
      <c r="V669" s="37"/>
      <c r="W669" s="37"/>
      <c r="X669" s="37"/>
      <c r="Y669" s="37"/>
      <c r="Z669" s="37"/>
      <c r="AA669" s="37"/>
      <c r="AB669" s="37"/>
      <c r="AC669" s="370" t="str">
        <f>CONCATENATE(D627," ","TOTAL")</f>
        <v>FRAMING &amp; DRYWALL TOTAL</v>
      </c>
      <c r="AD669" s="2342">
        <f>SUBTOTAL(9,AD628:AD668)</f>
        <v>0</v>
      </c>
      <c r="AE669" s="2342"/>
      <c r="AF669" s="2342"/>
      <c r="AG669" s="2342">
        <f>SUBTOTAL(9,AG628:AG668)</f>
        <v>0</v>
      </c>
      <c r="AH669" s="2342"/>
      <c r="AI669" s="2342"/>
      <c r="AJ669" s="2342">
        <f>SUBTOTAL(9,AJ628:AJ668)</f>
        <v>0</v>
      </c>
      <c r="AK669" s="2342"/>
      <c r="AL669" s="2342"/>
      <c r="AM669" s="2342">
        <f>SUBTOTAL(9,AM628:AM668)</f>
        <v>0</v>
      </c>
      <c r="AN669" s="2342"/>
      <c r="AO669" s="2342"/>
      <c r="AP669" s="2342"/>
      <c r="AQ669" s="2336">
        <f>SUBTOTAL(9,AQ628:AQ668)</f>
        <v>0</v>
      </c>
      <c r="AR669" s="2336"/>
      <c r="AS669" s="2336"/>
      <c r="AT669" s="2336" t="e">
        <f>SUM(AT625:AT660)</f>
        <v>#REF!</v>
      </c>
      <c r="AV669" s="151" t="str">
        <f t="shared" si="424"/>
        <v>FRAMING &amp; DRYWALL</v>
      </c>
      <c r="AW669" s="682"/>
      <c r="AX669" s="695"/>
      <c r="AY669" s="695"/>
      <c r="AZ669" s="274"/>
      <c r="BA669" s="74">
        <f>BA627</f>
        <v>0</v>
      </c>
      <c r="BB669" s="74">
        <f>BB627</f>
        <v>0</v>
      </c>
      <c r="BC669" s="74">
        <f>BC627</f>
        <v>0</v>
      </c>
      <c r="BD669" s="74">
        <f>BD627</f>
        <v>0</v>
      </c>
      <c r="BE669" s="74">
        <f>BE627</f>
        <v>0</v>
      </c>
      <c r="BF669" s="74">
        <f>SUM(BF627:BF668)</f>
        <v>0</v>
      </c>
      <c r="BG669" s="49">
        <f>SUM(BG627:BG668)</f>
        <v>0</v>
      </c>
      <c r="BI669" s="74">
        <f>SUM(BI628:BI668)</f>
        <v>0</v>
      </c>
      <c r="BJ669" s="74">
        <f>SUM(BJ628:BJ668)</f>
        <v>0</v>
      </c>
      <c r="BK669" s="49">
        <f>SUM(BK628:BK668)</f>
        <v>0</v>
      </c>
    </row>
    <row r="670" spans="1:63" ht="5.0999999999999996" hidden="1" customHeight="1">
      <c r="A670" s="187"/>
      <c r="B670" s="64"/>
      <c r="C670" s="64"/>
      <c r="D670" s="885"/>
      <c r="E670" s="885"/>
      <c r="F670" s="885"/>
      <c r="G670" s="885"/>
      <c r="H670" s="885"/>
      <c r="I670" s="885"/>
      <c r="J670" s="885"/>
      <c r="K670" s="885"/>
      <c r="L670" s="885"/>
      <c r="M670" s="885"/>
      <c r="N670" s="885"/>
      <c r="O670" s="885"/>
      <c r="P670" s="66"/>
      <c r="Q670" s="66"/>
      <c r="R670" s="66"/>
      <c r="S670" s="66"/>
      <c r="T670" s="66"/>
      <c r="U670" s="67"/>
      <c r="V670" s="67"/>
      <c r="W670" s="67"/>
      <c r="X670" s="67"/>
      <c r="Y670" s="67"/>
      <c r="Z670" s="67"/>
      <c r="AA670" s="67"/>
      <c r="AB670" s="67"/>
      <c r="AC670" s="67"/>
      <c r="AD670" s="68"/>
      <c r="AE670" s="68"/>
      <c r="AF670" s="68"/>
      <c r="AG670" s="68"/>
      <c r="AH670" s="68"/>
      <c r="AI670" s="68"/>
      <c r="AJ670" s="68"/>
      <c r="AK670" s="68"/>
      <c r="AL670" s="68"/>
      <c r="AM670" s="69"/>
      <c r="AN670" s="69"/>
      <c r="AO670" s="69"/>
      <c r="AP670" s="69"/>
      <c r="AQ670" s="661"/>
      <c r="AR670" s="661"/>
      <c r="AS670" s="661"/>
      <c r="AT670" s="661"/>
      <c r="AV670" s="369" t="str">
        <f t="shared" si="424"/>
        <v>FRAMING &amp; DRYWALL</v>
      </c>
      <c r="AW670" s="696"/>
      <c r="AX670" s="696"/>
      <c r="AY670" s="696"/>
      <c r="AZ670" s="369"/>
      <c r="BA670" s="75">
        <f>BA627</f>
        <v>0</v>
      </c>
      <c r="BB670" s="75">
        <f>BB627</f>
        <v>0</v>
      </c>
      <c r="BC670" s="75">
        <f>BC627</f>
        <v>0</v>
      </c>
      <c r="BD670" s="75">
        <f>BD627</f>
        <v>0</v>
      </c>
      <c r="BE670" s="75">
        <f>BE627</f>
        <v>0</v>
      </c>
      <c r="BF670" s="75"/>
      <c r="BG670" s="75"/>
      <c r="BI670" s="75"/>
      <c r="BJ670" s="75"/>
      <c r="BK670" s="75"/>
    </row>
    <row r="671" spans="1:63" ht="9.6" hidden="1" customHeight="1">
      <c r="A671" s="187"/>
      <c r="B671" s="71"/>
      <c r="C671" s="71"/>
      <c r="D671" s="887"/>
      <c r="E671" s="887"/>
      <c r="F671" s="887"/>
      <c r="G671" s="887"/>
      <c r="H671" s="887"/>
      <c r="I671" s="887"/>
      <c r="J671" s="887"/>
      <c r="K671" s="887"/>
      <c r="L671" s="887"/>
      <c r="M671" s="887"/>
      <c r="N671" s="887"/>
      <c r="O671" s="887"/>
      <c r="P671" s="72"/>
      <c r="Q671" s="72"/>
      <c r="R671" s="72"/>
      <c r="S671" s="72"/>
      <c r="T671" s="72"/>
      <c r="U671" s="72"/>
      <c r="V671" s="72"/>
      <c r="W671" s="72"/>
      <c r="X671" s="72"/>
      <c r="Y671" s="72"/>
      <c r="Z671" s="72"/>
      <c r="AA671" s="72"/>
      <c r="AB671" s="72"/>
      <c r="AC671" s="73"/>
      <c r="AD671" s="662"/>
      <c r="AE671" s="662"/>
      <c r="AF671" s="662"/>
      <c r="AG671" s="662"/>
      <c r="AH671" s="662"/>
      <c r="AI671" s="662"/>
      <c r="AJ671" s="662"/>
      <c r="AK671" s="662"/>
      <c r="AL671" s="662"/>
      <c r="AM671" s="662"/>
      <c r="AN671" s="662"/>
      <c r="AO671" s="662"/>
      <c r="AP671" s="662"/>
      <c r="AQ671" s="663"/>
      <c r="AR671" s="663"/>
      <c r="AS671" s="663"/>
      <c r="AT671" s="663"/>
      <c r="AV671" s="371" t="str">
        <f t="shared" si="424"/>
        <v>FRAMING &amp; DRYWALL</v>
      </c>
      <c r="AW671" s="699"/>
      <c r="AX671" s="801"/>
      <c r="AY671" s="801"/>
      <c r="AZ671" s="371"/>
      <c r="BA671" s="125">
        <f>BA669</f>
        <v>0</v>
      </c>
      <c r="BB671" s="125">
        <f t="shared" ref="BB671:BG671" si="455">BB669</f>
        <v>0</v>
      </c>
      <c r="BC671" s="125">
        <f>BC669</f>
        <v>0</v>
      </c>
      <c r="BD671" s="125">
        <f t="shared" si="455"/>
        <v>0</v>
      </c>
      <c r="BE671" s="125">
        <f t="shared" si="455"/>
        <v>0</v>
      </c>
      <c r="BF671" s="125">
        <f t="shared" si="455"/>
        <v>0</v>
      </c>
      <c r="BG671" s="125">
        <f t="shared" si="455"/>
        <v>0</v>
      </c>
      <c r="BI671" s="125"/>
      <c r="BJ671" s="125"/>
      <c r="BK671" s="125"/>
    </row>
    <row r="672" spans="1:63" ht="21.6" customHeight="1">
      <c r="A672" s="186" t="s">
        <v>952</v>
      </c>
      <c r="B672" s="2343"/>
      <c r="C672" s="2344"/>
      <c r="D672" s="2387" t="str">
        <f>T(Y80)</f>
        <v>CABINETS &amp; COUNTERTOPS</v>
      </c>
      <c r="E672" s="2388"/>
      <c r="F672" s="2388"/>
      <c r="G672" s="2388"/>
      <c r="H672" s="2388"/>
      <c r="I672" s="2388"/>
      <c r="J672" s="2388"/>
      <c r="K672" s="2388"/>
      <c r="L672" s="2388"/>
      <c r="M672" s="2388"/>
      <c r="N672" s="2388"/>
      <c r="O672" s="2389"/>
      <c r="P672" s="2345"/>
      <c r="Q672" s="2345"/>
      <c r="R672" s="2345"/>
      <c r="S672" s="2346"/>
      <c r="T672" s="2347"/>
      <c r="U672" s="2348"/>
      <c r="V672" s="2348"/>
      <c r="W672" s="2348"/>
      <c r="X672" s="2348"/>
      <c r="Y672" s="2348"/>
      <c r="Z672" s="2348"/>
      <c r="AA672" s="2348"/>
      <c r="AB672" s="2348"/>
      <c r="AC672" s="2348"/>
      <c r="AD672" s="2342">
        <f>AD714</f>
        <v>0</v>
      </c>
      <c r="AE672" s="2342"/>
      <c r="AF672" s="2342"/>
      <c r="AG672" s="2342">
        <f>AG714</f>
        <v>0</v>
      </c>
      <c r="AH672" s="2342"/>
      <c r="AI672" s="2342"/>
      <c r="AJ672" s="2342">
        <f>AJ714</f>
        <v>0</v>
      </c>
      <c r="AK672" s="2342"/>
      <c r="AL672" s="2342"/>
      <c r="AM672" s="2342">
        <f>AM714</f>
        <v>0</v>
      </c>
      <c r="AN672" s="2342"/>
      <c r="AO672" s="2342"/>
      <c r="AP672" s="2342"/>
      <c r="AQ672" s="2336">
        <f>AQ714</f>
        <v>0</v>
      </c>
      <c r="AR672" s="2336"/>
      <c r="AS672" s="2336"/>
      <c r="AT672" s="2336" t="e">
        <f>SUM(#REF!)</f>
        <v>#REF!</v>
      </c>
      <c r="AV672" s="151" t="str">
        <f t="shared" ref="AV672:AV716" si="456">$D$672</f>
        <v>CABINETS &amp; COUNTERTOPS</v>
      </c>
      <c r="AW672" s="700"/>
      <c r="AX672" s="700"/>
      <c r="AY672" s="700"/>
      <c r="AZ672" s="701"/>
      <c r="BA672" s="49">
        <f>SUM(BA673:BA712)</f>
        <v>0</v>
      </c>
      <c r="BB672" s="49">
        <f>SUM(BB673:BB712)</f>
        <v>0</v>
      </c>
      <c r="BC672" s="49">
        <f>SUM(BC673:BC712)</f>
        <v>0</v>
      </c>
      <c r="BD672" s="49">
        <f>SUM(BD673:BD712)</f>
        <v>0</v>
      </c>
      <c r="BE672" s="49">
        <f>SUM(BE673:BE712)</f>
        <v>0</v>
      </c>
      <c r="BF672" s="49">
        <f t="shared" ref="BF672:BF698" si="457">AQ672</f>
        <v>0</v>
      </c>
      <c r="BG672" s="49">
        <f t="shared" ref="BG672:BG698" si="458">AM672</f>
        <v>0</v>
      </c>
      <c r="BI672" s="134">
        <f>AD672</f>
        <v>0</v>
      </c>
      <c r="BJ672" s="134">
        <f>AM672</f>
        <v>0</v>
      </c>
      <c r="BK672" s="134">
        <f>BJ672+BI672</f>
        <v>0</v>
      </c>
    </row>
    <row r="673" spans="1:63" hidden="1">
      <c r="A673" s="187"/>
      <c r="B673" s="2321"/>
      <c r="C673" s="2322"/>
      <c r="D673" s="2338" t="s">
        <v>289</v>
      </c>
      <c r="E673" s="2338"/>
      <c r="F673" s="2338"/>
      <c r="G673" s="2338"/>
      <c r="H673" s="2338"/>
      <c r="I673" s="2338"/>
      <c r="J673" s="2338"/>
      <c r="K673" s="2338"/>
      <c r="L673" s="2338"/>
      <c r="M673" s="2338"/>
      <c r="N673" s="2338"/>
      <c r="O673" s="2338"/>
      <c r="P673" s="2324"/>
      <c r="Q673" s="2324"/>
      <c r="R673" s="2325"/>
      <c r="S673" s="2324" t="s">
        <v>3</v>
      </c>
      <c r="T673" s="2324" t="s">
        <v>3</v>
      </c>
      <c r="U673" s="2326"/>
      <c r="V673" s="2327"/>
      <c r="W673" s="2327"/>
      <c r="X673" s="2327"/>
      <c r="Y673" s="2327"/>
      <c r="Z673" s="2327"/>
      <c r="AA673" s="2328"/>
      <c r="AB673" s="2329"/>
      <c r="AC673" s="2326"/>
      <c r="AD673" s="2330">
        <f t="shared" ref="AD673:AD698" si="459">((P673*U673)-AM673)</f>
        <v>0</v>
      </c>
      <c r="AE673" s="2330"/>
      <c r="AF673" s="2330"/>
      <c r="AG673" s="2330">
        <f>P673*X673*(1+$Y$85)</f>
        <v>0</v>
      </c>
      <c r="AH673" s="2330"/>
      <c r="AI673" s="2330"/>
      <c r="AJ673" s="2330">
        <f t="shared" ref="AJ673:AJ698" si="460">P673*AA673</f>
        <v>0</v>
      </c>
      <c r="AK673" s="2330"/>
      <c r="AL673" s="2330"/>
      <c r="AM673" s="2331">
        <f t="shared" ref="AM673:AM712" si="461">IF($B673="x",$P673*$U673,0)</f>
        <v>0</v>
      </c>
      <c r="AN673" s="2331"/>
      <c r="AO673" s="2331"/>
      <c r="AP673" s="2331"/>
      <c r="AQ673" s="2332">
        <f t="shared" ref="AQ673:AQ698" si="462">SUM(AD673:AL673)</f>
        <v>0</v>
      </c>
      <c r="AR673" s="2332"/>
      <c r="AS673" s="2332"/>
      <c r="AT673" s="2332"/>
      <c r="AV673" s="151" t="str">
        <f t="shared" si="456"/>
        <v>CABINETS &amp; COUNTERTOPS</v>
      </c>
      <c r="AW673" s="681" t="s">
        <v>45</v>
      </c>
      <c r="AX673" s="230"/>
      <c r="AY673" s="230"/>
      <c r="AZ673" s="679"/>
      <c r="BA673" s="49">
        <f t="shared" ref="BA673:BA698" si="463">AD673</f>
        <v>0</v>
      </c>
      <c r="BB673" s="49">
        <f>AG673</f>
        <v>0</v>
      </c>
      <c r="BC673" s="49">
        <f>AJ673</f>
        <v>0</v>
      </c>
      <c r="BD673" s="49">
        <f t="shared" ref="BD673:BD698" si="464">IF(B673="x",1,0)</f>
        <v>0</v>
      </c>
      <c r="BE673" s="49">
        <f>SUM(BA673:BC673)</f>
        <v>0</v>
      </c>
      <c r="BF673" s="49">
        <f t="shared" si="457"/>
        <v>0</v>
      </c>
      <c r="BG673" s="49">
        <f t="shared" si="458"/>
        <v>0</v>
      </c>
      <c r="BI673" s="134">
        <f>AD673</f>
        <v>0</v>
      </c>
      <c r="BJ673" s="134">
        <f t="shared" ref="BJ673:BJ698" si="465">AM673</f>
        <v>0</v>
      </c>
      <c r="BK673" s="134">
        <f>BJ673+BI673</f>
        <v>0</v>
      </c>
    </row>
    <row r="674" spans="1:63" hidden="1">
      <c r="A674" s="187"/>
      <c r="B674" s="2321"/>
      <c r="C674" s="2322"/>
      <c r="D674" s="2338" t="s">
        <v>290</v>
      </c>
      <c r="E674" s="2338"/>
      <c r="F674" s="2338"/>
      <c r="G674" s="2338"/>
      <c r="H674" s="2338"/>
      <c r="I674" s="2338"/>
      <c r="J674" s="2338"/>
      <c r="K674" s="2338"/>
      <c r="L674" s="2338"/>
      <c r="M674" s="2338"/>
      <c r="N674" s="2338"/>
      <c r="O674" s="2338"/>
      <c r="P674" s="2324"/>
      <c r="Q674" s="2324"/>
      <c r="R674" s="2325"/>
      <c r="S674" s="2324" t="s">
        <v>3</v>
      </c>
      <c r="T674" s="2324" t="s">
        <v>3</v>
      </c>
      <c r="U674" s="2326"/>
      <c r="V674" s="2327"/>
      <c r="W674" s="2327"/>
      <c r="X674" s="2327"/>
      <c r="Y674" s="2327"/>
      <c r="Z674" s="2327"/>
      <c r="AA674" s="2328"/>
      <c r="AB674" s="2329"/>
      <c r="AC674" s="2326"/>
      <c r="AD674" s="2330">
        <f t="shared" si="459"/>
        <v>0</v>
      </c>
      <c r="AE674" s="2330"/>
      <c r="AF674" s="2330"/>
      <c r="AG674" s="2330">
        <f t="shared" ref="AG674:AG712" si="466">P674*X674*(1+$Y$85)</f>
        <v>0</v>
      </c>
      <c r="AH674" s="2330"/>
      <c r="AI674" s="2330"/>
      <c r="AJ674" s="2330">
        <f t="shared" si="460"/>
        <v>0</v>
      </c>
      <c r="AK674" s="2330"/>
      <c r="AL674" s="2330"/>
      <c r="AM674" s="2331">
        <f t="shared" si="461"/>
        <v>0</v>
      </c>
      <c r="AN674" s="2331"/>
      <c r="AO674" s="2331"/>
      <c r="AP674" s="2331"/>
      <c r="AQ674" s="2332">
        <f t="shared" si="462"/>
        <v>0</v>
      </c>
      <c r="AR674" s="2332"/>
      <c r="AS674" s="2332"/>
      <c r="AT674" s="2332"/>
      <c r="AV674" s="151" t="str">
        <f t="shared" si="456"/>
        <v>CABINETS &amp; COUNTERTOPS</v>
      </c>
      <c r="AW674" s="681" t="s">
        <v>45</v>
      </c>
      <c r="AX674" s="230"/>
      <c r="AY674" s="230"/>
      <c r="AZ674" s="679"/>
      <c r="BA674" s="49">
        <f t="shared" si="463"/>
        <v>0</v>
      </c>
      <c r="BB674" s="49">
        <f t="shared" ref="BB674:BB698" si="467">AG674</f>
        <v>0</v>
      </c>
      <c r="BC674" s="49">
        <f t="shared" ref="BC674:BC698" si="468">AJ674</f>
        <v>0</v>
      </c>
      <c r="BD674" s="49">
        <f t="shared" si="464"/>
        <v>0</v>
      </c>
      <c r="BE674" s="49">
        <f t="shared" ref="BE674:BE690" si="469">SUM(BA674:BC674)</f>
        <v>0</v>
      </c>
      <c r="BF674" s="49">
        <f t="shared" si="457"/>
        <v>0</v>
      </c>
      <c r="BG674" s="49">
        <f t="shared" si="458"/>
        <v>0</v>
      </c>
      <c r="BI674" s="134">
        <f t="shared" ref="BI674:BI698" si="470">AD674</f>
        <v>0</v>
      </c>
      <c r="BJ674" s="134">
        <f t="shared" si="465"/>
        <v>0</v>
      </c>
      <c r="BK674" s="134">
        <f t="shared" ref="BK674:BK698" si="471">BJ674+BI674</f>
        <v>0</v>
      </c>
    </row>
    <row r="675" spans="1:63" hidden="1">
      <c r="A675" s="187"/>
      <c r="B675" s="2321"/>
      <c r="C675" s="2322"/>
      <c r="D675" s="2338" t="s">
        <v>223</v>
      </c>
      <c r="E675" s="2338"/>
      <c r="F675" s="2338"/>
      <c r="G675" s="2338"/>
      <c r="H675" s="2338"/>
      <c r="I675" s="2338"/>
      <c r="J675" s="2338"/>
      <c r="K675" s="2338"/>
      <c r="L675" s="2338"/>
      <c r="M675" s="2338"/>
      <c r="N675" s="2338"/>
      <c r="O675" s="2338"/>
      <c r="P675" s="2324"/>
      <c r="Q675" s="2324"/>
      <c r="R675" s="2325"/>
      <c r="S675" s="2324" t="s">
        <v>3</v>
      </c>
      <c r="T675" s="2324" t="s">
        <v>3</v>
      </c>
      <c r="U675" s="2326"/>
      <c r="V675" s="2327"/>
      <c r="W675" s="2327"/>
      <c r="X675" s="2327"/>
      <c r="Y675" s="2327"/>
      <c r="Z675" s="2327"/>
      <c r="AA675" s="2328"/>
      <c r="AB675" s="2329"/>
      <c r="AC675" s="2326"/>
      <c r="AD675" s="2330">
        <f t="shared" si="459"/>
        <v>0</v>
      </c>
      <c r="AE675" s="2330"/>
      <c r="AF675" s="2330"/>
      <c r="AG675" s="2330">
        <f t="shared" si="466"/>
        <v>0</v>
      </c>
      <c r="AH675" s="2330"/>
      <c r="AI675" s="2330"/>
      <c r="AJ675" s="2330">
        <f t="shared" si="460"/>
        <v>0</v>
      </c>
      <c r="AK675" s="2330"/>
      <c r="AL675" s="2330"/>
      <c r="AM675" s="2331">
        <f t="shared" si="461"/>
        <v>0</v>
      </c>
      <c r="AN675" s="2331"/>
      <c r="AO675" s="2331"/>
      <c r="AP675" s="2331"/>
      <c r="AQ675" s="2332">
        <f t="shared" si="462"/>
        <v>0</v>
      </c>
      <c r="AR675" s="2332"/>
      <c r="AS675" s="2332"/>
      <c r="AT675" s="2332"/>
      <c r="AV675" s="151" t="str">
        <f t="shared" si="456"/>
        <v>CABINETS &amp; COUNTERTOPS</v>
      </c>
      <c r="AW675" s="681" t="s">
        <v>45</v>
      </c>
      <c r="AX675" s="230"/>
      <c r="AY675" s="230"/>
      <c r="AZ675" s="679"/>
      <c r="BA675" s="49">
        <f t="shared" si="463"/>
        <v>0</v>
      </c>
      <c r="BB675" s="49">
        <f t="shared" si="467"/>
        <v>0</v>
      </c>
      <c r="BC675" s="49">
        <f t="shared" si="468"/>
        <v>0</v>
      </c>
      <c r="BD675" s="49">
        <f t="shared" si="464"/>
        <v>0</v>
      </c>
      <c r="BE675" s="49">
        <f t="shared" si="469"/>
        <v>0</v>
      </c>
      <c r="BF675" s="49">
        <f t="shared" si="457"/>
        <v>0</v>
      </c>
      <c r="BG675" s="49">
        <f t="shared" si="458"/>
        <v>0</v>
      </c>
      <c r="BI675" s="134">
        <f t="shared" si="470"/>
        <v>0</v>
      </c>
      <c r="BJ675" s="134">
        <f t="shared" si="465"/>
        <v>0</v>
      </c>
      <c r="BK675" s="134">
        <f t="shared" si="471"/>
        <v>0</v>
      </c>
    </row>
    <row r="676" spans="1:63" hidden="1">
      <c r="A676" s="187"/>
      <c r="B676" s="2333"/>
      <c r="C676" s="2333"/>
      <c r="D676" s="2337" t="s">
        <v>45</v>
      </c>
      <c r="E676" s="2337"/>
      <c r="F676" s="2337"/>
      <c r="G676" s="2337"/>
      <c r="H676" s="2337"/>
      <c r="I676" s="2337"/>
      <c r="J676" s="2337"/>
      <c r="K676" s="2337"/>
      <c r="L676" s="2337"/>
      <c r="M676" s="2337"/>
      <c r="N676" s="2337"/>
      <c r="O676" s="2337"/>
      <c r="P676" s="2324"/>
      <c r="Q676" s="2324"/>
      <c r="R676" s="2325"/>
      <c r="S676" s="2324"/>
      <c r="T676" s="2324" t="s">
        <v>3</v>
      </c>
      <c r="U676" s="2326"/>
      <c r="V676" s="2327"/>
      <c r="W676" s="2327"/>
      <c r="X676" s="2327"/>
      <c r="Y676" s="2327"/>
      <c r="Z676" s="2327"/>
      <c r="AA676" s="2328"/>
      <c r="AB676" s="2329"/>
      <c r="AC676" s="2326"/>
      <c r="AD676" s="2330">
        <f t="shared" si="459"/>
        <v>0</v>
      </c>
      <c r="AE676" s="2330"/>
      <c r="AF676" s="2330"/>
      <c r="AG676" s="2330">
        <f t="shared" si="466"/>
        <v>0</v>
      </c>
      <c r="AH676" s="2330"/>
      <c r="AI676" s="2330"/>
      <c r="AJ676" s="2330">
        <f t="shared" si="460"/>
        <v>0</v>
      </c>
      <c r="AK676" s="2330"/>
      <c r="AL676" s="2330"/>
      <c r="AM676" s="2331">
        <f t="shared" si="461"/>
        <v>0</v>
      </c>
      <c r="AN676" s="2331"/>
      <c r="AO676" s="2331"/>
      <c r="AP676" s="2331"/>
      <c r="AQ676" s="2332">
        <f t="shared" si="462"/>
        <v>0</v>
      </c>
      <c r="AR676" s="2332"/>
      <c r="AS676" s="2332"/>
      <c r="AT676" s="2332"/>
      <c r="AV676" s="151" t="str">
        <f t="shared" si="456"/>
        <v>CABINETS &amp; COUNTERTOPS</v>
      </c>
      <c r="AW676" s="681" t="s">
        <v>45</v>
      </c>
      <c r="AX676" s="230"/>
      <c r="AY676" s="230"/>
      <c r="AZ676" s="679"/>
      <c r="BA676" s="49">
        <f t="shared" si="463"/>
        <v>0</v>
      </c>
      <c r="BB676" s="49">
        <f t="shared" si="467"/>
        <v>0</v>
      </c>
      <c r="BC676" s="49">
        <f t="shared" si="468"/>
        <v>0</v>
      </c>
      <c r="BD676" s="49">
        <f t="shared" si="464"/>
        <v>0</v>
      </c>
      <c r="BE676" s="49">
        <f t="shared" si="469"/>
        <v>0</v>
      </c>
      <c r="BF676" s="49">
        <f t="shared" si="457"/>
        <v>0</v>
      </c>
      <c r="BG676" s="49">
        <f t="shared" si="458"/>
        <v>0</v>
      </c>
      <c r="BI676" s="134">
        <f t="shared" si="470"/>
        <v>0</v>
      </c>
      <c r="BJ676" s="134">
        <f t="shared" si="465"/>
        <v>0</v>
      </c>
      <c r="BK676" s="134">
        <f t="shared" si="471"/>
        <v>0</v>
      </c>
    </row>
    <row r="677" spans="1:63" hidden="1">
      <c r="A677" s="187"/>
      <c r="B677" s="2333"/>
      <c r="C677" s="2333"/>
      <c r="D677" s="2334" t="s">
        <v>731</v>
      </c>
      <c r="E677" s="2334"/>
      <c r="F677" s="2334"/>
      <c r="G677" s="2334"/>
      <c r="H677" s="2334"/>
      <c r="I677" s="2334"/>
      <c r="J677" s="2334"/>
      <c r="K677" s="2334"/>
      <c r="L677" s="2334"/>
      <c r="M677" s="2334"/>
      <c r="N677" s="2334"/>
      <c r="O677" s="2334"/>
      <c r="P677" s="2324"/>
      <c r="Q677" s="2324"/>
      <c r="R677" s="2325"/>
      <c r="S677" s="2324" t="s">
        <v>12</v>
      </c>
      <c r="T677" s="2324" t="s">
        <v>12</v>
      </c>
      <c r="U677" s="2326">
        <v>50</v>
      </c>
      <c r="V677" s="2327"/>
      <c r="W677" s="2327"/>
      <c r="X677" s="2327">
        <v>175</v>
      </c>
      <c r="Y677" s="2327"/>
      <c r="Z677" s="2327">
        <v>130</v>
      </c>
      <c r="AA677" s="2328"/>
      <c r="AB677" s="2329"/>
      <c r="AC677" s="2326"/>
      <c r="AD677" s="2330">
        <f t="shared" si="459"/>
        <v>0</v>
      </c>
      <c r="AE677" s="2330"/>
      <c r="AF677" s="2330"/>
      <c r="AG677" s="2330">
        <f t="shared" si="466"/>
        <v>0</v>
      </c>
      <c r="AH677" s="2330"/>
      <c r="AI677" s="2330"/>
      <c r="AJ677" s="2330">
        <f t="shared" si="460"/>
        <v>0</v>
      </c>
      <c r="AK677" s="2330"/>
      <c r="AL677" s="2330"/>
      <c r="AM677" s="2331">
        <f t="shared" si="461"/>
        <v>0</v>
      </c>
      <c r="AN677" s="2331"/>
      <c r="AO677" s="2331"/>
      <c r="AP677" s="2331"/>
      <c r="AQ677" s="2332">
        <f t="shared" si="462"/>
        <v>0</v>
      </c>
      <c r="AR677" s="2332"/>
      <c r="AS677" s="2332"/>
      <c r="AT677" s="2332"/>
      <c r="AV677" s="151" t="str">
        <f t="shared" si="456"/>
        <v>CABINETS &amp; COUNTERTOPS</v>
      </c>
      <c r="AW677" s="681" t="s">
        <v>45</v>
      </c>
      <c r="AX677" s="230"/>
      <c r="AY677" s="230"/>
      <c r="AZ677" s="679"/>
      <c r="BA677" s="49">
        <f t="shared" si="463"/>
        <v>0</v>
      </c>
      <c r="BB677" s="49">
        <f t="shared" si="467"/>
        <v>0</v>
      </c>
      <c r="BC677" s="49">
        <f t="shared" si="468"/>
        <v>0</v>
      </c>
      <c r="BD677" s="49">
        <f t="shared" si="464"/>
        <v>0</v>
      </c>
      <c r="BE677" s="49">
        <f t="shared" si="469"/>
        <v>0</v>
      </c>
      <c r="BF677" s="49">
        <f t="shared" si="457"/>
        <v>0</v>
      </c>
      <c r="BG677" s="49">
        <f t="shared" si="458"/>
        <v>0</v>
      </c>
      <c r="BI677" s="134">
        <f t="shared" si="470"/>
        <v>0</v>
      </c>
      <c r="BJ677" s="134">
        <f t="shared" si="465"/>
        <v>0</v>
      </c>
      <c r="BK677" s="134">
        <f t="shared" si="471"/>
        <v>0</v>
      </c>
    </row>
    <row r="678" spans="1:63" hidden="1">
      <c r="A678" s="187"/>
      <c r="B678" s="2321"/>
      <c r="C678" s="2322"/>
      <c r="D678" s="2334" t="s">
        <v>732</v>
      </c>
      <c r="E678" s="2334"/>
      <c r="F678" s="2334"/>
      <c r="G678" s="2334"/>
      <c r="H678" s="2334"/>
      <c r="I678" s="2334"/>
      <c r="J678" s="2334"/>
      <c r="K678" s="2334"/>
      <c r="L678" s="2334"/>
      <c r="M678" s="2334"/>
      <c r="N678" s="2334"/>
      <c r="O678" s="2334"/>
      <c r="P678" s="2324"/>
      <c r="Q678" s="2324"/>
      <c r="R678" s="2325"/>
      <c r="S678" s="2324" t="s">
        <v>12</v>
      </c>
      <c r="T678" s="2324" t="s">
        <v>12</v>
      </c>
      <c r="U678" s="2326">
        <v>35</v>
      </c>
      <c r="V678" s="2327"/>
      <c r="W678" s="2327"/>
      <c r="X678" s="2327">
        <v>150</v>
      </c>
      <c r="Y678" s="2327"/>
      <c r="Z678" s="2327">
        <v>100</v>
      </c>
      <c r="AA678" s="2328"/>
      <c r="AB678" s="2329"/>
      <c r="AC678" s="2326"/>
      <c r="AD678" s="2330">
        <f t="shared" si="459"/>
        <v>0</v>
      </c>
      <c r="AE678" s="2330"/>
      <c r="AF678" s="2330"/>
      <c r="AG678" s="2330">
        <f t="shared" si="466"/>
        <v>0</v>
      </c>
      <c r="AH678" s="2330"/>
      <c r="AI678" s="2330"/>
      <c r="AJ678" s="2330">
        <f t="shared" si="460"/>
        <v>0</v>
      </c>
      <c r="AK678" s="2330"/>
      <c r="AL678" s="2330"/>
      <c r="AM678" s="2331">
        <f t="shared" si="461"/>
        <v>0</v>
      </c>
      <c r="AN678" s="2331"/>
      <c r="AO678" s="2331"/>
      <c r="AP678" s="2331"/>
      <c r="AQ678" s="2332">
        <f t="shared" si="462"/>
        <v>0</v>
      </c>
      <c r="AR678" s="2332"/>
      <c r="AS678" s="2332"/>
      <c r="AT678" s="2332"/>
      <c r="AV678" s="151" t="str">
        <f t="shared" si="456"/>
        <v>CABINETS &amp; COUNTERTOPS</v>
      </c>
      <c r="AW678" s="681" t="s">
        <v>45</v>
      </c>
      <c r="AX678" s="230"/>
      <c r="AY678" s="230"/>
      <c r="AZ678" s="679"/>
      <c r="BA678" s="49">
        <f t="shared" si="463"/>
        <v>0</v>
      </c>
      <c r="BB678" s="49">
        <f t="shared" si="467"/>
        <v>0</v>
      </c>
      <c r="BC678" s="49">
        <f t="shared" si="468"/>
        <v>0</v>
      </c>
      <c r="BD678" s="49">
        <f t="shared" si="464"/>
        <v>0</v>
      </c>
      <c r="BE678" s="49">
        <f t="shared" si="469"/>
        <v>0</v>
      </c>
      <c r="BF678" s="49">
        <f t="shared" si="457"/>
        <v>0</v>
      </c>
      <c r="BG678" s="49">
        <f t="shared" si="458"/>
        <v>0</v>
      </c>
      <c r="BI678" s="134">
        <f t="shared" si="470"/>
        <v>0</v>
      </c>
      <c r="BJ678" s="134">
        <f t="shared" si="465"/>
        <v>0</v>
      </c>
      <c r="BK678" s="134">
        <f t="shared" si="471"/>
        <v>0</v>
      </c>
    </row>
    <row r="679" spans="1:63" hidden="1">
      <c r="A679" s="187"/>
      <c r="B679" s="2321"/>
      <c r="C679" s="2322"/>
      <c r="D679" s="2334" t="s">
        <v>733</v>
      </c>
      <c r="E679" s="2334"/>
      <c r="F679" s="2334"/>
      <c r="G679" s="2334"/>
      <c r="H679" s="2334"/>
      <c r="I679" s="2334"/>
      <c r="J679" s="2334"/>
      <c r="K679" s="2334"/>
      <c r="L679" s="2334"/>
      <c r="M679" s="2334"/>
      <c r="N679" s="2334"/>
      <c r="O679" s="2334"/>
      <c r="P679" s="2324"/>
      <c r="Q679" s="2324"/>
      <c r="R679" s="2325"/>
      <c r="S679" s="2324" t="s">
        <v>2</v>
      </c>
      <c r="T679" s="2324" t="s">
        <v>2</v>
      </c>
      <c r="U679" s="2326">
        <v>175</v>
      </c>
      <c r="V679" s="2327"/>
      <c r="W679" s="2327"/>
      <c r="X679" s="2327">
        <v>900</v>
      </c>
      <c r="Y679" s="2327"/>
      <c r="Z679" s="2327">
        <v>800</v>
      </c>
      <c r="AA679" s="2328"/>
      <c r="AB679" s="2329"/>
      <c r="AC679" s="2326"/>
      <c r="AD679" s="2330">
        <f t="shared" si="459"/>
        <v>0</v>
      </c>
      <c r="AE679" s="2330"/>
      <c r="AF679" s="2330"/>
      <c r="AG679" s="2330">
        <f t="shared" si="466"/>
        <v>0</v>
      </c>
      <c r="AH679" s="2330"/>
      <c r="AI679" s="2330"/>
      <c r="AJ679" s="2330">
        <f t="shared" si="460"/>
        <v>0</v>
      </c>
      <c r="AK679" s="2330"/>
      <c r="AL679" s="2330"/>
      <c r="AM679" s="2331">
        <f t="shared" si="461"/>
        <v>0</v>
      </c>
      <c r="AN679" s="2331"/>
      <c r="AO679" s="2331"/>
      <c r="AP679" s="2331"/>
      <c r="AQ679" s="2332">
        <f t="shared" si="462"/>
        <v>0</v>
      </c>
      <c r="AR679" s="2332"/>
      <c r="AS679" s="2332"/>
      <c r="AT679" s="2332"/>
      <c r="AV679" s="151" t="str">
        <f t="shared" si="456"/>
        <v>CABINETS &amp; COUNTERTOPS</v>
      </c>
      <c r="AW679" s="681" t="s">
        <v>45</v>
      </c>
      <c r="AX679" s="230"/>
      <c r="AY679" s="230"/>
      <c r="AZ679" s="679"/>
      <c r="BA679" s="49">
        <f t="shared" si="463"/>
        <v>0</v>
      </c>
      <c r="BB679" s="49">
        <f t="shared" si="467"/>
        <v>0</v>
      </c>
      <c r="BC679" s="49">
        <f t="shared" si="468"/>
        <v>0</v>
      </c>
      <c r="BD679" s="49">
        <f t="shared" si="464"/>
        <v>0</v>
      </c>
      <c r="BE679" s="49">
        <f t="shared" si="469"/>
        <v>0</v>
      </c>
      <c r="BF679" s="49">
        <f t="shared" si="457"/>
        <v>0</v>
      </c>
      <c r="BG679" s="49">
        <f t="shared" si="458"/>
        <v>0</v>
      </c>
      <c r="BI679" s="134">
        <f t="shared" si="470"/>
        <v>0</v>
      </c>
      <c r="BJ679" s="134">
        <f t="shared" si="465"/>
        <v>0</v>
      </c>
      <c r="BK679" s="134">
        <f t="shared" si="471"/>
        <v>0</v>
      </c>
    </row>
    <row r="680" spans="1:63" hidden="1">
      <c r="A680" s="187"/>
      <c r="B680" s="2321"/>
      <c r="C680" s="2322"/>
      <c r="D680" s="2334" t="s">
        <v>734</v>
      </c>
      <c r="E680" s="2334"/>
      <c r="F680" s="2334"/>
      <c r="G680" s="2334"/>
      <c r="H680" s="2334"/>
      <c r="I680" s="2334"/>
      <c r="J680" s="2334"/>
      <c r="K680" s="2334"/>
      <c r="L680" s="2334"/>
      <c r="M680" s="2334"/>
      <c r="N680" s="2334"/>
      <c r="O680" s="2334"/>
      <c r="P680" s="2324"/>
      <c r="Q680" s="2324"/>
      <c r="R680" s="2325"/>
      <c r="S680" s="2324" t="s">
        <v>11</v>
      </c>
      <c r="T680" s="2324" t="s">
        <v>11</v>
      </c>
      <c r="U680" s="2326">
        <v>5</v>
      </c>
      <c r="V680" s="2327"/>
      <c r="W680" s="2327"/>
      <c r="X680" s="2327">
        <v>12.5</v>
      </c>
      <c r="Y680" s="2327"/>
      <c r="Z680" s="2327">
        <v>12.5</v>
      </c>
      <c r="AA680" s="2328"/>
      <c r="AB680" s="2329"/>
      <c r="AC680" s="2326"/>
      <c r="AD680" s="2330">
        <f t="shared" si="459"/>
        <v>0</v>
      </c>
      <c r="AE680" s="2330"/>
      <c r="AF680" s="2330"/>
      <c r="AG680" s="2330">
        <f t="shared" si="466"/>
        <v>0</v>
      </c>
      <c r="AH680" s="2330"/>
      <c r="AI680" s="2330"/>
      <c r="AJ680" s="2330">
        <f t="shared" si="460"/>
        <v>0</v>
      </c>
      <c r="AK680" s="2330"/>
      <c r="AL680" s="2330"/>
      <c r="AM680" s="2331">
        <f t="shared" si="461"/>
        <v>0</v>
      </c>
      <c r="AN680" s="2331"/>
      <c r="AO680" s="2331"/>
      <c r="AP680" s="2331"/>
      <c r="AQ680" s="2332">
        <f t="shared" si="462"/>
        <v>0</v>
      </c>
      <c r="AR680" s="2332"/>
      <c r="AS680" s="2332"/>
      <c r="AT680" s="2332"/>
      <c r="AV680" s="151" t="str">
        <f t="shared" si="456"/>
        <v>CABINETS &amp; COUNTERTOPS</v>
      </c>
      <c r="AW680" s="681" t="s">
        <v>45</v>
      </c>
      <c r="AX680" s="230"/>
      <c r="AY680" s="230"/>
      <c r="AZ680" s="679"/>
      <c r="BA680" s="49">
        <f t="shared" si="463"/>
        <v>0</v>
      </c>
      <c r="BB680" s="49">
        <f t="shared" si="467"/>
        <v>0</v>
      </c>
      <c r="BC680" s="49">
        <f t="shared" si="468"/>
        <v>0</v>
      </c>
      <c r="BD680" s="49">
        <f t="shared" si="464"/>
        <v>0</v>
      </c>
      <c r="BE680" s="49">
        <f t="shared" si="469"/>
        <v>0</v>
      </c>
      <c r="BF680" s="49">
        <f t="shared" si="457"/>
        <v>0</v>
      </c>
      <c r="BG680" s="49">
        <f t="shared" si="458"/>
        <v>0</v>
      </c>
      <c r="BI680" s="134">
        <f t="shared" si="470"/>
        <v>0</v>
      </c>
      <c r="BJ680" s="134">
        <f t="shared" si="465"/>
        <v>0</v>
      </c>
      <c r="BK680" s="134">
        <f t="shared" si="471"/>
        <v>0</v>
      </c>
    </row>
    <row r="681" spans="1:63" hidden="1">
      <c r="A681" s="187"/>
      <c r="B681" s="2333"/>
      <c r="C681" s="2333"/>
      <c r="D681" s="2334" t="s">
        <v>224</v>
      </c>
      <c r="E681" s="2334"/>
      <c r="F681" s="2334"/>
      <c r="G681" s="2334"/>
      <c r="H681" s="2334"/>
      <c r="I681" s="2334"/>
      <c r="J681" s="2334"/>
      <c r="K681" s="2334"/>
      <c r="L681" s="2334"/>
      <c r="M681" s="2334"/>
      <c r="N681" s="2334"/>
      <c r="O681" s="2334"/>
      <c r="P681" s="2324"/>
      <c r="Q681" s="2324"/>
      <c r="R681" s="2325"/>
      <c r="S681" s="2324" t="s">
        <v>2</v>
      </c>
      <c r="T681" s="2324" t="s">
        <v>2</v>
      </c>
      <c r="U681" s="2326">
        <v>25</v>
      </c>
      <c r="V681" s="2327"/>
      <c r="W681" s="2327"/>
      <c r="X681" s="2327">
        <v>100</v>
      </c>
      <c r="Y681" s="2327"/>
      <c r="Z681" s="2327">
        <v>100</v>
      </c>
      <c r="AA681" s="2328"/>
      <c r="AB681" s="2329"/>
      <c r="AC681" s="2326"/>
      <c r="AD681" s="2330">
        <f t="shared" si="459"/>
        <v>0</v>
      </c>
      <c r="AE681" s="2330"/>
      <c r="AF681" s="2330"/>
      <c r="AG681" s="2330">
        <f t="shared" si="466"/>
        <v>0</v>
      </c>
      <c r="AH681" s="2330"/>
      <c r="AI681" s="2330"/>
      <c r="AJ681" s="2330">
        <f t="shared" si="460"/>
        <v>0</v>
      </c>
      <c r="AK681" s="2330"/>
      <c r="AL681" s="2330"/>
      <c r="AM681" s="2331">
        <f t="shared" si="461"/>
        <v>0</v>
      </c>
      <c r="AN681" s="2331"/>
      <c r="AO681" s="2331"/>
      <c r="AP681" s="2331"/>
      <c r="AQ681" s="2332">
        <f t="shared" si="462"/>
        <v>0</v>
      </c>
      <c r="AR681" s="2332"/>
      <c r="AS681" s="2332"/>
      <c r="AT681" s="2332"/>
      <c r="AV681" s="151" t="str">
        <f t="shared" si="456"/>
        <v>CABINETS &amp; COUNTERTOPS</v>
      </c>
      <c r="AW681" s="681" t="s">
        <v>45</v>
      </c>
      <c r="AX681" s="230"/>
      <c r="AY681" s="230"/>
      <c r="AZ681" s="679"/>
      <c r="BA681" s="49">
        <f t="shared" si="463"/>
        <v>0</v>
      </c>
      <c r="BB681" s="49">
        <f t="shared" si="467"/>
        <v>0</v>
      </c>
      <c r="BC681" s="49">
        <f t="shared" si="468"/>
        <v>0</v>
      </c>
      <c r="BD681" s="49">
        <f t="shared" si="464"/>
        <v>0</v>
      </c>
      <c r="BE681" s="49">
        <f t="shared" si="469"/>
        <v>0</v>
      </c>
      <c r="BF681" s="49">
        <f t="shared" si="457"/>
        <v>0</v>
      </c>
      <c r="BG681" s="49">
        <f t="shared" si="458"/>
        <v>0</v>
      </c>
      <c r="BI681" s="134">
        <f t="shared" si="470"/>
        <v>0</v>
      </c>
      <c r="BJ681" s="134">
        <f t="shared" si="465"/>
        <v>0</v>
      </c>
      <c r="BK681" s="134">
        <f t="shared" si="471"/>
        <v>0</v>
      </c>
    </row>
    <row r="682" spans="1:63" hidden="1">
      <c r="A682" s="187"/>
      <c r="B682" s="2333"/>
      <c r="C682" s="2333"/>
      <c r="D682" s="2334" t="s">
        <v>225</v>
      </c>
      <c r="E682" s="2334"/>
      <c r="F682" s="2334"/>
      <c r="G682" s="2334"/>
      <c r="H682" s="2334"/>
      <c r="I682" s="2334"/>
      <c r="J682" s="2334"/>
      <c r="K682" s="2334"/>
      <c r="L682" s="2334"/>
      <c r="M682" s="2334"/>
      <c r="N682" s="2334"/>
      <c r="O682" s="2334"/>
      <c r="P682" s="2324"/>
      <c r="Q682" s="2324"/>
      <c r="R682" s="2325"/>
      <c r="S682" s="2324" t="s">
        <v>2</v>
      </c>
      <c r="T682" s="2324" t="s">
        <v>2</v>
      </c>
      <c r="U682" s="2326">
        <v>25</v>
      </c>
      <c r="V682" s="2327"/>
      <c r="W682" s="2327"/>
      <c r="X682" s="2327">
        <v>40</v>
      </c>
      <c r="Y682" s="2327"/>
      <c r="Z682" s="2327">
        <v>40</v>
      </c>
      <c r="AA682" s="2328"/>
      <c r="AB682" s="2329"/>
      <c r="AC682" s="2326"/>
      <c r="AD682" s="2330">
        <f t="shared" si="459"/>
        <v>0</v>
      </c>
      <c r="AE682" s="2330"/>
      <c r="AF682" s="2330"/>
      <c r="AG682" s="2330">
        <f t="shared" si="466"/>
        <v>0</v>
      </c>
      <c r="AH682" s="2330"/>
      <c r="AI682" s="2330"/>
      <c r="AJ682" s="2330">
        <f t="shared" si="460"/>
        <v>0</v>
      </c>
      <c r="AK682" s="2330"/>
      <c r="AL682" s="2330"/>
      <c r="AM682" s="2331">
        <f t="shared" si="461"/>
        <v>0</v>
      </c>
      <c r="AN682" s="2331"/>
      <c r="AO682" s="2331"/>
      <c r="AP682" s="2331"/>
      <c r="AQ682" s="2332">
        <f t="shared" si="462"/>
        <v>0</v>
      </c>
      <c r="AR682" s="2332"/>
      <c r="AS682" s="2332"/>
      <c r="AT682" s="2332"/>
      <c r="AV682" s="151" t="str">
        <f t="shared" si="456"/>
        <v>CABINETS &amp; COUNTERTOPS</v>
      </c>
      <c r="AW682" s="681" t="s">
        <v>45</v>
      </c>
      <c r="AX682" s="230"/>
      <c r="AY682" s="230"/>
      <c r="AZ682" s="679"/>
      <c r="BA682" s="49">
        <f t="shared" si="463"/>
        <v>0</v>
      </c>
      <c r="BB682" s="49">
        <f t="shared" si="467"/>
        <v>0</v>
      </c>
      <c r="BC682" s="49">
        <f t="shared" si="468"/>
        <v>0</v>
      </c>
      <c r="BD682" s="49">
        <f t="shared" si="464"/>
        <v>0</v>
      </c>
      <c r="BE682" s="49">
        <f t="shared" si="469"/>
        <v>0</v>
      </c>
      <c r="BF682" s="49">
        <f t="shared" si="457"/>
        <v>0</v>
      </c>
      <c r="BG682" s="49">
        <f t="shared" si="458"/>
        <v>0</v>
      </c>
      <c r="BI682" s="134">
        <f t="shared" si="470"/>
        <v>0</v>
      </c>
      <c r="BJ682" s="134">
        <f t="shared" si="465"/>
        <v>0</v>
      </c>
      <c r="BK682" s="134">
        <f t="shared" si="471"/>
        <v>0</v>
      </c>
    </row>
    <row r="683" spans="1:63" hidden="1">
      <c r="A683" s="187"/>
      <c r="B683" s="2321"/>
      <c r="C683" s="2322"/>
      <c r="D683" s="2334" t="s">
        <v>44</v>
      </c>
      <c r="E683" s="2334"/>
      <c r="F683" s="2334"/>
      <c r="G683" s="2334"/>
      <c r="H683" s="2334"/>
      <c r="I683" s="2334"/>
      <c r="J683" s="2334"/>
      <c r="K683" s="2334"/>
      <c r="L683" s="2334"/>
      <c r="M683" s="2334"/>
      <c r="N683" s="2334"/>
      <c r="O683" s="2334"/>
      <c r="P683" s="2324"/>
      <c r="Q683" s="2324"/>
      <c r="R683" s="2325"/>
      <c r="S683" s="2324" t="s">
        <v>2</v>
      </c>
      <c r="T683" s="2324" t="s">
        <v>2</v>
      </c>
      <c r="U683" s="2326">
        <v>5</v>
      </c>
      <c r="V683" s="2327"/>
      <c r="W683" s="2327"/>
      <c r="X683" s="2327">
        <v>5</v>
      </c>
      <c r="Y683" s="2327"/>
      <c r="Z683" s="2327">
        <v>3</v>
      </c>
      <c r="AA683" s="2328"/>
      <c r="AB683" s="2329"/>
      <c r="AC683" s="2326"/>
      <c r="AD683" s="2330">
        <f t="shared" si="459"/>
        <v>0</v>
      </c>
      <c r="AE683" s="2330"/>
      <c r="AF683" s="2330"/>
      <c r="AG683" s="2330">
        <f t="shared" si="466"/>
        <v>0</v>
      </c>
      <c r="AH683" s="2330"/>
      <c r="AI683" s="2330"/>
      <c r="AJ683" s="2330">
        <f t="shared" si="460"/>
        <v>0</v>
      </c>
      <c r="AK683" s="2330"/>
      <c r="AL683" s="2330"/>
      <c r="AM683" s="2331">
        <f t="shared" si="461"/>
        <v>0</v>
      </c>
      <c r="AN683" s="2331"/>
      <c r="AO683" s="2331"/>
      <c r="AP683" s="2331"/>
      <c r="AQ683" s="2332">
        <f t="shared" si="462"/>
        <v>0</v>
      </c>
      <c r="AR683" s="2332"/>
      <c r="AS683" s="2332"/>
      <c r="AT683" s="2332"/>
      <c r="AV683" s="151" t="str">
        <f t="shared" si="456"/>
        <v>CABINETS &amp; COUNTERTOPS</v>
      </c>
      <c r="AW683" s="681" t="s">
        <v>45</v>
      </c>
      <c r="AX683" s="230"/>
      <c r="AY683" s="230"/>
      <c r="AZ683" s="679"/>
      <c r="BA683" s="49">
        <f t="shared" si="463"/>
        <v>0</v>
      </c>
      <c r="BB683" s="49">
        <f t="shared" si="467"/>
        <v>0</v>
      </c>
      <c r="BC683" s="49">
        <f t="shared" si="468"/>
        <v>0</v>
      </c>
      <c r="BD683" s="49">
        <f t="shared" si="464"/>
        <v>0</v>
      </c>
      <c r="BE683" s="49">
        <f t="shared" si="469"/>
        <v>0</v>
      </c>
      <c r="BF683" s="49">
        <f t="shared" si="457"/>
        <v>0</v>
      </c>
      <c r="BG683" s="49">
        <f t="shared" si="458"/>
        <v>0</v>
      </c>
      <c r="BI683" s="134">
        <f t="shared" si="470"/>
        <v>0</v>
      </c>
      <c r="BJ683" s="134">
        <f t="shared" si="465"/>
        <v>0</v>
      </c>
      <c r="BK683" s="134">
        <f t="shared" si="471"/>
        <v>0</v>
      </c>
    </row>
    <row r="684" spans="1:63" hidden="1">
      <c r="A684" s="187"/>
      <c r="B684" s="2321"/>
      <c r="C684" s="2322"/>
      <c r="D684" s="2334" t="s">
        <v>742</v>
      </c>
      <c r="E684" s="2334"/>
      <c r="F684" s="2334"/>
      <c r="G684" s="2334"/>
      <c r="H684" s="2334"/>
      <c r="I684" s="2334"/>
      <c r="J684" s="2334"/>
      <c r="K684" s="2334"/>
      <c r="L684" s="2334"/>
      <c r="M684" s="2334"/>
      <c r="N684" s="2334"/>
      <c r="O684" s="2334"/>
      <c r="P684" s="2324"/>
      <c r="Q684" s="2324"/>
      <c r="R684" s="2325"/>
      <c r="S684" s="2324" t="s">
        <v>11</v>
      </c>
      <c r="T684" s="2324" t="s">
        <v>11</v>
      </c>
      <c r="U684" s="2326"/>
      <c r="V684" s="2327"/>
      <c r="W684" s="2327"/>
      <c r="X684" s="2327">
        <v>55</v>
      </c>
      <c r="Y684" s="2327"/>
      <c r="Z684" s="2327">
        <v>45</v>
      </c>
      <c r="AA684" s="2328"/>
      <c r="AB684" s="2329"/>
      <c r="AC684" s="2326"/>
      <c r="AD684" s="2330">
        <f t="shared" si="459"/>
        <v>0</v>
      </c>
      <c r="AE684" s="2330"/>
      <c r="AF684" s="2330"/>
      <c r="AG684" s="2330">
        <f t="shared" si="466"/>
        <v>0</v>
      </c>
      <c r="AH684" s="2330"/>
      <c r="AI684" s="2330"/>
      <c r="AJ684" s="2330">
        <f t="shared" si="460"/>
        <v>0</v>
      </c>
      <c r="AK684" s="2330"/>
      <c r="AL684" s="2330"/>
      <c r="AM684" s="2331">
        <f t="shared" si="461"/>
        <v>0</v>
      </c>
      <c r="AN684" s="2331"/>
      <c r="AO684" s="2331"/>
      <c r="AP684" s="2331"/>
      <c r="AQ684" s="2332">
        <f t="shared" si="462"/>
        <v>0</v>
      </c>
      <c r="AR684" s="2332"/>
      <c r="AS684" s="2332"/>
      <c r="AT684" s="2332"/>
      <c r="AV684" s="151" t="str">
        <f t="shared" si="456"/>
        <v>CABINETS &amp; COUNTERTOPS</v>
      </c>
      <c r="AW684" s="681" t="s">
        <v>45</v>
      </c>
      <c r="AX684" s="230"/>
      <c r="AY684" s="230"/>
      <c r="AZ684" s="679"/>
      <c r="BA684" s="49">
        <f t="shared" si="463"/>
        <v>0</v>
      </c>
      <c r="BB684" s="49">
        <f t="shared" si="467"/>
        <v>0</v>
      </c>
      <c r="BC684" s="49">
        <f t="shared" si="468"/>
        <v>0</v>
      </c>
      <c r="BD684" s="49">
        <f t="shared" si="464"/>
        <v>0</v>
      </c>
      <c r="BE684" s="49">
        <f t="shared" si="469"/>
        <v>0</v>
      </c>
      <c r="BF684" s="49">
        <f t="shared" si="457"/>
        <v>0</v>
      </c>
      <c r="BG684" s="49">
        <f t="shared" si="458"/>
        <v>0</v>
      </c>
      <c r="BI684" s="134">
        <f t="shared" si="470"/>
        <v>0</v>
      </c>
      <c r="BJ684" s="134">
        <f t="shared" si="465"/>
        <v>0</v>
      </c>
      <c r="BK684" s="134">
        <f t="shared" si="471"/>
        <v>0</v>
      </c>
    </row>
    <row r="685" spans="1:63" hidden="1">
      <c r="A685" s="187"/>
      <c r="B685" s="2321"/>
      <c r="C685" s="2322"/>
      <c r="D685" s="2334" t="s">
        <v>299</v>
      </c>
      <c r="E685" s="2334"/>
      <c r="F685" s="2334"/>
      <c r="G685" s="2334"/>
      <c r="H685" s="2334"/>
      <c r="I685" s="2334"/>
      <c r="J685" s="2334"/>
      <c r="K685" s="2334"/>
      <c r="L685" s="2334"/>
      <c r="M685" s="2334"/>
      <c r="N685" s="2334"/>
      <c r="O685" s="2334"/>
      <c r="P685" s="2324"/>
      <c r="Q685" s="2324"/>
      <c r="R685" s="2325"/>
      <c r="S685" s="2324" t="s">
        <v>2</v>
      </c>
      <c r="T685" s="2324" t="s">
        <v>2</v>
      </c>
      <c r="U685" s="2326">
        <v>100</v>
      </c>
      <c r="V685" s="2327"/>
      <c r="W685" s="2327"/>
      <c r="X685" s="2327">
        <v>250</v>
      </c>
      <c r="Y685" s="2327"/>
      <c r="Z685" s="2327">
        <v>300</v>
      </c>
      <c r="AA685" s="2328"/>
      <c r="AB685" s="2329"/>
      <c r="AC685" s="2326"/>
      <c r="AD685" s="2330">
        <f t="shared" si="459"/>
        <v>0</v>
      </c>
      <c r="AE685" s="2330"/>
      <c r="AF685" s="2330"/>
      <c r="AG685" s="2330">
        <f t="shared" si="466"/>
        <v>0</v>
      </c>
      <c r="AH685" s="2330"/>
      <c r="AI685" s="2330"/>
      <c r="AJ685" s="2330">
        <f t="shared" si="460"/>
        <v>0</v>
      </c>
      <c r="AK685" s="2330"/>
      <c r="AL685" s="2330"/>
      <c r="AM685" s="2331">
        <f t="shared" si="461"/>
        <v>0</v>
      </c>
      <c r="AN685" s="2331"/>
      <c r="AO685" s="2331"/>
      <c r="AP685" s="2331"/>
      <c r="AQ685" s="2332">
        <f t="shared" si="462"/>
        <v>0</v>
      </c>
      <c r="AR685" s="2332"/>
      <c r="AS685" s="2332"/>
      <c r="AT685" s="2332"/>
      <c r="AV685" s="151" t="str">
        <f t="shared" si="456"/>
        <v>CABINETS &amp; COUNTERTOPS</v>
      </c>
      <c r="AW685" s="681" t="s">
        <v>45</v>
      </c>
      <c r="AX685" s="230"/>
      <c r="AY685" s="230"/>
      <c r="AZ685" s="679"/>
      <c r="BA685" s="49">
        <f t="shared" si="463"/>
        <v>0</v>
      </c>
      <c r="BB685" s="49">
        <f t="shared" si="467"/>
        <v>0</v>
      </c>
      <c r="BC685" s="49">
        <f t="shared" si="468"/>
        <v>0</v>
      </c>
      <c r="BD685" s="49">
        <f t="shared" si="464"/>
        <v>0</v>
      </c>
      <c r="BE685" s="49">
        <f t="shared" si="469"/>
        <v>0</v>
      </c>
      <c r="BF685" s="49">
        <f t="shared" si="457"/>
        <v>0</v>
      </c>
      <c r="BG685" s="49">
        <f t="shared" si="458"/>
        <v>0</v>
      </c>
      <c r="BI685" s="134">
        <f t="shared" si="470"/>
        <v>0</v>
      </c>
      <c r="BJ685" s="134">
        <f t="shared" si="465"/>
        <v>0</v>
      </c>
      <c r="BK685" s="134">
        <f t="shared" si="471"/>
        <v>0</v>
      </c>
    </row>
    <row r="686" spans="1:63" hidden="1">
      <c r="A686" s="187"/>
      <c r="B686" s="2333"/>
      <c r="C686" s="2333"/>
      <c r="D686" s="2334" t="s">
        <v>300</v>
      </c>
      <c r="E686" s="2334"/>
      <c r="F686" s="2334"/>
      <c r="G686" s="2334"/>
      <c r="H686" s="2334"/>
      <c r="I686" s="2334"/>
      <c r="J686" s="2334"/>
      <c r="K686" s="2334"/>
      <c r="L686" s="2334"/>
      <c r="M686" s="2334"/>
      <c r="N686" s="2334"/>
      <c r="O686" s="2334"/>
      <c r="P686" s="2324"/>
      <c r="Q686" s="2324"/>
      <c r="R686" s="2325"/>
      <c r="S686" s="2324" t="s">
        <v>2</v>
      </c>
      <c r="T686" s="2324" t="s">
        <v>2</v>
      </c>
      <c r="U686" s="2326">
        <v>100</v>
      </c>
      <c r="V686" s="2327"/>
      <c r="W686" s="2327"/>
      <c r="X686" s="2327">
        <v>350</v>
      </c>
      <c r="Y686" s="2327"/>
      <c r="Z686" s="2327">
        <v>300</v>
      </c>
      <c r="AA686" s="2328"/>
      <c r="AB686" s="2329"/>
      <c r="AC686" s="2326"/>
      <c r="AD686" s="2330">
        <f t="shared" si="459"/>
        <v>0</v>
      </c>
      <c r="AE686" s="2330"/>
      <c r="AF686" s="2330"/>
      <c r="AG686" s="2330">
        <f t="shared" si="466"/>
        <v>0</v>
      </c>
      <c r="AH686" s="2330"/>
      <c r="AI686" s="2330"/>
      <c r="AJ686" s="2330">
        <f t="shared" si="460"/>
        <v>0</v>
      </c>
      <c r="AK686" s="2330"/>
      <c r="AL686" s="2330"/>
      <c r="AM686" s="2331">
        <f t="shared" si="461"/>
        <v>0</v>
      </c>
      <c r="AN686" s="2331"/>
      <c r="AO686" s="2331"/>
      <c r="AP686" s="2331"/>
      <c r="AQ686" s="2332">
        <f t="shared" si="462"/>
        <v>0</v>
      </c>
      <c r="AR686" s="2332"/>
      <c r="AS686" s="2332"/>
      <c r="AT686" s="2332"/>
      <c r="AV686" s="151" t="str">
        <f t="shared" si="456"/>
        <v>CABINETS &amp; COUNTERTOPS</v>
      </c>
      <c r="AW686" s="681" t="s">
        <v>45</v>
      </c>
      <c r="AX686" s="230"/>
      <c r="AY686" s="230"/>
      <c r="AZ686" s="679"/>
      <c r="BA686" s="49">
        <f t="shared" si="463"/>
        <v>0</v>
      </c>
      <c r="BB686" s="49">
        <f t="shared" si="467"/>
        <v>0</v>
      </c>
      <c r="BC686" s="49">
        <f t="shared" si="468"/>
        <v>0</v>
      </c>
      <c r="BD686" s="49">
        <f t="shared" si="464"/>
        <v>0</v>
      </c>
      <c r="BE686" s="49">
        <f t="shared" si="469"/>
        <v>0</v>
      </c>
      <c r="BF686" s="49">
        <f t="shared" si="457"/>
        <v>0</v>
      </c>
      <c r="BG686" s="49">
        <f t="shared" si="458"/>
        <v>0</v>
      </c>
      <c r="BI686" s="134">
        <f t="shared" si="470"/>
        <v>0</v>
      </c>
      <c r="BJ686" s="134">
        <f t="shared" si="465"/>
        <v>0</v>
      </c>
      <c r="BK686" s="134">
        <f t="shared" si="471"/>
        <v>0</v>
      </c>
    </row>
    <row r="687" spans="1:63" hidden="1">
      <c r="A687" s="187"/>
      <c r="B687" s="2321"/>
      <c r="C687" s="2322"/>
      <c r="D687" s="2337" t="s">
        <v>46</v>
      </c>
      <c r="E687" s="2337"/>
      <c r="F687" s="2337"/>
      <c r="G687" s="2337"/>
      <c r="H687" s="2337"/>
      <c r="I687" s="2337"/>
      <c r="J687" s="2337"/>
      <c r="K687" s="2337"/>
      <c r="L687" s="2337"/>
      <c r="M687" s="2337"/>
      <c r="N687" s="2337"/>
      <c r="O687" s="2337"/>
      <c r="P687" s="2324"/>
      <c r="Q687" s="2324"/>
      <c r="R687" s="2325"/>
      <c r="S687" s="2324"/>
      <c r="T687" s="2324" t="s">
        <v>3</v>
      </c>
      <c r="U687" s="2326"/>
      <c r="V687" s="2327"/>
      <c r="W687" s="2327"/>
      <c r="X687" s="2327"/>
      <c r="Y687" s="2327"/>
      <c r="Z687" s="2327"/>
      <c r="AA687" s="2328"/>
      <c r="AB687" s="2329"/>
      <c r="AC687" s="2326"/>
      <c r="AD687" s="2330">
        <f t="shared" si="459"/>
        <v>0</v>
      </c>
      <c r="AE687" s="2330"/>
      <c r="AF687" s="2330"/>
      <c r="AG687" s="2330">
        <f t="shared" si="466"/>
        <v>0</v>
      </c>
      <c r="AH687" s="2330"/>
      <c r="AI687" s="2330"/>
      <c r="AJ687" s="2330">
        <f t="shared" si="460"/>
        <v>0</v>
      </c>
      <c r="AK687" s="2330"/>
      <c r="AL687" s="2330"/>
      <c r="AM687" s="2331">
        <f t="shared" si="461"/>
        <v>0</v>
      </c>
      <c r="AN687" s="2331"/>
      <c r="AO687" s="2331"/>
      <c r="AP687" s="2331"/>
      <c r="AQ687" s="2332">
        <f t="shared" si="462"/>
        <v>0</v>
      </c>
      <c r="AR687" s="2332"/>
      <c r="AS687" s="2332"/>
      <c r="AT687" s="2332"/>
      <c r="AV687" s="151" t="str">
        <f t="shared" si="456"/>
        <v>CABINETS &amp; COUNTERTOPS</v>
      </c>
      <c r="AW687" s="681" t="s">
        <v>46</v>
      </c>
      <c r="AX687" s="230"/>
      <c r="AY687" s="230"/>
      <c r="AZ687" s="679"/>
      <c r="BA687" s="49">
        <f t="shared" si="463"/>
        <v>0</v>
      </c>
      <c r="BB687" s="49">
        <f t="shared" si="467"/>
        <v>0</v>
      </c>
      <c r="BC687" s="49">
        <f t="shared" si="468"/>
        <v>0</v>
      </c>
      <c r="BD687" s="49">
        <f t="shared" si="464"/>
        <v>0</v>
      </c>
      <c r="BE687" s="49">
        <f t="shared" si="469"/>
        <v>0</v>
      </c>
      <c r="BF687" s="49">
        <f t="shared" si="457"/>
        <v>0</v>
      </c>
      <c r="BG687" s="49">
        <f t="shared" si="458"/>
        <v>0</v>
      </c>
      <c r="BI687" s="134">
        <f t="shared" si="470"/>
        <v>0</v>
      </c>
      <c r="BJ687" s="134">
        <f t="shared" si="465"/>
        <v>0</v>
      </c>
      <c r="BK687" s="134">
        <f t="shared" si="471"/>
        <v>0</v>
      </c>
    </row>
    <row r="688" spans="1:63" hidden="1">
      <c r="A688" s="187"/>
      <c r="B688" s="2321"/>
      <c r="C688" s="2322"/>
      <c r="D688" s="2334" t="s">
        <v>185</v>
      </c>
      <c r="E688" s="2334"/>
      <c r="F688" s="2334"/>
      <c r="G688" s="2334"/>
      <c r="H688" s="2334"/>
      <c r="I688" s="2334"/>
      <c r="J688" s="2334"/>
      <c r="K688" s="2334"/>
      <c r="L688" s="2334"/>
      <c r="M688" s="2334"/>
      <c r="N688" s="2334"/>
      <c r="O688" s="2334"/>
      <c r="P688" s="2324"/>
      <c r="Q688" s="2324"/>
      <c r="R688" s="2325"/>
      <c r="S688" s="2324" t="s">
        <v>2</v>
      </c>
      <c r="T688" s="2324" t="s">
        <v>2</v>
      </c>
      <c r="U688" s="2326">
        <v>200</v>
      </c>
      <c r="V688" s="2327"/>
      <c r="W688" s="2327"/>
      <c r="X688" s="2327">
        <v>600</v>
      </c>
      <c r="Y688" s="2327"/>
      <c r="Z688" s="2327">
        <v>450</v>
      </c>
      <c r="AA688" s="2328"/>
      <c r="AB688" s="2329"/>
      <c r="AC688" s="2326"/>
      <c r="AD688" s="2330">
        <f t="shared" si="459"/>
        <v>0</v>
      </c>
      <c r="AE688" s="2330"/>
      <c r="AF688" s="2330"/>
      <c r="AG688" s="2330">
        <f t="shared" si="466"/>
        <v>0</v>
      </c>
      <c r="AH688" s="2330"/>
      <c r="AI688" s="2330"/>
      <c r="AJ688" s="2330">
        <f t="shared" si="460"/>
        <v>0</v>
      </c>
      <c r="AK688" s="2330"/>
      <c r="AL688" s="2330"/>
      <c r="AM688" s="2331">
        <f t="shared" si="461"/>
        <v>0</v>
      </c>
      <c r="AN688" s="2331"/>
      <c r="AO688" s="2331"/>
      <c r="AP688" s="2331"/>
      <c r="AQ688" s="2332">
        <f t="shared" si="462"/>
        <v>0</v>
      </c>
      <c r="AR688" s="2332"/>
      <c r="AS688" s="2332"/>
      <c r="AT688" s="2332"/>
      <c r="AV688" s="151" t="str">
        <f t="shared" si="456"/>
        <v>CABINETS &amp; COUNTERTOPS</v>
      </c>
      <c r="AW688" s="681" t="s">
        <v>46</v>
      </c>
      <c r="AX688" s="230"/>
      <c r="AY688" s="230"/>
      <c r="AZ688" s="679"/>
      <c r="BA688" s="49">
        <f t="shared" si="463"/>
        <v>0</v>
      </c>
      <c r="BB688" s="49">
        <f t="shared" si="467"/>
        <v>0</v>
      </c>
      <c r="BC688" s="49">
        <f t="shared" si="468"/>
        <v>0</v>
      </c>
      <c r="BD688" s="49">
        <f t="shared" si="464"/>
        <v>0</v>
      </c>
      <c r="BE688" s="49">
        <f t="shared" si="469"/>
        <v>0</v>
      </c>
      <c r="BF688" s="49">
        <f t="shared" si="457"/>
        <v>0</v>
      </c>
      <c r="BG688" s="49">
        <f t="shared" si="458"/>
        <v>0</v>
      </c>
      <c r="BI688" s="134">
        <f t="shared" si="470"/>
        <v>0</v>
      </c>
      <c r="BJ688" s="134">
        <f t="shared" si="465"/>
        <v>0</v>
      </c>
      <c r="BK688" s="134">
        <f t="shared" si="471"/>
        <v>0</v>
      </c>
    </row>
    <row r="689" spans="1:63" hidden="1">
      <c r="A689" s="187"/>
      <c r="B689" s="2333"/>
      <c r="C689" s="2333"/>
      <c r="D689" s="2334" t="s">
        <v>44</v>
      </c>
      <c r="E689" s="2334"/>
      <c r="F689" s="2334"/>
      <c r="G689" s="2334"/>
      <c r="H689" s="2334"/>
      <c r="I689" s="2334"/>
      <c r="J689" s="2334"/>
      <c r="K689" s="2334"/>
      <c r="L689" s="2334"/>
      <c r="M689" s="2334"/>
      <c r="N689" s="2334"/>
      <c r="O689" s="2334"/>
      <c r="P689" s="2324"/>
      <c r="Q689" s="2324"/>
      <c r="R689" s="2325"/>
      <c r="S689" s="2324" t="s">
        <v>2</v>
      </c>
      <c r="T689" s="2324" t="s">
        <v>2</v>
      </c>
      <c r="U689" s="2326">
        <v>4</v>
      </c>
      <c r="V689" s="2327"/>
      <c r="W689" s="2327"/>
      <c r="X689" s="2327">
        <v>4.25</v>
      </c>
      <c r="Y689" s="2327"/>
      <c r="Z689" s="2327">
        <v>4.25</v>
      </c>
      <c r="AA689" s="2328"/>
      <c r="AB689" s="2329"/>
      <c r="AC689" s="2326"/>
      <c r="AD689" s="2330">
        <f t="shared" si="459"/>
        <v>0</v>
      </c>
      <c r="AE689" s="2330"/>
      <c r="AF689" s="2330"/>
      <c r="AG689" s="2330">
        <f t="shared" si="466"/>
        <v>0</v>
      </c>
      <c r="AH689" s="2330"/>
      <c r="AI689" s="2330"/>
      <c r="AJ689" s="2330">
        <f t="shared" si="460"/>
        <v>0</v>
      </c>
      <c r="AK689" s="2330"/>
      <c r="AL689" s="2330"/>
      <c r="AM689" s="2331">
        <f t="shared" si="461"/>
        <v>0</v>
      </c>
      <c r="AN689" s="2331"/>
      <c r="AO689" s="2331"/>
      <c r="AP689" s="2331"/>
      <c r="AQ689" s="2332">
        <f t="shared" si="462"/>
        <v>0</v>
      </c>
      <c r="AR689" s="2332"/>
      <c r="AS689" s="2332"/>
      <c r="AT689" s="2332"/>
      <c r="AV689" s="151" t="str">
        <f t="shared" si="456"/>
        <v>CABINETS &amp; COUNTERTOPS</v>
      </c>
      <c r="AW689" s="681" t="s">
        <v>46</v>
      </c>
      <c r="AX689" s="230"/>
      <c r="AY689" s="230"/>
      <c r="AZ689" s="679"/>
      <c r="BA689" s="49">
        <f t="shared" si="463"/>
        <v>0</v>
      </c>
      <c r="BB689" s="49">
        <f t="shared" si="467"/>
        <v>0</v>
      </c>
      <c r="BC689" s="49">
        <f t="shared" si="468"/>
        <v>0</v>
      </c>
      <c r="BD689" s="49">
        <f t="shared" si="464"/>
        <v>0</v>
      </c>
      <c r="BE689" s="49">
        <f t="shared" si="469"/>
        <v>0</v>
      </c>
      <c r="BF689" s="49">
        <f t="shared" si="457"/>
        <v>0</v>
      </c>
      <c r="BG689" s="49">
        <f t="shared" si="458"/>
        <v>0</v>
      </c>
      <c r="BI689" s="134">
        <f t="shared" si="470"/>
        <v>0</v>
      </c>
      <c r="BJ689" s="134">
        <f t="shared" si="465"/>
        <v>0</v>
      </c>
      <c r="BK689" s="134">
        <f t="shared" si="471"/>
        <v>0</v>
      </c>
    </row>
    <row r="690" spans="1:63" hidden="1">
      <c r="A690" s="187"/>
      <c r="B690" s="2333"/>
      <c r="C690" s="2333"/>
      <c r="D690" s="2334" t="s">
        <v>743</v>
      </c>
      <c r="E690" s="2334"/>
      <c r="F690" s="2334"/>
      <c r="G690" s="2334"/>
      <c r="H690" s="2334"/>
      <c r="I690" s="2334"/>
      <c r="J690" s="2334"/>
      <c r="K690" s="2334"/>
      <c r="L690" s="2334"/>
      <c r="M690" s="2334"/>
      <c r="N690" s="2334"/>
      <c r="O690" s="2334"/>
      <c r="P690" s="2324"/>
      <c r="Q690" s="2324"/>
      <c r="R690" s="2325"/>
      <c r="S690" s="2324" t="s">
        <v>11</v>
      </c>
      <c r="T690" s="2324" t="s">
        <v>11</v>
      </c>
      <c r="U690" s="2326"/>
      <c r="V690" s="2327"/>
      <c r="W690" s="2327"/>
      <c r="X690" s="2327">
        <v>50</v>
      </c>
      <c r="Y690" s="2327"/>
      <c r="Z690" s="2327">
        <v>50</v>
      </c>
      <c r="AA690" s="2328"/>
      <c r="AB690" s="2329"/>
      <c r="AC690" s="2326"/>
      <c r="AD690" s="2330">
        <f t="shared" si="459"/>
        <v>0</v>
      </c>
      <c r="AE690" s="2330"/>
      <c r="AF690" s="2330"/>
      <c r="AG690" s="2330">
        <f t="shared" si="466"/>
        <v>0</v>
      </c>
      <c r="AH690" s="2330"/>
      <c r="AI690" s="2330"/>
      <c r="AJ690" s="2330">
        <f t="shared" si="460"/>
        <v>0</v>
      </c>
      <c r="AK690" s="2330"/>
      <c r="AL690" s="2330"/>
      <c r="AM690" s="2331">
        <f t="shared" si="461"/>
        <v>0</v>
      </c>
      <c r="AN690" s="2331"/>
      <c r="AO690" s="2331"/>
      <c r="AP690" s="2331"/>
      <c r="AQ690" s="2332">
        <f t="shared" si="462"/>
        <v>0</v>
      </c>
      <c r="AR690" s="2332"/>
      <c r="AS690" s="2332"/>
      <c r="AT690" s="2332"/>
      <c r="AV690" s="151" t="str">
        <f t="shared" si="456"/>
        <v>CABINETS &amp; COUNTERTOPS</v>
      </c>
      <c r="AW690" s="681" t="s">
        <v>46</v>
      </c>
      <c r="AX690" s="230"/>
      <c r="AY690" s="230"/>
      <c r="AZ690" s="679"/>
      <c r="BA690" s="49">
        <f t="shared" si="463"/>
        <v>0</v>
      </c>
      <c r="BB690" s="49">
        <f t="shared" si="467"/>
        <v>0</v>
      </c>
      <c r="BC690" s="49">
        <f t="shared" si="468"/>
        <v>0</v>
      </c>
      <c r="BD690" s="49">
        <f t="shared" si="464"/>
        <v>0</v>
      </c>
      <c r="BE690" s="49">
        <f t="shared" si="469"/>
        <v>0</v>
      </c>
      <c r="BF690" s="49">
        <f t="shared" si="457"/>
        <v>0</v>
      </c>
      <c r="BG690" s="49">
        <f t="shared" si="458"/>
        <v>0</v>
      </c>
      <c r="BI690" s="134">
        <f t="shared" si="470"/>
        <v>0</v>
      </c>
      <c r="BJ690" s="134">
        <f t="shared" si="465"/>
        <v>0</v>
      </c>
      <c r="BK690" s="134">
        <f t="shared" si="471"/>
        <v>0</v>
      </c>
    </row>
    <row r="691" spans="1:63" hidden="1">
      <c r="A691" s="187"/>
      <c r="B691" s="2321"/>
      <c r="C691" s="2322"/>
      <c r="D691" s="2334"/>
      <c r="E691" s="2334"/>
      <c r="F691" s="2334"/>
      <c r="G691" s="2334"/>
      <c r="H691" s="2334"/>
      <c r="I691" s="2334"/>
      <c r="J691" s="2334"/>
      <c r="K691" s="2334"/>
      <c r="L691" s="2334"/>
      <c r="M691" s="2334"/>
      <c r="N691" s="2334"/>
      <c r="O691" s="2334"/>
      <c r="P691" s="2324"/>
      <c r="Q691" s="2324"/>
      <c r="R691" s="2325"/>
      <c r="S691" s="2324"/>
      <c r="T691" s="2324"/>
      <c r="U691" s="2326"/>
      <c r="V691" s="2327"/>
      <c r="W691" s="2327"/>
      <c r="X691" s="2327"/>
      <c r="Y691" s="2327"/>
      <c r="Z691" s="2327"/>
      <c r="AA691" s="2328"/>
      <c r="AB691" s="2329"/>
      <c r="AC691" s="2326"/>
      <c r="AD691" s="2330">
        <f t="shared" ref="AD691:AD696" si="472">((P691*U691)-AM691)</f>
        <v>0</v>
      </c>
      <c r="AE691" s="2330"/>
      <c r="AF691" s="2330"/>
      <c r="AG691" s="2330">
        <f t="shared" si="466"/>
        <v>0</v>
      </c>
      <c r="AH691" s="2330"/>
      <c r="AI691" s="2330"/>
      <c r="AJ691" s="2330">
        <f t="shared" ref="AJ691:AJ696" si="473">P691*AA691</f>
        <v>0</v>
      </c>
      <c r="AK691" s="2330"/>
      <c r="AL691" s="2330"/>
      <c r="AM691" s="2331">
        <f t="shared" si="461"/>
        <v>0</v>
      </c>
      <c r="AN691" s="2331"/>
      <c r="AO691" s="2331"/>
      <c r="AP691" s="2331"/>
      <c r="AQ691" s="2332">
        <f t="shared" ref="AQ691:AQ696" si="474">SUM(AD691:AL691)</f>
        <v>0</v>
      </c>
      <c r="AR691" s="2332"/>
      <c r="AS691" s="2332"/>
      <c r="AT691" s="2332"/>
      <c r="AV691" s="151" t="str">
        <f t="shared" si="456"/>
        <v>CABINETS &amp; COUNTERTOPS</v>
      </c>
      <c r="AW691" s="681"/>
      <c r="AX691" s="230"/>
      <c r="AY691" s="230"/>
      <c r="AZ691" s="679"/>
      <c r="BA691" s="49">
        <f t="shared" ref="BA691:BA696" si="475">AD691</f>
        <v>0</v>
      </c>
      <c r="BB691" s="49">
        <f t="shared" ref="BB691:BB696" si="476">AG691</f>
        <v>0</v>
      </c>
      <c r="BC691" s="49">
        <f t="shared" ref="BC691:BC696" si="477">AJ691</f>
        <v>0</v>
      </c>
      <c r="BD691" s="49">
        <f t="shared" ref="BD691:BD696" si="478">IF(B691="x",1,0)</f>
        <v>0</v>
      </c>
      <c r="BE691" s="49">
        <f t="shared" ref="BE691:BE712" si="479">SUM(BA691:BC691)</f>
        <v>0</v>
      </c>
      <c r="BF691" s="49">
        <f t="shared" ref="BF691:BF696" si="480">AQ691</f>
        <v>0</v>
      </c>
      <c r="BG691" s="49">
        <f t="shared" ref="BG691:BG696" si="481">AM691</f>
        <v>0</v>
      </c>
      <c r="BI691" s="134">
        <f t="shared" ref="BI691:BI696" si="482">AD691</f>
        <v>0</v>
      </c>
      <c r="BJ691" s="134">
        <f t="shared" ref="BJ691:BJ696" si="483">AM691</f>
        <v>0</v>
      </c>
      <c r="BK691" s="134">
        <f t="shared" ref="BK691:BK696" si="484">BJ691+BI691</f>
        <v>0</v>
      </c>
    </row>
    <row r="692" spans="1:63" hidden="1">
      <c r="A692" s="187"/>
      <c r="B692" s="2321"/>
      <c r="C692" s="2322"/>
      <c r="D692" s="2334"/>
      <c r="E692" s="2334"/>
      <c r="F692" s="2334"/>
      <c r="G692" s="2334"/>
      <c r="H692" s="2334"/>
      <c r="I692" s="2334"/>
      <c r="J692" s="2334"/>
      <c r="K692" s="2334"/>
      <c r="L692" s="2334"/>
      <c r="M692" s="2334"/>
      <c r="N692" s="2334"/>
      <c r="O692" s="2334"/>
      <c r="P692" s="2324"/>
      <c r="Q692" s="2324"/>
      <c r="R692" s="2325"/>
      <c r="S692" s="2324"/>
      <c r="T692" s="2324"/>
      <c r="U692" s="2326"/>
      <c r="V692" s="2327"/>
      <c r="W692" s="2327"/>
      <c r="X692" s="2327"/>
      <c r="Y692" s="2327"/>
      <c r="Z692" s="2327"/>
      <c r="AA692" s="2328"/>
      <c r="AB692" s="2329"/>
      <c r="AC692" s="2326"/>
      <c r="AD692" s="2330">
        <f t="shared" si="472"/>
        <v>0</v>
      </c>
      <c r="AE692" s="2330"/>
      <c r="AF692" s="2330"/>
      <c r="AG692" s="2330">
        <f t="shared" si="466"/>
        <v>0</v>
      </c>
      <c r="AH692" s="2330"/>
      <c r="AI692" s="2330"/>
      <c r="AJ692" s="2330">
        <f t="shared" si="473"/>
        <v>0</v>
      </c>
      <c r="AK692" s="2330"/>
      <c r="AL692" s="2330"/>
      <c r="AM692" s="2331">
        <f t="shared" si="461"/>
        <v>0</v>
      </c>
      <c r="AN692" s="2331"/>
      <c r="AO692" s="2331"/>
      <c r="AP692" s="2331"/>
      <c r="AQ692" s="2332">
        <f t="shared" si="474"/>
        <v>0</v>
      </c>
      <c r="AR692" s="2332"/>
      <c r="AS692" s="2332"/>
      <c r="AT692" s="2332"/>
      <c r="AV692" s="151" t="str">
        <f t="shared" si="456"/>
        <v>CABINETS &amp; COUNTERTOPS</v>
      </c>
      <c r="AW692" s="681"/>
      <c r="AX692" s="230"/>
      <c r="AY692" s="230"/>
      <c r="AZ692" s="679"/>
      <c r="BA692" s="49">
        <f t="shared" si="475"/>
        <v>0</v>
      </c>
      <c r="BB692" s="49">
        <f t="shared" si="476"/>
        <v>0</v>
      </c>
      <c r="BC692" s="49">
        <f t="shared" si="477"/>
        <v>0</v>
      </c>
      <c r="BD692" s="49">
        <f t="shared" si="478"/>
        <v>0</v>
      </c>
      <c r="BE692" s="49">
        <f t="shared" si="479"/>
        <v>0</v>
      </c>
      <c r="BF692" s="49">
        <f t="shared" si="480"/>
        <v>0</v>
      </c>
      <c r="BG692" s="49">
        <f t="shared" si="481"/>
        <v>0</v>
      </c>
      <c r="BI692" s="134">
        <f t="shared" si="482"/>
        <v>0</v>
      </c>
      <c r="BJ692" s="134">
        <f t="shared" si="483"/>
        <v>0</v>
      </c>
      <c r="BK692" s="134">
        <f t="shared" si="484"/>
        <v>0</v>
      </c>
    </row>
    <row r="693" spans="1:63" hidden="1">
      <c r="A693" s="187"/>
      <c r="B693" s="2333"/>
      <c r="C693" s="2333"/>
      <c r="D693" s="2334"/>
      <c r="E693" s="2334"/>
      <c r="F693" s="2334"/>
      <c r="G693" s="2334"/>
      <c r="H693" s="2334"/>
      <c r="I693" s="2334"/>
      <c r="J693" s="2334"/>
      <c r="K693" s="2334"/>
      <c r="L693" s="2334"/>
      <c r="M693" s="2334"/>
      <c r="N693" s="2334"/>
      <c r="O693" s="2334"/>
      <c r="P693" s="2324"/>
      <c r="Q693" s="2324"/>
      <c r="R693" s="2325"/>
      <c r="S693" s="2324"/>
      <c r="T693" s="2324"/>
      <c r="U693" s="2326"/>
      <c r="V693" s="2327"/>
      <c r="W693" s="2327"/>
      <c r="X693" s="2327"/>
      <c r="Y693" s="2327"/>
      <c r="Z693" s="2327"/>
      <c r="AA693" s="2328"/>
      <c r="AB693" s="2329"/>
      <c r="AC693" s="2326"/>
      <c r="AD693" s="2330">
        <f t="shared" si="472"/>
        <v>0</v>
      </c>
      <c r="AE693" s="2330"/>
      <c r="AF693" s="2330"/>
      <c r="AG693" s="2330">
        <f t="shared" si="466"/>
        <v>0</v>
      </c>
      <c r="AH693" s="2330"/>
      <c r="AI693" s="2330"/>
      <c r="AJ693" s="2330">
        <f t="shared" si="473"/>
        <v>0</v>
      </c>
      <c r="AK693" s="2330"/>
      <c r="AL693" s="2330"/>
      <c r="AM693" s="2331">
        <f t="shared" si="461"/>
        <v>0</v>
      </c>
      <c r="AN693" s="2331"/>
      <c r="AO693" s="2331"/>
      <c r="AP693" s="2331"/>
      <c r="AQ693" s="2332">
        <f t="shared" si="474"/>
        <v>0</v>
      </c>
      <c r="AR693" s="2332"/>
      <c r="AS693" s="2332"/>
      <c r="AT693" s="2332"/>
      <c r="AV693" s="151" t="str">
        <f t="shared" si="456"/>
        <v>CABINETS &amp; COUNTERTOPS</v>
      </c>
      <c r="AW693" s="681"/>
      <c r="AX693" s="230"/>
      <c r="AY693" s="230"/>
      <c r="AZ693" s="679"/>
      <c r="BA693" s="49">
        <f t="shared" si="475"/>
        <v>0</v>
      </c>
      <c r="BB693" s="49">
        <f t="shared" si="476"/>
        <v>0</v>
      </c>
      <c r="BC693" s="49">
        <f t="shared" si="477"/>
        <v>0</v>
      </c>
      <c r="BD693" s="49">
        <f t="shared" si="478"/>
        <v>0</v>
      </c>
      <c r="BE693" s="49">
        <f t="shared" si="479"/>
        <v>0</v>
      </c>
      <c r="BF693" s="49">
        <f t="shared" si="480"/>
        <v>0</v>
      </c>
      <c r="BG693" s="49">
        <f t="shared" si="481"/>
        <v>0</v>
      </c>
      <c r="BI693" s="134">
        <f t="shared" si="482"/>
        <v>0</v>
      </c>
      <c r="BJ693" s="134">
        <f t="shared" si="483"/>
        <v>0</v>
      </c>
      <c r="BK693" s="134">
        <f t="shared" si="484"/>
        <v>0</v>
      </c>
    </row>
    <row r="694" spans="1:63" hidden="1">
      <c r="A694" s="187"/>
      <c r="B694" s="2333"/>
      <c r="C694" s="2333"/>
      <c r="D694" s="2334"/>
      <c r="E694" s="2334"/>
      <c r="F694" s="2334"/>
      <c r="G694" s="2334"/>
      <c r="H694" s="2334"/>
      <c r="I694" s="2334"/>
      <c r="J694" s="2334"/>
      <c r="K694" s="2334"/>
      <c r="L694" s="2334"/>
      <c r="M694" s="2334"/>
      <c r="N694" s="2334"/>
      <c r="O694" s="2334"/>
      <c r="P694" s="2324"/>
      <c r="Q694" s="2324"/>
      <c r="R694" s="2325"/>
      <c r="S694" s="2324"/>
      <c r="T694" s="2324"/>
      <c r="U694" s="2326"/>
      <c r="V694" s="2327"/>
      <c r="W694" s="2327"/>
      <c r="X694" s="2327"/>
      <c r="Y694" s="2327"/>
      <c r="Z694" s="2327"/>
      <c r="AA694" s="2328"/>
      <c r="AB694" s="2329"/>
      <c r="AC694" s="2326"/>
      <c r="AD694" s="2330">
        <f t="shared" si="472"/>
        <v>0</v>
      </c>
      <c r="AE694" s="2330"/>
      <c r="AF694" s="2330"/>
      <c r="AG694" s="2330">
        <f t="shared" si="466"/>
        <v>0</v>
      </c>
      <c r="AH694" s="2330"/>
      <c r="AI694" s="2330"/>
      <c r="AJ694" s="2330">
        <f t="shared" si="473"/>
        <v>0</v>
      </c>
      <c r="AK694" s="2330"/>
      <c r="AL694" s="2330"/>
      <c r="AM694" s="2331">
        <f t="shared" si="461"/>
        <v>0</v>
      </c>
      <c r="AN694" s="2331"/>
      <c r="AO694" s="2331"/>
      <c r="AP694" s="2331"/>
      <c r="AQ694" s="2332">
        <f t="shared" si="474"/>
        <v>0</v>
      </c>
      <c r="AR694" s="2332"/>
      <c r="AS694" s="2332"/>
      <c r="AT694" s="2332"/>
      <c r="AV694" s="151" t="str">
        <f t="shared" si="456"/>
        <v>CABINETS &amp; COUNTERTOPS</v>
      </c>
      <c r="AW694" s="681"/>
      <c r="AX694" s="230"/>
      <c r="AY694" s="230"/>
      <c r="AZ694" s="679"/>
      <c r="BA694" s="49">
        <f t="shared" si="475"/>
        <v>0</v>
      </c>
      <c r="BB694" s="49">
        <f t="shared" si="476"/>
        <v>0</v>
      </c>
      <c r="BC694" s="49">
        <f t="shared" si="477"/>
        <v>0</v>
      </c>
      <c r="BD694" s="49">
        <f t="shared" si="478"/>
        <v>0</v>
      </c>
      <c r="BE694" s="49">
        <f t="shared" si="479"/>
        <v>0</v>
      </c>
      <c r="BF694" s="49">
        <f t="shared" si="480"/>
        <v>0</v>
      </c>
      <c r="BG694" s="49">
        <f t="shared" si="481"/>
        <v>0</v>
      </c>
      <c r="BI694" s="134">
        <f t="shared" si="482"/>
        <v>0</v>
      </c>
      <c r="BJ694" s="134">
        <f t="shared" si="483"/>
        <v>0</v>
      </c>
      <c r="BK694" s="134">
        <f t="shared" si="484"/>
        <v>0</v>
      </c>
    </row>
    <row r="695" spans="1:63" hidden="1">
      <c r="A695" s="187"/>
      <c r="B695" s="2321"/>
      <c r="C695" s="2322"/>
      <c r="D695" s="2334"/>
      <c r="E695" s="2334"/>
      <c r="F695" s="2334"/>
      <c r="G695" s="2334"/>
      <c r="H695" s="2334"/>
      <c r="I695" s="2334"/>
      <c r="J695" s="2334"/>
      <c r="K695" s="2334"/>
      <c r="L695" s="2334"/>
      <c r="M695" s="2334"/>
      <c r="N695" s="2334"/>
      <c r="O695" s="2334"/>
      <c r="P695" s="2324"/>
      <c r="Q695" s="2324"/>
      <c r="R695" s="2325"/>
      <c r="S695" s="2324"/>
      <c r="T695" s="2324"/>
      <c r="U695" s="2326"/>
      <c r="V695" s="2327"/>
      <c r="W695" s="2327"/>
      <c r="X695" s="2327"/>
      <c r="Y695" s="2327"/>
      <c r="Z695" s="2327"/>
      <c r="AA695" s="2328"/>
      <c r="AB695" s="2329"/>
      <c r="AC695" s="2326"/>
      <c r="AD695" s="2330">
        <f t="shared" si="472"/>
        <v>0</v>
      </c>
      <c r="AE695" s="2330"/>
      <c r="AF695" s="2330"/>
      <c r="AG695" s="2330">
        <f t="shared" si="466"/>
        <v>0</v>
      </c>
      <c r="AH695" s="2330"/>
      <c r="AI695" s="2330"/>
      <c r="AJ695" s="2330">
        <f t="shared" si="473"/>
        <v>0</v>
      </c>
      <c r="AK695" s="2330"/>
      <c r="AL695" s="2330"/>
      <c r="AM695" s="2331">
        <f t="shared" si="461"/>
        <v>0</v>
      </c>
      <c r="AN695" s="2331"/>
      <c r="AO695" s="2331"/>
      <c r="AP695" s="2331"/>
      <c r="AQ695" s="2332">
        <f t="shared" si="474"/>
        <v>0</v>
      </c>
      <c r="AR695" s="2332"/>
      <c r="AS695" s="2332"/>
      <c r="AT695" s="2332"/>
      <c r="AV695" s="151" t="str">
        <f t="shared" si="456"/>
        <v>CABINETS &amp; COUNTERTOPS</v>
      </c>
      <c r="AW695" s="681"/>
      <c r="AX695" s="230"/>
      <c r="AY695" s="230"/>
      <c r="AZ695" s="679"/>
      <c r="BA695" s="49">
        <f t="shared" si="475"/>
        <v>0</v>
      </c>
      <c r="BB695" s="49">
        <f t="shared" si="476"/>
        <v>0</v>
      </c>
      <c r="BC695" s="49">
        <f t="shared" si="477"/>
        <v>0</v>
      </c>
      <c r="BD695" s="49">
        <f t="shared" si="478"/>
        <v>0</v>
      </c>
      <c r="BE695" s="49">
        <f t="shared" si="479"/>
        <v>0</v>
      </c>
      <c r="BF695" s="49">
        <f t="shared" si="480"/>
        <v>0</v>
      </c>
      <c r="BG695" s="49">
        <f t="shared" si="481"/>
        <v>0</v>
      </c>
      <c r="BI695" s="134">
        <f t="shared" si="482"/>
        <v>0</v>
      </c>
      <c r="BJ695" s="134">
        <f t="shared" si="483"/>
        <v>0</v>
      </c>
      <c r="BK695" s="134">
        <f t="shared" si="484"/>
        <v>0</v>
      </c>
    </row>
    <row r="696" spans="1:63" hidden="1">
      <c r="A696" s="187"/>
      <c r="B696" s="2321"/>
      <c r="C696" s="2322"/>
      <c r="D696" s="2334"/>
      <c r="E696" s="2334"/>
      <c r="F696" s="2334"/>
      <c r="G696" s="2334"/>
      <c r="H696" s="2334"/>
      <c r="I696" s="2334"/>
      <c r="J696" s="2334"/>
      <c r="K696" s="2334"/>
      <c r="L696" s="2334"/>
      <c r="M696" s="2334"/>
      <c r="N696" s="2334"/>
      <c r="O696" s="2334"/>
      <c r="P696" s="2324"/>
      <c r="Q696" s="2324"/>
      <c r="R696" s="2325"/>
      <c r="S696" s="2324"/>
      <c r="T696" s="2324"/>
      <c r="U696" s="2326"/>
      <c r="V696" s="2327"/>
      <c r="W696" s="2327"/>
      <c r="X696" s="2327"/>
      <c r="Y696" s="2327"/>
      <c r="Z696" s="2327"/>
      <c r="AA696" s="2328"/>
      <c r="AB696" s="2329"/>
      <c r="AC696" s="2326"/>
      <c r="AD696" s="2330">
        <f t="shared" si="472"/>
        <v>0</v>
      </c>
      <c r="AE696" s="2330"/>
      <c r="AF696" s="2330"/>
      <c r="AG696" s="2330">
        <f t="shared" si="466"/>
        <v>0</v>
      </c>
      <c r="AH696" s="2330"/>
      <c r="AI696" s="2330"/>
      <c r="AJ696" s="2330">
        <f t="shared" si="473"/>
        <v>0</v>
      </c>
      <c r="AK696" s="2330"/>
      <c r="AL696" s="2330"/>
      <c r="AM696" s="2331">
        <f t="shared" si="461"/>
        <v>0</v>
      </c>
      <c r="AN696" s="2331"/>
      <c r="AO696" s="2331"/>
      <c r="AP696" s="2331"/>
      <c r="AQ696" s="2332">
        <f t="shared" si="474"/>
        <v>0</v>
      </c>
      <c r="AR696" s="2332"/>
      <c r="AS696" s="2332"/>
      <c r="AT696" s="2332"/>
      <c r="AV696" s="151" t="str">
        <f t="shared" si="456"/>
        <v>CABINETS &amp; COUNTERTOPS</v>
      </c>
      <c r="AW696" s="681"/>
      <c r="AX696" s="230"/>
      <c r="AY696" s="230"/>
      <c r="AZ696" s="679"/>
      <c r="BA696" s="49">
        <f t="shared" si="475"/>
        <v>0</v>
      </c>
      <c r="BB696" s="49">
        <f t="shared" si="476"/>
        <v>0</v>
      </c>
      <c r="BC696" s="49">
        <f t="shared" si="477"/>
        <v>0</v>
      </c>
      <c r="BD696" s="49">
        <f t="shared" si="478"/>
        <v>0</v>
      </c>
      <c r="BE696" s="49">
        <f t="shared" si="479"/>
        <v>0</v>
      </c>
      <c r="BF696" s="49">
        <f t="shared" si="480"/>
        <v>0</v>
      </c>
      <c r="BG696" s="49">
        <f t="shared" si="481"/>
        <v>0</v>
      </c>
      <c r="BI696" s="134">
        <f t="shared" si="482"/>
        <v>0</v>
      </c>
      <c r="BJ696" s="134">
        <f t="shared" si="483"/>
        <v>0</v>
      </c>
      <c r="BK696" s="134">
        <f t="shared" si="484"/>
        <v>0</v>
      </c>
    </row>
    <row r="697" spans="1:63" hidden="1">
      <c r="A697" s="187"/>
      <c r="B697" s="2321"/>
      <c r="C697" s="2322"/>
      <c r="D697" s="2334"/>
      <c r="E697" s="2334"/>
      <c r="F697" s="2334"/>
      <c r="G697" s="2334"/>
      <c r="H697" s="2334"/>
      <c r="I697" s="2334"/>
      <c r="J697" s="2334"/>
      <c r="K697" s="2334"/>
      <c r="L697" s="2334"/>
      <c r="M697" s="2334"/>
      <c r="N697" s="2334"/>
      <c r="O697" s="2334"/>
      <c r="P697" s="2324"/>
      <c r="Q697" s="2324"/>
      <c r="R697" s="2325"/>
      <c r="S697" s="2324"/>
      <c r="T697" s="2324"/>
      <c r="U697" s="2326"/>
      <c r="V697" s="2327"/>
      <c r="W697" s="2327"/>
      <c r="X697" s="2327"/>
      <c r="Y697" s="2327"/>
      <c r="Z697" s="2327"/>
      <c r="AA697" s="2328"/>
      <c r="AB697" s="2329"/>
      <c r="AC697" s="2326"/>
      <c r="AD697" s="2330">
        <f t="shared" si="459"/>
        <v>0</v>
      </c>
      <c r="AE697" s="2330"/>
      <c r="AF697" s="2330"/>
      <c r="AG697" s="2330">
        <f t="shared" si="466"/>
        <v>0</v>
      </c>
      <c r="AH697" s="2330"/>
      <c r="AI697" s="2330"/>
      <c r="AJ697" s="2330">
        <f t="shared" si="460"/>
        <v>0</v>
      </c>
      <c r="AK697" s="2330"/>
      <c r="AL697" s="2330"/>
      <c r="AM697" s="2331">
        <f t="shared" si="461"/>
        <v>0</v>
      </c>
      <c r="AN697" s="2331"/>
      <c r="AO697" s="2331"/>
      <c r="AP697" s="2331"/>
      <c r="AQ697" s="2332">
        <f t="shared" si="462"/>
        <v>0</v>
      </c>
      <c r="AR697" s="2332"/>
      <c r="AS697" s="2332"/>
      <c r="AT697" s="2332"/>
      <c r="AV697" s="151" t="str">
        <f t="shared" si="456"/>
        <v>CABINETS &amp; COUNTERTOPS</v>
      </c>
      <c r="AW697" s="681"/>
      <c r="AX697" s="230"/>
      <c r="AY697" s="230"/>
      <c r="AZ697" s="679"/>
      <c r="BA697" s="49">
        <f t="shared" si="463"/>
        <v>0</v>
      </c>
      <c r="BB697" s="49">
        <f t="shared" si="467"/>
        <v>0</v>
      </c>
      <c r="BC697" s="49">
        <f t="shared" si="468"/>
        <v>0</v>
      </c>
      <c r="BD697" s="49">
        <f t="shared" si="464"/>
        <v>0</v>
      </c>
      <c r="BE697" s="49">
        <f t="shared" si="479"/>
        <v>0</v>
      </c>
      <c r="BF697" s="49">
        <f t="shared" si="457"/>
        <v>0</v>
      </c>
      <c r="BG697" s="49">
        <f t="shared" si="458"/>
        <v>0</v>
      </c>
      <c r="BI697" s="134">
        <f t="shared" si="470"/>
        <v>0</v>
      </c>
      <c r="BJ697" s="134">
        <f t="shared" si="465"/>
        <v>0</v>
      </c>
      <c r="BK697" s="134">
        <f t="shared" si="471"/>
        <v>0</v>
      </c>
    </row>
    <row r="698" spans="1:63" hidden="1">
      <c r="A698" s="187"/>
      <c r="B698" s="2321"/>
      <c r="C698" s="2322"/>
      <c r="D698" s="2334"/>
      <c r="E698" s="2334"/>
      <c r="F698" s="2334"/>
      <c r="G698" s="2334"/>
      <c r="H698" s="2334"/>
      <c r="I698" s="2334"/>
      <c r="J698" s="2334"/>
      <c r="K698" s="2334"/>
      <c r="L698" s="2334"/>
      <c r="M698" s="2334"/>
      <c r="N698" s="2334"/>
      <c r="O698" s="2334"/>
      <c r="P698" s="2324"/>
      <c r="Q698" s="2324"/>
      <c r="R698" s="2325"/>
      <c r="S698" s="2324"/>
      <c r="T698" s="2324"/>
      <c r="U698" s="2326"/>
      <c r="V698" s="2327"/>
      <c r="W698" s="2327"/>
      <c r="X698" s="2327"/>
      <c r="Y698" s="2327"/>
      <c r="Z698" s="2327"/>
      <c r="AA698" s="2328"/>
      <c r="AB698" s="2329"/>
      <c r="AC698" s="2326"/>
      <c r="AD698" s="2330">
        <f t="shared" si="459"/>
        <v>0</v>
      </c>
      <c r="AE698" s="2330"/>
      <c r="AF698" s="2330"/>
      <c r="AG698" s="2330">
        <f t="shared" si="466"/>
        <v>0</v>
      </c>
      <c r="AH698" s="2330"/>
      <c r="AI698" s="2330"/>
      <c r="AJ698" s="2330">
        <f t="shared" si="460"/>
        <v>0</v>
      </c>
      <c r="AK698" s="2330"/>
      <c r="AL698" s="2330"/>
      <c r="AM698" s="2331">
        <f t="shared" si="461"/>
        <v>0</v>
      </c>
      <c r="AN698" s="2331"/>
      <c r="AO698" s="2331"/>
      <c r="AP698" s="2331"/>
      <c r="AQ698" s="2332">
        <f t="shared" si="462"/>
        <v>0</v>
      </c>
      <c r="AR698" s="2332"/>
      <c r="AS698" s="2332"/>
      <c r="AT698" s="2332"/>
      <c r="AV698" s="151" t="str">
        <f t="shared" si="456"/>
        <v>CABINETS &amp; COUNTERTOPS</v>
      </c>
      <c r="AW698" s="681"/>
      <c r="AX698" s="230"/>
      <c r="AY698" s="230"/>
      <c r="AZ698" s="679"/>
      <c r="BA698" s="49">
        <f t="shared" si="463"/>
        <v>0</v>
      </c>
      <c r="BB698" s="49">
        <f t="shared" si="467"/>
        <v>0</v>
      </c>
      <c r="BC698" s="49">
        <f t="shared" si="468"/>
        <v>0</v>
      </c>
      <c r="BD698" s="49">
        <f t="shared" si="464"/>
        <v>0</v>
      </c>
      <c r="BE698" s="49">
        <f t="shared" si="479"/>
        <v>0</v>
      </c>
      <c r="BF698" s="49">
        <f t="shared" si="457"/>
        <v>0</v>
      </c>
      <c r="BG698" s="49">
        <f t="shared" si="458"/>
        <v>0</v>
      </c>
      <c r="BI698" s="134">
        <f t="shared" si="470"/>
        <v>0</v>
      </c>
      <c r="BJ698" s="134">
        <f t="shared" si="465"/>
        <v>0</v>
      </c>
      <c r="BK698" s="134">
        <f t="shared" si="471"/>
        <v>0</v>
      </c>
    </row>
    <row r="699" spans="1:63" hidden="1">
      <c r="A699" s="187"/>
      <c r="B699" s="2333"/>
      <c r="C699" s="2333"/>
      <c r="D699" s="2334"/>
      <c r="E699" s="2334"/>
      <c r="F699" s="2334"/>
      <c r="G699" s="2334"/>
      <c r="H699" s="2334"/>
      <c r="I699" s="2334"/>
      <c r="J699" s="2334"/>
      <c r="K699" s="2334"/>
      <c r="L699" s="2334"/>
      <c r="M699" s="2334"/>
      <c r="N699" s="2334"/>
      <c r="O699" s="2334"/>
      <c r="P699" s="2324"/>
      <c r="Q699" s="2324"/>
      <c r="R699" s="2325"/>
      <c r="S699" s="2324"/>
      <c r="T699" s="2324"/>
      <c r="U699" s="2326"/>
      <c r="V699" s="2327"/>
      <c r="W699" s="2327"/>
      <c r="X699" s="2327"/>
      <c r="Y699" s="2327"/>
      <c r="Z699" s="2327"/>
      <c r="AA699" s="2328"/>
      <c r="AB699" s="2329"/>
      <c r="AC699" s="2326"/>
      <c r="AD699" s="2330">
        <f t="shared" ref="AD699:AD709" si="485">((P699*U699)-AM699)</f>
        <v>0</v>
      </c>
      <c r="AE699" s="2330"/>
      <c r="AF699" s="2330"/>
      <c r="AG699" s="2330">
        <f t="shared" si="466"/>
        <v>0</v>
      </c>
      <c r="AH699" s="2330"/>
      <c r="AI699" s="2330"/>
      <c r="AJ699" s="2330">
        <f t="shared" ref="AJ699:AJ709" si="486">P699*AA699</f>
        <v>0</v>
      </c>
      <c r="AK699" s="2330"/>
      <c r="AL699" s="2330"/>
      <c r="AM699" s="2331">
        <f t="shared" si="461"/>
        <v>0</v>
      </c>
      <c r="AN699" s="2331"/>
      <c r="AO699" s="2331"/>
      <c r="AP699" s="2331"/>
      <c r="AQ699" s="2332">
        <f t="shared" ref="AQ699:AQ709" si="487">SUM(AD699:AL699)</f>
        <v>0</v>
      </c>
      <c r="AR699" s="2332"/>
      <c r="AS699" s="2332"/>
      <c r="AT699" s="2332"/>
      <c r="AV699" s="151" t="str">
        <f t="shared" si="456"/>
        <v>CABINETS &amp; COUNTERTOPS</v>
      </c>
      <c r="AW699" s="681"/>
      <c r="AX699" s="230"/>
      <c r="AY699" s="230"/>
      <c r="AZ699" s="679"/>
      <c r="BA699" s="49">
        <f t="shared" ref="BA699:BA709" si="488">AD699</f>
        <v>0</v>
      </c>
      <c r="BB699" s="49">
        <f t="shared" ref="BB699:BB709" si="489">AG699</f>
        <v>0</v>
      </c>
      <c r="BC699" s="49">
        <f t="shared" ref="BC699:BC709" si="490">AJ699</f>
        <v>0</v>
      </c>
      <c r="BD699" s="49">
        <f t="shared" ref="BD699:BD709" si="491">IF(B699="x",1,0)</f>
        <v>0</v>
      </c>
      <c r="BE699" s="49">
        <f t="shared" si="479"/>
        <v>0</v>
      </c>
      <c r="BF699" s="49">
        <f t="shared" ref="BF699:BF709" si="492">AQ699</f>
        <v>0</v>
      </c>
      <c r="BG699" s="49">
        <f t="shared" ref="BG699:BG709" si="493">AM699</f>
        <v>0</v>
      </c>
      <c r="BI699" s="134">
        <f t="shared" ref="BI699:BI709" si="494">AD699</f>
        <v>0</v>
      </c>
      <c r="BJ699" s="134">
        <f t="shared" ref="BJ699:BJ709" si="495">AM699</f>
        <v>0</v>
      </c>
      <c r="BK699" s="134">
        <f t="shared" ref="BK699:BK709" si="496">BJ699+BI699</f>
        <v>0</v>
      </c>
    </row>
    <row r="700" spans="1:63" hidden="1">
      <c r="A700" s="187"/>
      <c r="B700" s="2333"/>
      <c r="C700" s="2333"/>
      <c r="D700" s="2334"/>
      <c r="E700" s="2334"/>
      <c r="F700" s="2334"/>
      <c r="G700" s="2334"/>
      <c r="H700" s="2334"/>
      <c r="I700" s="2334"/>
      <c r="J700" s="2334"/>
      <c r="K700" s="2334"/>
      <c r="L700" s="2334"/>
      <c r="M700" s="2334"/>
      <c r="N700" s="2334"/>
      <c r="O700" s="2334"/>
      <c r="P700" s="2324"/>
      <c r="Q700" s="2324"/>
      <c r="R700" s="2325"/>
      <c r="S700" s="2324"/>
      <c r="T700" s="2324"/>
      <c r="U700" s="2326"/>
      <c r="V700" s="2327"/>
      <c r="W700" s="2327"/>
      <c r="X700" s="2327"/>
      <c r="Y700" s="2327"/>
      <c r="Z700" s="2327"/>
      <c r="AA700" s="2328"/>
      <c r="AB700" s="2329"/>
      <c r="AC700" s="2326"/>
      <c r="AD700" s="2330">
        <f t="shared" si="485"/>
        <v>0</v>
      </c>
      <c r="AE700" s="2330"/>
      <c r="AF700" s="2330"/>
      <c r="AG700" s="2330">
        <f t="shared" si="466"/>
        <v>0</v>
      </c>
      <c r="AH700" s="2330"/>
      <c r="AI700" s="2330"/>
      <c r="AJ700" s="2330">
        <f t="shared" si="486"/>
        <v>0</v>
      </c>
      <c r="AK700" s="2330"/>
      <c r="AL700" s="2330"/>
      <c r="AM700" s="2331">
        <f t="shared" si="461"/>
        <v>0</v>
      </c>
      <c r="AN700" s="2331"/>
      <c r="AO700" s="2331"/>
      <c r="AP700" s="2331"/>
      <c r="AQ700" s="2332">
        <f t="shared" si="487"/>
        <v>0</v>
      </c>
      <c r="AR700" s="2332"/>
      <c r="AS700" s="2332"/>
      <c r="AT700" s="2332"/>
      <c r="AV700" s="151" t="str">
        <f t="shared" si="456"/>
        <v>CABINETS &amp; COUNTERTOPS</v>
      </c>
      <c r="AW700" s="681"/>
      <c r="AX700" s="230"/>
      <c r="AY700" s="230"/>
      <c r="AZ700" s="679"/>
      <c r="BA700" s="49">
        <f t="shared" si="488"/>
        <v>0</v>
      </c>
      <c r="BB700" s="49">
        <f t="shared" si="489"/>
        <v>0</v>
      </c>
      <c r="BC700" s="49">
        <f t="shared" si="490"/>
        <v>0</v>
      </c>
      <c r="BD700" s="49">
        <f t="shared" si="491"/>
        <v>0</v>
      </c>
      <c r="BE700" s="49">
        <f t="shared" si="479"/>
        <v>0</v>
      </c>
      <c r="BF700" s="49">
        <f t="shared" si="492"/>
        <v>0</v>
      </c>
      <c r="BG700" s="49">
        <f t="shared" si="493"/>
        <v>0</v>
      </c>
      <c r="BI700" s="134">
        <f t="shared" si="494"/>
        <v>0</v>
      </c>
      <c r="BJ700" s="134">
        <f t="shared" si="495"/>
        <v>0</v>
      </c>
      <c r="BK700" s="134">
        <f t="shared" si="496"/>
        <v>0</v>
      </c>
    </row>
    <row r="701" spans="1:63" hidden="1">
      <c r="A701" s="187"/>
      <c r="B701" s="2321"/>
      <c r="C701" s="2322"/>
      <c r="D701" s="2334"/>
      <c r="E701" s="2334"/>
      <c r="F701" s="2334"/>
      <c r="G701" s="2334"/>
      <c r="H701" s="2334"/>
      <c r="I701" s="2334"/>
      <c r="J701" s="2334"/>
      <c r="K701" s="2334"/>
      <c r="L701" s="2334"/>
      <c r="M701" s="2334"/>
      <c r="N701" s="2334"/>
      <c r="O701" s="2334"/>
      <c r="P701" s="2324"/>
      <c r="Q701" s="2324"/>
      <c r="R701" s="2325"/>
      <c r="S701" s="2324"/>
      <c r="T701" s="2324"/>
      <c r="U701" s="2326"/>
      <c r="V701" s="2327"/>
      <c r="W701" s="2327"/>
      <c r="X701" s="2327"/>
      <c r="Y701" s="2327"/>
      <c r="Z701" s="2327"/>
      <c r="AA701" s="2328"/>
      <c r="AB701" s="2329"/>
      <c r="AC701" s="2326"/>
      <c r="AD701" s="2330">
        <f t="shared" si="485"/>
        <v>0</v>
      </c>
      <c r="AE701" s="2330"/>
      <c r="AF701" s="2330"/>
      <c r="AG701" s="2330">
        <f t="shared" si="466"/>
        <v>0</v>
      </c>
      <c r="AH701" s="2330"/>
      <c r="AI701" s="2330"/>
      <c r="AJ701" s="2330">
        <f t="shared" si="486"/>
        <v>0</v>
      </c>
      <c r="AK701" s="2330"/>
      <c r="AL701" s="2330"/>
      <c r="AM701" s="2331">
        <f t="shared" si="461"/>
        <v>0</v>
      </c>
      <c r="AN701" s="2331"/>
      <c r="AO701" s="2331"/>
      <c r="AP701" s="2331"/>
      <c r="AQ701" s="2332">
        <f t="shared" si="487"/>
        <v>0</v>
      </c>
      <c r="AR701" s="2332"/>
      <c r="AS701" s="2332"/>
      <c r="AT701" s="2332"/>
      <c r="AV701" s="151" t="str">
        <f t="shared" si="456"/>
        <v>CABINETS &amp; COUNTERTOPS</v>
      </c>
      <c r="AW701" s="681"/>
      <c r="AX701" s="230"/>
      <c r="AY701" s="230"/>
      <c r="AZ701" s="679"/>
      <c r="BA701" s="49">
        <f t="shared" si="488"/>
        <v>0</v>
      </c>
      <c r="BB701" s="49">
        <f t="shared" si="489"/>
        <v>0</v>
      </c>
      <c r="BC701" s="49">
        <f t="shared" si="490"/>
        <v>0</v>
      </c>
      <c r="BD701" s="49">
        <f t="shared" si="491"/>
        <v>0</v>
      </c>
      <c r="BE701" s="49">
        <f t="shared" si="479"/>
        <v>0</v>
      </c>
      <c r="BF701" s="49">
        <f t="shared" si="492"/>
        <v>0</v>
      </c>
      <c r="BG701" s="49">
        <f t="shared" si="493"/>
        <v>0</v>
      </c>
      <c r="BI701" s="134">
        <f t="shared" si="494"/>
        <v>0</v>
      </c>
      <c r="BJ701" s="134">
        <f t="shared" si="495"/>
        <v>0</v>
      </c>
      <c r="BK701" s="134">
        <f t="shared" si="496"/>
        <v>0</v>
      </c>
    </row>
    <row r="702" spans="1:63" hidden="1">
      <c r="A702" s="187"/>
      <c r="B702" s="2321"/>
      <c r="C702" s="2322"/>
      <c r="D702" s="2334"/>
      <c r="E702" s="2334"/>
      <c r="F702" s="2334"/>
      <c r="G702" s="2334"/>
      <c r="H702" s="2334"/>
      <c r="I702" s="2334"/>
      <c r="J702" s="2334"/>
      <c r="K702" s="2334"/>
      <c r="L702" s="2334"/>
      <c r="M702" s="2334"/>
      <c r="N702" s="2334"/>
      <c r="O702" s="2334"/>
      <c r="P702" s="2324"/>
      <c r="Q702" s="2324"/>
      <c r="R702" s="2325"/>
      <c r="S702" s="2324"/>
      <c r="T702" s="2324"/>
      <c r="U702" s="2326"/>
      <c r="V702" s="2327"/>
      <c r="W702" s="2327"/>
      <c r="X702" s="2327"/>
      <c r="Y702" s="2327"/>
      <c r="Z702" s="2327"/>
      <c r="AA702" s="2328"/>
      <c r="AB702" s="2329"/>
      <c r="AC702" s="2326"/>
      <c r="AD702" s="2330">
        <f t="shared" si="485"/>
        <v>0</v>
      </c>
      <c r="AE702" s="2330"/>
      <c r="AF702" s="2330"/>
      <c r="AG702" s="2330">
        <f t="shared" si="466"/>
        <v>0</v>
      </c>
      <c r="AH702" s="2330"/>
      <c r="AI702" s="2330"/>
      <c r="AJ702" s="2330">
        <f t="shared" si="486"/>
        <v>0</v>
      </c>
      <c r="AK702" s="2330"/>
      <c r="AL702" s="2330"/>
      <c r="AM702" s="2331">
        <f t="shared" si="461"/>
        <v>0</v>
      </c>
      <c r="AN702" s="2331"/>
      <c r="AO702" s="2331"/>
      <c r="AP702" s="2331"/>
      <c r="AQ702" s="2332">
        <f t="shared" si="487"/>
        <v>0</v>
      </c>
      <c r="AR702" s="2332"/>
      <c r="AS702" s="2332"/>
      <c r="AT702" s="2332"/>
      <c r="AV702" s="151" t="str">
        <f t="shared" si="456"/>
        <v>CABINETS &amp; COUNTERTOPS</v>
      </c>
      <c r="AW702" s="681"/>
      <c r="AX702" s="230"/>
      <c r="AY702" s="230"/>
      <c r="AZ702" s="679"/>
      <c r="BA702" s="49">
        <f t="shared" si="488"/>
        <v>0</v>
      </c>
      <c r="BB702" s="49">
        <f t="shared" si="489"/>
        <v>0</v>
      </c>
      <c r="BC702" s="49">
        <f t="shared" si="490"/>
        <v>0</v>
      </c>
      <c r="BD702" s="49">
        <f t="shared" si="491"/>
        <v>0</v>
      </c>
      <c r="BE702" s="49">
        <f t="shared" si="479"/>
        <v>0</v>
      </c>
      <c r="BF702" s="49">
        <f t="shared" si="492"/>
        <v>0</v>
      </c>
      <c r="BG702" s="49">
        <f t="shared" si="493"/>
        <v>0</v>
      </c>
      <c r="BI702" s="134">
        <f t="shared" si="494"/>
        <v>0</v>
      </c>
      <c r="BJ702" s="134">
        <f t="shared" si="495"/>
        <v>0</v>
      </c>
      <c r="BK702" s="134">
        <f t="shared" si="496"/>
        <v>0</v>
      </c>
    </row>
    <row r="703" spans="1:63" hidden="1">
      <c r="A703" s="187"/>
      <c r="B703" s="2321"/>
      <c r="C703" s="2322"/>
      <c r="D703" s="2334"/>
      <c r="E703" s="2334"/>
      <c r="F703" s="2334"/>
      <c r="G703" s="2334"/>
      <c r="H703" s="2334"/>
      <c r="I703" s="2334"/>
      <c r="J703" s="2334"/>
      <c r="K703" s="2334"/>
      <c r="L703" s="2334"/>
      <c r="M703" s="2334"/>
      <c r="N703" s="2334"/>
      <c r="O703" s="2334"/>
      <c r="P703" s="2324"/>
      <c r="Q703" s="2324"/>
      <c r="R703" s="2325"/>
      <c r="S703" s="2324"/>
      <c r="T703" s="2324"/>
      <c r="U703" s="2326"/>
      <c r="V703" s="2327"/>
      <c r="W703" s="2327"/>
      <c r="X703" s="2327"/>
      <c r="Y703" s="2327"/>
      <c r="Z703" s="2327"/>
      <c r="AA703" s="2328"/>
      <c r="AB703" s="2329"/>
      <c r="AC703" s="2326"/>
      <c r="AD703" s="2330">
        <f t="shared" si="485"/>
        <v>0</v>
      </c>
      <c r="AE703" s="2330"/>
      <c r="AF703" s="2330"/>
      <c r="AG703" s="2330">
        <f t="shared" si="466"/>
        <v>0</v>
      </c>
      <c r="AH703" s="2330"/>
      <c r="AI703" s="2330"/>
      <c r="AJ703" s="2330">
        <f t="shared" si="486"/>
        <v>0</v>
      </c>
      <c r="AK703" s="2330"/>
      <c r="AL703" s="2330"/>
      <c r="AM703" s="2331">
        <f t="shared" si="461"/>
        <v>0</v>
      </c>
      <c r="AN703" s="2331"/>
      <c r="AO703" s="2331"/>
      <c r="AP703" s="2331"/>
      <c r="AQ703" s="2332">
        <f t="shared" si="487"/>
        <v>0</v>
      </c>
      <c r="AR703" s="2332"/>
      <c r="AS703" s="2332"/>
      <c r="AT703" s="2332"/>
      <c r="AV703" s="151" t="str">
        <f t="shared" si="456"/>
        <v>CABINETS &amp; COUNTERTOPS</v>
      </c>
      <c r="AW703" s="681"/>
      <c r="AX703" s="230"/>
      <c r="AY703" s="230"/>
      <c r="AZ703" s="679"/>
      <c r="BA703" s="49">
        <f t="shared" si="488"/>
        <v>0</v>
      </c>
      <c r="BB703" s="49">
        <f t="shared" si="489"/>
        <v>0</v>
      </c>
      <c r="BC703" s="49">
        <f t="shared" si="490"/>
        <v>0</v>
      </c>
      <c r="BD703" s="49">
        <f t="shared" si="491"/>
        <v>0</v>
      </c>
      <c r="BE703" s="49">
        <f t="shared" si="479"/>
        <v>0</v>
      </c>
      <c r="BF703" s="49">
        <f t="shared" si="492"/>
        <v>0</v>
      </c>
      <c r="BG703" s="49">
        <f t="shared" si="493"/>
        <v>0</v>
      </c>
      <c r="BI703" s="134">
        <f t="shared" si="494"/>
        <v>0</v>
      </c>
      <c r="BJ703" s="134">
        <f t="shared" si="495"/>
        <v>0</v>
      </c>
      <c r="BK703" s="134">
        <f t="shared" si="496"/>
        <v>0</v>
      </c>
    </row>
    <row r="704" spans="1:63" hidden="1">
      <c r="A704" s="187"/>
      <c r="B704" s="2333"/>
      <c r="C704" s="2333"/>
      <c r="D704" s="2334"/>
      <c r="E704" s="2334"/>
      <c r="F704" s="2334"/>
      <c r="G704" s="2334"/>
      <c r="H704" s="2334"/>
      <c r="I704" s="2334"/>
      <c r="J704" s="2334"/>
      <c r="K704" s="2334"/>
      <c r="L704" s="2334"/>
      <c r="M704" s="2334"/>
      <c r="N704" s="2334"/>
      <c r="O704" s="2334"/>
      <c r="P704" s="2324"/>
      <c r="Q704" s="2324"/>
      <c r="R704" s="2325"/>
      <c r="S704" s="2324"/>
      <c r="T704" s="2324"/>
      <c r="U704" s="2326"/>
      <c r="V704" s="2327"/>
      <c r="W704" s="2327"/>
      <c r="X704" s="2327"/>
      <c r="Y704" s="2327"/>
      <c r="Z704" s="2327"/>
      <c r="AA704" s="2328"/>
      <c r="AB704" s="2329"/>
      <c r="AC704" s="2326"/>
      <c r="AD704" s="2330">
        <f t="shared" si="485"/>
        <v>0</v>
      </c>
      <c r="AE704" s="2330"/>
      <c r="AF704" s="2330"/>
      <c r="AG704" s="2330">
        <f t="shared" si="466"/>
        <v>0</v>
      </c>
      <c r="AH704" s="2330"/>
      <c r="AI704" s="2330"/>
      <c r="AJ704" s="2330">
        <f t="shared" si="486"/>
        <v>0</v>
      </c>
      <c r="AK704" s="2330"/>
      <c r="AL704" s="2330"/>
      <c r="AM704" s="2331">
        <f t="shared" si="461"/>
        <v>0</v>
      </c>
      <c r="AN704" s="2331"/>
      <c r="AO704" s="2331"/>
      <c r="AP704" s="2331"/>
      <c r="AQ704" s="2332">
        <f t="shared" si="487"/>
        <v>0</v>
      </c>
      <c r="AR704" s="2332"/>
      <c r="AS704" s="2332"/>
      <c r="AT704" s="2332"/>
      <c r="AV704" s="151" t="str">
        <f t="shared" si="456"/>
        <v>CABINETS &amp; COUNTERTOPS</v>
      </c>
      <c r="AW704" s="681"/>
      <c r="AX704" s="230"/>
      <c r="AY704" s="230"/>
      <c r="AZ704" s="679"/>
      <c r="BA704" s="49">
        <f t="shared" si="488"/>
        <v>0</v>
      </c>
      <c r="BB704" s="49">
        <f t="shared" si="489"/>
        <v>0</v>
      </c>
      <c r="BC704" s="49">
        <f t="shared" si="490"/>
        <v>0</v>
      </c>
      <c r="BD704" s="49">
        <f t="shared" si="491"/>
        <v>0</v>
      </c>
      <c r="BE704" s="49">
        <f t="shared" si="479"/>
        <v>0</v>
      </c>
      <c r="BF704" s="49">
        <f t="shared" si="492"/>
        <v>0</v>
      </c>
      <c r="BG704" s="49">
        <f t="shared" si="493"/>
        <v>0</v>
      </c>
      <c r="BI704" s="134">
        <f t="shared" si="494"/>
        <v>0</v>
      </c>
      <c r="BJ704" s="134">
        <f t="shared" si="495"/>
        <v>0</v>
      </c>
      <c r="BK704" s="134">
        <f t="shared" si="496"/>
        <v>0</v>
      </c>
    </row>
    <row r="705" spans="1:63" hidden="1">
      <c r="A705" s="187"/>
      <c r="B705" s="2333"/>
      <c r="C705" s="2333"/>
      <c r="D705" s="2334"/>
      <c r="E705" s="2334"/>
      <c r="F705" s="2334"/>
      <c r="G705" s="2334"/>
      <c r="H705" s="2334"/>
      <c r="I705" s="2334"/>
      <c r="J705" s="2334"/>
      <c r="K705" s="2334"/>
      <c r="L705" s="2334"/>
      <c r="M705" s="2334"/>
      <c r="N705" s="2334"/>
      <c r="O705" s="2334"/>
      <c r="P705" s="2324"/>
      <c r="Q705" s="2324"/>
      <c r="R705" s="2325"/>
      <c r="S705" s="2324"/>
      <c r="T705" s="2324"/>
      <c r="U705" s="2326"/>
      <c r="V705" s="2327"/>
      <c r="W705" s="2327"/>
      <c r="X705" s="2327"/>
      <c r="Y705" s="2327"/>
      <c r="Z705" s="2327"/>
      <c r="AA705" s="2328"/>
      <c r="AB705" s="2329"/>
      <c r="AC705" s="2326"/>
      <c r="AD705" s="2330">
        <f t="shared" si="485"/>
        <v>0</v>
      </c>
      <c r="AE705" s="2330"/>
      <c r="AF705" s="2330"/>
      <c r="AG705" s="2330">
        <f t="shared" si="466"/>
        <v>0</v>
      </c>
      <c r="AH705" s="2330"/>
      <c r="AI705" s="2330"/>
      <c r="AJ705" s="2330">
        <f t="shared" si="486"/>
        <v>0</v>
      </c>
      <c r="AK705" s="2330"/>
      <c r="AL705" s="2330"/>
      <c r="AM705" s="2331">
        <f t="shared" si="461"/>
        <v>0</v>
      </c>
      <c r="AN705" s="2331"/>
      <c r="AO705" s="2331"/>
      <c r="AP705" s="2331"/>
      <c r="AQ705" s="2332">
        <f t="shared" si="487"/>
        <v>0</v>
      </c>
      <c r="AR705" s="2332"/>
      <c r="AS705" s="2332"/>
      <c r="AT705" s="2332"/>
      <c r="AV705" s="151" t="str">
        <f t="shared" si="456"/>
        <v>CABINETS &amp; COUNTERTOPS</v>
      </c>
      <c r="AW705" s="681"/>
      <c r="AX705" s="230"/>
      <c r="AY705" s="230"/>
      <c r="AZ705" s="679"/>
      <c r="BA705" s="49">
        <f t="shared" si="488"/>
        <v>0</v>
      </c>
      <c r="BB705" s="49">
        <f t="shared" si="489"/>
        <v>0</v>
      </c>
      <c r="BC705" s="49">
        <f t="shared" si="490"/>
        <v>0</v>
      </c>
      <c r="BD705" s="49">
        <f t="shared" si="491"/>
        <v>0</v>
      </c>
      <c r="BE705" s="49">
        <f t="shared" si="479"/>
        <v>0</v>
      </c>
      <c r="BF705" s="49">
        <f t="shared" si="492"/>
        <v>0</v>
      </c>
      <c r="BG705" s="49">
        <f t="shared" si="493"/>
        <v>0</v>
      </c>
      <c r="BI705" s="134">
        <f t="shared" si="494"/>
        <v>0</v>
      </c>
      <c r="BJ705" s="134">
        <f t="shared" si="495"/>
        <v>0</v>
      </c>
      <c r="BK705" s="134">
        <f t="shared" si="496"/>
        <v>0</v>
      </c>
    </row>
    <row r="706" spans="1:63" hidden="1">
      <c r="A706" s="187"/>
      <c r="B706" s="2321"/>
      <c r="C706" s="2322"/>
      <c r="D706" s="2334"/>
      <c r="E706" s="2334"/>
      <c r="F706" s="2334"/>
      <c r="G706" s="2334"/>
      <c r="H706" s="2334"/>
      <c r="I706" s="2334"/>
      <c r="J706" s="2334"/>
      <c r="K706" s="2334"/>
      <c r="L706" s="2334"/>
      <c r="M706" s="2334"/>
      <c r="N706" s="2334"/>
      <c r="O706" s="2334"/>
      <c r="P706" s="2324"/>
      <c r="Q706" s="2324"/>
      <c r="R706" s="2325"/>
      <c r="S706" s="2324"/>
      <c r="T706" s="2324"/>
      <c r="U706" s="2326"/>
      <c r="V706" s="2327"/>
      <c r="W706" s="2327"/>
      <c r="X706" s="2327"/>
      <c r="Y706" s="2327"/>
      <c r="Z706" s="2327"/>
      <c r="AA706" s="2328"/>
      <c r="AB706" s="2329"/>
      <c r="AC706" s="2326"/>
      <c r="AD706" s="2330">
        <f t="shared" si="485"/>
        <v>0</v>
      </c>
      <c r="AE706" s="2330"/>
      <c r="AF706" s="2330"/>
      <c r="AG706" s="2330">
        <f t="shared" si="466"/>
        <v>0</v>
      </c>
      <c r="AH706" s="2330"/>
      <c r="AI706" s="2330"/>
      <c r="AJ706" s="2330">
        <f t="shared" si="486"/>
        <v>0</v>
      </c>
      <c r="AK706" s="2330"/>
      <c r="AL706" s="2330"/>
      <c r="AM706" s="2331">
        <f t="shared" si="461"/>
        <v>0</v>
      </c>
      <c r="AN706" s="2331"/>
      <c r="AO706" s="2331"/>
      <c r="AP706" s="2331"/>
      <c r="AQ706" s="2332">
        <f t="shared" si="487"/>
        <v>0</v>
      </c>
      <c r="AR706" s="2332"/>
      <c r="AS706" s="2332"/>
      <c r="AT706" s="2332"/>
      <c r="AV706" s="151" t="str">
        <f t="shared" si="456"/>
        <v>CABINETS &amp; COUNTERTOPS</v>
      </c>
      <c r="AW706" s="681"/>
      <c r="AX706" s="230"/>
      <c r="AY706" s="230"/>
      <c r="AZ706" s="679"/>
      <c r="BA706" s="49">
        <f t="shared" si="488"/>
        <v>0</v>
      </c>
      <c r="BB706" s="49">
        <f t="shared" si="489"/>
        <v>0</v>
      </c>
      <c r="BC706" s="49">
        <f t="shared" si="490"/>
        <v>0</v>
      </c>
      <c r="BD706" s="49">
        <f t="shared" si="491"/>
        <v>0</v>
      </c>
      <c r="BE706" s="49">
        <f t="shared" si="479"/>
        <v>0</v>
      </c>
      <c r="BF706" s="49">
        <f t="shared" si="492"/>
        <v>0</v>
      </c>
      <c r="BG706" s="49">
        <f t="shared" si="493"/>
        <v>0</v>
      </c>
      <c r="BI706" s="134">
        <f t="shared" si="494"/>
        <v>0</v>
      </c>
      <c r="BJ706" s="134">
        <f t="shared" si="495"/>
        <v>0</v>
      </c>
      <c r="BK706" s="134">
        <f t="shared" si="496"/>
        <v>0</v>
      </c>
    </row>
    <row r="707" spans="1:63" hidden="1">
      <c r="A707" s="187"/>
      <c r="B707" s="2321"/>
      <c r="C707" s="2322"/>
      <c r="D707" s="2334"/>
      <c r="E707" s="2334"/>
      <c r="F707" s="2334"/>
      <c r="G707" s="2334"/>
      <c r="H707" s="2334"/>
      <c r="I707" s="2334"/>
      <c r="J707" s="2334"/>
      <c r="K707" s="2334"/>
      <c r="L707" s="2334"/>
      <c r="M707" s="2334"/>
      <c r="N707" s="2334"/>
      <c r="O707" s="2334"/>
      <c r="P707" s="2324"/>
      <c r="Q707" s="2324"/>
      <c r="R707" s="2325"/>
      <c r="S707" s="2324"/>
      <c r="T707" s="2324"/>
      <c r="U707" s="2326"/>
      <c r="V707" s="2327"/>
      <c r="W707" s="2327"/>
      <c r="X707" s="2327"/>
      <c r="Y707" s="2327"/>
      <c r="Z707" s="2327"/>
      <c r="AA707" s="2328"/>
      <c r="AB707" s="2329"/>
      <c r="AC707" s="2326"/>
      <c r="AD707" s="2330">
        <f t="shared" si="485"/>
        <v>0</v>
      </c>
      <c r="AE707" s="2330"/>
      <c r="AF707" s="2330"/>
      <c r="AG707" s="2330">
        <f t="shared" si="466"/>
        <v>0</v>
      </c>
      <c r="AH707" s="2330"/>
      <c r="AI707" s="2330"/>
      <c r="AJ707" s="2330">
        <f t="shared" si="486"/>
        <v>0</v>
      </c>
      <c r="AK707" s="2330"/>
      <c r="AL707" s="2330"/>
      <c r="AM707" s="2331">
        <f t="shared" si="461"/>
        <v>0</v>
      </c>
      <c r="AN707" s="2331"/>
      <c r="AO707" s="2331"/>
      <c r="AP707" s="2331"/>
      <c r="AQ707" s="2332">
        <f t="shared" si="487"/>
        <v>0</v>
      </c>
      <c r="AR707" s="2332"/>
      <c r="AS707" s="2332"/>
      <c r="AT707" s="2332"/>
      <c r="AV707" s="151" t="str">
        <f t="shared" si="456"/>
        <v>CABINETS &amp; COUNTERTOPS</v>
      </c>
      <c r="AW707" s="681"/>
      <c r="AX707" s="230"/>
      <c r="AY707" s="230"/>
      <c r="AZ707" s="679"/>
      <c r="BA707" s="49">
        <f t="shared" si="488"/>
        <v>0</v>
      </c>
      <c r="BB707" s="49">
        <f t="shared" si="489"/>
        <v>0</v>
      </c>
      <c r="BC707" s="49">
        <f t="shared" si="490"/>
        <v>0</v>
      </c>
      <c r="BD707" s="49">
        <f t="shared" si="491"/>
        <v>0</v>
      </c>
      <c r="BE707" s="49">
        <f t="shared" si="479"/>
        <v>0</v>
      </c>
      <c r="BF707" s="49">
        <f t="shared" si="492"/>
        <v>0</v>
      </c>
      <c r="BG707" s="49">
        <f t="shared" si="493"/>
        <v>0</v>
      </c>
      <c r="BI707" s="134">
        <f t="shared" si="494"/>
        <v>0</v>
      </c>
      <c r="BJ707" s="134">
        <f t="shared" si="495"/>
        <v>0</v>
      </c>
      <c r="BK707" s="134">
        <f t="shared" si="496"/>
        <v>0</v>
      </c>
    </row>
    <row r="708" spans="1:63" hidden="1">
      <c r="A708" s="187"/>
      <c r="B708" s="2321"/>
      <c r="C708" s="2322"/>
      <c r="D708" s="2334"/>
      <c r="E708" s="2334"/>
      <c r="F708" s="2334"/>
      <c r="G708" s="2334"/>
      <c r="H708" s="2334"/>
      <c r="I708" s="2334"/>
      <c r="J708" s="2334"/>
      <c r="K708" s="2334"/>
      <c r="L708" s="2334"/>
      <c r="M708" s="2334"/>
      <c r="N708" s="2334"/>
      <c r="O708" s="2334"/>
      <c r="P708" s="2324"/>
      <c r="Q708" s="2324"/>
      <c r="R708" s="2325"/>
      <c r="S708" s="2324"/>
      <c r="T708" s="2324"/>
      <c r="U708" s="2326"/>
      <c r="V708" s="2327"/>
      <c r="W708" s="2327"/>
      <c r="X708" s="2327"/>
      <c r="Y708" s="2327"/>
      <c r="Z708" s="2327"/>
      <c r="AA708" s="2328"/>
      <c r="AB708" s="2329"/>
      <c r="AC708" s="2326"/>
      <c r="AD708" s="2330">
        <f t="shared" si="485"/>
        <v>0</v>
      </c>
      <c r="AE708" s="2330"/>
      <c r="AF708" s="2330"/>
      <c r="AG708" s="2330">
        <f t="shared" si="466"/>
        <v>0</v>
      </c>
      <c r="AH708" s="2330"/>
      <c r="AI708" s="2330"/>
      <c r="AJ708" s="2330">
        <f t="shared" si="486"/>
        <v>0</v>
      </c>
      <c r="AK708" s="2330"/>
      <c r="AL708" s="2330"/>
      <c r="AM708" s="2331">
        <f t="shared" si="461"/>
        <v>0</v>
      </c>
      <c r="AN708" s="2331"/>
      <c r="AO708" s="2331"/>
      <c r="AP708" s="2331"/>
      <c r="AQ708" s="2332">
        <f t="shared" si="487"/>
        <v>0</v>
      </c>
      <c r="AR708" s="2332"/>
      <c r="AS708" s="2332"/>
      <c r="AT708" s="2332"/>
      <c r="AV708" s="151" t="str">
        <f t="shared" si="456"/>
        <v>CABINETS &amp; COUNTERTOPS</v>
      </c>
      <c r="AW708" s="681"/>
      <c r="AX708" s="230"/>
      <c r="AY708" s="230"/>
      <c r="AZ708" s="679"/>
      <c r="BA708" s="49">
        <f t="shared" si="488"/>
        <v>0</v>
      </c>
      <c r="BB708" s="49">
        <f t="shared" si="489"/>
        <v>0</v>
      </c>
      <c r="BC708" s="49">
        <f t="shared" si="490"/>
        <v>0</v>
      </c>
      <c r="BD708" s="49">
        <f t="shared" si="491"/>
        <v>0</v>
      </c>
      <c r="BE708" s="49">
        <f t="shared" si="479"/>
        <v>0</v>
      </c>
      <c r="BF708" s="49">
        <f t="shared" si="492"/>
        <v>0</v>
      </c>
      <c r="BG708" s="49">
        <f t="shared" si="493"/>
        <v>0</v>
      </c>
      <c r="BI708" s="134">
        <f t="shared" si="494"/>
        <v>0</v>
      </c>
      <c r="BJ708" s="134">
        <f t="shared" si="495"/>
        <v>0</v>
      </c>
      <c r="BK708" s="134">
        <f t="shared" si="496"/>
        <v>0</v>
      </c>
    </row>
    <row r="709" spans="1:63" hidden="1">
      <c r="A709" s="187"/>
      <c r="B709" s="2321"/>
      <c r="C709" s="2322"/>
      <c r="D709" s="2334"/>
      <c r="E709" s="2334"/>
      <c r="F709" s="2334"/>
      <c r="G709" s="2334"/>
      <c r="H709" s="2334"/>
      <c r="I709" s="2334"/>
      <c r="J709" s="2334"/>
      <c r="K709" s="2334"/>
      <c r="L709" s="2334"/>
      <c r="M709" s="2334"/>
      <c r="N709" s="2334"/>
      <c r="O709" s="2334"/>
      <c r="P709" s="2324"/>
      <c r="Q709" s="2324"/>
      <c r="R709" s="2325"/>
      <c r="S709" s="2324"/>
      <c r="T709" s="2324"/>
      <c r="U709" s="2326"/>
      <c r="V709" s="2327"/>
      <c r="W709" s="2327"/>
      <c r="X709" s="2327"/>
      <c r="Y709" s="2327"/>
      <c r="Z709" s="2327"/>
      <c r="AA709" s="2328"/>
      <c r="AB709" s="2329"/>
      <c r="AC709" s="2326"/>
      <c r="AD709" s="2330">
        <f t="shared" si="485"/>
        <v>0</v>
      </c>
      <c r="AE709" s="2330"/>
      <c r="AF709" s="2330"/>
      <c r="AG709" s="2330">
        <f t="shared" si="466"/>
        <v>0</v>
      </c>
      <c r="AH709" s="2330"/>
      <c r="AI709" s="2330"/>
      <c r="AJ709" s="2330">
        <f t="shared" si="486"/>
        <v>0</v>
      </c>
      <c r="AK709" s="2330"/>
      <c r="AL709" s="2330"/>
      <c r="AM709" s="2331">
        <f t="shared" si="461"/>
        <v>0</v>
      </c>
      <c r="AN709" s="2331"/>
      <c r="AO709" s="2331"/>
      <c r="AP709" s="2331"/>
      <c r="AQ709" s="2332">
        <f t="shared" si="487"/>
        <v>0</v>
      </c>
      <c r="AR709" s="2332"/>
      <c r="AS709" s="2332"/>
      <c r="AT709" s="2332"/>
      <c r="AV709" s="151" t="str">
        <f t="shared" si="456"/>
        <v>CABINETS &amp; COUNTERTOPS</v>
      </c>
      <c r="AW709" s="681"/>
      <c r="AX709" s="230"/>
      <c r="AY709" s="230"/>
      <c r="AZ709" s="679"/>
      <c r="BA709" s="49">
        <f t="shared" si="488"/>
        <v>0</v>
      </c>
      <c r="BB709" s="49">
        <f t="shared" si="489"/>
        <v>0</v>
      </c>
      <c r="BC709" s="49">
        <f t="shared" si="490"/>
        <v>0</v>
      </c>
      <c r="BD709" s="49">
        <f t="shared" si="491"/>
        <v>0</v>
      </c>
      <c r="BE709" s="49">
        <f t="shared" si="479"/>
        <v>0</v>
      </c>
      <c r="BF709" s="49">
        <f t="shared" si="492"/>
        <v>0</v>
      </c>
      <c r="BG709" s="49">
        <f t="shared" si="493"/>
        <v>0</v>
      </c>
      <c r="BI709" s="134">
        <f t="shared" si="494"/>
        <v>0</v>
      </c>
      <c r="BJ709" s="134">
        <f t="shared" si="495"/>
        <v>0</v>
      </c>
      <c r="BK709" s="134">
        <f t="shared" si="496"/>
        <v>0</v>
      </c>
    </row>
    <row r="710" spans="1:63" hidden="1">
      <c r="A710" s="187"/>
      <c r="B710" s="2333"/>
      <c r="C710" s="2333"/>
      <c r="D710" s="2334"/>
      <c r="E710" s="2334"/>
      <c r="F710" s="2334"/>
      <c r="G710" s="2334"/>
      <c r="H710" s="2334"/>
      <c r="I710" s="2334"/>
      <c r="J710" s="2334"/>
      <c r="K710" s="2334"/>
      <c r="L710" s="2334"/>
      <c r="M710" s="2334"/>
      <c r="N710" s="2334"/>
      <c r="O710" s="2334"/>
      <c r="P710" s="2324"/>
      <c r="Q710" s="2324"/>
      <c r="R710" s="2325"/>
      <c r="S710" s="2324"/>
      <c r="T710" s="2324"/>
      <c r="U710" s="2326"/>
      <c r="V710" s="2327"/>
      <c r="W710" s="2327"/>
      <c r="X710" s="2327"/>
      <c r="Y710" s="2327"/>
      <c r="Z710" s="2327"/>
      <c r="AA710" s="2328"/>
      <c r="AB710" s="2329"/>
      <c r="AC710" s="2326"/>
      <c r="AD710" s="2330">
        <f>((P710*U710)-AM710)</f>
        <v>0</v>
      </c>
      <c r="AE710" s="2330"/>
      <c r="AF710" s="2330"/>
      <c r="AG710" s="2330">
        <f t="shared" si="466"/>
        <v>0</v>
      </c>
      <c r="AH710" s="2330"/>
      <c r="AI710" s="2330"/>
      <c r="AJ710" s="2330">
        <f>P710*AA710</f>
        <v>0</v>
      </c>
      <c r="AK710" s="2330"/>
      <c r="AL710" s="2330"/>
      <c r="AM710" s="2331">
        <f t="shared" si="461"/>
        <v>0</v>
      </c>
      <c r="AN710" s="2331"/>
      <c r="AO710" s="2331"/>
      <c r="AP710" s="2331"/>
      <c r="AQ710" s="2332">
        <f>SUM(AD710:AL710)</f>
        <v>0</v>
      </c>
      <c r="AR710" s="2332"/>
      <c r="AS710" s="2332"/>
      <c r="AT710" s="2332"/>
      <c r="AV710" s="151" t="str">
        <f t="shared" si="456"/>
        <v>CABINETS &amp; COUNTERTOPS</v>
      </c>
      <c r="AW710" s="681"/>
      <c r="AX710" s="230"/>
      <c r="AY710" s="230"/>
      <c r="AZ710" s="679"/>
      <c r="BA710" s="49">
        <f>AD710</f>
        <v>0</v>
      </c>
      <c r="BB710" s="49">
        <f>AG710</f>
        <v>0</v>
      </c>
      <c r="BC710" s="49">
        <f>AJ710</f>
        <v>0</v>
      </c>
      <c r="BD710" s="49">
        <f>IF(B710="x",1,0)</f>
        <v>0</v>
      </c>
      <c r="BE710" s="49">
        <f t="shared" si="479"/>
        <v>0</v>
      </c>
      <c r="BF710" s="49">
        <f>AQ710</f>
        <v>0</v>
      </c>
      <c r="BG710" s="49">
        <f>AM710</f>
        <v>0</v>
      </c>
      <c r="BI710" s="134">
        <f>AD710</f>
        <v>0</v>
      </c>
      <c r="BJ710" s="134">
        <f>AM710</f>
        <v>0</v>
      </c>
      <c r="BK710" s="134">
        <f>BJ710+BI710</f>
        <v>0</v>
      </c>
    </row>
    <row r="711" spans="1:63" hidden="1">
      <c r="A711" s="187"/>
      <c r="B711" s="2333"/>
      <c r="C711" s="2333"/>
      <c r="D711" s="2334"/>
      <c r="E711" s="2334"/>
      <c r="F711" s="2334"/>
      <c r="G711" s="2334"/>
      <c r="H711" s="2334"/>
      <c r="I711" s="2334"/>
      <c r="J711" s="2334"/>
      <c r="K711" s="2334"/>
      <c r="L711" s="2334"/>
      <c r="M711" s="2334"/>
      <c r="N711" s="2334"/>
      <c r="O711" s="2334"/>
      <c r="P711" s="2324"/>
      <c r="Q711" s="2324"/>
      <c r="R711" s="2325"/>
      <c r="S711" s="2324"/>
      <c r="T711" s="2324"/>
      <c r="U711" s="2326"/>
      <c r="V711" s="2327"/>
      <c r="W711" s="2327"/>
      <c r="X711" s="2327"/>
      <c r="Y711" s="2327"/>
      <c r="Z711" s="2327"/>
      <c r="AA711" s="2328"/>
      <c r="AB711" s="2329"/>
      <c r="AC711" s="2326"/>
      <c r="AD711" s="2330">
        <f>((P711*U711)-AM711)</f>
        <v>0</v>
      </c>
      <c r="AE711" s="2330"/>
      <c r="AF711" s="2330"/>
      <c r="AG711" s="2330">
        <f t="shared" si="466"/>
        <v>0</v>
      </c>
      <c r="AH711" s="2330"/>
      <c r="AI711" s="2330"/>
      <c r="AJ711" s="2330">
        <f>P711*AA711</f>
        <v>0</v>
      </c>
      <c r="AK711" s="2330"/>
      <c r="AL711" s="2330"/>
      <c r="AM711" s="2331">
        <f t="shared" si="461"/>
        <v>0</v>
      </c>
      <c r="AN711" s="2331"/>
      <c r="AO711" s="2331"/>
      <c r="AP711" s="2331"/>
      <c r="AQ711" s="2332">
        <f>SUM(AD711:AL711)</f>
        <v>0</v>
      </c>
      <c r="AR711" s="2332"/>
      <c r="AS711" s="2332"/>
      <c r="AT711" s="2332"/>
      <c r="AV711" s="151" t="str">
        <f t="shared" si="456"/>
        <v>CABINETS &amp; COUNTERTOPS</v>
      </c>
      <c r="AW711" s="681"/>
      <c r="AX711" s="230"/>
      <c r="AY711" s="230"/>
      <c r="AZ711" s="679"/>
      <c r="BA711" s="49">
        <f>AD711</f>
        <v>0</v>
      </c>
      <c r="BB711" s="49">
        <f>AG711</f>
        <v>0</v>
      </c>
      <c r="BC711" s="49">
        <f>AJ711</f>
        <v>0</v>
      </c>
      <c r="BD711" s="49">
        <f>IF(B711="x",1,0)</f>
        <v>0</v>
      </c>
      <c r="BE711" s="49">
        <f t="shared" si="479"/>
        <v>0</v>
      </c>
      <c r="BF711" s="49">
        <f>AQ711</f>
        <v>0</v>
      </c>
      <c r="BG711" s="49">
        <f>AM711</f>
        <v>0</v>
      </c>
      <c r="BI711" s="134">
        <f>AD711</f>
        <v>0</v>
      </c>
      <c r="BJ711" s="134">
        <f>AM711</f>
        <v>0</v>
      </c>
      <c r="BK711" s="134">
        <f>BJ711+BI711</f>
        <v>0</v>
      </c>
    </row>
    <row r="712" spans="1:63" hidden="1">
      <c r="A712" s="187"/>
      <c r="B712" s="2321"/>
      <c r="C712" s="2322"/>
      <c r="D712" s="2334"/>
      <c r="E712" s="2334"/>
      <c r="F712" s="2334"/>
      <c r="G712" s="2334"/>
      <c r="H712" s="2334"/>
      <c r="I712" s="2334"/>
      <c r="J712" s="2334"/>
      <c r="K712" s="2334"/>
      <c r="L712" s="2334"/>
      <c r="M712" s="2334"/>
      <c r="N712" s="2334"/>
      <c r="O712" s="2334"/>
      <c r="P712" s="2324"/>
      <c r="Q712" s="2324"/>
      <c r="R712" s="2325"/>
      <c r="S712" s="2324"/>
      <c r="T712" s="2324"/>
      <c r="U712" s="2326"/>
      <c r="V712" s="2327"/>
      <c r="W712" s="2327"/>
      <c r="X712" s="2327"/>
      <c r="Y712" s="2327"/>
      <c r="Z712" s="2327"/>
      <c r="AA712" s="2328"/>
      <c r="AB712" s="2329"/>
      <c r="AC712" s="2326"/>
      <c r="AD712" s="2330">
        <f>((P712*U712)-AM712)</f>
        <v>0</v>
      </c>
      <c r="AE712" s="2330"/>
      <c r="AF712" s="2330"/>
      <c r="AG712" s="2330">
        <f t="shared" si="466"/>
        <v>0</v>
      </c>
      <c r="AH712" s="2330"/>
      <c r="AI712" s="2330"/>
      <c r="AJ712" s="2330">
        <f>P712*AA712</f>
        <v>0</v>
      </c>
      <c r="AK712" s="2330"/>
      <c r="AL712" s="2330"/>
      <c r="AM712" s="2331">
        <f t="shared" si="461"/>
        <v>0</v>
      </c>
      <c r="AN712" s="2331"/>
      <c r="AO712" s="2331"/>
      <c r="AP712" s="2331"/>
      <c r="AQ712" s="2332">
        <f>SUM(AD712:AL712)</f>
        <v>0</v>
      </c>
      <c r="AR712" s="2332"/>
      <c r="AS712" s="2332"/>
      <c r="AT712" s="2332"/>
      <c r="AV712" s="151" t="str">
        <f t="shared" si="456"/>
        <v>CABINETS &amp; COUNTERTOPS</v>
      </c>
      <c r="AW712" s="681"/>
      <c r="AX712" s="230"/>
      <c r="AY712" s="230"/>
      <c r="AZ712" s="679"/>
      <c r="BA712" s="49">
        <f>AD712</f>
        <v>0</v>
      </c>
      <c r="BB712" s="49">
        <f>AG712</f>
        <v>0</v>
      </c>
      <c r="BC712" s="49">
        <f>AJ712</f>
        <v>0</v>
      </c>
      <c r="BD712" s="49">
        <f>IF(B712="x",1,0)</f>
        <v>0</v>
      </c>
      <c r="BE712" s="49">
        <f t="shared" si="479"/>
        <v>0</v>
      </c>
      <c r="BF712" s="49">
        <f>AQ712</f>
        <v>0</v>
      </c>
      <c r="BG712" s="49">
        <f>AM712</f>
        <v>0</v>
      </c>
      <c r="BI712" s="134">
        <f>AD712</f>
        <v>0</v>
      </c>
      <c r="BJ712" s="134">
        <f>AM712</f>
        <v>0</v>
      </c>
      <c r="BK712" s="134">
        <f>BJ712+BI712</f>
        <v>0</v>
      </c>
    </row>
    <row r="713" spans="1:63" ht="5.0999999999999996" hidden="1" customHeight="1">
      <c r="A713" s="187"/>
      <c r="B713" s="64"/>
      <c r="C713" s="64"/>
      <c r="D713" s="885"/>
      <c r="E713" s="885"/>
      <c r="F713" s="885"/>
      <c r="G713" s="885"/>
      <c r="H713" s="885"/>
      <c r="I713" s="885"/>
      <c r="J713" s="885"/>
      <c r="K713" s="885"/>
      <c r="L713" s="885"/>
      <c r="M713" s="885"/>
      <c r="N713" s="885"/>
      <c r="O713" s="885"/>
      <c r="P713" s="66"/>
      <c r="Q713" s="66"/>
      <c r="R713" s="66"/>
      <c r="S713" s="66"/>
      <c r="T713" s="66"/>
      <c r="U713" s="67"/>
      <c r="V713" s="67"/>
      <c r="W713" s="67"/>
      <c r="X713" s="67"/>
      <c r="Y713" s="67"/>
      <c r="Z713" s="67"/>
      <c r="AA713" s="67"/>
      <c r="AB713" s="67"/>
      <c r="AC713" s="67"/>
      <c r="AD713" s="68"/>
      <c r="AE713" s="68"/>
      <c r="AF713" s="68"/>
      <c r="AG713" s="68"/>
      <c r="AH713" s="68"/>
      <c r="AI713" s="68"/>
      <c r="AJ713" s="68"/>
      <c r="AK713" s="68"/>
      <c r="AL713" s="68"/>
      <c r="AM713" s="69"/>
      <c r="AN713" s="69"/>
      <c r="AO713" s="69"/>
      <c r="AP713" s="69"/>
      <c r="AQ713" s="661"/>
      <c r="AR713" s="661"/>
      <c r="AS713" s="661"/>
      <c r="AT713" s="661"/>
      <c r="AV713" s="369" t="str">
        <f t="shared" si="456"/>
        <v>CABINETS &amp; COUNTERTOPS</v>
      </c>
      <c r="AW713" s="696"/>
      <c r="AX713" s="696"/>
      <c r="AY713" s="696"/>
      <c r="AZ713" s="369"/>
      <c r="BA713" s="75">
        <f>BA672</f>
        <v>0</v>
      </c>
      <c r="BB713" s="75">
        <f>BB672</f>
        <v>0</v>
      </c>
      <c r="BC713" s="75">
        <f>BC672</f>
        <v>0</v>
      </c>
      <c r="BD713" s="75">
        <f>BD672</f>
        <v>0</v>
      </c>
      <c r="BE713" s="75">
        <f>BE672</f>
        <v>0</v>
      </c>
      <c r="BF713" s="75"/>
      <c r="BG713" s="75"/>
      <c r="BI713" s="75"/>
      <c r="BJ713" s="75"/>
      <c r="BK713" s="75"/>
    </row>
    <row r="714" spans="1:63" ht="21.6" hidden="1" customHeight="1">
      <c r="A714" s="187"/>
      <c r="B714" s="2341"/>
      <c r="C714" s="2341"/>
      <c r="D714" s="886"/>
      <c r="E714" s="886"/>
      <c r="F714" s="886"/>
      <c r="G714" s="886"/>
      <c r="H714" s="886"/>
      <c r="I714" s="886"/>
      <c r="J714" s="886"/>
      <c r="K714" s="886"/>
      <c r="L714" s="886"/>
      <c r="M714" s="886"/>
      <c r="N714" s="886"/>
      <c r="O714" s="886"/>
      <c r="P714" s="37"/>
      <c r="Q714" s="37"/>
      <c r="R714" s="37"/>
      <c r="S714" s="37"/>
      <c r="T714" s="37"/>
      <c r="U714" s="37"/>
      <c r="V714" s="37"/>
      <c r="W714" s="37"/>
      <c r="X714" s="37"/>
      <c r="Y714" s="37"/>
      <c r="Z714" s="37"/>
      <c r="AA714" s="37"/>
      <c r="AB714" s="37"/>
      <c r="AC714" s="370" t="str">
        <f>CONCATENATE(D672," ","TOTAL")</f>
        <v>CABINETS &amp; COUNTERTOPS TOTAL</v>
      </c>
      <c r="AD714" s="2342">
        <f>SUBTOTAL(9,AD673:AD713)</f>
        <v>0</v>
      </c>
      <c r="AE714" s="2342"/>
      <c r="AF714" s="2342"/>
      <c r="AG714" s="2342">
        <f>SUBTOTAL(9,AG673:AG713)</f>
        <v>0</v>
      </c>
      <c r="AH714" s="2342"/>
      <c r="AI714" s="2342"/>
      <c r="AJ714" s="2342">
        <f>SUBTOTAL(9,AJ673:AJ713)</f>
        <v>0</v>
      </c>
      <c r="AK714" s="2342"/>
      <c r="AL714" s="2342"/>
      <c r="AM714" s="2342">
        <f>SUBTOTAL(9,AM673:AM713)</f>
        <v>0</v>
      </c>
      <c r="AN714" s="2342"/>
      <c r="AO714" s="2342"/>
      <c r="AP714" s="2342"/>
      <c r="AQ714" s="2336">
        <f>SUBTOTAL(9,AQ673:AQ713)</f>
        <v>0</v>
      </c>
      <c r="AR714" s="2336"/>
      <c r="AS714" s="2336"/>
      <c r="AT714" s="2336" t="e">
        <f>SUM(AT670:AT705)</f>
        <v>#REF!</v>
      </c>
      <c r="AV714" s="151" t="str">
        <f t="shared" si="456"/>
        <v>CABINETS &amp; COUNTERTOPS</v>
      </c>
      <c r="AW714" s="682"/>
      <c r="AX714" s="695"/>
      <c r="AY714" s="695"/>
      <c r="AZ714" s="274"/>
      <c r="BA714" s="74">
        <f>BA672</f>
        <v>0</v>
      </c>
      <c r="BB714" s="74">
        <f>BB672</f>
        <v>0</v>
      </c>
      <c r="BC714" s="74">
        <f>BC672</f>
        <v>0</v>
      </c>
      <c r="BD714" s="74">
        <f>BD672</f>
        <v>0</v>
      </c>
      <c r="BE714" s="74">
        <f>BE672</f>
        <v>0</v>
      </c>
      <c r="BF714" s="74">
        <f>SUM(BF672:BF713)</f>
        <v>0</v>
      </c>
      <c r="BG714" s="49">
        <f>SUM(BG672:BG713)</f>
        <v>0</v>
      </c>
      <c r="BI714" s="74">
        <f>SUM(BI673:BI713)</f>
        <v>0</v>
      </c>
      <c r="BJ714" s="74">
        <f>SUM(BJ673:BJ713)</f>
        <v>0</v>
      </c>
      <c r="BK714" s="49">
        <f>SUM(BK673:BK713)</f>
        <v>0</v>
      </c>
    </row>
    <row r="715" spans="1:63" ht="5.0999999999999996" hidden="1" customHeight="1">
      <c r="A715" s="187"/>
      <c r="B715" s="64"/>
      <c r="C715" s="64"/>
      <c r="D715" s="885"/>
      <c r="E715" s="885"/>
      <c r="F715" s="885"/>
      <c r="G715" s="885"/>
      <c r="H715" s="885"/>
      <c r="I715" s="885"/>
      <c r="J715" s="885"/>
      <c r="K715" s="885"/>
      <c r="L715" s="885"/>
      <c r="M715" s="885"/>
      <c r="N715" s="885"/>
      <c r="O715" s="885"/>
      <c r="P715" s="66"/>
      <c r="Q715" s="66"/>
      <c r="R715" s="66"/>
      <c r="S715" s="66"/>
      <c r="T715" s="66"/>
      <c r="U715" s="67"/>
      <c r="V715" s="67"/>
      <c r="W715" s="67"/>
      <c r="X715" s="67"/>
      <c r="Y715" s="67"/>
      <c r="Z715" s="67"/>
      <c r="AA715" s="67"/>
      <c r="AB715" s="67"/>
      <c r="AC715" s="67"/>
      <c r="AD715" s="68"/>
      <c r="AE715" s="68"/>
      <c r="AF715" s="68"/>
      <c r="AG715" s="68"/>
      <c r="AH715" s="68"/>
      <c r="AI715" s="68"/>
      <c r="AJ715" s="68"/>
      <c r="AK715" s="68"/>
      <c r="AL715" s="68"/>
      <c r="AM715" s="69"/>
      <c r="AN715" s="69"/>
      <c r="AO715" s="69"/>
      <c r="AP715" s="69"/>
      <c r="AQ715" s="661"/>
      <c r="AR715" s="661"/>
      <c r="AS715" s="661"/>
      <c r="AT715" s="661"/>
      <c r="AV715" s="369" t="str">
        <f t="shared" si="456"/>
        <v>CABINETS &amp; COUNTERTOPS</v>
      </c>
      <c r="AW715" s="696"/>
      <c r="AX715" s="696"/>
      <c r="AY715" s="696"/>
      <c r="AZ715" s="369"/>
      <c r="BA715" s="75">
        <f>BA672</f>
        <v>0</v>
      </c>
      <c r="BB715" s="75">
        <f>BB672</f>
        <v>0</v>
      </c>
      <c r="BC715" s="75">
        <f>BC672</f>
        <v>0</v>
      </c>
      <c r="BD715" s="75">
        <f>BD672</f>
        <v>0</v>
      </c>
      <c r="BE715" s="75">
        <f>BE672</f>
        <v>0</v>
      </c>
      <c r="BF715" s="75"/>
      <c r="BG715" s="75"/>
      <c r="BI715" s="75"/>
      <c r="BJ715" s="75"/>
      <c r="BK715" s="75"/>
    </row>
    <row r="716" spans="1:63" ht="9.6" hidden="1" customHeight="1">
      <c r="A716" s="187"/>
      <c r="B716" s="71"/>
      <c r="C716" s="71"/>
      <c r="D716" s="887"/>
      <c r="E716" s="887"/>
      <c r="F716" s="887"/>
      <c r="G716" s="887"/>
      <c r="H716" s="887"/>
      <c r="I716" s="887"/>
      <c r="J716" s="887"/>
      <c r="K716" s="887"/>
      <c r="L716" s="887"/>
      <c r="M716" s="887"/>
      <c r="N716" s="887"/>
      <c r="O716" s="887"/>
      <c r="P716" s="72"/>
      <c r="Q716" s="72"/>
      <c r="R716" s="72"/>
      <c r="S716" s="72"/>
      <c r="T716" s="72"/>
      <c r="U716" s="72"/>
      <c r="V716" s="72"/>
      <c r="W716" s="72"/>
      <c r="X716" s="72"/>
      <c r="Y716" s="72"/>
      <c r="Z716" s="72"/>
      <c r="AA716" s="72"/>
      <c r="AB716" s="72"/>
      <c r="AC716" s="73"/>
      <c r="AD716" s="662"/>
      <c r="AE716" s="662"/>
      <c r="AF716" s="662"/>
      <c r="AG716" s="662"/>
      <c r="AH716" s="662"/>
      <c r="AI716" s="662"/>
      <c r="AJ716" s="662"/>
      <c r="AK716" s="662"/>
      <c r="AL716" s="662"/>
      <c r="AM716" s="662"/>
      <c r="AN716" s="662"/>
      <c r="AO716" s="662"/>
      <c r="AP716" s="662"/>
      <c r="AQ716" s="663"/>
      <c r="AR716" s="663"/>
      <c r="AS716" s="663"/>
      <c r="AT716" s="663"/>
      <c r="AV716" s="371" t="str">
        <f t="shared" si="456"/>
        <v>CABINETS &amp; COUNTERTOPS</v>
      </c>
      <c r="AW716" s="699"/>
      <c r="AX716" s="801"/>
      <c r="AY716" s="801"/>
      <c r="AZ716" s="371"/>
      <c r="BA716" s="125">
        <f>BA714</f>
        <v>0</v>
      </c>
      <c r="BB716" s="125">
        <f t="shared" ref="BB716:BG716" si="497">BB714</f>
        <v>0</v>
      </c>
      <c r="BC716" s="125">
        <f>BC714</f>
        <v>0</v>
      </c>
      <c r="BD716" s="125">
        <f t="shared" si="497"/>
        <v>0</v>
      </c>
      <c r="BE716" s="125">
        <f t="shared" si="497"/>
        <v>0</v>
      </c>
      <c r="BF716" s="125">
        <f t="shared" si="497"/>
        <v>0</v>
      </c>
      <c r="BG716" s="125">
        <f t="shared" si="497"/>
        <v>0</v>
      </c>
      <c r="BI716" s="125"/>
      <c r="BJ716" s="125"/>
      <c r="BK716" s="125"/>
    </row>
    <row r="717" spans="1:63" ht="23.1" customHeight="1">
      <c r="A717" s="186" t="s">
        <v>952</v>
      </c>
      <c r="B717" s="2343"/>
      <c r="C717" s="2344"/>
      <c r="D717" s="2387" t="str">
        <f>T(Y81)</f>
        <v>DOORS &amp; TRIM</v>
      </c>
      <c r="E717" s="2388"/>
      <c r="F717" s="2388"/>
      <c r="G717" s="2388"/>
      <c r="H717" s="2388"/>
      <c r="I717" s="2388"/>
      <c r="J717" s="2388"/>
      <c r="K717" s="2388"/>
      <c r="L717" s="2388"/>
      <c r="M717" s="2388"/>
      <c r="N717" s="2388"/>
      <c r="O717" s="2389"/>
      <c r="P717" s="2345"/>
      <c r="Q717" s="2345"/>
      <c r="R717" s="2345"/>
      <c r="S717" s="2346"/>
      <c r="T717" s="2347"/>
      <c r="U717" s="2348"/>
      <c r="V717" s="2348"/>
      <c r="W717" s="2348"/>
      <c r="X717" s="2348"/>
      <c r="Y717" s="2348"/>
      <c r="Z717" s="2348"/>
      <c r="AA717" s="2348"/>
      <c r="AB717" s="2348"/>
      <c r="AC717" s="2348"/>
      <c r="AD717" s="2342">
        <f>AD759</f>
        <v>0</v>
      </c>
      <c r="AE717" s="2342"/>
      <c r="AF717" s="2342"/>
      <c r="AG717" s="2342">
        <f>AG759</f>
        <v>0</v>
      </c>
      <c r="AH717" s="2342"/>
      <c r="AI717" s="2342"/>
      <c r="AJ717" s="2342">
        <f>AJ759</f>
        <v>0</v>
      </c>
      <c r="AK717" s="2342"/>
      <c r="AL717" s="2342"/>
      <c r="AM717" s="2342">
        <f>AM759</f>
        <v>0</v>
      </c>
      <c r="AN717" s="2342"/>
      <c r="AO717" s="2342"/>
      <c r="AP717" s="2342"/>
      <c r="AQ717" s="2336">
        <f>AQ759</f>
        <v>0</v>
      </c>
      <c r="AR717" s="2336"/>
      <c r="AS717" s="2336"/>
      <c r="AT717" s="2336" t="e">
        <f>SUM(#REF!)</f>
        <v>#REF!</v>
      </c>
      <c r="AV717" s="151" t="str">
        <f t="shared" ref="AV717:AV761" si="498">$D$717</f>
        <v>DOORS &amp; TRIM</v>
      </c>
      <c r="AW717" s="700"/>
      <c r="AX717" s="700"/>
      <c r="AY717" s="700"/>
      <c r="AZ717" s="701"/>
      <c r="BA717" s="49">
        <f>SUM(BA718:BA757)</f>
        <v>0</v>
      </c>
      <c r="BB717" s="49">
        <f>SUM(BB718:BB757)</f>
        <v>0</v>
      </c>
      <c r="BC717" s="49">
        <f>SUM(BC718:BC757)</f>
        <v>0</v>
      </c>
      <c r="BD717" s="49">
        <f>SUM(BD718:BD757)</f>
        <v>0</v>
      </c>
      <c r="BE717" s="49">
        <f>SUM(BE718:BE757)</f>
        <v>0</v>
      </c>
      <c r="BF717" s="49">
        <f t="shared" ref="BF717:BF737" si="499">AQ717</f>
        <v>0</v>
      </c>
      <c r="BG717" s="49">
        <f t="shared" ref="BG717:BG737" si="500">AM717</f>
        <v>0</v>
      </c>
      <c r="BI717" s="134">
        <f>AD717</f>
        <v>0</v>
      </c>
      <c r="BJ717" s="134">
        <f>AM717</f>
        <v>0</v>
      </c>
      <c r="BK717" s="134">
        <f>BJ717+BI717</f>
        <v>0</v>
      </c>
    </row>
    <row r="718" spans="1:63" hidden="1">
      <c r="A718" s="187"/>
      <c r="B718" s="2321"/>
      <c r="C718" s="2322"/>
      <c r="D718" s="2338" t="s">
        <v>60</v>
      </c>
      <c r="E718" s="2338"/>
      <c r="F718" s="2338"/>
      <c r="G718" s="2338"/>
      <c r="H718" s="2338"/>
      <c r="I718" s="2338"/>
      <c r="J718" s="2338"/>
      <c r="K718" s="2338"/>
      <c r="L718" s="2338"/>
      <c r="M718" s="2338"/>
      <c r="N718" s="2338"/>
      <c r="O718" s="2338"/>
      <c r="P718" s="2324"/>
      <c r="Q718" s="2324"/>
      <c r="R718" s="2325"/>
      <c r="S718" s="2324" t="s">
        <v>3</v>
      </c>
      <c r="T718" s="2324" t="s">
        <v>3</v>
      </c>
      <c r="U718" s="2326"/>
      <c r="V718" s="2327"/>
      <c r="W718" s="2327"/>
      <c r="X718" s="2327"/>
      <c r="Y718" s="2327"/>
      <c r="Z718" s="2327"/>
      <c r="AA718" s="2328"/>
      <c r="AB718" s="2329"/>
      <c r="AC718" s="2326"/>
      <c r="AD718" s="2330">
        <f t="shared" ref="AD718:AD737" si="501">((P718*U718)-AM718)</f>
        <v>0</v>
      </c>
      <c r="AE718" s="2330"/>
      <c r="AF718" s="2330"/>
      <c r="AG718" s="2330">
        <f>P718*X718*(1+$Y$85)</f>
        <v>0</v>
      </c>
      <c r="AH718" s="2330"/>
      <c r="AI718" s="2330"/>
      <c r="AJ718" s="2330">
        <f t="shared" ref="AJ718:AJ737" si="502">P718*AA718</f>
        <v>0</v>
      </c>
      <c r="AK718" s="2330"/>
      <c r="AL718" s="2330"/>
      <c r="AM718" s="2331">
        <f t="shared" ref="AM718:AM757" si="503">IF($B718="x",$P718*$U718,0)</f>
        <v>0</v>
      </c>
      <c r="AN718" s="2331"/>
      <c r="AO718" s="2331"/>
      <c r="AP718" s="2331"/>
      <c r="AQ718" s="2332">
        <f t="shared" ref="AQ718:AQ737" si="504">SUM(AD718:AL718)</f>
        <v>0</v>
      </c>
      <c r="AR718" s="2332"/>
      <c r="AS718" s="2332"/>
      <c r="AT718" s="2332">
        <f t="shared" ref="AT718:AT737" si="505">SUM(AD718:AL718)</f>
        <v>0</v>
      </c>
      <c r="AV718" s="151" t="str">
        <f t="shared" si="498"/>
        <v>DOORS &amp; TRIM</v>
      </c>
      <c r="AW718" s="681"/>
      <c r="AX718" s="230"/>
      <c r="AY718" s="230"/>
      <c r="AZ718" s="679"/>
      <c r="BA718" s="49">
        <f t="shared" ref="BA718:BA737" si="506">AD718</f>
        <v>0</v>
      </c>
      <c r="BB718" s="49">
        <f>AG718</f>
        <v>0</v>
      </c>
      <c r="BC718" s="49">
        <f>AJ718</f>
        <v>0</v>
      </c>
      <c r="BD718" s="49">
        <f t="shared" ref="BD718:BD737" si="507">IF(B718="x",1,0)</f>
        <v>0</v>
      </c>
      <c r="BE718" s="49">
        <f>SUM(BA718:BC718)</f>
        <v>0</v>
      </c>
      <c r="BF718" s="49">
        <f t="shared" si="499"/>
        <v>0</v>
      </c>
      <c r="BG718" s="49">
        <f t="shared" si="500"/>
        <v>0</v>
      </c>
      <c r="BI718" s="134">
        <f>AD718</f>
        <v>0</v>
      </c>
      <c r="BJ718" s="134">
        <f t="shared" ref="BJ718:BJ737" si="508">AM718</f>
        <v>0</v>
      </c>
      <c r="BK718" s="134">
        <f>BJ718+BI718</f>
        <v>0</v>
      </c>
    </row>
    <row r="719" spans="1:63" hidden="1">
      <c r="A719" s="187"/>
      <c r="B719" s="2333"/>
      <c r="C719" s="2333"/>
      <c r="D719" s="2334" t="s">
        <v>227</v>
      </c>
      <c r="E719" s="2334"/>
      <c r="F719" s="2334"/>
      <c r="G719" s="2334"/>
      <c r="H719" s="2334"/>
      <c r="I719" s="2334"/>
      <c r="J719" s="2334"/>
      <c r="K719" s="2334"/>
      <c r="L719" s="2334"/>
      <c r="M719" s="2334"/>
      <c r="N719" s="2334"/>
      <c r="O719" s="2334"/>
      <c r="P719" s="2324"/>
      <c r="Q719" s="2324"/>
      <c r="R719" s="2325"/>
      <c r="S719" s="2324" t="s">
        <v>2</v>
      </c>
      <c r="T719" s="2324" t="s">
        <v>2</v>
      </c>
      <c r="U719" s="2326">
        <v>75</v>
      </c>
      <c r="V719" s="2327"/>
      <c r="W719" s="2327"/>
      <c r="X719" s="2327">
        <v>80</v>
      </c>
      <c r="Y719" s="2327"/>
      <c r="Z719" s="2327">
        <v>75</v>
      </c>
      <c r="AA719" s="2328"/>
      <c r="AB719" s="2329"/>
      <c r="AC719" s="2326"/>
      <c r="AD719" s="2330">
        <f t="shared" si="501"/>
        <v>0</v>
      </c>
      <c r="AE719" s="2330"/>
      <c r="AF719" s="2330"/>
      <c r="AG719" s="2330">
        <f t="shared" ref="AG719:AG757" si="509">P719*X719*(1+$Y$85)</f>
        <v>0</v>
      </c>
      <c r="AH719" s="2330"/>
      <c r="AI719" s="2330"/>
      <c r="AJ719" s="2330">
        <f t="shared" si="502"/>
        <v>0</v>
      </c>
      <c r="AK719" s="2330"/>
      <c r="AL719" s="2330"/>
      <c r="AM719" s="2331">
        <f t="shared" si="503"/>
        <v>0</v>
      </c>
      <c r="AN719" s="2331"/>
      <c r="AO719" s="2331"/>
      <c r="AP719" s="2331"/>
      <c r="AQ719" s="2332">
        <f t="shared" si="504"/>
        <v>0</v>
      </c>
      <c r="AR719" s="2332"/>
      <c r="AS719" s="2332"/>
      <c r="AT719" s="2332">
        <f t="shared" si="505"/>
        <v>0</v>
      </c>
      <c r="AV719" s="151" t="str">
        <f t="shared" si="498"/>
        <v>DOORS &amp; TRIM</v>
      </c>
      <c r="AW719" s="681"/>
      <c r="AX719" s="230"/>
      <c r="AY719" s="230"/>
      <c r="AZ719" s="679"/>
      <c r="BA719" s="49">
        <f t="shared" si="506"/>
        <v>0</v>
      </c>
      <c r="BB719" s="49">
        <f t="shared" ref="BB719:BB737" si="510">AG719</f>
        <v>0</v>
      </c>
      <c r="BC719" s="49">
        <f t="shared" ref="BC719:BC737" si="511">AJ719</f>
        <v>0</v>
      </c>
      <c r="BD719" s="49">
        <f t="shared" si="507"/>
        <v>0</v>
      </c>
      <c r="BE719" s="49">
        <f t="shared" ref="BE719:BE735" si="512">SUM(BA719:BC719)</f>
        <v>0</v>
      </c>
      <c r="BF719" s="49">
        <f t="shared" si="499"/>
        <v>0</v>
      </c>
      <c r="BG719" s="49">
        <f t="shared" si="500"/>
        <v>0</v>
      </c>
      <c r="BI719" s="134">
        <f t="shared" ref="BI719:BI737" si="513">AD719</f>
        <v>0</v>
      </c>
      <c r="BJ719" s="134">
        <f t="shared" si="508"/>
        <v>0</v>
      </c>
      <c r="BK719" s="134">
        <f t="shared" ref="BK719:BK737" si="514">BJ719+BI719</f>
        <v>0</v>
      </c>
    </row>
    <row r="720" spans="1:63" hidden="1">
      <c r="A720" s="187"/>
      <c r="B720" s="2333"/>
      <c r="C720" s="2333"/>
      <c r="D720" s="2334" t="s">
        <v>228</v>
      </c>
      <c r="E720" s="2334"/>
      <c r="F720" s="2334"/>
      <c r="G720" s="2334"/>
      <c r="H720" s="2334"/>
      <c r="I720" s="2334"/>
      <c r="J720" s="2334"/>
      <c r="K720" s="2334"/>
      <c r="L720" s="2334"/>
      <c r="M720" s="2334"/>
      <c r="N720" s="2334"/>
      <c r="O720" s="2334"/>
      <c r="P720" s="2324"/>
      <c r="Q720" s="2324"/>
      <c r="R720" s="2325"/>
      <c r="S720" s="2324" t="s">
        <v>2</v>
      </c>
      <c r="T720" s="2324" t="s">
        <v>2</v>
      </c>
      <c r="U720" s="2326">
        <v>75</v>
      </c>
      <c r="V720" s="2327"/>
      <c r="W720" s="2327"/>
      <c r="X720" s="2327">
        <v>95</v>
      </c>
      <c r="Y720" s="2327"/>
      <c r="Z720" s="2327">
        <v>75</v>
      </c>
      <c r="AA720" s="2328"/>
      <c r="AB720" s="2329"/>
      <c r="AC720" s="2326"/>
      <c r="AD720" s="2330">
        <f t="shared" si="501"/>
        <v>0</v>
      </c>
      <c r="AE720" s="2330"/>
      <c r="AF720" s="2330"/>
      <c r="AG720" s="2330">
        <f t="shared" si="509"/>
        <v>0</v>
      </c>
      <c r="AH720" s="2330"/>
      <c r="AI720" s="2330"/>
      <c r="AJ720" s="2330">
        <f t="shared" si="502"/>
        <v>0</v>
      </c>
      <c r="AK720" s="2330"/>
      <c r="AL720" s="2330"/>
      <c r="AM720" s="2331">
        <f t="shared" si="503"/>
        <v>0</v>
      </c>
      <c r="AN720" s="2331"/>
      <c r="AO720" s="2331"/>
      <c r="AP720" s="2331"/>
      <c r="AQ720" s="2332">
        <f t="shared" si="504"/>
        <v>0</v>
      </c>
      <c r="AR720" s="2332"/>
      <c r="AS720" s="2332"/>
      <c r="AT720" s="2332">
        <f t="shared" si="505"/>
        <v>0</v>
      </c>
      <c r="AV720" s="151" t="str">
        <f t="shared" si="498"/>
        <v>DOORS &amp; TRIM</v>
      </c>
      <c r="AW720" s="681"/>
      <c r="AX720" s="230"/>
      <c r="AY720" s="230"/>
      <c r="AZ720" s="679"/>
      <c r="BA720" s="49">
        <f t="shared" si="506"/>
        <v>0</v>
      </c>
      <c r="BB720" s="49">
        <f t="shared" si="510"/>
        <v>0</v>
      </c>
      <c r="BC720" s="49">
        <f t="shared" si="511"/>
        <v>0</v>
      </c>
      <c r="BD720" s="49">
        <f t="shared" si="507"/>
        <v>0</v>
      </c>
      <c r="BE720" s="49">
        <f t="shared" si="512"/>
        <v>0</v>
      </c>
      <c r="BF720" s="49">
        <f t="shared" si="499"/>
        <v>0</v>
      </c>
      <c r="BG720" s="49">
        <f t="shared" si="500"/>
        <v>0</v>
      </c>
      <c r="BI720" s="134">
        <f t="shared" si="513"/>
        <v>0</v>
      </c>
      <c r="BJ720" s="134">
        <f t="shared" si="508"/>
        <v>0</v>
      </c>
      <c r="BK720" s="134">
        <f t="shared" si="514"/>
        <v>0</v>
      </c>
    </row>
    <row r="721" spans="1:63" hidden="1">
      <c r="A721" s="187"/>
      <c r="B721" s="2321"/>
      <c r="C721" s="2322"/>
      <c r="D721" s="2334" t="s">
        <v>229</v>
      </c>
      <c r="E721" s="2334"/>
      <c r="F721" s="2334"/>
      <c r="G721" s="2334"/>
      <c r="H721" s="2334"/>
      <c r="I721" s="2334"/>
      <c r="J721" s="2334"/>
      <c r="K721" s="2334"/>
      <c r="L721" s="2334"/>
      <c r="M721" s="2334"/>
      <c r="N721" s="2334"/>
      <c r="O721" s="2334"/>
      <c r="P721" s="2324"/>
      <c r="Q721" s="2324"/>
      <c r="R721" s="2325"/>
      <c r="S721" s="2324" t="s">
        <v>2</v>
      </c>
      <c r="T721" s="2324" t="s">
        <v>2</v>
      </c>
      <c r="U721" s="2326">
        <v>75</v>
      </c>
      <c r="V721" s="2327"/>
      <c r="W721" s="2327"/>
      <c r="X721" s="2327">
        <v>100</v>
      </c>
      <c r="Y721" s="2327"/>
      <c r="Z721" s="2327">
        <v>100</v>
      </c>
      <c r="AA721" s="2328"/>
      <c r="AB721" s="2329"/>
      <c r="AC721" s="2326"/>
      <c r="AD721" s="2330">
        <f t="shared" si="501"/>
        <v>0</v>
      </c>
      <c r="AE721" s="2330"/>
      <c r="AF721" s="2330"/>
      <c r="AG721" s="2330">
        <f t="shared" si="509"/>
        <v>0</v>
      </c>
      <c r="AH721" s="2330"/>
      <c r="AI721" s="2330"/>
      <c r="AJ721" s="2330">
        <f t="shared" si="502"/>
        <v>0</v>
      </c>
      <c r="AK721" s="2330"/>
      <c r="AL721" s="2330"/>
      <c r="AM721" s="2331">
        <f t="shared" si="503"/>
        <v>0</v>
      </c>
      <c r="AN721" s="2331"/>
      <c r="AO721" s="2331"/>
      <c r="AP721" s="2331"/>
      <c r="AQ721" s="2332">
        <f t="shared" si="504"/>
        <v>0</v>
      </c>
      <c r="AR721" s="2332"/>
      <c r="AS721" s="2332"/>
      <c r="AT721" s="2332">
        <f t="shared" si="505"/>
        <v>0</v>
      </c>
      <c r="AV721" s="151" t="str">
        <f t="shared" si="498"/>
        <v>DOORS &amp; TRIM</v>
      </c>
      <c r="AW721" s="681"/>
      <c r="AX721" s="230"/>
      <c r="AY721" s="230"/>
      <c r="AZ721" s="679"/>
      <c r="BA721" s="49">
        <f t="shared" si="506"/>
        <v>0</v>
      </c>
      <c r="BB721" s="49">
        <f t="shared" si="510"/>
        <v>0</v>
      </c>
      <c r="BC721" s="49">
        <f t="shared" si="511"/>
        <v>0</v>
      </c>
      <c r="BD721" s="49">
        <f t="shared" si="507"/>
        <v>0</v>
      </c>
      <c r="BE721" s="49">
        <f t="shared" si="512"/>
        <v>0</v>
      </c>
      <c r="BF721" s="49">
        <f t="shared" si="499"/>
        <v>0</v>
      </c>
      <c r="BG721" s="49">
        <f t="shared" si="500"/>
        <v>0</v>
      </c>
      <c r="BI721" s="134">
        <f t="shared" si="513"/>
        <v>0</v>
      </c>
      <c r="BJ721" s="134">
        <f t="shared" si="508"/>
        <v>0</v>
      </c>
      <c r="BK721" s="134">
        <f t="shared" si="514"/>
        <v>0</v>
      </c>
    </row>
    <row r="722" spans="1:63" hidden="1">
      <c r="A722" s="187"/>
      <c r="B722" s="2321"/>
      <c r="C722" s="2322"/>
      <c r="D722" s="2334" t="s">
        <v>21</v>
      </c>
      <c r="E722" s="2334"/>
      <c r="F722" s="2334"/>
      <c r="G722" s="2334"/>
      <c r="H722" s="2334"/>
      <c r="I722" s="2334"/>
      <c r="J722" s="2334"/>
      <c r="K722" s="2334"/>
      <c r="L722" s="2334"/>
      <c r="M722" s="2334"/>
      <c r="N722" s="2334"/>
      <c r="O722" s="2334"/>
      <c r="P722" s="2324"/>
      <c r="Q722" s="2324"/>
      <c r="R722" s="2325"/>
      <c r="S722" s="2324" t="s">
        <v>2</v>
      </c>
      <c r="T722" s="2324" t="s">
        <v>2</v>
      </c>
      <c r="U722" s="2326">
        <v>15</v>
      </c>
      <c r="V722" s="2327"/>
      <c r="W722" s="2327"/>
      <c r="X722" s="2327">
        <v>15</v>
      </c>
      <c r="Y722" s="2327"/>
      <c r="Z722" s="2327">
        <v>15</v>
      </c>
      <c r="AA722" s="2328"/>
      <c r="AB722" s="2329"/>
      <c r="AC722" s="2326"/>
      <c r="AD722" s="2330">
        <f t="shared" si="501"/>
        <v>0</v>
      </c>
      <c r="AE722" s="2330"/>
      <c r="AF722" s="2330"/>
      <c r="AG722" s="2330">
        <f t="shared" si="509"/>
        <v>0</v>
      </c>
      <c r="AH722" s="2330"/>
      <c r="AI722" s="2330"/>
      <c r="AJ722" s="2330">
        <f t="shared" si="502"/>
        <v>0</v>
      </c>
      <c r="AK722" s="2330"/>
      <c r="AL722" s="2330"/>
      <c r="AM722" s="2331">
        <f t="shared" si="503"/>
        <v>0</v>
      </c>
      <c r="AN722" s="2331"/>
      <c r="AO722" s="2331"/>
      <c r="AP722" s="2331"/>
      <c r="AQ722" s="2332">
        <f t="shared" si="504"/>
        <v>0</v>
      </c>
      <c r="AR722" s="2332"/>
      <c r="AS722" s="2332"/>
      <c r="AT722" s="2332">
        <f t="shared" si="505"/>
        <v>0</v>
      </c>
      <c r="AV722" s="151" t="str">
        <f t="shared" si="498"/>
        <v>DOORS &amp; TRIM</v>
      </c>
      <c r="AW722" s="681"/>
      <c r="AX722" s="230"/>
      <c r="AY722" s="230"/>
      <c r="AZ722" s="679"/>
      <c r="BA722" s="49">
        <f t="shared" si="506"/>
        <v>0</v>
      </c>
      <c r="BB722" s="49">
        <f t="shared" si="510"/>
        <v>0</v>
      </c>
      <c r="BC722" s="49">
        <f t="shared" si="511"/>
        <v>0</v>
      </c>
      <c r="BD722" s="49">
        <f t="shared" si="507"/>
        <v>0</v>
      </c>
      <c r="BE722" s="49">
        <f t="shared" si="512"/>
        <v>0</v>
      </c>
      <c r="BF722" s="49">
        <f t="shared" si="499"/>
        <v>0</v>
      </c>
      <c r="BG722" s="49">
        <f t="shared" si="500"/>
        <v>0</v>
      </c>
      <c r="BI722" s="134">
        <f t="shared" si="513"/>
        <v>0</v>
      </c>
      <c r="BJ722" s="134">
        <f t="shared" si="508"/>
        <v>0</v>
      </c>
      <c r="BK722" s="134">
        <f t="shared" si="514"/>
        <v>0</v>
      </c>
    </row>
    <row r="723" spans="1:63" hidden="1">
      <c r="A723" s="187"/>
      <c r="B723" s="2321"/>
      <c r="C723" s="2322"/>
      <c r="D723" s="2334" t="s">
        <v>736</v>
      </c>
      <c r="E723" s="2334"/>
      <c r="F723" s="2334"/>
      <c r="G723" s="2334"/>
      <c r="H723" s="2334"/>
      <c r="I723" s="2334"/>
      <c r="J723" s="2334"/>
      <c r="K723" s="2334"/>
      <c r="L723" s="2334"/>
      <c r="M723" s="2334"/>
      <c r="N723" s="2334"/>
      <c r="O723" s="2334"/>
      <c r="P723" s="2324"/>
      <c r="Q723" s="2324"/>
      <c r="R723" s="2325"/>
      <c r="S723" s="2324" t="s">
        <v>2</v>
      </c>
      <c r="T723" s="2324" t="s">
        <v>12</v>
      </c>
      <c r="U723" s="2326">
        <v>50</v>
      </c>
      <c r="V723" s="2327"/>
      <c r="W723" s="2327"/>
      <c r="X723" s="2327">
        <v>25</v>
      </c>
      <c r="Y723" s="2327"/>
      <c r="Z723" s="2327"/>
      <c r="AA723" s="2328"/>
      <c r="AB723" s="2329"/>
      <c r="AC723" s="2326"/>
      <c r="AD723" s="2330">
        <f t="shared" si="501"/>
        <v>0</v>
      </c>
      <c r="AE723" s="2330"/>
      <c r="AF723" s="2330"/>
      <c r="AG723" s="2330">
        <f t="shared" si="509"/>
        <v>0</v>
      </c>
      <c r="AH723" s="2330"/>
      <c r="AI723" s="2330"/>
      <c r="AJ723" s="2330">
        <f t="shared" si="502"/>
        <v>0</v>
      </c>
      <c r="AK723" s="2330"/>
      <c r="AL723" s="2330"/>
      <c r="AM723" s="2331">
        <f t="shared" si="503"/>
        <v>0</v>
      </c>
      <c r="AN723" s="2331"/>
      <c r="AO723" s="2331"/>
      <c r="AP723" s="2331"/>
      <c r="AQ723" s="2332">
        <f t="shared" si="504"/>
        <v>0</v>
      </c>
      <c r="AR723" s="2332"/>
      <c r="AS723" s="2332"/>
      <c r="AT723" s="2332">
        <f t="shared" si="505"/>
        <v>0</v>
      </c>
      <c r="AV723" s="151" t="str">
        <f t="shared" si="498"/>
        <v>DOORS &amp; TRIM</v>
      </c>
      <c r="AW723" s="681"/>
      <c r="AX723" s="230"/>
      <c r="AY723" s="230"/>
      <c r="AZ723" s="679"/>
      <c r="BA723" s="49">
        <f t="shared" si="506"/>
        <v>0</v>
      </c>
      <c r="BB723" s="49">
        <f t="shared" si="510"/>
        <v>0</v>
      </c>
      <c r="BC723" s="49">
        <f t="shared" si="511"/>
        <v>0</v>
      </c>
      <c r="BD723" s="49">
        <f t="shared" si="507"/>
        <v>0</v>
      </c>
      <c r="BE723" s="49">
        <f t="shared" si="512"/>
        <v>0</v>
      </c>
      <c r="BF723" s="49">
        <f t="shared" si="499"/>
        <v>0</v>
      </c>
      <c r="BG723" s="49">
        <f t="shared" si="500"/>
        <v>0</v>
      </c>
      <c r="BI723" s="134">
        <f t="shared" si="513"/>
        <v>0</v>
      </c>
      <c r="BJ723" s="134">
        <f t="shared" si="508"/>
        <v>0</v>
      </c>
      <c r="BK723" s="134">
        <f t="shared" si="514"/>
        <v>0</v>
      </c>
    </row>
    <row r="724" spans="1:63" hidden="1">
      <c r="A724" s="187"/>
      <c r="B724" s="2333"/>
      <c r="C724" s="2333"/>
      <c r="D724" s="2334" t="s">
        <v>737</v>
      </c>
      <c r="E724" s="2334"/>
      <c r="F724" s="2334"/>
      <c r="G724" s="2334"/>
      <c r="H724" s="2334"/>
      <c r="I724" s="2334"/>
      <c r="J724" s="2334"/>
      <c r="K724" s="2334"/>
      <c r="L724" s="2334"/>
      <c r="M724" s="2334"/>
      <c r="N724" s="2334"/>
      <c r="O724" s="2334"/>
      <c r="P724" s="2324"/>
      <c r="Q724" s="2324"/>
      <c r="R724" s="2325"/>
      <c r="S724" s="2324" t="s">
        <v>2</v>
      </c>
      <c r="T724" s="2324"/>
      <c r="U724" s="2326">
        <v>50</v>
      </c>
      <c r="V724" s="2327"/>
      <c r="W724" s="2327"/>
      <c r="X724" s="2327">
        <v>30</v>
      </c>
      <c r="Y724" s="2327"/>
      <c r="Z724" s="2327"/>
      <c r="AA724" s="2328"/>
      <c r="AB724" s="2329"/>
      <c r="AC724" s="2326"/>
      <c r="AD724" s="2330">
        <f t="shared" si="501"/>
        <v>0</v>
      </c>
      <c r="AE724" s="2330"/>
      <c r="AF724" s="2330"/>
      <c r="AG724" s="2330">
        <f t="shared" si="509"/>
        <v>0</v>
      </c>
      <c r="AH724" s="2330"/>
      <c r="AI724" s="2330"/>
      <c r="AJ724" s="2330">
        <f t="shared" si="502"/>
        <v>0</v>
      </c>
      <c r="AK724" s="2330"/>
      <c r="AL724" s="2330"/>
      <c r="AM724" s="2331">
        <f t="shared" si="503"/>
        <v>0</v>
      </c>
      <c r="AN724" s="2331"/>
      <c r="AO724" s="2331"/>
      <c r="AP724" s="2331"/>
      <c r="AQ724" s="2332">
        <f t="shared" si="504"/>
        <v>0</v>
      </c>
      <c r="AR724" s="2332"/>
      <c r="AS724" s="2332"/>
      <c r="AT724" s="2332">
        <f t="shared" si="505"/>
        <v>0</v>
      </c>
      <c r="AV724" s="151" t="str">
        <f t="shared" si="498"/>
        <v>DOORS &amp; TRIM</v>
      </c>
      <c r="AW724" s="681"/>
      <c r="AX724" s="230"/>
      <c r="AY724" s="230"/>
      <c r="AZ724" s="679"/>
      <c r="BA724" s="49">
        <f t="shared" si="506"/>
        <v>0</v>
      </c>
      <c r="BB724" s="49">
        <f t="shared" si="510"/>
        <v>0</v>
      </c>
      <c r="BC724" s="49">
        <f t="shared" si="511"/>
        <v>0</v>
      </c>
      <c r="BD724" s="49">
        <f t="shared" si="507"/>
        <v>0</v>
      </c>
      <c r="BE724" s="49">
        <f t="shared" si="512"/>
        <v>0</v>
      </c>
      <c r="BF724" s="49">
        <f t="shared" si="499"/>
        <v>0</v>
      </c>
      <c r="BG724" s="49">
        <f t="shared" si="500"/>
        <v>0</v>
      </c>
      <c r="BI724" s="134">
        <f t="shared" si="513"/>
        <v>0</v>
      </c>
      <c r="BJ724" s="134">
        <f t="shared" si="508"/>
        <v>0</v>
      </c>
      <c r="BK724" s="134">
        <f t="shared" si="514"/>
        <v>0</v>
      </c>
    </row>
    <row r="725" spans="1:63" hidden="1">
      <c r="A725" s="187"/>
      <c r="B725" s="2333"/>
      <c r="C725" s="2333"/>
      <c r="D725" s="2334" t="s">
        <v>738</v>
      </c>
      <c r="E725" s="2334"/>
      <c r="F725" s="2334"/>
      <c r="G725" s="2334"/>
      <c r="H725" s="2334"/>
      <c r="I725" s="2334"/>
      <c r="J725" s="2334"/>
      <c r="K725" s="2334"/>
      <c r="L725" s="2334"/>
      <c r="M725" s="2334"/>
      <c r="N725" s="2334"/>
      <c r="O725" s="2334"/>
      <c r="P725" s="2324"/>
      <c r="Q725" s="2324"/>
      <c r="R725" s="2325"/>
      <c r="S725" s="2324" t="s">
        <v>12</v>
      </c>
      <c r="T725" s="2324"/>
      <c r="U725" s="2326">
        <v>5</v>
      </c>
      <c r="V725" s="2327"/>
      <c r="W725" s="2327"/>
      <c r="X725" s="2327">
        <v>2.5</v>
      </c>
      <c r="Y725" s="2327"/>
      <c r="Z725" s="2327"/>
      <c r="AA725" s="2328"/>
      <c r="AB725" s="2329"/>
      <c r="AC725" s="2326"/>
      <c r="AD725" s="2330">
        <f t="shared" si="501"/>
        <v>0</v>
      </c>
      <c r="AE725" s="2330"/>
      <c r="AF725" s="2330"/>
      <c r="AG725" s="2330">
        <f t="shared" si="509"/>
        <v>0</v>
      </c>
      <c r="AH725" s="2330"/>
      <c r="AI725" s="2330"/>
      <c r="AJ725" s="2330">
        <f t="shared" si="502"/>
        <v>0</v>
      </c>
      <c r="AK725" s="2330"/>
      <c r="AL725" s="2330"/>
      <c r="AM725" s="2331">
        <f t="shared" si="503"/>
        <v>0</v>
      </c>
      <c r="AN725" s="2331"/>
      <c r="AO725" s="2331"/>
      <c r="AP725" s="2331"/>
      <c r="AQ725" s="2332">
        <f t="shared" si="504"/>
        <v>0</v>
      </c>
      <c r="AR725" s="2332"/>
      <c r="AS725" s="2332"/>
      <c r="AT725" s="2332">
        <f t="shared" si="505"/>
        <v>0</v>
      </c>
      <c r="AV725" s="151" t="str">
        <f t="shared" si="498"/>
        <v>DOORS &amp; TRIM</v>
      </c>
      <c r="AW725" s="681"/>
      <c r="AX725" s="230"/>
      <c r="AY725" s="230"/>
      <c r="AZ725" s="679"/>
      <c r="BA725" s="49">
        <f t="shared" si="506"/>
        <v>0</v>
      </c>
      <c r="BB725" s="49">
        <f t="shared" si="510"/>
        <v>0</v>
      </c>
      <c r="BC725" s="49">
        <f t="shared" si="511"/>
        <v>0</v>
      </c>
      <c r="BD725" s="49">
        <f t="shared" si="507"/>
        <v>0</v>
      </c>
      <c r="BE725" s="49">
        <f t="shared" si="512"/>
        <v>0</v>
      </c>
      <c r="BF725" s="49">
        <f t="shared" si="499"/>
        <v>0</v>
      </c>
      <c r="BG725" s="49">
        <f t="shared" si="500"/>
        <v>0</v>
      </c>
      <c r="BI725" s="134">
        <f t="shared" si="513"/>
        <v>0</v>
      </c>
      <c r="BJ725" s="134">
        <f t="shared" si="508"/>
        <v>0</v>
      </c>
      <c r="BK725" s="134">
        <f t="shared" si="514"/>
        <v>0</v>
      </c>
    </row>
    <row r="726" spans="1:63" hidden="1">
      <c r="A726" s="187"/>
      <c r="B726" s="2321"/>
      <c r="C726" s="2322"/>
      <c r="D726" s="2334" t="s">
        <v>840</v>
      </c>
      <c r="E726" s="2334"/>
      <c r="F726" s="2334"/>
      <c r="G726" s="2334"/>
      <c r="H726" s="2334"/>
      <c r="I726" s="2334"/>
      <c r="J726" s="2334"/>
      <c r="K726" s="2334"/>
      <c r="L726" s="2334"/>
      <c r="M726" s="2334"/>
      <c r="N726" s="2334"/>
      <c r="O726" s="2334"/>
      <c r="P726" s="2324"/>
      <c r="Q726" s="2324"/>
      <c r="R726" s="2325"/>
      <c r="S726" s="2324" t="s">
        <v>12</v>
      </c>
      <c r="T726" s="2324" t="s">
        <v>12</v>
      </c>
      <c r="U726" s="2326">
        <v>2.25</v>
      </c>
      <c r="V726" s="2327"/>
      <c r="W726" s="2327"/>
      <c r="X726" s="2327">
        <v>1.25</v>
      </c>
      <c r="Y726" s="2327"/>
      <c r="Z726" s="2327">
        <v>1</v>
      </c>
      <c r="AA726" s="2328"/>
      <c r="AB726" s="2329"/>
      <c r="AC726" s="2326"/>
      <c r="AD726" s="2330">
        <f t="shared" si="501"/>
        <v>0</v>
      </c>
      <c r="AE726" s="2330"/>
      <c r="AF726" s="2330"/>
      <c r="AG726" s="2330">
        <f t="shared" si="509"/>
        <v>0</v>
      </c>
      <c r="AH726" s="2330"/>
      <c r="AI726" s="2330"/>
      <c r="AJ726" s="2330">
        <f t="shared" si="502"/>
        <v>0</v>
      </c>
      <c r="AK726" s="2330"/>
      <c r="AL726" s="2330"/>
      <c r="AM726" s="2331">
        <f t="shared" si="503"/>
        <v>0</v>
      </c>
      <c r="AN726" s="2331"/>
      <c r="AO726" s="2331"/>
      <c r="AP726" s="2331"/>
      <c r="AQ726" s="2332">
        <f t="shared" si="504"/>
        <v>0</v>
      </c>
      <c r="AR726" s="2332"/>
      <c r="AS726" s="2332"/>
      <c r="AT726" s="2332">
        <f t="shared" si="505"/>
        <v>0</v>
      </c>
      <c r="AV726" s="151" t="str">
        <f t="shared" si="498"/>
        <v>DOORS &amp; TRIM</v>
      </c>
      <c r="AW726" s="681"/>
      <c r="AX726" s="230"/>
      <c r="AY726" s="230"/>
      <c r="AZ726" s="679"/>
      <c r="BA726" s="49">
        <f t="shared" si="506"/>
        <v>0</v>
      </c>
      <c r="BB726" s="49">
        <f t="shared" si="510"/>
        <v>0</v>
      </c>
      <c r="BC726" s="49">
        <f t="shared" si="511"/>
        <v>0</v>
      </c>
      <c r="BD726" s="49">
        <f t="shared" si="507"/>
        <v>0</v>
      </c>
      <c r="BE726" s="49">
        <f t="shared" si="512"/>
        <v>0</v>
      </c>
      <c r="BF726" s="49">
        <f t="shared" si="499"/>
        <v>0</v>
      </c>
      <c r="BG726" s="49">
        <f t="shared" si="500"/>
        <v>0</v>
      </c>
      <c r="BI726" s="134">
        <f t="shared" si="513"/>
        <v>0</v>
      </c>
      <c r="BJ726" s="134">
        <f t="shared" si="508"/>
        <v>0</v>
      </c>
      <c r="BK726" s="134">
        <f t="shared" si="514"/>
        <v>0</v>
      </c>
    </row>
    <row r="727" spans="1:63" hidden="1">
      <c r="A727" s="187"/>
      <c r="B727" s="2321"/>
      <c r="C727" s="2322"/>
      <c r="D727" s="2334" t="s">
        <v>495</v>
      </c>
      <c r="E727" s="2334"/>
      <c r="F727" s="2334"/>
      <c r="G727" s="2334"/>
      <c r="H727" s="2334"/>
      <c r="I727" s="2334"/>
      <c r="J727" s="2334"/>
      <c r="K727" s="2334"/>
      <c r="L727" s="2334"/>
      <c r="M727" s="2334"/>
      <c r="N727" s="2334"/>
      <c r="O727" s="2334"/>
      <c r="P727" s="2324"/>
      <c r="Q727" s="2324"/>
      <c r="R727" s="2325"/>
      <c r="S727" s="2324" t="s">
        <v>12</v>
      </c>
      <c r="T727" s="2324" t="s">
        <v>12</v>
      </c>
      <c r="U727" s="2326">
        <v>3.5</v>
      </c>
      <c r="V727" s="2327"/>
      <c r="W727" s="2327"/>
      <c r="X727" s="2327">
        <v>2</v>
      </c>
      <c r="Y727" s="2327"/>
      <c r="Z727" s="2327">
        <v>1.75</v>
      </c>
      <c r="AA727" s="2328"/>
      <c r="AB727" s="2329"/>
      <c r="AC727" s="2326"/>
      <c r="AD727" s="2330">
        <f t="shared" si="501"/>
        <v>0</v>
      </c>
      <c r="AE727" s="2330"/>
      <c r="AF727" s="2330"/>
      <c r="AG727" s="2330">
        <f t="shared" si="509"/>
        <v>0</v>
      </c>
      <c r="AH727" s="2330"/>
      <c r="AI727" s="2330"/>
      <c r="AJ727" s="2330">
        <f t="shared" si="502"/>
        <v>0</v>
      </c>
      <c r="AK727" s="2330"/>
      <c r="AL727" s="2330"/>
      <c r="AM727" s="2331">
        <f t="shared" si="503"/>
        <v>0</v>
      </c>
      <c r="AN727" s="2331"/>
      <c r="AO727" s="2331"/>
      <c r="AP727" s="2331"/>
      <c r="AQ727" s="2332">
        <f t="shared" si="504"/>
        <v>0</v>
      </c>
      <c r="AR727" s="2332"/>
      <c r="AS727" s="2332"/>
      <c r="AT727" s="2332">
        <f t="shared" si="505"/>
        <v>0</v>
      </c>
      <c r="AV727" s="151" t="str">
        <f t="shared" si="498"/>
        <v>DOORS &amp; TRIM</v>
      </c>
      <c r="AW727" s="681"/>
      <c r="AX727" s="230"/>
      <c r="AY727" s="230"/>
      <c r="AZ727" s="679"/>
      <c r="BA727" s="49">
        <f t="shared" si="506"/>
        <v>0</v>
      </c>
      <c r="BB727" s="49">
        <f t="shared" si="510"/>
        <v>0</v>
      </c>
      <c r="BC727" s="49">
        <f t="shared" si="511"/>
        <v>0</v>
      </c>
      <c r="BD727" s="49">
        <f t="shared" si="507"/>
        <v>0</v>
      </c>
      <c r="BE727" s="49">
        <f t="shared" si="512"/>
        <v>0</v>
      </c>
      <c r="BF727" s="49">
        <f t="shared" si="499"/>
        <v>0</v>
      </c>
      <c r="BG727" s="49">
        <f t="shared" si="500"/>
        <v>0</v>
      </c>
      <c r="BI727" s="134">
        <f t="shared" si="513"/>
        <v>0</v>
      </c>
      <c r="BJ727" s="134">
        <f t="shared" si="508"/>
        <v>0</v>
      </c>
      <c r="BK727" s="134">
        <f t="shared" si="514"/>
        <v>0</v>
      </c>
    </row>
    <row r="728" spans="1:63" hidden="1">
      <c r="A728" s="187"/>
      <c r="B728" s="2321"/>
      <c r="C728" s="2322"/>
      <c r="D728" s="2334" t="s">
        <v>408</v>
      </c>
      <c r="E728" s="2334"/>
      <c r="F728" s="2334"/>
      <c r="G728" s="2334"/>
      <c r="H728" s="2334"/>
      <c r="I728" s="2334"/>
      <c r="J728" s="2334"/>
      <c r="K728" s="2334"/>
      <c r="L728" s="2334"/>
      <c r="M728" s="2334"/>
      <c r="N728" s="2334"/>
      <c r="O728" s="2334"/>
      <c r="P728" s="2324"/>
      <c r="Q728" s="2324"/>
      <c r="R728" s="2325"/>
      <c r="S728" s="2324" t="s">
        <v>12</v>
      </c>
      <c r="T728" s="2324" t="s">
        <v>12</v>
      </c>
      <c r="U728" s="2326">
        <v>10</v>
      </c>
      <c r="V728" s="2327"/>
      <c r="W728" s="2327"/>
      <c r="X728" s="2327">
        <v>7.5</v>
      </c>
      <c r="Y728" s="2327"/>
      <c r="Z728" s="2327">
        <v>7.5</v>
      </c>
      <c r="AA728" s="2328"/>
      <c r="AB728" s="2329"/>
      <c r="AC728" s="2326"/>
      <c r="AD728" s="2330">
        <f t="shared" si="501"/>
        <v>0</v>
      </c>
      <c r="AE728" s="2330"/>
      <c r="AF728" s="2330"/>
      <c r="AG728" s="2330">
        <f t="shared" si="509"/>
        <v>0</v>
      </c>
      <c r="AH728" s="2330"/>
      <c r="AI728" s="2330"/>
      <c r="AJ728" s="2330">
        <f t="shared" si="502"/>
        <v>0</v>
      </c>
      <c r="AK728" s="2330"/>
      <c r="AL728" s="2330"/>
      <c r="AM728" s="2331">
        <f t="shared" si="503"/>
        <v>0</v>
      </c>
      <c r="AN728" s="2331"/>
      <c r="AO728" s="2331"/>
      <c r="AP728" s="2331"/>
      <c r="AQ728" s="2332">
        <f t="shared" si="504"/>
        <v>0</v>
      </c>
      <c r="AR728" s="2332"/>
      <c r="AS728" s="2332"/>
      <c r="AT728" s="2332">
        <f t="shared" si="505"/>
        <v>0</v>
      </c>
      <c r="AV728" s="151" t="str">
        <f t="shared" si="498"/>
        <v>DOORS &amp; TRIM</v>
      </c>
      <c r="AW728" s="681"/>
      <c r="AX728" s="230"/>
      <c r="AY728" s="230"/>
      <c r="AZ728" s="679"/>
      <c r="BA728" s="49">
        <f t="shared" si="506"/>
        <v>0</v>
      </c>
      <c r="BB728" s="49">
        <f t="shared" si="510"/>
        <v>0</v>
      </c>
      <c r="BC728" s="49">
        <f t="shared" si="511"/>
        <v>0</v>
      </c>
      <c r="BD728" s="49">
        <f t="shared" si="507"/>
        <v>0</v>
      </c>
      <c r="BE728" s="49">
        <f t="shared" si="512"/>
        <v>0</v>
      </c>
      <c r="BF728" s="49">
        <f t="shared" si="499"/>
        <v>0</v>
      </c>
      <c r="BG728" s="49">
        <f t="shared" si="500"/>
        <v>0</v>
      </c>
      <c r="BI728" s="134">
        <f t="shared" si="513"/>
        <v>0</v>
      </c>
      <c r="BJ728" s="134">
        <f t="shared" si="508"/>
        <v>0</v>
      </c>
      <c r="BK728" s="134">
        <f t="shared" si="514"/>
        <v>0</v>
      </c>
    </row>
    <row r="729" spans="1:63" hidden="1">
      <c r="A729" s="187"/>
      <c r="B729" s="2333"/>
      <c r="C729" s="2333"/>
      <c r="D729" s="2334" t="s">
        <v>409</v>
      </c>
      <c r="E729" s="2334"/>
      <c r="F729" s="2334"/>
      <c r="G729" s="2334"/>
      <c r="H729" s="2334"/>
      <c r="I729" s="2334"/>
      <c r="J729" s="2334"/>
      <c r="K729" s="2334"/>
      <c r="L729" s="2334"/>
      <c r="M729" s="2334"/>
      <c r="N729" s="2334"/>
      <c r="O729" s="2334"/>
      <c r="P729" s="2324"/>
      <c r="Q729" s="2324"/>
      <c r="R729" s="2325"/>
      <c r="S729" s="2324" t="s">
        <v>12</v>
      </c>
      <c r="T729" s="2324" t="s">
        <v>12</v>
      </c>
      <c r="U729" s="2326">
        <v>17.5</v>
      </c>
      <c r="V729" s="2327"/>
      <c r="W729" s="2327"/>
      <c r="X729" s="2327">
        <v>12.5</v>
      </c>
      <c r="Y729" s="2327"/>
      <c r="Z729" s="2327">
        <v>12.5</v>
      </c>
      <c r="AA729" s="2328"/>
      <c r="AB729" s="2329"/>
      <c r="AC729" s="2326"/>
      <c r="AD729" s="2330">
        <f t="shared" si="501"/>
        <v>0</v>
      </c>
      <c r="AE729" s="2330"/>
      <c r="AF729" s="2330"/>
      <c r="AG729" s="2330">
        <f t="shared" si="509"/>
        <v>0</v>
      </c>
      <c r="AH729" s="2330"/>
      <c r="AI729" s="2330"/>
      <c r="AJ729" s="2330">
        <f t="shared" si="502"/>
        <v>0</v>
      </c>
      <c r="AK729" s="2330"/>
      <c r="AL729" s="2330"/>
      <c r="AM729" s="2331">
        <f t="shared" si="503"/>
        <v>0</v>
      </c>
      <c r="AN729" s="2331"/>
      <c r="AO729" s="2331"/>
      <c r="AP729" s="2331"/>
      <c r="AQ729" s="2332">
        <f t="shared" si="504"/>
        <v>0</v>
      </c>
      <c r="AR729" s="2332"/>
      <c r="AS729" s="2332"/>
      <c r="AT729" s="2332">
        <f t="shared" si="505"/>
        <v>0</v>
      </c>
      <c r="AV729" s="151" t="str">
        <f t="shared" si="498"/>
        <v>DOORS &amp; TRIM</v>
      </c>
      <c r="AW729" s="681"/>
      <c r="AX729" s="230"/>
      <c r="AY729" s="230"/>
      <c r="AZ729" s="679"/>
      <c r="BA729" s="49">
        <f t="shared" si="506"/>
        <v>0</v>
      </c>
      <c r="BB729" s="49">
        <f t="shared" si="510"/>
        <v>0</v>
      </c>
      <c r="BC729" s="49">
        <f t="shared" si="511"/>
        <v>0</v>
      </c>
      <c r="BD729" s="49">
        <f t="shared" si="507"/>
        <v>0</v>
      </c>
      <c r="BE729" s="49">
        <f t="shared" si="512"/>
        <v>0</v>
      </c>
      <c r="BF729" s="49">
        <f t="shared" si="499"/>
        <v>0</v>
      </c>
      <c r="BG729" s="49">
        <f t="shared" si="500"/>
        <v>0</v>
      </c>
      <c r="BI729" s="134">
        <f t="shared" si="513"/>
        <v>0</v>
      </c>
      <c r="BJ729" s="134">
        <f t="shared" si="508"/>
        <v>0</v>
      </c>
      <c r="BK729" s="134">
        <f t="shared" si="514"/>
        <v>0</v>
      </c>
    </row>
    <row r="730" spans="1:63" hidden="1">
      <c r="A730" s="187"/>
      <c r="B730" s="2333"/>
      <c r="C730" s="2333"/>
      <c r="D730" s="2334" t="s">
        <v>22</v>
      </c>
      <c r="E730" s="2334"/>
      <c r="F730" s="2334"/>
      <c r="G730" s="2334"/>
      <c r="H730" s="2334"/>
      <c r="I730" s="2334"/>
      <c r="J730" s="2334"/>
      <c r="K730" s="2334"/>
      <c r="L730" s="2334"/>
      <c r="M730" s="2334"/>
      <c r="N730" s="2334"/>
      <c r="O730" s="2334"/>
      <c r="P730" s="2324"/>
      <c r="Q730" s="2324"/>
      <c r="R730" s="2325"/>
      <c r="S730" s="2324" t="s">
        <v>2</v>
      </c>
      <c r="T730" s="2324" t="s">
        <v>2</v>
      </c>
      <c r="U730" s="2326">
        <v>250</v>
      </c>
      <c r="V730" s="2327"/>
      <c r="W730" s="2327"/>
      <c r="X730" s="2327">
        <v>300</v>
      </c>
      <c r="Y730" s="2327"/>
      <c r="Z730" s="2327">
        <v>300</v>
      </c>
      <c r="AA730" s="2328"/>
      <c r="AB730" s="2329"/>
      <c r="AC730" s="2326"/>
      <c r="AD730" s="2330">
        <f t="shared" si="501"/>
        <v>0</v>
      </c>
      <c r="AE730" s="2330"/>
      <c r="AF730" s="2330"/>
      <c r="AG730" s="2330">
        <f t="shared" si="509"/>
        <v>0</v>
      </c>
      <c r="AH730" s="2330"/>
      <c r="AI730" s="2330"/>
      <c r="AJ730" s="2330">
        <f t="shared" si="502"/>
        <v>0</v>
      </c>
      <c r="AK730" s="2330"/>
      <c r="AL730" s="2330"/>
      <c r="AM730" s="2331">
        <f t="shared" si="503"/>
        <v>0</v>
      </c>
      <c r="AN730" s="2331"/>
      <c r="AO730" s="2331"/>
      <c r="AP730" s="2331"/>
      <c r="AQ730" s="2332">
        <f t="shared" si="504"/>
        <v>0</v>
      </c>
      <c r="AR730" s="2332"/>
      <c r="AS730" s="2332"/>
      <c r="AT730" s="2332">
        <f t="shared" si="505"/>
        <v>0</v>
      </c>
      <c r="AV730" s="151" t="str">
        <f t="shared" si="498"/>
        <v>DOORS &amp; TRIM</v>
      </c>
      <c r="AW730" s="681"/>
      <c r="AX730" s="230"/>
      <c r="AY730" s="230"/>
      <c r="AZ730" s="679"/>
      <c r="BA730" s="49">
        <f t="shared" si="506"/>
        <v>0</v>
      </c>
      <c r="BB730" s="49">
        <f t="shared" si="510"/>
        <v>0</v>
      </c>
      <c r="BC730" s="49">
        <f t="shared" si="511"/>
        <v>0</v>
      </c>
      <c r="BD730" s="49">
        <f t="shared" si="507"/>
        <v>0</v>
      </c>
      <c r="BE730" s="49">
        <f t="shared" si="512"/>
        <v>0</v>
      </c>
      <c r="BF730" s="49">
        <f t="shared" si="499"/>
        <v>0</v>
      </c>
      <c r="BG730" s="49">
        <f t="shared" si="500"/>
        <v>0</v>
      </c>
      <c r="BI730" s="134">
        <f t="shared" si="513"/>
        <v>0</v>
      </c>
      <c r="BJ730" s="134">
        <f t="shared" si="508"/>
        <v>0</v>
      </c>
      <c r="BK730" s="134">
        <f t="shared" si="514"/>
        <v>0</v>
      </c>
    </row>
    <row r="731" spans="1:63" hidden="1">
      <c r="A731" s="187"/>
      <c r="B731" s="2321"/>
      <c r="C731" s="2322"/>
      <c r="D731" s="2334" t="s">
        <v>443</v>
      </c>
      <c r="E731" s="2334"/>
      <c r="F731" s="2334"/>
      <c r="G731" s="2334"/>
      <c r="H731" s="2334"/>
      <c r="I731" s="2334"/>
      <c r="J731" s="2334"/>
      <c r="K731" s="2334"/>
      <c r="L731" s="2334"/>
      <c r="M731" s="2334"/>
      <c r="N731" s="2334"/>
      <c r="O731" s="2334"/>
      <c r="P731" s="2324"/>
      <c r="Q731" s="2324"/>
      <c r="R731" s="2325"/>
      <c r="S731" s="2324" t="s">
        <v>2</v>
      </c>
      <c r="T731" s="2324" t="s">
        <v>2</v>
      </c>
      <c r="U731" s="2326">
        <v>150</v>
      </c>
      <c r="V731" s="2327"/>
      <c r="W731" s="2327"/>
      <c r="X731" s="2327">
        <v>150</v>
      </c>
      <c r="Y731" s="2327"/>
      <c r="Z731" s="2327">
        <v>125</v>
      </c>
      <c r="AA731" s="2328"/>
      <c r="AB731" s="2329"/>
      <c r="AC731" s="2326"/>
      <c r="AD731" s="2330">
        <f t="shared" si="501"/>
        <v>0</v>
      </c>
      <c r="AE731" s="2330"/>
      <c r="AF731" s="2330"/>
      <c r="AG731" s="2330">
        <f t="shared" si="509"/>
        <v>0</v>
      </c>
      <c r="AH731" s="2330"/>
      <c r="AI731" s="2330"/>
      <c r="AJ731" s="2330">
        <f t="shared" si="502"/>
        <v>0</v>
      </c>
      <c r="AK731" s="2330"/>
      <c r="AL731" s="2330"/>
      <c r="AM731" s="2331">
        <f t="shared" si="503"/>
        <v>0</v>
      </c>
      <c r="AN731" s="2331"/>
      <c r="AO731" s="2331"/>
      <c r="AP731" s="2331"/>
      <c r="AQ731" s="2332">
        <f t="shared" si="504"/>
        <v>0</v>
      </c>
      <c r="AR731" s="2332"/>
      <c r="AS731" s="2332"/>
      <c r="AT731" s="2332">
        <f t="shared" si="505"/>
        <v>0</v>
      </c>
      <c r="AV731" s="151" t="str">
        <f t="shared" si="498"/>
        <v>DOORS &amp; TRIM</v>
      </c>
      <c r="AW731" s="681"/>
      <c r="AX731" s="230"/>
      <c r="AY731" s="230"/>
      <c r="AZ731" s="679"/>
      <c r="BA731" s="49">
        <f t="shared" si="506"/>
        <v>0</v>
      </c>
      <c r="BB731" s="49">
        <f t="shared" si="510"/>
        <v>0</v>
      </c>
      <c r="BC731" s="49">
        <f t="shared" si="511"/>
        <v>0</v>
      </c>
      <c r="BD731" s="49">
        <f t="shared" si="507"/>
        <v>0</v>
      </c>
      <c r="BE731" s="49">
        <f t="shared" si="512"/>
        <v>0</v>
      </c>
      <c r="BF731" s="49">
        <f t="shared" si="499"/>
        <v>0</v>
      </c>
      <c r="BG731" s="49">
        <f t="shared" si="500"/>
        <v>0</v>
      </c>
      <c r="BI731" s="134">
        <f t="shared" si="513"/>
        <v>0</v>
      </c>
      <c r="BJ731" s="134">
        <f t="shared" si="508"/>
        <v>0</v>
      </c>
      <c r="BK731" s="134">
        <f t="shared" si="514"/>
        <v>0</v>
      </c>
    </row>
    <row r="732" spans="1:63" hidden="1">
      <c r="A732" s="187"/>
      <c r="B732" s="2321"/>
      <c r="C732" s="2322"/>
      <c r="D732" s="2334" t="s">
        <v>23</v>
      </c>
      <c r="E732" s="2334"/>
      <c r="F732" s="2334"/>
      <c r="G732" s="2334"/>
      <c r="H732" s="2334"/>
      <c r="I732" s="2334"/>
      <c r="J732" s="2334"/>
      <c r="K732" s="2334"/>
      <c r="L732" s="2334"/>
      <c r="M732" s="2334"/>
      <c r="N732" s="2334"/>
      <c r="O732" s="2334"/>
      <c r="P732" s="2324"/>
      <c r="Q732" s="2324"/>
      <c r="R732" s="2325"/>
      <c r="S732" s="2324" t="s">
        <v>12</v>
      </c>
      <c r="T732" s="2324" t="s">
        <v>12</v>
      </c>
      <c r="U732" s="2326">
        <v>10</v>
      </c>
      <c r="V732" s="2327"/>
      <c r="W732" s="2327"/>
      <c r="X732" s="2327">
        <v>3.5</v>
      </c>
      <c r="Y732" s="2327"/>
      <c r="Z732" s="2327">
        <v>3.5</v>
      </c>
      <c r="AA732" s="2328"/>
      <c r="AB732" s="2329"/>
      <c r="AC732" s="2326"/>
      <c r="AD732" s="2330">
        <f t="shared" si="501"/>
        <v>0</v>
      </c>
      <c r="AE732" s="2330"/>
      <c r="AF732" s="2330"/>
      <c r="AG732" s="2330">
        <f t="shared" si="509"/>
        <v>0</v>
      </c>
      <c r="AH732" s="2330"/>
      <c r="AI732" s="2330"/>
      <c r="AJ732" s="2330">
        <f t="shared" si="502"/>
        <v>0</v>
      </c>
      <c r="AK732" s="2330"/>
      <c r="AL732" s="2330"/>
      <c r="AM732" s="2331">
        <f t="shared" si="503"/>
        <v>0</v>
      </c>
      <c r="AN732" s="2331"/>
      <c r="AO732" s="2331"/>
      <c r="AP732" s="2331"/>
      <c r="AQ732" s="2332">
        <f t="shared" si="504"/>
        <v>0</v>
      </c>
      <c r="AR732" s="2332"/>
      <c r="AS732" s="2332"/>
      <c r="AT732" s="2332">
        <f t="shared" si="505"/>
        <v>0</v>
      </c>
      <c r="AV732" s="151" t="str">
        <f t="shared" si="498"/>
        <v>DOORS &amp; TRIM</v>
      </c>
      <c r="AW732" s="681"/>
      <c r="AX732" s="230"/>
      <c r="AY732" s="230"/>
      <c r="AZ732" s="679"/>
      <c r="BA732" s="49">
        <f t="shared" si="506"/>
        <v>0</v>
      </c>
      <c r="BB732" s="49">
        <f t="shared" si="510"/>
        <v>0</v>
      </c>
      <c r="BC732" s="49">
        <f t="shared" si="511"/>
        <v>0</v>
      </c>
      <c r="BD732" s="49">
        <f t="shared" si="507"/>
        <v>0</v>
      </c>
      <c r="BE732" s="49">
        <f t="shared" si="512"/>
        <v>0</v>
      </c>
      <c r="BF732" s="49">
        <f t="shared" si="499"/>
        <v>0</v>
      </c>
      <c r="BG732" s="49">
        <f t="shared" si="500"/>
        <v>0</v>
      </c>
      <c r="BI732" s="134">
        <f t="shared" si="513"/>
        <v>0</v>
      </c>
      <c r="BJ732" s="134">
        <f t="shared" si="508"/>
        <v>0</v>
      </c>
      <c r="BK732" s="134">
        <f t="shared" si="514"/>
        <v>0</v>
      </c>
    </row>
    <row r="733" spans="1:63" hidden="1">
      <c r="A733" s="187"/>
      <c r="B733" s="2321"/>
      <c r="C733" s="2322"/>
      <c r="D733" s="2334" t="s">
        <v>735</v>
      </c>
      <c r="E733" s="2334"/>
      <c r="F733" s="2334"/>
      <c r="G733" s="2334"/>
      <c r="H733" s="2334"/>
      <c r="I733" s="2334"/>
      <c r="J733" s="2334"/>
      <c r="K733" s="2334"/>
      <c r="L733" s="2334"/>
      <c r="M733" s="2334"/>
      <c r="N733" s="2334"/>
      <c r="O733" s="2334"/>
      <c r="P733" s="2324"/>
      <c r="Q733" s="2324"/>
      <c r="R733" s="2325"/>
      <c r="S733" s="2324" t="s">
        <v>12</v>
      </c>
      <c r="T733" s="2324"/>
      <c r="U733" s="2326">
        <v>125</v>
      </c>
      <c r="V733" s="2327"/>
      <c r="W733" s="2327"/>
      <c r="X733" s="2327">
        <v>350</v>
      </c>
      <c r="Y733" s="2327"/>
      <c r="Z733" s="2327"/>
      <c r="AA733" s="2328"/>
      <c r="AB733" s="2329"/>
      <c r="AC733" s="2326"/>
      <c r="AD733" s="2330">
        <f t="shared" si="501"/>
        <v>0</v>
      </c>
      <c r="AE733" s="2330"/>
      <c r="AF733" s="2330"/>
      <c r="AG733" s="2330">
        <f t="shared" si="509"/>
        <v>0</v>
      </c>
      <c r="AH733" s="2330"/>
      <c r="AI733" s="2330"/>
      <c r="AJ733" s="2330">
        <f t="shared" si="502"/>
        <v>0</v>
      </c>
      <c r="AK733" s="2330"/>
      <c r="AL733" s="2330"/>
      <c r="AM733" s="2331">
        <f t="shared" si="503"/>
        <v>0</v>
      </c>
      <c r="AN733" s="2331"/>
      <c r="AO733" s="2331"/>
      <c r="AP733" s="2331"/>
      <c r="AQ733" s="2332">
        <f t="shared" si="504"/>
        <v>0</v>
      </c>
      <c r="AR733" s="2332"/>
      <c r="AS733" s="2332"/>
      <c r="AT733" s="2332">
        <f t="shared" si="505"/>
        <v>0</v>
      </c>
      <c r="AV733" s="151" t="str">
        <f t="shared" si="498"/>
        <v>DOORS &amp; TRIM</v>
      </c>
      <c r="AW733" s="681"/>
      <c r="AX733" s="230"/>
      <c r="AY733" s="230"/>
      <c r="AZ733" s="679"/>
      <c r="BA733" s="49">
        <f t="shared" si="506"/>
        <v>0</v>
      </c>
      <c r="BB733" s="49">
        <f t="shared" si="510"/>
        <v>0</v>
      </c>
      <c r="BC733" s="49">
        <f t="shared" si="511"/>
        <v>0</v>
      </c>
      <c r="BD733" s="49">
        <f t="shared" si="507"/>
        <v>0</v>
      </c>
      <c r="BE733" s="49">
        <f t="shared" si="512"/>
        <v>0</v>
      </c>
      <c r="BF733" s="49">
        <f t="shared" si="499"/>
        <v>0</v>
      </c>
      <c r="BG733" s="49">
        <f t="shared" si="500"/>
        <v>0</v>
      </c>
      <c r="BI733" s="134">
        <f t="shared" si="513"/>
        <v>0</v>
      </c>
      <c r="BJ733" s="134">
        <f t="shared" si="508"/>
        <v>0</v>
      </c>
      <c r="BK733" s="134">
        <f t="shared" si="514"/>
        <v>0</v>
      </c>
    </row>
    <row r="734" spans="1:63" hidden="1">
      <c r="A734" s="187"/>
      <c r="B734" s="2333"/>
      <c r="C734" s="2333"/>
      <c r="D734" s="2334" t="s">
        <v>444</v>
      </c>
      <c r="E734" s="2334"/>
      <c r="F734" s="2334"/>
      <c r="G734" s="2334"/>
      <c r="H734" s="2334"/>
      <c r="I734" s="2334"/>
      <c r="J734" s="2334"/>
      <c r="K734" s="2334"/>
      <c r="L734" s="2334"/>
      <c r="M734" s="2334"/>
      <c r="N734" s="2334"/>
      <c r="O734" s="2334"/>
      <c r="P734" s="2324"/>
      <c r="Q734" s="2324"/>
      <c r="R734" s="2325"/>
      <c r="S734" s="2324" t="s">
        <v>12</v>
      </c>
      <c r="T734" s="2324" t="s">
        <v>12</v>
      </c>
      <c r="U734" s="2326">
        <v>10</v>
      </c>
      <c r="V734" s="2327"/>
      <c r="W734" s="2327"/>
      <c r="X734" s="2327">
        <v>4</v>
      </c>
      <c r="Y734" s="2327"/>
      <c r="Z734" s="2327">
        <v>4</v>
      </c>
      <c r="AA734" s="2328"/>
      <c r="AB734" s="2329"/>
      <c r="AC734" s="2326"/>
      <c r="AD734" s="2330">
        <f t="shared" si="501"/>
        <v>0</v>
      </c>
      <c r="AE734" s="2330"/>
      <c r="AF734" s="2330"/>
      <c r="AG734" s="2330">
        <f t="shared" si="509"/>
        <v>0</v>
      </c>
      <c r="AH734" s="2330"/>
      <c r="AI734" s="2330"/>
      <c r="AJ734" s="2330">
        <f t="shared" si="502"/>
        <v>0</v>
      </c>
      <c r="AK734" s="2330"/>
      <c r="AL734" s="2330"/>
      <c r="AM734" s="2331">
        <f t="shared" si="503"/>
        <v>0</v>
      </c>
      <c r="AN734" s="2331"/>
      <c r="AO734" s="2331"/>
      <c r="AP734" s="2331"/>
      <c r="AQ734" s="2332">
        <f t="shared" si="504"/>
        <v>0</v>
      </c>
      <c r="AR734" s="2332"/>
      <c r="AS734" s="2332"/>
      <c r="AT734" s="2332">
        <f t="shared" si="505"/>
        <v>0</v>
      </c>
      <c r="AV734" s="151" t="str">
        <f t="shared" si="498"/>
        <v>DOORS &amp; TRIM</v>
      </c>
      <c r="AW734" s="681"/>
      <c r="AX734" s="230"/>
      <c r="AY734" s="230"/>
      <c r="AZ734" s="679"/>
      <c r="BA734" s="49">
        <f t="shared" si="506"/>
        <v>0</v>
      </c>
      <c r="BB734" s="49">
        <f t="shared" si="510"/>
        <v>0</v>
      </c>
      <c r="BC734" s="49">
        <f t="shared" si="511"/>
        <v>0</v>
      </c>
      <c r="BD734" s="49">
        <f t="shared" si="507"/>
        <v>0</v>
      </c>
      <c r="BE734" s="49">
        <f t="shared" si="512"/>
        <v>0</v>
      </c>
      <c r="BF734" s="49">
        <f t="shared" si="499"/>
        <v>0</v>
      </c>
      <c r="BG734" s="49">
        <f t="shared" si="500"/>
        <v>0</v>
      </c>
      <c r="BI734" s="134">
        <f t="shared" si="513"/>
        <v>0</v>
      </c>
      <c r="BJ734" s="134">
        <f t="shared" si="508"/>
        <v>0</v>
      </c>
      <c r="BK734" s="134">
        <f t="shared" si="514"/>
        <v>0</v>
      </c>
    </row>
    <row r="735" spans="1:63" hidden="1">
      <c r="A735" s="187"/>
      <c r="B735" s="2333"/>
      <c r="C735" s="2333"/>
      <c r="D735" s="2334" t="s">
        <v>445</v>
      </c>
      <c r="E735" s="2334"/>
      <c r="F735" s="2334"/>
      <c r="G735" s="2334"/>
      <c r="H735" s="2334"/>
      <c r="I735" s="2334"/>
      <c r="J735" s="2334"/>
      <c r="K735" s="2334"/>
      <c r="L735" s="2334"/>
      <c r="M735" s="2334"/>
      <c r="N735" s="2334"/>
      <c r="O735" s="2334"/>
      <c r="P735" s="2324"/>
      <c r="Q735" s="2324"/>
      <c r="R735" s="2325"/>
      <c r="S735" s="2324" t="s">
        <v>12</v>
      </c>
      <c r="T735" s="2324" t="s">
        <v>12</v>
      </c>
      <c r="U735" s="2326">
        <v>20</v>
      </c>
      <c r="V735" s="2327"/>
      <c r="W735" s="2327"/>
      <c r="X735" s="2327">
        <v>10</v>
      </c>
      <c r="Y735" s="2327"/>
      <c r="Z735" s="2327">
        <v>4</v>
      </c>
      <c r="AA735" s="2328"/>
      <c r="AB735" s="2329"/>
      <c r="AC735" s="2326"/>
      <c r="AD735" s="2330">
        <f t="shared" si="501"/>
        <v>0</v>
      </c>
      <c r="AE735" s="2330"/>
      <c r="AF735" s="2330"/>
      <c r="AG735" s="2330">
        <f t="shared" si="509"/>
        <v>0</v>
      </c>
      <c r="AH735" s="2330"/>
      <c r="AI735" s="2330"/>
      <c r="AJ735" s="2330">
        <f t="shared" si="502"/>
        <v>0</v>
      </c>
      <c r="AK735" s="2330"/>
      <c r="AL735" s="2330"/>
      <c r="AM735" s="2331">
        <f t="shared" si="503"/>
        <v>0</v>
      </c>
      <c r="AN735" s="2331"/>
      <c r="AO735" s="2331"/>
      <c r="AP735" s="2331"/>
      <c r="AQ735" s="2332">
        <f t="shared" si="504"/>
        <v>0</v>
      </c>
      <c r="AR735" s="2332"/>
      <c r="AS735" s="2332"/>
      <c r="AT735" s="2332">
        <f t="shared" si="505"/>
        <v>0</v>
      </c>
      <c r="AV735" s="151" t="str">
        <f t="shared" si="498"/>
        <v>DOORS &amp; TRIM</v>
      </c>
      <c r="AW735" s="681"/>
      <c r="AX735" s="230"/>
      <c r="AY735" s="230"/>
      <c r="AZ735" s="679"/>
      <c r="BA735" s="49">
        <f t="shared" si="506"/>
        <v>0</v>
      </c>
      <c r="BB735" s="49">
        <f t="shared" si="510"/>
        <v>0</v>
      </c>
      <c r="BC735" s="49">
        <f t="shared" si="511"/>
        <v>0</v>
      </c>
      <c r="BD735" s="49">
        <f t="shared" si="507"/>
        <v>0</v>
      </c>
      <c r="BE735" s="49">
        <f t="shared" si="512"/>
        <v>0</v>
      </c>
      <c r="BF735" s="49">
        <f t="shared" si="499"/>
        <v>0</v>
      </c>
      <c r="BG735" s="49">
        <f t="shared" si="500"/>
        <v>0</v>
      </c>
      <c r="BI735" s="134">
        <f t="shared" si="513"/>
        <v>0</v>
      </c>
      <c r="BJ735" s="134">
        <f t="shared" si="508"/>
        <v>0</v>
      </c>
      <c r="BK735" s="134">
        <f t="shared" si="514"/>
        <v>0</v>
      </c>
    </row>
    <row r="736" spans="1:63" hidden="1">
      <c r="A736" s="187"/>
      <c r="B736" s="2321"/>
      <c r="C736" s="2322"/>
      <c r="D736" s="2334" t="s">
        <v>407</v>
      </c>
      <c r="E736" s="2334"/>
      <c r="F736" s="2334"/>
      <c r="G736" s="2334"/>
      <c r="H736" s="2334"/>
      <c r="I736" s="2334"/>
      <c r="J736" s="2334"/>
      <c r="K736" s="2334"/>
      <c r="L736" s="2334"/>
      <c r="M736" s="2334"/>
      <c r="N736" s="2334"/>
      <c r="O736" s="2334"/>
      <c r="P736" s="2324"/>
      <c r="Q736" s="2324"/>
      <c r="R736" s="2325"/>
      <c r="S736" s="2324" t="s">
        <v>12</v>
      </c>
      <c r="T736" s="2324" t="s">
        <v>12</v>
      </c>
      <c r="U736" s="2326">
        <v>25</v>
      </c>
      <c r="V736" s="2327"/>
      <c r="W736" s="2327"/>
      <c r="X736" s="2327">
        <v>30</v>
      </c>
      <c r="Y736" s="2327"/>
      <c r="Z736" s="2327">
        <v>21</v>
      </c>
      <c r="AA736" s="2328"/>
      <c r="AB736" s="2329"/>
      <c r="AC736" s="2326"/>
      <c r="AD736" s="2330">
        <f t="shared" si="501"/>
        <v>0</v>
      </c>
      <c r="AE736" s="2330"/>
      <c r="AF736" s="2330"/>
      <c r="AG736" s="2330">
        <f t="shared" si="509"/>
        <v>0</v>
      </c>
      <c r="AH736" s="2330"/>
      <c r="AI736" s="2330"/>
      <c r="AJ736" s="2330">
        <f t="shared" si="502"/>
        <v>0</v>
      </c>
      <c r="AK736" s="2330"/>
      <c r="AL736" s="2330"/>
      <c r="AM736" s="2331">
        <f t="shared" si="503"/>
        <v>0</v>
      </c>
      <c r="AN736" s="2331"/>
      <c r="AO736" s="2331"/>
      <c r="AP736" s="2331"/>
      <c r="AQ736" s="2332">
        <f t="shared" si="504"/>
        <v>0</v>
      </c>
      <c r="AR736" s="2332"/>
      <c r="AS736" s="2332"/>
      <c r="AT736" s="2332">
        <f t="shared" si="505"/>
        <v>0</v>
      </c>
      <c r="AV736" s="151" t="str">
        <f t="shared" si="498"/>
        <v>DOORS &amp; TRIM</v>
      </c>
      <c r="AW736" s="681"/>
      <c r="AX736" s="230"/>
      <c r="AY736" s="230"/>
      <c r="AZ736" s="679"/>
      <c r="BA736" s="49">
        <f t="shared" si="506"/>
        <v>0</v>
      </c>
      <c r="BB736" s="49">
        <f t="shared" si="510"/>
        <v>0</v>
      </c>
      <c r="BC736" s="49">
        <f t="shared" si="511"/>
        <v>0</v>
      </c>
      <c r="BD736" s="49">
        <f t="shared" si="507"/>
        <v>0</v>
      </c>
      <c r="BE736" s="49">
        <f>SUM(BA736:BC736)</f>
        <v>0</v>
      </c>
      <c r="BF736" s="49">
        <f t="shared" si="499"/>
        <v>0</v>
      </c>
      <c r="BG736" s="49">
        <f t="shared" si="500"/>
        <v>0</v>
      </c>
      <c r="BI736" s="134">
        <f t="shared" si="513"/>
        <v>0</v>
      </c>
      <c r="BJ736" s="134">
        <f t="shared" si="508"/>
        <v>0</v>
      </c>
      <c r="BK736" s="134">
        <f t="shared" si="514"/>
        <v>0</v>
      </c>
    </row>
    <row r="737" spans="1:63" hidden="1">
      <c r="A737" s="187"/>
      <c r="B737" s="2321"/>
      <c r="C737" s="2322"/>
      <c r="D737" s="2334"/>
      <c r="E737" s="2334"/>
      <c r="F737" s="2334"/>
      <c r="G737" s="2334"/>
      <c r="H737" s="2334"/>
      <c r="I737" s="2334"/>
      <c r="J737" s="2334"/>
      <c r="K737" s="2334"/>
      <c r="L737" s="2334"/>
      <c r="M737" s="2334"/>
      <c r="N737" s="2334"/>
      <c r="O737" s="2334"/>
      <c r="P737" s="2324"/>
      <c r="Q737" s="2324"/>
      <c r="R737" s="2325"/>
      <c r="S737" s="2324"/>
      <c r="T737" s="2324"/>
      <c r="U737" s="2326"/>
      <c r="V737" s="2327"/>
      <c r="W737" s="2327"/>
      <c r="X737" s="2327"/>
      <c r="Y737" s="2327"/>
      <c r="Z737" s="2327"/>
      <c r="AA737" s="2328"/>
      <c r="AB737" s="2329"/>
      <c r="AC737" s="2326"/>
      <c r="AD737" s="2330">
        <f t="shared" si="501"/>
        <v>0</v>
      </c>
      <c r="AE737" s="2330"/>
      <c r="AF737" s="2330"/>
      <c r="AG737" s="2330">
        <f t="shared" si="509"/>
        <v>0</v>
      </c>
      <c r="AH737" s="2330"/>
      <c r="AI737" s="2330"/>
      <c r="AJ737" s="2330">
        <f t="shared" si="502"/>
        <v>0</v>
      </c>
      <c r="AK737" s="2330"/>
      <c r="AL737" s="2330"/>
      <c r="AM737" s="2331">
        <f t="shared" si="503"/>
        <v>0</v>
      </c>
      <c r="AN737" s="2331"/>
      <c r="AO737" s="2331"/>
      <c r="AP737" s="2331"/>
      <c r="AQ737" s="2332">
        <f t="shared" si="504"/>
        <v>0</v>
      </c>
      <c r="AR737" s="2332"/>
      <c r="AS737" s="2332"/>
      <c r="AT737" s="2332">
        <f t="shared" si="505"/>
        <v>0</v>
      </c>
      <c r="AV737" s="151" t="str">
        <f t="shared" si="498"/>
        <v>DOORS &amp; TRIM</v>
      </c>
      <c r="AW737" s="681"/>
      <c r="AX737" s="230"/>
      <c r="AY737" s="230"/>
      <c r="AZ737" s="679"/>
      <c r="BA737" s="49">
        <f t="shared" si="506"/>
        <v>0</v>
      </c>
      <c r="BB737" s="49">
        <f t="shared" si="510"/>
        <v>0</v>
      </c>
      <c r="BC737" s="49">
        <f t="shared" si="511"/>
        <v>0</v>
      </c>
      <c r="BD737" s="49">
        <f t="shared" si="507"/>
        <v>0</v>
      </c>
      <c r="BE737" s="49">
        <f>SUM(BA737:BC737)</f>
        <v>0</v>
      </c>
      <c r="BF737" s="49">
        <f t="shared" si="499"/>
        <v>0</v>
      </c>
      <c r="BG737" s="49">
        <f t="shared" si="500"/>
        <v>0</v>
      </c>
      <c r="BI737" s="134">
        <f t="shared" si="513"/>
        <v>0</v>
      </c>
      <c r="BJ737" s="134">
        <f t="shared" si="508"/>
        <v>0</v>
      </c>
      <c r="BK737" s="134">
        <f t="shared" si="514"/>
        <v>0</v>
      </c>
    </row>
    <row r="738" spans="1:63" hidden="1">
      <c r="A738" s="187"/>
      <c r="B738" s="2321"/>
      <c r="C738" s="2322"/>
      <c r="D738" s="2334"/>
      <c r="E738" s="2334"/>
      <c r="F738" s="2334"/>
      <c r="G738" s="2334"/>
      <c r="H738" s="2334"/>
      <c r="I738" s="2334"/>
      <c r="J738" s="2334"/>
      <c r="K738" s="2334"/>
      <c r="L738" s="2334"/>
      <c r="M738" s="2334"/>
      <c r="N738" s="2334"/>
      <c r="O738" s="2334"/>
      <c r="P738" s="2324"/>
      <c r="Q738" s="2324"/>
      <c r="R738" s="2325"/>
      <c r="S738" s="2324"/>
      <c r="T738" s="2324"/>
      <c r="U738" s="2326"/>
      <c r="V738" s="2327"/>
      <c r="W738" s="2327"/>
      <c r="X738" s="2327"/>
      <c r="Y738" s="2327"/>
      <c r="Z738" s="2327"/>
      <c r="AA738" s="2328"/>
      <c r="AB738" s="2329"/>
      <c r="AC738" s="2326"/>
      <c r="AD738" s="2330">
        <f t="shared" ref="AD738:AD757" si="515">((P738*U738)-AM738)</f>
        <v>0</v>
      </c>
      <c r="AE738" s="2330"/>
      <c r="AF738" s="2330"/>
      <c r="AG738" s="2330">
        <f t="shared" si="509"/>
        <v>0</v>
      </c>
      <c r="AH738" s="2330"/>
      <c r="AI738" s="2330"/>
      <c r="AJ738" s="2330">
        <f t="shared" ref="AJ738:AJ757" si="516">P738*AA738</f>
        <v>0</v>
      </c>
      <c r="AK738" s="2330"/>
      <c r="AL738" s="2330"/>
      <c r="AM738" s="2331">
        <f t="shared" si="503"/>
        <v>0</v>
      </c>
      <c r="AN738" s="2331"/>
      <c r="AO738" s="2331"/>
      <c r="AP738" s="2331"/>
      <c r="AQ738" s="2332">
        <f t="shared" ref="AQ738:AQ757" si="517">SUM(AD738:AL738)</f>
        <v>0</v>
      </c>
      <c r="AR738" s="2332"/>
      <c r="AS738" s="2332"/>
      <c r="AT738" s="2332">
        <f t="shared" ref="AT738:AT757" si="518">SUM(AD738:AL738)</f>
        <v>0</v>
      </c>
      <c r="AV738" s="151" t="str">
        <f t="shared" si="498"/>
        <v>DOORS &amp; TRIM</v>
      </c>
      <c r="AW738" s="681"/>
      <c r="AX738" s="230"/>
      <c r="AY738" s="230"/>
      <c r="AZ738" s="679"/>
      <c r="BA738" s="49">
        <f t="shared" ref="BA738:BA757" si="519">AD738</f>
        <v>0</v>
      </c>
      <c r="BB738" s="49">
        <f>AG738</f>
        <v>0</v>
      </c>
      <c r="BC738" s="49">
        <f>AJ738</f>
        <v>0</v>
      </c>
      <c r="BD738" s="49">
        <f t="shared" ref="BD738:BD757" si="520">IF(B738="x",1,0)</f>
        <v>0</v>
      </c>
      <c r="BE738" s="49">
        <f>SUM(BA738:BC738)</f>
        <v>0</v>
      </c>
      <c r="BF738" s="49">
        <f t="shared" ref="BF738:BF757" si="521">AQ738</f>
        <v>0</v>
      </c>
      <c r="BG738" s="49">
        <f t="shared" ref="BG738:BG757" si="522">AM738</f>
        <v>0</v>
      </c>
      <c r="BI738" s="134">
        <f>AD738</f>
        <v>0</v>
      </c>
      <c r="BJ738" s="134">
        <f t="shared" ref="BJ738:BJ757" si="523">AM738</f>
        <v>0</v>
      </c>
      <c r="BK738" s="134">
        <f>BJ738+BI738</f>
        <v>0</v>
      </c>
    </row>
    <row r="739" spans="1:63" hidden="1">
      <c r="A739" s="187"/>
      <c r="B739" s="2333"/>
      <c r="C739" s="2333"/>
      <c r="D739" s="2334"/>
      <c r="E739" s="2334"/>
      <c r="F739" s="2334"/>
      <c r="G739" s="2334"/>
      <c r="H739" s="2334"/>
      <c r="I739" s="2334"/>
      <c r="J739" s="2334"/>
      <c r="K739" s="2334"/>
      <c r="L739" s="2334"/>
      <c r="M739" s="2334"/>
      <c r="N739" s="2334"/>
      <c r="O739" s="2334"/>
      <c r="P739" s="2324"/>
      <c r="Q739" s="2324"/>
      <c r="R739" s="2325"/>
      <c r="S739" s="2324"/>
      <c r="T739" s="2324"/>
      <c r="U739" s="2326"/>
      <c r="V739" s="2327"/>
      <c r="W739" s="2327"/>
      <c r="X739" s="2327"/>
      <c r="Y739" s="2327"/>
      <c r="Z739" s="2327"/>
      <c r="AA739" s="2328"/>
      <c r="AB739" s="2329"/>
      <c r="AC739" s="2326"/>
      <c r="AD739" s="2330">
        <f t="shared" si="515"/>
        <v>0</v>
      </c>
      <c r="AE739" s="2330"/>
      <c r="AF739" s="2330"/>
      <c r="AG739" s="2330">
        <f t="shared" si="509"/>
        <v>0</v>
      </c>
      <c r="AH739" s="2330"/>
      <c r="AI739" s="2330"/>
      <c r="AJ739" s="2330">
        <f t="shared" si="516"/>
        <v>0</v>
      </c>
      <c r="AK739" s="2330"/>
      <c r="AL739" s="2330"/>
      <c r="AM739" s="2331">
        <f t="shared" si="503"/>
        <v>0</v>
      </c>
      <c r="AN739" s="2331"/>
      <c r="AO739" s="2331"/>
      <c r="AP739" s="2331"/>
      <c r="AQ739" s="2332">
        <f t="shared" si="517"/>
        <v>0</v>
      </c>
      <c r="AR739" s="2332"/>
      <c r="AS739" s="2332"/>
      <c r="AT739" s="2332">
        <f t="shared" si="518"/>
        <v>0</v>
      </c>
      <c r="AV739" s="151" t="str">
        <f t="shared" si="498"/>
        <v>DOORS &amp; TRIM</v>
      </c>
      <c r="AW739" s="681"/>
      <c r="AX739" s="230"/>
      <c r="AY739" s="230"/>
      <c r="AZ739" s="679"/>
      <c r="BA739" s="49">
        <f t="shared" si="519"/>
        <v>0</v>
      </c>
      <c r="BB739" s="49">
        <f t="shared" ref="BB739:BB757" si="524">AG739</f>
        <v>0</v>
      </c>
      <c r="BC739" s="49">
        <f t="shared" ref="BC739:BC757" si="525">AJ739</f>
        <v>0</v>
      </c>
      <c r="BD739" s="49">
        <f t="shared" si="520"/>
        <v>0</v>
      </c>
      <c r="BE739" s="49">
        <f t="shared" ref="BE739:BE755" si="526">SUM(BA739:BC739)</f>
        <v>0</v>
      </c>
      <c r="BF739" s="49">
        <f t="shared" si="521"/>
        <v>0</v>
      </c>
      <c r="BG739" s="49">
        <f t="shared" si="522"/>
        <v>0</v>
      </c>
      <c r="BI739" s="134">
        <f t="shared" ref="BI739:BI757" si="527">AD739</f>
        <v>0</v>
      </c>
      <c r="BJ739" s="134">
        <f t="shared" si="523"/>
        <v>0</v>
      </c>
      <c r="BK739" s="134">
        <f t="shared" ref="BK739:BK757" si="528">BJ739+BI739</f>
        <v>0</v>
      </c>
    </row>
    <row r="740" spans="1:63" hidden="1">
      <c r="A740" s="187"/>
      <c r="B740" s="2333"/>
      <c r="C740" s="2333"/>
      <c r="D740" s="2334"/>
      <c r="E740" s="2334"/>
      <c r="F740" s="2334"/>
      <c r="G740" s="2334"/>
      <c r="H740" s="2334"/>
      <c r="I740" s="2334"/>
      <c r="J740" s="2334"/>
      <c r="K740" s="2334"/>
      <c r="L740" s="2334"/>
      <c r="M740" s="2334"/>
      <c r="N740" s="2334"/>
      <c r="O740" s="2334"/>
      <c r="P740" s="2324"/>
      <c r="Q740" s="2324"/>
      <c r="R740" s="2325"/>
      <c r="S740" s="2324"/>
      <c r="T740" s="2324"/>
      <c r="U740" s="2326"/>
      <c r="V740" s="2327"/>
      <c r="W740" s="2327"/>
      <c r="X740" s="2327"/>
      <c r="Y740" s="2327"/>
      <c r="Z740" s="2327"/>
      <c r="AA740" s="2328"/>
      <c r="AB740" s="2329"/>
      <c r="AC740" s="2326"/>
      <c r="AD740" s="2330">
        <f t="shared" si="515"/>
        <v>0</v>
      </c>
      <c r="AE740" s="2330"/>
      <c r="AF740" s="2330"/>
      <c r="AG740" s="2330">
        <f t="shared" si="509"/>
        <v>0</v>
      </c>
      <c r="AH740" s="2330"/>
      <c r="AI740" s="2330"/>
      <c r="AJ740" s="2330">
        <f t="shared" si="516"/>
        <v>0</v>
      </c>
      <c r="AK740" s="2330"/>
      <c r="AL740" s="2330"/>
      <c r="AM740" s="2331">
        <f t="shared" si="503"/>
        <v>0</v>
      </c>
      <c r="AN740" s="2331"/>
      <c r="AO740" s="2331"/>
      <c r="AP740" s="2331"/>
      <c r="AQ740" s="2332">
        <f t="shared" si="517"/>
        <v>0</v>
      </c>
      <c r="AR740" s="2332"/>
      <c r="AS740" s="2332"/>
      <c r="AT740" s="2332">
        <f t="shared" si="518"/>
        <v>0</v>
      </c>
      <c r="AV740" s="151" t="str">
        <f t="shared" si="498"/>
        <v>DOORS &amp; TRIM</v>
      </c>
      <c r="AW740" s="681"/>
      <c r="AX740" s="230"/>
      <c r="AY740" s="230"/>
      <c r="AZ740" s="679"/>
      <c r="BA740" s="49">
        <f t="shared" si="519"/>
        <v>0</v>
      </c>
      <c r="BB740" s="49">
        <f t="shared" si="524"/>
        <v>0</v>
      </c>
      <c r="BC740" s="49">
        <f t="shared" si="525"/>
        <v>0</v>
      </c>
      <c r="BD740" s="49">
        <f t="shared" si="520"/>
        <v>0</v>
      </c>
      <c r="BE740" s="49">
        <f t="shared" si="526"/>
        <v>0</v>
      </c>
      <c r="BF740" s="49">
        <f t="shared" si="521"/>
        <v>0</v>
      </c>
      <c r="BG740" s="49">
        <f t="shared" si="522"/>
        <v>0</v>
      </c>
      <c r="BI740" s="134">
        <f t="shared" si="527"/>
        <v>0</v>
      </c>
      <c r="BJ740" s="134">
        <f t="shared" si="523"/>
        <v>0</v>
      </c>
      <c r="BK740" s="134">
        <f t="shared" si="528"/>
        <v>0</v>
      </c>
    </row>
    <row r="741" spans="1:63" hidden="1">
      <c r="A741" s="187"/>
      <c r="B741" s="2321"/>
      <c r="C741" s="2322"/>
      <c r="D741" s="2334"/>
      <c r="E741" s="2334"/>
      <c r="F741" s="2334"/>
      <c r="G741" s="2334"/>
      <c r="H741" s="2334"/>
      <c r="I741" s="2334"/>
      <c r="J741" s="2334"/>
      <c r="K741" s="2334"/>
      <c r="L741" s="2334"/>
      <c r="M741" s="2334"/>
      <c r="N741" s="2334"/>
      <c r="O741" s="2334"/>
      <c r="P741" s="2324"/>
      <c r="Q741" s="2324"/>
      <c r="R741" s="2325"/>
      <c r="S741" s="2324"/>
      <c r="T741" s="2324"/>
      <c r="U741" s="2326"/>
      <c r="V741" s="2327"/>
      <c r="W741" s="2327"/>
      <c r="X741" s="2327"/>
      <c r="Y741" s="2327"/>
      <c r="Z741" s="2327"/>
      <c r="AA741" s="2328"/>
      <c r="AB741" s="2329"/>
      <c r="AC741" s="2326"/>
      <c r="AD741" s="2330">
        <f t="shared" si="515"/>
        <v>0</v>
      </c>
      <c r="AE741" s="2330"/>
      <c r="AF741" s="2330"/>
      <c r="AG741" s="2330">
        <f t="shared" si="509"/>
        <v>0</v>
      </c>
      <c r="AH741" s="2330"/>
      <c r="AI741" s="2330"/>
      <c r="AJ741" s="2330">
        <f t="shared" si="516"/>
        <v>0</v>
      </c>
      <c r="AK741" s="2330"/>
      <c r="AL741" s="2330"/>
      <c r="AM741" s="2331">
        <f t="shared" si="503"/>
        <v>0</v>
      </c>
      <c r="AN741" s="2331"/>
      <c r="AO741" s="2331"/>
      <c r="AP741" s="2331"/>
      <c r="AQ741" s="2332">
        <f t="shared" si="517"/>
        <v>0</v>
      </c>
      <c r="AR741" s="2332"/>
      <c r="AS741" s="2332"/>
      <c r="AT741" s="2332">
        <f t="shared" si="518"/>
        <v>0</v>
      </c>
      <c r="AV741" s="151" t="str">
        <f t="shared" si="498"/>
        <v>DOORS &amp; TRIM</v>
      </c>
      <c r="AW741" s="681"/>
      <c r="AX741" s="230"/>
      <c r="AY741" s="230"/>
      <c r="AZ741" s="679"/>
      <c r="BA741" s="49">
        <f t="shared" si="519"/>
        <v>0</v>
      </c>
      <c r="BB741" s="49">
        <f t="shared" si="524"/>
        <v>0</v>
      </c>
      <c r="BC741" s="49">
        <f t="shared" si="525"/>
        <v>0</v>
      </c>
      <c r="BD741" s="49">
        <f t="shared" si="520"/>
        <v>0</v>
      </c>
      <c r="BE741" s="49">
        <f t="shared" si="526"/>
        <v>0</v>
      </c>
      <c r="BF741" s="49">
        <f t="shared" si="521"/>
        <v>0</v>
      </c>
      <c r="BG741" s="49">
        <f t="shared" si="522"/>
        <v>0</v>
      </c>
      <c r="BI741" s="134">
        <f t="shared" si="527"/>
        <v>0</v>
      </c>
      <c r="BJ741" s="134">
        <f t="shared" si="523"/>
        <v>0</v>
      </c>
      <c r="BK741" s="134">
        <f t="shared" si="528"/>
        <v>0</v>
      </c>
    </row>
    <row r="742" spans="1:63" hidden="1">
      <c r="A742" s="187"/>
      <c r="B742" s="2321"/>
      <c r="C742" s="2322"/>
      <c r="D742" s="2334"/>
      <c r="E742" s="2334"/>
      <c r="F742" s="2334"/>
      <c r="G742" s="2334"/>
      <c r="H742" s="2334"/>
      <c r="I742" s="2334"/>
      <c r="J742" s="2334"/>
      <c r="K742" s="2334"/>
      <c r="L742" s="2334"/>
      <c r="M742" s="2334"/>
      <c r="N742" s="2334"/>
      <c r="O742" s="2334"/>
      <c r="P742" s="2324"/>
      <c r="Q742" s="2324"/>
      <c r="R742" s="2325"/>
      <c r="S742" s="2324"/>
      <c r="T742" s="2324"/>
      <c r="U742" s="2326"/>
      <c r="V742" s="2327"/>
      <c r="W742" s="2327"/>
      <c r="X742" s="2327"/>
      <c r="Y742" s="2327"/>
      <c r="Z742" s="2327"/>
      <c r="AA742" s="2328"/>
      <c r="AB742" s="2329"/>
      <c r="AC742" s="2326"/>
      <c r="AD742" s="2330">
        <f t="shared" si="515"/>
        <v>0</v>
      </c>
      <c r="AE742" s="2330"/>
      <c r="AF742" s="2330"/>
      <c r="AG742" s="2330">
        <f t="shared" si="509"/>
        <v>0</v>
      </c>
      <c r="AH742" s="2330"/>
      <c r="AI742" s="2330"/>
      <c r="AJ742" s="2330">
        <f t="shared" si="516"/>
        <v>0</v>
      </c>
      <c r="AK742" s="2330"/>
      <c r="AL742" s="2330"/>
      <c r="AM742" s="2331">
        <f t="shared" si="503"/>
        <v>0</v>
      </c>
      <c r="AN742" s="2331"/>
      <c r="AO742" s="2331"/>
      <c r="AP742" s="2331"/>
      <c r="AQ742" s="2332">
        <f t="shared" si="517"/>
        <v>0</v>
      </c>
      <c r="AR742" s="2332"/>
      <c r="AS742" s="2332"/>
      <c r="AT742" s="2332">
        <f t="shared" si="518"/>
        <v>0</v>
      </c>
      <c r="AV742" s="151" t="str">
        <f t="shared" si="498"/>
        <v>DOORS &amp; TRIM</v>
      </c>
      <c r="AW742" s="681"/>
      <c r="AX742" s="230"/>
      <c r="AY742" s="230"/>
      <c r="AZ742" s="679"/>
      <c r="BA742" s="49">
        <f t="shared" si="519"/>
        <v>0</v>
      </c>
      <c r="BB742" s="49">
        <f t="shared" si="524"/>
        <v>0</v>
      </c>
      <c r="BC742" s="49">
        <f t="shared" si="525"/>
        <v>0</v>
      </c>
      <c r="BD742" s="49">
        <f t="shared" si="520"/>
        <v>0</v>
      </c>
      <c r="BE742" s="49">
        <f t="shared" si="526"/>
        <v>0</v>
      </c>
      <c r="BF742" s="49">
        <f t="shared" si="521"/>
        <v>0</v>
      </c>
      <c r="BG742" s="49">
        <f t="shared" si="522"/>
        <v>0</v>
      </c>
      <c r="BI742" s="134">
        <f t="shared" si="527"/>
        <v>0</v>
      </c>
      <c r="BJ742" s="134">
        <f t="shared" si="523"/>
        <v>0</v>
      </c>
      <c r="BK742" s="134">
        <f t="shared" si="528"/>
        <v>0</v>
      </c>
    </row>
    <row r="743" spans="1:63" hidden="1">
      <c r="A743" s="187"/>
      <c r="B743" s="2321"/>
      <c r="C743" s="2322"/>
      <c r="D743" s="2334"/>
      <c r="E743" s="2334"/>
      <c r="F743" s="2334"/>
      <c r="G743" s="2334"/>
      <c r="H743" s="2334"/>
      <c r="I743" s="2334"/>
      <c r="J743" s="2334"/>
      <c r="K743" s="2334"/>
      <c r="L743" s="2334"/>
      <c r="M743" s="2334"/>
      <c r="N743" s="2334"/>
      <c r="O743" s="2334"/>
      <c r="P743" s="2324"/>
      <c r="Q743" s="2324"/>
      <c r="R743" s="2325"/>
      <c r="S743" s="2324"/>
      <c r="T743" s="2324"/>
      <c r="U743" s="2326"/>
      <c r="V743" s="2327"/>
      <c r="W743" s="2327"/>
      <c r="X743" s="2327"/>
      <c r="Y743" s="2327"/>
      <c r="Z743" s="2327"/>
      <c r="AA743" s="2328"/>
      <c r="AB743" s="2329"/>
      <c r="AC743" s="2326"/>
      <c r="AD743" s="2330">
        <f t="shared" si="515"/>
        <v>0</v>
      </c>
      <c r="AE743" s="2330"/>
      <c r="AF743" s="2330"/>
      <c r="AG743" s="2330">
        <f t="shared" si="509"/>
        <v>0</v>
      </c>
      <c r="AH743" s="2330"/>
      <c r="AI743" s="2330"/>
      <c r="AJ743" s="2330">
        <f t="shared" si="516"/>
        <v>0</v>
      </c>
      <c r="AK743" s="2330"/>
      <c r="AL743" s="2330"/>
      <c r="AM743" s="2331">
        <f t="shared" si="503"/>
        <v>0</v>
      </c>
      <c r="AN743" s="2331"/>
      <c r="AO743" s="2331"/>
      <c r="AP743" s="2331"/>
      <c r="AQ743" s="2332">
        <f t="shared" si="517"/>
        <v>0</v>
      </c>
      <c r="AR743" s="2332"/>
      <c r="AS743" s="2332"/>
      <c r="AT743" s="2332">
        <f t="shared" si="518"/>
        <v>0</v>
      </c>
      <c r="AV743" s="151" t="str">
        <f t="shared" si="498"/>
        <v>DOORS &amp; TRIM</v>
      </c>
      <c r="AW743" s="681"/>
      <c r="AX743" s="230"/>
      <c r="AY743" s="230"/>
      <c r="AZ743" s="679"/>
      <c r="BA743" s="49">
        <f t="shared" si="519"/>
        <v>0</v>
      </c>
      <c r="BB743" s="49">
        <f t="shared" si="524"/>
        <v>0</v>
      </c>
      <c r="BC743" s="49">
        <f t="shared" si="525"/>
        <v>0</v>
      </c>
      <c r="BD743" s="49">
        <f t="shared" si="520"/>
        <v>0</v>
      </c>
      <c r="BE743" s="49">
        <f t="shared" si="526"/>
        <v>0</v>
      </c>
      <c r="BF743" s="49">
        <f t="shared" si="521"/>
        <v>0</v>
      </c>
      <c r="BG743" s="49">
        <f t="shared" si="522"/>
        <v>0</v>
      </c>
      <c r="BI743" s="134">
        <f t="shared" si="527"/>
        <v>0</v>
      </c>
      <c r="BJ743" s="134">
        <f t="shared" si="523"/>
        <v>0</v>
      </c>
      <c r="BK743" s="134">
        <f t="shared" si="528"/>
        <v>0</v>
      </c>
    </row>
    <row r="744" spans="1:63" hidden="1">
      <c r="A744" s="187"/>
      <c r="B744" s="2333"/>
      <c r="C744" s="2333"/>
      <c r="D744" s="2334"/>
      <c r="E744" s="2334"/>
      <c r="F744" s="2334"/>
      <c r="G744" s="2334"/>
      <c r="H744" s="2334"/>
      <c r="I744" s="2334"/>
      <c r="J744" s="2334"/>
      <c r="K744" s="2334"/>
      <c r="L744" s="2334"/>
      <c r="M744" s="2334"/>
      <c r="N744" s="2334"/>
      <c r="O744" s="2334"/>
      <c r="P744" s="2324"/>
      <c r="Q744" s="2324"/>
      <c r="R744" s="2325"/>
      <c r="S744" s="2324"/>
      <c r="T744" s="2324"/>
      <c r="U744" s="2326"/>
      <c r="V744" s="2327"/>
      <c r="W744" s="2327"/>
      <c r="X744" s="2327"/>
      <c r="Y744" s="2327"/>
      <c r="Z744" s="2327"/>
      <c r="AA744" s="2328"/>
      <c r="AB744" s="2329"/>
      <c r="AC744" s="2326"/>
      <c r="AD744" s="2330">
        <f t="shared" si="515"/>
        <v>0</v>
      </c>
      <c r="AE744" s="2330"/>
      <c r="AF744" s="2330"/>
      <c r="AG744" s="2330">
        <f t="shared" si="509"/>
        <v>0</v>
      </c>
      <c r="AH744" s="2330"/>
      <c r="AI744" s="2330"/>
      <c r="AJ744" s="2330">
        <f t="shared" si="516"/>
        <v>0</v>
      </c>
      <c r="AK744" s="2330"/>
      <c r="AL744" s="2330"/>
      <c r="AM744" s="2331">
        <f t="shared" si="503"/>
        <v>0</v>
      </c>
      <c r="AN744" s="2331"/>
      <c r="AO744" s="2331"/>
      <c r="AP744" s="2331"/>
      <c r="AQ744" s="2332">
        <f t="shared" si="517"/>
        <v>0</v>
      </c>
      <c r="AR744" s="2332"/>
      <c r="AS744" s="2332"/>
      <c r="AT744" s="2332">
        <f t="shared" si="518"/>
        <v>0</v>
      </c>
      <c r="AV744" s="151" t="str">
        <f t="shared" si="498"/>
        <v>DOORS &amp; TRIM</v>
      </c>
      <c r="AW744" s="681"/>
      <c r="AX744" s="230"/>
      <c r="AY744" s="230"/>
      <c r="AZ744" s="679"/>
      <c r="BA744" s="49">
        <f t="shared" si="519"/>
        <v>0</v>
      </c>
      <c r="BB744" s="49">
        <f t="shared" si="524"/>
        <v>0</v>
      </c>
      <c r="BC744" s="49">
        <f t="shared" si="525"/>
        <v>0</v>
      </c>
      <c r="BD744" s="49">
        <f t="shared" si="520"/>
        <v>0</v>
      </c>
      <c r="BE744" s="49">
        <f t="shared" si="526"/>
        <v>0</v>
      </c>
      <c r="BF744" s="49">
        <f t="shared" si="521"/>
        <v>0</v>
      </c>
      <c r="BG744" s="49">
        <f t="shared" si="522"/>
        <v>0</v>
      </c>
      <c r="BI744" s="134">
        <f t="shared" si="527"/>
        <v>0</v>
      </c>
      <c r="BJ744" s="134">
        <f t="shared" si="523"/>
        <v>0</v>
      </c>
      <c r="BK744" s="134">
        <f t="shared" si="528"/>
        <v>0</v>
      </c>
    </row>
    <row r="745" spans="1:63" hidden="1">
      <c r="A745" s="187"/>
      <c r="B745" s="2333"/>
      <c r="C745" s="2333"/>
      <c r="D745" s="2334"/>
      <c r="E745" s="2334"/>
      <c r="F745" s="2334"/>
      <c r="G745" s="2334"/>
      <c r="H745" s="2334"/>
      <c r="I745" s="2334"/>
      <c r="J745" s="2334"/>
      <c r="K745" s="2334"/>
      <c r="L745" s="2334"/>
      <c r="M745" s="2334"/>
      <c r="N745" s="2334"/>
      <c r="O745" s="2334"/>
      <c r="P745" s="2324"/>
      <c r="Q745" s="2324"/>
      <c r="R745" s="2325"/>
      <c r="S745" s="2324"/>
      <c r="T745" s="2324"/>
      <c r="U745" s="2326"/>
      <c r="V745" s="2327"/>
      <c r="W745" s="2327"/>
      <c r="X745" s="2327"/>
      <c r="Y745" s="2327"/>
      <c r="Z745" s="2327"/>
      <c r="AA745" s="2328"/>
      <c r="AB745" s="2329"/>
      <c r="AC745" s="2326"/>
      <c r="AD745" s="2330">
        <f t="shared" si="515"/>
        <v>0</v>
      </c>
      <c r="AE745" s="2330"/>
      <c r="AF745" s="2330"/>
      <c r="AG745" s="2330">
        <f t="shared" si="509"/>
        <v>0</v>
      </c>
      <c r="AH745" s="2330"/>
      <c r="AI745" s="2330"/>
      <c r="AJ745" s="2330">
        <f t="shared" si="516"/>
        <v>0</v>
      </c>
      <c r="AK745" s="2330"/>
      <c r="AL745" s="2330"/>
      <c r="AM745" s="2331">
        <f t="shared" si="503"/>
        <v>0</v>
      </c>
      <c r="AN745" s="2331"/>
      <c r="AO745" s="2331"/>
      <c r="AP745" s="2331"/>
      <c r="AQ745" s="2332">
        <f t="shared" si="517"/>
        <v>0</v>
      </c>
      <c r="AR745" s="2332"/>
      <c r="AS745" s="2332"/>
      <c r="AT745" s="2332">
        <f t="shared" si="518"/>
        <v>0</v>
      </c>
      <c r="AV745" s="151" t="str">
        <f t="shared" si="498"/>
        <v>DOORS &amp; TRIM</v>
      </c>
      <c r="AW745" s="681"/>
      <c r="AX745" s="230"/>
      <c r="AY745" s="230"/>
      <c r="AZ745" s="679"/>
      <c r="BA745" s="49">
        <f t="shared" si="519"/>
        <v>0</v>
      </c>
      <c r="BB745" s="49">
        <f t="shared" si="524"/>
        <v>0</v>
      </c>
      <c r="BC745" s="49">
        <f t="shared" si="525"/>
        <v>0</v>
      </c>
      <c r="BD745" s="49">
        <f t="shared" si="520"/>
        <v>0</v>
      </c>
      <c r="BE745" s="49">
        <f t="shared" si="526"/>
        <v>0</v>
      </c>
      <c r="BF745" s="49">
        <f t="shared" si="521"/>
        <v>0</v>
      </c>
      <c r="BG745" s="49">
        <f t="shared" si="522"/>
        <v>0</v>
      </c>
      <c r="BI745" s="134">
        <f t="shared" si="527"/>
        <v>0</v>
      </c>
      <c r="BJ745" s="134">
        <f t="shared" si="523"/>
        <v>0</v>
      </c>
      <c r="BK745" s="134">
        <f t="shared" si="528"/>
        <v>0</v>
      </c>
    </row>
    <row r="746" spans="1:63" hidden="1">
      <c r="A746" s="187"/>
      <c r="B746" s="2321"/>
      <c r="C746" s="2322"/>
      <c r="D746" s="2334"/>
      <c r="E746" s="2334"/>
      <c r="F746" s="2334"/>
      <c r="G746" s="2334"/>
      <c r="H746" s="2334"/>
      <c r="I746" s="2334"/>
      <c r="J746" s="2334"/>
      <c r="K746" s="2334"/>
      <c r="L746" s="2334"/>
      <c r="M746" s="2334"/>
      <c r="N746" s="2334"/>
      <c r="O746" s="2334"/>
      <c r="P746" s="2324"/>
      <c r="Q746" s="2324"/>
      <c r="R746" s="2325"/>
      <c r="S746" s="2324"/>
      <c r="T746" s="2324"/>
      <c r="U746" s="2326"/>
      <c r="V746" s="2327"/>
      <c r="W746" s="2327"/>
      <c r="X746" s="2327"/>
      <c r="Y746" s="2327"/>
      <c r="Z746" s="2327"/>
      <c r="AA746" s="2328"/>
      <c r="AB746" s="2329"/>
      <c r="AC746" s="2326"/>
      <c r="AD746" s="2330">
        <f t="shared" si="515"/>
        <v>0</v>
      </c>
      <c r="AE746" s="2330"/>
      <c r="AF746" s="2330"/>
      <c r="AG746" s="2330">
        <f t="shared" si="509"/>
        <v>0</v>
      </c>
      <c r="AH746" s="2330"/>
      <c r="AI746" s="2330"/>
      <c r="AJ746" s="2330">
        <f t="shared" si="516"/>
        <v>0</v>
      </c>
      <c r="AK746" s="2330"/>
      <c r="AL746" s="2330"/>
      <c r="AM746" s="2331">
        <f t="shared" si="503"/>
        <v>0</v>
      </c>
      <c r="AN746" s="2331"/>
      <c r="AO746" s="2331"/>
      <c r="AP746" s="2331"/>
      <c r="AQ746" s="2332">
        <f t="shared" si="517"/>
        <v>0</v>
      </c>
      <c r="AR746" s="2332"/>
      <c r="AS746" s="2332"/>
      <c r="AT746" s="2332">
        <f t="shared" si="518"/>
        <v>0</v>
      </c>
      <c r="AV746" s="151" t="str">
        <f t="shared" si="498"/>
        <v>DOORS &amp; TRIM</v>
      </c>
      <c r="AW746" s="681"/>
      <c r="AX746" s="230"/>
      <c r="AY746" s="230"/>
      <c r="AZ746" s="679"/>
      <c r="BA746" s="49">
        <f t="shared" si="519"/>
        <v>0</v>
      </c>
      <c r="BB746" s="49">
        <f t="shared" si="524"/>
        <v>0</v>
      </c>
      <c r="BC746" s="49">
        <f t="shared" si="525"/>
        <v>0</v>
      </c>
      <c r="BD746" s="49">
        <f t="shared" si="520"/>
        <v>0</v>
      </c>
      <c r="BE746" s="49">
        <f t="shared" si="526"/>
        <v>0</v>
      </c>
      <c r="BF746" s="49">
        <f t="shared" si="521"/>
        <v>0</v>
      </c>
      <c r="BG746" s="49">
        <f t="shared" si="522"/>
        <v>0</v>
      </c>
      <c r="BI746" s="134">
        <f t="shared" si="527"/>
        <v>0</v>
      </c>
      <c r="BJ746" s="134">
        <f t="shared" si="523"/>
        <v>0</v>
      </c>
      <c r="BK746" s="134">
        <f t="shared" si="528"/>
        <v>0</v>
      </c>
    </row>
    <row r="747" spans="1:63" hidden="1">
      <c r="A747" s="187"/>
      <c r="B747" s="2321"/>
      <c r="C747" s="2322"/>
      <c r="D747" s="2334"/>
      <c r="E747" s="2334"/>
      <c r="F747" s="2334"/>
      <c r="G747" s="2334"/>
      <c r="H747" s="2334"/>
      <c r="I747" s="2334"/>
      <c r="J747" s="2334"/>
      <c r="K747" s="2334"/>
      <c r="L747" s="2334"/>
      <c r="M747" s="2334"/>
      <c r="N747" s="2334"/>
      <c r="O747" s="2334"/>
      <c r="P747" s="2324"/>
      <c r="Q747" s="2324"/>
      <c r="R747" s="2325"/>
      <c r="S747" s="2324"/>
      <c r="T747" s="2324"/>
      <c r="U747" s="2326"/>
      <c r="V747" s="2327"/>
      <c r="W747" s="2327"/>
      <c r="X747" s="2327"/>
      <c r="Y747" s="2327"/>
      <c r="Z747" s="2327"/>
      <c r="AA747" s="2328"/>
      <c r="AB747" s="2329"/>
      <c r="AC747" s="2326"/>
      <c r="AD747" s="2330">
        <f t="shared" si="515"/>
        <v>0</v>
      </c>
      <c r="AE747" s="2330"/>
      <c r="AF747" s="2330"/>
      <c r="AG747" s="2330">
        <f t="shared" si="509"/>
        <v>0</v>
      </c>
      <c r="AH747" s="2330"/>
      <c r="AI747" s="2330"/>
      <c r="AJ747" s="2330">
        <f t="shared" si="516"/>
        <v>0</v>
      </c>
      <c r="AK747" s="2330"/>
      <c r="AL747" s="2330"/>
      <c r="AM747" s="2331">
        <f t="shared" si="503"/>
        <v>0</v>
      </c>
      <c r="AN747" s="2331"/>
      <c r="AO747" s="2331"/>
      <c r="AP747" s="2331"/>
      <c r="AQ747" s="2332">
        <f t="shared" si="517"/>
        <v>0</v>
      </c>
      <c r="AR747" s="2332"/>
      <c r="AS747" s="2332"/>
      <c r="AT747" s="2332">
        <f t="shared" si="518"/>
        <v>0</v>
      </c>
      <c r="AV747" s="151" t="str">
        <f t="shared" si="498"/>
        <v>DOORS &amp; TRIM</v>
      </c>
      <c r="AW747" s="681"/>
      <c r="AX747" s="230"/>
      <c r="AY747" s="230"/>
      <c r="AZ747" s="679"/>
      <c r="BA747" s="49">
        <f t="shared" si="519"/>
        <v>0</v>
      </c>
      <c r="BB747" s="49">
        <f t="shared" si="524"/>
        <v>0</v>
      </c>
      <c r="BC747" s="49">
        <f t="shared" si="525"/>
        <v>0</v>
      </c>
      <c r="BD747" s="49">
        <f t="shared" si="520"/>
        <v>0</v>
      </c>
      <c r="BE747" s="49">
        <f t="shared" si="526"/>
        <v>0</v>
      </c>
      <c r="BF747" s="49">
        <f t="shared" si="521"/>
        <v>0</v>
      </c>
      <c r="BG747" s="49">
        <f t="shared" si="522"/>
        <v>0</v>
      </c>
      <c r="BI747" s="134">
        <f t="shared" si="527"/>
        <v>0</v>
      </c>
      <c r="BJ747" s="134">
        <f t="shared" si="523"/>
        <v>0</v>
      </c>
      <c r="BK747" s="134">
        <f t="shared" si="528"/>
        <v>0</v>
      </c>
    </row>
    <row r="748" spans="1:63" hidden="1">
      <c r="A748" s="187"/>
      <c r="B748" s="2321"/>
      <c r="C748" s="2322"/>
      <c r="D748" s="2334"/>
      <c r="E748" s="2334"/>
      <c r="F748" s="2334"/>
      <c r="G748" s="2334"/>
      <c r="H748" s="2334"/>
      <c r="I748" s="2334"/>
      <c r="J748" s="2334"/>
      <c r="K748" s="2334"/>
      <c r="L748" s="2334"/>
      <c r="M748" s="2334"/>
      <c r="N748" s="2334"/>
      <c r="O748" s="2334"/>
      <c r="P748" s="2324"/>
      <c r="Q748" s="2324"/>
      <c r="R748" s="2325"/>
      <c r="S748" s="2324"/>
      <c r="T748" s="2324"/>
      <c r="U748" s="2326"/>
      <c r="V748" s="2327"/>
      <c r="W748" s="2327"/>
      <c r="X748" s="2327"/>
      <c r="Y748" s="2327"/>
      <c r="Z748" s="2327"/>
      <c r="AA748" s="2328"/>
      <c r="AB748" s="2329"/>
      <c r="AC748" s="2326"/>
      <c r="AD748" s="2330">
        <f t="shared" si="515"/>
        <v>0</v>
      </c>
      <c r="AE748" s="2330"/>
      <c r="AF748" s="2330"/>
      <c r="AG748" s="2330">
        <f t="shared" si="509"/>
        <v>0</v>
      </c>
      <c r="AH748" s="2330"/>
      <c r="AI748" s="2330"/>
      <c r="AJ748" s="2330">
        <f t="shared" si="516"/>
        <v>0</v>
      </c>
      <c r="AK748" s="2330"/>
      <c r="AL748" s="2330"/>
      <c r="AM748" s="2331">
        <f t="shared" si="503"/>
        <v>0</v>
      </c>
      <c r="AN748" s="2331"/>
      <c r="AO748" s="2331"/>
      <c r="AP748" s="2331"/>
      <c r="AQ748" s="2332">
        <f t="shared" si="517"/>
        <v>0</v>
      </c>
      <c r="AR748" s="2332"/>
      <c r="AS748" s="2332"/>
      <c r="AT748" s="2332">
        <f t="shared" si="518"/>
        <v>0</v>
      </c>
      <c r="AV748" s="151" t="str">
        <f t="shared" si="498"/>
        <v>DOORS &amp; TRIM</v>
      </c>
      <c r="AW748" s="681"/>
      <c r="AX748" s="230"/>
      <c r="AY748" s="230"/>
      <c r="AZ748" s="679"/>
      <c r="BA748" s="49">
        <f t="shared" si="519"/>
        <v>0</v>
      </c>
      <c r="BB748" s="49">
        <f t="shared" si="524"/>
        <v>0</v>
      </c>
      <c r="BC748" s="49">
        <f t="shared" si="525"/>
        <v>0</v>
      </c>
      <c r="BD748" s="49">
        <f t="shared" si="520"/>
        <v>0</v>
      </c>
      <c r="BE748" s="49">
        <f t="shared" si="526"/>
        <v>0</v>
      </c>
      <c r="BF748" s="49">
        <f t="shared" si="521"/>
        <v>0</v>
      </c>
      <c r="BG748" s="49">
        <f t="shared" si="522"/>
        <v>0</v>
      </c>
      <c r="BI748" s="134">
        <f t="shared" si="527"/>
        <v>0</v>
      </c>
      <c r="BJ748" s="134">
        <f t="shared" si="523"/>
        <v>0</v>
      </c>
      <c r="BK748" s="134">
        <f t="shared" si="528"/>
        <v>0</v>
      </c>
    </row>
    <row r="749" spans="1:63" hidden="1">
      <c r="A749" s="187"/>
      <c r="B749" s="2333"/>
      <c r="C749" s="2333"/>
      <c r="D749" s="2334"/>
      <c r="E749" s="2334"/>
      <c r="F749" s="2334"/>
      <c r="G749" s="2334"/>
      <c r="H749" s="2334"/>
      <c r="I749" s="2334"/>
      <c r="J749" s="2334"/>
      <c r="K749" s="2334"/>
      <c r="L749" s="2334"/>
      <c r="M749" s="2334"/>
      <c r="N749" s="2334"/>
      <c r="O749" s="2334"/>
      <c r="P749" s="2324"/>
      <c r="Q749" s="2324"/>
      <c r="R749" s="2325"/>
      <c r="S749" s="2324"/>
      <c r="T749" s="2324"/>
      <c r="U749" s="2326"/>
      <c r="V749" s="2327"/>
      <c r="W749" s="2327"/>
      <c r="X749" s="2327"/>
      <c r="Y749" s="2327"/>
      <c r="Z749" s="2327"/>
      <c r="AA749" s="2328"/>
      <c r="AB749" s="2329"/>
      <c r="AC749" s="2326"/>
      <c r="AD749" s="2330">
        <f t="shared" si="515"/>
        <v>0</v>
      </c>
      <c r="AE749" s="2330"/>
      <c r="AF749" s="2330"/>
      <c r="AG749" s="2330">
        <f t="shared" si="509"/>
        <v>0</v>
      </c>
      <c r="AH749" s="2330"/>
      <c r="AI749" s="2330"/>
      <c r="AJ749" s="2330">
        <f t="shared" si="516"/>
        <v>0</v>
      </c>
      <c r="AK749" s="2330"/>
      <c r="AL749" s="2330"/>
      <c r="AM749" s="2331">
        <f t="shared" si="503"/>
        <v>0</v>
      </c>
      <c r="AN749" s="2331"/>
      <c r="AO749" s="2331"/>
      <c r="AP749" s="2331"/>
      <c r="AQ749" s="2332">
        <f t="shared" si="517"/>
        <v>0</v>
      </c>
      <c r="AR749" s="2332"/>
      <c r="AS749" s="2332"/>
      <c r="AT749" s="2332">
        <f t="shared" si="518"/>
        <v>0</v>
      </c>
      <c r="AV749" s="151" t="str">
        <f t="shared" si="498"/>
        <v>DOORS &amp; TRIM</v>
      </c>
      <c r="AW749" s="681"/>
      <c r="AX749" s="230"/>
      <c r="AY749" s="230"/>
      <c r="AZ749" s="679"/>
      <c r="BA749" s="49">
        <f t="shared" si="519"/>
        <v>0</v>
      </c>
      <c r="BB749" s="49">
        <f t="shared" si="524"/>
        <v>0</v>
      </c>
      <c r="BC749" s="49">
        <f t="shared" si="525"/>
        <v>0</v>
      </c>
      <c r="BD749" s="49">
        <f t="shared" si="520"/>
        <v>0</v>
      </c>
      <c r="BE749" s="49">
        <f t="shared" si="526"/>
        <v>0</v>
      </c>
      <c r="BF749" s="49">
        <f t="shared" si="521"/>
        <v>0</v>
      </c>
      <c r="BG749" s="49">
        <f t="shared" si="522"/>
        <v>0</v>
      </c>
      <c r="BI749" s="134">
        <f t="shared" si="527"/>
        <v>0</v>
      </c>
      <c r="BJ749" s="134">
        <f t="shared" si="523"/>
        <v>0</v>
      </c>
      <c r="BK749" s="134">
        <f t="shared" si="528"/>
        <v>0</v>
      </c>
    </row>
    <row r="750" spans="1:63" hidden="1">
      <c r="A750" s="187"/>
      <c r="B750" s="2333"/>
      <c r="C750" s="2333"/>
      <c r="D750" s="2334"/>
      <c r="E750" s="2334"/>
      <c r="F750" s="2334"/>
      <c r="G750" s="2334"/>
      <c r="H750" s="2334"/>
      <c r="I750" s="2334"/>
      <c r="J750" s="2334"/>
      <c r="K750" s="2334"/>
      <c r="L750" s="2334"/>
      <c r="M750" s="2334"/>
      <c r="N750" s="2334"/>
      <c r="O750" s="2334"/>
      <c r="P750" s="2324"/>
      <c r="Q750" s="2324"/>
      <c r="R750" s="2325"/>
      <c r="S750" s="2324"/>
      <c r="T750" s="2324"/>
      <c r="U750" s="2326"/>
      <c r="V750" s="2327"/>
      <c r="W750" s="2327"/>
      <c r="X750" s="2327"/>
      <c r="Y750" s="2327"/>
      <c r="Z750" s="2327"/>
      <c r="AA750" s="2328"/>
      <c r="AB750" s="2329"/>
      <c r="AC750" s="2326"/>
      <c r="AD750" s="2330">
        <f t="shared" si="515"/>
        <v>0</v>
      </c>
      <c r="AE750" s="2330"/>
      <c r="AF750" s="2330"/>
      <c r="AG750" s="2330">
        <f t="shared" si="509"/>
        <v>0</v>
      </c>
      <c r="AH750" s="2330"/>
      <c r="AI750" s="2330"/>
      <c r="AJ750" s="2330">
        <f t="shared" si="516"/>
        <v>0</v>
      </c>
      <c r="AK750" s="2330"/>
      <c r="AL750" s="2330"/>
      <c r="AM750" s="2331">
        <f t="shared" si="503"/>
        <v>0</v>
      </c>
      <c r="AN750" s="2331"/>
      <c r="AO750" s="2331"/>
      <c r="AP750" s="2331"/>
      <c r="AQ750" s="2332">
        <f t="shared" si="517"/>
        <v>0</v>
      </c>
      <c r="AR750" s="2332"/>
      <c r="AS750" s="2332"/>
      <c r="AT750" s="2332">
        <f t="shared" si="518"/>
        <v>0</v>
      </c>
      <c r="AV750" s="151" t="str">
        <f t="shared" si="498"/>
        <v>DOORS &amp; TRIM</v>
      </c>
      <c r="AW750" s="681"/>
      <c r="AX750" s="230"/>
      <c r="AY750" s="230"/>
      <c r="AZ750" s="679"/>
      <c r="BA750" s="49">
        <f t="shared" si="519"/>
        <v>0</v>
      </c>
      <c r="BB750" s="49">
        <f t="shared" si="524"/>
        <v>0</v>
      </c>
      <c r="BC750" s="49">
        <f t="shared" si="525"/>
        <v>0</v>
      </c>
      <c r="BD750" s="49">
        <f t="shared" si="520"/>
        <v>0</v>
      </c>
      <c r="BE750" s="49">
        <f t="shared" si="526"/>
        <v>0</v>
      </c>
      <c r="BF750" s="49">
        <f t="shared" si="521"/>
        <v>0</v>
      </c>
      <c r="BG750" s="49">
        <f t="shared" si="522"/>
        <v>0</v>
      </c>
      <c r="BI750" s="134">
        <f t="shared" si="527"/>
        <v>0</v>
      </c>
      <c r="BJ750" s="134">
        <f t="shared" si="523"/>
        <v>0</v>
      </c>
      <c r="BK750" s="134">
        <f t="shared" si="528"/>
        <v>0</v>
      </c>
    </row>
    <row r="751" spans="1:63" hidden="1">
      <c r="A751" s="187"/>
      <c r="B751" s="2321"/>
      <c r="C751" s="2322"/>
      <c r="D751" s="2334"/>
      <c r="E751" s="2334"/>
      <c r="F751" s="2334"/>
      <c r="G751" s="2334"/>
      <c r="H751" s="2334"/>
      <c r="I751" s="2334"/>
      <c r="J751" s="2334"/>
      <c r="K751" s="2334"/>
      <c r="L751" s="2334"/>
      <c r="M751" s="2334"/>
      <c r="N751" s="2334"/>
      <c r="O751" s="2334"/>
      <c r="P751" s="2324"/>
      <c r="Q751" s="2324"/>
      <c r="R751" s="2325"/>
      <c r="S751" s="2324"/>
      <c r="T751" s="2324"/>
      <c r="U751" s="2326"/>
      <c r="V751" s="2327"/>
      <c r="W751" s="2327"/>
      <c r="X751" s="2327"/>
      <c r="Y751" s="2327"/>
      <c r="Z751" s="2327"/>
      <c r="AA751" s="2328"/>
      <c r="AB751" s="2329"/>
      <c r="AC751" s="2326"/>
      <c r="AD751" s="2330">
        <f t="shared" si="515"/>
        <v>0</v>
      </c>
      <c r="AE751" s="2330"/>
      <c r="AF751" s="2330"/>
      <c r="AG751" s="2330">
        <f t="shared" si="509"/>
        <v>0</v>
      </c>
      <c r="AH751" s="2330"/>
      <c r="AI751" s="2330"/>
      <c r="AJ751" s="2330">
        <f t="shared" si="516"/>
        <v>0</v>
      </c>
      <c r="AK751" s="2330"/>
      <c r="AL751" s="2330"/>
      <c r="AM751" s="2331">
        <f t="shared" si="503"/>
        <v>0</v>
      </c>
      <c r="AN751" s="2331"/>
      <c r="AO751" s="2331"/>
      <c r="AP751" s="2331"/>
      <c r="AQ751" s="2332">
        <f t="shared" si="517"/>
        <v>0</v>
      </c>
      <c r="AR751" s="2332"/>
      <c r="AS751" s="2332"/>
      <c r="AT751" s="2332">
        <f t="shared" si="518"/>
        <v>0</v>
      </c>
      <c r="AV751" s="151" t="str">
        <f t="shared" si="498"/>
        <v>DOORS &amp; TRIM</v>
      </c>
      <c r="AW751" s="681"/>
      <c r="AX751" s="230"/>
      <c r="AY751" s="230"/>
      <c r="AZ751" s="679"/>
      <c r="BA751" s="49">
        <f t="shared" si="519"/>
        <v>0</v>
      </c>
      <c r="BB751" s="49">
        <f t="shared" si="524"/>
        <v>0</v>
      </c>
      <c r="BC751" s="49">
        <f t="shared" si="525"/>
        <v>0</v>
      </c>
      <c r="BD751" s="49">
        <f t="shared" si="520"/>
        <v>0</v>
      </c>
      <c r="BE751" s="49">
        <f t="shared" si="526"/>
        <v>0</v>
      </c>
      <c r="BF751" s="49">
        <f t="shared" si="521"/>
        <v>0</v>
      </c>
      <c r="BG751" s="49">
        <f t="shared" si="522"/>
        <v>0</v>
      </c>
      <c r="BI751" s="134">
        <f t="shared" si="527"/>
        <v>0</v>
      </c>
      <c r="BJ751" s="134">
        <f t="shared" si="523"/>
        <v>0</v>
      </c>
      <c r="BK751" s="134">
        <f t="shared" si="528"/>
        <v>0</v>
      </c>
    </row>
    <row r="752" spans="1:63" hidden="1">
      <c r="A752" s="187"/>
      <c r="B752" s="2321"/>
      <c r="C752" s="2322"/>
      <c r="D752" s="2334"/>
      <c r="E752" s="2334"/>
      <c r="F752" s="2334"/>
      <c r="G752" s="2334"/>
      <c r="H752" s="2334"/>
      <c r="I752" s="2334"/>
      <c r="J752" s="2334"/>
      <c r="K752" s="2334"/>
      <c r="L752" s="2334"/>
      <c r="M752" s="2334"/>
      <c r="N752" s="2334"/>
      <c r="O752" s="2334"/>
      <c r="P752" s="2324"/>
      <c r="Q752" s="2324"/>
      <c r="R752" s="2325"/>
      <c r="S752" s="2324"/>
      <c r="T752" s="2324"/>
      <c r="U752" s="2326"/>
      <c r="V752" s="2327"/>
      <c r="W752" s="2327"/>
      <c r="X752" s="2327"/>
      <c r="Y752" s="2327"/>
      <c r="Z752" s="2327"/>
      <c r="AA752" s="2328"/>
      <c r="AB752" s="2329"/>
      <c r="AC752" s="2326"/>
      <c r="AD752" s="2330">
        <f t="shared" si="515"/>
        <v>0</v>
      </c>
      <c r="AE752" s="2330"/>
      <c r="AF752" s="2330"/>
      <c r="AG752" s="2330">
        <f t="shared" si="509"/>
        <v>0</v>
      </c>
      <c r="AH752" s="2330"/>
      <c r="AI752" s="2330"/>
      <c r="AJ752" s="2330">
        <f t="shared" si="516"/>
        <v>0</v>
      </c>
      <c r="AK752" s="2330"/>
      <c r="AL752" s="2330"/>
      <c r="AM752" s="2331">
        <f t="shared" si="503"/>
        <v>0</v>
      </c>
      <c r="AN752" s="2331"/>
      <c r="AO752" s="2331"/>
      <c r="AP752" s="2331"/>
      <c r="AQ752" s="2332">
        <f t="shared" si="517"/>
        <v>0</v>
      </c>
      <c r="AR752" s="2332"/>
      <c r="AS752" s="2332"/>
      <c r="AT752" s="2332">
        <f t="shared" si="518"/>
        <v>0</v>
      </c>
      <c r="AV752" s="151" t="str">
        <f t="shared" si="498"/>
        <v>DOORS &amp; TRIM</v>
      </c>
      <c r="AW752" s="681"/>
      <c r="AX752" s="230"/>
      <c r="AY752" s="230"/>
      <c r="AZ752" s="679"/>
      <c r="BA752" s="49">
        <f t="shared" si="519"/>
        <v>0</v>
      </c>
      <c r="BB752" s="49">
        <f t="shared" si="524"/>
        <v>0</v>
      </c>
      <c r="BC752" s="49">
        <f t="shared" si="525"/>
        <v>0</v>
      </c>
      <c r="BD752" s="49">
        <f t="shared" si="520"/>
        <v>0</v>
      </c>
      <c r="BE752" s="49">
        <f t="shared" si="526"/>
        <v>0</v>
      </c>
      <c r="BF752" s="49">
        <f t="shared" si="521"/>
        <v>0</v>
      </c>
      <c r="BG752" s="49">
        <f t="shared" si="522"/>
        <v>0</v>
      </c>
      <c r="BI752" s="134">
        <f t="shared" si="527"/>
        <v>0</v>
      </c>
      <c r="BJ752" s="134">
        <f t="shared" si="523"/>
        <v>0</v>
      </c>
      <c r="BK752" s="134">
        <f t="shared" si="528"/>
        <v>0</v>
      </c>
    </row>
    <row r="753" spans="1:63" hidden="1">
      <c r="A753" s="187"/>
      <c r="B753" s="2321"/>
      <c r="C753" s="2322"/>
      <c r="D753" s="2334"/>
      <c r="E753" s="2334"/>
      <c r="F753" s="2334"/>
      <c r="G753" s="2334"/>
      <c r="H753" s="2334"/>
      <c r="I753" s="2334"/>
      <c r="J753" s="2334"/>
      <c r="K753" s="2334"/>
      <c r="L753" s="2334"/>
      <c r="M753" s="2334"/>
      <c r="N753" s="2334"/>
      <c r="O753" s="2334"/>
      <c r="P753" s="2324"/>
      <c r="Q753" s="2324"/>
      <c r="R753" s="2325"/>
      <c r="S753" s="2324"/>
      <c r="T753" s="2324"/>
      <c r="U753" s="2326"/>
      <c r="V753" s="2327"/>
      <c r="W753" s="2327"/>
      <c r="X753" s="2327"/>
      <c r="Y753" s="2327"/>
      <c r="Z753" s="2327"/>
      <c r="AA753" s="2328"/>
      <c r="AB753" s="2329"/>
      <c r="AC753" s="2326"/>
      <c r="AD753" s="2330">
        <f t="shared" si="515"/>
        <v>0</v>
      </c>
      <c r="AE753" s="2330"/>
      <c r="AF753" s="2330"/>
      <c r="AG753" s="2330">
        <f t="shared" si="509"/>
        <v>0</v>
      </c>
      <c r="AH753" s="2330"/>
      <c r="AI753" s="2330"/>
      <c r="AJ753" s="2330">
        <f t="shared" si="516"/>
        <v>0</v>
      </c>
      <c r="AK753" s="2330"/>
      <c r="AL753" s="2330"/>
      <c r="AM753" s="2331">
        <f t="shared" si="503"/>
        <v>0</v>
      </c>
      <c r="AN753" s="2331"/>
      <c r="AO753" s="2331"/>
      <c r="AP753" s="2331"/>
      <c r="AQ753" s="2332">
        <f t="shared" si="517"/>
        <v>0</v>
      </c>
      <c r="AR753" s="2332"/>
      <c r="AS753" s="2332"/>
      <c r="AT753" s="2332">
        <f t="shared" si="518"/>
        <v>0</v>
      </c>
      <c r="AV753" s="151" t="str">
        <f t="shared" si="498"/>
        <v>DOORS &amp; TRIM</v>
      </c>
      <c r="AW753" s="681"/>
      <c r="AX753" s="230"/>
      <c r="AY753" s="230"/>
      <c r="AZ753" s="679"/>
      <c r="BA753" s="49">
        <f t="shared" si="519"/>
        <v>0</v>
      </c>
      <c r="BB753" s="49">
        <f t="shared" si="524"/>
        <v>0</v>
      </c>
      <c r="BC753" s="49">
        <f t="shared" si="525"/>
        <v>0</v>
      </c>
      <c r="BD753" s="49">
        <f t="shared" si="520"/>
        <v>0</v>
      </c>
      <c r="BE753" s="49">
        <f t="shared" si="526"/>
        <v>0</v>
      </c>
      <c r="BF753" s="49">
        <f t="shared" si="521"/>
        <v>0</v>
      </c>
      <c r="BG753" s="49">
        <f t="shared" si="522"/>
        <v>0</v>
      </c>
      <c r="BI753" s="134">
        <f t="shared" si="527"/>
        <v>0</v>
      </c>
      <c r="BJ753" s="134">
        <f t="shared" si="523"/>
        <v>0</v>
      </c>
      <c r="BK753" s="134">
        <f t="shared" si="528"/>
        <v>0</v>
      </c>
    </row>
    <row r="754" spans="1:63" hidden="1">
      <c r="A754" s="187"/>
      <c r="B754" s="2333"/>
      <c r="C754" s="2333"/>
      <c r="D754" s="2334"/>
      <c r="E754" s="2334"/>
      <c r="F754" s="2334"/>
      <c r="G754" s="2334"/>
      <c r="H754" s="2334"/>
      <c r="I754" s="2334"/>
      <c r="J754" s="2334"/>
      <c r="K754" s="2334"/>
      <c r="L754" s="2334"/>
      <c r="M754" s="2334"/>
      <c r="N754" s="2334"/>
      <c r="O754" s="2334"/>
      <c r="P754" s="2324"/>
      <c r="Q754" s="2324"/>
      <c r="R754" s="2325"/>
      <c r="S754" s="2324"/>
      <c r="T754" s="2324"/>
      <c r="U754" s="2326"/>
      <c r="V754" s="2327"/>
      <c r="W754" s="2327"/>
      <c r="X754" s="2327"/>
      <c r="Y754" s="2327"/>
      <c r="Z754" s="2327"/>
      <c r="AA754" s="2328"/>
      <c r="AB754" s="2329"/>
      <c r="AC754" s="2326"/>
      <c r="AD754" s="2330">
        <f t="shared" si="515"/>
        <v>0</v>
      </c>
      <c r="AE754" s="2330"/>
      <c r="AF754" s="2330"/>
      <c r="AG754" s="2330">
        <f t="shared" si="509"/>
        <v>0</v>
      </c>
      <c r="AH754" s="2330"/>
      <c r="AI754" s="2330"/>
      <c r="AJ754" s="2330">
        <f t="shared" si="516"/>
        <v>0</v>
      </c>
      <c r="AK754" s="2330"/>
      <c r="AL754" s="2330"/>
      <c r="AM754" s="2331">
        <f t="shared" si="503"/>
        <v>0</v>
      </c>
      <c r="AN754" s="2331"/>
      <c r="AO754" s="2331"/>
      <c r="AP754" s="2331"/>
      <c r="AQ754" s="2332">
        <f t="shared" si="517"/>
        <v>0</v>
      </c>
      <c r="AR754" s="2332"/>
      <c r="AS754" s="2332"/>
      <c r="AT754" s="2332">
        <f t="shared" si="518"/>
        <v>0</v>
      </c>
      <c r="AV754" s="151" t="str">
        <f t="shared" si="498"/>
        <v>DOORS &amp; TRIM</v>
      </c>
      <c r="AW754" s="681"/>
      <c r="AX754" s="230"/>
      <c r="AY754" s="230"/>
      <c r="AZ754" s="679"/>
      <c r="BA754" s="49">
        <f t="shared" si="519"/>
        <v>0</v>
      </c>
      <c r="BB754" s="49">
        <f t="shared" si="524"/>
        <v>0</v>
      </c>
      <c r="BC754" s="49">
        <f t="shared" si="525"/>
        <v>0</v>
      </c>
      <c r="BD754" s="49">
        <f t="shared" si="520"/>
        <v>0</v>
      </c>
      <c r="BE754" s="49">
        <f t="shared" si="526"/>
        <v>0</v>
      </c>
      <c r="BF754" s="49">
        <f t="shared" si="521"/>
        <v>0</v>
      </c>
      <c r="BG754" s="49">
        <f t="shared" si="522"/>
        <v>0</v>
      </c>
      <c r="BI754" s="134">
        <f t="shared" si="527"/>
        <v>0</v>
      </c>
      <c r="BJ754" s="134">
        <f t="shared" si="523"/>
        <v>0</v>
      </c>
      <c r="BK754" s="134">
        <f t="shared" si="528"/>
        <v>0</v>
      </c>
    </row>
    <row r="755" spans="1:63" hidden="1">
      <c r="A755" s="187"/>
      <c r="B755" s="2333"/>
      <c r="C755" s="2333"/>
      <c r="D755" s="2334"/>
      <c r="E755" s="2334"/>
      <c r="F755" s="2334"/>
      <c r="G755" s="2334"/>
      <c r="H755" s="2334"/>
      <c r="I755" s="2334"/>
      <c r="J755" s="2334"/>
      <c r="K755" s="2334"/>
      <c r="L755" s="2334"/>
      <c r="M755" s="2334"/>
      <c r="N755" s="2334"/>
      <c r="O755" s="2334"/>
      <c r="P755" s="2324"/>
      <c r="Q755" s="2324"/>
      <c r="R755" s="2325"/>
      <c r="S755" s="2324"/>
      <c r="T755" s="2324"/>
      <c r="U755" s="2326"/>
      <c r="V755" s="2327"/>
      <c r="W755" s="2327"/>
      <c r="X755" s="2327"/>
      <c r="Y755" s="2327"/>
      <c r="Z755" s="2327"/>
      <c r="AA755" s="2328"/>
      <c r="AB755" s="2329"/>
      <c r="AC755" s="2326"/>
      <c r="AD755" s="2330">
        <f t="shared" si="515"/>
        <v>0</v>
      </c>
      <c r="AE755" s="2330"/>
      <c r="AF755" s="2330"/>
      <c r="AG755" s="2330">
        <f t="shared" si="509"/>
        <v>0</v>
      </c>
      <c r="AH755" s="2330"/>
      <c r="AI755" s="2330"/>
      <c r="AJ755" s="2330">
        <f t="shared" si="516"/>
        <v>0</v>
      </c>
      <c r="AK755" s="2330"/>
      <c r="AL755" s="2330"/>
      <c r="AM755" s="2331">
        <f t="shared" si="503"/>
        <v>0</v>
      </c>
      <c r="AN755" s="2331"/>
      <c r="AO755" s="2331"/>
      <c r="AP755" s="2331"/>
      <c r="AQ755" s="2332">
        <f t="shared" si="517"/>
        <v>0</v>
      </c>
      <c r="AR755" s="2332"/>
      <c r="AS755" s="2332"/>
      <c r="AT755" s="2332">
        <f t="shared" si="518"/>
        <v>0</v>
      </c>
      <c r="AV755" s="151" t="str">
        <f t="shared" si="498"/>
        <v>DOORS &amp; TRIM</v>
      </c>
      <c r="AW755" s="681"/>
      <c r="AX755" s="230"/>
      <c r="AY755" s="230"/>
      <c r="AZ755" s="679"/>
      <c r="BA755" s="49">
        <f t="shared" si="519"/>
        <v>0</v>
      </c>
      <c r="BB755" s="49">
        <f t="shared" si="524"/>
        <v>0</v>
      </c>
      <c r="BC755" s="49">
        <f t="shared" si="525"/>
        <v>0</v>
      </c>
      <c r="BD755" s="49">
        <f t="shared" si="520"/>
        <v>0</v>
      </c>
      <c r="BE755" s="49">
        <f t="shared" si="526"/>
        <v>0</v>
      </c>
      <c r="BF755" s="49">
        <f t="shared" si="521"/>
        <v>0</v>
      </c>
      <c r="BG755" s="49">
        <f t="shared" si="522"/>
        <v>0</v>
      </c>
      <c r="BI755" s="134">
        <f t="shared" si="527"/>
        <v>0</v>
      </c>
      <c r="BJ755" s="134">
        <f t="shared" si="523"/>
        <v>0</v>
      </c>
      <c r="BK755" s="134">
        <f t="shared" si="528"/>
        <v>0</v>
      </c>
    </row>
    <row r="756" spans="1:63" hidden="1">
      <c r="A756" s="187"/>
      <c r="B756" s="2321"/>
      <c r="C756" s="2322"/>
      <c r="D756" s="2334"/>
      <c r="E756" s="2334"/>
      <c r="F756" s="2334"/>
      <c r="G756" s="2334"/>
      <c r="H756" s="2334"/>
      <c r="I756" s="2334"/>
      <c r="J756" s="2334"/>
      <c r="K756" s="2334"/>
      <c r="L756" s="2334"/>
      <c r="M756" s="2334"/>
      <c r="N756" s="2334"/>
      <c r="O756" s="2334"/>
      <c r="P756" s="2324"/>
      <c r="Q756" s="2324"/>
      <c r="R756" s="2325"/>
      <c r="S756" s="2324"/>
      <c r="T756" s="2324"/>
      <c r="U756" s="2326"/>
      <c r="V756" s="2327"/>
      <c r="W756" s="2327"/>
      <c r="X756" s="2327"/>
      <c r="Y756" s="2327"/>
      <c r="Z756" s="2327"/>
      <c r="AA756" s="2328"/>
      <c r="AB756" s="2329"/>
      <c r="AC756" s="2326"/>
      <c r="AD756" s="2330">
        <f t="shared" si="515"/>
        <v>0</v>
      </c>
      <c r="AE756" s="2330"/>
      <c r="AF756" s="2330"/>
      <c r="AG756" s="2330">
        <f t="shared" si="509"/>
        <v>0</v>
      </c>
      <c r="AH756" s="2330"/>
      <c r="AI756" s="2330"/>
      <c r="AJ756" s="2330">
        <f t="shared" si="516"/>
        <v>0</v>
      </c>
      <c r="AK756" s="2330"/>
      <c r="AL756" s="2330"/>
      <c r="AM756" s="2331">
        <f t="shared" si="503"/>
        <v>0</v>
      </c>
      <c r="AN756" s="2331"/>
      <c r="AO756" s="2331"/>
      <c r="AP756" s="2331"/>
      <c r="AQ756" s="2332">
        <f t="shared" si="517"/>
        <v>0</v>
      </c>
      <c r="AR756" s="2332"/>
      <c r="AS756" s="2332"/>
      <c r="AT756" s="2332">
        <f t="shared" si="518"/>
        <v>0</v>
      </c>
      <c r="AV756" s="151" t="str">
        <f t="shared" si="498"/>
        <v>DOORS &amp; TRIM</v>
      </c>
      <c r="AW756" s="681"/>
      <c r="AX756" s="230"/>
      <c r="AY756" s="230"/>
      <c r="AZ756" s="679"/>
      <c r="BA756" s="49">
        <f t="shared" si="519"/>
        <v>0</v>
      </c>
      <c r="BB756" s="49">
        <f t="shared" si="524"/>
        <v>0</v>
      </c>
      <c r="BC756" s="49">
        <f t="shared" si="525"/>
        <v>0</v>
      </c>
      <c r="BD756" s="49">
        <f t="shared" si="520"/>
        <v>0</v>
      </c>
      <c r="BE756" s="49">
        <f>SUM(BA756:BC756)</f>
        <v>0</v>
      </c>
      <c r="BF756" s="49">
        <f t="shared" si="521"/>
        <v>0</v>
      </c>
      <c r="BG756" s="49">
        <f t="shared" si="522"/>
        <v>0</v>
      </c>
      <c r="BI756" s="134">
        <f t="shared" si="527"/>
        <v>0</v>
      </c>
      <c r="BJ756" s="134">
        <f t="shared" si="523"/>
        <v>0</v>
      </c>
      <c r="BK756" s="134">
        <f t="shared" si="528"/>
        <v>0</v>
      </c>
    </row>
    <row r="757" spans="1:63" hidden="1">
      <c r="A757" s="187"/>
      <c r="B757" s="2321"/>
      <c r="C757" s="2322"/>
      <c r="D757" s="2334"/>
      <c r="E757" s="2334"/>
      <c r="F757" s="2334"/>
      <c r="G757" s="2334"/>
      <c r="H757" s="2334"/>
      <c r="I757" s="2334"/>
      <c r="J757" s="2334"/>
      <c r="K757" s="2334"/>
      <c r="L757" s="2334"/>
      <c r="M757" s="2334"/>
      <c r="N757" s="2334"/>
      <c r="O757" s="2334"/>
      <c r="P757" s="2324"/>
      <c r="Q757" s="2324"/>
      <c r="R757" s="2325"/>
      <c r="S757" s="2324"/>
      <c r="T757" s="2324"/>
      <c r="U757" s="2326"/>
      <c r="V757" s="2327"/>
      <c r="W757" s="2327"/>
      <c r="X757" s="2327"/>
      <c r="Y757" s="2327"/>
      <c r="Z757" s="2327"/>
      <c r="AA757" s="2328"/>
      <c r="AB757" s="2329"/>
      <c r="AC757" s="2326"/>
      <c r="AD757" s="2330">
        <f t="shared" si="515"/>
        <v>0</v>
      </c>
      <c r="AE757" s="2330"/>
      <c r="AF757" s="2330"/>
      <c r="AG757" s="2330">
        <f t="shared" si="509"/>
        <v>0</v>
      </c>
      <c r="AH757" s="2330"/>
      <c r="AI757" s="2330"/>
      <c r="AJ757" s="2330">
        <f t="shared" si="516"/>
        <v>0</v>
      </c>
      <c r="AK757" s="2330"/>
      <c r="AL757" s="2330"/>
      <c r="AM757" s="2331">
        <f t="shared" si="503"/>
        <v>0</v>
      </c>
      <c r="AN757" s="2331"/>
      <c r="AO757" s="2331"/>
      <c r="AP757" s="2331"/>
      <c r="AQ757" s="2332">
        <f t="shared" si="517"/>
        <v>0</v>
      </c>
      <c r="AR757" s="2332"/>
      <c r="AS757" s="2332"/>
      <c r="AT757" s="2332">
        <f t="shared" si="518"/>
        <v>0</v>
      </c>
      <c r="AV757" s="151" t="str">
        <f t="shared" si="498"/>
        <v>DOORS &amp; TRIM</v>
      </c>
      <c r="AW757" s="681"/>
      <c r="AX757" s="230"/>
      <c r="AY757" s="230"/>
      <c r="AZ757" s="679"/>
      <c r="BA757" s="49">
        <f t="shared" si="519"/>
        <v>0</v>
      </c>
      <c r="BB757" s="49">
        <f t="shared" si="524"/>
        <v>0</v>
      </c>
      <c r="BC757" s="49">
        <f t="shared" si="525"/>
        <v>0</v>
      </c>
      <c r="BD757" s="49">
        <f t="shared" si="520"/>
        <v>0</v>
      </c>
      <c r="BE757" s="49">
        <f>SUM(BA757:BC757)</f>
        <v>0</v>
      </c>
      <c r="BF757" s="49">
        <f t="shared" si="521"/>
        <v>0</v>
      </c>
      <c r="BG757" s="49">
        <f t="shared" si="522"/>
        <v>0</v>
      </c>
      <c r="BI757" s="134">
        <f t="shared" si="527"/>
        <v>0</v>
      </c>
      <c r="BJ757" s="134">
        <f t="shared" si="523"/>
        <v>0</v>
      </c>
      <c r="BK757" s="134">
        <f t="shared" si="528"/>
        <v>0</v>
      </c>
    </row>
    <row r="758" spans="1:63" ht="5.0999999999999996" hidden="1" customHeight="1">
      <c r="A758" s="187"/>
      <c r="B758" s="64"/>
      <c r="C758" s="64"/>
      <c r="D758" s="885"/>
      <c r="E758" s="885"/>
      <c r="F758" s="885"/>
      <c r="G758" s="885"/>
      <c r="H758" s="885"/>
      <c r="I758" s="885"/>
      <c r="J758" s="885"/>
      <c r="K758" s="885"/>
      <c r="L758" s="885"/>
      <c r="M758" s="885"/>
      <c r="N758" s="885"/>
      <c r="O758" s="885"/>
      <c r="P758" s="66"/>
      <c r="Q758" s="66"/>
      <c r="R758" s="66"/>
      <c r="S758" s="66"/>
      <c r="T758" s="66"/>
      <c r="U758" s="67"/>
      <c r="V758" s="67"/>
      <c r="W758" s="67"/>
      <c r="X758" s="67"/>
      <c r="Y758" s="67"/>
      <c r="Z758" s="67"/>
      <c r="AA758" s="67"/>
      <c r="AB758" s="67"/>
      <c r="AC758" s="67"/>
      <c r="AD758" s="68"/>
      <c r="AE758" s="68"/>
      <c r="AF758" s="68"/>
      <c r="AG758" s="68"/>
      <c r="AH758" s="68"/>
      <c r="AI758" s="68"/>
      <c r="AJ758" s="68"/>
      <c r="AK758" s="68"/>
      <c r="AL758" s="68"/>
      <c r="AM758" s="69"/>
      <c r="AN758" s="69"/>
      <c r="AO758" s="69"/>
      <c r="AP758" s="69"/>
      <c r="AQ758" s="661"/>
      <c r="AR758" s="661"/>
      <c r="AS758" s="661"/>
      <c r="AT758" s="661"/>
      <c r="AV758" s="369" t="str">
        <f t="shared" si="498"/>
        <v>DOORS &amp; TRIM</v>
      </c>
      <c r="AW758" s="696"/>
      <c r="AX758" s="696"/>
      <c r="AY758" s="696"/>
      <c r="AZ758" s="369"/>
      <c r="BA758" s="75">
        <f>BA717</f>
        <v>0</v>
      </c>
      <c r="BB758" s="75">
        <f>BB717</f>
        <v>0</v>
      </c>
      <c r="BC758" s="75">
        <f>BC717</f>
        <v>0</v>
      </c>
      <c r="BD758" s="75">
        <f>BD717</f>
        <v>0</v>
      </c>
      <c r="BE758" s="75">
        <f>BE717</f>
        <v>0</v>
      </c>
      <c r="BF758" s="75"/>
      <c r="BG758" s="75"/>
      <c r="BI758" s="75"/>
      <c r="BJ758" s="75"/>
      <c r="BK758" s="75"/>
    </row>
    <row r="759" spans="1:63" ht="21.6" hidden="1" customHeight="1">
      <c r="A759" s="187"/>
      <c r="B759" s="2341"/>
      <c r="C759" s="2341"/>
      <c r="D759" s="886"/>
      <c r="E759" s="886"/>
      <c r="F759" s="886"/>
      <c r="G759" s="886"/>
      <c r="H759" s="886"/>
      <c r="I759" s="886"/>
      <c r="J759" s="886"/>
      <c r="K759" s="886"/>
      <c r="L759" s="886"/>
      <c r="M759" s="886"/>
      <c r="N759" s="886"/>
      <c r="O759" s="886"/>
      <c r="P759" s="37"/>
      <c r="Q759" s="37"/>
      <c r="R759" s="37"/>
      <c r="S759" s="37"/>
      <c r="T759" s="37"/>
      <c r="U759" s="37"/>
      <c r="V759" s="37"/>
      <c r="W759" s="37"/>
      <c r="X759" s="37"/>
      <c r="Y759" s="37"/>
      <c r="Z759" s="37"/>
      <c r="AA759" s="37"/>
      <c r="AB759" s="37"/>
      <c r="AC759" s="370" t="str">
        <f>CONCATENATE(D717," ","TOTAL")</f>
        <v>DOORS &amp; TRIM TOTAL</v>
      </c>
      <c r="AD759" s="2342">
        <f>SUBTOTAL(9,AD718:AD758)</f>
        <v>0</v>
      </c>
      <c r="AE759" s="2342"/>
      <c r="AF759" s="2342"/>
      <c r="AG759" s="2342">
        <f>SUBTOTAL(9,AG718:AG758)</f>
        <v>0</v>
      </c>
      <c r="AH759" s="2342"/>
      <c r="AI759" s="2342"/>
      <c r="AJ759" s="2342">
        <f>SUBTOTAL(9,AJ718:AJ758)</f>
        <v>0</v>
      </c>
      <c r="AK759" s="2342"/>
      <c r="AL759" s="2342"/>
      <c r="AM759" s="2342">
        <f>SUBTOTAL(9,AM718:AM758)</f>
        <v>0</v>
      </c>
      <c r="AN759" s="2342"/>
      <c r="AO759" s="2342"/>
      <c r="AP759" s="2342"/>
      <c r="AQ759" s="2336">
        <f>SUBTOTAL(9,AQ718:AQ758)</f>
        <v>0</v>
      </c>
      <c r="AR759" s="2336"/>
      <c r="AS759" s="2336"/>
      <c r="AT759" s="2336" t="e">
        <f>SUM(AT715:AT750)</f>
        <v>#REF!</v>
      </c>
      <c r="AV759" s="151" t="str">
        <f t="shared" si="498"/>
        <v>DOORS &amp; TRIM</v>
      </c>
      <c r="AW759" s="682"/>
      <c r="AX759" s="695"/>
      <c r="AY759" s="695"/>
      <c r="AZ759" s="274"/>
      <c r="BA759" s="74">
        <f>BA717</f>
        <v>0</v>
      </c>
      <c r="BB759" s="74">
        <f>BB717</f>
        <v>0</v>
      </c>
      <c r="BC759" s="74">
        <f>BC717</f>
        <v>0</v>
      </c>
      <c r="BD759" s="74">
        <f>BD717</f>
        <v>0</v>
      </c>
      <c r="BE759" s="74">
        <f>BE717</f>
        <v>0</v>
      </c>
      <c r="BF759" s="74">
        <f>SUM(BF717:BF758)</f>
        <v>0</v>
      </c>
      <c r="BG759" s="49">
        <f>SUM(BG717:BG758)</f>
        <v>0</v>
      </c>
      <c r="BI759" s="74">
        <f>SUM(BI718:BI758)</f>
        <v>0</v>
      </c>
      <c r="BJ759" s="74">
        <f>SUM(BJ718:BJ758)</f>
        <v>0</v>
      </c>
      <c r="BK759" s="49">
        <f>SUM(BK718:BK758)</f>
        <v>0</v>
      </c>
    </row>
    <row r="760" spans="1:63" ht="5.0999999999999996" hidden="1" customHeight="1">
      <c r="A760" s="187"/>
      <c r="B760" s="64"/>
      <c r="C760" s="64"/>
      <c r="D760" s="885"/>
      <c r="E760" s="885"/>
      <c r="F760" s="885"/>
      <c r="G760" s="885"/>
      <c r="H760" s="885"/>
      <c r="I760" s="885"/>
      <c r="J760" s="885"/>
      <c r="K760" s="885"/>
      <c r="L760" s="885"/>
      <c r="M760" s="885"/>
      <c r="N760" s="885"/>
      <c r="O760" s="885"/>
      <c r="P760" s="66"/>
      <c r="Q760" s="66"/>
      <c r="R760" s="66"/>
      <c r="S760" s="66"/>
      <c r="T760" s="66"/>
      <c r="U760" s="67"/>
      <c r="V760" s="67"/>
      <c r="W760" s="67"/>
      <c r="X760" s="67"/>
      <c r="Y760" s="67"/>
      <c r="Z760" s="67"/>
      <c r="AA760" s="67"/>
      <c r="AB760" s="67"/>
      <c r="AC760" s="67"/>
      <c r="AD760" s="68"/>
      <c r="AE760" s="68"/>
      <c r="AF760" s="68"/>
      <c r="AG760" s="68"/>
      <c r="AH760" s="68"/>
      <c r="AI760" s="68"/>
      <c r="AJ760" s="68"/>
      <c r="AK760" s="68"/>
      <c r="AL760" s="68"/>
      <c r="AM760" s="69"/>
      <c r="AN760" s="69"/>
      <c r="AO760" s="69"/>
      <c r="AP760" s="69"/>
      <c r="AQ760" s="661"/>
      <c r="AR760" s="661"/>
      <c r="AS760" s="661"/>
      <c r="AT760" s="661"/>
      <c r="AV760" s="369" t="str">
        <f t="shared" si="498"/>
        <v>DOORS &amp; TRIM</v>
      </c>
      <c r="AW760" s="696"/>
      <c r="AX760" s="696"/>
      <c r="AY760" s="696"/>
      <c r="AZ760" s="369"/>
      <c r="BA760" s="75">
        <f>BA717</f>
        <v>0</v>
      </c>
      <c r="BB760" s="75">
        <f>BB717</f>
        <v>0</v>
      </c>
      <c r="BC760" s="75">
        <f>BC717</f>
        <v>0</v>
      </c>
      <c r="BD760" s="75">
        <f>BD717</f>
        <v>0</v>
      </c>
      <c r="BE760" s="75">
        <f>BE717</f>
        <v>0</v>
      </c>
      <c r="BF760" s="75"/>
      <c r="BG760" s="75"/>
      <c r="BI760" s="75"/>
      <c r="BJ760" s="75"/>
      <c r="BK760" s="75"/>
    </row>
    <row r="761" spans="1:63" ht="9.6" hidden="1" customHeight="1">
      <c r="A761" s="187"/>
      <c r="B761" s="71"/>
      <c r="C761" s="71"/>
      <c r="D761" s="887"/>
      <c r="E761" s="887"/>
      <c r="F761" s="887"/>
      <c r="G761" s="887"/>
      <c r="H761" s="887"/>
      <c r="I761" s="887"/>
      <c r="J761" s="887"/>
      <c r="K761" s="887"/>
      <c r="L761" s="887"/>
      <c r="M761" s="887"/>
      <c r="N761" s="887"/>
      <c r="O761" s="887"/>
      <c r="P761" s="72"/>
      <c r="Q761" s="72"/>
      <c r="R761" s="72"/>
      <c r="S761" s="72"/>
      <c r="T761" s="72"/>
      <c r="U761" s="72"/>
      <c r="V761" s="72"/>
      <c r="W761" s="72"/>
      <c r="X761" s="72"/>
      <c r="Y761" s="72"/>
      <c r="Z761" s="72"/>
      <c r="AA761" s="72"/>
      <c r="AB761" s="72"/>
      <c r="AC761" s="73"/>
      <c r="AD761" s="662"/>
      <c r="AE761" s="662"/>
      <c r="AF761" s="662"/>
      <c r="AG761" s="662"/>
      <c r="AH761" s="662"/>
      <c r="AI761" s="662"/>
      <c r="AJ761" s="662"/>
      <c r="AK761" s="662"/>
      <c r="AL761" s="662"/>
      <c r="AM761" s="662"/>
      <c r="AN761" s="662"/>
      <c r="AO761" s="662"/>
      <c r="AP761" s="662"/>
      <c r="AQ761" s="663"/>
      <c r="AR761" s="663"/>
      <c r="AS761" s="663"/>
      <c r="AT761" s="663"/>
      <c r="AV761" s="371" t="str">
        <f t="shared" si="498"/>
        <v>DOORS &amp; TRIM</v>
      </c>
      <c r="AW761" s="699"/>
      <c r="AX761" s="801"/>
      <c r="AY761" s="801"/>
      <c r="AZ761" s="371"/>
      <c r="BA761" s="125">
        <f>BA759</f>
        <v>0</v>
      </c>
      <c r="BB761" s="125">
        <f t="shared" ref="BB761:BG761" si="529">BB759</f>
        <v>0</v>
      </c>
      <c r="BC761" s="125">
        <f>BC759</f>
        <v>0</v>
      </c>
      <c r="BD761" s="125">
        <f t="shared" si="529"/>
        <v>0</v>
      </c>
      <c r="BE761" s="125">
        <f t="shared" si="529"/>
        <v>0</v>
      </c>
      <c r="BF761" s="125">
        <f t="shared" si="529"/>
        <v>0</v>
      </c>
      <c r="BG761" s="125">
        <f t="shared" si="529"/>
        <v>0</v>
      </c>
      <c r="BI761" s="125"/>
      <c r="BJ761" s="125"/>
      <c r="BK761" s="125"/>
    </row>
    <row r="762" spans="1:63" ht="21.6" customHeight="1">
      <c r="A762" s="186" t="s">
        <v>952</v>
      </c>
      <c r="B762" s="2343"/>
      <c r="C762" s="2344"/>
      <c r="D762" s="2387" t="str">
        <f>T(Y82)</f>
        <v>CARPET &amp; RESILIENT</v>
      </c>
      <c r="E762" s="2388"/>
      <c r="F762" s="2388"/>
      <c r="G762" s="2388"/>
      <c r="H762" s="2388"/>
      <c r="I762" s="2388"/>
      <c r="J762" s="2388"/>
      <c r="K762" s="2388"/>
      <c r="L762" s="2388"/>
      <c r="M762" s="2388"/>
      <c r="N762" s="2388"/>
      <c r="O762" s="2389"/>
      <c r="P762" s="2345"/>
      <c r="Q762" s="2345"/>
      <c r="R762" s="2345"/>
      <c r="S762" s="2346"/>
      <c r="T762" s="2347"/>
      <c r="U762" s="2348"/>
      <c r="V762" s="2348"/>
      <c r="W762" s="2348"/>
      <c r="X762" s="2348"/>
      <c r="Y762" s="2348"/>
      <c r="Z762" s="2348"/>
      <c r="AA762" s="2348"/>
      <c r="AB762" s="2348"/>
      <c r="AC762" s="2348"/>
      <c r="AD762" s="2342">
        <f>AD804</f>
        <v>0</v>
      </c>
      <c r="AE762" s="2342"/>
      <c r="AF762" s="2342"/>
      <c r="AG762" s="2342">
        <f>AG804</f>
        <v>0</v>
      </c>
      <c r="AH762" s="2342"/>
      <c r="AI762" s="2342"/>
      <c r="AJ762" s="2342">
        <f>AJ804</f>
        <v>0</v>
      </c>
      <c r="AK762" s="2342"/>
      <c r="AL762" s="2342"/>
      <c r="AM762" s="2342">
        <f>AM804</f>
        <v>0</v>
      </c>
      <c r="AN762" s="2342"/>
      <c r="AO762" s="2342"/>
      <c r="AP762" s="2342"/>
      <c r="AQ762" s="2336">
        <f>AQ804</f>
        <v>0</v>
      </c>
      <c r="AR762" s="2336"/>
      <c r="AS762" s="2336"/>
      <c r="AT762" s="2336" t="e">
        <f>SUM(#REF!)</f>
        <v>#REF!</v>
      </c>
      <c r="AV762" s="151" t="str">
        <f t="shared" ref="AV762:AV806" si="530">$D$762</f>
        <v>CARPET &amp; RESILIENT</v>
      </c>
      <c r="AW762" s="700"/>
      <c r="AX762" s="700"/>
      <c r="AY762" s="700"/>
      <c r="AZ762" s="701"/>
      <c r="BA762" s="49">
        <f>SUM(BA763:BA802)</f>
        <v>0</v>
      </c>
      <c r="BB762" s="49">
        <f>SUM(BB763:BB802)</f>
        <v>0</v>
      </c>
      <c r="BC762" s="49">
        <f>SUM(BC763:BC802)</f>
        <v>0</v>
      </c>
      <c r="BD762" s="49">
        <f>SUM(BD763:BD802)</f>
        <v>0</v>
      </c>
      <c r="BE762" s="49">
        <f>SUM(BE763:BE802)</f>
        <v>0</v>
      </c>
      <c r="BF762" s="49">
        <f t="shared" ref="BF762:BF782" si="531">AQ762</f>
        <v>0</v>
      </c>
      <c r="BG762" s="49">
        <f t="shared" ref="BG762:BG782" si="532">AM762</f>
        <v>0</v>
      </c>
      <c r="BI762" s="134">
        <f>AD762</f>
        <v>0</v>
      </c>
      <c r="BJ762" s="134">
        <f>AM762</f>
        <v>0</v>
      </c>
      <c r="BK762" s="134">
        <f>BJ762+BI762</f>
        <v>0</v>
      </c>
    </row>
    <row r="763" spans="1:63" hidden="1">
      <c r="A763" s="187"/>
      <c r="B763" s="2321"/>
      <c r="C763" s="2322"/>
      <c r="D763" s="2338" t="s">
        <v>755</v>
      </c>
      <c r="E763" s="2338"/>
      <c r="F763" s="2338"/>
      <c r="G763" s="2338"/>
      <c r="H763" s="2338"/>
      <c r="I763" s="2338"/>
      <c r="J763" s="2338"/>
      <c r="K763" s="2338"/>
      <c r="L763" s="2338"/>
      <c r="M763" s="2338"/>
      <c r="N763" s="2338"/>
      <c r="O763" s="2338"/>
      <c r="P763" s="2324"/>
      <c r="Q763" s="2324"/>
      <c r="R763" s="2325"/>
      <c r="S763" s="2324" t="s">
        <v>3</v>
      </c>
      <c r="T763" s="2324" t="s">
        <v>3</v>
      </c>
      <c r="U763" s="2326"/>
      <c r="V763" s="2327"/>
      <c r="W763" s="2327"/>
      <c r="X763" s="2327"/>
      <c r="Y763" s="2327"/>
      <c r="Z763" s="2327"/>
      <c r="AA763" s="2328"/>
      <c r="AB763" s="2329"/>
      <c r="AC763" s="2326"/>
      <c r="AD763" s="2330">
        <f t="shared" ref="AD763:AD782" si="533">((P763*U763)-AM763)</f>
        <v>0</v>
      </c>
      <c r="AE763" s="2330"/>
      <c r="AF763" s="2330"/>
      <c r="AG763" s="2330">
        <f>P763*X763*(1+$Y$85)</f>
        <v>0</v>
      </c>
      <c r="AH763" s="2330"/>
      <c r="AI763" s="2330"/>
      <c r="AJ763" s="2330">
        <f t="shared" ref="AJ763:AJ782" si="534">P763*AA763</f>
        <v>0</v>
      </c>
      <c r="AK763" s="2330"/>
      <c r="AL763" s="2330"/>
      <c r="AM763" s="2331">
        <f t="shared" ref="AM763:AM802" si="535">IF($B763="x",$P763*$U763,0)</f>
        <v>0</v>
      </c>
      <c r="AN763" s="2331"/>
      <c r="AO763" s="2331"/>
      <c r="AP763" s="2331"/>
      <c r="AQ763" s="2332">
        <f t="shared" ref="AQ763:AQ782" si="536">SUM(AD763:AL763)</f>
        <v>0</v>
      </c>
      <c r="AR763" s="2332"/>
      <c r="AS763" s="2332"/>
      <c r="AT763" s="2332">
        <f t="shared" ref="AT763:AT782" si="537">SUM(AD763:AL763)</f>
        <v>0</v>
      </c>
      <c r="AV763" s="151" t="str">
        <f t="shared" si="530"/>
        <v>CARPET &amp; RESILIENT</v>
      </c>
      <c r="AW763" s="681"/>
      <c r="AX763" s="230"/>
      <c r="AY763" s="230"/>
      <c r="AZ763" s="679"/>
      <c r="BA763" s="49">
        <f t="shared" ref="BA763:BA782" si="538">AD763</f>
        <v>0</v>
      </c>
      <c r="BB763" s="49">
        <f>AG763</f>
        <v>0</v>
      </c>
      <c r="BC763" s="49">
        <f>AJ763</f>
        <v>0</v>
      </c>
      <c r="BD763" s="49">
        <f t="shared" ref="BD763:BD782" si="539">IF(B763="x",1,0)</f>
        <v>0</v>
      </c>
      <c r="BE763" s="49">
        <f>SUM(BA763:BC763)</f>
        <v>0</v>
      </c>
      <c r="BF763" s="49">
        <f t="shared" si="531"/>
        <v>0</v>
      </c>
      <c r="BG763" s="49">
        <f t="shared" si="532"/>
        <v>0</v>
      </c>
      <c r="BI763" s="134">
        <f>AD763</f>
        <v>0</v>
      </c>
      <c r="BJ763" s="134">
        <f t="shared" ref="BJ763:BJ782" si="540">AM763</f>
        <v>0</v>
      </c>
      <c r="BK763" s="134">
        <f>BJ763+BI763</f>
        <v>0</v>
      </c>
    </row>
    <row r="764" spans="1:63" hidden="1">
      <c r="A764" s="187"/>
      <c r="B764" s="2321"/>
      <c r="C764" s="2322"/>
      <c r="D764" s="2337" t="s">
        <v>748</v>
      </c>
      <c r="E764" s="2337"/>
      <c r="F764" s="2337"/>
      <c r="G764" s="2337"/>
      <c r="H764" s="2337"/>
      <c r="I764" s="2337"/>
      <c r="J764" s="2337"/>
      <c r="K764" s="2337"/>
      <c r="L764" s="2337"/>
      <c r="M764" s="2337"/>
      <c r="N764" s="2337"/>
      <c r="O764" s="2337"/>
      <c r="P764" s="2324"/>
      <c r="Q764" s="2324"/>
      <c r="R764" s="2325"/>
      <c r="S764" s="2324"/>
      <c r="T764" s="2324"/>
      <c r="U764" s="2326"/>
      <c r="V764" s="2327"/>
      <c r="W764" s="2327"/>
      <c r="X764" s="2327"/>
      <c r="Y764" s="2327"/>
      <c r="Z764" s="2327"/>
      <c r="AA764" s="2328"/>
      <c r="AB764" s="2329"/>
      <c r="AC764" s="2326"/>
      <c r="AD764" s="2330">
        <f t="shared" si="533"/>
        <v>0</v>
      </c>
      <c r="AE764" s="2330"/>
      <c r="AF764" s="2330"/>
      <c r="AG764" s="2330">
        <f t="shared" ref="AG764:AG802" si="541">P764*X764*(1+$Y$85)</f>
        <v>0</v>
      </c>
      <c r="AH764" s="2330"/>
      <c r="AI764" s="2330"/>
      <c r="AJ764" s="2330">
        <f t="shared" si="534"/>
        <v>0</v>
      </c>
      <c r="AK764" s="2330"/>
      <c r="AL764" s="2330"/>
      <c r="AM764" s="2331">
        <f t="shared" si="535"/>
        <v>0</v>
      </c>
      <c r="AN764" s="2331"/>
      <c r="AO764" s="2331"/>
      <c r="AP764" s="2331"/>
      <c r="AQ764" s="2332">
        <f t="shared" si="536"/>
        <v>0</v>
      </c>
      <c r="AR764" s="2332"/>
      <c r="AS764" s="2332"/>
      <c r="AT764" s="2332">
        <f t="shared" si="537"/>
        <v>0</v>
      </c>
      <c r="AV764" s="151" t="str">
        <f t="shared" si="530"/>
        <v>CARPET &amp; RESILIENT</v>
      </c>
      <c r="AW764" s="681"/>
      <c r="AX764" s="230"/>
      <c r="AY764" s="230"/>
      <c r="AZ764" s="679"/>
      <c r="BA764" s="49">
        <f t="shared" si="538"/>
        <v>0</v>
      </c>
      <c r="BB764" s="49">
        <f t="shared" ref="BB764:BB782" si="542">AG764</f>
        <v>0</v>
      </c>
      <c r="BC764" s="49">
        <f t="shared" ref="BC764:BC782" si="543">AJ764</f>
        <v>0</v>
      </c>
      <c r="BD764" s="49">
        <f t="shared" si="539"/>
        <v>0</v>
      </c>
      <c r="BE764" s="49">
        <f t="shared" ref="BE764:BE780" si="544">SUM(BA764:BC764)</f>
        <v>0</v>
      </c>
      <c r="BF764" s="49">
        <f t="shared" si="531"/>
        <v>0</v>
      </c>
      <c r="BG764" s="49">
        <f t="shared" si="532"/>
        <v>0</v>
      </c>
      <c r="BI764" s="134">
        <f t="shared" ref="BI764:BI782" si="545">AD764</f>
        <v>0</v>
      </c>
      <c r="BJ764" s="134">
        <f t="shared" si="540"/>
        <v>0</v>
      </c>
      <c r="BK764" s="134">
        <f t="shared" ref="BK764:BK782" si="546">BJ764+BI764</f>
        <v>0</v>
      </c>
    </row>
    <row r="765" spans="1:63" hidden="1">
      <c r="A765" s="187"/>
      <c r="B765" s="2333"/>
      <c r="C765" s="2333"/>
      <c r="D765" s="2334" t="s">
        <v>744</v>
      </c>
      <c r="E765" s="2334"/>
      <c r="F765" s="2334"/>
      <c r="G765" s="2334"/>
      <c r="H765" s="2334"/>
      <c r="I765" s="2334"/>
      <c r="J765" s="2334"/>
      <c r="K765" s="2334"/>
      <c r="L765" s="2334"/>
      <c r="M765" s="2334"/>
      <c r="N765" s="2334"/>
      <c r="O765" s="2334"/>
      <c r="P765" s="2324"/>
      <c r="Q765" s="2324"/>
      <c r="R765" s="2325"/>
      <c r="S765" s="2324" t="s">
        <v>11</v>
      </c>
      <c r="T765" s="2324"/>
      <c r="U765" s="2326">
        <v>0.75</v>
      </c>
      <c r="V765" s="2327"/>
      <c r="W765" s="2327"/>
      <c r="X765" s="2327">
        <v>1.25</v>
      </c>
      <c r="Y765" s="2327"/>
      <c r="Z765" s="2327"/>
      <c r="AA765" s="2328"/>
      <c r="AB765" s="2329"/>
      <c r="AC765" s="2326"/>
      <c r="AD765" s="2330">
        <f t="shared" si="533"/>
        <v>0</v>
      </c>
      <c r="AE765" s="2330"/>
      <c r="AF765" s="2330"/>
      <c r="AG765" s="2330">
        <f t="shared" si="541"/>
        <v>0</v>
      </c>
      <c r="AH765" s="2330"/>
      <c r="AI765" s="2330"/>
      <c r="AJ765" s="2330">
        <f t="shared" si="534"/>
        <v>0</v>
      </c>
      <c r="AK765" s="2330"/>
      <c r="AL765" s="2330"/>
      <c r="AM765" s="2331">
        <f t="shared" si="535"/>
        <v>0</v>
      </c>
      <c r="AN765" s="2331"/>
      <c r="AO765" s="2331"/>
      <c r="AP765" s="2331"/>
      <c r="AQ765" s="2332">
        <f t="shared" si="536"/>
        <v>0</v>
      </c>
      <c r="AR765" s="2332"/>
      <c r="AS765" s="2332"/>
      <c r="AT765" s="2332">
        <f t="shared" si="537"/>
        <v>0</v>
      </c>
      <c r="AV765" s="151" t="str">
        <f t="shared" si="530"/>
        <v>CARPET &amp; RESILIENT</v>
      </c>
      <c r="AW765" s="681"/>
      <c r="AX765" s="230"/>
      <c r="AY765" s="230"/>
      <c r="AZ765" s="679"/>
      <c r="BA765" s="49">
        <f t="shared" si="538"/>
        <v>0</v>
      </c>
      <c r="BB765" s="49">
        <f t="shared" si="542"/>
        <v>0</v>
      </c>
      <c r="BC765" s="49">
        <f t="shared" si="543"/>
        <v>0</v>
      </c>
      <c r="BD765" s="49">
        <f t="shared" si="539"/>
        <v>0</v>
      </c>
      <c r="BE765" s="49">
        <f t="shared" si="544"/>
        <v>0</v>
      </c>
      <c r="BF765" s="49">
        <f t="shared" si="531"/>
        <v>0</v>
      </c>
      <c r="BG765" s="49">
        <f t="shared" si="532"/>
        <v>0</v>
      </c>
      <c r="BI765" s="134">
        <f t="shared" si="545"/>
        <v>0</v>
      </c>
      <c r="BJ765" s="134">
        <f t="shared" si="540"/>
        <v>0</v>
      </c>
      <c r="BK765" s="134">
        <f t="shared" si="546"/>
        <v>0</v>
      </c>
    </row>
    <row r="766" spans="1:63" hidden="1">
      <c r="A766" s="187"/>
      <c r="B766" s="2333"/>
      <c r="C766" s="2333"/>
      <c r="D766" s="2334" t="s">
        <v>745</v>
      </c>
      <c r="E766" s="2334"/>
      <c r="F766" s="2334"/>
      <c r="G766" s="2334"/>
      <c r="H766" s="2334"/>
      <c r="I766" s="2334"/>
      <c r="J766" s="2334"/>
      <c r="K766" s="2334"/>
      <c r="L766" s="2334"/>
      <c r="M766" s="2334"/>
      <c r="N766" s="2334"/>
      <c r="O766" s="2334"/>
      <c r="P766" s="2324"/>
      <c r="Q766" s="2324"/>
      <c r="R766" s="2325"/>
      <c r="S766" s="2324" t="s">
        <v>11</v>
      </c>
      <c r="T766" s="2324"/>
      <c r="U766" s="2326">
        <v>0.75</v>
      </c>
      <c r="V766" s="2327"/>
      <c r="W766" s="2327"/>
      <c r="X766" s="2327">
        <v>2</v>
      </c>
      <c r="Y766" s="2327"/>
      <c r="Z766" s="2327"/>
      <c r="AA766" s="2328"/>
      <c r="AB766" s="2329"/>
      <c r="AC766" s="2326"/>
      <c r="AD766" s="2330">
        <f t="shared" si="533"/>
        <v>0</v>
      </c>
      <c r="AE766" s="2330"/>
      <c r="AF766" s="2330"/>
      <c r="AG766" s="2330">
        <f t="shared" si="541"/>
        <v>0</v>
      </c>
      <c r="AH766" s="2330"/>
      <c r="AI766" s="2330"/>
      <c r="AJ766" s="2330">
        <f t="shared" si="534"/>
        <v>0</v>
      </c>
      <c r="AK766" s="2330"/>
      <c r="AL766" s="2330"/>
      <c r="AM766" s="2331">
        <f t="shared" si="535"/>
        <v>0</v>
      </c>
      <c r="AN766" s="2331"/>
      <c r="AO766" s="2331"/>
      <c r="AP766" s="2331"/>
      <c r="AQ766" s="2332">
        <f t="shared" si="536"/>
        <v>0</v>
      </c>
      <c r="AR766" s="2332"/>
      <c r="AS766" s="2332"/>
      <c r="AT766" s="2332">
        <f t="shared" si="537"/>
        <v>0</v>
      </c>
      <c r="AV766" s="151" t="str">
        <f t="shared" si="530"/>
        <v>CARPET &amp; RESILIENT</v>
      </c>
      <c r="AW766" s="681"/>
      <c r="AX766" s="230"/>
      <c r="AY766" s="230"/>
      <c r="AZ766" s="679"/>
      <c r="BA766" s="49">
        <f t="shared" si="538"/>
        <v>0</v>
      </c>
      <c r="BB766" s="49">
        <f t="shared" si="542"/>
        <v>0</v>
      </c>
      <c r="BC766" s="49">
        <f t="shared" si="543"/>
        <v>0</v>
      </c>
      <c r="BD766" s="49">
        <f t="shared" si="539"/>
        <v>0</v>
      </c>
      <c r="BE766" s="49">
        <f t="shared" si="544"/>
        <v>0</v>
      </c>
      <c r="BF766" s="49">
        <f t="shared" si="531"/>
        <v>0</v>
      </c>
      <c r="BG766" s="49">
        <f t="shared" si="532"/>
        <v>0</v>
      </c>
      <c r="BI766" s="134">
        <f t="shared" si="545"/>
        <v>0</v>
      </c>
      <c r="BJ766" s="134">
        <f t="shared" si="540"/>
        <v>0</v>
      </c>
      <c r="BK766" s="134">
        <f t="shared" si="546"/>
        <v>0</v>
      </c>
    </row>
    <row r="767" spans="1:63" hidden="1">
      <c r="A767" s="187"/>
      <c r="B767" s="2321"/>
      <c r="C767" s="2322"/>
      <c r="D767" s="2334" t="s">
        <v>746</v>
      </c>
      <c r="E767" s="2334"/>
      <c r="F767" s="2334"/>
      <c r="G767" s="2334"/>
      <c r="H767" s="2334"/>
      <c r="I767" s="2334"/>
      <c r="J767" s="2334"/>
      <c r="K767" s="2334"/>
      <c r="L767" s="2334"/>
      <c r="M767" s="2334"/>
      <c r="N767" s="2334"/>
      <c r="O767" s="2334"/>
      <c r="P767" s="2324"/>
      <c r="Q767" s="2324"/>
      <c r="R767" s="2325"/>
      <c r="S767" s="2324" t="s">
        <v>11</v>
      </c>
      <c r="T767" s="2324"/>
      <c r="U767" s="2326">
        <v>0.75</v>
      </c>
      <c r="V767" s="2327"/>
      <c r="W767" s="2327"/>
      <c r="X767" s="2327">
        <v>3</v>
      </c>
      <c r="Y767" s="2327"/>
      <c r="Z767" s="2327"/>
      <c r="AA767" s="2328"/>
      <c r="AB767" s="2329"/>
      <c r="AC767" s="2326"/>
      <c r="AD767" s="2330">
        <f t="shared" si="533"/>
        <v>0</v>
      </c>
      <c r="AE767" s="2330"/>
      <c r="AF767" s="2330"/>
      <c r="AG767" s="2330">
        <f t="shared" si="541"/>
        <v>0</v>
      </c>
      <c r="AH767" s="2330"/>
      <c r="AI767" s="2330"/>
      <c r="AJ767" s="2330">
        <f t="shared" si="534"/>
        <v>0</v>
      </c>
      <c r="AK767" s="2330"/>
      <c r="AL767" s="2330"/>
      <c r="AM767" s="2331">
        <f t="shared" si="535"/>
        <v>0</v>
      </c>
      <c r="AN767" s="2331"/>
      <c r="AO767" s="2331"/>
      <c r="AP767" s="2331"/>
      <c r="AQ767" s="2332">
        <f t="shared" si="536"/>
        <v>0</v>
      </c>
      <c r="AR767" s="2332"/>
      <c r="AS767" s="2332"/>
      <c r="AT767" s="2332">
        <f t="shared" si="537"/>
        <v>0</v>
      </c>
      <c r="AV767" s="151" t="str">
        <f t="shared" si="530"/>
        <v>CARPET &amp; RESILIENT</v>
      </c>
      <c r="AW767" s="681"/>
      <c r="AX767" s="230"/>
      <c r="AY767" s="230"/>
      <c r="AZ767" s="679"/>
      <c r="BA767" s="49">
        <f t="shared" si="538"/>
        <v>0</v>
      </c>
      <c r="BB767" s="49">
        <f t="shared" si="542"/>
        <v>0</v>
      </c>
      <c r="BC767" s="49">
        <f t="shared" si="543"/>
        <v>0</v>
      </c>
      <c r="BD767" s="49">
        <f t="shared" si="539"/>
        <v>0</v>
      </c>
      <c r="BE767" s="49">
        <f t="shared" si="544"/>
        <v>0</v>
      </c>
      <c r="BF767" s="49">
        <f t="shared" si="531"/>
        <v>0</v>
      </c>
      <c r="BG767" s="49">
        <f t="shared" si="532"/>
        <v>0</v>
      </c>
      <c r="BI767" s="134">
        <f t="shared" si="545"/>
        <v>0</v>
      </c>
      <c r="BJ767" s="134">
        <f t="shared" si="540"/>
        <v>0</v>
      </c>
      <c r="BK767" s="134">
        <f t="shared" si="546"/>
        <v>0</v>
      </c>
    </row>
    <row r="768" spans="1:63" hidden="1">
      <c r="A768" s="187"/>
      <c r="B768" s="2321"/>
      <c r="C768" s="2322"/>
      <c r="D768" s="2334"/>
      <c r="E768" s="2334"/>
      <c r="F768" s="2334"/>
      <c r="G768" s="2334"/>
      <c r="H768" s="2334"/>
      <c r="I768" s="2334"/>
      <c r="J768" s="2334"/>
      <c r="K768" s="2334"/>
      <c r="L768" s="2334"/>
      <c r="M768" s="2334"/>
      <c r="N768" s="2334"/>
      <c r="O768" s="2334"/>
      <c r="P768" s="2324"/>
      <c r="Q768" s="2324"/>
      <c r="R768" s="2325"/>
      <c r="S768" s="2324"/>
      <c r="T768" s="2324"/>
      <c r="U768" s="2326"/>
      <c r="V768" s="2327"/>
      <c r="W768" s="2327"/>
      <c r="X768" s="2327"/>
      <c r="Y768" s="2327"/>
      <c r="Z768" s="2327"/>
      <c r="AA768" s="2328"/>
      <c r="AB768" s="2329"/>
      <c r="AC768" s="2326"/>
      <c r="AD768" s="2330">
        <f t="shared" si="533"/>
        <v>0</v>
      </c>
      <c r="AE768" s="2330"/>
      <c r="AF768" s="2330"/>
      <c r="AG768" s="2330">
        <f t="shared" si="541"/>
        <v>0</v>
      </c>
      <c r="AH768" s="2330"/>
      <c r="AI768" s="2330"/>
      <c r="AJ768" s="2330">
        <f t="shared" si="534"/>
        <v>0</v>
      </c>
      <c r="AK768" s="2330"/>
      <c r="AL768" s="2330"/>
      <c r="AM768" s="2331">
        <f t="shared" si="535"/>
        <v>0</v>
      </c>
      <c r="AN768" s="2331"/>
      <c r="AO768" s="2331"/>
      <c r="AP768" s="2331"/>
      <c r="AQ768" s="2332">
        <f t="shared" si="536"/>
        <v>0</v>
      </c>
      <c r="AR768" s="2332"/>
      <c r="AS768" s="2332"/>
      <c r="AT768" s="2332">
        <f t="shared" si="537"/>
        <v>0</v>
      </c>
      <c r="AV768" s="151" t="str">
        <f t="shared" si="530"/>
        <v>CARPET &amp; RESILIENT</v>
      </c>
      <c r="AW768" s="681"/>
      <c r="AX768" s="230"/>
      <c r="AY768" s="230"/>
      <c r="AZ768" s="679"/>
      <c r="BA768" s="49">
        <f t="shared" si="538"/>
        <v>0</v>
      </c>
      <c r="BB768" s="49">
        <f t="shared" si="542"/>
        <v>0</v>
      </c>
      <c r="BC768" s="49">
        <f t="shared" si="543"/>
        <v>0</v>
      </c>
      <c r="BD768" s="49">
        <f t="shared" si="539"/>
        <v>0</v>
      </c>
      <c r="BE768" s="49">
        <f t="shared" si="544"/>
        <v>0</v>
      </c>
      <c r="BF768" s="49">
        <f t="shared" si="531"/>
        <v>0</v>
      </c>
      <c r="BG768" s="49">
        <f t="shared" si="532"/>
        <v>0</v>
      </c>
      <c r="BI768" s="134">
        <f t="shared" si="545"/>
        <v>0</v>
      </c>
      <c r="BJ768" s="134">
        <f t="shared" si="540"/>
        <v>0</v>
      </c>
      <c r="BK768" s="134">
        <f t="shared" si="546"/>
        <v>0</v>
      </c>
    </row>
    <row r="769" spans="1:63" hidden="1">
      <c r="A769" s="187"/>
      <c r="B769" s="2321"/>
      <c r="C769" s="2322"/>
      <c r="D769" s="2334"/>
      <c r="E769" s="2334"/>
      <c r="F769" s="2334"/>
      <c r="G769" s="2334"/>
      <c r="H769" s="2334"/>
      <c r="I769" s="2334"/>
      <c r="J769" s="2334"/>
      <c r="K769" s="2334"/>
      <c r="L769" s="2334"/>
      <c r="M769" s="2334"/>
      <c r="N769" s="2334"/>
      <c r="O769" s="2334"/>
      <c r="P769" s="2324"/>
      <c r="Q769" s="2324"/>
      <c r="R769" s="2325"/>
      <c r="S769" s="2324"/>
      <c r="T769" s="2324"/>
      <c r="U769" s="2326"/>
      <c r="V769" s="2327"/>
      <c r="W769" s="2327"/>
      <c r="X769" s="2327"/>
      <c r="Y769" s="2327"/>
      <c r="Z769" s="2327"/>
      <c r="AA769" s="2328"/>
      <c r="AB769" s="2329"/>
      <c r="AC769" s="2326"/>
      <c r="AD769" s="2330">
        <f t="shared" si="533"/>
        <v>0</v>
      </c>
      <c r="AE769" s="2330"/>
      <c r="AF769" s="2330"/>
      <c r="AG769" s="2330">
        <f t="shared" si="541"/>
        <v>0</v>
      </c>
      <c r="AH769" s="2330"/>
      <c r="AI769" s="2330"/>
      <c r="AJ769" s="2330">
        <f t="shared" si="534"/>
        <v>0</v>
      </c>
      <c r="AK769" s="2330"/>
      <c r="AL769" s="2330"/>
      <c r="AM769" s="2331">
        <f t="shared" si="535"/>
        <v>0</v>
      </c>
      <c r="AN769" s="2331"/>
      <c r="AO769" s="2331"/>
      <c r="AP769" s="2331"/>
      <c r="AQ769" s="2332">
        <f t="shared" si="536"/>
        <v>0</v>
      </c>
      <c r="AR769" s="2332"/>
      <c r="AS769" s="2332"/>
      <c r="AT769" s="2332">
        <f t="shared" si="537"/>
        <v>0</v>
      </c>
      <c r="AV769" s="151" t="str">
        <f t="shared" si="530"/>
        <v>CARPET &amp; RESILIENT</v>
      </c>
      <c r="AW769" s="681"/>
      <c r="AX769" s="230"/>
      <c r="AY769" s="230"/>
      <c r="AZ769" s="679"/>
      <c r="BA769" s="49">
        <f t="shared" si="538"/>
        <v>0</v>
      </c>
      <c r="BB769" s="49">
        <f t="shared" si="542"/>
        <v>0</v>
      </c>
      <c r="BC769" s="49">
        <f t="shared" si="543"/>
        <v>0</v>
      </c>
      <c r="BD769" s="49">
        <f t="shared" si="539"/>
        <v>0</v>
      </c>
      <c r="BE769" s="49">
        <f t="shared" si="544"/>
        <v>0</v>
      </c>
      <c r="BF769" s="49">
        <f t="shared" si="531"/>
        <v>0</v>
      </c>
      <c r="BG769" s="49">
        <f t="shared" si="532"/>
        <v>0</v>
      </c>
      <c r="BI769" s="134">
        <f t="shared" si="545"/>
        <v>0</v>
      </c>
      <c r="BJ769" s="134">
        <f t="shared" si="540"/>
        <v>0</v>
      </c>
      <c r="BK769" s="134">
        <f t="shared" si="546"/>
        <v>0</v>
      </c>
    </row>
    <row r="770" spans="1:63" hidden="1">
      <c r="A770" s="187"/>
      <c r="B770" s="2321"/>
      <c r="C770" s="2322"/>
      <c r="D770" s="2337" t="s">
        <v>749</v>
      </c>
      <c r="E770" s="2337"/>
      <c r="F770" s="2337"/>
      <c r="G770" s="2337"/>
      <c r="H770" s="2337"/>
      <c r="I770" s="2337"/>
      <c r="J770" s="2337"/>
      <c r="K770" s="2337"/>
      <c r="L770" s="2337"/>
      <c r="M770" s="2337"/>
      <c r="N770" s="2337"/>
      <c r="O770" s="2337"/>
      <c r="P770" s="2324"/>
      <c r="Q770" s="2324"/>
      <c r="R770" s="2325"/>
      <c r="S770" s="2324"/>
      <c r="T770" s="2324"/>
      <c r="U770" s="2326"/>
      <c r="V770" s="2327"/>
      <c r="W770" s="2327"/>
      <c r="X770" s="2327"/>
      <c r="Y770" s="2327"/>
      <c r="Z770" s="2327"/>
      <c r="AA770" s="2328"/>
      <c r="AB770" s="2329"/>
      <c r="AC770" s="2326"/>
      <c r="AD770" s="2330">
        <f t="shared" si="533"/>
        <v>0</v>
      </c>
      <c r="AE770" s="2330"/>
      <c r="AF770" s="2330"/>
      <c r="AG770" s="2330">
        <f t="shared" si="541"/>
        <v>0</v>
      </c>
      <c r="AH770" s="2330"/>
      <c r="AI770" s="2330"/>
      <c r="AJ770" s="2330">
        <f t="shared" si="534"/>
        <v>0</v>
      </c>
      <c r="AK770" s="2330"/>
      <c r="AL770" s="2330"/>
      <c r="AM770" s="2331">
        <f t="shared" si="535"/>
        <v>0</v>
      </c>
      <c r="AN770" s="2331"/>
      <c r="AO770" s="2331"/>
      <c r="AP770" s="2331"/>
      <c r="AQ770" s="2332">
        <f t="shared" si="536"/>
        <v>0</v>
      </c>
      <c r="AR770" s="2332"/>
      <c r="AS770" s="2332"/>
      <c r="AT770" s="2332">
        <f t="shared" si="537"/>
        <v>0</v>
      </c>
      <c r="AV770" s="151" t="str">
        <f t="shared" si="530"/>
        <v>CARPET &amp; RESILIENT</v>
      </c>
      <c r="AW770" s="681"/>
      <c r="AX770" s="230"/>
      <c r="AY770" s="230"/>
      <c r="AZ770" s="679"/>
      <c r="BA770" s="49">
        <f t="shared" si="538"/>
        <v>0</v>
      </c>
      <c r="BB770" s="49">
        <f t="shared" si="542"/>
        <v>0</v>
      </c>
      <c r="BC770" s="49">
        <f t="shared" si="543"/>
        <v>0</v>
      </c>
      <c r="BD770" s="49">
        <f t="shared" si="539"/>
        <v>0</v>
      </c>
      <c r="BE770" s="49">
        <f t="shared" si="544"/>
        <v>0</v>
      </c>
      <c r="BF770" s="49">
        <f t="shared" si="531"/>
        <v>0</v>
      </c>
      <c r="BG770" s="49">
        <f t="shared" si="532"/>
        <v>0</v>
      </c>
      <c r="BI770" s="134">
        <f t="shared" si="545"/>
        <v>0</v>
      </c>
      <c r="BJ770" s="134">
        <f t="shared" si="540"/>
        <v>0</v>
      </c>
      <c r="BK770" s="134">
        <f t="shared" si="546"/>
        <v>0</v>
      </c>
    </row>
    <row r="771" spans="1:63" hidden="1">
      <c r="A771" s="187"/>
      <c r="B771" s="2321"/>
      <c r="C771" s="2322"/>
      <c r="D771" s="2334" t="s">
        <v>747</v>
      </c>
      <c r="E771" s="2334"/>
      <c r="F771" s="2334"/>
      <c r="G771" s="2334"/>
      <c r="H771" s="2334"/>
      <c r="I771" s="2334"/>
      <c r="J771" s="2334"/>
      <c r="K771" s="2334"/>
      <c r="L771" s="2334"/>
      <c r="M771" s="2334"/>
      <c r="N771" s="2334"/>
      <c r="O771" s="2334"/>
      <c r="P771" s="2324"/>
      <c r="Q771" s="2324"/>
      <c r="R771" s="2325"/>
      <c r="S771" s="2324" t="s">
        <v>11</v>
      </c>
      <c r="T771" s="2324"/>
      <c r="U771" s="2326">
        <v>1</v>
      </c>
      <c r="V771" s="2327"/>
      <c r="W771" s="2327"/>
      <c r="X771" s="2327">
        <v>2</v>
      </c>
      <c r="Y771" s="2327"/>
      <c r="Z771" s="2327"/>
      <c r="AA771" s="2328"/>
      <c r="AB771" s="2329"/>
      <c r="AC771" s="2326"/>
      <c r="AD771" s="2330">
        <f t="shared" si="533"/>
        <v>0</v>
      </c>
      <c r="AE771" s="2330"/>
      <c r="AF771" s="2330"/>
      <c r="AG771" s="2330">
        <f t="shared" si="541"/>
        <v>0</v>
      </c>
      <c r="AH771" s="2330"/>
      <c r="AI771" s="2330"/>
      <c r="AJ771" s="2330">
        <f t="shared" si="534"/>
        <v>0</v>
      </c>
      <c r="AK771" s="2330"/>
      <c r="AL771" s="2330"/>
      <c r="AM771" s="2331">
        <f t="shared" si="535"/>
        <v>0</v>
      </c>
      <c r="AN771" s="2331"/>
      <c r="AO771" s="2331"/>
      <c r="AP771" s="2331"/>
      <c r="AQ771" s="2332">
        <f t="shared" si="536"/>
        <v>0</v>
      </c>
      <c r="AR771" s="2332"/>
      <c r="AS771" s="2332"/>
      <c r="AT771" s="2332">
        <f t="shared" si="537"/>
        <v>0</v>
      </c>
      <c r="AV771" s="151" t="str">
        <f t="shared" si="530"/>
        <v>CARPET &amp; RESILIENT</v>
      </c>
      <c r="AW771" s="681"/>
      <c r="AX771" s="230"/>
      <c r="AY771" s="230"/>
      <c r="AZ771" s="679"/>
      <c r="BA771" s="49">
        <f t="shared" si="538"/>
        <v>0</v>
      </c>
      <c r="BB771" s="49">
        <f t="shared" si="542"/>
        <v>0</v>
      </c>
      <c r="BC771" s="49">
        <f t="shared" si="543"/>
        <v>0</v>
      </c>
      <c r="BD771" s="49">
        <f t="shared" si="539"/>
        <v>0</v>
      </c>
      <c r="BE771" s="49">
        <f t="shared" si="544"/>
        <v>0</v>
      </c>
      <c r="BF771" s="49">
        <f t="shared" si="531"/>
        <v>0</v>
      </c>
      <c r="BG771" s="49">
        <f t="shared" si="532"/>
        <v>0</v>
      </c>
      <c r="BI771" s="134">
        <f t="shared" si="545"/>
        <v>0</v>
      </c>
      <c r="BJ771" s="134">
        <f t="shared" si="540"/>
        <v>0</v>
      </c>
      <c r="BK771" s="134">
        <f t="shared" si="546"/>
        <v>0</v>
      </c>
    </row>
    <row r="772" spans="1:63" hidden="1">
      <c r="A772" s="187"/>
      <c r="B772" s="2321"/>
      <c r="C772" s="2322"/>
      <c r="D772" s="2334" t="s">
        <v>750</v>
      </c>
      <c r="E772" s="2334"/>
      <c r="F772" s="2334"/>
      <c r="G772" s="2334"/>
      <c r="H772" s="2334"/>
      <c r="I772" s="2334"/>
      <c r="J772" s="2334"/>
      <c r="K772" s="2334"/>
      <c r="L772" s="2334"/>
      <c r="M772" s="2334"/>
      <c r="N772" s="2334"/>
      <c r="O772" s="2334"/>
      <c r="P772" s="2324"/>
      <c r="Q772" s="2324"/>
      <c r="R772" s="2325"/>
      <c r="S772" s="2324" t="s">
        <v>11</v>
      </c>
      <c r="T772" s="2324"/>
      <c r="U772" s="2326">
        <v>1</v>
      </c>
      <c r="V772" s="2327"/>
      <c r="W772" s="2327"/>
      <c r="X772" s="2327">
        <v>3</v>
      </c>
      <c r="Y772" s="2327"/>
      <c r="Z772" s="2327"/>
      <c r="AA772" s="2328"/>
      <c r="AB772" s="2329"/>
      <c r="AC772" s="2326"/>
      <c r="AD772" s="2330">
        <f t="shared" si="533"/>
        <v>0</v>
      </c>
      <c r="AE772" s="2330"/>
      <c r="AF772" s="2330"/>
      <c r="AG772" s="2330">
        <f t="shared" si="541"/>
        <v>0</v>
      </c>
      <c r="AH772" s="2330"/>
      <c r="AI772" s="2330"/>
      <c r="AJ772" s="2330">
        <f t="shared" si="534"/>
        <v>0</v>
      </c>
      <c r="AK772" s="2330"/>
      <c r="AL772" s="2330"/>
      <c r="AM772" s="2331">
        <f t="shared" si="535"/>
        <v>0</v>
      </c>
      <c r="AN772" s="2331"/>
      <c r="AO772" s="2331"/>
      <c r="AP772" s="2331"/>
      <c r="AQ772" s="2332">
        <f t="shared" si="536"/>
        <v>0</v>
      </c>
      <c r="AR772" s="2332"/>
      <c r="AS772" s="2332"/>
      <c r="AT772" s="2332">
        <f t="shared" si="537"/>
        <v>0</v>
      </c>
      <c r="AV772" s="151" t="str">
        <f t="shared" si="530"/>
        <v>CARPET &amp; RESILIENT</v>
      </c>
      <c r="AW772" s="681"/>
      <c r="AX772" s="230"/>
      <c r="AY772" s="230"/>
      <c r="AZ772" s="679"/>
      <c r="BA772" s="49">
        <f t="shared" si="538"/>
        <v>0</v>
      </c>
      <c r="BB772" s="49">
        <f t="shared" si="542"/>
        <v>0</v>
      </c>
      <c r="BC772" s="49">
        <f t="shared" si="543"/>
        <v>0</v>
      </c>
      <c r="BD772" s="49">
        <f t="shared" si="539"/>
        <v>0</v>
      </c>
      <c r="BE772" s="49">
        <f t="shared" si="544"/>
        <v>0</v>
      </c>
      <c r="BF772" s="49">
        <f t="shared" si="531"/>
        <v>0</v>
      </c>
      <c r="BG772" s="49">
        <f t="shared" si="532"/>
        <v>0</v>
      </c>
      <c r="BI772" s="134">
        <f t="shared" si="545"/>
        <v>0</v>
      </c>
      <c r="BJ772" s="134">
        <f t="shared" si="540"/>
        <v>0</v>
      </c>
      <c r="BK772" s="134">
        <f t="shared" si="546"/>
        <v>0</v>
      </c>
    </row>
    <row r="773" spans="1:63" hidden="1">
      <c r="A773" s="187"/>
      <c r="B773" s="2321"/>
      <c r="C773" s="2322"/>
      <c r="D773" s="2334" t="s">
        <v>751</v>
      </c>
      <c r="E773" s="2334"/>
      <c r="F773" s="2334"/>
      <c r="G773" s="2334"/>
      <c r="H773" s="2334"/>
      <c r="I773" s="2334"/>
      <c r="J773" s="2334"/>
      <c r="K773" s="2334"/>
      <c r="L773" s="2334"/>
      <c r="M773" s="2334"/>
      <c r="N773" s="2334"/>
      <c r="O773" s="2334"/>
      <c r="P773" s="2324"/>
      <c r="Q773" s="2324"/>
      <c r="R773" s="2325"/>
      <c r="S773" s="2324" t="s">
        <v>11</v>
      </c>
      <c r="T773" s="2324"/>
      <c r="U773" s="2326">
        <v>1</v>
      </c>
      <c r="V773" s="2327"/>
      <c r="W773" s="2327"/>
      <c r="X773" s="2327">
        <v>4.5</v>
      </c>
      <c r="Y773" s="2327"/>
      <c r="Z773" s="2327"/>
      <c r="AA773" s="2328"/>
      <c r="AB773" s="2329"/>
      <c r="AC773" s="2326"/>
      <c r="AD773" s="2330">
        <f t="shared" si="533"/>
        <v>0</v>
      </c>
      <c r="AE773" s="2330"/>
      <c r="AF773" s="2330"/>
      <c r="AG773" s="2330">
        <f t="shared" si="541"/>
        <v>0</v>
      </c>
      <c r="AH773" s="2330"/>
      <c r="AI773" s="2330"/>
      <c r="AJ773" s="2330">
        <f t="shared" si="534"/>
        <v>0</v>
      </c>
      <c r="AK773" s="2330"/>
      <c r="AL773" s="2330"/>
      <c r="AM773" s="2331">
        <f t="shared" si="535"/>
        <v>0</v>
      </c>
      <c r="AN773" s="2331"/>
      <c r="AO773" s="2331"/>
      <c r="AP773" s="2331"/>
      <c r="AQ773" s="2332">
        <f t="shared" si="536"/>
        <v>0</v>
      </c>
      <c r="AR773" s="2332"/>
      <c r="AS773" s="2332"/>
      <c r="AT773" s="2332">
        <f t="shared" si="537"/>
        <v>0</v>
      </c>
      <c r="AV773" s="151" t="str">
        <f t="shared" si="530"/>
        <v>CARPET &amp; RESILIENT</v>
      </c>
      <c r="AW773" s="681"/>
      <c r="AX773" s="230"/>
      <c r="AY773" s="230"/>
      <c r="AZ773" s="679"/>
      <c r="BA773" s="49">
        <f t="shared" si="538"/>
        <v>0</v>
      </c>
      <c r="BB773" s="49">
        <f t="shared" si="542"/>
        <v>0</v>
      </c>
      <c r="BC773" s="49">
        <f t="shared" si="543"/>
        <v>0</v>
      </c>
      <c r="BD773" s="49">
        <f t="shared" si="539"/>
        <v>0</v>
      </c>
      <c r="BE773" s="49">
        <f t="shared" si="544"/>
        <v>0</v>
      </c>
      <c r="BF773" s="49">
        <f t="shared" si="531"/>
        <v>0</v>
      </c>
      <c r="BG773" s="49">
        <f t="shared" si="532"/>
        <v>0</v>
      </c>
      <c r="BI773" s="134">
        <f t="shared" si="545"/>
        <v>0</v>
      </c>
      <c r="BJ773" s="134">
        <f t="shared" si="540"/>
        <v>0</v>
      </c>
      <c r="BK773" s="134">
        <f t="shared" si="546"/>
        <v>0</v>
      </c>
    </row>
    <row r="774" spans="1:63" hidden="1">
      <c r="A774" s="187"/>
      <c r="B774" s="2321"/>
      <c r="C774" s="2322"/>
      <c r="D774" s="2334" t="s">
        <v>752</v>
      </c>
      <c r="E774" s="2334"/>
      <c r="F774" s="2334"/>
      <c r="G774" s="2334"/>
      <c r="H774" s="2334"/>
      <c r="I774" s="2334"/>
      <c r="J774" s="2334"/>
      <c r="K774" s="2334"/>
      <c r="L774" s="2334"/>
      <c r="M774" s="2334"/>
      <c r="N774" s="2334"/>
      <c r="O774" s="2334"/>
      <c r="P774" s="2324"/>
      <c r="Q774" s="2324"/>
      <c r="R774" s="2325"/>
      <c r="S774" s="2324" t="s">
        <v>11</v>
      </c>
      <c r="T774" s="2324"/>
      <c r="U774" s="2326">
        <v>0.17</v>
      </c>
      <c r="V774" s="2327"/>
      <c r="W774" s="2327"/>
      <c r="X774" s="2327">
        <v>0.03</v>
      </c>
      <c r="Y774" s="2327"/>
      <c r="Z774" s="2327"/>
      <c r="AA774" s="2328"/>
      <c r="AB774" s="2329"/>
      <c r="AC774" s="2326"/>
      <c r="AD774" s="2330">
        <f t="shared" si="533"/>
        <v>0</v>
      </c>
      <c r="AE774" s="2330"/>
      <c r="AF774" s="2330"/>
      <c r="AG774" s="2330">
        <f t="shared" si="541"/>
        <v>0</v>
      </c>
      <c r="AH774" s="2330"/>
      <c r="AI774" s="2330"/>
      <c r="AJ774" s="2330">
        <f t="shared" si="534"/>
        <v>0</v>
      </c>
      <c r="AK774" s="2330"/>
      <c r="AL774" s="2330"/>
      <c r="AM774" s="2331">
        <f t="shared" si="535"/>
        <v>0</v>
      </c>
      <c r="AN774" s="2331"/>
      <c r="AO774" s="2331"/>
      <c r="AP774" s="2331"/>
      <c r="AQ774" s="2332">
        <f t="shared" si="536"/>
        <v>0</v>
      </c>
      <c r="AR774" s="2332"/>
      <c r="AS774" s="2332"/>
      <c r="AT774" s="2332">
        <f t="shared" si="537"/>
        <v>0</v>
      </c>
      <c r="AV774" s="151" t="str">
        <f t="shared" si="530"/>
        <v>CARPET &amp; RESILIENT</v>
      </c>
      <c r="AW774" s="681"/>
      <c r="AX774" s="230"/>
      <c r="AY774" s="230"/>
      <c r="AZ774" s="679"/>
      <c r="BA774" s="49">
        <f t="shared" si="538"/>
        <v>0</v>
      </c>
      <c r="BB774" s="49">
        <f t="shared" si="542"/>
        <v>0</v>
      </c>
      <c r="BC774" s="49">
        <f t="shared" si="543"/>
        <v>0</v>
      </c>
      <c r="BD774" s="49">
        <f t="shared" si="539"/>
        <v>0</v>
      </c>
      <c r="BE774" s="49">
        <f t="shared" si="544"/>
        <v>0</v>
      </c>
      <c r="BF774" s="49">
        <f t="shared" si="531"/>
        <v>0</v>
      </c>
      <c r="BG774" s="49">
        <f t="shared" si="532"/>
        <v>0</v>
      </c>
      <c r="BI774" s="134">
        <f t="shared" si="545"/>
        <v>0</v>
      </c>
      <c r="BJ774" s="134">
        <f t="shared" si="540"/>
        <v>0</v>
      </c>
      <c r="BK774" s="134">
        <f t="shared" si="546"/>
        <v>0</v>
      </c>
    </row>
    <row r="775" spans="1:63" hidden="1">
      <c r="A775" s="187"/>
      <c r="B775" s="2321"/>
      <c r="C775" s="2322"/>
      <c r="D775" s="2334"/>
      <c r="E775" s="2334"/>
      <c r="F775" s="2334"/>
      <c r="G775" s="2334"/>
      <c r="H775" s="2334"/>
      <c r="I775" s="2334"/>
      <c r="J775" s="2334"/>
      <c r="K775" s="2334"/>
      <c r="L775" s="2334"/>
      <c r="M775" s="2334"/>
      <c r="N775" s="2334"/>
      <c r="O775" s="2334"/>
      <c r="P775" s="2324"/>
      <c r="Q775" s="2324"/>
      <c r="R775" s="2325"/>
      <c r="S775" s="2324"/>
      <c r="T775" s="2324"/>
      <c r="U775" s="2326"/>
      <c r="V775" s="2327"/>
      <c r="W775" s="2327"/>
      <c r="X775" s="2327"/>
      <c r="Y775" s="2327"/>
      <c r="Z775" s="2327"/>
      <c r="AA775" s="2328"/>
      <c r="AB775" s="2329"/>
      <c r="AC775" s="2326"/>
      <c r="AD775" s="2330">
        <f t="shared" si="533"/>
        <v>0</v>
      </c>
      <c r="AE775" s="2330"/>
      <c r="AF775" s="2330"/>
      <c r="AG775" s="2330">
        <f t="shared" si="541"/>
        <v>0</v>
      </c>
      <c r="AH775" s="2330"/>
      <c r="AI775" s="2330"/>
      <c r="AJ775" s="2330">
        <f t="shared" si="534"/>
        <v>0</v>
      </c>
      <c r="AK775" s="2330"/>
      <c r="AL775" s="2330"/>
      <c r="AM775" s="2331">
        <f t="shared" si="535"/>
        <v>0</v>
      </c>
      <c r="AN775" s="2331"/>
      <c r="AO775" s="2331"/>
      <c r="AP775" s="2331"/>
      <c r="AQ775" s="2332">
        <f t="shared" si="536"/>
        <v>0</v>
      </c>
      <c r="AR775" s="2332"/>
      <c r="AS775" s="2332"/>
      <c r="AT775" s="2332">
        <f t="shared" si="537"/>
        <v>0</v>
      </c>
      <c r="AV775" s="151" t="str">
        <f t="shared" si="530"/>
        <v>CARPET &amp; RESILIENT</v>
      </c>
      <c r="AW775" s="681"/>
      <c r="AX775" s="230"/>
      <c r="AY775" s="230"/>
      <c r="AZ775" s="679"/>
      <c r="BA775" s="49">
        <f t="shared" si="538"/>
        <v>0</v>
      </c>
      <c r="BB775" s="49">
        <f t="shared" si="542"/>
        <v>0</v>
      </c>
      <c r="BC775" s="49">
        <f t="shared" si="543"/>
        <v>0</v>
      </c>
      <c r="BD775" s="49">
        <f t="shared" si="539"/>
        <v>0</v>
      </c>
      <c r="BE775" s="49">
        <f t="shared" si="544"/>
        <v>0</v>
      </c>
      <c r="BF775" s="49">
        <f t="shared" si="531"/>
        <v>0</v>
      </c>
      <c r="BG775" s="49">
        <f t="shared" si="532"/>
        <v>0</v>
      </c>
      <c r="BI775" s="134">
        <f t="shared" si="545"/>
        <v>0</v>
      </c>
      <c r="BJ775" s="134">
        <f t="shared" si="540"/>
        <v>0</v>
      </c>
      <c r="BK775" s="134">
        <f t="shared" si="546"/>
        <v>0</v>
      </c>
    </row>
    <row r="776" spans="1:63" hidden="1">
      <c r="A776" s="187"/>
      <c r="B776" s="2321"/>
      <c r="C776" s="2322"/>
      <c r="D776" s="2337" t="s">
        <v>753</v>
      </c>
      <c r="E776" s="2337"/>
      <c r="F776" s="2337"/>
      <c r="G776" s="2337"/>
      <c r="H776" s="2337"/>
      <c r="I776" s="2337"/>
      <c r="J776" s="2337"/>
      <c r="K776" s="2337"/>
      <c r="L776" s="2337"/>
      <c r="M776" s="2337"/>
      <c r="N776" s="2337"/>
      <c r="O776" s="2337"/>
      <c r="P776" s="2324"/>
      <c r="Q776" s="2324"/>
      <c r="R776" s="2325"/>
      <c r="S776" s="2324"/>
      <c r="T776" s="2324" t="s">
        <v>11</v>
      </c>
      <c r="U776" s="2326"/>
      <c r="V776" s="2327"/>
      <c r="W776" s="2327"/>
      <c r="X776" s="2327"/>
      <c r="Y776" s="2327"/>
      <c r="Z776" s="2327"/>
      <c r="AA776" s="2328"/>
      <c r="AB776" s="2329"/>
      <c r="AC776" s="2326"/>
      <c r="AD776" s="2330">
        <f t="shared" si="533"/>
        <v>0</v>
      </c>
      <c r="AE776" s="2330"/>
      <c r="AF776" s="2330"/>
      <c r="AG776" s="2330">
        <f t="shared" si="541"/>
        <v>0</v>
      </c>
      <c r="AH776" s="2330"/>
      <c r="AI776" s="2330"/>
      <c r="AJ776" s="2330">
        <f t="shared" si="534"/>
        <v>0</v>
      </c>
      <c r="AK776" s="2330"/>
      <c r="AL776" s="2330"/>
      <c r="AM776" s="2331">
        <f t="shared" si="535"/>
        <v>0</v>
      </c>
      <c r="AN776" s="2331"/>
      <c r="AO776" s="2331"/>
      <c r="AP776" s="2331"/>
      <c r="AQ776" s="2332">
        <f t="shared" si="536"/>
        <v>0</v>
      </c>
      <c r="AR776" s="2332"/>
      <c r="AS776" s="2332"/>
      <c r="AT776" s="2332">
        <f t="shared" si="537"/>
        <v>0</v>
      </c>
      <c r="AV776" s="151" t="str">
        <f t="shared" si="530"/>
        <v>CARPET &amp; RESILIENT</v>
      </c>
      <c r="AW776" s="681"/>
      <c r="AX776" s="230"/>
      <c r="AY776" s="230"/>
      <c r="AZ776" s="679"/>
      <c r="BA776" s="49">
        <f t="shared" si="538"/>
        <v>0</v>
      </c>
      <c r="BB776" s="49">
        <f t="shared" si="542"/>
        <v>0</v>
      </c>
      <c r="BC776" s="49">
        <f t="shared" si="543"/>
        <v>0</v>
      </c>
      <c r="BD776" s="49">
        <f t="shared" si="539"/>
        <v>0</v>
      </c>
      <c r="BE776" s="49">
        <f t="shared" si="544"/>
        <v>0</v>
      </c>
      <c r="BF776" s="49">
        <f t="shared" si="531"/>
        <v>0</v>
      </c>
      <c r="BG776" s="49">
        <f t="shared" si="532"/>
        <v>0</v>
      </c>
      <c r="BI776" s="134">
        <f t="shared" si="545"/>
        <v>0</v>
      </c>
      <c r="BJ776" s="134">
        <f t="shared" si="540"/>
        <v>0</v>
      </c>
      <c r="BK776" s="134">
        <f t="shared" si="546"/>
        <v>0</v>
      </c>
    </row>
    <row r="777" spans="1:63" hidden="1">
      <c r="A777" s="187"/>
      <c r="B777" s="2321"/>
      <c r="C777" s="2322"/>
      <c r="D777" s="2334" t="s">
        <v>754</v>
      </c>
      <c r="E777" s="2334"/>
      <c r="F777" s="2334"/>
      <c r="G777" s="2334"/>
      <c r="H777" s="2334"/>
      <c r="I777" s="2334"/>
      <c r="J777" s="2334"/>
      <c r="K777" s="2334"/>
      <c r="L777" s="2334"/>
      <c r="M777" s="2334"/>
      <c r="N777" s="2334"/>
      <c r="O777" s="2334"/>
      <c r="P777" s="2324"/>
      <c r="Q777" s="2324"/>
      <c r="R777" s="2325"/>
      <c r="S777" s="2324" t="s">
        <v>11</v>
      </c>
      <c r="T777" s="2324" t="s">
        <v>12</v>
      </c>
      <c r="U777" s="2326">
        <v>0.65</v>
      </c>
      <c r="V777" s="2327"/>
      <c r="W777" s="2327"/>
      <c r="X777" s="2327">
        <v>2</v>
      </c>
      <c r="Y777" s="2327"/>
      <c r="Z777" s="2327"/>
      <c r="AA777" s="2328"/>
      <c r="AB777" s="2329"/>
      <c r="AC777" s="2326"/>
      <c r="AD777" s="2330">
        <f t="shared" si="533"/>
        <v>0</v>
      </c>
      <c r="AE777" s="2330"/>
      <c r="AF777" s="2330"/>
      <c r="AG777" s="2330">
        <f t="shared" si="541"/>
        <v>0</v>
      </c>
      <c r="AH777" s="2330"/>
      <c r="AI777" s="2330"/>
      <c r="AJ777" s="2330">
        <f t="shared" si="534"/>
        <v>0</v>
      </c>
      <c r="AK777" s="2330"/>
      <c r="AL777" s="2330"/>
      <c r="AM777" s="2331">
        <f t="shared" si="535"/>
        <v>0</v>
      </c>
      <c r="AN777" s="2331"/>
      <c r="AO777" s="2331"/>
      <c r="AP777" s="2331"/>
      <c r="AQ777" s="2332">
        <f t="shared" si="536"/>
        <v>0</v>
      </c>
      <c r="AR777" s="2332"/>
      <c r="AS777" s="2332"/>
      <c r="AT777" s="2332">
        <f t="shared" si="537"/>
        <v>0</v>
      </c>
      <c r="AV777" s="151" t="str">
        <f t="shared" si="530"/>
        <v>CARPET &amp; RESILIENT</v>
      </c>
      <c r="AW777" s="681"/>
      <c r="AX777" s="230"/>
      <c r="AY777" s="230"/>
      <c r="AZ777" s="679"/>
      <c r="BA777" s="49">
        <f t="shared" si="538"/>
        <v>0</v>
      </c>
      <c r="BB777" s="49">
        <f t="shared" si="542"/>
        <v>0</v>
      </c>
      <c r="BC777" s="49">
        <f t="shared" si="543"/>
        <v>0</v>
      </c>
      <c r="BD777" s="49">
        <f t="shared" si="539"/>
        <v>0</v>
      </c>
      <c r="BE777" s="49">
        <f t="shared" si="544"/>
        <v>0</v>
      </c>
      <c r="BF777" s="49">
        <f t="shared" si="531"/>
        <v>0</v>
      </c>
      <c r="BG777" s="49">
        <f t="shared" si="532"/>
        <v>0</v>
      </c>
      <c r="BI777" s="134">
        <f t="shared" si="545"/>
        <v>0</v>
      </c>
      <c r="BJ777" s="134">
        <f t="shared" si="540"/>
        <v>0</v>
      </c>
      <c r="BK777" s="134">
        <f t="shared" si="546"/>
        <v>0</v>
      </c>
    </row>
    <row r="778" spans="1:63" hidden="1">
      <c r="A778" s="187"/>
      <c r="B778" s="2321"/>
      <c r="C778" s="2322"/>
      <c r="D778" s="2318" t="s">
        <v>757</v>
      </c>
      <c r="E778" s="2390"/>
      <c r="F778" s="2390"/>
      <c r="G778" s="2390"/>
      <c r="H778" s="2390"/>
      <c r="I778" s="2390"/>
      <c r="J778" s="2390"/>
      <c r="K778" s="2390"/>
      <c r="L778" s="2390"/>
      <c r="M778" s="2390"/>
      <c r="N778" s="2390"/>
      <c r="O778" s="2391"/>
      <c r="P778" s="2325"/>
      <c r="Q778" s="2339"/>
      <c r="R778" s="2340"/>
      <c r="S778" s="2325" t="s">
        <v>11</v>
      </c>
      <c r="T778" s="2340"/>
      <c r="U778" s="2328">
        <v>0.65</v>
      </c>
      <c r="V778" s="2329"/>
      <c r="W778" s="2326"/>
      <c r="X778" s="2328">
        <v>5</v>
      </c>
      <c r="Y778" s="2329"/>
      <c r="Z778" s="2326"/>
      <c r="AA778" s="2328"/>
      <c r="AB778" s="2329"/>
      <c r="AC778" s="2326"/>
      <c r="AD778" s="2330">
        <f t="shared" si="533"/>
        <v>0</v>
      </c>
      <c r="AE778" s="2330"/>
      <c r="AF778" s="2330"/>
      <c r="AG778" s="2330">
        <f t="shared" si="541"/>
        <v>0</v>
      </c>
      <c r="AH778" s="2330"/>
      <c r="AI778" s="2330"/>
      <c r="AJ778" s="2330">
        <f t="shared" si="534"/>
        <v>0</v>
      </c>
      <c r="AK778" s="2330"/>
      <c r="AL778" s="2330"/>
      <c r="AM778" s="2331">
        <f t="shared" si="535"/>
        <v>0</v>
      </c>
      <c r="AN778" s="2331"/>
      <c r="AO778" s="2331"/>
      <c r="AP778" s="2331"/>
      <c r="AQ778" s="2332">
        <f t="shared" si="536"/>
        <v>0</v>
      </c>
      <c r="AR778" s="2332"/>
      <c r="AS778" s="2332"/>
      <c r="AT778" s="2332">
        <f t="shared" si="537"/>
        <v>0</v>
      </c>
      <c r="AV778" s="151" t="str">
        <f t="shared" si="530"/>
        <v>CARPET &amp; RESILIENT</v>
      </c>
      <c r="AW778" s="681"/>
      <c r="AX778" s="230"/>
      <c r="AY778" s="230"/>
      <c r="AZ778" s="679"/>
      <c r="BA778" s="49">
        <f t="shared" si="538"/>
        <v>0</v>
      </c>
      <c r="BB778" s="49">
        <f t="shared" si="542"/>
        <v>0</v>
      </c>
      <c r="BC778" s="49">
        <f t="shared" si="543"/>
        <v>0</v>
      </c>
      <c r="BD778" s="49">
        <f t="shared" si="539"/>
        <v>0</v>
      </c>
      <c r="BE778" s="49">
        <f t="shared" si="544"/>
        <v>0</v>
      </c>
      <c r="BF778" s="49">
        <f t="shared" si="531"/>
        <v>0</v>
      </c>
      <c r="BG778" s="49">
        <f t="shared" si="532"/>
        <v>0</v>
      </c>
      <c r="BI778" s="134">
        <f t="shared" si="545"/>
        <v>0</v>
      </c>
      <c r="BJ778" s="134">
        <f t="shared" si="540"/>
        <v>0</v>
      </c>
      <c r="BK778" s="134">
        <f t="shared" si="546"/>
        <v>0</v>
      </c>
    </row>
    <row r="779" spans="1:63" hidden="1">
      <c r="A779" s="187"/>
      <c r="B779" s="2321"/>
      <c r="C779" s="2322"/>
      <c r="D779" s="2318" t="s">
        <v>756</v>
      </c>
      <c r="E779" s="2319"/>
      <c r="F779" s="2319"/>
      <c r="G779" s="2319"/>
      <c r="H779" s="2319"/>
      <c r="I779" s="2319"/>
      <c r="J779" s="2319"/>
      <c r="K779" s="2319"/>
      <c r="L779" s="2319"/>
      <c r="M779" s="2319"/>
      <c r="N779" s="2319"/>
      <c r="O779" s="2320"/>
      <c r="P779" s="2325"/>
      <c r="Q779" s="2339"/>
      <c r="R779" s="2340"/>
      <c r="S779" s="2325" t="s">
        <v>11</v>
      </c>
      <c r="T779" s="2340"/>
      <c r="U779" s="2328">
        <v>0.65</v>
      </c>
      <c r="V779" s="2329"/>
      <c r="W779" s="2326"/>
      <c r="X779" s="2328">
        <v>8</v>
      </c>
      <c r="Y779" s="2329"/>
      <c r="Z779" s="2326"/>
      <c r="AA779" s="2328"/>
      <c r="AB779" s="2329"/>
      <c r="AC779" s="2326"/>
      <c r="AD779" s="2330">
        <f t="shared" si="533"/>
        <v>0</v>
      </c>
      <c r="AE779" s="2330"/>
      <c r="AF779" s="2330"/>
      <c r="AG779" s="2330">
        <f t="shared" si="541"/>
        <v>0</v>
      </c>
      <c r="AH779" s="2330"/>
      <c r="AI779" s="2330"/>
      <c r="AJ779" s="2330">
        <f t="shared" si="534"/>
        <v>0</v>
      </c>
      <c r="AK779" s="2330"/>
      <c r="AL779" s="2330"/>
      <c r="AM779" s="2331">
        <f t="shared" si="535"/>
        <v>0</v>
      </c>
      <c r="AN779" s="2331"/>
      <c r="AO779" s="2331"/>
      <c r="AP779" s="2331"/>
      <c r="AQ779" s="2332">
        <f t="shared" si="536"/>
        <v>0</v>
      </c>
      <c r="AR779" s="2332"/>
      <c r="AS779" s="2332"/>
      <c r="AT779" s="2332">
        <f t="shared" si="537"/>
        <v>0</v>
      </c>
      <c r="AV779" s="151" t="str">
        <f t="shared" si="530"/>
        <v>CARPET &amp; RESILIENT</v>
      </c>
      <c r="AW779" s="681"/>
      <c r="AX779" s="230"/>
      <c r="AY779" s="230"/>
      <c r="AZ779" s="679"/>
      <c r="BA779" s="49">
        <f t="shared" si="538"/>
        <v>0</v>
      </c>
      <c r="BB779" s="49">
        <f t="shared" si="542"/>
        <v>0</v>
      </c>
      <c r="BC779" s="49">
        <f t="shared" si="543"/>
        <v>0</v>
      </c>
      <c r="BD779" s="49">
        <f t="shared" si="539"/>
        <v>0</v>
      </c>
      <c r="BE779" s="49">
        <f t="shared" si="544"/>
        <v>0</v>
      </c>
      <c r="BF779" s="49">
        <f t="shared" si="531"/>
        <v>0</v>
      </c>
      <c r="BG779" s="49">
        <f t="shared" si="532"/>
        <v>0</v>
      </c>
      <c r="BI779" s="134">
        <f t="shared" si="545"/>
        <v>0</v>
      </c>
      <c r="BJ779" s="134">
        <f t="shared" si="540"/>
        <v>0</v>
      </c>
      <c r="BK779" s="134">
        <f t="shared" si="546"/>
        <v>0</v>
      </c>
    </row>
    <row r="780" spans="1:63" hidden="1">
      <c r="A780" s="187"/>
      <c r="B780" s="2321"/>
      <c r="C780" s="2322"/>
      <c r="D780" s="2334" t="s">
        <v>752</v>
      </c>
      <c r="E780" s="2334"/>
      <c r="F780" s="2334"/>
      <c r="G780" s="2334"/>
      <c r="H780" s="2334"/>
      <c r="I780" s="2334"/>
      <c r="J780" s="2334"/>
      <c r="K780" s="2334"/>
      <c r="L780" s="2334"/>
      <c r="M780" s="2334"/>
      <c r="N780" s="2334"/>
      <c r="O780" s="2334"/>
      <c r="P780" s="2324"/>
      <c r="Q780" s="2324"/>
      <c r="R780" s="2325"/>
      <c r="S780" s="2324" t="s">
        <v>11</v>
      </c>
      <c r="T780" s="2324"/>
      <c r="U780" s="2326">
        <v>0.17</v>
      </c>
      <c r="V780" s="2327"/>
      <c r="W780" s="2327"/>
      <c r="X780" s="2327">
        <v>0.03</v>
      </c>
      <c r="Y780" s="2327"/>
      <c r="Z780" s="2327"/>
      <c r="AA780" s="2328"/>
      <c r="AB780" s="2329"/>
      <c r="AC780" s="2326"/>
      <c r="AD780" s="2330">
        <f t="shared" si="533"/>
        <v>0</v>
      </c>
      <c r="AE780" s="2330"/>
      <c r="AF780" s="2330"/>
      <c r="AG780" s="2330">
        <f t="shared" si="541"/>
        <v>0</v>
      </c>
      <c r="AH780" s="2330"/>
      <c r="AI780" s="2330"/>
      <c r="AJ780" s="2330">
        <f t="shared" si="534"/>
        <v>0</v>
      </c>
      <c r="AK780" s="2330"/>
      <c r="AL780" s="2330"/>
      <c r="AM780" s="2331">
        <f t="shared" si="535"/>
        <v>0</v>
      </c>
      <c r="AN780" s="2331"/>
      <c r="AO780" s="2331"/>
      <c r="AP780" s="2331"/>
      <c r="AQ780" s="2332">
        <f t="shared" si="536"/>
        <v>0</v>
      </c>
      <c r="AR780" s="2332"/>
      <c r="AS780" s="2332"/>
      <c r="AT780" s="2332">
        <f t="shared" si="537"/>
        <v>0</v>
      </c>
      <c r="AV780" s="151" t="str">
        <f t="shared" si="530"/>
        <v>CARPET &amp; RESILIENT</v>
      </c>
      <c r="AW780" s="681"/>
      <c r="AX780" s="230"/>
      <c r="AY780" s="230"/>
      <c r="AZ780" s="679"/>
      <c r="BA780" s="49">
        <f t="shared" si="538"/>
        <v>0</v>
      </c>
      <c r="BB780" s="49">
        <f t="shared" si="542"/>
        <v>0</v>
      </c>
      <c r="BC780" s="49">
        <f t="shared" si="543"/>
        <v>0</v>
      </c>
      <c r="BD780" s="49">
        <f t="shared" si="539"/>
        <v>0</v>
      </c>
      <c r="BE780" s="49">
        <f t="shared" si="544"/>
        <v>0</v>
      </c>
      <c r="BF780" s="49">
        <f t="shared" si="531"/>
        <v>0</v>
      </c>
      <c r="BG780" s="49">
        <f t="shared" si="532"/>
        <v>0</v>
      </c>
      <c r="BI780" s="134">
        <f t="shared" si="545"/>
        <v>0</v>
      </c>
      <c r="BJ780" s="134">
        <f t="shared" si="540"/>
        <v>0</v>
      </c>
      <c r="BK780" s="134">
        <f t="shared" si="546"/>
        <v>0</v>
      </c>
    </row>
    <row r="781" spans="1:63" hidden="1">
      <c r="A781" s="187"/>
      <c r="B781" s="2321"/>
      <c r="C781" s="2322"/>
      <c r="D781" s="2318"/>
      <c r="E781" s="2319"/>
      <c r="F781" s="2319"/>
      <c r="G781" s="2319"/>
      <c r="H781" s="2319"/>
      <c r="I781" s="2319"/>
      <c r="J781" s="2319"/>
      <c r="K781" s="2319"/>
      <c r="L781" s="2319"/>
      <c r="M781" s="2319"/>
      <c r="N781" s="2319"/>
      <c r="O781" s="2320"/>
      <c r="P781" s="2325"/>
      <c r="Q781" s="2339"/>
      <c r="R781" s="2340"/>
      <c r="S781" s="2325"/>
      <c r="T781" s="2340"/>
      <c r="U781" s="2328"/>
      <c r="V781" s="2329"/>
      <c r="W781" s="2326"/>
      <c r="X781" s="2328"/>
      <c r="Y781" s="2329"/>
      <c r="Z781" s="2326"/>
      <c r="AA781" s="2328"/>
      <c r="AB781" s="2329"/>
      <c r="AC781" s="2326"/>
      <c r="AD781" s="2330">
        <f t="shared" si="533"/>
        <v>0</v>
      </c>
      <c r="AE781" s="2330"/>
      <c r="AF781" s="2330"/>
      <c r="AG781" s="2330">
        <f t="shared" si="541"/>
        <v>0</v>
      </c>
      <c r="AH781" s="2330"/>
      <c r="AI781" s="2330"/>
      <c r="AJ781" s="2330">
        <f t="shared" si="534"/>
        <v>0</v>
      </c>
      <c r="AK781" s="2330"/>
      <c r="AL781" s="2330"/>
      <c r="AM781" s="2331">
        <f t="shared" si="535"/>
        <v>0</v>
      </c>
      <c r="AN781" s="2331"/>
      <c r="AO781" s="2331"/>
      <c r="AP781" s="2331"/>
      <c r="AQ781" s="2332">
        <f t="shared" si="536"/>
        <v>0</v>
      </c>
      <c r="AR781" s="2332"/>
      <c r="AS781" s="2332"/>
      <c r="AT781" s="2332">
        <f t="shared" si="537"/>
        <v>0</v>
      </c>
      <c r="AV781" s="151" t="str">
        <f t="shared" si="530"/>
        <v>CARPET &amp; RESILIENT</v>
      </c>
      <c r="AW781" s="681"/>
      <c r="AX781" s="230"/>
      <c r="AY781" s="230"/>
      <c r="AZ781" s="679"/>
      <c r="BA781" s="49">
        <f t="shared" si="538"/>
        <v>0</v>
      </c>
      <c r="BB781" s="49">
        <f t="shared" si="542"/>
        <v>0</v>
      </c>
      <c r="BC781" s="49">
        <f t="shared" si="543"/>
        <v>0</v>
      </c>
      <c r="BD781" s="49">
        <f t="shared" si="539"/>
        <v>0</v>
      </c>
      <c r="BE781" s="49">
        <f>SUM(BA781:BC781)</f>
        <v>0</v>
      </c>
      <c r="BF781" s="49">
        <f t="shared" si="531"/>
        <v>0</v>
      </c>
      <c r="BG781" s="49">
        <f t="shared" si="532"/>
        <v>0</v>
      </c>
      <c r="BI781" s="134">
        <f t="shared" si="545"/>
        <v>0</v>
      </c>
      <c r="BJ781" s="134">
        <f t="shared" si="540"/>
        <v>0</v>
      </c>
      <c r="BK781" s="134">
        <f t="shared" si="546"/>
        <v>0</v>
      </c>
    </row>
    <row r="782" spans="1:63" hidden="1">
      <c r="A782" s="187"/>
      <c r="B782" s="2321"/>
      <c r="C782" s="2322"/>
      <c r="D782" s="2318"/>
      <c r="E782" s="2319"/>
      <c r="F782" s="2319"/>
      <c r="G782" s="2319"/>
      <c r="H782" s="2319"/>
      <c r="I782" s="2319"/>
      <c r="J782" s="2319"/>
      <c r="K782" s="2319"/>
      <c r="L782" s="2319"/>
      <c r="M782" s="2319"/>
      <c r="N782" s="2319"/>
      <c r="O782" s="2320"/>
      <c r="P782" s="2325"/>
      <c r="Q782" s="2339"/>
      <c r="R782" s="2340"/>
      <c r="S782" s="2325"/>
      <c r="T782" s="2340"/>
      <c r="U782" s="2328"/>
      <c r="V782" s="2329"/>
      <c r="W782" s="2326"/>
      <c r="X782" s="2328"/>
      <c r="Y782" s="2329"/>
      <c r="Z782" s="2326"/>
      <c r="AA782" s="2328"/>
      <c r="AB782" s="2329"/>
      <c r="AC782" s="2326"/>
      <c r="AD782" s="2330">
        <f t="shared" si="533"/>
        <v>0</v>
      </c>
      <c r="AE782" s="2330"/>
      <c r="AF782" s="2330"/>
      <c r="AG782" s="2330">
        <f t="shared" si="541"/>
        <v>0</v>
      </c>
      <c r="AH782" s="2330"/>
      <c r="AI782" s="2330"/>
      <c r="AJ782" s="2330">
        <f t="shared" si="534"/>
        <v>0</v>
      </c>
      <c r="AK782" s="2330"/>
      <c r="AL782" s="2330"/>
      <c r="AM782" s="2331">
        <f t="shared" si="535"/>
        <v>0</v>
      </c>
      <c r="AN782" s="2331"/>
      <c r="AO782" s="2331"/>
      <c r="AP782" s="2331"/>
      <c r="AQ782" s="2332">
        <f t="shared" si="536"/>
        <v>0</v>
      </c>
      <c r="AR782" s="2332"/>
      <c r="AS782" s="2332"/>
      <c r="AT782" s="2332">
        <f t="shared" si="537"/>
        <v>0</v>
      </c>
      <c r="AV782" s="151" t="str">
        <f t="shared" si="530"/>
        <v>CARPET &amp; RESILIENT</v>
      </c>
      <c r="AW782" s="681"/>
      <c r="AX782" s="230"/>
      <c r="AY782" s="230"/>
      <c r="AZ782" s="679"/>
      <c r="BA782" s="49">
        <f t="shared" si="538"/>
        <v>0</v>
      </c>
      <c r="BB782" s="49">
        <f t="shared" si="542"/>
        <v>0</v>
      </c>
      <c r="BC782" s="49">
        <f t="shared" si="543"/>
        <v>0</v>
      </c>
      <c r="BD782" s="49">
        <f t="shared" si="539"/>
        <v>0</v>
      </c>
      <c r="BE782" s="49">
        <f>SUM(BA782:BC782)</f>
        <v>0</v>
      </c>
      <c r="BF782" s="49">
        <f t="shared" si="531"/>
        <v>0</v>
      </c>
      <c r="BG782" s="49">
        <f t="shared" si="532"/>
        <v>0</v>
      </c>
      <c r="BI782" s="134">
        <f t="shared" si="545"/>
        <v>0</v>
      </c>
      <c r="BJ782" s="134">
        <f t="shared" si="540"/>
        <v>0</v>
      </c>
      <c r="BK782" s="134">
        <f t="shared" si="546"/>
        <v>0</v>
      </c>
    </row>
    <row r="783" spans="1:63" hidden="1">
      <c r="A783" s="187"/>
      <c r="B783" s="2321"/>
      <c r="C783" s="2322"/>
      <c r="D783" s="2334"/>
      <c r="E783" s="2334"/>
      <c r="F783" s="2334"/>
      <c r="G783" s="2334"/>
      <c r="H783" s="2334"/>
      <c r="I783" s="2334"/>
      <c r="J783" s="2334"/>
      <c r="K783" s="2334"/>
      <c r="L783" s="2334"/>
      <c r="M783" s="2334"/>
      <c r="N783" s="2334"/>
      <c r="O783" s="2334"/>
      <c r="P783" s="2324"/>
      <c r="Q783" s="2324"/>
      <c r="R783" s="2325"/>
      <c r="S783" s="2324"/>
      <c r="T783" s="2324"/>
      <c r="U783" s="2326"/>
      <c r="V783" s="2327"/>
      <c r="W783" s="2327"/>
      <c r="X783" s="2327"/>
      <c r="Y783" s="2327"/>
      <c r="Z783" s="2327"/>
      <c r="AA783" s="2328"/>
      <c r="AB783" s="2329"/>
      <c r="AC783" s="2326"/>
      <c r="AD783" s="2330">
        <f t="shared" ref="AD783:AD802" si="547">((P783*U783)-AM783)</f>
        <v>0</v>
      </c>
      <c r="AE783" s="2330"/>
      <c r="AF783" s="2330"/>
      <c r="AG783" s="2330">
        <f t="shared" si="541"/>
        <v>0</v>
      </c>
      <c r="AH783" s="2330"/>
      <c r="AI783" s="2330"/>
      <c r="AJ783" s="2330">
        <f t="shared" ref="AJ783:AJ802" si="548">P783*AA783</f>
        <v>0</v>
      </c>
      <c r="AK783" s="2330"/>
      <c r="AL783" s="2330"/>
      <c r="AM783" s="2331">
        <f t="shared" si="535"/>
        <v>0</v>
      </c>
      <c r="AN783" s="2331"/>
      <c r="AO783" s="2331"/>
      <c r="AP783" s="2331"/>
      <c r="AQ783" s="2332">
        <f t="shared" ref="AQ783:AQ802" si="549">SUM(AD783:AL783)</f>
        <v>0</v>
      </c>
      <c r="AR783" s="2332"/>
      <c r="AS783" s="2332"/>
      <c r="AT783" s="2332">
        <f t="shared" ref="AT783:AT802" si="550">SUM(AD783:AL783)</f>
        <v>0</v>
      </c>
      <c r="AV783" s="151" t="str">
        <f t="shared" si="530"/>
        <v>CARPET &amp; RESILIENT</v>
      </c>
      <c r="AW783" s="681"/>
      <c r="AX783" s="230"/>
      <c r="AY783" s="230"/>
      <c r="AZ783" s="679"/>
      <c r="BA783" s="49">
        <f t="shared" ref="BA783:BA802" si="551">AD783</f>
        <v>0</v>
      </c>
      <c r="BB783" s="49">
        <f>AG783</f>
        <v>0</v>
      </c>
      <c r="BC783" s="49">
        <f>AJ783</f>
        <v>0</v>
      </c>
      <c r="BD783" s="49">
        <f t="shared" ref="BD783:BD802" si="552">IF(B783="x",1,0)</f>
        <v>0</v>
      </c>
      <c r="BE783" s="49">
        <f>SUM(BA783:BC783)</f>
        <v>0</v>
      </c>
      <c r="BF783" s="49">
        <f t="shared" ref="BF783:BF802" si="553">AQ783</f>
        <v>0</v>
      </c>
      <c r="BG783" s="49">
        <f t="shared" ref="BG783:BG802" si="554">AM783</f>
        <v>0</v>
      </c>
      <c r="BI783" s="134">
        <f>AD783</f>
        <v>0</v>
      </c>
      <c r="BJ783" s="134">
        <f t="shared" ref="BJ783:BJ802" si="555">AM783</f>
        <v>0</v>
      </c>
      <c r="BK783" s="134">
        <f>BJ783+BI783</f>
        <v>0</v>
      </c>
    </row>
    <row r="784" spans="1:63" hidden="1">
      <c r="A784" s="187"/>
      <c r="B784" s="2321"/>
      <c r="C784" s="2322"/>
      <c r="D784" s="2334"/>
      <c r="E784" s="2334"/>
      <c r="F784" s="2334"/>
      <c r="G784" s="2334"/>
      <c r="H784" s="2334"/>
      <c r="I784" s="2334"/>
      <c r="J784" s="2334"/>
      <c r="K784" s="2334"/>
      <c r="L784" s="2334"/>
      <c r="M784" s="2334"/>
      <c r="N784" s="2334"/>
      <c r="O784" s="2334"/>
      <c r="P784" s="2324"/>
      <c r="Q784" s="2324"/>
      <c r="R784" s="2325"/>
      <c r="S784" s="2324"/>
      <c r="T784" s="2324"/>
      <c r="U784" s="2326"/>
      <c r="V784" s="2327"/>
      <c r="W784" s="2327"/>
      <c r="X784" s="2327"/>
      <c r="Y784" s="2327"/>
      <c r="Z784" s="2327"/>
      <c r="AA784" s="2328"/>
      <c r="AB784" s="2329"/>
      <c r="AC784" s="2326"/>
      <c r="AD784" s="2330">
        <f t="shared" si="547"/>
        <v>0</v>
      </c>
      <c r="AE784" s="2330"/>
      <c r="AF784" s="2330"/>
      <c r="AG784" s="2330">
        <f t="shared" si="541"/>
        <v>0</v>
      </c>
      <c r="AH784" s="2330"/>
      <c r="AI784" s="2330"/>
      <c r="AJ784" s="2330">
        <f t="shared" si="548"/>
        <v>0</v>
      </c>
      <c r="AK784" s="2330"/>
      <c r="AL784" s="2330"/>
      <c r="AM784" s="2331">
        <f t="shared" si="535"/>
        <v>0</v>
      </c>
      <c r="AN784" s="2331"/>
      <c r="AO784" s="2331"/>
      <c r="AP784" s="2331"/>
      <c r="AQ784" s="2332">
        <f t="shared" si="549"/>
        <v>0</v>
      </c>
      <c r="AR784" s="2332"/>
      <c r="AS784" s="2332"/>
      <c r="AT784" s="2332">
        <f t="shared" si="550"/>
        <v>0</v>
      </c>
      <c r="AV784" s="151" t="str">
        <f t="shared" si="530"/>
        <v>CARPET &amp; RESILIENT</v>
      </c>
      <c r="AW784" s="681"/>
      <c r="AX784" s="230"/>
      <c r="AY784" s="230"/>
      <c r="AZ784" s="679"/>
      <c r="BA784" s="49">
        <f t="shared" si="551"/>
        <v>0</v>
      </c>
      <c r="BB784" s="49">
        <f t="shared" ref="BB784:BB802" si="556">AG784</f>
        <v>0</v>
      </c>
      <c r="BC784" s="49">
        <f t="shared" ref="BC784:BC802" si="557">AJ784</f>
        <v>0</v>
      </c>
      <c r="BD784" s="49">
        <f t="shared" si="552"/>
        <v>0</v>
      </c>
      <c r="BE784" s="49">
        <f t="shared" ref="BE784:BE800" si="558">SUM(BA784:BC784)</f>
        <v>0</v>
      </c>
      <c r="BF784" s="49">
        <f t="shared" si="553"/>
        <v>0</v>
      </c>
      <c r="BG784" s="49">
        <f t="shared" si="554"/>
        <v>0</v>
      </c>
      <c r="BI784" s="134">
        <f t="shared" ref="BI784:BI802" si="559">AD784</f>
        <v>0</v>
      </c>
      <c r="BJ784" s="134">
        <f t="shared" si="555"/>
        <v>0</v>
      </c>
      <c r="BK784" s="134">
        <f t="shared" ref="BK784:BK802" si="560">BJ784+BI784</f>
        <v>0</v>
      </c>
    </row>
    <row r="785" spans="1:63" hidden="1">
      <c r="A785" s="187"/>
      <c r="B785" s="2333"/>
      <c r="C785" s="2333"/>
      <c r="D785" s="2334"/>
      <c r="E785" s="2334"/>
      <c r="F785" s="2334"/>
      <c r="G785" s="2334"/>
      <c r="H785" s="2334"/>
      <c r="I785" s="2334"/>
      <c r="J785" s="2334"/>
      <c r="K785" s="2334"/>
      <c r="L785" s="2334"/>
      <c r="M785" s="2334"/>
      <c r="N785" s="2334"/>
      <c r="O785" s="2334"/>
      <c r="P785" s="2324"/>
      <c r="Q785" s="2324"/>
      <c r="R785" s="2325"/>
      <c r="S785" s="2324"/>
      <c r="T785" s="2324"/>
      <c r="U785" s="2326"/>
      <c r="V785" s="2327"/>
      <c r="W785" s="2327"/>
      <c r="X785" s="2327"/>
      <c r="Y785" s="2327"/>
      <c r="Z785" s="2327"/>
      <c r="AA785" s="2328"/>
      <c r="AB785" s="2329"/>
      <c r="AC785" s="2326"/>
      <c r="AD785" s="2330">
        <f t="shared" si="547"/>
        <v>0</v>
      </c>
      <c r="AE785" s="2330"/>
      <c r="AF785" s="2330"/>
      <c r="AG785" s="2330">
        <f t="shared" si="541"/>
        <v>0</v>
      </c>
      <c r="AH785" s="2330"/>
      <c r="AI785" s="2330"/>
      <c r="AJ785" s="2330">
        <f t="shared" si="548"/>
        <v>0</v>
      </c>
      <c r="AK785" s="2330"/>
      <c r="AL785" s="2330"/>
      <c r="AM785" s="2331">
        <f t="shared" si="535"/>
        <v>0</v>
      </c>
      <c r="AN785" s="2331"/>
      <c r="AO785" s="2331"/>
      <c r="AP785" s="2331"/>
      <c r="AQ785" s="2332">
        <f t="shared" si="549"/>
        <v>0</v>
      </c>
      <c r="AR785" s="2332"/>
      <c r="AS785" s="2332"/>
      <c r="AT785" s="2332">
        <f t="shared" si="550"/>
        <v>0</v>
      </c>
      <c r="AV785" s="151" t="str">
        <f t="shared" si="530"/>
        <v>CARPET &amp; RESILIENT</v>
      </c>
      <c r="AW785" s="681"/>
      <c r="AX785" s="230"/>
      <c r="AY785" s="230"/>
      <c r="AZ785" s="679"/>
      <c r="BA785" s="49">
        <f t="shared" si="551"/>
        <v>0</v>
      </c>
      <c r="BB785" s="49">
        <f t="shared" si="556"/>
        <v>0</v>
      </c>
      <c r="BC785" s="49">
        <f t="shared" si="557"/>
        <v>0</v>
      </c>
      <c r="BD785" s="49">
        <f t="shared" si="552"/>
        <v>0</v>
      </c>
      <c r="BE785" s="49">
        <f t="shared" si="558"/>
        <v>0</v>
      </c>
      <c r="BF785" s="49">
        <f t="shared" si="553"/>
        <v>0</v>
      </c>
      <c r="BG785" s="49">
        <f t="shared" si="554"/>
        <v>0</v>
      </c>
      <c r="BI785" s="134">
        <f t="shared" si="559"/>
        <v>0</v>
      </c>
      <c r="BJ785" s="134">
        <f t="shared" si="555"/>
        <v>0</v>
      </c>
      <c r="BK785" s="134">
        <f t="shared" si="560"/>
        <v>0</v>
      </c>
    </row>
    <row r="786" spans="1:63" hidden="1">
      <c r="A786" s="187"/>
      <c r="B786" s="2333"/>
      <c r="C786" s="2333"/>
      <c r="D786" s="2334"/>
      <c r="E786" s="2334"/>
      <c r="F786" s="2334"/>
      <c r="G786" s="2334"/>
      <c r="H786" s="2334"/>
      <c r="I786" s="2334"/>
      <c r="J786" s="2334"/>
      <c r="K786" s="2334"/>
      <c r="L786" s="2334"/>
      <c r="M786" s="2334"/>
      <c r="N786" s="2334"/>
      <c r="O786" s="2334"/>
      <c r="P786" s="2324"/>
      <c r="Q786" s="2324"/>
      <c r="R786" s="2325"/>
      <c r="S786" s="2324"/>
      <c r="T786" s="2324"/>
      <c r="U786" s="2326"/>
      <c r="V786" s="2327"/>
      <c r="W786" s="2327"/>
      <c r="X786" s="2327"/>
      <c r="Y786" s="2327"/>
      <c r="Z786" s="2327"/>
      <c r="AA786" s="2328"/>
      <c r="AB786" s="2329"/>
      <c r="AC786" s="2326"/>
      <c r="AD786" s="2330">
        <f t="shared" si="547"/>
        <v>0</v>
      </c>
      <c r="AE786" s="2330"/>
      <c r="AF786" s="2330"/>
      <c r="AG786" s="2330">
        <f t="shared" si="541"/>
        <v>0</v>
      </c>
      <c r="AH786" s="2330"/>
      <c r="AI786" s="2330"/>
      <c r="AJ786" s="2330">
        <f t="shared" si="548"/>
        <v>0</v>
      </c>
      <c r="AK786" s="2330"/>
      <c r="AL786" s="2330"/>
      <c r="AM786" s="2331">
        <f t="shared" si="535"/>
        <v>0</v>
      </c>
      <c r="AN786" s="2331"/>
      <c r="AO786" s="2331"/>
      <c r="AP786" s="2331"/>
      <c r="AQ786" s="2332">
        <f t="shared" si="549"/>
        <v>0</v>
      </c>
      <c r="AR786" s="2332"/>
      <c r="AS786" s="2332"/>
      <c r="AT786" s="2332">
        <f t="shared" si="550"/>
        <v>0</v>
      </c>
      <c r="AV786" s="151" t="str">
        <f t="shared" si="530"/>
        <v>CARPET &amp; RESILIENT</v>
      </c>
      <c r="AW786" s="681"/>
      <c r="AX786" s="230"/>
      <c r="AY786" s="230"/>
      <c r="AZ786" s="679"/>
      <c r="BA786" s="49">
        <f t="shared" si="551"/>
        <v>0</v>
      </c>
      <c r="BB786" s="49">
        <f t="shared" si="556"/>
        <v>0</v>
      </c>
      <c r="BC786" s="49">
        <f t="shared" si="557"/>
        <v>0</v>
      </c>
      <c r="BD786" s="49">
        <f t="shared" si="552"/>
        <v>0</v>
      </c>
      <c r="BE786" s="49">
        <f t="shared" si="558"/>
        <v>0</v>
      </c>
      <c r="BF786" s="49">
        <f t="shared" si="553"/>
        <v>0</v>
      </c>
      <c r="BG786" s="49">
        <f t="shared" si="554"/>
        <v>0</v>
      </c>
      <c r="BI786" s="134">
        <f t="shared" si="559"/>
        <v>0</v>
      </c>
      <c r="BJ786" s="134">
        <f t="shared" si="555"/>
        <v>0</v>
      </c>
      <c r="BK786" s="134">
        <f t="shared" si="560"/>
        <v>0</v>
      </c>
    </row>
    <row r="787" spans="1:63" hidden="1">
      <c r="A787" s="187"/>
      <c r="B787" s="2321"/>
      <c r="C787" s="2322"/>
      <c r="D787" s="2334"/>
      <c r="E787" s="2334"/>
      <c r="F787" s="2334"/>
      <c r="G787" s="2334"/>
      <c r="H787" s="2334"/>
      <c r="I787" s="2334"/>
      <c r="J787" s="2334"/>
      <c r="K787" s="2334"/>
      <c r="L787" s="2334"/>
      <c r="M787" s="2334"/>
      <c r="N787" s="2334"/>
      <c r="O787" s="2334"/>
      <c r="P787" s="2324"/>
      <c r="Q787" s="2324"/>
      <c r="R787" s="2325"/>
      <c r="S787" s="2324"/>
      <c r="T787" s="2324"/>
      <c r="U787" s="2326"/>
      <c r="V787" s="2327"/>
      <c r="W787" s="2327"/>
      <c r="X787" s="2327"/>
      <c r="Y787" s="2327"/>
      <c r="Z787" s="2327"/>
      <c r="AA787" s="2328"/>
      <c r="AB787" s="2329"/>
      <c r="AC787" s="2326"/>
      <c r="AD787" s="2330">
        <f t="shared" si="547"/>
        <v>0</v>
      </c>
      <c r="AE787" s="2330"/>
      <c r="AF787" s="2330"/>
      <c r="AG787" s="2330">
        <f t="shared" si="541"/>
        <v>0</v>
      </c>
      <c r="AH787" s="2330"/>
      <c r="AI787" s="2330"/>
      <c r="AJ787" s="2330">
        <f t="shared" si="548"/>
        <v>0</v>
      </c>
      <c r="AK787" s="2330"/>
      <c r="AL787" s="2330"/>
      <c r="AM787" s="2331">
        <f t="shared" si="535"/>
        <v>0</v>
      </c>
      <c r="AN787" s="2331"/>
      <c r="AO787" s="2331"/>
      <c r="AP787" s="2331"/>
      <c r="AQ787" s="2332">
        <f t="shared" si="549"/>
        <v>0</v>
      </c>
      <c r="AR787" s="2332"/>
      <c r="AS787" s="2332"/>
      <c r="AT787" s="2332">
        <f t="shared" si="550"/>
        <v>0</v>
      </c>
      <c r="AV787" s="151" t="str">
        <f t="shared" si="530"/>
        <v>CARPET &amp; RESILIENT</v>
      </c>
      <c r="AW787" s="681"/>
      <c r="AX787" s="230"/>
      <c r="AY787" s="230"/>
      <c r="AZ787" s="679"/>
      <c r="BA787" s="49">
        <f t="shared" si="551"/>
        <v>0</v>
      </c>
      <c r="BB787" s="49">
        <f t="shared" si="556"/>
        <v>0</v>
      </c>
      <c r="BC787" s="49">
        <f t="shared" si="557"/>
        <v>0</v>
      </c>
      <c r="BD787" s="49">
        <f t="shared" si="552"/>
        <v>0</v>
      </c>
      <c r="BE787" s="49">
        <f t="shared" si="558"/>
        <v>0</v>
      </c>
      <c r="BF787" s="49">
        <f t="shared" si="553"/>
        <v>0</v>
      </c>
      <c r="BG787" s="49">
        <f t="shared" si="554"/>
        <v>0</v>
      </c>
      <c r="BI787" s="134">
        <f t="shared" si="559"/>
        <v>0</v>
      </c>
      <c r="BJ787" s="134">
        <f t="shared" si="555"/>
        <v>0</v>
      </c>
      <c r="BK787" s="134">
        <f t="shared" si="560"/>
        <v>0</v>
      </c>
    </row>
    <row r="788" spans="1:63" hidden="1">
      <c r="A788" s="187"/>
      <c r="B788" s="2321"/>
      <c r="C788" s="2322"/>
      <c r="D788" s="2334"/>
      <c r="E788" s="2334"/>
      <c r="F788" s="2334"/>
      <c r="G788" s="2334"/>
      <c r="H788" s="2334"/>
      <c r="I788" s="2334"/>
      <c r="J788" s="2334"/>
      <c r="K788" s="2334"/>
      <c r="L788" s="2334"/>
      <c r="M788" s="2334"/>
      <c r="N788" s="2334"/>
      <c r="O788" s="2334"/>
      <c r="P788" s="2324"/>
      <c r="Q788" s="2324"/>
      <c r="R788" s="2325"/>
      <c r="S788" s="2324"/>
      <c r="T788" s="2324"/>
      <c r="U788" s="2326"/>
      <c r="V788" s="2327"/>
      <c r="W788" s="2327"/>
      <c r="X788" s="2327"/>
      <c r="Y788" s="2327"/>
      <c r="Z788" s="2327"/>
      <c r="AA788" s="2328"/>
      <c r="AB788" s="2329"/>
      <c r="AC788" s="2326"/>
      <c r="AD788" s="2330">
        <f t="shared" si="547"/>
        <v>0</v>
      </c>
      <c r="AE788" s="2330"/>
      <c r="AF788" s="2330"/>
      <c r="AG788" s="2330">
        <f t="shared" si="541"/>
        <v>0</v>
      </c>
      <c r="AH788" s="2330"/>
      <c r="AI788" s="2330"/>
      <c r="AJ788" s="2330">
        <f t="shared" si="548"/>
        <v>0</v>
      </c>
      <c r="AK788" s="2330"/>
      <c r="AL788" s="2330"/>
      <c r="AM788" s="2331">
        <f t="shared" si="535"/>
        <v>0</v>
      </c>
      <c r="AN788" s="2331"/>
      <c r="AO788" s="2331"/>
      <c r="AP788" s="2331"/>
      <c r="AQ788" s="2332">
        <f t="shared" si="549"/>
        <v>0</v>
      </c>
      <c r="AR788" s="2332"/>
      <c r="AS788" s="2332"/>
      <c r="AT788" s="2332">
        <f t="shared" si="550"/>
        <v>0</v>
      </c>
      <c r="AV788" s="151" t="str">
        <f t="shared" si="530"/>
        <v>CARPET &amp; RESILIENT</v>
      </c>
      <c r="AW788" s="681"/>
      <c r="AX788" s="230"/>
      <c r="AY788" s="230"/>
      <c r="AZ788" s="679"/>
      <c r="BA788" s="49">
        <f t="shared" si="551"/>
        <v>0</v>
      </c>
      <c r="BB788" s="49">
        <f t="shared" si="556"/>
        <v>0</v>
      </c>
      <c r="BC788" s="49">
        <f t="shared" si="557"/>
        <v>0</v>
      </c>
      <c r="BD788" s="49">
        <f t="shared" si="552"/>
        <v>0</v>
      </c>
      <c r="BE788" s="49">
        <f t="shared" si="558"/>
        <v>0</v>
      </c>
      <c r="BF788" s="49">
        <f t="shared" si="553"/>
        <v>0</v>
      </c>
      <c r="BG788" s="49">
        <f t="shared" si="554"/>
        <v>0</v>
      </c>
      <c r="BI788" s="134">
        <f t="shared" si="559"/>
        <v>0</v>
      </c>
      <c r="BJ788" s="134">
        <f t="shared" si="555"/>
        <v>0</v>
      </c>
      <c r="BK788" s="134">
        <f t="shared" si="560"/>
        <v>0</v>
      </c>
    </row>
    <row r="789" spans="1:63" hidden="1">
      <c r="A789" s="187"/>
      <c r="B789" s="2321"/>
      <c r="C789" s="2322"/>
      <c r="D789" s="2334"/>
      <c r="E789" s="2334"/>
      <c r="F789" s="2334"/>
      <c r="G789" s="2334"/>
      <c r="H789" s="2334"/>
      <c r="I789" s="2334"/>
      <c r="J789" s="2334"/>
      <c r="K789" s="2334"/>
      <c r="L789" s="2334"/>
      <c r="M789" s="2334"/>
      <c r="N789" s="2334"/>
      <c r="O789" s="2334"/>
      <c r="P789" s="2324"/>
      <c r="Q789" s="2324"/>
      <c r="R789" s="2325"/>
      <c r="S789" s="2324"/>
      <c r="T789" s="2324"/>
      <c r="U789" s="2326"/>
      <c r="V789" s="2327"/>
      <c r="W789" s="2327"/>
      <c r="X789" s="2327"/>
      <c r="Y789" s="2327"/>
      <c r="Z789" s="2327"/>
      <c r="AA789" s="2328"/>
      <c r="AB789" s="2329"/>
      <c r="AC789" s="2326"/>
      <c r="AD789" s="2330">
        <f t="shared" si="547"/>
        <v>0</v>
      </c>
      <c r="AE789" s="2330"/>
      <c r="AF789" s="2330"/>
      <c r="AG789" s="2330">
        <f t="shared" si="541"/>
        <v>0</v>
      </c>
      <c r="AH789" s="2330"/>
      <c r="AI789" s="2330"/>
      <c r="AJ789" s="2330">
        <f t="shared" si="548"/>
        <v>0</v>
      </c>
      <c r="AK789" s="2330"/>
      <c r="AL789" s="2330"/>
      <c r="AM789" s="2331">
        <f t="shared" si="535"/>
        <v>0</v>
      </c>
      <c r="AN789" s="2331"/>
      <c r="AO789" s="2331"/>
      <c r="AP789" s="2331"/>
      <c r="AQ789" s="2332">
        <f t="shared" si="549"/>
        <v>0</v>
      </c>
      <c r="AR789" s="2332"/>
      <c r="AS789" s="2332"/>
      <c r="AT789" s="2332">
        <f t="shared" si="550"/>
        <v>0</v>
      </c>
      <c r="AV789" s="151" t="str">
        <f t="shared" si="530"/>
        <v>CARPET &amp; RESILIENT</v>
      </c>
      <c r="AW789" s="681"/>
      <c r="AX789" s="230"/>
      <c r="AY789" s="230"/>
      <c r="AZ789" s="679"/>
      <c r="BA789" s="49">
        <f t="shared" si="551"/>
        <v>0</v>
      </c>
      <c r="BB789" s="49">
        <f t="shared" si="556"/>
        <v>0</v>
      </c>
      <c r="BC789" s="49">
        <f t="shared" si="557"/>
        <v>0</v>
      </c>
      <c r="BD789" s="49">
        <f t="shared" si="552"/>
        <v>0</v>
      </c>
      <c r="BE789" s="49">
        <f t="shared" si="558"/>
        <v>0</v>
      </c>
      <c r="BF789" s="49">
        <f t="shared" si="553"/>
        <v>0</v>
      </c>
      <c r="BG789" s="49">
        <f t="shared" si="554"/>
        <v>0</v>
      </c>
      <c r="BI789" s="134">
        <f t="shared" si="559"/>
        <v>0</v>
      </c>
      <c r="BJ789" s="134">
        <f t="shared" si="555"/>
        <v>0</v>
      </c>
      <c r="BK789" s="134">
        <f t="shared" si="560"/>
        <v>0</v>
      </c>
    </row>
    <row r="790" spans="1:63" hidden="1">
      <c r="A790" s="187"/>
      <c r="B790" s="2321"/>
      <c r="C790" s="2322"/>
      <c r="D790" s="2334"/>
      <c r="E790" s="2334"/>
      <c r="F790" s="2334"/>
      <c r="G790" s="2334"/>
      <c r="H790" s="2334"/>
      <c r="I790" s="2334"/>
      <c r="J790" s="2334"/>
      <c r="K790" s="2334"/>
      <c r="L790" s="2334"/>
      <c r="M790" s="2334"/>
      <c r="N790" s="2334"/>
      <c r="O790" s="2334"/>
      <c r="P790" s="2324"/>
      <c r="Q790" s="2324"/>
      <c r="R790" s="2325"/>
      <c r="S790" s="2324"/>
      <c r="T790" s="2324"/>
      <c r="U790" s="2326"/>
      <c r="V790" s="2327"/>
      <c r="W790" s="2327"/>
      <c r="X790" s="2327"/>
      <c r="Y790" s="2327"/>
      <c r="Z790" s="2327"/>
      <c r="AA790" s="2328"/>
      <c r="AB790" s="2329"/>
      <c r="AC790" s="2326"/>
      <c r="AD790" s="2330">
        <f t="shared" si="547"/>
        <v>0</v>
      </c>
      <c r="AE790" s="2330"/>
      <c r="AF790" s="2330"/>
      <c r="AG790" s="2330">
        <f t="shared" si="541"/>
        <v>0</v>
      </c>
      <c r="AH790" s="2330"/>
      <c r="AI790" s="2330"/>
      <c r="AJ790" s="2330">
        <f t="shared" si="548"/>
        <v>0</v>
      </c>
      <c r="AK790" s="2330"/>
      <c r="AL790" s="2330"/>
      <c r="AM790" s="2331">
        <f t="shared" si="535"/>
        <v>0</v>
      </c>
      <c r="AN790" s="2331"/>
      <c r="AO790" s="2331"/>
      <c r="AP790" s="2331"/>
      <c r="AQ790" s="2332">
        <f t="shared" si="549"/>
        <v>0</v>
      </c>
      <c r="AR790" s="2332"/>
      <c r="AS790" s="2332"/>
      <c r="AT790" s="2332">
        <f t="shared" si="550"/>
        <v>0</v>
      </c>
      <c r="AV790" s="151" t="str">
        <f t="shared" si="530"/>
        <v>CARPET &amp; RESILIENT</v>
      </c>
      <c r="AW790" s="681"/>
      <c r="AX790" s="230"/>
      <c r="AY790" s="230"/>
      <c r="AZ790" s="679"/>
      <c r="BA790" s="49">
        <f t="shared" si="551"/>
        <v>0</v>
      </c>
      <c r="BB790" s="49">
        <f t="shared" si="556"/>
        <v>0</v>
      </c>
      <c r="BC790" s="49">
        <f t="shared" si="557"/>
        <v>0</v>
      </c>
      <c r="BD790" s="49">
        <f t="shared" si="552"/>
        <v>0</v>
      </c>
      <c r="BE790" s="49">
        <f t="shared" si="558"/>
        <v>0</v>
      </c>
      <c r="BF790" s="49">
        <f t="shared" si="553"/>
        <v>0</v>
      </c>
      <c r="BG790" s="49">
        <f t="shared" si="554"/>
        <v>0</v>
      </c>
      <c r="BI790" s="134">
        <f t="shared" si="559"/>
        <v>0</v>
      </c>
      <c r="BJ790" s="134">
        <f t="shared" si="555"/>
        <v>0</v>
      </c>
      <c r="BK790" s="134">
        <f t="shared" si="560"/>
        <v>0</v>
      </c>
    </row>
    <row r="791" spans="1:63" hidden="1">
      <c r="A791" s="187"/>
      <c r="B791" s="2321"/>
      <c r="C791" s="2322"/>
      <c r="D791" s="2334"/>
      <c r="E791" s="2334"/>
      <c r="F791" s="2334"/>
      <c r="G791" s="2334"/>
      <c r="H791" s="2334"/>
      <c r="I791" s="2334"/>
      <c r="J791" s="2334"/>
      <c r="K791" s="2334"/>
      <c r="L791" s="2334"/>
      <c r="M791" s="2334"/>
      <c r="N791" s="2334"/>
      <c r="O791" s="2334"/>
      <c r="P791" s="2324"/>
      <c r="Q791" s="2324"/>
      <c r="R791" s="2325"/>
      <c r="S791" s="2324"/>
      <c r="T791" s="2324"/>
      <c r="U791" s="2326"/>
      <c r="V791" s="2327"/>
      <c r="W791" s="2327"/>
      <c r="X791" s="2327"/>
      <c r="Y791" s="2327"/>
      <c r="Z791" s="2327"/>
      <c r="AA791" s="2328"/>
      <c r="AB791" s="2329"/>
      <c r="AC791" s="2326"/>
      <c r="AD791" s="2330">
        <f t="shared" si="547"/>
        <v>0</v>
      </c>
      <c r="AE791" s="2330"/>
      <c r="AF791" s="2330"/>
      <c r="AG791" s="2330">
        <f t="shared" si="541"/>
        <v>0</v>
      </c>
      <c r="AH791" s="2330"/>
      <c r="AI791" s="2330"/>
      <c r="AJ791" s="2330">
        <f t="shared" si="548"/>
        <v>0</v>
      </c>
      <c r="AK791" s="2330"/>
      <c r="AL791" s="2330"/>
      <c r="AM791" s="2331">
        <f t="shared" si="535"/>
        <v>0</v>
      </c>
      <c r="AN791" s="2331"/>
      <c r="AO791" s="2331"/>
      <c r="AP791" s="2331"/>
      <c r="AQ791" s="2332">
        <f t="shared" si="549"/>
        <v>0</v>
      </c>
      <c r="AR791" s="2332"/>
      <c r="AS791" s="2332"/>
      <c r="AT791" s="2332">
        <f t="shared" si="550"/>
        <v>0</v>
      </c>
      <c r="AV791" s="151" t="str">
        <f t="shared" si="530"/>
        <v>CARPET &amp; RESILIENT</v>
      </c>
      <c r="AW791" s="681"/>
      <c r="AX791" s="230"/>
      <c r="AY791" s="230"/>
      <c r="AZ791" s="679"/>
      <c r="BA791" s="49">
        <f t="shared" si="551"/>
        <v>0</v>
      </c>
      <c r="BB791" s="49">
        <f t="shared" si="556"/>
        <v>0</v>
      </c>
      <c r="BC791" s="49">
        <f t="shared" si="557"/>
        <v>0</v>
      </c>
      <c r="BD791" s="49">
        <f t="shared" si="552"/>
        <v>0</v>
      </c>
      <c r="BE791" s="49">
        <f t="shared" si="558"/>
        <v>0</v>
      </c>
      <c r="BF791" s="49">
        <f t="shared" si="553"/>
        <v>0</v>
      </c>
      <c r="BG791" s="49">
        <f t="shared" si="554"/>
        <v>0</v>
      </c>
      <c r="BI791" s="134">
        <f t="shared" si="559"/>
        <v>0</v>
      </c>
      <c r="BJ791" s="134">
        <f t="shared" si="555"/>
        <v>0</v>
      </c>
      <c r="BK791" s="134">
        <f t="shared" si="560"/>
        <v>0</v>
      </c>
    </row>
    <row r="792" spans="1:63" hidden="1">
      <c r="A792" s="187"/>
      <c r="B792" s="2321"/>
      <c r="C792" s="2322"/>
      <c r="D792" s="2334"/>
      <c r="E792" s="2334"/>
      <c r="F792" s="2334"/>
      <c r="G792" s="2334"/>
      <c r="H792" s="2334"/>
      <c r="I792" s="2334"/>
      <c r="J792" s="2334"/>
      <c r="K792" s="2334"/>
      <c r="L792" s="2334"/>
      <c r="M792" s="2334"/>
      <c r="N792" s="2334"/>
      <c r="O792" s="2334"/>
      <c r="P792" s="2324"/>
      <c r="Q792" s="2324"/>
      <c r="R792" s="2325"/>
      <c r="S792" s="2324"/>
      <c r="T792" s="2324"/>
      <c r="U792" s="2326"/>
      <c r="V792" s="2327"/>
      <c r="W792" s="2327"/>
      <c r="X792" s="2327"/>
      <c r="Y792" s="2327"/>
      <c r="Z792" s="2327"/>
      <c r="AA792" s="2328"/>
      <c r="AB792" s="2329"/>
      <c r="AC792" s="2326"/>
      <c r="AD792" s="2330">
        <f t="shared" si="547"/>
        <v>0</v>
      </c>
      <c r="AE792" s="2330"/>
      <c r="AF792" s="2330"/>
      <c r="AG792" s="2330">
        <f t="shared" si="541"/>
        <v>0</v>
      </c>
      <c r="AH792" s="2330"/>
      <c r="AI792" s="2330"/>
      <c r="AJ792" s="2330">
        <f t="shared" si="548"/>
        <v>0</v>
      </c>
      <c r="AK792" s="2330"/>
      <c r="AL792" s="2330"/>
      <c r="AM792" s="2331">
        <f t="shared" si="535"/>
        <v>0</v>
      </c>
      <c r="AN792" s="2331"/>
      <c r="AO792" s="2331"/>
      <c r="AP792" s="2331"/>
      <c r="AQ792" s="2332">
        <f t="shared" si="549"/>
        <v>0</v>
      </c>
      <c r="AR792" s="2332"/>
      <c r="AS792" s="2332"/>
      <c r="AT792" s="2332">
        <f t="shared" si="550"/>
        <v>0</v>
      </c>
      <c r="AV792" s="151" t="str">
        <f t="shared" si="530"/>
        <v>CARPET &amp; RESILIENT</v>
      </c>
      <c r="AW792" s="681"/>
      <c r="AX792" s="230"/>
      <c r="AY792" s="230"/>
      <c r="AZ792" s="679"/>
      <c r="BA792" s="49">
        <f t="shared" si="551"/>
        <v>0</v>
      </c>
      <c r="BB792" s="49">
        <f t="shared" si="556"/>
        <v>0</v>
      </c>
      <c r="BC792" s="49">
        <f t="shared" si="557"/>
        <v>0</v>
      </c>
      <c r="BD792" s="49">
        <f t="shared" si="552"/>
        <v>0</v>
      </c>
      <c r="BE792" s="49">
        <f t="shared" si="558"/>
        <v>0</v>
      </c>
      <c r="BF792" s="49">
        <f t="shared" si="553"/>
        <v>0</v>
      </c>
      <c r="BG792" s="49">
        <f t="shared" si="554"/>
        <v>0</v>
      </c>
      <c r="BI792" s="134">
        <f t="shared" si="559"/>
        <v>0</v>
      </c>
      <c r="BJ792" s="134">
        <f t="shared" si="555"/>
        <v>0</v>
      </c>
      <c r="BK792" s="134">
        <f t="shared" si="560"/>
        <v>0</v>
      </c>
    </row>
    <row r="793" spans="1:63" hidden="1">
      <c r="A793" s="187"/>
      <c r="B793" s="2321"/>
      <c r="C793" s="2322"/>
      <c r="D793" s="2334"/>
      <c r="E793" s="2334"/>
      <c r="F793" s="2334"/>
      <c r="G793" s="2334"/>
      <c r="H793" s="2334"/>
      <c r="I793" s="2334"/>
      <c r="J793" s="2334"/>
      <c r="K793" s="2334"/>
      <c r="L793" s="2334"/>
      <c r="M793" s="2334"/>
      <c r="N793" s="2334"/>
      <c r="O793" s="2334"/>
      <c r="P793" s="2324"/>
      <c r="Q793" s="2324"/>
      <c r="R793" s="2325"/>
      <c r="S793" s="2324"/>
      <c r="T793" s="2324"/>
      <c r="U793" s="2326"/>
      <c r="V793" s="2327"/>
      <c r="W793" s="2327"/>
      <c r="X793" s="2327"/>
      <c r="Y793" s="2327"/>
      <c r="Z793" s="2327"/>
      <c r="AA793" s="2328"/>
      <c r="AB793" s="2329"/>
      <c r="AC793" s="2326"/>
      <c r="AD793" s="2330">
        <f t="shared" si="547"/>
        <v>0</v>
      </c>
      <c r="AE793" s="2330"/>
      <c r="AF793" s="2330"/>
      <c r="AG793" s="2330">
        <f t="shared" si="541"/>
        <v>0</v>
      </c>
      <c r="AH793" s="2330"/>
      <c r="AI793" s="2330"/>
      <c r="AJ793" s="2330">
        <f t="shared" si="548"/>
        <v>0</v>
      </c>
      <c r="AK793" s="2330"/>
      <c r="AL793" s="2330"/>
      <c r="AM793" s="2331">
        <f t="shared" si="535"/>
        <v>0</v>
      </c>
      <c r="AN793" s="2331"/>
      <c r="AO793" s="2331"/>
      <c r="AP793" s="2331"/>
      <c r="AQ793" s="2332">
        <f t="shared" si="549"/>
        <v>0</v>
      </c>
      <c r="AR793" s="2332"/>
      <c r="AS793" s="2332"/>
      <c r="AT793" s="2332">
        <f t="shared" si="550"/>
        <v>0</v>
      </c>
      <c r="AV793" s="151" t="str">
        <f t="shared" si="530"/>
        <v>CARPET &amp; RESILIENT</v>
      </c>
      <c r="AW793" s="681"/>
      <c r="AX793" s="230"/>
      <c r="AY793" s="230"/>
      <c r="AZ793" s="679"/>
      <c r="BA793" s="49">
        <f t="shared" si="551"/>
        <v>0</v>
      </c>
      <c r="BB793" s="49">
        <f t="shared" si="556"/>
        <v>0</v>
      </c>
      <c r="BC793" s="49">
        <f t="shared" si="557"/>
        <v>0</v>
      </c>
      <c r="BD793" s="49">
        <f t="shared" si="552"/>
        <v>0</v>
      </c>
      <c r="BE793" s="49">
        <f t="shared" si="558"/>
        <v>0</v>
      </c>
      <c r="BF793" s="49">
        <f t="shared" si="553"/>
        <v>0</v>
      </c>
      <c r="BG793" s="49">
        <f t="shared" si="554"/>
        <v>0</v>
      </c>
      <c r="BI793" s="134">
        <f t="shared" si="559"/>
        <v>0</v>
      </c>
      <c r="BJ793" s="134">
        <f t="shared" si="555"/>
        <v>0</v>
      </c>
      <c r="BK793" s="134">
        <f t="shared" si="560"/>
        <v>0</v>
      </c>
    </row>
    <row r="794" spans="1:63" hidden="1">
      <c r="A794" s="187"/>
      <c r="B794" s="2321"/>
      <c r="C794" s="2322"/>
      <c r="D794" s="2334"/>
      <c r="E794" s="2334"/>
      <c r="F794" s="2334"/>
      <c r="G794" s="2334"/>
      <c r="H794" s="2334"/>
      <c r="I794" s="2334"/>
      <c r="J794" s="2334"/>
      <c r="K794" s="2334"/>
      <c r="L794" s="2334"/>
      <c r="M794" s="2334"/>
      <c r="N794" s="2334"/>
      <c r="O794" s="2334"/>
      <c r="P794" s="2324"/>
      <c r="Q794" s="2324"/>
      <c r="R794" s="2325"/>
      <c r="S794" s="2324"/>
      <c r="T794" s="2324"/>
      <c r="U794" s="2326"/>
      <c r="V794" s="2327"/>
      <c r="W794" s="2327"/>
      <c r="X794" s="2327"/>
      <c r="Y794" s="2327"/>
      <c r="Z794" s="2327"/>
      <c r="AA794" s="2328"/>
      <c r="AB794" s="2329"/>
      <c r="AC794" s="2326"/>
      <c r="AD794" s="2330">
        <f t="shared" si="547"/>
        <v>0</v>
      </c>
      <c r="AE794" s="2330"/>
      <c r="AF794" s="2330"/>
      <c r="AG794" s="2330">
        <f t="shared" si="541"/>
        <v>0</v>
      </c>
      <c r="AH794" s="2330"/>
      <c r="AI794" s="2330"/>
      <c r="AJ794" s="2330">
        <f t="shared" si="548"/>
        <v>0</v>
      </c>
      <c r="AK794" s="2330"/>
      <c r="AL794" s="2330"/>
      <c r="AM794" s="2331">
        <f t="shared" si="535"/>
        <v>0</v>
      </c>
      <c r="AN794" s="2331"/>
      <c r="AO794" s="2331"/>
      <c r="AP794" s="2331"/>
      <c r="AQ794" s="2332">
        <f t="shared" si="549"/>
        <v>0</v>
      </c>
      <c r="AR794" s="2332"/>
      <c r="AS794" s="2332"/>
      <c r="AT794" s="2332">
        <f t="shared" si="550"/>
        <v>0</v>
      </c>
      <c r="AV794" s="151" t="str">
        <f t="shared" si="530"/>
        <v>CARPET &amp; RESILIENT</v>
      </c>
      <c r="AW794" s="681"/>
      <c r="AX794" s="230"/>
      <c r="AY794" s="230"/>
      <c r="AZ794" s="679"/>
      <c r="BA794" s="49">
        <f t="shared" si="551"/>
        <v>0</v>
      </c>
      <c r="BB794" s="49">
        <f t="shared" si="556"/>
        <v>0</v>
      </c>
      <c r="BC794" s="49">
        <f t="shared" si="557"/>
        <v>0</v>
      </c>
      <c r="BD794" s="49">
        <f t="shared" si="552"/>
        <v>0</v>
      </c>
      <c r="BE794" s="49">
        <f t="shared" si="558"/>
        <v>0</v>
      </c>
      <c r="BF794" s="49">
        <f t="shared" si="553"/>
        <v>0</v>
      </c>
      <c r="BG794" s="49">
        <f t="shared" si="554"/>
        <v>0</v>
      </c>
      <c r="BI794" s="134">
        <f t="shared" si="559"/>
        <v>0</v>
      </c>
      <c r="BJ794" s="134">
        <f t="shared" si="555"/>
        <v>0</v>
      </c>
      <c r="BK794" s="134">
        <f t="shared" si="560"/>
        <v>0</v>
      </c>
    </row>
    <row r="795" spans="1:63" hidden="1">
      <c r="A795" s="187"/>
      <c r="B795" s="2321"/>
      <c r="C795" s="2322"/>
      <c r="D795" s="2334"/>
      <c r="E795" s="2334"/>
      <c r="F795" s="2334"/>
      <c r="G795" s="2334"/>
      <c r="H795" s="2334"/>
      <c r="I795" s="2334"/>
      <c r="J795" s="2334"/>
      <c r="K795" s="2334"/>
      <c r="L795" s="2334"/>
      <c r="M795" s="2334"/>
      <c r="N795" s="2334"/>
      <c r="O795" s="2334"/>
      <c r="P795" s="2324"/>
      <c r="Q795" s="2324"/>
      <c r="R795" s="2325"/>
      <c r="S795" s="2324"/>
      <c r="T795" s="2324"/>
      <c r="U795" s="2326"/>
      <c r="V795" s="2327"/>
      <c r="W795" s="2327"/>
      <c r="X795" s="2327"/>
      <c r="Y795" s="2327"/>
      <c r="Z795" s="2327"/>
      <c r="AA795" s="2328"/>
      <c r="AB795" s="2329"/>
      <c r="AC795" s="2326"/>
      <c r="AD795" s="2330">
        <f t="shared" si="547"/>
        <v>0</v>
      </c>
      <c r="AE795" s="2330"/>
      <c r="AF795" s="2330"/>
      <c r="AG795" s="2330">
        <f t="shared" si="541"/>
        <v>0</v>
      </c>
      <c r="AH795" s="2330"/>
      <c r="AI795" s="2330"/>
      <c r="AJ795" s="2330">
        <f t="shared" si="548"/>
        <v>0</v>
      </c>
      <c r="AK795" s="2330"/>
      <c r="AL795" s="2330"/>
      <c r="AM795" s="2331">
        <f t="shared" si="535"/>
        <v>0</v>
      </c>
      <c r="AN795" s="2331"/>
      <c r="AO795" s="2331"/>
      <c r="AP795" s="2331"/>
      <c r="AQ795" s="2332">
        <f t="shared" si="549"/>
        <v>0</v>
      </c>
      <c r="AR795" s="2332"/>
      <c r="AS795" s="2332"/>
      <c r="AT795" s="2332">
        <f t="shared" si="550"/>
        <v>0</v>
      </c>
      <c r="AV795" s="151" t="str">
        <f t="shared" si="530"/>
        <v>CARPET &amp; RESILIENT</v>
      </c>
      <c r="AW795" s="681"/>
      <c r="AX795" s="230"/>
      <c r="AY795" s="230"/>
      <c r="AZ795" s="679"/>
      <c r="BA795" s="49">
        <f t="shared" si="551"/>
        <v>0</v>
      </c>
      <c r="BB795" s="49">
        <f t="shared" si="556"/>
        <v>0</v>
      </c>
      <c r="BC795" s="49">
        <f t="shared" si="557"/>
        <v>0</v>
      </c>
      <c r="BD795" s="49">
        <f t="shared" si="552"/>
        <v>0</v>
      </c>
      <c r="BE795" s="49">
        <f t="shared" si="558"/>
        <v>0</v>
      </c>
      <c r="BF795" s="49">
        <f t="shared" si="553"/>
        <v>0</v>
      </c>
      <c r="BG795" s="49">
        <f t="shared" si="554"/>
        <v>0</v>
      </c>
      <c r="BI795" s="134">
        <f t="shared" si="559"/>
        <v>0</v>
      </c>
      <c r="BJ795" s="134">
        <f t="shared" si="555"/>
        <v>0</v>
      </c>
      <c r="BK795" s="134">
        <f t="shared" si="560"/>
        <v>0</v>
      </c>
    </row>
    <row r="796" spans="1:63" hidden="1">
      <c r="A796" s="187"/>
      <c r="B796" s="2321"/>
      <c r="C796" s="2322"/>
      <c r="D796" s="2334"/>
      <c r="E796" s="2334"/>
      <c r="F796" s="2334"/>
      <c r="G796" s="2334"/>
      <c r="H796" s="2334"/>
      <c r="I796" s="2334"/>
      <c r="J796" s="2334"/>
      <c r="K796" s="2334"/>
      <c r="L796" s="2334"/>
      <c r="M796" s="2334"/>
      <c r="N796" s="2334"/>
      <c r="O796" s="2334"/>
      <c r="P796" s="2324"/>
      <c r="Q796" s="2324"/>
      <c r="R796" s="2325"/>
      <c r="S796" s="2324"/>
      <c r="T796" s="2324"/>
      <c r="U796" s="2326"/>
      <c r="V796" s="2327"/>
      <c r="W796" s="2327"/>
      <c r="X796" s="2327"/>
      <c r="Y796" s="2327"/>
      <c r="Z796" s="2327"/>
      <c r="AA796" s="2328"/>
      <c r="AB796" s="2329"/>
      <c r="AC796" s="2326"/>
      <c r="AD796" s="2330">
        <f t="shared" si="547"/>
        <v>0</v>
      </c>
      <c r="AE796" s="2330"/>
      <c r="AF796" s="2330"/>
      <c r="AG796" s="2330">
        <f t="shared" si="541"/>
        <v>0</v>
      </c>
      <c r="AH796" s="2330"/>
      <c r="AI796" s="2330"/>
      <c r="AJ796" s="2330">
        <f t="shared" si="548"/>
        <v>0</v>
      </c>
      <c r="AK796" s="2330"/>
      <c r="AL796" s="2330"/>
      <c r="AM796" s="2331">
        <f t="shared" si="535"/>
        <v>0</v>
      </c>
      <c r="AN796" s="2331"/>
      <c r="AO796" s="2331"/>
      <c r="AP796" s="2331"/>
      <c r="AQ796" s="2332">
        <f t="shared" si="549"/>
        <v>0</v>
      </c>
      <c r="AR796" s="2332"/>
      <c r="AS796" s="2332"/>
      <c r="AT796" s="2332">
        <f t="shared" si="550"/>
        <v>0</v>
      </c>
      <c r="AV796" s="151" t="str">
        <f t="shared" si="530"/>
        <v>CARPET &amp; RESILIENT</v>
      </c>
      <c r="AW796" s="681"/>
      <c r="AX796" s="230"/>
      <c r="AY796" s="230"/>
      <c r="AZ796" s="679"/>
      <c r="BA796" s="49">
        <f t="shared" si="551"/>
        <v>0</v>
      </c>
      <c r="BB796" s="49">
        <f t="shared" si="556"/>
        <v>0</v>
      </c>
      <c r="BC796" s="49">
        <f t="shared" si="557"/>
        <v>0</v>
      </c>
      <c r="BD796" s="49">
        <f t="shared" si="552"/>
        <v>0</v>
      </c>
      <c r="BE796" s="49">
        <f t="shared" si="558"/>
        <v>0</v>
      </c>
      <c r="BF796" s="49">
        <f t="shared" si="553"/>
        <v>0</v>
      </c>
      <c r="BG796" s="49">
        <f t="shared" si="554"/>
        <v>0</v>
      </c>
      <c r="BI796" s="134">
        <f t="shared" si="559"/>
        <v>0</v>
      </c>
      <c r="BJ796" s="134">
        <f t="shared" si="555"/>
        <v>0</v>
      </c>
      <c r="BK796" s="134">
        <f t="shared" si="560"/>
        <v>0</v>
      </c>
    </row>
    <row r="797" spans="1:63" hidden="1">
      <c r="A797" s="187"/>
      <c r="B797" s="2321"/>
      <c r="C797" s="2322"/>
      <c r="D797" s="2334"/>
      <c r="E797" s="2334"/>
      <c r="F797" s="2334"/>
      <c r="G797" s="2334"/>
      <c r="H797" s="2334"/>
      <c r="I797" s="2334"/>
      <c r="J797" s="2334"/>
      <c r="K797" s="2334"/>
      <c r="L797" s="2334"/>
      <c r="M797" s="2334"/>
      <c r="N797" s="2334"/>
      <c r="O797" s="2334"/>
      <c r="P797" s="2324"/>
      <c r="Q797" s="2324"/>
      <c r="R797" s="2325"/>
      <c r="S797" s="2324"/>
      <c r="T797" s="2324"/>
      <c r="U797" s="2326"/>
      <c r="V797" s="2327"/>
      <c r="W797" s="2327"/>
      <c r="X797" s="2327"/>
      <c r="Y797" s="2327"/>
      <c r="Z797" s="2327"/>
      <c r="AA797" s="2328"/>
      <c r="AB797" s="2329"/>
      <c r="AC797" s="2326"/>
      <c r="AD797" s="2330">
        <f t="shared" si="547"/>
        <v>0</v>
      </c>
      <c r="AE797" s="2330"/>
      <c r="AF797" s="2330"/>
      <c r="AG797" s="2330">
        <f t="shared" si="541"/>
        <v>0</v>
      </c>
      <c r="AH797" s="2330"/>
      <c r="AI797" s="2330"/>
      <c r="AJ797" s="2330">
        <f t="shared" si="548"/>
        <v>0</v>
      </c>
      <c r="AK797" s="2330"/>
      <c r="AL797" s="2330"/>
      <c r="AM797" s="2331">
        <f t="shared" si="535"/>
        <v>0</v>
      </c>
      <c r="AN797" s="2331"/>
      <c r="AO797" s="2331"/>
      <c r="AP797" s="2331"/>
      <c r="AQ797" s="2332">
        <f t="shared" si="549"/>
        <v>0</v>
      </c>
      <c r="AR797" s="2332"/>
      <c r="AS797" s="2332"/>
      <c r="AT797" s="2332">
        <f t="shared" si="550"/>
        <v>0</v>
      </c>
      <c r="AV797" s="151" t="str">
        <f t="shared" si="530"/>
        <v>CARPET &amp; RESILIENT</v>
      </c>
      <c r="AW797" s="681"/>
      <c r="AX797" s="230"/>
      <c r="AY797" s="230"/>
      <c r="AZ797" s="679"/>
      <c r="BA797" s="49">
        <f t="shared" si="551"/>
        <v>0</v>
      </c>
      <c r="BB797" s="49">
        <f t="shared" si="556"/>
        <v>0</v>
      </c>
      <c r="BC797" s="49">
        <f t="shared" si="557"/>
        <v>0</v>
      </c>
      <c r="BD797" s="49">
        <f t="shared" si="552"/>
        <v>0</v>
      </c>
      <c r="BE797" s="49">
        <f t="shared" si="558"/>
        <v>0</v>
      </c>
      <c r="BF797" s="49">
        <f t="shared" si="553"/>
        <v>0</v>
      </c>
      <c r="BG797" s="49">
        <f t="shared" si="554"/>
        <v>0</v>
      </c>
      <c r="BI797" s="134">
        <f t="shared" si="559"/>
        <v>0</v>
      </c>
      <c r="BJ797" s="134">
        <f t="shared" si="555"/>
        <v>0</v>
      </c>
      <c r="BK797" s="134">
        <f t="shared" si="560"/>
        <v>0</v>
      </c>
    </row>
    <row r="798" spans="1:63" hidden="1">
      <c r="A798" s="187"/>
      <c r="B798" s="2321"/>
      <c r="C798" s="2322"/>
      <c r="D798" s="2334"/>
      <c r="E798" s="2334"/>
      <c r="F798" s="2334"/>
      <c r="G798" s="2334"/>
      <c r="H798" s="2334"/>
      <c r="I798" s="2334"/>
      <c r="J798" s="2334"/>
      <c r="K798" s="2334"/>
      <c r="L798" s="2334"/>
      <c r="M798" s="2334"/>
      <c r="N798" s="2334"/>
      <c r="O798" s="2334"/>
      <c r="P798" s="2325"/>
      <c r="Q798" s="2339"/>
      <c r="R798" s="2340"/>
      <c r="S798" s="2325"/>
      <c r="T798" s="2340"/>
      <c r="U798" s="2328"/>
      <c r="V798" s="2329"/>
      <c r="W798" s="2326"/>
      <c r="X798" s="2328"/>
      <c r="Y798" s="2329"/>
      <c r="Z798" s="2326"/>
      <c r="AA798" s="2328"/>
      <c r="AB798" s="2329"/>
      <c r="AC798" s="2326"/>
      <c r="AD798" s="2330">
        <f t="shared" si="547"/>
        <v>0</v>
      </c>
      <c r="AE798" s="2330"/>
      <c r="AF798" s="2330"/>
      <c r="AG798" s="2330">
        <f t="shared" si="541"/>
        <v>0</v>
      </c>
      <c r="AH798" s="2330"/>
      <c r="AI798" s="2330"/>
      <c r="AJ798" s="2330">
        <f t="shared" si="548"/>
        <v>0</v>
      </c>
      <c r="AK798" s="2330"/>
      <c r="AL798" s="2330"/>
      <c r="AM798" s="2331">
        <f t="shared" si="535"/>
        <v>0</v>
      </c>
      <c r="AN798" s="2331"/>
      <c r="AO798" s="2331"/>
      <c r="AP798" s="2331"/>
      <c r="AQ798" s="2332">
        <f t="shared" si="549"/>
        <v>0</v>
      </c>
      <c r="AR798" s="2332"/>
      <c r="AS798" s="2332"/>
      <c r="AT798" s="2332">
        <f t="shared" si="550"/>
        <v>0</v>
      </c>
      <c r="AV798" s="151" t="str">
        <f t="shared" si="530"/>
        <v>CARPET &amp; RESILIENT</v>
      </c>
      <c r="AW798" s="681"/>
      <c r="AX798" s="230"/>
      <c r="AY798" s="230"/>
      <c r="AZ798" s="679"/>
      <c r="BA798" s="49">
        <f t="shared" si="551"/>
        <v>0</v>
      </c>
      <c r="BB798" s="49">
        <f t="shared" si="556"/>
        <v>0</v>
      </c>
      <c r="BC798" s="49">
        <f t="shared" si="557"/>
        <v>0</v>
      </c>
      <c r="BD798" s="49">
        <f t="shared" si="552"/>
        <v>0</v>
      </c>
      <c r="BE798" s="49">
        <f t="shared" si="558"/>
        <v>0</v>
      </c>
      <c r="BF798" s="49">
        <f t="shared" si="553"/>
        <v>0</v>
      </c>
      <c r="BG798" s="49">
        <f t="shared" si="554"/>
        <v>0</v>
      </c>
      <c r="BI798" s="134">
        <f t="shared" si="559"/>
        <v>0</v>
      </c>
      <c r="BJ798" s="134">
        <f t="shared" si="555"/>
        <v>0</v>
      </c>
      <c r="BK798" s="134">
        <f t="shared" si="560"/>
        <v>0</v>
      </c>
    </row>
    <row r="799" spans="1:63" hidden="1">
      <c r="A799" s="187"/>
      <c r="B799" s="2321"/>
      <c r="C799" s="2322"/>
      <c r="D799" s="2334"/>
      <c r="E799" s="2334"/>
      <c r="F799" s="2334"/>
      <c r="G799" s="2334"/>
      <c r="H799" s="2334"/>
      <c r="I799" s="2334"/>
      <c r="J799" s="2334"/>
      <c r="K799" s="2334"/>
      <c r="L799" s="2334"/>
      <c r="M799" s="2334"/>
      <c r="N799" s="2334"/>
      <c r="O799" s="2334"/>
      <c r="P799" s="2325"/>
      <c r="Q799" s="2339"/>
      <c r="R799" s="2340"/>
      <c r="S799" s="2325"/>
      <c r="T799" s="2340"/>
      <c r="U799" s="2328"/>
      <c r="V799" s="2329"/>
      <c r="W799" s="2326"/>
      <c r="X799" s="2328"/>
      <c r="Y799" s="2329"/>
      <c r="Z799" s="2326"/>
      <c r="AA799" s="2328"/>
      <c r="AB799" s="2329"/>
      <c r="AC799" s="2326"/>
      <c r="AD799" s="2330">
        <f t="shared" si="547"/>
        <v>0</v>
      </c>
      <c r="AE799" s="2330"/>
      <c r="AF799" s="2330"/>
      <c r="AG799" s="2330">
        <f t="shared" si="541"/>
        <v>0</v>
      </c>
      <c r="AH799" s="2330"/>
      <c r="AI799" s="2330"/>
      <c r="AJ799" s="2330">
        <f t="shared" si="548"/>
        <v>0</v>
      </c>
      <c r="AK799" s="2330"/>
      <c r="AL799" s="2330"/>
      <c r="AM799" s="2331">
        <f t="shared" si="535"/>
        <v>0</v>
      </c>
      <c r="AN799" s="2331"/>
      <c r="AO799" s="2331"/>
      <c r="AP799" s="2331"/>
      <c r="AQ799" s="2332">
        <f t="shared" si="549"/>
        <v>0</v>
      </c>
      <c r="AR799" s="2332"/>
      <c r="AS799" s="2332"/>
      <c r="AT799" s="2332">
        <f t="shared" si="550"/>
        <v>0</v>
      </c>
      <c r="AV799" s="151" t="str">
        <f t="shared" si="530"/>
        <v>CARPET &amp; RESILIENT</v>
      </c>
      <c r="AW799" s="681"/>
      <c r="AX799" s="230"/>
      <c r="AY799" s="230"/>
      <c r="AZ799" s="679"/>
      <c r="BA799" s="49">
        <f t="shared" si="551"/>
        <v>0</v>
      </c>
      <c r="BB799" s="49">
        <f t="shared" si="556"/>
        <v>0</v>
      </c>
      <c r="BC799" s="49">
        <f t="shared" si="557"/>
        <v>0</v>
      </c>
      <c r="BD799" s="49">
        <f t="shared" si="552"/>
        <v>0</v>
      </c>
      <c r="BE799" s="49">
        <f t="shared" si="558"/>
        <v>0</v>
      </c>
      <c r="BF799" s="49">
        <f t="shared" si="553"/>
        <v>0</v>
      </c>
      <c r="BG799" s="49">
        <f t="shared" si="554"/>
        <v>0</v>
      </c>
      <c r="BI799" s="134">
        <f t="shared" si="559"/>
        <v>0</v>
      </c>
      <c r="BJ799" s="134">
        <f t="shared" si="555"/>
        <v>0</v>
      </c>
      <c r="BK799" s="134">
        <f t="shared" si="560"/>
        <v>0</v>
      </c>
    </row>
    <row r="800" spans="1:63" hidden="1">
      <c r="A800" s="187"/>
      <c r="B800" s="2321"/>
      <c r="C800" s="2322"/>
      <c r="D800" s="2334"/>
      <c r="E800" s="2334"/>
      <c r="F800" s="2334"/>
      <c r="G800" s="2334"/>
      <c r="H800" s="2334"/>
      <c r="I800" s="2334"/>
      <c r="J800" s="2334"/>
      <c r="K800" s="2334"/>
      <c r="L800" s="2334"/>
      <c r="M800" s="2334"/>
      <c r="N800" s="2334"/>
      <c r="O800" s="2334"/>
      <c r="P800" s="2324"/>
      <c r="Q800" s="2324"/>
      <c r="R800" s="2325"/>
      <c r="S800" s="2324"/>
      <c r="T800" s="2324"/>
      <c r="U800" s="2326"/>
      <c r="V800" s="2327"/>
      <c r="W800" s="2327"/>
      <c r="X800" s="2327"/>
      <c r="Y800" s="2327"/>
      <c r="Z800" s="2327"/>
      <c r="AA800" s="2328"/>
      <c r="AB800" s="2329"/>
      <c r="AC800" s="2326"/>
      <c r="AD800" s="2330">
        <f t="shared" si="547"/>
        <v>0</v>
      </c>
      <c r="AE800" s="2330"/>
      <c r="AF800" s="2330"/>
      <c r="AG800" s="2330">
        <f t="shared" si="541"/>
        <v>0</v>
      </c>
      <c r="AH800" s="2330"/>
      <c r="AI800" s="2330"/>
      <c r="AJ800" s="2330">
        <f t="shared" si="548"/>
        <v>0</v>
      </c>
      <c r="AK800" s="2330"/>
      <c r="AL800" s="2330"/>
      <c r="AM800" s="2331">
        <f t="shared" si="535"/>
        <v>0</v>
      </c>
      <c r="AN800" s="2331"/>
      <c r="AO800" s="2331"/>
      <c r="AP800" s="2331"/>
      <c r="AQ800" s="2332">
        <f t="shared" si="549"/>
        <v>0</v>
      </c>
      <c r="AR800" s="2332"/>
      <c r="AS800" s="2332"/>
      <c r="AT800" s="2332">
        <f t="shared" si="550"/>
        <v>0</v>
      </c>
      <c r="AV800" s="151" t="str">
        <f t="shared" si="530"/>
        <v>CARPET &amp; RESILIENT</v>
      </c>
      <c r="AW800" s="681"/>
      <c r="AX800" s="230"/>
      <c r="AY800" s="230"/>
      <c r="AZ800" s="679"/>
      <c r="BA800" s="49">
        <f t="shared" si="551"/>
        <v>0</v>
      </c>
      <c r="BB800" s="49">
        <f t="shared" si="556"/>
        <v>0</v>
      </c>
      <c r="BC800" s="49">
        <f t="shared" si="557"/>
        <v>0</v>
      </c>
      <c r="BD800" s="49">
        <f t="shared" si="552"/>
        <v>0</v>
      </c>
      <c r="BE800" s="49">
        <f t="shared" si="558"/>
        <v>0</v>
      </c>
      <c r="BF800" s="49">
        <f t="shared" si="553"/>
        <v>0</v>
      </c>
      <c r="BG800" s="49">
        <f t="shared" si="554"/>
        <v>0</v>
      </c>
      <c r="BI800" s="134">
        <f t="shared" si="559"/>
        <v>0</v>
      </c>
      <c r="BJ800" s="134">
        <f t="shared" si="555"/>
        <v>0</v>
      </c>
      <c r="BK800" s="134">
        <f t="shared" si="560"/>
        <v>0</v>
      </c>
    </row>
    <row r="801" spans="1:63" hidden="1">
      <c r="A801" s="187"/>
      <c r="B801" s="2321"/>
      <c r="C801" s="2322"/>
      <c r="D801" s="2334"/>
      <c r="E801" s="2334"/>
      <c r="F801" s="2334"/>
      <c r="G801" s="2334"/>
      <c r="H801" s="2334"/>
      <c r="I801" s="2334"/>
      <c r="J801" s="2334"/>
      <c r="K801" s="2334"/>
      <c r="L801" s="2334"/>
      <c r="M801" s="2334"/>
      <c r="N801" s="2334"/>
      <c r="O801" s="2334"/>
      <c r="P801" s="2325"/>
      <c r="Q801" s="2339"/>
      <c r="R801" s="2340"/>
      <c r="S801" s="2325"/>
      <c r="T801" s="2340"/>
      <c r="U801" s="2328"/>
      <c r="V801" s="2329"/>
      <c r="W801" s="2326"/>
      <c r="X801" s="2328"/>
      <c r="Y801" s="2329"/>
      <c r="Z801" s="2326"/>
      <c r="AA801" s="2328"/>
      <c r="AB801" s="2329"/>
      <c r="AC801" s="2326"/>
      <c r="AD801" s="2330">
        <f t="shared" si="547"/>
        <v>0</v>
      </c>
      <c r="AE801" s="2330"/>
      <c r="AF801" s="2330"/>
      <c r="AG801" s="2330">
        <f t="shared" si="541"/>
        <v>0</v>
      </c>
      <c r="AH801" s="2330"/>
      <c r="AI801" s="2330"/>
      <c r="AJ801" s="2330">
        <f t="shared" si="548"/>
        <v>0</v>
      </c>
      <c r="AK801" s="2330"/>
      <c r="AL801" s="2330"/>
      <c r="AM801" s="2331">
        <f t="shared" si="535"/>
        <v>0</v>
      </c>
      <c r="AN801" s="2331"/>
      <c r="AO801" s="2331"/>
      <c r="AP801" s="2331"/>
      <c r="AQ801" s="2332">
        <f t="shared" si="549"/>
        <v>0</v>
      </c>
      <c r="AR801" s="2332"/>
      <c r="AS801" s="2332"/>
      <c r="AT801" s="2332">
        <f t="shared" si="550"/>
        <v>0</v>
      </c>
      <c r="AV801" s="151" t="str">
        <f t="shared" si="530"/>
        <v>CARPET &amp; RESILIENT</v>
      </c>
      <c r="AW801" s="681"/>
      <c r="AX801" s="230"/>
      <c r="AY801" s="230"/>
      <c r="AZ801" s="679"/>
      <c r="BA801" s="49">
        <f t="shared" si="551"/>
        <v>0</v>
      </c>
      <c r="BB801" s="49">
        <f t="shared" si="556"/>
        <v>0</v>
      </c>
      <c r="BC801" s="49">
        <f t="shared" si="557"/>
        <v>0</v>
      </c>
      <c r="BD801" s="49">
        <f t="shared" si="552"/>
        <v>0</v>
      </c>
      <c r="BE801" s="49">
        <f>SUM(BA801:BC801)</f>
        <v>0</v>
      </c>
      <c r="BF801" s="49">
        <f t="shared" si="553"/>
        <v>0</v>
      </c>
      <c r="BG801" s="49">
        <f t="shared" si="554"/>
        <v>0</v>
      </c>
      <c r="BI801" s="134">
        <f t="shared" si="559"/>
        <v>0</v>
      </c>
      <c r="BJ801" s="134">
        <f t="shared" si="555"/>
        <v>0</v>
      </c>
      <c r="BK801" s="134">
        <f t="shared" si="560"/>
        <v>0</v>
      </c>
    </row>
    <row r="802" spans="1:63" hidden="1">
      <c r="A802" s="187"/>
      <c r="B802" s="2321"/>
      <c r="C802" s="2322"/>
      <c r="D802" s="2334"/>
      <c r="E802" s="2334"/>
      <c r="F802" s="2334"/>
      <c r="G802" s="2334"/>
      <c r="H802" s="2334"/>
      <c r="I802" s="2334"/>
      <c r="J802" s="2334"/>
      <c r="K802" s="2334"/>
      <c r="L802" s="2334"/>
      <c r="M802" s="2334"/>
      <c r="N802" s="2334"/>
      <c r="O802" s="2334"/>
      <c r="P802" s="2325"/>
      <c r="Q802" s="2339"/>
      <c r="R802" s="2340"/>
      <c r="S802" s="2325"/>
      <c r="T802" s="2340"/>
      <c r="U802" s="2328"/>
      <c r="V802" s="2329"/>
      <c r="W802" s="2326"/>
      <c r="X802" s="2328"/>
      <c r="Y802" s="2329"/>
      <c r="Z802" s="2326"/>
      <c r="AA802" s="2328"/>
      <c r="AB802" s="2329"/>
      <c r="AC802" s="2326"/>
      <c r="AD802" s="2330">
        <f t="shared" si="547"/>
        <v>0</v>
      </c>
      <c r="AE802" s="2330"/>
      <c r="AF802" s="2330"/>
      <c r="AG802" s="2330">
        <f t="shared" si="541"/>
        <v>0</v>
      </c>
      <c r="AH802" s="2330"/>
      <c r="AI802" s="2330"/>
      <c r="AJ802" s="2330">
        <f t="shared" si="548"/>
        <v>0</v>
      </c>
      <c r="AK802" s="2330"/>
      <c r="AL802" s="2330"/>
      <c r="AM802" s="2331">
        <f t="shared" si="535"/>
        <v>0</v>
      </c>
      <c r="AN802" s="2331"/>
      <c r="AO802" s="2331"/>
      <c r="AP802" s="2331"/>
      <c r="AQ802" s="2332">
        <f t="shared" si="549"/>
        <v>0</v>
      </c>
      <c r="AR802" s="2332"/>
      <c r="AS802" s="2332"/>
      <c r="AT802" s="2332">
        <f t="shared" si="550"/>
        <v>0</v>
      </c>
      <c r="AV802" s="151" t="str">
        <f t="shared" si="530"/>
        <v>CARPET &amp; RESILIENT</v>
      </c>
      <c r="AW802" s="681"/>
      <c r="AX802" s="230"/>
      <c r="AY802" s="230"/>
      <c r="AZ802" s="679"/>
      <c r="BA802" s="49">
        <f t="shared" si="551"/>
        <v>0</v>
      </c>
      <c r="BB802" s="49">
        <f t="shared" si="556"/>
        <v>0</v>
      </c>
      <c r="BC802" s="49">
        <f t="shared" si="557"/>
        <v>0</v>
      </c>
      <c r="BD802" s="49">
        <f t="shared" si="552"/>
        <v>0</v>
      </c>
      <c r="BE802" s="49">
        <f>SUM(BA802:BC802)</f>
        <v>0</v>
      </c>
      <c r="BF802" s="49">
        <f t="shared" si="553"/>
        <v>0</v>
      </c>
      <c r="BG802" s="49">
        <f t="shared" si="554"/>
        <v>0</v>
      </c>
      <c r="BI802" s="134">
        <f t="shared" si="559"/>
        <v>0</v>
      </c>
      <c r="BJ802" s="134">
        <f t="shared" si="555"/>
        <v>0</v>
      </c>
      <c r="BK802" s="134">
        <f t="shared" si="560"/>
        <v>0</v>
      </c>
    </row>
    <row r="803" spans="1:63" ht="5.0999999999999996" hidden="1" customHeight="1">
      <c r="A803" s="187"/>
      <c r="B803" s="64"/>
      <c r="C803" s="64"/>
      <c r="D803" s="885"/>
      <c r="E803" s="885"/>
      <c r="F803" s="885"/>
      <c r="G803" s="885"/>
      <c r="H803" s="885"/>
      <c r="I803" s="885"/>
      <c r="J803" s="885"/>
      <c r="K803" s="885"/>
      <c r="L803" s="885"/>
      <c r="M803" s="885"/>
      <c r="N803" s="885"/>
      <c r="O803" s="885"/>
      <c r="P803" s="66"/>
      <c r="Q803" s="66"/>
      <c r="R803" s="66"/>
      <c r="S803" s="66"/>
      <c r="T803" s="66"/>
      <c r="U803" s="67"/>
      <c r="V803" s="67"/>
      <c r="W803" s="67"/>
      <c r="X803" s="67"/>
      <c r="Y803" s="67"/>
      <c r="Z803" s="67"/>
      <c r="AA803" s="67"/>
      <c r="AB803" s="67"/>
      <c r="AC803" s="67"/>
      <c r="AD803" s="68"/>
      <c r="AE803" s="68"/>
      <c r="AF803" s="68"/>
      <c r="AG803" s="68"/>
      <c r="AH803" s="68"/>
      <c r="AI803" s="68"/>
      <c r="AJ803" s="68"/>
      <c r="AK803" s="68"/>
      <c r="AL803" s="68"/>
      <c r="AM803" s="69"/>
      <c r="AN803" s="69"/>
      <c r="AO803" s="69"/>
      <c r="AP803" s="69"/>
      <c r="AQ803" s="661"/>
      <c r="AR803" s="661"/>
      <c r="AS803" s="661"/>
      <c r="AT803" s="661"/>
      <c r="AV803" s="369" t="str">
        <f t="shared" si="530"/>
        <v>CARPET &amp; RESILIENT</v>
      </c>
      <c r="AW803" s="696"/>
      <c r="AX803" s="696"/>
      <c r="AY803" s="696"/>
      <c r="AZ803" s="369"/>
      <c r="BA803" s="75">
        <f>BA762</f>
        <v>0</v>
      </c>
      <c r="BB803" s="75">
        <f>BB762</f>
        <v>0</v>
      </c>
      <c r="BC803" s="75">
        <f>BC762</f>
        <v>0</v>
      </c>
      <c r="BD803" s="75">
        <f>BD762</f>
        <v>0</v>
      </c>
      <c r="BE803" s="75">
        <f>BE762</f>
        <v>0</v>
      </c>
      <c r="BF803" s="75"/>
      <c r="BG803" s="75"/>
      <c r="BI803" s="75"/>
      <c r="BJ803" s="75"/>
      <c r="BK803" s="75"/>
    </row>
    <row r="804" spans="1:63" ht="21.6" hidden="1" customHeight="1">
      <c r="A804" s="187"/>
      <c r="B804" s="2341"/>
      <c r="C804" s="2341"/>
      <c r="D804" s="886"/>
      <c r="E804" s="886"/>
      <c r="F804" s="886"/>
      <c r="G804" s="886"/>
      <c r="H804" s="886"/>
      <c r="I804" s="886"/>
      <c r="J804" s="886"/>
      <c r="K804" s="886"/>
      <c r="L804" s="886"/>
      <c r="M804" s="886"/>
      <c r="N804" s="886"/>
      <c r="O804" s="886"/>
      <c r="P804" s="37"/>
      <c r="Q804" s="37"/>
      <c r="R804" s="37"/>
      <c r="S804" s="37"/>
      <c r="T804" s="37"/>
      <c r="U804" s="37"/>
      <c r="V804" s="37"/>
      <c r="W804" s="37"/>
      <c r="X804" s="37"/>
      <c r="Y804" s="37"/>
      <c r="Z804" s="37"/>
      <c r="AA804" s="37"/>
      <c r="AB804" s="37"/>
      <c r="AC804" s="370" t="str">
        <f>CONCATENATE(D762," ","TOTAL")</f>
        <v>CARPET &amp; RESILIENT TOTAL</v>
      </c>
      <c r="AD804" s="2342">
        <f>SUBTOTAL(9,AD763:AD803)</f>
        <v>0</v>
      </c>
      <c r="AE804" s="2342"/>
      <c r="AF804" s="2342"/>
      <c r="AG804" s="2342">
        <f>SUBTOTAL(9,AG763:AG803)</f>
        <v>0</v>
      </c>
      <c r="AH804" s="2342"/>
      <c r="AI804" s="2342"/>
      <c r="AJ804" s="2342">
        <f>SUBTOTAL(9,AJ763:AJ803)</f>
        <v>0</v>
      </c>
      <c r="AK804" s="2342"/>
      <c r="AL804" s="2342"/>
      <c r="AM804" s="2342">
        <f>SUBTOTAL(9,AM763:AM803)</f>
        <v>0</v>
      </c>
      <c r="AN804" s="2342"/>
      <c r="AO804" s="2342"/>
      <c r="AP804" s="2342"/>
      <c r="AQ804" s="2336">
        <f>SUBTOTAL(9,AQ763:AQ803)</f>
        <v>0</v>
      </c>
      <c r="AR804" s="2336"/>
      <c r="AS804" s="2336"/>
      <c r="AT804" s="2336" t="e">
        <f>SUM(AT760:AT795)</f>
        <v>#REF!</v>
      </c>
      <c r="AV804" s="151" t="str">
        <f t="shared" si="530"/>
        <v>CARPET &amp; RESILIENT</v>
      </c>
      <c r="AW804" s="682"/>
      <c r="AX804" s="695"/>
      <c r="AY804" s="695"/>
      <c r="AZ804" s="274"/>
      <c r="BA804" s="74">
        <f>BA762</f>
        <v>0</v>
      </c>
      <c r="BB804" s="74">
        <f>BB762</f>
        <v>0</v>
      </c>
      <c r="BC804" s="74">
        <f>BC762</f>
        <v>0</v>
      </c>
      <c r="BD804" s="74">
        <f>BD762</f>
        <v>0</v>
      </c>
      <c r="BE804" s="74">
        <f>BE762</f>
        <v>0</v>
      </c>
      <c r="BF804" s="74">
        <f>SUM(BF762:BF803)</f>
        <v>0</v>
      </c>
      <c r="BG804" s="49">
        <f>SUM(BG762:BG803)</f>
        <v>0</v>
      </c>
      <c r="BI804" s="74">
        <f>SUM(BI763:BI803)</f>
        <v>0</v>
      </c>
      <c r="BJ804" s="74">
        <f>SUM(BJ763:BJ803)</f>
        <v>0</v>
      </c>
      <c r="BK804" s="49">
        <f>SUM(BK763:BK803)</f>
        <v>0</v>
      </c>
    </row>
    <row r="805" spans="1:63" ht="5.0999999999999996" hidden="1" customHeight="1">
      <c r="A805" s="187"/>
      <c r="B805" s="64"/>
      <c r="C805" s="64"/>
      <c r="D805" s="885"/>
      <c r="E805" s="885"/>
      <c r="F805" s="885"/>
      <c r="G805" s="885"/>
      <c r="H805" s="885"/>
      <c r="I805" s="885"/>
      <c r="J805" s="885"/>
      <c r="K805" s="885"/>
      <c r="L805" s="885"/>
      <c r="M805" s="885"/>
      <c r="N805" s="885"/>
      <c r="O805" s="885"/>
      <c r="P805" s="66"/>
      <c r="Q805" s="66"/>
      <c r="R805" s="66"/>
      <c r="S805" s="66"/>
      <c r="T805" s="66"/>
      <c r="U805" s="67"/>
      <c r="V805" s="67"/>
      <c r="W805" s="67"/>
      <c r="X805" s="67"/>
      <c r="Y805" s="67"/>
      <c r="Z805" s="67"/>
      <c r="AA805" s="67"/>
      <c r="AB805" s="67"/>
      <c r="AC805" s="67"/>
      <c r="AD805" s="68"/>
      <c r="AE805" s="68"/>
      <c r="AF805" s="68"/>
      <c r="AG805" s="68"/>
      <c r="AH805" s="68"/>
      <c r="AI805" s="68"/>
      <c r="AJ805" s="68"/>
      <c r="AK805" s="68"/>
      <c r="AL805" s="68"/>
      <c r="AM805" s="69"/>
      <c r="AN805" s="69"/>
      <c r="AO805" s="69"/>
      <c r="AP805" s="69"/>
      <c r="AQ805" s="661"/>
      <c r="AR805" s="661"/>
      <c r="AS805" s="661"/>
      <c r="AT805" s="661"/>
      <c r="AV805" s="369" t="str">
        <f t="shared" si="530"/>
        <v>CARPET &amp; RESILIENT</v>
      </c>
      <c r="AW805" s="696"/>
      <c r="AX805" s="696"/>
      <c r="AY805" s="696"/>
      <c r="AZ805" s="369"/>
      <c r="BA805" s="75">
        <f>BA762</f>
        <v>0</v>
      </c>
      <c r="BB805" s="75">
        <f>BB762</f>
        <v>0</v>
      </c>
      <c r="BC805" s="75">
        <f>BC762</f>
        <v>0</v>
      </c>
      <c r="BD805" s="75">
        <f>BD762</f>
        <v>0</v>
      </c>
      <c r="BE805" s="75">
        <f>BE762</f>
        <v>0</v>
      </c>
      <c r="BF805" s="75"/>
      <c r="BG805" s="75"/>
      <c r="BI805" s="75"/>
      <c r="BJ805" s="75"/>
      <c r="BK805" s="75"/>
    </row>
    <row r="806" spans="1:63" ht="9.6" hidden="1" customHeight="1">
      <c r="A806" s="187"/>
      <c r="B806" s="71"/>
      <c r="C806" s="71"/>
      <c r="D806" s="887"/>
      <c r="E806" s="887"/>
      <c r="F806" s="887"/>
      <c r="G806" s="887"/>
      <c r="H806" s="887"/>
      <c r="I806" s="887"/>
      <c r="J806" s="887"/>
      <c r="K806" s="887"/>
      <c r="L806" s="887"/>
      <c r="M806" s="887"/>
      <c r="N806" s="887"/>
      <c r="O806" s="887"/>
      <c r="P806" s="72"/>
      <c r="Q806" s="72"/>
      <c r="R806" s="72"/>
      <c r="S806" s="72"/>
      <c r="T806" s="72"/>
      <c r="U806" s="72"/>
      <c r="V806" s="72"/>
      <c r="W806" s="72"/>
      <c r="X806" s="72"/>
      <c r="Y806" s="72"/>
      <c r="Z806" s="72"/>
      <c r="AA806" s="72"/>
      <c r="AB806" s="72"/>
      <c r="AC806" s="73"/>
      <c r="AD806" s="662"/>
      <c r="AE806" s="662"/>
      <c r="AF806" s="662"/>
      <c r="AG806" s="662"/>
      <c r="AH806" s="662"/>
      <c r="AI806" s="662"/>
      <c r="AJ806" s="662"/>
      <c r="AK806" s="662"/>
      <c r="AL806" s="662"/>
      <c r="AM806" s="662"/>
      <c r="AN806" s="662"/>
      <c r="AO806" s="662"/>
      <c r="AP806" s="662"/>
      <c r="AQ806" s="663"/>
      <c r="AR806" s="663"/>
      <c r="AS806" s="663"/>
      <c r="AT806" s="663"/>
      <c r="AV806" s="371" t="str">
        <f t="shared" si="530"/>
        <v>CARPET &amp; RESILIENT</v>
      </c>
      <c r="AW806" s="699"/>
      <c r="AX806" s="801"/>
      <c r="AY806" s="801"/>
      <c r="AZ806" s="371"/>
      <c r="BA806" s="125">
        <f>BA804</f>
        <v>0</v>
      </c>
      <c r="BB806" s="125">
        <f t="shared" ref="BB806:BG806" si="561">BB804</f>
        <v>0</v>
      </c>
      <c r="BC806" s="125">
        <f>BC804</f>
        <v>0</v>
      </c>
      <c r="BD806" s="125">
        <f t="shared" si="561"/>
        <v>0</v>
      </c>
      <c r="BE806" s="125">
        <f t="shared" si="561"/>
        <v>0</v>
      </c>
      <c r="BF806" s="125">
        <f t="shared" si="561"/>
        <v>0</v>
      </c>
      <c r="BG806" s="125">
        <f t="shared" si="561"/>
        <v>0</v>
      </c>
      <c r="BI806" s="125"/>
      <c r="BJ806" s="125"/>
      <c r="BK806" s="125"/>
    </row>
    <row r="807" spans="1:63" ht="23.1" customHeight="1">
      <c r="A807" s="186" t="s">
        <v>952</v>
      </c>
      <c r="B807" s="2343"/>
      <c r="C807" s="2344"/>
      <c r="D807" s="2387" t="str">
        <f>T(AJ75)</f>
        <v>HARDWOOD FLOORING</v>
      </c>
      <c r="E807" s="2388"/>
      <c r="F807" s="2388"/>
      <c r="G807" s="2388"/>
      <c r="H807" s="2388"/>
      <c r="I807" s="2388"/>
      <c r="J807" s="2388"/>
      <c r="K807" s="2388"/>
      <c r="L807" s="2388"/>
      <c r="M807" s="2388"/>
      <c r="N807" s="2388"/>
      <c r="O807" s="2389"/>
      <c r="P807" s="2345"/>
      <c r="Q807" s="2345"/>
      <c r="R807" s="2345"/>
      <c r="S807" s="2346"/>
      <c r="T807" s="2347"/>
      <c r="U807" s="2348"/>
      <c r="V807" s="2348"/>
      <c r="W807" s="2348"/>
      <c r="X807" s="2348"/>
      <c r="Y807" s="2348"/>
      <c r="Z807" s="2348"/>
      <c r="AA807" s="2348"/>
      <c r="AB807" s="2348"/>
      <c r="AC807" s="2348"/>
      <c r="AD807" s="2342">
        <f>AD849</f>
        <v>0</v>
      </c>
      <c r="AE807" s="2342"/>
      <c r="AF807" s="2342"/>
      <c r="AG807" s="2342">
        <f>AG849</f>
        <v>0</v>
      </c>
      <c r="AH807" s="2342"/>
      <c r="AI807" s="2342"/>
      <c r="AJ807" s="2342">
        <f>AJ849</f>
        <v>0</v>
      </c>
      <c r="AK807" s="2342"/>
      <c r="AL807" s="2342"/>
      <c r="AM807" s="2342">
        <f>AM849</f>
        <v>0</v>
      </c>
      <c r="AN807" s="2342"/>
      <c r="AO807" s="2342"/>
      <c r="AP807" s="2342"/>
      <c r="AQ807" s="2336">
        <f>AQ849</f>
        <v>0</v>
      </c>
      <c r="AR807" s="2336"/>
      <c r="AS807" s="2336"/>
      <c r="AT807" s="2336" t="e">
        <f>SUM(#REF!)</f>
        <v>#REF!</v>
      </c>
      <c r="AV807" s="151" t="str">
        <f t="shared" ref="AV807:AV851" si="562">$D$807</f>
        <v>HARDWOOD FLOORING</v>
      </c>
      <c r="AW807" s="700"/>
      <c r="AX807" s="700"/>
      <c r="AY807" s="700"/>
      <c r="AZ807" s="701"/>
      <c r="BA807" s="49">
        <f>SUM(BA808:BA847)</f>
        <v>0</v>
      </c>
      <c r="BB807" s="49">
        <f>SUM(BB808:BB847)</f>
        <v>0</v>
      </c>
      <c r="BC807" s="49">
        <f>SUM(BC808:BC847)</f>
        <v>0</v>
      </c>
      <c r="BD807" s="49">
        <f>SUM(BD808:BD847)</f>
        <v>0</v>
      </c>
      <c r="BE807" s="49">
        <f>SUM(BE808:BE847)</f>
        <v>0</v>
      </c>
      <c r="BF807" s="49">
        <f t="shared" ref="BF807:BF827" si="563">AQ807</f>
        <v>0</v>
      </c>
      <c r="BG807" s="49">
        <f t="shared" ref="BG807:BG827" si="564">AM807</f>
        <v>0</v>
      </c>
      <c r="BI807" s="134">
        <f>AD807</f>
        <v>0</v>
      </c>
      <c r="BJ807" s="134">
        <f>AM807</f>
        <v>0</v>
      </c>
      <c r="BK807" s="134">
        <f>BJ807+BI807</f>
        <v>0</v>
      </c>
    </row>
    <row r="808" spans="1:63" hidden="1">
      <c r="A808" s="187"/>
      <c r="B808" s="2321"/>
      <c r="C808" s="2322"/>
      <c r="D808" s="2338" t="s">
        <v>264</v>
      </c>
      <c r="E808" s="2338"/>
      <c r="F808" s="2338"/>
      <c r="G808" s="2338"/>
      <c r="H808" s="2338"/>
      <c r="I808" s="2338"/>
      <c r="J808" s="2338"/>
      <c r="K808" s="2338"/>
      <c r="L808" s="2338"/>
      <c r="M808" s="2338"/>
      <c r="N808" s="2338"/>
      <c r="O808" s="2338"/>
      <c r="P808" s="2324"/>
      <c r="Q808" s="2324"/>
      <c r="R808" s="2325"/>
      <c r="S808" s="2324" t="s">
        <v>3</v>
      </c>
      <c r="T808" s="2324" t="s">
        <v>3</v>
      </c>
      <c r="U808" s="2326"/>
      <c r="V808" s="2327"/>
      <c r="W808" s="2327"/>
      <c r="X808" s="2327"/>
      <c r="Y808" s="2327"/>
      <c r="Z808" s="2327"/>
      <c r="AA808" s="2328"/>
      <c r="AB808" s="2329"/>
      <c r="AC808" s="2326"/>
      <c r="AD808" s="2330">
        <f t="shared" ref="AD808:AD827" si="565">((P808*U808)-AM808)</f>
        <v>0</v>
      </c>
      <c r="AE808" s="2330"/>
      <c r="AF808" s="2330"/>
      <c r="AG808" s="2330">
        <f>P808*X808*(1+$Y$85)</f>
        <v>0</v>
      </c>
      <c r="AH808" s="2330"/>
      <c r="AI808" s="2330"/>
      <c r="AJ808" s="2330">
        <f t="shared" ref="AJ808:AJ827" si="566">P808*AA808</f>
        <v>0</v>
      </c>
      <c r="AK808" s="2330"/>
      <c r="AL808" s="2330"/>
      <c r="AM808" s="2331">
        <f t="shared" ref="AM808:AM847" si="567">IF($B808="x",$P808*$U808,0)</f>
        <v>0</v>
      </c>
      <c r="AN808" s="2331"/>
      <c r="AO808" s="2331"/>
      <c r="AP808" s="2331"/>
      <c r="AQ808" s="2332">
        <f t="shared" ref="AQ808:AQ827" si="568">SUM(AD808:AL808)</f>
        <v>0</v>
      </c>
      <c r="AR808" s="2332"/>
      <c r="AS808" s="2332"/>
      <c r="AT808" s="2332">
        <f t="shared" ref="AT808:AT827" si="569">SUM(AD808:AL808)</f>
        <v>0</v>
      </c>
      <c r="AV808" s="151" t="str">
        <f t="shared" si="562"/>
        <v>HARDWOOD FLOORING</v>
      </c>
      <c r="AW808" s="681"/>
      <c r="AX808" s="230"/>
      <c r="AY808" s="230"/>
      <c r="AZ808" s="679"/>
      <c r="BA808" s="49">
        <f t="shared" ref="BA808:BA827" si="570">AD808</f>
        <v>0</v>
      </c>
      <c r="BB808" s="49">
        <f>AG808</f>
        <v>0</v>
      </c>
      <c r="BC808" s="49">
        <f>AJ808</f>
        <v>0</v>
      </c>
      <c r="BD808" s="49">
        <f t="shared" ref="BD808:BD827" si="571">IF(B808="x",1,0)</f>
        <v>0</v>
      </c>
      <c r="BE808" s="49">
        <f>SUM(BA808:BC808)</f>
        <v>0</v>
      </c>
      <c r="BF808" s="49">
        <f t="shared" si="563"/>
        <v>0</v>
      </c>
      <c r="BG808" s="49">
        <f t="shared" si="564"/>
        <v>0</v>
      </c>
      <c r="BI808" s="134">
        <f>AD808</f>
        <v>0</v>
      </c>
      <c r="BJ808" s="134">
        <f t="shared" ref="BJ808:BJ827" si="572">AM808</f>
        <v>0</v>
      </c>
      <c r="BK808" s="134">
        <f>BJ808+BI808</f>
        <v>0</v>
      </c>
    </row>
    <row r="809" spans="1:63" hidden="1">
      <c r="A809" s="187"/>
      <c r="B809" s="2321"/>
      <c r="C809" s="2322"/>
      <c r="D809" s="2337" t="s">
        <v>814</v>
      </c>
      <c r="E809" s="2337"/>
      <c r="F809" s="2337"/>
      <c r="G809" s="2337"/>
      <c r="H809" s="2337"/>
      <c r="I809" s="2337"/>
      <c r="J809" s="2337"/>
      <c r="K809" s="2337"/>
      <c r="L809" s="2337"/>
      <c r="M809" s="2337"/>
      <c r="N809" s="2337"/>
      <c r="O809" s="2337"/>
      <c r="P809" s="2324"/>
      <c r="Q809" s="2324"/>
      <c r="R809" s="2325"/>
      <c r="S809" s="2324"/>
      <c r="T809" s="2324"/>
      <c r="U809" s="2326"/>
      <c r="V809" s="2327"/>
      <c r="W809" s="2327"/>
      <c r="X809" s="2327"/>
      <c r="Y809" s="2327"/>
      <c r="Z809" s="2327"/>
      <c r="AA809" s="2328"/>
      <c r="AB809" s="2329"/>
      <c r="AC809" s="2326"/>
      <c r="AD809" s="2330">
        <f t="shared" si="565"/>
        <v>0</v>
      </c>
      <c r="AE809" s="2330"/>
      <c r="AF809" s="2330"/>
      <c r="AG809" s="2330">
        <f t="shared" ref="AG809:AG847" si="573">P809*X809*(1+$Y$85)</f>
        <v>0</v>
      </c>
      <c r="AH809" s="2330"/>
      <c r="AI809" s="2330"/>
      <c r="AJ809" s="2330">
        <f t="shared" si="566"/>
        <v>0</v>
      </c>
      <c r="AK809" s="2330"/>
      <c r="AL809" s="2330"/>
      <c r="AM809" s="2331">
        <f t="shared" si="567"/>
        <v>0</v>
      </c>
      <c r="AN809" s="2331"/>
      <c r="AO809" s="2331"/>
      <c r="AP809" s="2331"/>
      <c r="AQ809" s="2332">
        <f t="shared" si="568"/>
        <v>0</v>
      </c>
      <c r="AR809" s="2332"/>
      <c r="AS809" s="2332"/>
      <c r="AT809" s="2332">
        <f t="shared" si="569"/>
        <v>0</v>
      </c>
      <c r="AV809" s="151" t="str">
        <f t="shared" si="562"/>
        <v>HARDWOOD FLOORING</v>
      </c>
      <c r="AW809" s="681"/>
      <c r="AX809" s="230"/>
      <c r="AY809" s="230"/>
      <c r="AZ809" s="679"/>
      <c r="BA809" s="49">
        <f t="shared" si="570"/>
        <v>0</v>
      </c>
      <c r="BB809" s="49">
        <f t="shared" ref="BB809:BB827" si="574">AG809</f>
        <v>0</v>
      </c>
      <c r="BC809" s="49">
        <f t="shared" ref="BC809:BC827" si="575">AJ809</f>
        <v>0</v>
      </c>
      <c r="BD809" s="49">
        <f t="shared" si="571"/>
        <v>0</v>
      </c>
      <c r="BE809" s="49">
        <f t="shared" ref="BE809:BE825" si="576">SUM(BA809:BC809)</f>
        <v>0</v>
      </c>
      <c r="BF809" s="49">
        <f t="shared" si="563"/>
        <v>0</v>
      </c>
      <c r="BG809" s="49">
        <f t="shared" si="564"/>
        <v>0</v>
      </c>
      <c r="BI809" s="134">
        <f t="shared" ref="BI809:BI827" si="577">AD809</f>
        <v>0</v>
      </c>
      <c r="BJ809" s="134">
        <f t="shared" si="572"/>
        <v>0</v>
      </c>
      <c r="BK809" s="134">
        <f t="shared" ref="BK809:BK827" si="578">BJ809+BI809</f>
        <v>0</v>
      </c>
    </row>
    <row r="810" spans="1:63" hidden="1">
      <c r="A810" s="187"/>
      <c r="B810" s="2333"/>
      <c r="C810" s="2333"/>
      <c r="D810" s="2334" t="s">
        <v>811</v>
      </c>
      <c r="E810" s="2334"/>
      <c r="F810" s="2334"/>
      <c r="G810" s="2334"/>
      <c r="H810" s="2334"/>
      <c r="I810" s="2334"/>
      <c r="J810" s="2334"/>
      <c r="K810" s="2334"/>
      <c r="L810" s="2334"/>
      <c r="M810" s="2334"/>
      <c r="N810" s="2334"/>
      <c r="O810" s="2334"/>
      <c r="P810" s="2324"/>
      <c r="Q810" s="2324"/>
      <c r="R810" s="2325"/>
      <c r="S810" s="2324" t="s">
        <v>11</v>
      </c>
      <c r="T810" s="2324" t="s">
        <v>11</v>
      </c>
      <c r="U810" s="2326">
        <v>2</v>
      </c>
      <c r="V810" s="2327"/>
      <c r="W810" s="2327"/>
      <c r="X810" s="2327">
        <v>1</v>
      </c>
      <c r="Y810" s="2327"/>
      <c r="Z810" s="2327">
        <v>4</v>
      </c>
      <c r="AA810" s="2328"/>
      <c r="AB810" s="2329"/>
      <c r="AC810" s="2326"/>
      <c r="AD810" s="2330">
        <f t="shared" si="565"/>
        <v>0</v>
      </c>
      <c r="AE810" s="2330"/>
      <c r="AF810" s="2330"/>
      <c r="AG810" s="2330">
        <f t="shared" si="573"/>
        <v>0</v>
      </c>
      <c r="AH810" s="2330"/>
      <c r="AI810" s="2330"/>
      <c r="AJ810" s="2330">
        <f t="shared" si="566"/>
        <v>0</v>
      </c>
      <c r="AK810" s="2330"/>
      <c r="AL810" s="2330"/>
      <c r="AM810" s="2331">
        <f t="shared" si="567"/>
        <v>0</v>
      </c>
      <c r="AN810" s="2331"/>
      <c r="AO810" s="2331"/>
      <c r="AP810" s="2331"/>
      <c r="AQ810" s="2332">
        <f t="shared" si="568"/>
        <v>0</v>
      </c>
      <c r="AR810" s="2332"/>
      <c r="AS810" s="2332"/>
      <c r="AT810" s="2332">
        <f t="shared" si="569"/>
        <v>0</v>
      </c>
      <c r="AV810" s="151" t="str">
        <f t="shared" si="562"/>
        <v>HARDWOOD FLOORING</v>
      </c>
      <c r="AW810" s="681"/>
      <c r="AX810" s="230"/>
      <c r="AY810" s="230"/>
      <c r="AZ810" s="679"/>
      <c r="BA810" s="49">
        <f t="shared" si="570"/>
        <v>0</v>
      </c>
      <c r="BB810" s="49">
        <f t="shared" si="574"/>
        <v>0</v>
      </c>
      <c r="BC810" s="49">
        <f t="shared" si="575"/>
        <v>0</v>
      </c>
      <c r="BD810" s="49">
        <f t="shared" si="571"/>
        <v>0</v>
      </c>
      <c r="BE810" s="49">
        <f t="shared" si="576"/>
        <v>0</v>
      </c>
      <c r="BF810" s="49">
        <f t="shared" si="563"/>
        <v>0</v>
      </c>
      <c r="BG810" s="49">
        <f t="shared" si="564"/>
        <v>0</v>
      </c>
      <c r="BI810" s="134">
        <f t="shared" si="577"/>
        <v>0</v>
      </c>
      <c r="BJ810" s="134">
        <f t="shared" si="572"/>
        <v>0</v>
      </c>
      <c r="BK810" s="134">
        <f t="shared" si="578"/>
        <v>0</v>
      </c>
    </row>
    <row r="811" spans="1:63" hidden="1">
      <c r="A811" s="187"/>
      <c r="B811" s="2333"/>
      <c r="C811" s="2333"/>
      <c r="D811" s="2334" t="s">
        <v>812</v>
      </c>
      <c r="E811" s="2334"/>
      <c r="F811" s="2334"/>
      <c r="G811" s="2334"/>
      <c r="H811" s="2334"/>
      <c r="I811" s="2334"/>
      <c r="J811" s="2334"/>
      <c r="K811" s="2334"/>
      <c r="L811" s="2334"/>
      <c r="M811" s="2334"/>
      <c r="N811" s="2334"/>
      <c r="O811" s="2334"/>
      <c r="P811" s="2324"/>
      <c r="Q811" s="2324"/>
      <c r="R811" s="2325"/>
      <c r="S811" s="2324" t="s">
        <v>11</v>
      </c>
      <c r="T811" s="2324" t="s">
        <v>11</v>
      </c>
      <c r="U811" s="2326">
        <v>2</v>
      </c>
      <c r="V811" s="2327"/>
      <c r="W811" s="2327"/>
      <c r="X811" s="2327">
        <v>1.75</v>
      </c>
      <c r="Y811" s="2327"/>
      <c r="Z811" s="2327"/>
      <c r="AA811" s="2328"/>
      <c r="AB811" s="2329"/>
      <c r="AC811" s="2326"/>
      <c r="AD811" s="2330">
        <f t="shared" si="565"/>
        <v>0</v>
      </c>
      <c r="AE811" s="2330"/>
      <c r="AF811" s="2330"/>
      <c r="AG811" s="2330">
        <f t="shared" si="573"/>
        <v>0</v>
      </c>
      <c r="AH811" s="2330"/>
      <c r="AI811" s="2330"/>
      <c r="AJ811" s="2330">
        <f t="shared" si="566"/>
        <v>0</v>
      </c>
      <c r="AK811" s="2330"/>
      <c r="AL811" s="2330"/>
      <c r="AM811" s="2331">
        <f t="shared" si="567"/>
        <v>0</v>
      </c>
      <c r="AN811" s="2331"/>
      <c r="AO811" s="2331"/>
      <c r="AP811" s="2331"/>
      <c r="AQ811" s="2332">
        <f t="shared" si="568"/>
        <v>0</v>
      </c>
      <c r="AR811" s="2332"/>
      <c r="AS811" s="2332"/>
      <c r="AT811" s="2332">
        <f t="shared" si="569"/>
        <v>0</v>
      </c>
      <c r="AV811" s="151" t="str">
        <f t="shared" si="562"/>
        <v>HARDWOOD FLOORING</v>
      </c>
      <c r="AW811" s="681"/>
      <c r="AX811" s="230"/>
      <c r="AY811" s="230"/>
      <c r="AZ811" s="679"/>
      <c r="BA811" s="49">
        <f t="shared" si="570"/>
        <v>0</v>
      </c>
      <c r="BB811" s="49">
        <f t="shared" si="574"/>
        <v>0</v>
      </c>
      <c r="BC811" s="49">
        <f t="shared" si="575"/>
        <v>0</v>
      </c>
      <c r="BD811" s="49">
        <f t="shared" si="571"/>
        <v>0</v>
      </c>
      <c r="BE811" s="49">
        <f t="shared" si="576"/>
        <v>0</v>
      </c>
      <c r="BF811" s="49">
        <f t="shared" si="563"/>
        <v>0</v>
      </c>
      <c r="BG811" s="49">
        <f t="shared" si="564"/>
        <v>0</v>
      </c>
      <c r="BI811" s="134">
        <f t="shared" si="577"/>
        <v>0</v>
      </c>
      <c r="BJ811" s="134">
        <f t="shared" si="572"/>
        <v>0</v>
      </c>
      <c r="BK811" s="134">
        <f t="shared" si="578"/>
        <v>0</v>
      </c>
    </row>
    <row r="812" spans="1:63" hidden="1">
      <c r="A812" s="187"/>
      <c r="B812" s="2321"/>
      <c r="C812" s="2322"/>
      <c r="D812" s="2334" t="s">
        <v>813</v>
      </c>
      <c r="E812" s="2334"/>
      <c r="F812" s="2334"/>
      <c r="G812" s="2334"/>
      <c r="H812" s="2334"/>
      <c r="I812" s="2334"/>
      <c r="J812" s="2334"/>
      <c r="K812" s="2334"/>
      <c r="L812" s="2334"/>
      <c r="M812" s="2334"/>
      <c r="N812" s="2334"/>
      <c r="O812" s="2334"/>
      <c r="P812" s="2324"/>
      <c r="Q812" s="2324"/>
      <c r="R812" s="2325"/>
      <c r="S812" s="2324" t="s">
        <v>11</v>
      </c>
      <c r="T812" s="2324"/>
      <c r="U812" s="2326">
        <v>2</v>
      </c>
      <c r="V812" s="2327"/>
      <c r="W812" s="2327"/>
      <c r="X812" s="2327">
        <v>2.5</v>
      </c>
      <c r="Y812" s="2327"/>
      <c r="Z812" s="2327"/>
      <c r="AA812" s="2328"/>
      <c r="AB812" s="2329"/>
      <c r="AC812" s="2326"/>
      <c r="AD812" s="2330">
        <f t="shared" si="565"/>
        <v>0</v>
      </c>
      <c r="AE812" s="2330"/>
      <c r="AF812" s="2330"/>
      <c r="AG812" s="2330">
        <f t="shared" si="573"/>
        <v>0</v>
      </c>
      <c r="AH812" s="2330"/>
      <c r="AI812" s="2330"/>
      <c r="AJ812" s="2330">
        <f t="shared" si="566"/>
        <v>0</v>
      </c>
      <c r="AK812" s="2330"/>
      <c r="AL812" s="2330"/>
      <c r="AM812" s="2331">
        <f t="shared" si="567"/>
        <v>0</v>
      </c>
      <c r="AN812" s="2331"/>
      <c r="AO812" s="2331"/>
      <c r="AP812" s="2331"/>
      <c r="AQ812" s="2332">
        <f t="shared" si="568"/>
        <v>0</v>
      </c>
      <c r="AR812" s="2332"/>
      <c r="AS812" s="2332"/>
      <c r="AT812" s="2332">
        <f t="shared" si="569"/>
        <v>0</v>
      </c>
      <c r="AV812" s="151" t="str">
        <f t="shared" si="562"/>
        <v>HARDWOOD FLOORING</v>
      </c>
      <c r="AW812" s="681"/>
      <c r="AX812" s="230"/>
      <c r="AY812" s="230"/>
      <c r="AZ812" s="679"/>
      <c r="BA812" s="49">
        <f t="shared" si="570"/>
        <v>0</v>
      </c>
      <c r="BB812" s="49">
        <f t="shared" si="574"/>
        <v>0</v>
      </c>
      <c r="BC812" s="49">
        <f t="shared" si="575"/>
        <v>0</v>
      </c>
      <c r="BD812" s="49">
        <f t="shared" si="571"/>
        <v>0</v>
      </c>
      <c r="BE812" s="49">
        <f t="shared" si="576"/>
        <v>0</v>
      </c>
      <c r="BF812" s="49">
        <f t="shared" si="563"/>
        <v>0</v>
      </c>
      <c r="BG812" s="49">
        <f t="shared" si="564"/>
        <v>0</v>
      </c>
      <c r="BI812" s="134">
        <f t="shared" si="577"/>
        <v>0</v>
      </c>
      <c r="BJ812" s="134">
        <f t="shared" si="572"/>
        <v>0</v>
      </c>
      <c r="BK812" s="134">
        <f t="shared" si="578"/>
        <v>0</v>
      </c>
    </row>
    <row r="813" spans="1:63" hidden="1">
      <c r="A813" s="187"/>
      <c r="B813" s="2321"/>
      <c r="C813" s="2322"/>
      <c r="D813" s="2334"/>
      <c r="E813" s="2334"/>
      <c r="F813" s="2334"/>
      <c r="G813" s="2334"/>
      <c r="H813" s="2334"/>
      <c r="I813" s="2334"/>
      <c r="J813" s="2334"/>
      <c r="K813" s="2334"/>
      <c r="L813" s="2334"/>
      <c r="M813" s="2334"/>
      <c r="N813" s="2334"/>
      <c r="O813" s="2334"/>
      <c r="P813" s="2324"/>
      <c r="Q813" s="2324"/>
      <c r="R813" s="2325"/>
      <c r="S813" s="2324"/>
      <c r="T813" s="2324"/>
      <c r="U813" s="2326"/>
      <c r="V813" s="2327"/>
      <c r="W813" s="2327"/>
      <c r="X813" s="2327"/>
      <c r="Y813" s="2327"/>
      <c r="Z813" s="2327"/>
      <c r="AA813" s="2328"/>
      <c r="AB813" s="2329"/>
      <c r="AC813" s="2326"/>
      <c r="AD813" s="2330">
        <f t="shared" si="565"/>
        <v>0</v>
      </c>
      <c r="AE813" s="2330"/>
      <c r="AF813" s="2330"/>
      <c r="AG813" s="2330">
        <f t="shared" si="573"/>
        <v>0</v>
      </c>
      <c r="AH813" s="2330"/>
      <c r="AI813" s="2330"/>
      <c r="AJ813" s="2330">
        <f t="shared" si="566"/>
        <v>0</v>
      </c>
      <c r="AK813" s="2330"/>
      <c r="AL813" s="2330"/>
      <c r="AM813" s="2331">
        <f t="shared" si="567"/>
        <v>0</v>
      </c>
      <c r="AN813" s="2331"/>
      <c r="AO813" s="2331"/>
      <c r="AP813" s="2331"/>
      <c r="AQ813" s="2332">
        <f t="shared" si="568"/>
        <v>0</v>
      </c>
      <c r="AR813" s="2332"/>
      <c r="AS813" s="2332"/>
      <c r="AT813" s="2332">
        <f t="shared" si="569"/>
        <v>0</v>
      </c>
      <c r="AV813" s="151" t="str">
        <f t="shared" si="562"/>
        <v>HARDWOOD FLOORING</v>
      </c>
      <c r="AW813" s="681"/>
      <c r="AX813" s="230"/>
      <c r="AY813" s="230"/>
      <c r="AZ813" s="679"/>
      <c r="BA813" s="49">
        <f t="shared" si="570"/>
        <v>0</v>
      </c>
      <c r="BB813" s="49">
        <f t="shared" si="574"/>
        <v>0</v>
      </c>
      <c r="BC813" s="49">
        <f t="shared" si="575"/>
        <v>0</v>
      </c>
      <c r="BD813" s="49">
        <f t="shared" si="571"/>
        <v>0</v>
      </c>
      <c r="BE813" s="49">
        <f t="shared" si="576"/>
        <v>0</v>
      </c>
      <c r="BF813" s="49">
        <f t="shared" si="563"/>
        <v>0</v>
      </c>
      <c r="BG813" s="49">
        <f t="shared" si="564"/>
        <v>0</v>
      </c>
      <c r="BI813" s="134">
        <f t="shared" si="577"/>
        <v>0</v>
      </c>
      <c r="BJ813" s="134">
        <f t="shared" si="572"/>
        <v>0</v>
      </c>
      <c r="BK813" s="134">
        <f t="shared" si="578"/>
        <v>0</v>
      </c>
    </row>
    <row r="814" spans="1:63" hidden="1">
      <c r="A814" s="187"/>
      <c r="B814" s="2321"/>
      <c r="C814" s="2322"/>
      <c r="D814" s="2337" t="s">
        <v>231</v>
      </c>
      <c r="E814" s="2337"/>
      <c r="F814" s="2337"/>
      <c r="G814" s="2337"/>
      <c r="H814" s="2337"/>
      <c r="I814" s="2337"/>
      <c r="J814" s="2337"/>
      <c r="K814" s="2337"/>
      <c r="L814" s="2337"/>
      <c r="M814" s="2337"/>
      <c r="N814" s="2337"/>
      <c r="O814" s="2337"/>
      <c r="P814" s="2324"/>
      <c r="Q814" s="2324"/>
      <c r="R814" s="2325"/>
      <c r="S814" s="2324"/>
      <c r="T814" s="2324"/>
      <c r="U814" s="2326"/>
      <c r="V814" s="2327"/>
      <c r="W814" s="2327"/>
      <c r="X814" s="2327"/>
      <c r="Y814" s="2327"/>
      <c r="Z814" s="2327"/>
      <c r="AA814" s="2328"/>
      <c r="AB814" s="2329"/>
      <c r="AC814" s="2326"/>
      <c r="AD814" s="2330">
        <f t="shared" si="565"/>
        <v>0</v>
      </c>
      <c r="AE814" s="2330"/>
      <c r="AF814" s="2330"/>
      <c r="AG814" s="2330">
        <f t="shared" si="573"/>
        <v>0</v>
      </c>
      <c r="AH814" s="2330"/>
      <c r="AI814" s="2330"/>
      <c r="AJ814" s="2330">
        <f t="shared" si="566"/>
        <v>0</v>
      </c>
      <c r="AK814" s="2330"/>
      <c r="AL814" s="2330"/>
      <c r="AM814" s="2331">
        <f t="shared" si="567"/>
        <v>0</v>
      </c>
      <c r="AN814" s="2331"/>
      <c r="AO814" s="2331"/>
      <c r="AP814" s="2331"/>
      <c r="AQ814" s="2332">
        <f t="shared" si="568"/>
        <v>0</v>
      </c>
      <c r="AR814" s="2332"/>
      <c r="AS814" s="2332"/>
      <c r="AT814" s="2332">
        <f t="shared" si="569"/>
        <v>0</v>
      </c>
      <c r="AV814" s="151" t="str">
        <f t="shared" si="562"/>
        <v>HARDWOOD FLOORING</v>
      </c>
      <c r="AW814" s="681"/>
      <c r="AX814" s="230"/>
      <c r="AY814" s="230"/>
      <c r="AZ814" s="679"/>
      <c r="BA814" s="49">
        <f t="shared" si="570"/>
        <v>0</v>
      </c>
      <c r="BB814" s="49">
        <f t="shared" si="574"/>
        <v>0</v>
      </c>
      <c r="BC814" s="49">
        <f t="shared" si="575"/>
        <v>0</v>
      </c>
      <c r="BD814" s="49">
        <f t="shared" si="571"/>
        <v>0</v>
      </c>
      <c r="BE814" s="49">
        <f t="shared" si="576"/>
        <v>0</v>
      </c>
      <c r="BF814" s="49">
        <f t="shared" si="563"/>
        <v>0</v>
      </c>
      <c r="BG814" s="49">
        <f t="shared" si="564"/>
        <v>0</v>
      </c>
      <c r="BI814" s="134">
        <f t="shared" si="577"/>
        <v>0</v>
      </c>
      <c r="BJ814" s="134">
        <f t="shared" si="572"/>
        <v>0</v>
      </c>
      <c r="BK814" s="134">
        <f t="shared" si="578"/>
        <v>0</v>
      </c>
    </row>
    <row r="815" spans="1:63" hidden="1">
      <c r="A815" s="187"/>
      <c r="B815" s="2333"/>
      <c r="C815" s="2333"/>
      <c r="D815" s="2334" t="s">
        <v>815</v>
      </c>
      <c r="E815" s="2334"/>
      <c r="F815" s="2334"/>
      <c r="G815" s="2334"/>
      <c r="H815" s="2334"/>
      <c r="I815" s="2334"/>
      <c r="J815" s="2334"/>
      <c r="K815" s="2334"/>
      <c r="L815" s="2334"/>
      <c r="M815" s="2334"/>
      <c r="N815" s="2334"/>
      <c r="O815" s="2334"/>
      <c r="P815" s="2324"/>
      <c r="Q815" s="2324"/>
      <c r="R815" s="2325"/>
      <c r="S815" s="2324" t="s">
        <v>11</v>
      </c>
      <c r="T815" s="2324"/>
      <c r="U815" s="2326">
        <v>3</v>
      </c>
      <c r="V815" s="2327"/>
      <c r="W815" s="2327"/>
      <c r="X815" s="2327">
        <v>2.5</v>
      </c>
      <c r="Y815" s="2327"/>
      <c r="Z815" s="2327"/>
      <c r="AA815" s="2328"/>
      <c r="AB815" s="2329"/>
      <c r="AC815" s="2326"/>
      <c r="AD815" s="2330">
        <f t="shared" si="565"/>
        <v>0</v>
      </c>
      <c r="AE815" s="2330"/>
      <c r="AF815" s="2330"/>
      <c r="AG815" s="2330">
        <f t="shared" si="573"/>
        <v>0</v>
      </c>
      <c r="AH815" s="2330"/>
      <c r="AI815" s="2330"/>
      <c r="AJ815" s="2330">
        <f t="shared" si="566"/>
        <v>0</v>
      </c>
      <c r="AK815" s="2330"/>
      <c r="AL815" s="2330"/>
      <c r="AM815" s="2331">
        <f t="shared" si="567"/>
        <v>0</v>
      </c>
      <c r="AN815" s="2331"/>
      <c r="AO815" s="2331"/>
      <c r="AP815" s="2331"/>
      <c r="AQ815" s="2332">
        <f t="shared" si="568"/>
        <v>0</v>
      </c>
      <c r="AR815" s="2332"/>
      <c r="AS815" s="2332"/>
      <c r="AT815" s="2332">
        <f t="shared" si="569"/>
        <v>0</v>
      </c>
      <c r="AV815" s="151" t="str">
        <f t="shared" si="562"/>
        <v>HARDWOOD FLOORING</v>
      </c>
      <c r="AW815" s="681"/>
      <c r="AX815" s="230"/>
      <c r="AY815" s="230"/>
      <c r="AZ815" s="679"/>
      <c r="BA815" s="49">
        <f t="shared" si="570"/>
        <v>0</v>
      </c>
      <c r="BB815" s="49">
        <f t="shared" si="574"/>
        <v>0</v>
      </c>
      <c r="BC815" s="49">
        <f t="shared" si="575"/>
        <v>0</v>
      </c>
      <c r="BD815" s="49">
        <f t="shared" si="571"/>
        <v>0</v>
      </c>
      <c r="BE815" s="49">
        <f t="shared" si="576"/>
        <v>0</v>
      </c>
      <c r="BF815" s="49">
        <f t="shared" si="563"/>
        <v>0</v>
      </c>
      <c r="BG815" s="49">
        <f t="shared" si="564"/>
        <v>0</v>
      </c>
      <c r="BI815" s="134">
        <f t="shared" si="577"/>
        <v>0</v>
      </c>
      <c r="BJ815" s="134">
        <f t="shared" si="572"/>
        <v>0</v>
      </c>
      <c r="BK815" s="134">
        <f t="shared" si="578"/>
        <v>0</v>
      </c>
    </row>
    <row r="816" spans="1:63" hidden="1">
      <c r="A816" s="187"/>
      <c r="B816" s="2321"/>
      <c r="C816" s="2322"/>
      <c r="D816" s="2334" t="s">
        <v>816</v>
      </c>
      <c r="E816" s="2334"/>
      <c r="F816" s="2334"/>
      <c r="G816" s="2334"/>
      <c r="H816" s="2334"/>
      <c r="I816" s="2334"/>
      <c r="J816" s="2334"/>
      <c r="K816" s="2334"/>
      <c r="L816" s="2334"/>
      <c r="M816" s="2334"/>
      <c r="N816" s="2334"/>
      <c r="O816" s="2334"/>
      <c r="P816" s="2324"/>
      <c r="Q816" s="2324"/>
      <c r="R816" s="2325"/>
      <c r="S816" s="2324" t="s">
        <v>11</v>
      </c>
      <c r="T816" s="2324"/>
      <c r="U816" s="2326">
        <v>3</v>
      </c>
      <c r="V816" s="2327"/>
      <c r="W816" s="2327"/>
      <c r="X816" s="2327">
        <v>4</v>
      </c>
      <c r="Y816" s="2327"/>
      <c r="Z816" s="2327"/>
      <c r="AA816" s="2328"/>
      <c r="AB816" s="2329"/>
      <c r="AC816" s="2326"/>
      <c r="AD816" s="2330">
        <f t="shared" si="565"/>
        <v>0</v>
      </c>
      <c r="AE816" s="2330"/>
      <c r="AF816" s="2330"/>
      <c r="AG816" s="2330">
        <f t="shared" si="573"/>
        <v>0</v>
      </c>
      <c r="AH816" s="2330"/>
      <c r="AI816" s="2330"/>
      <c r="AJ816" s="2330">
        <f t="shared" si="566"/>
        <v>0</v>
      </c>
      <c r="AK816" s="2330"/>
      <c r="AL816" s="2330"/>
      <c r="AM816" s="2331">
        <f t="shared" si="567"/>
        <v>0</v>
      </c>
      <c r="AN816" s="2331"/>
      <c r="AO816" s="2331"/>
      <c r="AP816" s="2331"/>
      <c r="AQ816" s="2332">
        <f t="shared" si="568"/>
        <v>0</v>
      </c>
      <c r="AR816" s="2332"/>
      <c r="AS816" s="2332"/>
      <c r="AT816" s="2332">
        <f t="shared" si="569"/>
        <v>0</v>
      </c>
      <c r="AV816" s="151" t="str">
        <f t="shared" si="562"/>
        <v>HARDWOOD FLOORING</v>
      </c>
      <c r="AW816" s="681"/>
      <c r="AX816" s="230"/>
      <c r="AY816" s="230"/>
      <c r="AZ816" s="679"/>
      <c r="BA816" s="49">
        <f t="shared" si="570"/>
        <v>0</v>
      </c>
      <c r="BB816" s="49">
        <f t="shared" si="574"/>
        <v>0</v>
      </c>
      <c r="BC816" s="49">
        <f t="shared" si="575"/>
        <v>0</v>
      </c>
      <c r="BD816" s="49">
        <f t="shared" si="571"/>
        <v>0</v>
      </c>
      <c r="BE816" s="49">
        <f t="shared" si="576"/>
        <v>0</v>
      </c>
      <c r="BF816" s="49">
        <f t="shared" si="563"/>
        <v>0</v>
      </c>
      <c r="BG816" s="49">
        <f t="shared" si="564"/>
        <v>0</v>
      </c>
      <c r="BI816" s="134">
        <f t="shared" si="577"/>
        <v>0</v>
      </c>
      <c r="BJ816" s="134">
        <f t="shared" si="572"/>
        <v>0</v>
      </c>
      <c r="BK816" s="134">
        <f t="shared" si="578"/>
        <v>0</v>
      </c>
    </row>
    <row r="817" spans="1:63" hidden="1">
      <c r="A817" s="187"/>
      <c r="B817" s="2321"/>
      <c r="C817" s="2322"/>
      <c r="D817" s="2334" t="s">
        <v>817</v>
      </c>
      <c r="E817" s="2334"/>
      <c r="F817" s="2334"/>
      <c r="G817" s="2334"/>
      <c r="H817" s="2334"/>
      <c r="I817" s="2334"/>
      <c r="J817" s="2334"/>
      <c r="K817" s="2334"/>
      <c r="L817" s="2334"/>
      <c r="M817" s="2334"/>
      <c r="N817" s="2334"/>
      <c r="O817" s="2334"/>
      <c r="P817" s="2324"/>
      <c r="Q817" s="2324"/>
      <c r="R817" s="2325"/>
      <c r="S817" s="2324" t="s">
        <v>11</v>
      </c>
      <c r="T817" s="2324"/>
      <c r="U817" s="2326">
        <v>3</v>
      </c>
      <c r="V817" s="2327"/>
      <c r="W817" s="2327"/>
      <c r="X817" s="2327">
        <v>7</v>
      </c>
      <c r="Y817" s="2327"/>
      <c r="Z817" s="2327"/>
      <c r="AA817" s="2328"/>
      <c r="AB817" s="2329"/>
      <c r="AC817" s="2326"/>
      <c r="AD817" s="2330">
        <f t="shared" si="565"/>
        <v>0</v>
      </c>
      <c r="AE817" s="2330"/>
      <c r="AF817" s="2330"/>
      <c r="AG817" s="2330">
        <f t="shared" si="573"/>
        <v>0</v>
      </c>
      <c r="AH817" s="2330"/>
      <c r="AI817" s="2330"/>
      <c r="AJ817" s="2330">
        <f t="shared" si="566"/>
        <v>0</v>
      </c>
      <c r="AK817" s="2330"/>
      <c r="AL817" s="2330"/>
      <c r="AM817" s="2331">
        <f t="shared" si="567"/>
        <v>0</v>
      </c>
      <c r="AN817" s="2331"/>
      <c r="AO817" s="2331"/>
      <c r="AP817" s="2331"/>
      <c r="AQ817" s="2332">
        <f t="shared" si="568"/>
        <v>0</v>
      </c>
      <c r="AR817" s="2332"/>
      <c r="AS817" s="2332"/>
      <c r="AT817" s="2332">
        <f t="shared" si="569"/>
        <v>0</v>
      </c>
      <c r="AV817" s="151" t="str">
        <f t="shared" si="562"/>
        <v>HARDWOOD FLOORING</v>
      </c>
      <c r="AW817" s="681"/>
      <c r="AX817" s="230"/>
      <c r="AY817" s="230"/>
      <c r="AZ817" s="679"/>
      <c r="BA817" s="49">
        <f t="shared" si="570"/>
        <v>0</v>
      </c>
      <c r="BB817" s="49">
        <f t="shared" si="574"/>
        <v>0</v>
      </c>
      <c r="BC817" s="49">
        <f t="shared" si="575"/>
        <v>0</v>
      </c>
      <c r="BD817" s="49">
        <f t="shared" si="571"/>
        <v>0</v>
      </c>
      <c r="BE817" s="49">
        <f t="shared" si="576"/>
        <v>0</v>
      </c>
      <c r="BF817" s="49">
        <f t="shared" si="563"/>
        <v>0</v>
      </c>
      <c r="BG817" s="49">
        <f t="shared" si="564"/>
        <v>0</v>
      </c>
      <c r="BI817" s="134">
        <f t="shared" si="577"/>
        <v>0</v>
      </c>
      <c r="BJ817" s="134">
        <f t="shared" si="572"/>
        <v>0</v>
      </c>
      <c r="BK817" s="134">
        <f t="shared" si="578"/>
        <v>0</v>
      </c>
    </row>
    <row r="818" spans="1:63" hidden="1">
      <c r="A818" s="187"/>
      <c r="B818" s="2321"/>
      <c r="C818" s="2322"/>
      <c r="D818" s="2334"/>
      <c r="E818" s="2334"/>
      <c r="F818" s="2334"/>
      <c r="G818" s="2334"/>
      <c r="H818" s="2334"/>
      <c r="I818" s="2334"/>
      <c r="J818" s="2334"/>
      <c r="K818" s="2334"/>
      <c r="L818" s="2334"/>
      <c r="M818" s="2334"/>
      <c r="N818" s="2334"/>
      <c r="O818" s="2334"/>
      <c r="P818" s="2324"/>
      <c r="Q818" s="2324"/>
      <c r="R818" s="2325"/>
      <c r="S818" s="2324"/>
      <c r="T818" s="2324"/>
      <c r="U818" s="2326"/>
      <c r="V818" s="2327"/>
      <c r="W818" s="2327"/>
      <c r="X818" s="2327"/>
      <c r="Y818" s="2327"/>
      <c r="Z818" s="2327"/>
      <c r="AA818" s="2328"/>
      <c r="AB818" s="2329"/>
      <c r="AC818" s="2326"/>
      <c r="AD818" s="2330">
        <f t="shared" si="565"/>
        <v>0</v>
      </c>
      <c r="AE818" s="2330"/>
      <c r="AF818" s="2330"/>
      <c r="AG818" s="2330">
        <f t="shared" si="573"/>
        <v>0</v>
      </c>
      <c r="AH818" s="2330"/>
      <c r="AI818" s="2330"/>
      <c r="AJ818" s="2330">
        <f t="shared" si="566"/>
        <v>0</v>
      </c>
      <c r="AK818" s="2330"/>
      <c r="AL818" s="2330"/>
      <c r="AM818" s="2331">
        <f t="shared" si="567"/>
        <v>0</v>
      </c>
      <c r="AN818" s="2331"/>
      <c r="AO818" s="2331"/>
      <c r="AP818" s="2331"/>
      <c r="AQ818" s="2332">
        <f t="shared" si="568"/>
        <v>0</v>
      </c>
      <c r="AR818" s="2332"/>
      <c r="AS818" s="2332"/>
      <c r="AT818" s="2332">
        <f t="shared" si="569"/>
        <v>0</v>
      </c>
      <c r="AV818" s="151" t="str">
        <f t="shared" si="562"/>
        <v>HARDWOOD FLOORING</v>
      </c>
      <c r="AW818" s="681"/>
      <c r="AX818" s="230"/>
      <c r="AY818" s="230"/>
      <c r="AZ818" s="679"/>
      <c r="BA818" s="49">
        <f t="shared" si="570"/>
        <v>0</v>
      </c>
      <c r="BB818" s="49">
        <f t="shared" si="574"/>
        <v>0</v>
      </c>
      <c r="BC818" s="49">
        <f t="shared" si="575"/>
        <v>0</v>
      </c>
      <c r="BD818" s="49">
        <f t="shared" si="571"/>
        <v>0</v>
      </c>
      <c r="BE818" s="49">
        <f t="shared" si="576"/>
        <v>0</v>
      </c>
      <c r="BF818" s="49">
        <f t="shared" si="563"/>
        <v>0</v>
      </c>
      <c r="BG818" s="49">
        <f t="shared" si="564"/>
        <v>0</v>
      </c>
      <c r="BI818" s="134">
        <f t="shared" si="577"/>
        <v>0</v>
      </c>
      <c r="BJ818" s="134">
        <f t="shared" si="572"/>
        <v>0</v>
      </c>
      <c r="BK818" s="134">
        <f t="shared" si="578"/>
        <v>0</v>
      </c>
    </row>
    <row r="819" spans="1:63" hidden="1">
      <c r="A819" s="187"/>
      <c r="B819" s="2333"/>
      <c r="C819" s="2333"/>
      <c r="D819" s="2337" t="s">
        <v>818</v>
      </c>
      <c r="E819" s="2337"/>
      <c r="F819" s="2337"/>
      <c r="G819" s="2337"/>
      <c r="H819" s="2337"/>
      <c r="I819" s="2337"/>
      <c r="J819" s="2337"/>
      <c r="K819" s="2337"/>
      <c r="L819" s="2337"/>
      <c r="M819" s="2337"/>
      <c r="N819" s="2337"/>
      <c r="O819" s="2337"/>
      <c r="P819" s="2324"/>
      <c r="Q819" s="2324"/>
      <c r="R819" s="2325"/>
      <c r="S819" s="2324"/>
      <c r="T819" s="2324"/>
      <c r="U819" s="2326"/>
      <c r="V819" s="2327"/>
      <c r="W819" s="2327"/>
      <c r="X819" s="2327"/>
      <c r="Y819" s="2327"/>
      <c r="Z819" s="2327"/>
      <c r="AA819" s="2328"/>
      <c r="AB819" s="2329"/>
      <c r="AC819" s="2326"/>
      <c r="AD819" s="2330">
        <f t="shared" ref="AD819:AD824" si="579">((P819*U819)-AM819)</f>
        <v>0</v>
      </c>
      <c r="AE819" s="2330"/>
      <c r="AF819" s="2330"/>
      <c r="AG819" s="2330">
        <f t="shared" si="573"/>
        <v>0</v>
      </c>
      <c r="AH819" s="2330"/>
      <c r="AI819" s="2330"/>
      <c r="AJ819" s="2330">
        <f t="shared" ref="AJ819:AJ824" si="580">P819*AA819</f>
        <v>0</v>
      </c>
      <c r="AK819" s="2330"/>
      <c r="AL819" s="2330"/>
      <c r="AM819" s="2331">
        <f t="shared" ref="AM819:AM824" si="581">IF($B819="x",$P819*$U819,0)</f>
        <v>0</v>
      </c>
      <c r="AN819" s="2331"/>
      <c r="AO819" s="2331"/>
      <c r="AP819" s="2331"/>
      <c r="AQ819" s="2332">
        <f t="shared" si="568"/>
        <v>0</v>
      </c>
      <c r="AR819" s="2332"/>
      <c r="AS819" s="2332"/>
      <c r="AT819" s="2332">
        <f t="shared" si="569"/>
        <v>0</v>
      </c>
      <c r="AV819" s="151" t="str">
        <f t="shared" si="562"/>
        <v>HARDWOOD FLOORING</v>
      </c>
      <c r="AW819" s="681"/>
      <c r="AX819" s="230"/>
      <c r="AY819" s="230"/>
      <c r="AZ819" s="679"/>
      <c r="BA819" s="49">
        <f t="shared" si="570"/>
        <v>0</v>
      </c>
      <c r="BB819" s="49">
        <f t="shared" si="574"/>
        <v>0</v>
      </c>
      <c r="BC819" s="49">
        <f t="shared" si="575"/>
        <v>0</v>
      </c>
      <c r="BD819" s="49">
        <f t="shared" si="571"/>
        <v>0</v>
      </c>
      <c r="BE819" s="49">
        <f t="shared" si="576"/>
        <v>0</v>
      </c>
      <c r="BF819" s="49">
        <f t="shared" si="563"/>
        <v>0</v>
      </c>
      <c r="BG819" s="49">
        <f t="shared" si="564"/>
        <v>0</v>
      </c>
      <c r="BI819" s="134">
        <f t="shared" si="577"/>
        <v>0</v>
      </c>
      <c r="BJ819" s="134">
        <f t="shared" si="572"/>
        <v>0</v>
      </c>
      <c r="BK819" s="134">
        <f t="shared" si="578"/>
        <v>0</v>
      </c>
    </row>
    <row r="820" spans="1:63" hidden="1">
      <c r="A820" s="187"/>
      <c r="B820" s="2321"/>
      <c r="C820" s="2322"/>
      <c r="D820" s="2334" t="s">
        <v>819</v>
      </c>
      <c r="E820" s="2334"/>
      <c r="F820" s="2334"/>
      <c r="G820" s="2334"/>
      <c r="H820" s="2334"/>
      <c r="I820" s="2334"/>
      <c r="J820" s="2334"/>
      <c r="K820" s="2334"/>
      <c r="L820" s="2334"/>
      <c r="M820" s="2334"/>
      <c r="N820" s="2334"/>
      <c r="O820" s="2334"/>
      <c r="P820" s="2324"/>
      <c r="Q820" s="2324"/>
      <c r="R820" s="2325"/>
      <c r="S820" s="2324" t="s">
        <v>11</v>
      </c>
      <c r="T820" s="2324"/>
      <c r="U820" s="2326">
        <v>2.25</v>
      </c>
      <c r="V820" s="2327"/>
      <c r="W820" s="2327"/>
      <c r="X820" s="2327">
        <v>0.25</v>
      </c>
      <c r="Y820" s="2327"/>
      <c r="Z820" s="2327"/>
      <c r="AA820" s="2328"/>
      <c r="AB820" s="2329"/>
      <c r="AC820" s="2326"/>
      <c r="AD820" s="2330">
        <f t="shared" si="579"/>
        <v>0</v>
      </c>
      <c r="AE820" s="2330"/>
      <c r="AF820" s="2330"/>
      <c r="AG820" s="2330">
        <f t="shared" si="573"/>
        <v>0</v>
      </c>
      <c r="AH820" s="2330"/>
      <c r="AI820" s="2330"/>
      <c r="AJ820" s="2330">
        <f t="shared" si="580"/>
        <v>0</v>
      </c>
      <c r="AK820" s="2330"/>
      <c r="AL820" s="2330"/>
      <c r="AM820" s="2331">
        <f t="shared" si="581"/>
        <v>0</v>
      </c>
      <c r="AN820" s="2331"/>
      <c r="AO820" s="2331"/>
      <c r="AP820" s="2331"/>
      <c r="AQ820" s="2332">
        <f t="shared" si="568"/>
        <v>0</v>
      </c>
      <c r="AR820" s="2332"/>
      <c r="AS820" s="2332"/>
      <c r="AT820" s="2332">
        <f t="shared" si="569"/>
        <v>0</v>
      </c>
      <c r="AV820" s="151" t="str">
        <f t="shared" si="562"/>
        <v>HARDWOOD FLOORING</v>
      </c>
      <c r="AW820" s="681"/>
      <c r="AX820" s="230"/>
      <c r="AY820" s="230"/>
      <c r="AZ820" s="679"/>
      <c r="BA820" s="49">
        <f t="shared" si="570"/>
        <v>0</v>
      </c>
      <c r="BB820" s="49">
        <f t="shared" si="574"/>
        <v>0</v>
      </c>
      <c r="BC820" s="49">
        <f t="shared" si="575"/>
        <v>0</v>
      </c>
      <c r="BD820" s="49">
        <f t="shared" si="571"/>
        <v>0</v>
      </c>
      <c r="BE820" s="49">
        <f t="shared" si="576"/>
        <v>0</v>
      </c>
      <c r="BF820" s="49">
        <f t="shared" si="563"/>
        <v>0</v>
      </c>
      <c r="BG820" s="49">
        <f t="shared" si="564"/>
        <v>0</v>
      </c>
      <c r="BI820" s="134">
        <f t="shared" si="577"/>
        <v>0</v>
      </c>
      <c r="BJ820" s="134">
        <f t="shared" si="572"/>
        <v>0</v>
      </c>
      <c r="BK820" s="134">
        <f t="shared" si="578"/>
        <v>0</v>
      </c>
    </row>
    <row r="821" spans="1:63" hidden="1">
      <c r="A821" s="187"/>
      <c r="B821" s="2321"/>
      <c r="C821" s="2322"/>
      <c r="D821" s="2334" t="s">
        <v>820</v>
      </c>
      <c r="E821" s="2334"/>
      <c r="F821" s="2334"/>
      <c r="G821" s="2334"/>
      <c r="H821" s="2334"/>
      <c r="I821" s="2334"/>
      <c r="J821" s="2334"/>
      <c r="K821" s="2334"/>
      <c r="L821" s="2334"/>
      <c r="M821" s="2334"/>
      <c r="N821" s="2334"/>
      <c r="O821" s="2334"/>
      <c r="P821" s="2324"/>
      <c r="Q821" s="2324"/>
      <c r="R821" s="2325"/>
      <c r="S821" s="2324" t="s">
        <v>11</v>
      </c>
      <c r="T821" s="2324"/>
      <c r="U821" s="2326">
        <v>10</v>
      </c>
      <c r="V821" s="2327"/>
      <c r="W821" s="2327"/>
      <c r="X821" s="2327">
        <v>4</v>
      </c>
      <c r="Y821" s="2327"/>
      <c r="Z821" s="2327"/>
      <c r="AA821" s="2328"/>
      <c r="AB821" s="2329"/>
      <c r="AC821" s="2326"/>
      <c r="AD821" s="2330">
        <f t="shared" si="579"/>
        <v>0</v>
      </c>
      <c r="AE821" s="2330"/>
      <c r="AF821" s="2330"/>
      <c r="AG821" s="2330">
        <f t="shared" si="573"/>
        <v>0</v>
      </c>
      <c r="AH821" s="2330"/>
      <c r="AI821" s="2330"/>
      <c r="AJ821" s="2330">
        <f t="shared" si="580"/>
        <v>0</v>
      </c>
      <c r="AK821" s="2330"/>
      <c r="AL821" s="2330"/>
      <c r="AM821" s="2331">
        <f t="shared" si="581"/>
        <v>0</v>
      </c>
      <c r="AN821" s="2331"/>
      <c r="AO821" s="2331"/>
      <c r="AP821" s="2331"/>
      <c r="AQ821" s="2332">
        <f t="shared" si="568"/>
        <v>0</v>
      </c>
      <c r="AR821" s="2332"/>
      <c r="AS821" s="2332"/>
      <c r="AT821" s="2332">
        <f t="shared" si="569"/>
        <v>0</v>
      </c>
      <c r="AV821" s="151" t="str">
        <f t="shared" si="562"/>
        <v>HARDWOOD FLOORING</v>
      </c>
      <c r="AW821" s="681"/>
      <c r="AX821" s="230"/>
      <c r="AY821" s="230"/>
      <c r="AZ821" s="679"/>
      <c r="BA821" s="49">
        <f t="shared" si="570"/>
        <v>0</v>
      </c>
      <c r="BB821" s="49">
        <f t="shared" si="574"/>
        <v>0</v>
      </c>
      <c r="BC821" s="49">
        <f t="shared" si="575"/>
        <v>0</v>
      </c>
      <c r="BD821" s="49">
        <f t="shared" si="571"/>
        <v>0</v>
      </c>
      <c r="BE821" s="49">
        <f t="shared" si="576"/>
        <v>0</v>
      </c>
      <c r="BF821" s="49">
        <f t="shared" si="563"/>
        <v>0</v>
      </c>
      <c r="BG821" s="49">
        <f t="shared" si="564"/>
        <v>0</v>
      </c>
      <c r="BI821" s="134">
        <f t="shared" si="577"/>
        <v>0</v>
      </c>
      <c r="BJ821" s="134">
        <f t="shared" si="572"/>
        <v>0</v>
      </c>
      <c r="BK821" s="134">
        <f t="shared" si="578"/>
        <v>0</v>
      </c>
    </row>
    <row r="822" spans="1:63" hidden="1">
      <c r="A822" s="187"/>
      <c r="B822" s="2321"/>
      <c r="C822" s="2322"/>
      <c r="D822" s="2334"/>
      <c r="E822" s="2334"/>
      <c r="F822" s="2334"/>
      <c r="G822" s="2334"/>
      <c r="H822" s="2334"/>
      <c r="I822" s="2334"/>
      <c r="J822" s="2334"/>
      <c r="K822" s="2334"/>
      <c r="L822" s="2334"/>
      <c r="M822" s="2334"/>
      <c r="N822" s="2334"/>
      <c r="O822" s="2334"/>
      <c r="P822" s="2324"/>
      <c r="Q822" s="2324"/>
      <c r="R822" s="2325"/>
      <c r="S822" s="2324"/>
      <c r="T822" s="2324"/>
      <c r="U822" s="2326"/>
      <c r="V822" s="2327"/>
      <c r="W822" s="2327"/>
      <c r="X822" s="2327"/>
      <c r="Y822" s="2327"/>
      <c r="Z822" s="2327"/>
      <c r="AA822" s="2328"/>
      <c r="AB822" s="2329"/>
      <c r="AC822" s="2326"/>
      <c r="AD822" s="2330">
        <f t="shared" si="579"/>
        <v>0</v>
      </c>
      <c r="AE822" s="2330"/>
      <c r="AF822" s="2330"/>
      <c r="AG822" s="2330">
        <f t="shared" si="573"/>
        <v>0</v>
      </c>
      <c r="AH822" s="2330"/>
      <c r="AI822" s="2330"/>
      <c r="AJ822" s="2330">
        <f t="shared" si="580"/>
        <v>0</v>
      </c>
      <c r="AK822" s="2330"/>
      <c r="AL822" s="2330"/>
      <c r="AM822" s="2331">
        <f t="shared" si="581"/>
        <v>0</v>
      </c>
      <c r="AN822" s="2331"/>
      <c r="AO822" s="2331"/>
      <c r="AP822" s="2331"/>
      <c r="AQ822" s="2332">
        <f t="shared" si="568"/>
        <v>0</v>
      </c>
      <c r="AR822" s="2332"/>
      <c r="AS822" s="2332"/>
      <c r="AT822" s="2332">
        <f t="shared" si="569"/>
        <v>0</v>
      </c>
      <c r="AV822" s="151" t="str">
        <f t="shared" si="562"/>
        <v>HARDWOOD FLOORING</v>
      </c>
      <c r="AW822" s="681"/>
      <c r="AX822" s="230"/>
      <c r="AY822" s="230"/>
      <c r="AZ822" s="679"/>
      <c r="BA822" s="49">
        <f t="shared" si="570"/>
        <v>0</v>
      </c>
      <c r="BB822" s="49">
        <f t="shared" si="574"/>
        <v>0</v>
      </c>
      <c r="BC822" s="49">
        <f t="shared" si="575"/>
        <v>0</v>
      </c>
      <c r="BD822" s="49">
        <f t="shared" si="571"/>
        <v>0</v>
      </c>
      <c r="BE822" s="49">
        <f t="shared" si="576"/>
        <v>0</v>
      </c>
      <c r="BF822" s="49">
        <f t="shared" si="563"/>
        <v>0</v>
      </c>
      <c r="BG822" s="49">
        <f t="shared" si="564"/>
        <v>0</v>
      </c>
      <c r="BI822" s="134">
        <f t="shared" si="577"/>
        <v>0</v>
      </c>
      <c r="BJ822" s="134">
        <f t="shared" si="572"/>
        <v>0</v>
      </c>
      <c r="BK822" s="134">
        <f t="shared" si="578"/>
        <v>0</v>
      </c>
    </row>
    <row r="823" spans="1:63" hidden="1">
      <c r="A823" s="187"/>
      <c r="B823" s="2333"/>
      <c r="C823" s="2333"/>
      <c r="D823" s="2337" t="s">
        <v>821</v>
      </c>
      <c r="E823" s="2337"/>
      <c r="F823" s="2337"/>
      <c r="G823" s="2337"/>
      <c r="H823" s="2337"/>
      <c r="I823" s="2337"/>
      <c r="J823" s="2337"/>
      <c r="K823" s="2337"/>
      <c r="L823" s="2337"/>
      <c r="M823" s="2337"/>
      <c r="N823" s="2337"/>
      <c r="O823" s="2337"/>
      <c r="P823" s="2324"/>
      <c r="Q823" s="2324"/>
      <c r="R823" s="2325"/>
      <c r="S823" s="2324"/>
      <c r="T823" s="2324"/>
      <c r="U823" s="2326"/>
      <c r="V823" s="2327"/>
      <c r="W823" s="2327"/>
      <c r="X823" s="2327"/>
      <c r="Y823" s="2327"/>
      <c r="Z823" s="2327"/>
      <c r="AA823" s="2328"/>
      <c r="AB823" s="2329"/>
      <c r="AC823" s="2326"/>
      <c r="AD823" s="2330">
        <f t="shared" si="579"/>
        <v>0</v>
      </c>
      <c r="AE823" s="2330"/>
      <c r="AF823" s="2330"/>
      <c r="AG823" s="2330">
        <f t="shared" si="573"/>
        <v>0</v>
      </c>
      <c r="AH823" s="2330"/>
      <c r="AI823" s="2330"/>
      <c r="AJ823" s="2330">
        <f t="shared" si="580"/>
        <v>0</v>
      </c>
      <c r="AK823" s="2330"/>
      <c r="AL823" s="2330"/>
      <c r="AM823" s="2331">
        <f t="shared" si="581"/>
        <v>0</v>
      </c>
      <c r="AN823" s="2331"/>
      <c r="AO823" s="2331"/>
      <c r="AP823" s="2331"/>
      <c r="AQ823" s="2332">
        <f t="shared" si="568"/>
        <v>0</v>
      </c>
      <c r="AR823" s="2332"/>
      <c r="AS823" s="2332"/>
      <c r="AT823" s="2332">
        <f t="shared" si="569"/>
        <v>0</v>
      </c>
      <c r="AV823" s="151" t="str">
        <f t="shared" si="562"/>
        <v>HARDWOOD FLOORING</v>
      </c>
      <c r="AW823" s="681"/>
      <c r="AX823" s="230"/>
      <c r="AY823" s="230"/>
      <c r="AZ823" s="679"/>
      <c r="BA823" s="49">
        <f t="shared" si="570"/>
        <v>0</v>
      </c>
      <c r="BB823" s="49">
        <f t="shared" si="574"/>
        <v>0</v>
      </c>
      <c r="BC823" s="49">
        <f t="shared" si="575"/>
        <v>0</v>
      </c>
      <c r="BD823" s="49">
        <f t="shared" si="571"/>
        <v>0</v>
      </c>
      <c r="BE823" s="49">
        <f t="shared" si="576"/>
        <v>0</v>
      </c>
      <c r="BF823" s="49">
        <f t="shared" si="563"/>
        <v>0</v>
      </c>
      <c r="BG823" s="49">
        <f t="shared" si="564"/>
        <v>0</v>
      </c>
      <c r="BI823" s="134">
        <f t="shared" si="577"/>
        <v>0</v>
      </c>
      <c r="BJ823" s="134">
        <f t="shared" si="572"/>
        <v>0</v>
      </c>
      <c r="BK823" s="134">
        <f t="shared" si="578"/>
        <v>0</v>
      </c>
    </row>
    <row r="824" spans="1:63" hidden="1">
      <c r="A824" s="187"/>
      <c r="B824" s="2321"/>
      <c r="C824" s="2322"/>
      <c r="D824" s="2334" t="s">
        <v>823</v>
      </c>
      <c r="E824" s="2334"/>
      <c r="F824" s="2334"/>
      <c r="G824" s="2334"/>
      <c r="H824" s="2334"/>
      <c r="I824" s="2334"/>
      <c r="J824" s="2334"/>
      <c r="K824" s="2334"/>
      <c r="L824" s="2334"/>
      <c r="M824" s="2334"/>
      <c r="N824" s="2334"/>
      <c r="O824" s="2334"/>
      <c r="P824" s="2324"/>
      <c r="Q824" s="2324"/>
      <c r="R824" s="2325"/>
      <c r="S824" s="2324" t="s">
        <v>2</v>
      </c>
      <c r="T824" s="2324"/>
      <c r="U824" s="2326">
        <v>50</v>
      </c>
      <c r="V824" s="2327"/>
      <c r="W824" s="2327"/>
      <c r="X824" s="2327">
        <v>85</v>
      </c>
      <c r="Y824" s="2327"/>
      <c r="Z824" s="2327"/>
      <c r="AA824" s="2328"/>
      <c r="AB824" s="2329"/>
      <c r="AC824" s="2326"/>
      <c r="AD824" s="2330">
        <f t="shared" si="579"/>
        <v>0</v>
      </c>
      <c r="AE824" s="2330"/>
      <c r="AF824" s="2330"/>
      <c r="AG824" s="2330">
        <f t="shared" si="573"/>
        <v>0</v>
      </c>
      <c r="AH824" s="2330"/>
      <c r="AI824" s="2330"/>
      <c r="AJ824" s="2330">
        <f t="shared" si="580"/>
        <v>0</v>
      </c>
      <c r="AK824" s="2330"/>
      <c r="AL824" s="2330"/>
      <c r="AM824" s="2331">
        <f t="shared" si="581"/>
        <v>0</v>
      </c>
      <c r="AN824" s="2331"/>
      <c r="AO824" s="2331"/>
      <c r="AP824" s="2331"/>
      <c r="AQ824" s="2332">
        <f t="shared" si="568"/>
        <v>0</v>
      </c>
      <c r="AR824" s="2332"/>
      <c r="AS824" s="2332"/>
      <c r="AT824" s="2332">
        <f t="shared" si="569"/>
        <v>0</v>
      </c>
      <c r="AV824" s="151" t="str">
        <f t="shared" si="562"/>
        <v>HARDWOOD FLOORING</v>
      </c>
      <c r="AW824" s="681"/>
      <c r="AX824" s="230"/>
      <c r="AY824" s="230"/>
      <c r="AZ824" s="679"/>
      <c r="BA824" s="49">
        <f t="shared" si="570"/>
        <v>0</v>
      </c>
      <c r="BB824" s="49">
        <f t="shared" si="574"/>
        <v>0</v>
      </c>
      <c r="BC824" s="49">
        <f t="shared" si="575"/>
        <v>0</v>
      </c>
      <c r="BD824" s="49">
        <f t="shared" si="571"/>
        <v>0</v>
      </c>
      <c r="BE824" s="49">
        <f t="shared" si="576"/>
        <v>0</v>
      </c>
      <c r="BF824" s="49">
        <f t="shared" si="563"/>
        <v>0</v>
      </c>
      <c r="BG824" s="49">
        <f t="shared" si="564"/>
        <v>0</v>
      </c>
      <c r="BI824" s="134">
        <f t="shared" si="577"/>
        <v>0</v>
      </c>
      <c r="BJ824" s="134">
        <f t="shared" si="572"/>
        <v>0</v>
      </c>
      <c r="BK824" s="134">
        <f t="shared" si="578"/>
        <v>0</v>
      </c>
    </row>
    <row r="825" spans="1:63" hidden="1">
      <c r="A825" s="187"/>
      <c r="B825" s="2321"/>
      <c r="C825" s="2322"/>
      <c r="D825" s="2334" t="s">
        <v>822</v>
      </c>
      <c r="E825" s="2334"/>
      <c r="F825" s="2334"/>
      <c r="G825" s="2334"/>
      <c r="H825" s="2334"/>
      <c r="I825" s="2334"/>
      <c r="J825" s="2334"/>
      <c r="K825" s="2334"/>
      <c r="L825" s="2334"/>
      <c r="M825" s="2334"/>
      <c r="N825" s="2334"/>
      <c r="O825" s="2334"/>
      <c r="P825" s="2324"/>
      <c r="Q825" s="2324"/>
      <c r="R825" s="2325"/>
      <c r="S825" s="2324" t="s">
        <v>12</v>
      </c>
      <c r="T825" s="2324"/>
      <c r="U825" s="2326">
        <v>0.75</v>
      </c>
      <c r="V825" s="2327"/>
      <c r="W825" s="2327"/>
      <c r="X825" s="2327">
        <v>0.8</v>
      </c>
      <c r="Y825" s="2327"/>
      <c r="Z825" s="2327"/>
      <c r="AA825" s="2328"/>
      <c r="AB825" s="2329"/>
      <c r="AC825" s="2326"/>
      <c r="AD825" s="2330">
        <f t="shared" si="565"/>
        <v>0</v>
      </c>
      <c r="AE825" s="2330"/>
      <c r="AF825" s="2330"/>
      <c r="AG825" s="2330">
        <f t="shared" si="573"/>
        <v>0</v>
      </c>
      <c r="AH825" s="2330"/>
      <c r="AI825" s="2330"/>
      <c r="AJ825" s="2330">
        <f t="shared" si="566"/>
        <v>0</v>
      </c>
      <c r="AK825" s="2330"/>
      <c r="AL825" s="2330"/>
      <c r="AM825" s="2331">
        <f t="shared" si="567"/>
        <v>0</v>
      </c>
      <c r="AN825" s="2331"/>
      <c r="AO825" s="2331"/>
      <c r="AP825" s="2331"/>
      <c r="AQ825" s="2332">
        <f t="shared" si="568"/>
        <v>0</v>
      </c>
      <c r="AR825" s="2332"/>
      <c r="AS825" s="2332"/>
      <c r="AT825" s="2332">
        <f t="shared" si="569"/>
        <v>0</v>
      </c>
      <c r="AV825" s="151" t="str">
        <f t="shared" si="562"/>
        <v>HARDWOOD FLOORING</v>
      </c>
      <c r="AW825" s="681"/>
      <c r="AX825" s="230"/>
      <c r="AY825" s="230"/>
      <c r="AZ825" s="679"/>
      <c r="BA825" s="49">
        <f t="shared" si="570"/>
        <v>0</v>
      </c>
      <c r="BB825" s="49">
        <f t="shared" si="574"/>
        <v>0</v>
      </c>
      <c r="BC825" s="49">
        <f t="shared" si="575"/>
        <v>0</v>
      </c>
      <c r="BD825" s="49">
        <f t="shared" si="571"/>
        <v>0</v>
      </c>
      <c r="BE825" s="49">
        <f t="shared" si="576"/>
        <v>0</v>
      </c>
      <c r="BF825" s="49">
        <f t="shared" si="563"/>
        <v>0</v>
      </c>
      <c r="BG825" s="49">
        <f t="shared" si="564"/>
        <v>0</v>
      </c>
      <c r="BI825" s="134">
        <f t="shared" si="577"/>
        <v>0</v>
      </c>
      <c r="BJ825" s="134">
        <f t="shared" si="572"/>
        <v>0</v>
      </c>
      <c r="BK825" s="134">
        <f t="shared" si="578"/>
        <v>0</v>
      </c>
    </row>
    <row r="826" spans="1:63" hidden="1">
      <c r="A826" s="187"/>
      <c r="B826" s="2321"/>
      <c r="C826" s="2322"/>
      <c r="D826" s="2334" t="s">
        <v>232</v>
      </c>
      <c r="E826" s="2334"/>
      <c r="F826" s="2334"/>
      <c r="G826" s="2334"/>
      <c r="H826" s="2334"/>
      <c r="I826" s="2334"/>
      <c r="J826" s="2334"/>
      <c r="K826" s="2334"/>
      <c r="L826" s="2334"/>
      <c r="M826" s="2334"/>
      <c r="N826" s="2334"/>
      <c r="O826" s="2334"/>
      <c r="P826" s="2324"/>
      <c r="Q826" s="2324"/>
      <c r="R826" s="2325"/>
      <c r="S826" s="2324" t="s">
        <v>11</v>
      </c>
      <c r="T826" s="2324"/>
      <c r="U826" s="2326">
        <v>0.25</v>
      </c>
      <c r="V826" s="2327"/>
      <c r="W826" s="2327"/>
      <c r="X826" s="2327">
        <v>0.25</v>
      </c>
      <c r="Y826" s="2327"/>
      <c r="Z826" s="2327">
        <v>0.25</v>
      </c>
      <c r="AA826" s="2328"/>
      <c r="AB826" s="2329"/>
      <c r="AC826" s="2326"/>
      <c r="AD826" s="2330">
        <f t="shared" si="565"/>
        <v>0</v>
      </c>
      <c r="AE826" s="2330"/>
      <c r="AF826" s="2330"/>
      <c r="AG826" s="2330">
        <f t="shared" si="573"/>
        <v>0</v>
      </c>
      <c r="AH826" s="2330"/>
      <c r="AI826" s="2330"/>
      <c r="AJ826" s="2330">
        <f t="shared" si="566"/>
        <v>0</v>
      </c>
      <c r="AK826" s="2330"/>
      <c r="AL826" s="2330"/>
      <c r="AM826" s="2331">
        <f t="shared" si="567"/>
        <v>0</v>
      </c>
      <c r="AN826" s="2331"/>
      <c r="AO826" s="2331"/>
      <c r="AP826" s="2331"/>
      <c r="AQ826" s="2332">
        <f t="shared" si="568"/>
        <v>0</v>
      </c>
      <c r="AR826" s="2332"/>
      <c r="AS826" s="2332"/>
      <c r="AT826" s="2332">
        <f t="shared" si="569"/>
        <v>0</v>
      </c>
      <c r="AV826" s="151" t="str">
        <f t="shared" si="562"/>
        <v>HARDWOOD FLOORING</v>
      </c>
      <c r="AW826" s="681"/>
      <c r="AX826" s="230"/>
      <c r="AY826" s="230"/>
      <c r="AZ826" s="679"/>
      <c r="BA826" s="49">
        <f t="shared" si="570"/>
        <v>0</v>
      </c>
      <c r="BB826" s="49">
        <f t="shared" si="574"/>
        <v>0</v>
      </c>
      <c r="BC826" s="49">
        <f t="shared" si="575"/>
        <v>0</v>
      </c>
      <c r="BD826" s="49">
        <f t="shared" si="571"/>
        <v>0</v>
      </c>
      <c r="BE826" s="49">
        <f>SUM(BA826:BC826)</f>
        <v>0</v>
      </c>
      <c r="BF826" s="49">
        <f t="shared" si="563"/>
        <v>0</v>
      </c>
      <c r="BG826" s="49">
        <f t="shared" si="564"/>
        <v>0</v>
      </c>
      <c r="BI826" s="134">
        <f t="shared" si="577"/>
        <v>0</v>
      </c>
      <c r="BJ826" s="134">
        <f t="shared" si="572"/>
        <v>0</v>
      </c>
      <c r="BK826" s="134">
        <f t="shared" si="578"/>
        <v>0</v>
      </c>
    </row>
    <row r="827" spans="1:63" hidden="1">
      <c r="A827" s="187"/>
      <c r="B827" s="2333"/>
      <c r="C827" s="2333"/>
      <c r="D827" s="2334"/>
      <c r="E827" s="2334"/>
      <c r="F827" s="2334"/>
      <c r="G827" s="2334"/>
      <c r="H827" s="2334"/>
      <c r="I827" s="2334"/>
      <c r="J827" s="2334"/>
      <c r="K827" s="2334"/>
      <c r="L827" s="2334"/>
      <c r="M827" s="2334"/>
      <c r="N827" s="2334"/>
      <c r="O827" s="2334"/>
      <c r="P827" s="2324"/>
      <c r="Q827" s="2324"/>
      <c r="R827" s="2325"/>
      <c r="S827" s="2324"/>
      <c r="T827" s="2324"/>
      <c r="U827" s="2326"/>
      <c r="V827" s="2327"/>
      <c r="W827" s="2327"/>
      <c r="X827" s="2327"/>
      <c r="Y827" s="2327"/>
      <c r="Z827" s="2327"/>
      <c r="AA827" s="2328"/>
      <c r="AB827" s="2329"/>
      <c r="AC827" s="2326"/>
      <c r="AD827" s="2330">
        <f t="shared" si="565"/>
        <v>0</v>
      </c>
      <c r="AE827" s="2330"/>
      <c r="AF827" s="2330"/>
      <c r="AG827" s="2330">
        <f t="shared" si="573"/>
        <v>0</v>
      </c>
      <c r="AH827" s="2330"/>
      <c r="AI827" s="2330"/>
      <c r="AJ827" s="2330">
        <f t="shared" si="566"/>
        <v>0</v>
      </c>
      <c r="AK827" s="2330"/>
      <c r="AL827" s="2330"/>
      <c r="AM827" s="2331">
        <f t="shared" si="567"/>
        <v>0</v>
      </c>
      <c r="AN827" s="2331"/>
      <c r="AO827" s="2331"/>
      <c r="AP827" s="2331"/>
      <c r="AQ827" s="2332">
        <f t="shared" si="568"/>
        <v>0</v>
      </c>
      <c r="AR827" s="2332"/>
      <c r="AS827" s="2332"/>
      <c r="AT827" s="2332">
        <f t="shared" si="569"/>
        <v>0</v>
      </c>
      <c r="AV827" s="151" t="str">
        <f t="shared" si="562"/>
        <v>HARDWOOD FLOORING</v>
      </c>
      <c r="AW827" s="681"/>
      <c r="AX827" s="230"/>
      <c r="AY827" s="230"/>
      <c r="AZ827" s="679"/>
      <c r="BA827" s="49">
        <f t="shared" si="570"/>
        <v>0</v>
      </c>
      <c r="BB827" s="49">
        <f t="shared" si="574"/>
        <v>0</v>
      </c>
      <c r="BC827" s="49">
        <f t="shared" si="575"/>
        <v>0</v>
      </c>
      <c r="BD827" s="49">
        <f t="shared" si="571"/>
        <v>0</v>
      </c>
      <c r="BE827" s="49">
        <f>SUM(BA827:BC827)</f>
        <v>0</v>
      </c>
      <c r="BF827" s="49">
        <f t="shared" si="563"/>
        <v>0</v>
      </c>
      <c r="BG827" s="49">
        <f t="shared" si="564"/>
        <v>0</v>
      </c>
      <c r="BI827" s="134">
        <f t="shared" si="577"/>
        <v>0</v>
      </c>
      <c r="BJ827" s="134">
        <f t="shared" si="572"/>
        <v>0</v>
      </c>
      <c r="BK827" s="134">
        <f t="shared" si="578"/>
        <v>0</v>
      </c>
    </row>
    <row r="828" spans="1:63" hidden="1">
      <c r="A828" s="187"/>
      <c r="B828" s="2321"/>
      <c r="C828" s="2322"/>
      <c r="D828" s="2334"/>
      <c r="E828" s="2334"/>
      <c r="F828" s="2334"/>
      <c r="G828" s="2334"/>
      <c r="H828" s="2334"/>
      <c r="I828" s="2334"/>
      <c r="J828" s="2334"/>
      <c r="K828" s="2334"/>
      <c r="L828" s="2334"/>
      <c r="M828" s="2334"/>
      <c r="N828" s="2334"/>
      <c r="O828" s="2334"/>
      <c r="P828" s="2324"/>
      <c r="Q828" s="2324"/>
      <c r="R828" s="2325"/>
      <c r="S828" s="2324"/>
      <c r="T828" s="2324"/>
      <c r="U828" s="2326"/>
      <c r="V828" s="2327"/>
      <c r="W828" s="2327"/>
      <c r="X828" s="2327"/>
      <c r="Y828" s="2327"/>
      <c r="Z828" s="2327"/>
      <c r="AA828" s="2328"/>
      <c r="AB828" s="2329"/>
      <c r="AC828" s="2326"/>
      <c r="AD828" s="2330">
        <f t="shared" ref="AD828:AD847" si="582">((P828*U828)-AM828)</f>
        <v>0</v>
      </c>
      <c r="AE828" s="2330"/>
      <c r="AF828" s="2330"/>
      <c r="AG828" s="2330">
        <f t="shared" si="573"/>
        <v>0</v>
      </c>
      <c r="AH828" s="2330"/>
      <c r="AI828" s="2330"/>
      <c r="AJ828" s="2330">
        <f t="shared" ref="AJ828:AJ847" si="583">P828*AA828</f>
        <v>0</v>
      </c>
      <c r="AK828" s="2330"/>
      <c r="AL828" s="2330"/>
      <c r="AM828" s="2331">
        <f t="shared" si="567"/>
        <v>0</v>
      </c>
      <c r="AN828" s="2331"/>
      <c r="AO828" s="2331"/>
      <c r="AP828" s="2331"/>
      <c r="AQ828" s="2332">
        <f t="shared" ref="AQ828:AQ847" si="584">SUM(AD828:AL828)</f>
        <v>0</v>
      </c>
      <c r="AR828" s="2332"/>
      <c r="AS828" s="2332"/>
      <c r="AT828" s="2332">
        <f t="shared" ref="AT828:AT847" si="585">SUM(AD828:AL828)</f>
        <v>0</v>
      </c>
      <c r="AV828" s="151" t="str">
        <f t="shared" si="562"/>
        <v>HARDWOOD FLOORING</v>
      </c>
      <c r="AW828" s="681"/>
      <c r="AX828" s="230"/>
      <c r="AY828" s="230"/>
      <c r="AZ828" s="679"/>
      <c r="BA828" s="49">
        <f t="shared" ref="BA828:BA847" si="586">AD828</f>
        <v>0</v>
      </c>
      <c r="BB828" s="49">
        <f>AG828</f>
        <v>0</v>
      </c>
      <c r="BC828" s="49">
        <f>AJ828</f>
        <v>0</v>
      </c>
      <c r="BD828" s="49">
        <f t="shared" ref="BD828:BD847" si="587">IF(B828="x",1,0)</f>
        <v>0</v>
      </c>
      <c r="BE828" s="49">
        <f>SUM(BA828:BC828)</f>
        <v>0</v>
      </c>
      <c r="BF828" s="49">
        <f t="shared" ref="BF828:BF847" si="588">AQ828</f>
        <v>0</v>
      </c>
      <c r="BG828" s="49">
        <f t="shared" ref="BG828:BG847" si="589">AM828</f>
        <v>0</v>
      </c>
      <c r="BI828" s="134">
        <f>AD828</f>
        <v>0</v>
      </c>
      <c r="BJ828" s="134">
        <f t="shared" ref="BJ828:BJ847" si="590">AM828</f>
        <v>0</v>
      </c>
      <c r="BK828" s="134">
        <f>BJ828+BI828</f>
        <v>0</v>
      </c>
    </row>
    <row r="829" spans="1:63" hidden="1">
      <c r="A829" s="187"/>
      <c r="B829" s="2321"/>
      <c r="C829" s="2322"/>
      <c r="D829" s="2334"/>
      <c r="E829" s="2334"/>
      <c r="F829" s="2334"/>
      <c r="G829" s="2334"/>
      <c r="H829" s="2334"/>
      <c r="I829" s="2334"/>
      <c r="J829" s="2334"/>
      <c r="K829" s="2334"/>
      <c r="L829" s="2334"/>
      <c r="M829" s="2334"/>
      <c r="N829" s="2334"/>
      <c r="O829" s="2334"/>
      <c r="P829" s="2324"/>
      <c r="Q829" s="2324"/>
      <c r="R829" s="2325"/>
      <c r="S829" s="2324"/>
      <c r="T829" s="2324"/>
      <c r="U829" s="2326"/>
      <c r="V829" s="2327"/>
      <c r="W829" s="2327"/>
      <c r="X829" s="2327"/>
      <c r="Y829" s="2327"/>
      <c r="Z829" s="2327"/>
      <c r="AA829" s="2328"/>
      <c r="AB829" s="2329"/>
      <c r="AC829" s="2326"/>
      <c r="AD829" s="2330">
        <f t="shared" si="582"/>
        <v>0</v>
      </c>
      <c r="AE829" s="2330"/>
      <c r="AF829" s="2330"/>
      <c r="AG829" s="2330">
        <f t="shared" si="573"/>
        <v>0</v>
      </c>
      <c r="AH829" s="2330"/>
      <c r="AI829" s="2330"/>
      <c r="AJ829" s="2330">
        <f t="shared" si="583"/>
        <v>0</v>
      </c>
      <c r="AK829" s="2330"/>
      <c r="AL829" s="2330"/>
      <c r="AM829" s="2331">
        <f t="shared" si="567"/>
        <v>0</v>
      </c>
      <c r="AN829" s="2331"/>
      <c r="AO829" s="2331"/>
      <c r="AP829" s="2331"/>
      <c r="AQ829" s="2332">
        <f t="shared" si="584"/>
        <v>0</v>
      </c>
      <c r="AR829" s="2332"/>
      <c r="AS829" s="2332"/>
      <c r="AT829" s="2332">
        <f t="shared" si="585"/>
        <v>0</v>
      </c>
      <c r="AV829" s="151" t="str">
        <f t="shared" si="562"/>
        <v>HARDWOOD FLOORING</v>
      </c>
      <c r="AW829" s="681"/>
      <c r="AX829" s="230"/>
      <c r="AY829" s="230"/>
      <c r="AZ829" s="679"/>
      <c r="BA829" s="49">
        <f t="shared" si="586"/>
        <v>0</v>
      </c>
      <c r="BB829" s="49">
        <f t="shared" ref="BB829:BB847" si="591">AG829</f>
        <v>0</v>
      </c>
      <c r="BC829" s="49">
        <f t="shared" ref="BC829:BC847" si="592">AJ829</f>
        <v>0</v>
      </c>
      <c r="BD829" s="49">
        <f t="shared" si="587"/>
        <v>0</v>
      </c>
      <c r="BE829" s="49">
        <f t="shared" ref="BE829:BE845" si="593">SUM(BA829:BC829)</f>
        <v>0</v>
      </c>
      <c r="BF829" s="49">
        <f t="shared" si="588"/>
        <v>0</v>
      </c>
      <c r="BG829" s="49">
        <f t="shared" si="589"/>
        <v>0</v>
      </c>
      <c r="BI829" s="134">
        <f t="shared" ref="BI829:BI847" si="594">AD829</f>
        <v>0</v>
      </c>
      <c r="BJ829" s="134">
        <f t="shared" si="590"/>
        <v>0</v>
      </c>
      <c r="BK829" s="134">
        <f t="shared" ref="BK829:BK847" si="595">BJ829+BI829</f>
        <v>0</v>
      </c>
    </row>
    <row r="830" spans="1:63" hidden="1">
      <c r="A830" s="187"/>
      <c r="B830" s="2333"/>
      <c r="C830" s="2333"/>
      <c r="D830" s="2334"/>
      <c r="E830" s="2334"/>
      <c r="F830" s="2334"/>
      <c r="G830" s="2334"/>
      <c r="H830" s="2334"/>
      <c r="I830" s="2334"/>
      <c r="J830" s="2334"/>
      <c r="K830" s="2334"/>
      <c r="L830" s="2334"/>
      <c r="M830" s="2334"/>
      <c r="N830" s="2334"/>
      <c r="O830" s="2334"/>
      <c r="P830" s="2324"/>
      <c r="Q830" s="2324"/>
      <c r="R830" s="2325"/>
      <c r="S830" s="2324"/>
      <c r="T830" s="2324"/>
      <c r="U830" s="2326"/>
      <c r="V830" s="2327"/>
      <c r="W830" s="2327"/>
      <c r="X830" s="2327"/>
      <c r="Y830" s="2327"/>
      <c r="Z830" s="2327"/>
      <c r="AA830" s="2328"/>
      <c r="AB830" s="2329"/>
      <c r="AC830" s="2326"/>
      <c r="AD830" s="2330">
        <f t="shared" si="582"/>
        <v>0</v>
      </c>
      <c r="AE830" s="2330"/>
      <c r="AF830" s="2330"/>
      <c r="AG830" s="2330">
        <f t="shared" si="573"/>
        <v>0</v>
      </c>
      <c r="AH830" s="2330"/>
      <c r="AI830" s="2330"/>
      <c r="AJ830" s="2330">
        <f t="shared" si="583"/>
        <v>0</v>
      </c>
      <c r="AK830" s="2330"/>
      <c r="AL830" s="2330"/>
      <c r="AM830" s="2331">
        <f t="shared" si="567"/>
        <v>0</v>
      </c>
      <c r="AN830" s="2331"/>
      <c r="AO830" s="2331"/>
      <c r="AP830" s="2331"/>
      <c r="AQ830" s="2332">
        <f t="shared" si="584"/>
        <v>0</v>
      </c>
      <c r="AR830" s="2332"/>
      <c r="AS830" s="2332"/>
      <c r="AT830" s="2332">
        <f t="shared" si="585"/>
        <v>0</v>
      </c>
      <c r="AV830" s="151" t="str">
        <f t="shared" si="562"/>
        <v>HARDWOOD FLOORING</v>
      </c>
      <c r="AW830" s="681"/>
      <c r="AX830" s="230"/>
      <c r="AY830" s="230"/>
      <c r="AZ830" s="679"/>
      <c r="BA830" s="49">
        <f t="shared" si="586"/>
        <v>0</v>
      </c>
      <c r="BB830" s="49">
        <f t="shared" si="591"/>
        <v>0</v>
      </c>
      <c r="BC830" s="49">
        <f t="shared" si="592"/>
        <v>0</v>
      </c>
      <c r="BD830" s="49">
        <f t="shared" si="587"/>
        <v>0</v>
      </c>
      <c r="BE830" s="49">
        <f t="shared" si="593"/>
        <v>0</v>
      </c>
      <c r="BF830" s="49">
        <f t="shared" si="588"/>
        <v>0</v>
      </c>
      <c r="BG830" s="49">
        <f t="shared" si="589"/>
        <v>0</v>
      </c>
      <c r="BI830" s="134">
        <f t="shared" si="594"/>
        <v>0</v>
      </c>
      <c r="BJ830" s="134">
        <f t="shared" si="590"/>
        <v>0</v>
      </c>
      <c r="BK830" s="134">
        <f t="shared" si="595"/>
        <v>0</v>
      </c>
    </row>
    <row r="831" spans="1:63" hidden="1">
      <c r="A831" s="187"/>
      <c r="B831" s="2333"/>
      <c r="C831" s="2333"/>
      <c r="D831" s="2334"/>
      <c r="E831" s="2334"/>
      <c r="F831" s="2334"/>
      <c r="G831" s="2334"/>
      <c r="H831" s="2334"/>
      <c r="I831" s="2334"/>
      <c r="J831" s="2334"/>
      <c r="K831" s="2334"/>
      <c r="L831" s="2334"/>
      <c r="M831" s="2334"/>
      <c r="N831" s="2334"/>
      <c r="O831" s="2334"/>
      <c r="P831" s="2324"/>
      <c r="Q831" s="2324"/>
      <c r="R831" s="2325"/>
      <c r="S831" s="2324"/>
      <c r="T831" s="2324"/>
      <c r="U831" s="2326"/>
      <c r="V831" s="2327"/>
      <c r="W831" s="2327"/>
      <c r="X831" s="2327"/>
      <c r="Y831" s="2327"/>
      <c r="Z831" s="2327"/>
      <c r="AA831" s="2328"/>
      <c r="AB831" s="2329"/>
      <c r="AC831" s="2326"/>
      <c r="AD831" s="2330">
        <f t="shared" si="582"/>
        <v>0</v>
      </c>
      <c r="AE831" s="2330"/>
      <c r="AF831" s="2330"/>
      <c r="AG831" s="2330">
        <f t="shared" si="573"/>
        <v>0</v>
      </c>
      <c r="AH831" s="2330"/>
      <c r="AI831" s="2330"/>
      <c r="AJ831" s="2330">
        <f t="shared" si="583"/>
        <v>0</v>
      </c>
      <c r="AK831" s="2330"/>
      <c r="AL831" s="2330"/>
      <c r="AM831" s="2331">
        <f t="shared" si="567"/>
        <v>0</v>
      </c>
      <c r="AN831" s="2331"/>
      <c r="AO831" s="2331"/>
      <c r="AP831" s="2331"/>
      <c r="AQ831" s="2332">
        <f t="shared" si="584"/>
        <v>0</v>
      </c>
      <c r="AR831" s="2332"/>
      <c r="AS831" s="2332"/>
      <c r="AT831" s="2332">
        <f t="shared" si="585"/>
        <v>0</v>
      </c>
      <c r="AV831" s="151" t="str">
        <f t="shared" si="562"/>
        <v>HARDWOOD FLOORING</v>
      </c>
      <c r="AW831" s="681"/>
      <c r="AX831" s="230"/>
      <c r="AY831" s="230"/>
      <c r="AZ831" s="679"/>
      <c r="BA831" s="49">
        <f t="shared" si="586"/>
        <v>0</v>
      </c>
      <c r="BB831" s="49">
        <f t="shared" si="591"/>
        <v>0</v>
      </c>
      <c r="BC831" s="49">
        <f t="shared" si="592"/>
        <v>0</v>
      </c>
      <c r="BD831" s="49">
        <f t="shared" si="587"/>
        <v>0</v>
      </c>
      <c r="BE831" s="49">
        <f t="shared" si="593"/>
        <v>0</v>
      </c>
      <c r="BF831" s="49">
        <f t="shared" si="588"/>
        <v>0</v>
      </c>
      <c r="BG831" s="49">
        <f t="shared" si="589"/>
        <v>0</v>
      </c>
      <c r="BI831" s="134">
        <f t="shared" si="594"/>
        <v>0</v>
      </c>
      <c r="BJ831" s="134">
        <f t="shared" si="590"/>
        <v>0</v>
      </c>
      <c r="BK831" s="134">
        <f t="shared" si="595"/>
        <v>0</v>
      </c>
    </row>
    <row r="832" spans="1:63" hidden="1">
      <c r="A832" s="187"/>
      <c r="B832" s="2321"/>
      <c r="C832" s="2322"/>
      <c r="D832" s="2334"/>
      <c r="E832" s="2334"/>
      <c r="F832" s="2334"/>
      <c r="G832" s="2334"/>
      <c r="H832" s="2334"/>
      <c r="I832" s="2334"/>
      <c r="J832" s="2334"/>
      <c r="K832" s="2334"/>
      <c r="L832" s="2334"/>
      <c r="M832" s="2334"/>
      <c r="N832" s="2334"/>
      <c r="O832" s="2334"/>
      <c r="P832" s="2324"/>
      <c r="Q832" s="2324"/>
      <c r="R832" s="2325"/>
      <c r="S832" s="2324"/>
      <c r="T832" s="2324"/>
      <c r="U832" s="2326"/>
      <c r="V832" s="2327"/>
      <c r="W832" s="2327"/>
      <c r="X832" s="2327"/>
      <c r="Y832" s="2327"/>
      <c r="Z832" s="2327"/>
      <c r="AA832" s="2328"/>
      <c r="AB832" s="2329"/>
      <c r="AC832" s="2326"/>
      <c r="AD832" s="2330">
        <f t="shared" si="582"/>
        <v>0</v>
      </c>
      <c r="AE832" s="2330"/>
      <c r="AF832" s="2330"/>
      <c r="AG832" s="2330">
        <f t="shared" si="573"/>
        <v>0</v>
      </c>
      <c r="AH832" s="2330"/>
      <c r="AI832" s="2330"/>
      <c r="AJ832" s="2330">
        <f t="shared" si="583"/>
        <v>0</v>
      </c>
      <c r="AK832" s="2330"/>
      <c r="AL832" s="2330"/>
      <c r="AM832" s="2331">
        <f t="shared" si="567"/>
        <v>0</v>
      </c>
      <c r="AN832" s="2331"/>
      <c r="AO832" s="2331"/>
      <c r="AP832" s="2331"/>
      <c r="AQ832" s="2332">
        <f t="shared" si="584"/>
        <v>0</v>
      </c>
      <c r="AR832" s="2332"/>
      <c r="AS832" s="2332"/>
      <c r="AT832" s="2332">
        <f t="shared" si="585"/>
        <v>0</v>
      </c>
      <c r="AV832" s="151" t="str">
        <f t="shared" si="562"/>
        <v>HARDWOOD FLOORING</v>
      </c>
      <c r="AW832" s="681"/>
      <c r="AX832" s="230"/>
      <c r="AY832" s="230"/>
      <c r="AZ832" s="679"/>
      <c r="BA832" s="49">
        <f t="shared" si="586"/>
        <v>0</v>
      </c>
      <c r="BB832" s="49">
        <f t="shared" si="591"/>
        <v>0</v>
      </c>
      <c r="BC832" s="49">
        <f t="shared" si="592"/>
        <v>0</v>
      </c>
      <c r="BD832" s="49">
        <f t="shared" si="587"/>
        <v>0</v>
      </c>
      <c r="BE832" s="49">
        <f t="shared" si="593"/>
        <v>0</v>
      </c>
      <c r="BF832" s="49">
        <f t="shared" si="588"/>
        <v>0</v>
      </c>
      <c r="BG832" s="49">
        <f t="shared" si="589"/>
        <v>0</v>
      </c>
      <c r="BI832" s="134">
        <f t="shared" si="594"/>
        <v>0</v>
      </c>
      <c r="BJ832" s="134">
        <f t="shared" si="590"/>
        <v>0</v>
      </c>
      <c r="BK832" s="134">
        <f t="shared" si="595"/>
        <v>0</v>
      </c>
    </row>
    <row r="833" spans="1:63" hidden="1">
      <c r="A833" s="187"/>
      <c r="B833" s="2321"/>
      <c r="C833" s="2322"/>
      <c r="D833" s="2334"/>
      <c r="E833" s="2334"/>
      <c r="F833" s="2334"/>
      <c r="G833" s="2334"/>
      <c r="H833" s="2334"/>
      <c r="I833" s="2334"/>
      <c r="J833" s="2334"/>
      <c r="K833" s="2334"/>
      <c r="L833" s="2334"/>
      <c r="M833" s="2334"/>
      <c r="N833" s="2334"/>
      <c r="O833" s="2334"/>
      <c r="P833" s="2324"/>
      <c r="Q833" s="2324"/>
      <c r="R833" s="2325"/>
      <c r="S833" s="2324"/>
      <c r="T833" s="2324"/>
      <c r="U833" s="2326"/>
      <c r="V833" s="2327"/>
      <c r="W833" s="2327"/>
      <c r="X833" s="2327"/>
      <c r="Y833" s="2327"/>
      <c r="Z833" s="2327"/>
      <c r="AA833" s="2328"/>
      <c r="AB833" s="2329"/>
      <c r="AC833" s="2326"/>
      <c r="AD833" s="2330">
        <f t="shared" si="582"/>
        <v>0</v>
      </c>
      <c r="AE833" s="2330"/>
      <c r="AF833" s="2330"/>
      <c r="AG833" s="2330">
        <f t="shared" si="573"/>
        <v>0</v>
      </c>
      <c r="AH833" s="2330"/>
      <c r="AI833" s="2330"/>
      <c r="AJ833" s="2330">
        <f t="shared" si="583"/>
        <v>0</v>
      </c>
      <c r="AK833" s="2330"/>
      <c r="AL833" s="2330"/>
      <c r="AM833" s="2331">
        <f t="shared" si="567"/>
        <v>0</v>
      </c>
      <c r="AN833" s="2331"/>
      <c r="AO833" s="2331"/>
      <c r="AP833" s="2331"/>
      <c r="AQ833" s="2332">
        <f t="shared" si="584"/>
        <v>0</v>
      </c>
      <c r="AR833" s="2332"/>
      <c r="AS833" s="2332"/>
      <c r="AT833" s="2332">
        <f t="shared" si="585"/>
        <v>0</v>
      </c>
      <c r="AV833" s="151" t="str">
        <f t="shared" si="562"/>
        <v>HARDWOOD FLOORING</v>
      </c>
      <c r="AW833" s="681"/>
      <c r="AX833" s="230"/>
      <c r="AY833" s="230"/>
      <c r="AZ833" s="679"/>
      <c r="BA833" s="49">
        <f t="shared" si="586"/>
        <v>0</v>
      </c>
      <c r="BB833" s="49">
        <f t="shared" si="591"/>
        <v>0</v>
      </c>
      <c r="BC833" s="49">
        <f t="shared" si="592"/>
        <v>0</v>
      </c>
      <c r="BD833" s="49">
        <f t="shared" si="587"/>
        <v>0</v>
      </c>
      <c r="BE833" s="49">
        <f t="shared" si="593"/>
        <v>0</v>
      </c>
      <c r="BF833" s="49">
        <f t="shared" si="588"/>
        <v>0</v>
      </c>
      <c r="BG833" s="49">
        <f t="shared" si="589"/>
        <v>0</v>
      </c>
      <c r="BI833" s="134">
        <f t="shared" si="594"/>
        <v>0</v>
      </c>
      <c r="BJ833" s="134">
        <f t="shared" si="590"/>
        <v>0</v>
      </c>
      <c r="BK833" s="134">
        <f t="shared" si="595"/>
        <v>0</v>
      </c>
    </row>
    <row r="834" spans="1:63" hidden="1">
      <c r="A834" s="187"/>
      <c r="B834" s="2321"/>
      <c r="C834" s="2322"/>
      <c r="D834" s="2334"/>
      <c r="E834" s="2334"/>
      <c r="F834" s="2334"/>
      <c r="G834" s="2334"/>
      <c r="H834" s="2334"/>
      <c r="I834" s="2334"/>
      <c r="J834" s="2334"/>
      <c r="K834" s="2334"/>
      <c r="L834" s="2334"/>
      <c r="M834" s="2334"/>
      <c r="N834" s="2334"/>
      <c r="O834" s="2334"/>
      <c r="P834" s="2324"/>
      <c r="Q834" s="2324"/>
      <c r="R834" s="2325"/>
      <c r="S834" s="2324"/>
      <c r="T834" s="2324"/>
      <c r="U834" s="2326"/>
      <c r="V834" s="2327"/>
      <c r="W834" s="2327"/>
      <c r="X834" s="2327"/>
      <c r="Y834" s="2327"/>
      <c r="Z834" s="2327"/>
      <c r="AA834" s="2328"/>
      <c r="AB834" s="2329"/>
      <c r="AC834" s="2326"/>
      <c r="AD834" s="2330">
        <f t="shared" si="582"/>
        <v>0</v>
      </c>
      <c r="AE834" s="2330"/>
      <c r="AF834" s="2330"/>
      <c r="AG834" s="2330">
        <f t="shared" si="573"/>
        <v>0</v>
      </c>
      <c r="AH834" s="2330"/>
      <c r="AI834" s="2330"/>
      <c r="AJ834" s="2330">
        <f t="shared" si="583"/>
        <v>0</v>
      </c>
      <c r="AK834" s="2330"/>
      <c r="AL834" s="2330"/>
      <c r="AM834" s="2331">
        <f t="shared" si="567"/>
        <v>0</v>
      </c>
      <c r="AN834" s="2331"/>
      <c r="AO834" s="2331"/>
      <c r="AP834" s="2331"/>
      <c r="AQ834" s="2332">
        <f t="shared" si="584"/>
        <v>0</v>
      </c>
      <c r="AR834" s="2332"/>
      <c r="AS834" s="2332"/>
      <c r="AT834" s="2332">
        <f t="shared" si="585"/>
        <v>0</v>
      </c>
      <c r="AV834" s="151" t="str">
        <f t="shared" si="562"/>
        <v>HARDWOOD FLOORING</v>
      </c>
      <c r="AW834" s="681"/>
      <c r="AX834" s="230"/>
      <c r="AY834" s="230"/>
      <c r="AZ834" s="679"/>
      <c r="BA834" s="49">
        <f t="shared" si="586"/>
        <v>0</v>
      </c>
      <c r="BB834" s="49">
        <f t="shared" si="591"/>
        <v>0</v>
      </c>
      <c r="BC834" s="49">
        <f t="shared" si="592"/>
        <v>0</v>
      </c>
      <c r="BD834" s="49">
        <f t="shared" si="587"/>
        <v>0</v>
      </c>
      <c r="BE834" s="49">
        <f t="shared" si="593"/>
        <v>0</v>
      </c>
      <c r="BF834" s="49">
        <f t="shared" si="588"/>
        <v>0</v>
      </c>
      <c r="BG834" s="49">
        <f t="shared" si="589"/>
        <v>0</v>
      </c>
      <c r="BI834" s="134">
        <f t="shared" si="594"/>
        <v>0</v>
      </c>
      <c r="BJ834" s="134">
        <f t="shared" si="590"/>
        <v>0</v>
      </c>
      <c r="BK834" s="134">
        <f t="shared" si="595"/>
        <v>0</v>
      </c>
    </row>
    <row r="835" spans="1:63" hidden="1">
      <c r="A835" s="187"/>
      <c r="B835" s="2333"/>
      <c r="C835" s="2333"/>
      <c r="D835" s="2334"/>
      <c r="E835" s="2334"/>
      <c r="F835" s="2334"/>
      <c r="G835" s="2334"/>
      <c r="H835" s="2334"/>
      <c r="I835" s="2334"/>
      <c r="J835" s="2334"/>
      <c r="K835" s="2334"/>
      <c r="L835" s="2334"/>
      <c r="M835" s="2334"/>
      <c r="N835" s="2334"/>
      <c r="O835" s="2334"/>
      <c r="P835" s="2324"/>
      <c r="Q835" s="2324"/>
      <c r="R835" s="2325"/>
      <c r="S835" s="2324"/>
      <c r="T835" s="2324"/>
      <c r="U835" s="2326"/>
      <c r="V835" s="2327"/>
      <c r="W835" s="2327"/>
      <c r="X835" s="2327"/>
      <c r="Y835" s="2327"/>
      <c r="Z835" s="2327"/>
      <c r="AA835" s="2328"/>
      <c r="AB835" s="2329"/>
      <c r="AC835" s="2326"/>
      <c r="AD835" s="2330">
        <f t="shared" si="582"/>
        <v>0</v>
      </c>
      <c r="AE835" s="2330"/>
      <c r="AF835" s="2330"/>
      <c r="AG835" s="2330">
        <f t="shared" si="573"/>
        <v>0</v>
      </c>
      <c r="AH835" s="2330"/>
      <c r="AI835" s="2330"/>
      <c r="AJ835" s="2330">
        <f t="shared" si="583"/>
        <v>0</v>
      </c>
      <c r="AK835" s="2330"/>
      <c r="AL835" s="2330"/>
      <c r="AM835" s="2331">
        <f t="shared" si="567"/>
        <v>0</v>
      </c>
      <c r="AN835" s="2331"/>
      <c r="AO835" s="2331"/>
      <c r="AP835" s="2331"/>
      <c r="AQ835" s="2332">
        <f t="shared" si="584"/>
        <v>0</v>
      </c>
      <c r="AR835" s="2332"/>
      <c r="AS835" s="2332"/>
      <c r="AT835" s="2332">
        <f t="shared" si="585"/>
        <v>0</v>
      </c>
      <c r="AV835" s="151" t="str">
        <f t="shared" si="562"/>
        <v>HARDWOOD FLOORING</v>
      </c>
      <c r="AW835" s="681"/>
      <c r="AX835" s="230"/>
      <c r="AY835" s="230"/>
      <c r="AZ835" s="679"/>
      <c r="BA835" s="49">
        <f t="shared" si="586"/>
        <v>0</v>
      </c>
      <c r="BB835" s="49">
        <f t="shared" si="591"/>
        <v>0</v>
      </c>
      <c r="BC835" s="49">
        <f t="shared" si="592"/>
        <v>0</v>
      </c>
      <c r="BD835" s="49">
        <f t="shared" si="587"/>
        <v>0</v>
      </c>
      <c r="BE835" s="49">
        <f t="shared" si="593"/>
        <v>0</v>
      </c>
      <c r="BF835" s="49">
        <f t="shared" si="588"/>
        <v>0</v>
      </c>
      <c r="BG835" s="49">
        <f t="shared" si="589"/>
        <v>0</v>
      </c>
      <c r="BI835" s="134">
        <f t="shared" si="594"/>
        <v>0</v>
      </c>
      <c r="BJ835" s="134">
        <f t="shared" si="590"/>
        <v>0</v>
      </c>
      <c r="BK835" s="134">
        <f t="shared" si="595"/>
        <v>0</v>
      </c>
    </row>
    <row r="836" spans="1:63" hidden="1">
      <c r="A836" s="187"/>
      <c r="B836" s="2321"/>
      <c r="C836" s="2322"/>
      <c r="D836" s="2334"/>
      <c r="E836" s="2334"/>
      <c r="F836" s="2334"/>
      <c r="G836" s="2334"/>
      <c r="H836" s="2334"/>
      <c r="I836" s="2334"/>
      <c r="J836" s="2334"/>
      <c r="K836" s="2334"/>
      <c r="L836" s="2334"/>
      <c r="M836" s="2334"/>
      <c r="N836" s="2334"/>
      <c r="O836" s="2334"/>
      <c r="P836" s="2324"/>
      <c r="Q836" s="2324"/>
      <c r="R836" s="2325"/>
      <c r="S836" s="2324"/>
      <c r="T836" s="2324"/>
      <c r="U836" s="2326"/>
      <c r="V836" s="2327"/>
      <c r="W836" s="2327"/>
      <c r="X836" s="2327"/>
      <c r="Y836" s="2327"/>
      <c r="Z836" s="2327"/>
      <c r="AA836" s="2328"/>
      <c r="AB836" s="2329"/>
      <c r="AC836" s="2326"/>
      <c r="AD836" s="2330">
        <f t="shared" si="582"/>
        <v>0</v>
      </c>
      <c r="AE836" s="2330"/>
      <c r="AF836" s="2330"/>
      <c r="AG836" s="2330">
        <f t="shared" si="573"/>
        <v>0</v>
      </c>
      <c r="AH836" s="2330"/>
      <c r="AI836" s="2330"/>
      <c r="AJ836" s="2330">
        <f t="shared" si="583"/>
        <v>0</v>
      </c>
      <c r="AK836" s="2330"/>
      <c r="AL836" s="2330"/>
      <c r="AM836" s="2331">
        <f t="shared" si="567"/>
        <v>0</v>
      </c>
      <c r="AN836" s="2331"/>
      <c r="AO836" s="2331"/>
      <c r="AP836" s="2331"/>
      <c r="AQ836" s="2332">
        <f t="shared" si="584"/>
        <v>0</v>
      </c>
      <c r="AR836" s="2332"/>
      <c r="AS836" s="2332"/>
      <c r="AT836" s="2332">
        <f t="shared" si="585"/>
        <v>0</v>
      </c>
      <c r="AV836" s="151" t="str">
        <f t="shared" si="562"/>
        <v>HARDWOOD FLOORING</v>
      </c>
      <c r="AW836" s="681"/>
      <c r="AX836" s="230"/>
      <c r="AY836" s="230"/>
      <c r="AZ836" s="679"/>
      <c r="BA836" s="49">
        <f t="shared" si="586"/>
        <v>0</v>
      </c>
      <c r="BB836" s="49">
        <f t="shared" si="591"/>
        <v>0</v>
      </c>
      <c r="BC836" s="49">
        <f t="shared" si="592"/>
        <v>0</v>
      </c>
      <c r="BD836" s="49">
        <f t="shared" si="587"/>
        <v>0</v>
      </c>
      <c r="BE836" s="49">
        <f t="shared" si="593"/>
        <v>0</v>
      </c>
      <c r="BF836" s="49">
        <f t="shared" si="588"/>
        <v>0</v>
      </c>
      <c r="BG836" s="49">
        <f t="shared" si="589"/>
        <v>0</v>
      </c>
      <c r="BI836" s="134">
        <f t="shared" si="594"/>
        <v>0</v>
      </c>
      <c r="BJ836" s="134">
        <f t="shared" si="590"/>
        <v>0</v>
      </c>
      <c r="BK836" s="134">
        <f t="shared" si="595"/>
        <v>0</v>
      </c>
    </row>
    <row r="837" spans="1:63" hidden="1">
      <c r="A837" s="187"/>
      <c r="B837" s="2321"/>
      <c r="C837" s="2322"/>
      <c r="D837" s="2334"/>
      <c r="E837" s="2334"/>
      <c r="F837" s="2334"/>
      <c r="G837" s="2334"/>
      <c r="H837" s="2334"/>
      <c r="I837" s="2334"/>
      <c r="J837" s="2334"/>
      <c r="K837" s="2334"/>
      <c r="L837" s="2334"/>
      <c r="M837" s="2334"/>
      <c r="N837" s="2334"/>
      <c r="O837" s="2334"/>
      <c r="P837" s="2324"/>
      <c r="Q837" s="2324"/>
      <c r="R837" s="2325"/>
      <c r="S837" s="2324"/>
      <c r="T837" s="2324"/>
      <c r="U837" s="2326"/>
      <c r="V837" s="2327"/>
      <c r="W837" s="2327"/>
      <c r="X837" s="2327"/>
      <c r="Y837" s="2327"/>
      <c r="Z837" s="2327"/>
      <c r="AA837" s="2328"/>
      <c r="AB837" s="2329"/>
      <c r="AC837" s="2326"/>
      <c r="AD837" s="2330">
        <f t="shared" si="582"/>
        <v>0</v>
      </c>
      <c r="AE837" s="2330"/>
      <c r="AF837" s="2330"/>
      <c r="AG837" s="2330">
        <f t="shared" si="573"/>
        <v>0</v>
      </c>
      <c r="AH837" s="2330"/>
      <c r="AI837" s="2330"/>
      <c r="AJ837" s="2330">
        <f t="shared" si="583"/>
        <v>0</v>
      </c>
      <c r="AK837" s="2330"/>
      <c r="AL837" s="2330"/>
      <c r="AM837" s="2331">
        <f t="shared" si="567"/>
        <v>0</v>
      </c>
      <c r="AN837" s="2331"/>
      <c r="AO837" s="2331"/>
      <c r="AP837" s="2331"/>
      <c r="AQ837" s="2332">
        <f t="shared" si="584"/>
        <v>0</v>
      </c>
      <c r="AR837" s="2332"/>
      <c r="AS837" s="2332"/>
      <c r="AT837" s="2332">
        <f t="shared" si="585"/>
        <v>0</v>
      </c>
      <c r="AV837" s="151" t="str">
        <f t="shared" si="562"/>
        <v>HARDWOOD FLOORING</v>
      </c>
      <c r="AW837" s="681"/>
      <c r="AX837" s="230"/>
      <c r="AY837" s="230"/>
      <c r="AZ837" s="679"/>
      <c r="BA837" s="49">
        <f t="shared" si="586"/>
        <v>0</v>
      </c>
      <c r="BB837" s="49">
        <f t="shared" si="591"/>
        <v>0</v>
      </c>
      <c r="BC837" s="49">
        <f t="shared" si="592"/>
        <v>0</v>
      </c>
      <c r="BD837" s="49">
        <f t="shared" si="587"/>
        <v>0</v>
      </c>
      <c r="BE837" s="49">
        <f t="shared" si="593"/>
        <v>0</v>
      </c>
      <c r="BF837" s="49">
        <f t="shared" si="588"/>
        <v>0</v>
      </c>
      <c r="BG837" s="49">
        <f t="shared" si="589"/>
        <v>0</v>
      </c>
      <c r="BI837" s="134">
        <f t="shared" si="594"/>
        <v>0</v>
      </c>
      <c r="BJ837" s="134">
        <f t="shared" si="590"/>
        <v>0</v>
      </c>
      <c r="BK837" s="134">
        <f t="shared" si="595"/>
        <v>0</v>
      </c>
    </row>
    <row r="838" spans="1:63" hidden="1">
      <c r="A838" s="187"/>
      <c r="B838" s="2321"/>
      <c r="C838" s="2322"/>
      <c r="D838" s="2334"/>
      <c r="E838" s="2334"/>
      <c r="F838" s="2334"/>
      <c r="G838" s="2334"/>
      <c r="H838" s="2334"/>
      <c r="I838" s="2334"/>
      <c r="J838" s="2334"/>
      <c r="K838" s="2334"/>
      <c r="L838" s="2334"/>
      <c r="M838" s="2334"/>
      <c r="N838" s="2334"/>
      <c r="O838" s="2334"/>
      <c r="P838" s="2324"/>
      <c r="Q838" s="2324"/>
      <c r="R838" s="2325"/>
      <c r="S838" s="2324"/>
      <c r="T838" s="2324"/>
      <c r="U838" s="2326"/>
      <c r="V838" s="2327"/>
      <c r="W838" s="2327"/>
      <c r="X838" s="2327"/>
      <c r="Y838" s="2327"/>
      <c r="Z838" s="2327"/>
      <c r="AA838" s="2328"/>
      <c r="AB838" s="2329"/>
      <c r="AC838" s="2326"/>
      <c r="AD838" s="2330">
        <f t="shared" si="582"/>
        <v>0</v>
      </c>
      <c r="AE838" s="2330"/>
      <c r="AF838" s="2330"/>
      <c r="AG838" s="2330">
        <f t="shared" si="573"/>
        <v>0</v>
      </c>
      <c r="AH838" s="2330"/>
      <c r="AI838" s="2330"/>
      <c r="AJ838" s="2330">
        <f t="shared" si="583"/>
        <v>0</v>
      </c>
      <c r="AK838" s="2330"/>
      <c r="AL838" s="2330"/>
      <c r="AM838" s="2331">
        <f t="shared" si="567"/>
        <v>0</v>
      </c>
      <c r="AN838" s="2331"/>
      <c r="AO838" s="2331"/>
      <c r="AP838" s="2331"/>
      <c r="AQ838" s="2332">
        <f t="shared" si="584"/>
        <v>0</v>
      </c>
      <c r="AR838" s="2332"/>
      <c r="AS838" s="2332"/>
      <c r="AT838" s="2332">
        <f t="shared" si="585"/>
        <v>0</v>
      </c>
      <c r="AV838" s="151" t="str">
        <f t="shared" si="562"/>
        <v>HARDWOOD FLOORING</v>
      </c>
      <c r="AW838" s="681"/>
      <c r="AX838" s="230"/>
      <c r="AY838" s="230"/>
      <c r="AZ838" s="679"/>
      <c r="BA838" s="49">
        <f t="shared" si="586"/>
        <v>0</v>
      </c>
      <c r="BB838" s="49">
        <f t="shared" si="591"/>
        <v>0</v>
      </c>
      <c r="BC838" s="49">
        <f t="shared" si="592"/>
        <v>0</v>
      </c>
      <c r="BD838" s="49">
        <f t="shared" si="587"/>
        <v>0</v>
      </c>
      <c r="BE838" s="49">
        <f t="shared" si="593"/>
        <v>0</v>
      </c>
      <c r="BF838" s="49">
        <f t="shared" si="588"/>
        <v>0</v>
      </c>
      <c r="BG838" s="49">
        <f t="shared" si="589"/>
        <v>0</v>
      </c>
      <c r="BI838" s="134">
        <f t="shared" si="594"/>
        <v>0</v>
      </c>
      <c r="BJ838" s="134">
        <f t="shared" si="590"/>
        <v>0</v>
      </c>
      <c r="BK838" s="134">
        <f t="shared" si="595"/>
        <v>0</v>
      </c>
    </row>
    <row r="839" spans="1:63" hidden="1">
      <c r="A839" s="187"/>
      <c r="B839" s="2333"/>
      <c r="C839" s="2333"/>
      <c r="D839" s="2334"/>
      <c r="E839" s="2334"/>
      <c r="F839" s="2334"/>
      <c r="G839" s="2334"/>
      <c r="H839" s="2334"/>
      <c r="I839" s="2334"/>
      <c r="J839" s="2334"/>
      <c r="K839" s="2334"/>
      <c r="L839" s="2334"/>
      <c r="M839" s="2334"/>
      <c r="N839" s="2334"/>
      <c r="O839" s="2334"/>
      <c r="P839" s="2324"/>
      <c r="Q839" s="2324"/>
      <c r="R839" s="2325"/>
      <c r="S839" s="2324"/>
      <c r="T839" s="2324"/>
      <c r="U839" s="2326"/>
      <c r="V839" s="2327"/>
      <c r="W839" s="2327"/>
      <c r="X839" s="2327"/>
      <c r="Y839" s="2327"/>
      <c r="Z839" s="2327"/>
      <c r="AA839" s="2328"/>
      <c r="AB839" s="2329"/>
      <c r="AC839" s="2326"/>
      <c r="AD839" s="2330">
        <f t="shared" si="582"/>
        <v>0</v>
      </c>
      <c r="AE839" s="2330"/>
      <c r="AF839" s="2330"/>
      <c r="AG839" s="2330">
        <f t="shared" si="573"/>
        <v>0</v>
      </c>
      <c r="AH839" s="2330"/>
      <c r="AI839" s="2330"/>
      <c r="AJ839" s="2330">
        <f t="shared" si="583"/>
        <v>0</v>
      </c>
      <c r="AK839" s="2330"/>
      <c r="AL839" s="2330"/>
      <c r="AM839" s="2331">
        <f t="shared" si="567"/>
        <v>0</v>
      </c>
      <c r="AN839" s="2331"/>
      <c r="AO839" s="2331"/>
      <c r="AP839" s="2331"/>
      <c r="AQ839" s="2332">
        <f t="shared" si="584"/>
        <v>0</v>
      </c>
      <c r="AR839" s="2332"/>
      <c r="AS839" s="2332"/>
      <c r="AT839" s="2332">
        <f t="shared" si="585"/>
        <v>0</v>
      </c>
      <c r="AV839" s="151" t="str">
        <f t="shared" si="562"/>
        <v>HARDWOOD FLOORING</v>
      </c>
      <c r="AW839" s="681"/>
      <c r="AX839" s="230"/>
      <c r="AY839" s="230"/>
      <c r="AZ839" s="679"/>
      <c r="BA839" s="49">
        <f t="shared" si="586"/>
        <v>0</v>
      </c>
      <c r="BB839" s="49">
        <f t="shared" si="591"/>
        <v>0</v>
      </c>
      <c r="BC839" s="49">
        <f t="shared" si="592"/>
        <v>0</v>
      </c>
      <c r="BD839" s="49">
        <f t="shared" si="587"/>
        <v>0</v>
      </c>
      <c r="BE839" s="49">
        <f t="shared" si="593"/>
        <v>0</v>
      </c>
      <c r="BF839" s="49">
        <f t="shared" si="588"/>
        <v>0</v>
      </c>
      <c r="BG839" s="49">
        <f t="shared" si="589"/>
        <v>0</v>
      </c>
      <c r="BI839" s="134">
        <f t="shared" si="594"/>
        <v>0</v>
      </c>
      <c r="BJ839" s="134">
        <f t="shared" si="590"/>
        <v>0</v>
      </c>
      <c r="BK839" s="134">
        <f t="shared" si="595"/>
        <v>0</v>
      </c>
    </row>
    <row r="840" spans="1:63" hidden="1">
      <c r="A840" s="187"/>
      <c r="B840" s="2321"/>
      <c r="C840" s="2322"/>
      <c r="D840" s="2334"/>
      <c r="E840" s="2334"/>
      <c r="F840" s="2334"/>
      <c r="G840" s="2334"/>
      <c r="H840" s="2334"/>
      <c r="I840" s="2334"/>
      <c r="J840" s="2334"/>
      <c r="K840" s="2334"/>
      <c r="L840" s="2334"/>
      <c r="M840" s="2334"/>
      <c r="N840" s="2334"/>
      <c r="O840" s="2334"/>
      <c r="P840" s="2324"/>
      <c r="Q840" s="2324"/>
      <c r="R840" s="2325"/>
      <c r="S840" s="2324"/>
      <c r="T840" s="2324"/>
      <c r="U840" s="2326"/>
      <c r="V840" s="2327"/>
      <c r="W840" s="2327"/>
      <c r="X840" s="2327"/>
      <c r="Y840" s="2327"/>
      <c r="Z840" s="2327"/>
      <c r="AA840" s="2328"/>
      <c r="AB840" s="2329"/>
      <c r="AC840" s="2326"/>
      <c r="AD840" s="2330">
        <f t="shared" si="582"/>
        <v>0</v>
      </c>
      <c r="AE840" s="2330"/>
      <c r="AF840" s="2330"/>
      <c r="AG840" s="2330">
        <f t="shared" si="573"/>
        <v>0</v>
      </c>
      <c r="AH840" s="2330"/>
      <c r="AI840" s="2330"/>
      <c r="AJ840" s="2330">
        <f t="shared" si="583"/>
        <v>0</v>
      </c>
      <c r="AK840" s="2330"/>
      <c r="AL840" s="2330"/>
      <c r="AM840" s="2331">
        <f t="shared" si="567"/>
        <v>0</v>
      </c>
      <c r="AN840" s="2331"/>
      <c r="AO840" s="2331"/>
      <c r="AP840" s="2331"/>
      <c r="AQ840" s="2332">
        <f t="shared" si="584"/>
        <v>0</v>
      </c>
      <c r="AR840" s="2332"/>
      <c r="AS840" s="2332"/>
      <c r="AT840" s="2332">
        <f t="shared" si="585"/>
        <v>0</v>
      </c>
      <c r="AV840" s="151" t="str">
        <f t="shared" si="562"/>
        <v>HARDWOOD FLOORING</v>
      </c>
      <c r="AW840" s="681"/>
      <c r="AX840" s="230"/>
      <c r="AY840" s="230"/>
      <c r="AZ840" s="679"/>
      <c r="BA840" s="49">
        <f t="shared" si="586"/>
        <v>0</v>
      </c>
      <c r="BB840" s="49">
        <f t="shared" si="591"/>
        <v>0</v>
      </c>
      <c r="BC840" s="49">
        <f t="shared" si="592"/>
        <v>0</v>
      </c>
      <c r="BD840" s="49">
        <f t="shared" si="587"/>
        <v>0</v>
      </c>
      <c r="BE840" s="49">
        <f t="shared" si="593"/>
        <v>0</v>
      </c>
      <c r="BF840" s="49">
        <f t="shared" si="588"/>
        <v>0</v>
      </c>
      <c r="BG840" s="49">
        <f t="shared" si="589"/>
        <v>0</v>
      </c>
      <c r="BI840" s="134">
        <f t="shared" si="594"/>
        <v>0</v>
      </c>
      <c r="BJ840" s="134">
        <f t="shared" si="590"/>
        <v>0</v>
      </c>
      <c r="BK840" s="134">
        <f t="shared" si="595"/>
        <v>0</v>
      </c>
    </row>
    <row r="841" spans="1:63" hidden="1">
      <c r="A841" s="187"/>
      <c r="B841" s="2321"/>
      <c r="C841" s="2322"/>
      <c r="D841" s="2334"/>
      <c r="E841" s="2334"/>
      <c r="F841" s="2334"/>
      <c r="G841" s="2334"/>
      <c r="H841" s="2334"/>
      <c r="I841" s="2334"/>
      <c r="J841" s="2334"/>
      <c r="K841" s="2334"/>
      <c r="L841" s="2334"/>
      <c r="M841" s="2334"/>
      <c r="N841" s="2334"/>
      <c r="O841" s="2334"/>
      <c r="P841" s="2324"/>
      <c r="Q841" s="2324"/>
      <c r="R841" s="2325"/>
      <c r="S841" s="2324"/>
      <c r="T841" s="2324"/>
      <c r="U841" s="2326"/>
      <c r="V841" s="2327"/>
      <c r="W841" s="2327"/>
      <c r="X841" s="2327"/>
      <c r="Y841" s="2327"/>
      <c r="Z841" s="2327"/>
      <c r="AA841" s="2328"/>
      <c r="AB841" s="2329"/>
      <c r="AC841" s="2326"/>
      <c r="AD841" s="2330">
        <f t="shared" si="582"/>
        <v>0</v>
      </c>
      <c r="AE841" s="2330"/>
      <c r="AF841" s="2330"/>
      <c r="AG841" s="2330">
        <f t="shared" si="573"/>
        <v>0</v>
      </c>
      <c r="AH841" s="2330"/>
      <c r="AI841" s="2330"/>
      <c r="AJ841" s="2330">
        <f t="shared" si="583"/>
        <v>0</v>
      </c>
      <c r="AK841" s="2330"/>
      <c r="AL841" s="2330"/>
      <c r="AM841" s="2331">
        <f t="shared" si="567"/>
        <v>0</v>
      </c>
      <c r="AN841" s="2331"/>
      <c r="AO841" s="2331"/>
      <c r="AP841" s="2331"/>
      <c r="AQ841" s="2332">
        <f t="shared" si="584"/>
        <v>0</v>
      </c>
      <c r="AR841" s="2332"/>
      <c r="AS841" s="2332"/>
      <c r="AT841" s="2332">
        <f t="shared" si="585"/>
        <v>0</v>
      </c>
      <c r="AV841" s="151" t="str">
        <f t="shared" si="562"/>
        <v>HARDWOOD FLOORING</v>
      </c>
      <c r="AW841" s="681"/>
      <c r="AX841" s="230"/>
      <c r="AY841" s="230"/>
      <c r="AZ841" s="679"/>
      <c r="BA841" s="49">
        <f t="shared" si="586"/>
        <v>0</v>
      </c>
      <c r="BB841" s="49">
        <f t="shared" si="591"/>
        <v>0</v>
      </c>
      <c r="BC841" s="49">
        <f t="shared" si="592"/>
        <v>0</v>
      </c>
      <c r="BD841" s="49">
        <f t="shared" si="587"/>
        <v>0</v>
      </c>
      <c r="BE841" s="49">
        <f t="shared" si="593"/>
        <v>0</v>
      </c>
      <c r="BF841" s="49">
        <f t="shared" si="588"/>
        <v>0</v>
      </c>
      <c r="BG841" s="49">
        <f t="shared" si="589"/>
        <v>0</v>
      </c>
      <c r="BI841" s="134">
        <f t="shared" si="594"/>
        <v>0</v>
      </c>
      <c r="BJ841" s="134">
        <f t="shared" si="590"/>
        <v>0</v>
      </c>
      <c r="BK841" s="134">
        <f t="shared" si="595"/>
        <v>0</v>
      </c>
    </row>
    <row r="842" spans="1:63" hidden="1">
      <c r="A842" s="187"/>
      <c r="B842" s="2321"/>
      <c r="C842" s="2322"/>
      <c r="D842" s="2334"/>
      <c r="E842" s="2334"/>
      <c r="F842" s="2334"/>
      <c r="G842" s="2334"/>
      <c r="H842" s="2334"/>
      <c r="I842" s="2334"/>
      <c r="J842" s="2334"/>
      <c r="K842" s="2334"/>
      <c r="L842" s="2334"/>
      <c r="M842" s="2334"/>
      <c r="N842" s="2334"/>
      <c r="O842" s="2334"/>
      <c r="P842" s="2324"/>
      <c r="Q842" s="2324"/>
      <c r="R842" s="2325"/>
      <c r="S842" s="2324"/>
      <c r="T842" s="2324"/>
      <c r="U842" s="2326"/>
      <c r="V842" s="2327"/>
      <c r="W842" s="2327"/>
      <c r="X842" s="2327"/>
      <c r="Y842" s="2327"/>
      <c r="Z842" s="2327"/>
      <c r="AA842" s="2328"/>
      <c r="AB842" s="2329"/>
      <c r="AC842" s="2326"/>
      <c r="AD842" s="2330">
        <f t="shared" si="582"/>
        <v>0</v>
      </c>
      <c r="AE842" s="2330"/>
      <c r="AF842" s="2330"/>
      <c r="AG842" s="2330">
        <f t="shared" si="573"/>
        <v>0</v>
      </c>
      <c r="AH842" s="2330"/>
      <c r="AI842" s="2330"/>
      <c r="AJ842" s="2330">
        <f t="shared" si="583"/>
        <v>0</v>
      </c>
      <c r="AK842" s="2330"/>
      <c r="AL842" s="2330"/>
      <c r="AM842" s="2331">
        <f t="shared" si="567"/>
        <v>0</v>
      </c>
      <c r="AN842" s="2331"/>
      <c r="AO842" s="2331"/>
      <c r="AP842" s="2331"/>
      <c r="AQ842" s="2332">
        <f t="shared" si="584"/>
        <v>0</v>
      </c>
      <c r="AR842" s="2332"/>
      <c r="AS842" s="2332"/>
      <c r="AT842" s="2332">
        <f t="shared" si="585"/>
        <v>0</v>
      </c>
      <c r="AV842" s="151" t="str">
        <f t="shared" si="562"/>
        <v>HARDWOOD FLOORING</v>
      </c>
      <c r="AW842" s="681"/>
      <c r="AX842" s="230"/>
      <c r="AY842" s="230"/>
      <c r="AZ842" s="679"/>
      <c r="BA842" s="49">
        <f t="shared" si="586"/>
        <v>0</v>
      </c>
      <c r="BB842" s="49">
        <f t="shared" si="591"/>
        <v>0</v>
      </c>
      <c r="BC842" s="49">
        <f t="shared" si="592"/>
        <v>0</v>
      </c>
      <c r="BD842" s="49">
        <f t="shared" si="587"/>
        <v>0</v>
      </c>
      <c r="BE842" s="49">
        <f t="shared" si="593"/>
        <v>0</v>
      </c>
      <c r="BF842" s="49">
        <f t="shared" si="588"/>
        <v>0</v>
      </c>
      <c r="BG842" s="49">
        <f t="shared" si="589"/>
        <v>0</v>
      </c>
      <c r="BI842" s="134">
        <f t="shared" si="594"/>
        <v>0</v>
      </c>
      <c r="BJ842" s="134">
        <f t="shared" si="590"/>
        <v>0</v>
      </c>
      <c r="BK842" s="134">
        <f t="shared" si="595"/>
        <v>0</v>
      </c>
    </row>
    <row r="843" spans="1:63" hidden="1">
      <c r="A843" s="187"/>
      <c r="B843" s="2333"/>
      <c r="C843" s="2333"/>
      <c r="D843" s="2334"/>
      <c r="E843" s="2334"/>
      <c r="F843" s="2334"/>
      <c r="G843" s="2334"/>
      <c r="H843" s="2334"/>
      <c r="I843" s="2334"/>
      <c r="J843" s="2334"/>
      <c r="K843" s="2334"/>
      <c r="L843" s="2334"/>
      <c r="M843" s="2334"/>
      <c r="N843" s="2334"/>
      <c r="O843" s="2334"/>
      <c r="P843" s="2324"/>
      <c r="Q843" s="2324"/>
      <c r="R843" s="2325"/>
      <c r="S843" s="2324"/>
      <c r="T843" s="2324"/>
      <c r="U843" s="2326"/>
      <c r="V843" s="2327"/>
      <c r="W843" s="2327"/>
      <c r="X843" s="2327"/>
      <c r="Y843" s="2327"/>
      <c r="Z843" s="2327"/>
      <c r="AA843" s="2328"/>
      <c r="AB843" s="2329"/>
      <c r="AC843" s="2326"/>
      <c r="AD843" s="2330">
        <f t="shared" si="582"/>
        <v>0</v>
      </c>
      <c r="AE843" s="2330"/>
      <c r="AF843" s="2330"/>
      <c r="AG843" s="2330">
        <f t="shared" si="573"/>
        <v>0</v>
      </c>
      <c r="AH843" s="2330"/>
      <c r="AI843" s="2330"/>
      <c r="AJ843" s="2330">
        <f t="shared" si="583"/>
        <v>0</v>
      </c>
      <c r="AK843" s="2330"/>
      <c r="AL843" s="2330"/>
      <c r="AM843" s="2331">
        <f t="shared" si="567"/>
        <v>0</v>
      </c>
      <c r="AN843" s="2331"/>
      <c r="AO843" s="2331"/>
      <c r="AP843" s="2331"/>
      <c r="AQ843" s="2332">
        <f t="shared" si="584"/>
        <v>0</v>
      </c>
      <c r="AR843" s="2332"/>
      <c r="AS843" s="2332"/>
      <c r="AT843" s="2332">
        <f t="shared" si="585"/>
        <v>0</v>
      </c>
      <c r="AV843" s="151" t="str">
        <f t="shared" si="562"/>
        <v>HARDWOOD FLOORING</v>
      </c>
      <c r="AW843" s="681"/>
      <c r="AX843" s="230"/>
      <c r="AY843" s="230"/>
      <c r="AZ843" s="679"/>
      <c r="BA843" s="49">
        <f t="shared" si="586"/>
        <v>0</v>
      </c>
      <c r="BB843" s="49">
        <f t="shared" si="591"/>
        <v>0</v>
      </c>
      <c r="BC843" s="49">
        <f t="shared" si="592"/>
        <v>0</v>
      </c>
      <c r="BD843" s="49">
        <f t="shared" si="587"/>
        <v>0</v>
      </c>
      <c r="BE843" s="49">
        <f t="shared" si="593"/>
        <v>0</v>
      </c>
      <c r="BF843" s="49">
        <f t="shared" si="588"/>
        <v>0</v>
      </c>
      <c r="BG843" s="49">
        <f t="shared" si="589"/>
        <v>0</v>
      </c>
      <c r="BI843" s="134">
        <f t="shared" si="594"/>
        <v>0</v>
      </c>
      <c r="BJ843" s="134">
        <f t="shared" si="590"/>
        <v>0</v>
      </c>
      <c r="BK843" s="134">
        <f t="shared" si="595"/>
        <v>0</v>
      </c>
    </row>
    <row r="844" spans="1:63" hidden="1">
      <c r="A844" s="187"/>
      <c r="B844" s="2321"/>
      <c r="C844" s="2322"/>
      <c r="D844" s="2334"/>
      <c r="E844" s="2334"/>
      <c r="F844" s="2334"/>
      <c r="G844" s="2334"/>
      <c r="H844" s="2334"/>
      <c r="I844" s="2334"/>
      <c r="J844" s="2334"/>
      <c r="K844" s="2334"/>
      <c r="L844" s="2334"/>
      <c r="M844" s="2334"/>
      <c r="N844" s="2334"/>
      <c r="O844" s="2334"/>
      <c r="P844" s="2324"/>
      <c r="Q844" s="2324"/>
      <c r="R844" s="2325"/>
      <c r="S844" s="2324"/>
      <c r="T844" s="2324"/>
      <c r="U844" s="2326"/>
      <c r="V844" s="2327"/>
      <c r="W844" s="2327"/>
      <c r="X844" s="2327"/>
      <c r="Y844" s="2327"/>
      <c r="Z844" s="2327"/>
      <c r="AA844" s="2328"/>
      <c r="AB844" s="2329"/>
      <c r="AC844" s="2326"/>
      <c r="AD844" s="2330">
        <f t="shared" si="582"/>
        <v>0</v>
      </c>
      <c r="AE844" s="2330"/>
      <c r="AF844" s="2330"/>
      <c r="AG844" s="2330">
        <f t="shared" si="573"/>
        <v>0</v>
      </c>
      <c r="AH844" s="2330"/>
      <c r="AI844" s="2330"/>
      <c r="AJ844" s="2330">
        <f t="shared" si="583"/>
        <v>0</v>
      </c>
      <c r="AK844" s="2330"/>
      <c r="AL844" s="2330"/>
      <c r="AM844" s="2331">
        <f t="shared" si="567"/>
        <v>0</v>
      </c>
      <c r="AN844" s="2331"/>
      <c r="AO844" s="2331"/>
      <c r="AP844" s="2331"/>
      <c r="AQ844" s="2332">
        <f t="shared" si="584"/>
        <v>0</v>
      </c>
      <c r="AR844" s="2332"/>
      <c r="AS844" s="2332"/>
      <c r="AT844" s="2332">
        <f t="shared" si="585"/>
        <v>0</v>
      </c>
      <c r="AV844" s="151" t="str">
        <f t="shared" si="562"/>
        <v>HARDWOOD FLOORING</v>
      </c>
      <c r="AW844" s="681"/>
      <c r="AX844" s="230"/>
      <c r="AY844" s="230"/>
      <c r="AZ844" s="679"/>
      <c r="BA844" s="49">
        <f t="shared" si="586"/>
        <v>0</v>
      </c>
      <c r="BB844" s="49">
        <f t="shared" si="591"/>
        <v>0</v>
      </c>
      <c r="BC844" s="49">
        <f t="shared" si="592"/>
        <v>0</v>
      </c>
      <c r="BD844" s="49">
        <f t="shared" si="587"/>
        <v>0</v>
      </c>
      <c r="BE844" s="49">
        <f t="shared" si="593"/>
        <v>0</v>
      </c>
      <c r="BF844" s="49">
        <f t="shared" si="588"/>
        <v>0</v>
      </c>
      <c r="BG844" s="49">
        <f t="shared" si="589"/>
        <v>0</v>
      </c>
      <c r="BI844" s="134">
        <f t="shared" si="594"/>
        <v>0</v>
      </c>
      <c r="BJ844" s="134">
        <f t="shared" si="590"/>
        <v>0</v>
      </c>
      <c r="BK844" s="134">
        <f t="shared" si="595"/>
        <v>0</v>
      </c>
    </row>
    <row r="845" spans="1:63" hidden="1">
      <c r="A845" s="187"/>
      <c r="B845" s="2321"/>
      <c r="C845" s="2322"/>
      <c r="D845" s="2334"/>
      <c r="E845" s="2334"/>
      <c r="F845" s="2334"/>
      <c r="G845" s="2334"/>
      <c r="H845" s="2334"/>
      <c r="I845" s="2334"/>
      <c r="J845" s="2334"/>
      <c r="K845" s="2334"/>
      <c r="L845" s="2334"/>
      <c r="M845" s="2334"/>
      <c r="N845" s="2334"/>
      <c r="O845" s="2334"/>
      <c r="P845" s="2324"/>
      <c r="Q845" s="2324"/>
      <c r="R845" s="2325"/>
      <c r="S845" s="2324"/>
      <c r="T845" s="2324"/>
      <c r="U845" s="2326"/>
      <c r="V845" s="2327"/>
      <c r="W845" s="2327"/>
      <c r="X845" s="2327"/>
      <c r="Y845" s="2327"/>
      <c r="Z845" s="2327"/>
      <c r="AA845" s="2328"/>
      <c r="AB845" s="2329"/>
      <c r="AC845" s="2326"/>
      <c r="AD845" s="2330">
        <f t="shared" si="582"/>
        <v>0</v>
      </c>
      <c r="AE845" s="2330"/>
      <c r="AF845" s="2330"/>
      <c r="AG845" s="2330">
        <f t="shared" si="573"/>
        <v>0</v>
      </c>
      <c r="AH845" s="2330"/>
      <c r="AI845" s="2330"/>
      <c r="AJ845" s="2330">
        <f t="shared" si="583"/>
        <v>0</v>
      </c>
      <c r="AK845" s="2330"/>
      <c r="AL845" s="2330"/>
      <c r="AM845" s="2331">
        <f t="shared" si="567"/>
        <v>0</v>
      </c>
      <c r="AN845" s="2331"/>
      <c r="AO845" s="2331"/>
      <c r="AP845" s="2331"/>
      <c r="AQ845" s="2332">
        <f t="shared" si="584"/>
        <v>0</v>
      </c>
      <c r="AR845" s="2332"/>
      <c r="AS845" s="2332"/>
      <c r="AT845" s="2332">
        <f t="shared" si="585"/>
        <v>0</v>
      </c>
      <c r="AV845" s="151" t="str">
        <f t="shared" si="562"/>
        <v>HARDWOOD FLOORING</v>
      </c>
      <c r="AW845" s="681"/>
      <c r="AX845" s="230"/>
      <c r="AY845" s="230"/>
      <c r="AZ845" s="679"/>
      <c r="BA845" s="49">
        <f t="shared" si="586"/>
        <v>0</v>
      </c>
      <c r="BB845" s="49">
        <f t="shared" si="591"/>
        <v>0</v>
      </c>
      <c r="BC845" s="49">
        <f t="shared" si="592"/>
        <v>0</v>
      </c>
      <c r="BD845" s="49">
        <f t="shared" si="587"/>
        <v>0</v>
      </c>
      <c r="BE845" s="49">
        <f t="shared" si="593"/>
        <v>0</v>
      </c>
      <c r="BF845" s="49">
        <f t="shared" si="588"/>
        <v>0</v>
      </c>
      <c r="BG845" s="49">
        <f t="shared" si="589"/>
        <v>0</v>
      </c>
      <c r="BI845" s="134">
        <f t="shared" si="594"/>
        <v>0</v>
      </c>
      <c r="BJ845" s="134">
        <f t="shared" si="590"/>
        <v>0</v>
      </c>
      <c r="BK845" s="134">
        <f t="shared" si="595"/>
        <v>0</v>
      </c>
    </row>
    <row r="846" spans="1:63" hidden="1">
      <c r="A846" s="187"/>
      <c r="B846" s="2321"/>
      <c r="C846" s="2322"/>
      <c r="D846" s="2334"/>
      <c r="E846" s="2334"/>
      <c r="F846" s="2334"/>
      <c r="G846" s="2334"/>
      <c r="H846" s="2334"/>
      <c r="I846" s="2334"/>
      <c r="J846" s="2334"/>
      <c r="K846" s="2334"/>
      <c r="L846" s="2334"/>
      <c r="M846" s="2334"/>
      <c r="N846" s="2334"/>
      <c r="O846" s="2334"/>
      <c r="P846" s="2324"/>
      <c r="Q846" s="2324"/>
      <c r="R846" s="2325"/>
      <c r="S846" s="2324"/>
      <c r="T846" s="2324"/>
      <c r="U846" s="2326"/>
      <c r="V846" s="2327"/>
      <c r="W846" s="2327"/>
      <c r="X846" s="2327"/>
      <c r="Y846" s="2327"/>
      <c r="Z846" s="2327"/>
      <c r="AA846" s="2328"/>
      <c r="AB846" s="2329"/>
      <c r="AC846" s="2326"/>
      <c r="AD846" s="2330">
        <f t="shared" si="582"/>
        <v>0</v>
      </c>
      <c r="AE846" s="2330"/>
      <c r="AF846" s="2330"/>
      <c r="AG846" s="2330">
        <f t="shared" si="573"/>
        <v>0</v>
      </c>
      <c r="AH846" s="2330"/>
      <c r="AI846" s="2330"/>
      <c r="AJ846" s="2330">
        <f t="shared" si="583"/>
        <v>0</v>
      </c>
      <c r="AK846" s="2330"/>
      <c r="AL846" s="2330"/>
      <c r="AM846" s="2331">
        <f t="shared" si="567"/>
        <v>0</v>
      </c>
      <c r="AN846" s="2331"/>
      <c r="AO846" s="2331"/>
      <c r="AP846" s="2331"/>
      <c r="AQ846" s="2332">
        <f t="shared" si="584"/>
        <v>0</v>
      </c>
      <c r="AR846" s="2332"/>
      <c r="AS846" s="2332"/>
      <c r="AT846" s="2332">
        <f t="shared" si="585"/>
        <v>0</v>
      </c>
      <c r="AV846" s="151" t="str">
        <f t="shared" si="562"/>
        <v>HARDWOOD FLOORING</v>
      </c>
      <c r="AW846" s="681"/>
      <c r="AX846" s="230"/>
      <c r="AY846" s="230"/>
      <c r="AZ846" s="679"/>
      <c r="BA846" s="49">
        <f t="shared" si="586"/>
        <v>0</v>
      </c>
      <c r="BB846" s="49">
        <f t="shared" si="591"/>
        <v>0</v>
      </c>
      <c r="BC846" s="49">
        <f t="shared" si="592"/>
        <v>0</v>
      </c>
      <c r="BD846" s="49">
        <f t="shared" si="587"/>
        <v>0</v>
      </c>
      <c r="BE846" s="49">
        <f>SUM(BA846:BC846)</f>
        <v>0</v>
      </c>
      <c r="BF846" s="49">
        <f t="shared" si="588"/>
        <v>0</v>
      </c>
      <c r="BG846" s="49">
        <f t="shared" si="589"/>
        <v>0</v>
      </c>
      <c r="BI846" s="134">
        <f t="shared" si="594"/>
        <v>0</v>
      </c>
      <c r="BJ846" s="134">
        <f t="shared" si="590"/>
        <v>0</v>
      </c>
      <c r="BK846" s="134">
        <f t="shared" si="595"/>
        <v>0</v>
      </c>
    </row>
    <row r="847" spans="1:63" hidden="1">
      <c r="A847" s="187"/>
      <c r="B847" s="2333"/>
      <c r="C847" s="2333"/>
      <c r="D847" s="2334"/>
      <c r="E847" s="2334"/>
      <c r="F847" s="2334"/>
      <c r="G847" s="2334"/>
      <c r="H847" s="2334"/>
      <c r="I847" s="2334"/>
      <c r="J847" s="2334"/>
      <c r="K847" s="2334"/>
      <c r="L847" s="2334"/>
      <c r="M847" s="2334"/>
      <c r="N847" s="2334"/>
      <c r="O847" s="2334"/>
      <c r="P847" s="2324"/>
      <c r="Q847" s="2324"/>
      <c r="R847" s="2325"/>
      <c r="S847" s="2324"/>
      <c r="T847" s="2324"/>
      <c r="U847" s="2326"/>
      <c r="V847" s="2327"/>
      <c r="W847" s="2327"/>
      <c r="X847" s="2327"/>
      <c r="Y847" s="2327"/>
      <c r="Z847" s="2327"/>
      <c r="AA847" s="2328"/>
      <c r="AB847" s="2329"/>
      <c r="AC847" s="2326"/>
      <c r="AD847" s="2330">
        <f t="shared" si="582"/>
        <v>0</v>
      </c>
      <c r="AE847" s="2330"/>
      <c r="AF847" s="2330"/>
      <c r="AG847" s="2330">
        <f t="shared" si="573"/>
        <v>0</v>
      </c>
      <c r="AH847" s="2330"/>
      <c r="AI847" s="2330"/>
      <c r="AJ847" s="2330">
        <f t="shared" si="583"/>
        <v>0</v>
      </c>
      <c r="AK847" s="2330"/>
      <c r="AL847" s="2330"/>
      <c r="AM847" s="2331">
        <f t="shared" si="567"/>
        <v>0</v>
      </c>
      <c r="AN847" s="2331"/>
      <c r="AO847" s="2331"/>
      <c r="AP847" s="2331"/>
      <c r="AQ847" s="2332">
        <f t="shared" si="584"/>
        <v>0</v>
      </c>
      <c r="AR847" s="2332"/>
      <c r="AS847" s="2332"/>
      <c r="AT847" s="2332">
        <f t="shared" si="585"/>
        <v>0</v>
      </c>
      <c r="AV847" s="151" t="str">
        <f t="shared" si="562"/>
        <v>HARDWOOD FLOORING</v>
      </c>
      <c r="AW847" s="681"/>
      <c r="AX847" s="230"/>
      <c r="AY847" s="230"/>
      <c r="AZ847" s="679"/>
      <c r="BA847" s="49">
        <f t="shared" si="586"/>
        <v>0</v>
      </c>
      <c r="BB847" s="49">
        <f t="shared" si="591"/>
        <v>0</v>
      </c>
      <c r="BC847" s="49">
        <f t="shared" si="592"/>
        <v>0</v>
      </c>
      <c r="BD847" s="49">
        <f t="shared" si="587"/>
        <v>0</v>
      </c>
      <c r="BE847" s="49">
        <f>SUM(BA847:BC847)</f>
        <v>0</v>
      </c>
      <c r="BF847" s="49">
        <f t="shared" si="588"/>
        <v>0</v>
      </c>
      <c r="BG847" s="49">
        <f t="shared" si="589"/>
        <v>0</v>
      </c>
      <c r="BI847" s="134">
        <f t="shared" si="594"/>
        <v>0</v>
      </c>
      <c r="BJ847" s="134">
        <f t="shared" si="590"/>
        <v>0</v>
      </c>
      <c r="BK847" s="134">
        <f t="shared" si="595"/>
        <v>0</v>
      </c>
    </row>
    <row r="848" spans="1:63" ht="5.0999999999999996" hidden="1" customHeight="1">
      <c r="A848" s="187"/>
      <c r="B848" s="64"/>
      <c r="C848" s="64"/>
      <c r="D848" s="885"/>
      <c r="E848" s="885"/>
      <c r="F848" s="885"/>
      <c r="G848" s="885"/>
      <c r="H848" s="885"/>
      <c r="I848" s="885"/>
      <c r="J848" s="885"/>
      <c r="K848" s="885"/>
      <c r="L848" s="885"/>
      <c r="M848" s="885"/>
      <c r="N848" s="885"/>
      <c r="O848" s="885"/>
      <c r="P848" s="66"/>
      <c r="Q848" s="66"/>
      <c r="R848" s="66"/>
      <c r="S848" s="66"/>
      <c r="T848" s="66"/>
      <c r="U848" s="67"/>
      <c r="V848" s="67"/>
      <c r="W848" s="67"/>
      <c r="X848" s="67"/>
      <c r="Y848" s="67"/>
      <c r="Z848" s="67"/>
      <c r="AA848" s="67"/>
      <c r="AB848" s="67"/>
      <c r="AC848" s="67"/>
      <c r="AD848" s="68"/>
      <c r="AE848" s="68"/>
      <c r="AF848" s="68"/>
      <c r="AG848" s="68"/>
      <c r="AH848" s="68"/>
      <c r="AI848" s="68"/>
      <c r="AJ848" s="68"/>
      <c r="AK848" s="68"/>
      <c r="AL848" s="68"/>
      <c r="AM848" s="69"/>
      <c r="AN848" s="69"/>
      <c r="AO848" s="69"/>
      <c r="AP848" s="69"/>
      <c r="AQ848" s="661"/>
      <c r="AR848" s="661"/>
      <c r="AS848" s="661"/>
      <c r="AT848" s="661"/>
      <c r="AV848" s="369" t="str">
        <f t="shared" si="562"/>
        <v>HARDWOOD FLOORING</v>
      </c>
      <c r="AW848" s="696"/>
      <c r="AX848" s="696"/>
      <c r="AY848" s="696"/>
      <c r="AZ848" s="369"/>
      <c r="BA848" s="75">
        <f>BA807</f>
        <v>0</v>
      </c>
      <c r="BB848" s="75">
        <f>BB807</f>
        <v>0</v>
      </c>
      <c r="BC848" s="75">
        <f>BC807</f>
        <v>0</v>
      </c>
      <c r="BD848" s="75">
        <f>BD807</f>
        <v>0</v>
      </c>
      <c r="BE848" s="75">
        <f>BE807</f>
        <v>0</v>
      </c>
      <c r="BF848" s="75"/>
      <c r="BG848" s="75"/>
      <c r="BI848" s="75"/>
      <c r="BJ848" s="75"/>
      <c r="BK848" s="75"/>
    </row>
    <row r="849" spans="1:63" ht="21.6" hidden="1" customHeight="1">
      <c r="A849" s="187"/>
      <c r="B849" s="2341"/>
      <c r="C849" s="2341"/>
      <c r="D849" s="886"/>
      <c r="E849" s="886"/>
      <c r="F849" s="886"/>
      <c r="G849" s="886"/>
      <c r="H849" s="886"/>
      <c r="I849" s="886"/>
      <c r="J849" s="886"/>
      <c r="K849" s="886"/>
      <c r="L849" s="886"/>
      <c r="M849" s="886"/>
      <c r="N849" s="886"/>
      <c r="O849" s="886"/>
      <c r="P849" s="37"/>
      <c r="Q849" s="37"/>
      <c r="R849" s="37"/>
      <c r="S849" s="37"/>
      <c r="T849" s="37"/>
      <c r="U849" s="37"/>
      <c r="V849" s="37"/>
      <c r="W849" s="37"/>
      <c r="X849" s="37"/>
      <c r="Y849" s="37"/>
      <c r="Z849" s="37"/>
      <c r="AA849" s="37"/>
      <c r="AB849" s="37"/>
      <c r="AC849" s="370" t="str">
        <f>CONCATENATE(D807," ","TOTAL")</f>
        <v>HARDWOOD FLOORING TOTAL</v>
      </c>
      <c r="AD849" s="2342">
        <f>SUBTOTAL(9,AD808:AD848)</f>
        <v>0</v>
      </c>
      <c r="AE849" s="2342"/>
      <c r="AF849" s="2342"/>
      <c r="AG849" s="2342">
        <f>SUBTOTAL(9,AG808:AG848)</f>
        <v>0</v>
      </c>
      <c r="AH849" s="2342"/>
      <c r="AI849" s="2342"/>
      <c r="AJ849" s="2342">
        <f>SUBTOTAL(9,AJ808:AJ848)</f>
        <v>0</v>
      </c>
      <c r="AK849" s="2342"/>
      <c r="AL849" s="2342"/>
      <c r="AM849" s="2342">
        <f>SUBTOTAL(9,AM808:AM848)</f>
        <v>0</v>
      </c>
      <c r="AN849" s="2342"/>
      <c r="AO849" s="2342"/>
      <c r="AP849" s="2342"/>
      <c r="AQ849" s="2336">
        <f>SUBTOTAL(9,AQ808:AQ848)</f>
        <v>0</v>
      </c>
      <c r="AR849" s="2336"/>
      <c r="AS849" s="2336"/>
      <c r="AT849" s="2336" t="e">
        <f>SUM(AT805:AT840)</f>
        <v>#REF!</v>
      </c>
      <c r="AV849" s="151" t="str">
        <f t="shared" si="562"/>
        <v>HARDWOOD FLOORING</v>
      </c>
      <c r="AW849" s="682"/>
      <c r="AX849" s="695"/>
      <c r="AY849" s="695"/>
      <c r="AZ849" s="274"/>
      <c r="BA849" s="74">
        <f>BA807</f>
        <v>0</v>
      </c>
      <c r="BB849" s="74">
        <f>BB807</f>
        <v>0</v>
      </c>
      <c r="BC849" s="74">
        <f>BC807</f>
        <v>0</v>
      </c>
      <c r="BD849" s="74">
        <f>BD807</f>
        <v>0</v>
      </c>
      <c r="BE849" s="74">
        <f>BE807</f>
        <v>0</v>
      </c>
      <c r="BF849" s="74">
        <f>SUM(BF807:BF848)</f>
        <v>0</v>
      </c>
      <c r="BG849" s="49">
        <f>SUM(BG807:BG848)</f>
        <v>0</v>
      </c>
      <c r="BI849" s="74">
        <f>SUM(BI808:BI848)</f>
        <v>0</v>
      </c>
      <c r="BJ849" s="74">
        <f>SUM(BJ808:BJ848)</f>
        <v>0</v>
      </c>
      <c r="BK849" s="49">
        <f>SUM(BK808:BK848)</f>
        <v>0</v>
      </c>
    </row>
    <row r="850" spans="1:63" ht="5.0999999999999996" hidden="1" customHeight="1">
      <c r="A850" s="187"/>
      <c r="B850" s="64"/>
      <c r="C850" s="64"/>
      <c r="D850" s="885"/>
      <c r="E850" s="885"/>
      <c r="F850" s="885"/>
      <c r="G850" s="885"/>
      <c r="H850" s="885"/>
      <c r="I850" s="885"/>
      <c r="J850" s="885"/>
      <c r="K850" s="885"/>
      <c r="L850" s="885"/>
      <c r="M850" s="885"/>
      <c r="N850" s="885"/>
      <c r="O850" s="885"/>
      <c r="P850" s="66"/>
      <c r="Q850" s="66"/>
      <c r="R850" s="66"/>
      <c r="S850" s="66"/>
      <c r="T850" s="66"/>
      <c r="U850" s="67"/>
      <c r="V850" s="67"/>
      <c r="W850" s="67"/>
      <c r="X850" s="67"/>
      <c r="Y850" s="67"/>
      <c r="Z850" s="67"/>
      <c r="AA850" s="67"/>
      <c r="AB850" s="67"/>
      <c r="AC850" s="67"/>
      <c r="AD850" s="68"/>
      <c r="AE850" s="68"/>
      <c r="AF850" s="68"/>
      <c r="AG850" s="68"/>
      <c r="AH850" s="68"/>
      <c r="AI850" s="68"/>
      <c r="AJ850" s="68"/>
      <c r="AK850" s="68"/>
      <c r="AL850" s="68"/>
      <c r="AM850" s="69"/>
      <c r="AN850" s="69"/>
      <c r="AO850" s="69"/>
      <c r="AP850" s="69"/>
      <c r="AQ850" s="661"/>
      <c r="AR850" s="661"/>
      <c r="AS850" s="661"/>
      <c r="AT850" s="661"/>
      <c r="AV850" s="369" t="str">
        <f t="shared" si="562"/>
        <v>HARDWOOD FLOORING</v>
      </c>
      <c r="AW850" s="696"/>
      <c r="AX850" s="696"/>
      <c r="AY850" s="696"/>
      <c r="AZ850" s="369"/>
      <c r="BA850" s="75">
        <f>BA807</f>
        <v>0</v>
      </c>
      <c r="BB850" s="75">
        <f>BB807</f>
        <v>0</v>
      </c>
      <c r="BC850" s="75">
        <f>BC807</f>
        <v>0</v>
      </c>
      <c r="BD850" s="75">
        <f>BD807</f>
        <v>0</v>
      </c>
      <c r="BE850" s="75">
        <f>BE807</f>
        <v>0</v>
      </c>
      <c r="BF850" s="75"/>
      <c r="BG850" s="75"/>
      <c r="BI850" s="75"/>
      <c r="BJ850" s="75"/>
      <c r="BK850" s="75"/>
    </row>
    <row r="851" spans="1:63" ht="9.6" hidden="1" customHeight="1">
      <c r="A851" s="187"/>
      <c r="B851" s="71"/>
      <c r="C851" s="71"/>
      <c r="D851" s="887"/>
      <c r="E851" s="887"/>
      <c r="F851" s="887"/>
      <c r="G851" s="887"/>
      <c r="H851" s="887"/>
      <c r="I851" s="887"/>
      <c r="J851" s="887"/>
      <c r="K851" s="887"/>
      <c r="L851" s="887"/>
      <c r="M851" s="887"/>
      <c r="N851" s="887"/>
      <c r="O851" s="887"/>
      <c r="P851" s="72"/>
      <c r="Q851" s="72"/>
      <c r="R851" s="72"/>
      <c r="S851" s="72"/>
      <c r="T851" s="72"/>
      <c r="U851" s="72"/>
      <c r="V851" s="72"/>
      <c r="W851" s="72"/>
      <c r="X851" s="72"/>
      <c r="Y851" s="72"/>
      <c r="Z851" s="72"/>
      <c r="AA851" s="72"/>
      <c r="AB851" s="72"/>
      <c r="AC851" s="73"/>
      <c r="AD851" s="662"/>
      <c r="AE851" s="662"/>
      <c r="AF851" s="662"/>
      <c r="AG851" s="662"/>
      <c r="AH851" s="662"/>
      <c r="AI851" s="662"/>
      <c r="AJ851" s="662"/>
      <c r="AK851" s="662"/>
      <c r="AL851" s="662"/>
      <c r="AM851" s="662"/>
      <c r="AN851" s="662"/>
      <c r="AO851" s="662"/>
      <c r="AP851" s="662"/>
      <c r="AQ851" s="663"/>
      <c r="AR851" s="663"/>
      <c r="AS851" s="663"/>
      <c r="AT851" s="663"/>
      <c r="AV851" s="371" t="str">
        <f t="shared" si="562"/>
        <v>HARDWOOD FLOORING</v>
      </c>
      <c r="AW851" s="699"/>
      <c r="AX851" s="801"/>
      <c r="AY851" s="801"/>
      <c r="AZ851" s="371"/>
      <c r="BA851" s="125">
        <f>BA849</f>
        <v>0</v>
      </c>
      <c r="BB851" s="125">
        <f t="shared" ref="BB851:BG851" si="596">BB849</f>
        <v>0</v>
      </c>
      <c r="BC851" s="125">
        <f>BC849</f>
        <v>0</v>
      </c>
      <c r="BD851" s="125">
        <f t="shared" si="596"/>
        <v>0</v>
      </c>
      <c r="BE851" s="125">
        <f t="shared" si="596"/>
        <v>0</v>
      </c>
      <c r="BF851" s="125">
        <f t="shared" si="596"/>
        <v>0</v>
      </c>
      <c r="BG851" s="125">
        <f t="shared" si="596"/>
        <v>0</v>
      </c>
      <c r="BI851" s="125"/>
      <c r="BJ851" s="125"/>
      <c r="BK851" s="125"/>
    </row>
    <row r="852" spans="1:63" ht="23.1" customHeight="1">
      <c r="A852" s="186" t="s">
        <v>952</v>
      </c>
      <c r="B852" s="2343"/>
      <c r="C852" s="2344"/>
      <c r="D852" s="2387" t="str">
        <f>T(AJ76)</f>
        <v>TILING</v>
      </c>
      <c r="E852" s="2388"/>
      <c r="F852" s="2388"/>
      <c r="G852" s="2388"/>
      <c r="H852" s="2388"/>
      <c r="I852" s="2388"/>
      <c r="J852" s="2388"/>
      <c r="K852" s="2388"/>
      <c r="L852" s="2388"/>
      <c r="M852" s="2388"/>
      <c r="N852" s="2388"/>
      <c r="O852" s="2389"/>
      <c r="P852" s="2345"/>
      <c r="Q852" s="2345"/>
      <c r="R852" s="2345"/>
      <c r="S852" s="2346"/>
      <c r="T852" s="2347"/>
      <c r="U852" s="2348"/>
      <c r="V852" s="2348"/>
      <c r="W852" s="2348"/>
      <c r="X852" s="2348"/>
      <c r="Y852" s="2348"/>
      <c r="Z852" s="2348"/>
      <c r="AA852" s="2348"/>
      <c r="AB852" s="2348"/>
      <c r="AC852" s="2348"/>
      <c r="AD852" s="2342">
        <f>AD894</f>
        <v>0</v>
      </c>
      <c r="AE852" s="2342"/>
      <c r="AF852" s="2342"/>
      <c r="AG852" s="2342">
        <f>AG894</f>
        <v>0</v>
      </c>
      <c r="AH852" s="2342"/>
      <c r="AI852" s="2342"/>
      <c r="AJ852" s="2342">
        <f>AJ894</f>
        <v>0</v>
      </c>
      <c r="AK852" s="2342"/>
      <c r="AL852" s="2342"/>
      <c r="AM852" s="2342">
        <f>AM894</f>
        <v>0</v>
      </c>
      <c r="AN852" s="2342"/>
      <c r="AO852" s="2342"/>
      <c r="AP852" s="2342"/>
      <c r="AQ852" s="2336">
        <f>AQ894</f>
        <v>0</v>
      </c>
      <c r="AR852" s="2336"/>
      <c r="AS852" s="2336"/>
      <c r="AT852" s="2336" t="e">
        <f>SUM(#REF!)</f>
        <v>#REF!</v>
      </c>
      <c r="AV852" s="151" t="str">
        <f t="shared" ref="AV852:AV896" si="597">$D$852</f>
        <v>TILING</v>
      </c>
      <c r="AW852" s="700"/>
      <c r="AX852" s="700"/>
      <c r="AY852" s="700"/>
      <c r="AZ852" s="701"/>
      <c r="BA852" s="49">
        <f>SUM(BA853:BA892)</f>
        <v>0</v>
      </c>
      <c r="BB852" s="49">
        <f>SUM(BB853:BB892)</f>
        <v>0</v>
      </c>
      <c r="BC852" s="49">
        <f>SUM(BC853:BC892)</f>
        <v>0</v>
      </c>
      <c r="BD852" s="49">
        <f>SUM(BD853:BD892)</f>
        <v>0</v>
      </c>
      <c r="BE852" s="49">
        <f>SUM(BE853:BE892)</f>
        <v>0</v>
      </c>
      <c r="BF852" s="49">
        <f t="shared" ref="BF852:BF872" si="598">AQ852</f>
        <v>0</v>
      </c>
      <c r="BG852" s="49">
        <f t="shared" ref="BG852:BG872" si="599">AM852</f>
        <v>0</v>
      </c>
      <c r="BI852" s="134">
        <f>AD852</f>
        <v>0</v>
      </c>
      <c r="BJ852" s="134">
        <f>AM852</f>
        <v>0</v>
      </c>
      <c r="BK852" s="134">
        <f>BJ852+BI852</f>
        <v>0</v>
      </c>
    </row>
    <row r="853" spans="1:63" hidden="1">
      <c r="A853" s="187"/>
      <c r="B853" s="2321"/>
      <c r="C853" s="2322"/>
      <c r="D853" s="2338" t="s">
        <v>234</v>
      </c>
      <c r="E853" s="2338"/>
      <c r="F853" s="2338"/>
      <c r="G853" s="2338"/>
      <c r="H853" s="2338"/>
      <c r="I853" s="2338"/>
      <c r="J853" s="2338"/>
      <c r="K853" s="2338"/>
      <c r="L853" s="2338"/>
      <c r="M853" s="2338"/>
      <c r="N853" s="2338"/>
      <c r="O853" s="2338"/>
      <c r="P853" s="2324"/>
      <c r="Q853" s="2324"/>
      <c r="R853" s="2325"/>
      <c r="S853" s="2324" t="s">
        <v>3</v>
      </c>
      <c r="T853" s="2324" t="s">
        <v>3</v>
      </c>
      <c r="U853" s="2326"/>
      <c r="V853" s="2327"/>
      <c r="W853" s="2327"/>
      <c r="X853" s="2327"/>
      <c r="Y853" s="2327"/>
      <c r="Z853" s="2327"/>
      <c r="AA853" s="2328"/>
      <c r="AB853" s="2329"/>
      <c r="AC853" s="2326"/>
      <c r="AD853" s="2330">
        <f t="shared" ref="AD853:AD872" si="600">((P853*U853)-AM853)</f>
        <v>0</v>
      </c>
      <c r="AE853" s="2330"/>
      <c r="AF853" s="2330"/>
      <c r="AG853" s="2330">
        <f>P853*X853*(1+$Y$85)</f>
        <v>0</v>
      </c>
      <c r="AH853" s="2330"/>
      <c r="AI853" s="2330"/>
      <c r="AJ853" s="2330">
        <f t="shared" ref="AJ853:AJ872" si="601">P853*AA853</f>
        <v>0</v>
      </c>
      <c r="AK853" s="2330"/>
      <c r="AL853" s="2330"/>
      <c r="AM853" s="2331">
        <f t="shared" ref="AM853:AM892" si="602">IF($B853="x",$P853*$U853,0)</f>
        <v>0</v>
      </c>
      <c r="AN853" s="2331"/>
      <c r="AO853" s="2331"/>
      <c r="AP853" s="2331"/>
      <c r="AQ853" s="2332">
        <f t="shared" ref="AQ853:AQ872" si="603">SUM(AD853:AL853)</f>
        <v>0</v>
      </c>
      <c r="AR853" s="2332"/>
      <c r="AS853" s="2332"/>
      <c r="AT853" s="2332">
        <f t="shared" ref="AT853:AT872" si="604">SUM(AD853:AL853)</f>
        <v>0</v>
      </c>
      <c r="AV853" s="151" t="str">
        <f t="shared" si="597"/>
        <v>TILING</v>
      </c>
      <c r="AW853" s="681"/>
      <c r="AX853" s="230"/>
      <c r="AY853" s="230"/>
      <c r="AZ853" s="679"/>
      <c r="BA853" s="49">
        <f t="shared" ref="BA853:BA872" si="605">AD853</f>
        <v>0</v>
      </c>
      <c r="BB853" s="49">
        <f>AG853</f>
        <v>0</v>
      </c>
      <c r="BC853" s="49">
        <f>AJ853</f>
        <v>0</v>
      </c>
      <c r="BD853" s="49">
        <f t="shared" ref="BD853:BD872" si="606">IF(B853="x",1,0)</f>
        <v>0</v>
      </c>
      <c r="BE853" s="49">
        <f>SUM(BA853:BC853)</f>
        <v>0</v>
      </c>
      <c r="BF853" s="49">
        <f t="shared" si="598"/>
        <v>0</v>
      </c>
      <c r="BG853" s="49">
        <f t="shared" si="599"/>
        <v>0</v>
      </c>
      <c r="BI853" s="134">
        <f>AD853</f>
        <v>0</v>
      </c>
      <c r="BJ853" s="134">
        <f t="shared" ref="BJ853:BJ872" si="607">AM853</f>
        <v>0</v>
      </c>
      <c r="BK853" s="134">
        <f>BJ853+BI853</f>
        <v>0</v>
      </c>
    </row>
    <row r="854" spans="1:63" hidden="1">
      <c r="A854" s="187"/>
      <c r="B854" s="2321"/>
      <c r="C854" s="2322"/>
      <c r="D854" s="2337" t="s">
        <v>272</v>
      </c>
      <c r="E854" s="2337"/>
      <c r="F854" s="2337"/>
      <c r="G854" s="2337"/>
      <c r="H854" s="2337"/>
      <c r="I854" s="2337"/>
      <c r="J854" s="2337"/>
      <c r="K854" s="2337"/>
      <c r="L854" s="2337"/>
      <c r="M854" s="2337"/>
      <c r="N854" s="2337"/>
      <c r="O854" s="2337"/>
      <c r="P854" s="2324"/>
      <c r="Q854" s="2324"/>
      <c r="R854" s="2325"/>
      <c r="S854" s="2324"/>
      <c r="T854" s="2324" t="s">
        <v>11</v>
      </c>
      <c r="U854" s="2326"/>
      <c r="V854" s="2327"/>
      <c r="W854" s="2327"/>
      <c r="X854" s="2327"/>
      <c r="Y854" s="2327"/>
      <c r="Z854" s="2327"/>
      <c r="AA854" s="2328"/>
      <c r="AB854" s="2329"/>
      <c r="AC854" s="2326"/>
      <c r="AD854" s="2330">
        <f t="shared" si="600"/>
        <v>0</v>
      </c>
      <c r="AE854" s="2330"/>
      <c r="AF854" s="2330"/>
      <c r="AG854" s="2330">
        <f t="shared" ref="AG854:AG892" si="608">P854*X854*(1+$Y$85)</f>
        <v>0</v>
      </c>
      <c r="AH854" s="2330"/>
      <c r="AI854" s="2330"/>
      <c r="AJ854" s="2330">
        <f t="shared" si="601"/>
        <v>0</v>
      </c>
      <c r="AK854" s="2330"/>
      <c r="AL854" s="2330"/>
      <c r="AM854" s="2331">
        <f t="shared" si="602"/>
        <v>0</v>
      </c>
      <c r="AN854" s="2331"/>
      <c r="AO854" s="2331"/>
      <c r="AP854" s="2331"/>
      <c r="AQ854" s="2332">
        <f t="shared" si="603"/>
        <v>0</v>
      </c>
      <c r="AR854" s="2332"/>
      <c r="AS854" s="2332"/>
      <c r="AT854" s="2332">
        <f t="shared" si="604"/>
        <v>0</v>
      </c>
      <c r="AV854" s="151" t="str">
        <f t="shared" si="597"/>
        <v>TILING</v>
      </c>
      <c r="AW854" s="681"/>
      <c r="AX854" s="230"/>
      <c r="AY854" s="230"/>
      <c r="AZ854" s="679"/>
      <c r="BA854" s="49">
        <f t="shared" si="605"/>
        <v>0</v>
      </c>
      <c r="BB854" s="49">
        <f t="shared" ref="BB854:BB872" si="609">AG854</f>
        <v>0</v>
      </c>
      <c r="BC854" s="49">
        <f t="shared" ref="BC854:BC872" si="610">AJ854</f>
        <v>0</v>
      </c>
      <c r="BD854" s="49">
        <f t="shared" si="606"/>
        <v>0</v>
      </c>
      <c r="BE854" s="49">
        <f t="shared" ref="BE854:BE870" si="611">SUM(BA854:BC854)</f>
        <v>0</v>
      </c>
      <c r="BF854" s="49">
        <f t="shared" si="598"/>
        <v>0</v>
      </c>
      <c r="BG854" s="49">
        <f t="shared" si="599"/>
        <v>0</v>
      </c>
      <c r="BI854" s="134">
        <f t="shared" ref="BI854:BI872" si="612">AD854</f>
        <v>0</v>
      </c>
      <c r="BJ854" s="134">
        <f t="shared" si="607"/>
        <v>0</v>
      </c>
      <c r="BK854" s="134">
        <f t="shared" ref="BK854:BK872" si="613">BJ854+BI854</f>
        <v>0</v>
      </c>
    </row>
    <row r="855" spans="1:63" hidden="1">
      <c r="A855" s="187"/>
      <c r="B855" s="2333"/>
      <c r="C855" s="2333"/>
      <c r="D855" s="2334" t="s">
        <v>236</v>
      </c>
      <c r="E855" s="2334"/>
      <c r="F855" s="2334"/>
      <c r="G855" s="2334"/>
      <c r="H855" s="2334"/>
      <c r="I855" s="2334"/>
      <c r="J855" s="2334"/>
      <c r="K855" s="2334"/>
      <c r="L855" s="2334"/>
      <c r="M855" s="2334"/>
      <c r="N855" s="2334"/>
      <c r="O855" s="2334"/>
      <c r="P855" s="2324"/>
      <c r="Q855" s="2324"/>
      <c r="R855" s="2325"/>
      <c r="S855" s="2324" t="s">
        <v>11</v>
      </c>
      <c r="T855" s="2324" t="s">
        <v>11</v>
      </c>
      <c r="U855" s="2326">
        <v>10</v>
      </c>
      <c r="V855" s="2327"/>
      <c r="W855" s="2327"/>
      <c r="X855" s="2327">
        <v>15</v>
      </c>
      <c r="Y855" s="2327"/>
      <c r="Z855" s="2327">
        <v>10</v>
      </c>
      <c r="AA855" s="2328"/>
      <c r="AB855" s="2329"/>
      <c r="AC855" s="2326"/>
      <c r="AD855" s="2330">
        <f t="shared" si="600"/>
        <v>0</v>
      </c>
      <c r="AE855" s="2330"/>
      <c r="AF855" s="2330"/>
      <c r="AG855" s="2330">
        <f t="shared" si="608"/>
        <v>0</v>
      </c>
      <c r="AH855" s="2330"/>
      <c r="AI855" s="2330"/>
      <c r="AJ855" s="2330">
        <f t="shared" si="601"/>
        <v>0</v>
      </c>
      <c r="AK855" s="2330"/>
      <c r="AL855" s="2330"/>
      <c r="AM855" s="2331">
        <f t="shared" si="602"/>
        <v>0</v>
      </c>
      <c r="AN855" s="2331"/>
      <c r="AO855" s="2331"/>
      <c r="AP855" s="2331"/>
      <c r="AQ855" s="2332">
        <f t="shared" si="603"/>
        <v>0</v>
      </c>
      <c r="AR855" s="2332"/>
      <c r="AS855" s="2332"/>
      <c r="AT855" s="2332">
        <f t="shared" si="604"/>
        <v>0</v>
      </c>
      <c r="AV855" s="151" t="str">
        <f t="shared" si="597"/>
        <v>TILING</v>
      </c>
      <c r="AW855" s="681" t="s">
        <v>45</v>
      </c>
      <c r="AX855" s="230"/>
      <c r="AY855" s="230"/>
      <c r="AZ855" s="679"/>
      <c r="BA855" s="49">
        <f t="shared" si="605"/>
        <v>0</v>
      </c>
      <c r="BB855" s="49">
        <f t="shared" si="609"/>
        <v>0</v>
      </c>
      <c r="BC855" s="49">
        <f t="shared" si="610"/>
        <v>0</v>
      </c>
      <c r="BD855" s="49">
        <f t="shared" si="606"/>
        <v>0</v>
      </c>
      <c r="BE855" s="49">
        <f t="shared" si="611"/>
        <v>0</v>
      </c>
      <c r="BF855" s="49">
        <f t="shared" si="598"/>
        <v>0</v>
      </c>
      <c r="BG855" s="49">
        <f t="shared" si="599"/>
        <v>0</v>
      </c>
      <c r="BI855" s="134">
        <f t="shared" si="612"/>
        <v>0</v>
      </c>
      <c r="BJ855" s="134">
        <f t="shared" si="607"/>
        <v>0</v>
      </c>
      <c r="BK855" s="134">
        <f t="shared" si="613"/>
        <v>0</v>
      </c>
    </row>
    <row r="856" spans="1:63" hidden="1">
      <c r="A856" s="187"/>
      <c r="B856" s="2333"/>
      <c r="C856" s="2333"/>
      <c r="D856" s="2334" t="s">
        <v>406</v>
      </c>
      <c r="E856" s="2334"/>
      <c r="F856" s="2334"/>
      <c r="G856" s="2334"/>
      <c r="H856" s="2334"/>
      <c r="I856" s="2334"/>
      <c r="J856" s="2334"/>
      <c r="K856" s="2334"/>
      <c r="L856" s="2334"/>
      <c r="M856" s="2334"/>
      <c r="N856" s="2334"/>
      <c r="O856" s="2334"/>
      <c r="P856" s="2324"/>
      <c r="Q856" s="2324"/>
      <c r="R856" s="2325"/>
      <c r="S856" s="2324" t="s">
        <v>11</v>
      </c>
      <c r="T856" s="2324" t="s">
        <v>11</v>
      </c>
      <c r="U856" s="2326">
        <v>5</v>
      </c>
      <c r="V856" s="2327"/>
      <c r="W856" s="2327"/>
      <c r="X856" s="2327">
        <v>4</v>
      </c>
      <c r="Y856" s="2327"/>
      <c r="Z856" s="2327">
        <v>6</v>
      </c>
      <c r="AA856" s="2328"/>
      <c r="AB856" s="2329"/>
      <c r="AC856" s="2326"/>
      <c r="AD856" s="2330">
        <f t="shared" si="600"/>
        <v>0</v>
      </c>
      <c r="AE856" s="2330"/>
      <c r="AF856" s="2330"/>
      <c r="AG856" s="2330">
        <f t="shared" si="608"/>
        <v>0</v>
      </c>
      <c r="AH856" s="2330"/>
      <c r="AI856" s="2330"/>
      <c r="AJ856" s="2330">
        <f t="shared" si="601"/>
        <v>0</v>
      </c>
      <c r="AK856" s="2330"/>
      <c r="AL856" s="2330"/>
      <c r="AM856" s="2331">
        <f t="shared" si="602"/>
        <v>0</v>
      </c>
      <c r="AN856" s="2331"/>
      <c r="AO856" s="2331"/>
      <c r="AP856" s="2331"/>
      <c r="AQ856" s="2332">
        <f t="shared" si="603"/>
        <v>0</v>
      </c>
      <c r="AR856" s="2332"/>
      <c r="AS856" s="2332"/>
      <c r="AT856" s="2332">
        <f t="shared" si="604"/>
        <v>0</v>
      </c>
      <c r="AV856" s="151" t="str">
        <f t="shared" si="597"/>
        <v>TILING</v>
      </c>
      <c r="AW856" s="681" t="s">
        <v>45</v>
      </c>
      <c r="AX856" s="230"/>
      <c r="AY856" s="230"/>
      <c r="AZ856" s="679"/>
      <c r="BA856" s="49">
        <f t="shared" si="605"/>
        <v>0</v>
      </c>
      <c r="BB856" s="49">
        <f t="shared" si="609"/>
        <v>0</v>
      </c>
      <c r="BC856" s="49">
        <f t="shared" si="610"/>
        <v>0</v>
      </c>
      <c r="BD856" s="49">
        <f t="shared" si="606"/>
        <v>0</v>
      </c>
      <c r="BE856" s="49">
        <f t="shared" si="611"/>
        <v>0</v>
      </c>
      <c r="BF856" s="49">
        <f t="shared" si="598"/>
        <v>0</v>
      </c>
      <c r="BG856" s="49">
        <f t="shared" si="599"/>
        <v>0</v>
      </c>
      <c r="BI856" s="134">
        <f t="shared" si="612"/>
        <v>0</v>
      </c>
      <c r="BJ856" s="134">
        <f t="shared" si="607"/>
        <v>0</v>
      </c>
      <c r="BK856" s="134">
        <f t="shared" si="613"/>
        <v>0</v>
      </c>
    </row>
    <row r="857" spans="1:63" hidden="1">
      <c r="A857" s="187"/>
      <c r="B857" s="2321"/>
      <c r="C857" s="2322"/>
      <c r="D857" s="2334"/>
      <c r="E857" s="2334"/>
      <c r="F857" s="2334"/>
      <c r="G857" s="2334"/>
      <c r="H857" s="2334"/>
      <c r="I857" s="2334"/>
      <c r="J857" s="2334"/>
      <c r="K857" s="2334"/>
      <c r="L857" s="2334"/>
      <c r="M857" s="2334"/>
      <c r="N857" s="2334"/>
      <c r="O857" s="2334"/>
      <c r="P857" s="2324"/>
      <c r="Q857" s="2324"/>
      <c r="R857" s="2325"/>
      <c r="S857" s="2324"/>
      <c r="T857" s="2324"/>
      <c r="U857" s="2326"/>
      <c r="V857" s="2327"/>
      <c r="W857" s="2327"/>
      <c r="X857" s="2327"/>
      <c r="Y857" s="2327"/>
      <c r="Z857" s="2327"/>
      <c r="AA857" s="2328"/>
      <c r="AB857" s="2329"/>
      <c r="AC857" s="2326"/>
      <c r="AD857" s="2330">
        <f t="shared" si="600"/>
        <v>0</v>
      </c>
      <c r="AE857" s="2330"/>
      <c r="AF857" s="2330"/>
      <c r="AG857" s="2330">
        <f t="shared" si="608"/>
        <v>0</v>
      </c>
      <c r="AH857" s="2330"/>
      <c r="AI857" s="2330"/>
      <c r="AJ857" s="2330">
        <f t="shared" si="601"/>
        <v>0</v>
      </c>
      <c r="AK857" s="2330"/>
      <c r="AL857" s="2330"/>
      <c r="AM857" s="2331">
        <f t="shared" si="602"/>
        <v>0</v>
      </c>
      <c r="AN857" s="2331"/>
      <c r="AO857" s="2331"/>
      <c r="AP857" s="2331"/>
      <c r="AQ857" s="2332">
        <f t="shared" si="603"/>
        <v>0</v>
      </c>
      <c r="AR857" s="2332"/>
      <c r="AS857" s="2332"/>
      <c r="AT857" s="2332">
        <f t="shared" si="604"/>
        <v>0</v>
      </c>
      <c r="AV857" s="151" t="str">
        <f t="shared" si="597"/>
        <v>TILING</v>
      </c>
      <c r="AW857" s="681" t="s">
        <v>45</v>
      </c>
      <c r="AX857" s="230"/>
      <c r="AY857" s="230"/>
      <c r="AZ857" s="679"/>
      <c r="BA857" s="49">
        <f t="shared" si="605"/>
        <v>0</v>
      </c>
      <c r="BB857" s="49">
        <f t="shared" si="609"/>
        <v>0</v>
      </c>
      <c r="BC857" s="49">
        <f t="shared" si="610"/>
        <v>0</v>
      </c>
      <c r="BD857" s="49">
        <f t="shared" si="606"/>
        <v>0</v>
      </c>
      <c r="BE857" s="49">
        <f t="shared" si="611"/>
        <v>0</v>
      </c>
      <c r="BF857" s="49">
        <f t="shared" si="598"/>
        <v>0</v>
      </c>
      <c r="BG857" s="49">
        <f t="shared" si="599"/>
        <v>0</v>
      </c>
      <c r="BI857" s="134">
        <f t="shared" si="612"/>
        <v>0</v>
      </c>
      <c r="BJ857" s="134">
        <f t="shared" si="607"/>
        <v>0</v>
      </c>
      <c r="BK857" s="134">
        <f t="shared" si="613"/>
        <v>0</v>
      </c>
    </row>
    <row r="858" spans="1:63" hidden="1">
      <c r="A858" s="187"/>
      <c r="B858" s="2321"/>
      <c r="C858" s="2322"/>
      <c r="D858" s="2338"/>
      <c r="E858" s="2338"/>
      <c r="F858" s="2338"/>
      <c r="G858" s="2338"/>
      <c r="H858" s="2338"/>
      <c r="I858" s="2338"/>
      <c r="J858" s="2338"/>
      <c r="K858" s="2338"/>
      <c r="L858" s="2338"/>
      <c r="M858" s="2338"/>
      <c r="N858" s="2338"/>
      <c r="O858" s="2338"/>
      <c r="P858" s="2324"/>
      <c r="Q858" s="2324"/>
      <c r="R858" s="2325"/>
      <c r="S858" s="2324"/>
      <c r="T858" s="2324"/>
      <c r="U858" s="2326"/>
      <c r="V858" s="2327"/>
      <c r="W858" s="2327"/>
      <c r="X858" s="2327"/>
      <c r="Y858" s="2327"/>
      <c r="Z858" s="2327"/>
      <c r="AA858" s="2328"/>
      <c r="AB858" s="2329"/>
      <c r="AC858" s="2326"/>
      <c r="AD858" s="2330">
        <f t="shared" si="600"/>
        <v>0</v>
      </c>
      <c r="AE858" s="2330"/>
      <c r="AF858" s="2330"/>
      <c r="AG858" s="2330">
        <f t="shared" si="608"/>
        <v>0</v>
      </c>
      <c r="AH858" s="2330"/>
      <c r="AI858" s="2330"/>
      <c r="AJ858" s="2330">
        <f t="shared" si="601"/>
        <v>0</v>
      </c>
      <c r="AK858" s="2330"/>
      <c r="AL858" s="2330"/>
      <c r="AM858" s="2331">
        <f t="shared" si="602"/>
        <v>0</v>
      </c>
      <c r="AN858" s="2331"/>
      <c r="AO858" s="2331"/>
      <c r="AP858" s="2331"/>
      <c r="AQ858" s="2332">
        <f t="shared" si="603"/>
        <v>0</v>
      </c>
      <c r="AR858" s="2332"/>
      <c r="AS858" s="2332"/>
      <c r="AT858" s="2332">
        <f t="shared" si="604"/>
        <v>0</v>
      </c>
      <c r="AV858" s="151" t="str">
        <f t="shared" si="597"/>
        <v>TILING</v>
      </c>
      <c r="AW858" s="681" t="s">
        <v>45</v>
      </c>
      <c r="AX858" s="230"/>
      <c r="AY858" s="230"/>
      <c r="AZ858" s="679"/>
      <c r="BA858" s="49">
        <f t="shared" si="605"/>
        <v>0</v>
      </c>
      <c r="BB858" s="49">
        <f t="shared" si="609"/>
        <v>0</v>
      </c>
      <c r="BC858" s="49">
        <f t="shared" si="610"/>
        <v>0</v>
      </c>
      <c r="BD858" s="49">
        <f t="shared" si="606"/>
        <v>0</v>
      </c>
      <c r="BE858" s="49">
        <f t="shared" si="611"/>
        <v>0</v>
      </c>
      <c r="BF858" s="49">
        <f t="shared" si="598"/>
        <v>0</v>
      </c>
      <c r="BG858" s="49">
        <f t="shared" si="599"/>
        <v>0</v>
      </c>
      <c r="BI858" s="134">
        <f t="shared" si="612"/>
        <v>0</v>
      </c>
      <c r="BJ858" s="134">
        <f t="shared" si="607"/>
        <v>0</v>
      </c>
      <c r="BK858" s="134">
        <f t="shared" si="613"/>
        <v>0</v>
      </c>
    </row>
    <row r="859" spans="1:63" hidden="1">
      <c r="A859" s="187"/>
      <c r="B859" s="2321"/>
      <c r="C859" s="2322"/>
      <c r="D859" s="2337" t="s">
        <v>46</v>
      </c>
      <c r="E859" s="2337"/>
      <c r="F859" s="2337"/>
      <c r="G859" s="2337"/>
      <c r="H859" s="2337"/>
      <c r="I859" s="2337"/>
      <c r="J859" s="2337"/>
      <c r="K859" s="2337"/>
      <c r="L859" s="2337"/>
      <c r="M859" s="2337"/>
      <c r="N859" s="2337"/>
      <c r="O859" s="2337"/>
      <c r="P859" s="2324"/>
      <c r="Q859" s="2324"/>
      <c r="R859" s="2325"/>
      <c r="S859" s="2324"/>
      <c r="T859" s="2324" t="s">
        <v>11</v>
      </c>
      <c r="U859" s="2326"/>
      <c r="V859" s="2327"/>
      <c r="W859" s="2327"/>
      <c r="X859" s="2327"/>
      <c r="Y859" s="2327"/>
      <c r="Z859" s="2327"/>
      <c r="AA859" s="2328"/>
      <c r="AB859" s="2329"/>
      <c r="AC859" s="2326"/>
      <c r="AD859" s="2330">
        <f t="shared" si="600"/>
        <v>0</v>
      </c>
      <c r="AE859" s="2330"/>
      <c r="AF859" s="2330"/>
      <c r="AG859" s="2330">
        <f t="shared" si="608"/>
        <v>0</v>
      </c>
      <c r="AH859" s="2330"/>
      <c r="AI859" s="2330"/>
      <c r="AJ859" s="2330">
        <f t="shared" si="601"/>
        <v>0</v>
      </c>
      <c r="AK859" s="2330"/>
      <c r="AL859" s="2330"/>
      <c r="AM859" s="2331">
        <f t="shared" si="602"/>
        <v>0</v>
      </c>
      <c r="AN859" s="2331"/>
      <c r="AO859" s="2331"/>
      <c r="AP859" s="2331"/>
      <c r="AQ859" s="2332">
        <f t="shared" si="603"/>
        <v>0</v>
      </c>
      <c r="AR859" s="2332"/>
      <c r="AS859" s="2332"/>
      <c r="AT859" s="2332">
        <f t="shared" si="604"/>
        <v>0</v>
      </c>
      <c r="AV859" s="151" t="str">
        <f t="shared" si="597"/>
        <v>TILING</v>
      </c>
      <c r="AW859" s="681"/>
      <c r="AX859" s="230"/>
      <c r="AY859" s="230"/>
      <c r="AZ859" s="679"/>
      <c r="BA859" s="49">
        <f t="shared" si="605"/>
        <v>0</v>
      </c>
      <c r="BB859" s="49">
        <f t="shared" si="609"/>
        <v>0</v>
      </c>
      <c r="BC859" s="49">
        <f t="shared" si="610"/>
        <v>0</v>
      </c>
      <c r="BD859" s="49">
        <f t="shared" si="606"/>
        <v>0</v>
      </c>
      <c r="BE859" s="49">
        <f t="shared" si="611"/>
        <v>0</v>
      </c>
      <c r="BF859" s="49">
        <f t="shared" si="598"/>
        <v>0</v>
      </c>
      <c r="BG859" s="49">
        <f t="shared" si="599"/>
        <v>0</v>
      </c>
      <c r="BI859" s="134">
        <f t="shared" si="612"/>
        <v>0</v>
      </c>
      <c r="BJ859" s="134">
        <f t="shared" si="607"/>
        <v>0</v>
      </c>
      <c r="BK859" s="134">
        <f t="shared" si="613"/>
        <v>0</v>
      </c>
    </row>
    <row r="860" spans="1:63" hidden="1">
      <c r="A860" s="187"/>
      <c r="B860" s="2321"/>
      <c r="C860" s="2322"/>
      <c r="D860" s="2334" t="s">
        <v>235</v>
      </c>
      <c r="E860" s="2334"/>
      <c r="F860" s="2334"/>
      <c r="G860" s="2334"/>
      <c r="H860" s="2334"/>
      <c r="I860" s="2334"/>
      <c r="J860" s="2334"/>
      <c r="K860" s="2334"/>
      <c r="L860" s="2334"/>
      <c r="M860" s="2334"/>
      <c r="N860" s="2334"/>
      <c r="O860" s="2334"/>
      <c r="P860" s="2324"/>
      <c r="Q860" s="2324"/>
      <c r="R860" s="2325"/>
      <c r="S860" s="2324" t="s">
        <v>11</v>
      </c>
      <c r="T860" s="2324" t="s">
        <v>11</v>
      </c>
      <c r="U860" s="2326">
        <v>5</v>
      </c>
      <c r="V860" s="2327"/>
      <c r="W860" s="2327"/>
      <c r="X860" s="2327">
        <v>6</v>
      </c>
      <c r="Y860" s="2327"/>
      <c r="Z860" s="2327">
        <v>4</v>
      </c>
      <c r="AA860" s="2328"/>
      <c r="AB860" s="2329"/>
      <c r="AC860" s="2326"/>
      <c r="AD860" s="2330">
        <f t="shared" si="600"/>
        <v>0</v>
      </c>
      <c r="AE860" s="2330"/>
      <c r="AF860" s="2330"/>
      <c r="AG860" s="2330">
        <f t="shared" si="608"/>
        <v>0</v>
      </c>
      <c r="AH860" s="2330"/>
      <c r="AI860" s="2330"/>
      <c r="AJ860" s="2330">
        <f t="shared" si="601"/>
        <v>0</v>
      </c>
      <c r="AK860" s="2330"/>
      <c r="AL860" s="2330"/>
      <c r="AM860" s="2331">
        <f t="shared" si="602"/>
        <v>0</v>
      </c>
      <c r="AN860" s="2331"/>
      <c r="AO860" s="2331"/>
      <c r="AP860" s="2331"/>
      <c r="AQ860" s="2332">
        <f t="shared" si="603"/>
        <v>0</v>
      </c>
      <c r="AR860" s="2332"/>
      <c r="AS860" s="2332"/>
      <c r="AT860" s="2332">
        <f t="shared" si="604"/>
        <v>0</v>
      </c>
      <c r="AV860" s="151" t="str">
        <f t="shared" si="597"/>
        <v>TILING</v>
      </c>
      <c r="AW860" s="681" t="s">
        <v>46</v>
      </c>
      <c r="AX860" s="230"/>
      <c r="AY860" s="230"/>
      <c r="AZ860" s="679"/>
      <c r="BA860" s="49">
        <f t="shared" si="605"/>
        <v>0</v>
      </c>
      <c r="BB860" s="49">
        <f t="shared" si="609"/>
        <v>0</v>
      </c>
      <c r="BC860" s="49">
        <f t="shared" si="610"/>
        <v>0</v>
      </c>
      <c r="BD860" s="49">
        <f t="shared" si="606"/>
        <v>0</v>
      </c>
      <c r="BE860" s="49">
        <f t="shared" si="611"/>
        <v>0</v>
      </c>
      <c r="BF860" s="49">
        <f t="shared" si="598"/>
        <v>0</v>
      </c>
      <c r="BG860" s="49">
        <f t="shared" si="599"/>
        <v>0</v>
      </c>
      <c r="BI860" s="134">
        <f t="shared" si="612"/>
        <v>0</v>
      </c>
      <c r="BJ860" s="134">
        <f t="shared" si="607"/>
        <v>0</v>
      </c>
      <c r="BK860" s="134">
        <f t="shared" si="613"/>
        <v>0</v>
      </c>
    </row>
    <row r="861" spans="1:63" hidden="1">
      <c r="A861" s="187"/>
      <c r="B861" s="2321"/>
      <c r="C861" s="2322"/>
      <c r="D861" s="2334" t="s">
        <v>301</v>
      </c>
      <c r="E861" s="2334"/>
      <c r="F861" s="2334"/>
      <c r="G861" s="2334"/>
      <c r="H861" s="2334"/>
      <c r="I861" s="2334"/>
      <c r="J861" s="2334"/>
      <c r="K861" s="2334"/>
      <c r="L861" s="2334"/>
      <c r="M861" s="2334"/>
      <c r="N861" s="2334"/>
      <c r="O861" s="2334"/>
      <c r="P861" s="2324"/>
      <c r="Q861" s="2324"/>
      <c r="R861" s="2325"/>
      <c r="S861" s="2324" t="s">
        <v>11</v>
      </c>
      <c r="T861" s="2324" t="s">
        <v>11</v>
      </c>
      <c r="U861" s="2326">
        <v>5</v>
      </c>
      <c r="V861" s="2327"/>
      <c r="W861" s="2327"/>
      <c r="X861" s="2327">
        <v>15</v>
      </c>
      <c r="Y861" s="2327"/>
      <c r="Z861" s="2327">
        <v>12</v>
      </c>
      <c r="AA861" s="2328"/>
      <c r="AB861" s="2329"/>
      <c r="AC861" s="2326"/>
      <c r="AD861" s="2330">
        <f t="shared" si="600"/>
        <v>0</v>
      </c>
      <c r="AE861" s="2330"/>
      <c r="AF861" s="2330"/>
      <c r="AG861" s="2330">
        <f t="shared" si="608"/>
        <v>0</v>
      </c>
      <c r="AH861" s="2330"/>
      <c r="AI861" s="2330"/>
      <c r="AJ861" s="2330">
        <f t="shared" si="601"/>
        <v>0</v>
      </c>
      <c r="AK861" s="2330"/>
      <c r="AL861" s="2330"/>
      <c r="AM861" s="2331">
        <f t="shared" si="602"/>
        <v>0</v>
      </c>
      <c r="AN861" s="2331"/>
      <c r="AO861" s="2331"/>
      <c r="AP861" s="2331"/>
      <c r="AQ861" s="2332">
        <f t="shared" si="603"/>
        <v>0</v>
      </c>
      <c r="AR861" s="2332"/>
      <c r="AS861" s="2332"/>
      <c r="AT861" s="2332">
        <f t="shared" si="604"/>
        <v>0</v>
      </c>
      <c r="AV861" s="151" t="str">
        <f t="shared" si="597"/>
        <v>TILING</v>
      </c>
      <c r="AW861" s="681" t="s">
        <v>46</v>
      </c>
      <c r="AX861" s="230"/>
      <c r="AY861" s="230"/>
      <c r="AZ861" s="679"/>
      <c r="BA861" s="49">
        <f t="shared" si="605"/>
        <v>0</v>
      </c>
      <c r="BB861" s="49">
        <f t="shared" si="609"/>
        <v>0</v>
      </c>
      <c r="BC861" s="49">
        <f t="shared" si="610"/>
        <v>0</v>
      </c>
      <c r="BD861" s="49">
        <f t="shared" si="606"/>
        <v>0</v>
      </c>
      <c r="BE861" s="49">
        <f t="shared" si="611"/>
        <v>0</v>
      </c>
      <c r="BF861" s="49">
        <f t="shared" si="598"/>
        <v>0</v>
      </c>
      <c r="BG861" s="49">
        <f t="shared" si="599"/>
        <v>0</v>
      </c>
      <c r="BI861" s="134">
        <f t="shared" si="612"/>
        <v>0</v>
      </c>
      <c r="BJ861" s="134">
        <f t="shared" si="607"/>
        <v>0</v>
      </c>
      <c r="BK861" s="134">
        <f t="shared" si="613"/>
        <v>0</v>
      </c>
    </row>
    <row r="862" spans="1:63" hidden="1">
      <c r="A862" s="187"/>
      <c r="B862" s="2333"/>
      <c r="C862" s="2333"/>
      <c r="D862" s="2334" t="s">
        <v>446</v>
      </c>
      <c r="E862" s="2334"/>
      <c r="F862" s="2334"/>
      <c r="G862" s="2334"/>
      <c r="H862" s="2334"/>
      <c r="I862" s="2334"/>
      <c r="J862" s="2334"/>
      <c r="K862" s="2334"/>
      <c r="L862" s="2334"/>
      <c r="M862" s="2334"/>
      <c r="N862" s="2334"/>
      <c r="O862" s="2334"/>
      <c r="P862" s="2324"/>
      <c r="Q862" s="2324"/>
      <c r="R862" s="2325"/>
      <c r="S862" s="2324" t="s">
        <v>11</v>
      </c>
      <c r="T862" s="2324" t="s">
        <v>11</v>
      </c>
      <c r="U862" s="2326">
        <v>5</v>
      </c>
      <c r="V862" s="2327"/>
      <c r="W862" s="2327"/>
      <c r="X862" s="2327">
        <v>5</v>
      </c>
      <c r="Y862" s="2327"/>
      <c r="Z862" s="2327">
        <v>5</v>
      </c>
      <c r="AA862" s="2328"/>
      <c r="AB862" s="2329"/>
      <c r="AC862" s="2326"/>
      <c r="AD862" s="2330">
        <f t="shared" si="600"/>
        <v>0</v>
      </c>
      <c r="AE862" s="2330"/>
      <c r="AF862" s="2330"/>
      <c r="AG862" s="2330">
        <f t="shared" si="608"/>
        <v>0</v>
      </c>
      <c r="AH862" s="2330"/>
      <c r="AI862" s="2330"/>
      <c r="AJ862" s="2330">
        <f t="shared" si="601"/>
        <v>0</v>
      </c>
      <c r="AK862" s="2330"/>
      <c r="AL862" s="2330"/>
      <c r="AM862" s="2331">
        <f t="shared" si="602"/>
        <v>0</v>
      </c>
      <c r="AN862" s="2331"/>
      <c r="AO862" s="2331"/>
      <c r="AP862" s="2331"/>
      <c r="AQ862" s="2332">
        <f t="shared" si="603"/>
        <v>0</v>
      </c>
      <c r="AR862" s="2332"/>
      <c r="AS862" s="2332"/>
      <c r="AT862" s="2332">
        <f t="shared" si="604"/>
        <v>0</v>
      </c>
      <c r="AV862" s="151" t="str">
        <f t="shared" si="597"/>
        <v>TILING</v>
      </c>
      <c r="AW862" s="681" t="s">
        <v>46</v>
      </c>
      <c r="AX862" s="230"/>
      <c r="AY862" s="230"/>
      <c r="AZ862" s="679"/>
      <c r="BA862" s="49">
        <f t="shared" si="605"/>
        <v>0</v>
      </c>
      <c r="BB862" s="49">
        <f t="shared" si="609"/>
        <v>0</v>
      </c>
      <c r="BC862" s="49">
        <f t="shared" si="610"/>
        <v>0</v>
      </c>
      <c r="BD862" s="49">
        <f t="shared" si="606"/>
        <v>0</v>
      </c>
      <c r="BE862" s="49">
        <f t="shared" si="611"/>
        <v>0</v>
      </c>
      <c r="BF862" s="49">
        <f t="shared" si="598"/>
        <v>0</v>
      </c>
      <c r="BG862" s="49">
        <f t="shared" si="599"/>
        <v>0</v>
      </c>
      <c r="BI862" s="134">
        <f t="shared" si="612"/>
        <v>0</v>
      </c>
      <c r="BJ862" s="134">
        <f t="shared" si="607"/>
        <v>0</v>
      </c>
      <c r="BK862" s="134">
        <f t="shared" si="613"/>
        <v>0</v>
      </c>
    </row>
    <row r="863" spans="1:63" hidden="1">
      <c r="A863" s="187"/>
      <c r="B863" s="2333"/>
      <c r="C863" s="2333"/>
      <c r="D863" s="2334"/>
      <c r="E863" s="2334"/>
      <c r="F863" s="2334"/>
      <c r="G863" s="2334"/>
      <c r="H863" s="2334"/>
      <c r="I863" s="2334"/>
      <c r="J863" s="2334"/>
      <c r="K863" s="2334"/>
      <c r="L863" s="2334"/>
      <c r="M863" s="2334"/>
      <c r="N863" s="2334"/>
      <c r="O863" s="2334"/>
      <c r="P863" s="2324"/>
      <c r="Q863" s="2324"/>
      <c r="R863" s="2325"/>
      <c r="S863" s="2324"/>
      <c r="T863" s="2324"/>
      <c r="U863" s="2326"/>
      <c r="V863" s="2327"/>
      <c r="W863" s="2327"/>
      <c r="X863" s="2327"/>
      <c r="Y863" s="2327"/>
      <c r="Z863" s="2327"/>
      <c r="AA863" s="2328"/>
      <c r="AB863" s="2329"/>
      <c r="AC863" s="2326"/>
      <c r="AD863" s="2330">
        <f t="shared" si="600"/>
        <v>0</v>
      </c>
      <c r="AE863" s="2330"/>
      <c r="AF863" s="2330"/>
      <c r="AG863" s="2330">
        <f t="shared" si="608"/>
        <v>0</v>
      </c>
      <c r="AH863" s="2330"/>
      <c r="AI863" s="2330"/>
      <c r="AJ863" s="2330">
        <f t="shared" si="601"/>
        <v>0</v>
      </c>
      <c r="AK863" s="2330"/>
      <c r="AL863" s="2330"/>
      <c r="AM863" s="2331">
        <f t="shared" si="602"/>
        <v>0</v>
      </c>
      <c r="AN863" s="2331"/>
      <c r="AO863" s="2331"/>
      <c r="AP863" s="2331"/>
      <c r="AQ863" s="2332">
        <f t="shared" si="603"/>
        <v>0</v>
      </c>
      <c r="AR863" s="2332"/>
      <c r="AS863" s="2332"/>
      <c r="AT863" s="2332">
        <f t="shared" si="604"/>
        <v>0</v>
      </c>
      <c r="AV863" s="151" t="str">
        <f t="shared" si="597"/>
        <v>TILING</v>
      </c>
      <c r="AW863" s="681"/>
      <c r="AX863" s="230"/>
      <c r="AY863" s="230"/>
      <c r="AZ863" s="679"/>
      <c r="BA863" s="49">
        <f t="shared" si="605"/>
        <v>0</v>
      </c>
      <c r="BB863" s="49">
        <f t="shared" si="609"/>
        <v>0</v>
      </c>
      <c r="BC863" s="49">
        <f t="shared" si="610"/>
        <v>0</v>
      </c>
      <c r="BD863" s="49">
        <f t="shared" si="606"/>
        <v>0</v>
      </c>
      <c r="BE863" s="49">
        <f t="shared" si="611"/>
        <v>0</v>
      </c>
      <c r="BF863" s="49">
        <f t="shared" si="598"/>
        <v>0</v>
      </c>
      <c r="BG863" s="49">
        <f t="shared" si="599"/>
        <v>0</v>
      </c>
      <c r="BI863" s="134">
        <f t="shared" si="612"/>
        <v>0</v>
      </c>
      <c r="BJ863" s="134">
        <f t="shared" si="607"/>
        <v>0</v>
      </c>
      <c r="BK863" s="134">
        <f t="shared" si="613"/>
        <v>0</v>
      </c>
    </row>
    <row r="864" spans="1:63" hidden="1">
      <c r="A864" s="187"/>
      <c r="B864" s="2321"/>
      <c r="C864" s="2322"/>
      <c r="D864" s="2334"/>
      <c r="E864" s="2334"/>
      <c r="F864" s="2334"/>
      <c r="G864" s="2334"/>
      <c r="H864" s="2334"/>
      <c r="I864" s="2334"/>
      <c r="J864" s="2334"/>
      <c r="K864" s="2334"/>
      <c r="L864" s="2334"/>
      <c r="M864" s="2334"/>
      <c r="N864" s="2334"/>
      <c r="O864" s="2334"/>
      <c r="P864" s="2324"/>
      <c r="Q864" s="2324"/>
      <c r="R864" s="2325"/>
      <c r="S864" s="2324"/>
      <c r="T864" s="2324"/>
      <c r="U864" s="2326"/>
      <c r="V864" s="2327"/>
      <c r="W864" s="2327"/>
      <c r="X864" s="2327"/>
      <c r="Y864" s="2327"/>
      <c r="Z864" s="2327"/>
      <c r="AA864" s="2328"/>
      <c r="AB864" s="2329"/>
      <c r="AC864" s="2326"/>
      <c r="AD864" s="2330">
        <f t="shared" si="600"/>
        <v>0</v>
      </c>
      <c r="AE864" s="2330"/>
      <c r="AF864" s="2330"/>
      <c r="AG864" s="2330">
        <f t="shared" si="608"/>
        <v>0</v>
      </c>
      <c r="AH864" s="2330"/>
      <c r="AI864" s="2330"/>
      <c r="AJ864" s="2330">
        <f t="shared" si="601"/>
        <v>0</v>
      </c>
      <c r="AK864" s="2330"/>
      <c r="AL864" s="2330"/>
      <c r="AM864" s="2331">
        <f t="shared" si="602"/>
        <v>0</v>
      </c>
      <c r="AN864" s="2331"/>
      <c r="AO864" s="2331"/>
      <c r="AP864" s="2331"/>
      <c r="AQ864" s="2332">
        <f t="shared" si="603"/>
        <v>0</v>
      </c>
      <c r="AR864" s="2332"/>
      <c r="AS864" s="2332"/>
      <c r="AT864" s="2332">
        <f t="shared" si="604"/>
        <v>0</v>
      </c>
      <c r="AV864" s="151" t="str">
        <f t="shared" si="597"/>
        <v>TILING</v>
      </c>
      <c r="AW864" s="681"/>
      <c r="AX864" s="230"/>
      <c r="AY864" s="230"/>
      <c r="AZ864" s="679"/>
      <c r="BA864" s="49">
        <f t="shared" si="605"/>
        <v>0</v>
      </c>
      <c r="BB864" s="49">
        <f t="shared" si="609"/>
        <v>0</v>
      </c>
      <c r="BC864" s="49">
        <f t="shared" si="610"/>
        <v>0</v>
      </c>
      <c r="BD864" s="49">
        <f t="shared" si="606"/>
        <v>0</v>
      </c>
      <c r="BE864" s="49">
        <f t="shared" si="611"/>
        <v>0</v>
      </c>
      <c r="BF864" s="49">
        <f t="shared" si="598"/>
        <v>0</v>
      </c>
      <c r="BG864" s="49">
        <f t="shared" si="599"/>
        <v>0</v>
      </c>
      <c r="BI864" s="134">
        <f t="shared" si="612"/>
        <v>0</v>
      </c>
      <c r="BJ864" s="134">
        <f t="shared" si="607"/>
        <v>0</v>
      </c>
      <c r="BK864" s="134">
        <f t="shared" si="613"/>
        <v>0</v>
      </c>
    </row>
    <row r="865" spans="1:63" hidden="1">
      <c r="A865" s="187"/>
      <c r="B865" s="2321"/>
      <c r="C865" s="2322"/>
      <c r="D865" s="2337" t="s">
        <v>302</v>
      </c>
      <c r="E865" s="2337"/>
      <c r="F865" s="2337"/>
      <c r="G865" s="2337"/>
      <c r="H865" s="2337"/>
      <c r="I865" s="2337"/>
      <c r="J865" s="2337"/>
      <c r="K865" s="2337"/>
      <c r="L865" s="2337"/>
      <c r="M865" s="2337"/>
      <c r="N865" s="2337"/>
      <c r="O865" s="2337"/>
      <c r="P865" s="2324"/>
      <c r="Q865" s="2324"/>
      <c r="R865" s="2325"/>
      <c r="S865" s="2324"/>
      <c r="T865" s="2324" t="s">
        <v>11</v>
      </c>
      <c r="U865" s="2326"/>
      <c r="V865" s="2327"/>
      <c r="W865" s="2327"/>
      <c r="X865" s="2327"/>
      <c r="Y865" s="2327"/>
      <c r="Z865" s="2327"/>
      <c r="AA865" s="2328"/>
      <c r="AB865" s="2329"/>
      <c r="AC865" s="2326"/>
      <c r="AD865" s="2330">
        <f t="shared" si="600"/>
        <v>0</v>
      </c>
      <c r="AE865" s="2330"/>
      <c r="AF865" s="2330"/>
      <c r="AG865" s="2330">
        <f t="shared" si="608"/>
        <v>0</v>
      </c>
      <c r="AH865" s="2330"/>
      <c r="AI865" s="2330"/>
      <c r="AJ865" s="2330">
        <f t="shared" si="601"/>
        <v>0</v>
      </c>
      <c r="AK865" s="2330"/>
      <c r="AL865" s="2330"/>
      <c r="AM865" s="2331">
        <f t="shared" si="602"/>
        <v>0</v>
      </c>
      <c r="AN865" s="2331"/>
      <c r="AO865" s="2331"/>
      <c r="AP865" s="2331"/>
      <c r="AQ865" s="2332">
        <f t="shared" si="603"/>
        <v>0</v>
      </c>
      <c r="AR865" s="2332"/>
      <c r="AS865" s="2332"/>
      <c r="AT865" s="2332">
        <f t="shared" si="604"/>
        <v>0</v>
      </c>
      <c r="AV865" s="151" t="str">
        <f t="shared" si="597"/>
        <v>TILING</v>
      </c>
      <c r="AW865" s="681"/>
      <c r="AX865" s="230"/>
      <c r="AY865" s="230"/>
      <c r="AZ865" s="679"/>
      <c r="BA865" s="49">
        <f t="shared" si="605"/>
        <v>0</v>
      </c>
      <c r="BB865" s="49">
        <f t="shared" si="609"/>
        <v>0</v>
      </c>
      <c r="BC865" s="49">
        <f t="shared" si="610"/>
        <v>0</v>
      </c>
      <c r="BD865" s="49">
        <f t="shared" si="606"/>
        <v>0</v>
      </c>
      <c r="BE865" s="49">
        <f t="shared" si="611"/>
        <v>0</v>
      </c>
      <c r="BF865" s="49">
        <f t="shared" si="598"/>
        <v>0</v>
      </c>
      <c r="BG865" s="49">
        <f t="shared" si="599"/>
        <v>0</v>
      </c>
      <c r="BI865" s="134">
        <f t="shared" si="612"/>
        <v>0</v>
      </c>
      <c r="BJ865" s="134">
        <f t="shared" si="607"/>
        <v>0</v>
      </c>
      <c r="BK865" s="134">
        <f t="shared" si="613"/>
        <v>0</v>
      </c>
    </row>
    <row r="866" spans="1:63" hidden="1">
      <c r="A866" s="187"/>
      <c r="B866" s="2321"/>
      <c r="C866" s="2322"/>
      <c r="D866" s="2334" t="s">
        <v>447</v>
      </c>
      <c r="E866" s="2334"/>
      <c r="F866" s="2334"/>
      <c r="G866" s="2334"/>
      <c r="H866" s="2334"/>
      <c r="I866" s="2334"/>
      <c r="J866" s="2334"/>
      <c r="K866" s="2334"/>
      <c r="L866" s="2334"/>
      <c r="M866" s="2334"/>
      <c r="N866" s="2334"/>
      <c r="O866" s="2334"/>
      <c r="P866" s="2324"/>
      <c r="Q866" s="2324"/>
      <c r="R866" s="2325"/>
      <c r="S866" s="2324" t="s">
        <v>11</v>
      </c>
      <c r="T866" s="2324" t="s">
        <v>11</v>
      </c>
      <c r="U866" s="2326">
        <v>5</v>
      </c>
      <c r="V866" s="2327"/>
      <c r="W866" s="2327"/>
      <c r="X866" s="2327">
        <v>4</v>
      </c>
      <c r="Y866" s="2327"/>
      <c r="Z866" s="2327">
        <v>4</v>
      </c>
      <c r="AA866" s="2328"/>
      <c r="AB866" s="2329"/>
      <c r="AC866" s="2326"/>
      <c r="AD866" s="2330">
        <f t="shared" si="600"/>
        <v>0</v>
      </c>
      <c r="AE866" s="2330"/>
      <c r="AF866" s="2330"/>
      <c r="AG866" s="2330">
        <f t="shared" si="608"/>
        <v>0</v>
      </c>
      <c r="AH866" s="2330"/>
      <c r="AI866" s="2330"/>
      <c r="AJ866" s="2330">
        <f t="shared" si="601"/>
        <v>0</v>
      </c>
      <c r="AK866" s="2330"/>
      <c r="AL866" s="2330"/>
      <c r="AM866" s="2331">
        <f t="shared" si="602"/>
        <v>0</v>
      </c>
      <c r="AN866" s="2331"/>
      <c r="AO866" s="2331"/>
      <c r="AP866" s="2331"/>
      <c r="AQ866" s="2332">
        <f t="shared" si="603"/>
        <v>0</v>
      </c>
      <c r="AR866" s="2332"/>
      <c r="AS866" s="2332"/>
      <c r="AT866" s="2332">
        <f t="shared" si="604"/>
        <v>0</v>
      </c>
      <c r="AV866" s="151" t="str">
        <f t="shared" si="597"/>
        <v>TILING</v>
      </c>
      <c r="AW866" s="681"/>
      <c r="AX866" s="230"/>
      <c r="AY866" s="230"/>
      <c r="AZ866" s="679"/>
      <c r="BA866" s="49">
        <f t="shared" si="605"/>
        <v>0</v>
      </c>
      <c r="BB866" s="49">
        <f t="shared" si="609"/>
        <v>0</v>
      </c>
      <c r="BC866" s="49">
        <f t="shared" si="610"/>
        <v>0</v>
      </c>
      <c r="BD866" s="49">
        <f t="shared" si="606"/>
        <v>0</v>
      </c>
      <c r="BE866" s="49">
        <f t="shared" si="611"/>
        <v>0</v>
      </c>
      <c r="BF866" s="49">
        <f t="shared" si="598"/>
        <v>0</v>
      </c>
      <c r="BG866" s="49">
        <f t="shared" si="599"/>
        <v>0</v>
      </c>
      <c r="BI866" s="134">
        <f t="shared" si="612"/>
        <v>0</v>
      </c>
      <c r="BJ866" s="134">
        <f t="shared" si="607"/>
        <v>0</v>
      </c>
      <c r="BK866" s="134">
        <f t="shared" si="613"/>
        <v>0</v>
      </c>
    </row>
    <row r="867" spans="1:63" hidden="1">
      <c r="A867" s="187"/>
      <c r="B867" s="2321"/>
      <c r="C867" s="2322"/>
      <c r="D867" s="2334" t="s">
        <v>411</v>
      </c>
      <c r="E867" s="2334"/>
      <c r="F867" s="2334"/>
      <c r="G867" s="2334"/>
      <c r="H867" s="2334"/>
      <c r="I867" s="2334"/>
      <c r="J867" s="2334"/>
      <c r="K867" s="2334"/>
      <c r="L867" s="2334"/>
      <c r="M867" s="2334"/>
      <c r="N867" s="2334"/>
      <c r="O867" s="2334"/>
      <c r="P867" s="2324"/>
      <c r="Q867" s="2324"/>
      <c r="R867" s="2325"/>
      <c r="S867" s="2324" t="s">
        <v>11</v>
      </c>
      <c r="T867" s="2324" t="s">
        <v>11</v>
      </c>
      <c r="U867" s="2326">
        <v>10</v>
      </c>
      <c r="V867" s="2327"/>
      <c r="W867" s="2327"/>
      <c r="X867" s="2327">
        <v>12</v>
      </c>
      <c r="Y867" s="2327"/>
      <c r="Z867" s="2327">
        <v>12</v>
      </c>
      <c r="AA867" s="2328"/>
      <c r="AB867" s="2329"/>
      <c r="AC867" s="2326"/>
      <c r="AD867" s="2330">
        <f t="shared" si="600"/>
        <v>0</v>
      </c>
      <c r="AE867" s="2330"/>
      <c r="AF867" s="2330"/>
      <c r="AG867" s="2330">
        <f t="shared" si="608"/>
        <v>0</v>
      </c>
      <c r="AH867" s="2330"/>
      <c r="AI867" s="2330"/>
      <c r="AJ867" s="2330">
        <f t="shared" si="601"/>
        <v>0</v>
      </c>
      <c r="AK867" s="2330"/>
      <c r="AL867" s="2330"/>
      <c r="AM867" s="2331">
        <f t="shared" si="602"/>
        <v>0</v>
      </c>
      <c r="AN867" s="2331"/>
      <c r="AO867" s="2331"/>
      <c r="AP867" s="2331"/>
      <c r="AQ867" s="2332">
        <f t="shared" si="603"/>
        <v>0</v>
      </c>
      <c r="AR867" s="2332"/>
      <c r="AS867" s="2332"/>
      <c r="AT867" s="2332">
        <f t="shared" si="604"/>
        <v>0</v>
      </c>
      <c r="AV867" s="151" t="str">
        <f t="shared" si="597"/>
        <v>TILING</v>
      </c>
      <c r="AW867" s="681"/>
      <c r="AX867" s="230"/>
      <c r="AY867" s="230"/>
      <c r="AZ867" s="679"/>
      <c r="BA867" s="49">
        <f t="shared" si="605"/>
        <v>0</v>
      </c>
      <c r="BB867" s="49">
        <f t="shared" si="609"/>
        <v>0</v>
      </c>
      <c r="BC867" s="49">
        <f t="shared" si="610"/>
        <v>0</v>
      </c>
      <c r="BD867" s="49">
        <f t="shared" si="606"/>
        <v>0</v>
      </c>
      <c r="BE867" s="49">
        <f t="shared" si="611"/>
        <v>0</v>
      </c>
      <c r="BF867" s="49">
        <f t="shared" si="598"/>
        <v>0</v>
      </c>
      <c r="BG867" s="49">
        <f t="shared" si="599"/>
        <v>0</v>
      </c>
      <c r="BI867" s="134">
        <f t="shared" si="612"/>
        <v>0</v>
      </c>
      <c r="BJ867" s="134">
        <f t="shared" si="607"/>
        <v>0</v>
      </c>
      <c r="BK867" s="134">
        <f t="shared" si="613"/>
        <v>0</v>
      </c>
    </row>
    <row r="868" spans="1:63" hidden="1">
      <c r="A868" s="187"/>
      <c r="B868" s="2321"/>
      <c r="C868" s="2322"/>
      <c r="D868" s="2334"/>
      <c r="E868" s="2334"/>
      <c r="F868" s="2334"/>
      <c r="G868" s="2334"/>
      <c r="H868" s="2334"/>
      <c r="I868" s="2334"/>
      <c r="J868" s="2334"/>
      <c r="K868" s="2334"/>
      <c r="L868" s="2334"/>
      <c r="M868" s="2334"/>
      <c r="N868" s="2334"/>
      <c r="O868" s="2334"/>
      <c r="P868" s="2324"/>
      <c r="Q868" s="2324"/>
      <c r="R868" s="2325"/>
      <c r="S868" s="2324"/>
      <c r="T868" s="2324"/>
      <c r="U868" s="2326"/>
      <c r="V868" s="2327"/>
      <c r="W868" s="2327"/>
      <c r="X868" s="2327"/>
      <c r="Y868" s="2327"/>
      <c r="Z868" s="2327"/>
      <c r="AA868" s="2328"/>
      <c r="AB868" s="2329"/>
      <c r="AC868" s="2326"/>
      <c r="AD868" s="2330">
        <f t="shared" si="600"/>
        <v>0</v>
      </c>
      <c r="AE868" s="2330"/>
      <c r="AF868" s="2330"/>
      <c r="AG868" s="2330">
        <f t="shared" si="608"/>
        <v>0</v>
      </c>
      <c r="AH868" s="2330"/>
      <c r="AI868" s="2330"/>
      <c r="AJ868" s="2330">
        <f t="shared" si="601"/>
        <v>0</v>
      </c>
      <c r="AK868" s="2330"/>
      <c r="AL868" s="2330"/>
      <c r="AM868" s="2331">
        <f t="shared" si="602"/>
        <v>0</v>
      </c>
      <c r="AN868" s="2331"/>
      <c r="AO868" s="2331"/>
      <c r="AP868" s="2331"/>
      <c r="AQ868" s="2332">
        <f t="shared" si="603"/>
        <v>0</v>
      </c>
      <c r="AR868" s="2332"/>
      <c r="AS868" s="2332"/>
      <c r="AT868" s="2332">
        <f t="shared" si="604"/>
        <v>0</v>
      </c>
      <c r="AV868" s="151" t="str">
        <f t="shared" si="597"/>
        <v>TILING</v>
      </c>
      <c r="AW868" s="681"/>
      <c r="AX868" s="230"/>
      <c r="AY868" s="230"/>
      <c r="AZ868" s="679"/>
      <c r="BA868" s="49">
        <f t="shared" si="605"/>
        <v>0</v>
      </c>
      <c r="BB868" s="49">
        <f t="shared" si="609"/>
        <v>0</v>
      </c>
      <c r="BC868" s="49">
        <f t="shared" si="610"/>
        <v>0</v>
      </c>
      <c r="BD868" s="49">
        <f t="shared" si="606"/>
        <v>0</v>
      </c>
      <c r="BE868" s="49">
        <f t="shared" si="611"/>
        <v>0</v>
      </c>
      <c r="BF868" s="49">
        <f t="shared" si="598"/>
        <v>0</v>
      </c>
      <c r="BG868" s="49">
        <f t="shared" si="599"/>
        <v>0</v>
      </c>
      <c r="BI868" s="134">
        <f t="shared" si="612"/>
        <v>0</v>
      </c>
      <c r="BJ868" s="134">
        <f t="shared" si="607"/>
        <v>0</v>
      </c>
      <c r="BK868" s="134">
        <f t="shared" si="613"/>
        <v>0</v>
      </c>
    </row>
    <row r="869" spans="1:63" hidden="1">
      <c r="A869" s="187"/>
      <c r="B869" s="2333"/>
      <c r="C869" s="2333"/>
      <c r="D869" s="2334"/>
      <c r="E869" s="2334"/>
      <c r="F869" s="2334"/>
      <c r="G869" s="2334"/>
      <c r="H869" s="2334"/>
      <c r="I869" s="2334"/>
      <c r="J869" s="2334"/>
      <c r="K869" s="2334"/>
      <c r="L869" s="2334"/>
      <c r="M869" s="2334"/>
      <c r="N869" s="2334"/>
      <c r="O869" s="2334"/>
      <c r="P869" s="2324"/>
      <c r="Q869" s="2324"/>
      <c r="R869" s="2325"/>
      <c r="S869" s="2324"/>
      <c r="T869" s="2324"/>
      <c r="U869" s="2326"/>
      <c r="V869" s="2327"/>
      <c r="W869" s="2327"/>
      <c r="X869" s="2327"/>
      <c r="Y869" s="2327"/>
      <c r="Z869" s="2327"/>
      <c r="AA869" s="2328"/>
      <c r="AB869" s="2329"/>
      <c r="AC869" s="2326"/>
      <c r="AD869" s="2330">
        <f t="shared" si="600"/>
        <v>0</v>
      </c>
      <c r="AE869" s="2330"/>
      <c r="AF869" s="2330"/>
      <c r="AG869" s="2330">
        <f t="shared" si="608"/>
        <v>0</v>
      </c>
      <c r="AH869" s="2330"/>
      <c r="AI869" s="2330"/>
      <c r="AJ869" s="2330">
        <f t="shared" si="601"/>
        <v>0</v>
      </c>
      <c r="AK869" s="2330"/>
      <c r="AL869" s="2330"/>
      <c r="AM869" s="2331">
        <f t="shared" si="602"/>
        <v>0</v>
      </c>
      <c r="AN869" s="2331"/>
      <c r="AO869" s="2331"/>
      <c r="AP869" s="2331"/>
      <c r="AQ869" s="2332">
        <f t="shared" si="603"/>
        <v>0</v>
      </c>
      <c r="AR869" s="2332"/>
      <c r="AS869" s="2332"/>
      <c r="AT869" s="2332">
        <f t="shared" si="604"/>
        <v>0</v>
      </c>
      <c r="AV869" s="151" t="str">
        <f t="shared" si="597"/>
        <v>TILING</v>
      </c>
      <c r="AW869" s="681"/>
      <c r="AX869" s="230"/>
      <c r="AY869" s="230"/>
      <c r="AZ869" s="679"/>
      <c r="BA869" s="49">
        <f t="shared" si="605"/>
        <v>0</v>
      </c>
      <c r="BB869" s="49">
        <f t="shared" si="609"/>
        <v>0</v>
      </c>
      <c r="BC869" s="49">
        <f t="shared" si="610"/>
        <v>0</v>
      </c>
      <c r="BD869" s="49">
        <f t="shared" si="606"/>
        <v>0</v>
      </c>
      <c r="BE869" s="49">
        <f t="shared" si="611"/>
        <v>0</v>
      </c>
      <c r="BF869" s="49">
        <f t="shared" si="598"/>
        <v>0</v>
      </c>
      <c r="BG869" s="49">
        <f t="shared" si="599"/>
        <v>0</v>
      </c>
      <c r="BI869" s="134">
        <f t="shared" si="612"/>
        <v>0</v>
      </c>
      <c r="BJ869" s="134">
        <f t="shared" si="607"/>
        <v>0</v>
      </c>
      <c r="BK869" s="134">
        <f t="shared" si="613"/>
        <v>0</v>
      </c>
    </row>
    <row r="870" spans="1:63" hidden="1">
      <c r="A870" s="187"/>
      <c r="B870" s="2333"/>
      <c r="C870" s="2333"/>
      <c r="D870" s="2337" t="s">
        <v>34</v>
      </c>
      <c r="E870" s="2337"/>
      <c r="F870" s="2337"/>
      <c r="G870" s="2337"/>
      <c r="H870" s="2337"/>
      <c r="I870" s="2337"/>
      <c r="J870" s="2337"/>
      <c r="K870" s="2337"/>
      <c r="L870" s="2337"/>
      <c r="M870" s="2337"/>
      <c r="N870" s="2337"/>
      <c r="O870" s="2337"/>
      <c r="P870" s="2324"/>
      <c r="Q870" s="2324"/>
      <c r="R870" s="2325"/>
      <c r="S870" s="2324"/>
      <c r="T870" s="2324" t="s">
        <v>11</v>
      </c>
      <c r="U870" s="2326"/>
      <c r="V870" s="2327"/>
      <c r="W870" s="2327"/>
      <c r="X870" s="2327"/>
      <c r="Y870" s="2327"/>
      <c r="Z870" s="2327"/>
      <c r="AA870" s="2328"/>
      <c r="AB870" s="2329"/>
      <c r="AC870" s="2326"/>
      <c r="AD870" s="2330">
        <f t="shared" si="600"/>
        <v>0</v>
      </c>
      <c r="AE870" s="2330"/>
      <c r="AF870" s="2330"/>
      <c r="AG870" s="2330">
        <f t="shared" si="608"/>
        <v>0</v>
      </c>
      <c r="AH870" s="2330"/>
      <c r="AI870" s="2330"/>
      <c r="AJ870" s="2330">
        <f t="shared" si="601"/>
        <v>0</v>
      </c>
      <c r="AK870" s="2330"/>
      <c r="AL870" s="2330"/>
      <c r="AM870" s="2331">
        <f t="shared" si="602"/>
        <v>0</v>
      </c>
      <c r="AN870" s="2331"/>
      <c r="AO870" s="2331"/>
      <c r="AP870" s="2331"/>
      <c r="AQ870" s="2332">
        <f t="shared" si="603"/>
        <v>0</v>
      </c>
      <c r="AR870" s="2332"/>
      <c r="AS870" s="2332"/>
      <c r="AT870" s="2332">
        <f t="shared" si="604"/>
        <v>0</v>
      </c>
      <c r="AV870" s="151" t="str">
        <f t="shared" si="597"/>
        <v>TILING</v>
      </c>
      <c r="AW870" s="681"/>
      <c r="AX870" s="230"/>
      <c r="AY870" s="230"/>
      <c r="AZ870" s="679"/>
      <c r="BA870" s="49">
        <f t="shared" si="605"/>
        <v>0</v>
      </c>
      <c r="BB870" s="49">
        <f t="shared" si="609"/>
        <v>0</v>
      </c>
      <c r="BC870" s="49">
        <f t="shared" si="610"/>
        <v>0</v>
      </c>
      <c r="BD870" s="49">
        <f t="shared" si="606"/>
        <v>0</v>
      </c>
      <c r="BE870" s="49">
        <f t="shared" si="611"/>
        <v>0</v>
      </c>
      <c r="BF870" s="49">
        <f t="shared" si="598"/>
        <v>0</v>
      </c>
      <c r="BG870" s="49">
        <f t="shared" si="599"/>
        <v>0</v>
      </c>
      <c r="BI870" s="134">
        <f t="shared" si="612"/>
        <v>0</v>
      </c>
      <c r="BJ870" s="134">
        <f t="shared" si="607"/>
        <v>0</v>
      </c>
      <c r="BK870" s="134">
        <f t="shared" si="613"/>
        <v>0</v>
      </c>
    </row>
    <row r="871" spans="1:63" hidden="1">
      <c r="A871" s="187"/>
      <c r="B871" s="2321"/>
      <c r="C871" s="2322"/>
      <c r="D871" s="2334" t="s">
        <v>237</v>
      </c>
      <c r="E871" s="2334"/>
      <c r="F871" s="2334"/>
      <c r="G871" s="2334"/>
      <c r="H871" s="2334"/>
      <c r="I871" s="2334"/>
      <c r="J871" s="2334"/>
      <c r="K871" s="2334"/>
      <c r="L871" s="2334"/>
      <c r="M871" s="2334"/>
      <c r="N871" s="2334"/>
      <c r="O871" s="2334"/>
      <c r="P871" s="2324"/>
      <c r="Q871" s="2324"/>
      <c r="R871" s="2325"/>
      <c r="S871" s="2324" t="s">
        <v>11</v>
      </c>
      <c r="T871" s="2324" t="s">
        <v>11</v>
      </c>
      <c r="U871" s="2326">
        <v>1</v>
      </c>
      <c r="V871" s="2327"/>
      <c r="W871" s="2327"/>
      <c r="X871" s="2327">
        <v>0.75</v>
      </c>
      <c r="Y871" s="2327"/>
      <c r="Z871" s="2327">
        <v>0.75</v>
      </c>
      <c r="AA871" s="2328"/>
      <c r="AB871" s="2329"/>
      <c r="AC871" s="2326"/>
      <c r="AD871" s="2330">
        <f t="shared" si="600"/>
        <v>0</v>
      </c>
      <c r="AE871" s="2330"/>
      <c r="AF871" s="2330"/>
      <c r="AG871" s="2330">
        <f t="shared" si="608"/>
        <v>0</v>
      </c>
      <c r="AH871" s="2330"/>
      <c r="AI871" s="2330"/>
      <c r="AJ871" s="2330">
        <f t="shared" si="601"/>
        <v>0</v>
      </c>
      <c r="AK871" s="2330"/>
      <c r="AL871" s="2330"/>
      <c r="AM871" s="2331">
        <f t="shared" si="602"/>
        <v>0</v>
      </c>
      <c r="AN871" s="2331"/>
      <c r="AO871" s="2331"/>
      <c r="AP871" s="2331"/>
      <c r="AQ871" s="2332">
        <f t="shared" si="603"/>
        <v>0</v>
      </c>
      <c r="AR871" s="2332"/>
      <c r="AS871" s="2332"/>
      <c r="AT871" s="2332">
        <f t="shared" si="604"/>
        <v>0</v>
      </c>
      <c r="AV871" s="151" t="str">
        <f t="shared" si="597"/>
        <v>TILING</v>
      </c>
      <c r="AW871" s="681"/>
      <c r="AX871" s="230"/>
      <c r="AY871" s="230"/>
      <c r="AZ871" s="679"/>
      <c r="BA871" s="49">
        <f t="shared" si="605"/>
        <v>0</v>
      </c>
      <c r="BB871" s="49">
        <f t="shared" si="609"/>
        <v>0</v>
      </c>
      <c r="BC871" s="49">
        <f t="shared" si="610"/>
        <v>0</v>
      </c>
      <c r="BD871" s="49">
        <f t="shared" si="606"/>
        <v>0</v>
      </c>
      <c r="BE871" s="49">
        <f>SUM(BA871:BC871)</f>
        <v>0</v>
      </c>
      <c r="BF871" s="49">
        <f t="shared" si="598"/>
        <v>0</v>
      </c>
      <c r="BG871" s="49">
        <f t="shared" si="599"/>
        <v>0</v>
      </c>
      <c r="BI871" s="134">
        <f t="shared" si="612"/>
        <v>0</v>
      </c>
      <c r="BJ871" s="134">
        <f t="shared" si="607"/>
        <v>0</v>
      </c>
      <c r="BK871" s="134">
        <f t="shared" si="613"/>
        <v>0</v>
      </c>
    </row>
    <row r="872" spans="1:63" hidden="1">
      <c r="A872" s="187"/>
      <c r="B872" s="2321"/>
      <c r="C872" s="2322"/>
      <c r="D872" s="2334" t="s">
        <v>273</v>
      </c>
      <c r="E872" s="2334"/>
      <c r="F872" s="2334"/>
      <c r="G872" s="2334"/>
      <c r="H872" s="2334"/>
      <c r="I872" s="2334"/>
      <c r="J872" s="2334"/>
      <c r="K872" s="2334"/>
      <c r="L872" s="2334"/>
      <c r="M872" s="2334"/>
      <c r="N872" s="2334"/>
      <c r="O872" s="2334"/>
      <c r="P872" s="2324"/>
      <c r="Q872" s="2324"/>
      <c r="R872" s="2325"/>
      <c r="S872" s="2324" t="s">
        <v>11</v>
      </c>
      <c r="T872" s="2324" t="s">
        <v>11</v>
      </c>
      <c r="U872" s="2326">
        <v>1.5</v>
      </c>
      <c r="V872" s="2327"/>
      <c r="W872" s="2327"/>
      <c r="X872" s="2327">
        <v>0.85</v>
      </c>
      <c r="Y872" s="2327"/>
      <c r="Z872" s="2327">
        <v>0.85</v>
      </c>
      <c r="AA872" s="2328"/>
      <c r="AB872" s="2329"/>
      <c r="AC872" s="2326"/>
      <c r="AD872" s="2330">
        <f t="shared" si="600"/>
        <v>0</v>
      </c>
      <c r="AE872" s="2330"/>
      <c r="AF872" s="2330"/>
      <c r="AG872" s="2330">
        <f t="shared" si="608"/>
        <v>0</v>
      </c>
      <c r="AH872" s="2330"/>
      <c r="AI872" s="2330"/>
      <c r="AJ872" s="2330">
        <f t="shared" si="601"/>
        <v>0</v>
      </c>
      <c r="AK872" s="2330"/>
      <c r="AL872" s="2330"/>
      <c r="AM872" s="2331">
        <f t="shared" si="602"/>
        <v>0</v>
      </c>
      <c r="AN872" s="2331"/>
      <c r="AO872" s="2331"/>
      <c r="AP872" s="2331"/>
      <c r="AQ872" s="2332">
        <f t="shared" si="603"/>
        <v>0</v>
      </c>
      <c r="AR872" s="2332"/>
      <c r="AS872" s="2332"/>
      <c r="AT872" s="2332">
        <f t="shared" si="604"/>
        <v>0</v>
      </c>
      <c r="AV872" s="151" t="str">
        <f t="shared" si="597"/>
        <v>TILING</v>
      </c>
      <c r="AW872" s="681"/>
      <c r="AX872" s="230"/>
      <c r="AY872" s="230"/>
      <c r="AZ872" s="679"/>
      <c r="BA872" s="49">
        <f t="shared" si="605"/>
        <v>0</v>
      </c>
      <c r="BB872" s="49">
        <f t="shared" si="609"/>
        <v>0</v>
      </c>
      <c r="BC872" s="49">
        <f t="shared" si="610"/>
        <v>0</v>
      </c>
      <c r="BD872" s="49">
        <f t="shared" si="606"/>
        <v>0</v>
      </c>
      <c r="BE872" s="49">
        <f>SUM(BA872:BC872)</f>
        <v>0</v>
      </c>
      <c r="BF872" s="49">
        <f t="shared" si="598"/>
        <v>0</v>
      </c>
      <c r="BG872" s="49">
        <f t="shared" si="599"/>
        <v>0</v>
      </c>
      <c r="BI872" s="134">
        <f t="shared" si="612"/>
        <v>0</v>
      </c>
      <c r="BJ872" s="134">
        <f t="shared" si="607"/>
        <v>0</v>
      </c>
      <c r="BK872" s="134">
        <f t="shared" si="613"/>
        <v>0</v>
      </c>
    </row>
    <row r="873" spans="1:63" hidden="1">
      <c r="A873" s="187"/>
      <c r="B873" s="2321"/>
      <c r="C873" s="2322"/>
      <c r="D873" s="2334"/>
      <c r="E873" s="2334"/>
      <c r="F873" s="2334"/>
      <c r="G873" s="2334"/>
      <c r="H873" s="2334"/>
      <c r="I873" s="2334"/>
      <c r="J873" s="2334"/>
      <c r="K873" s="2334"/>
      <c r="L873" s="2334"/>
      <c r="M873" s="2334"/>
      <c r="N873" s="2334"/>
      <c r="O873" s="2334"/>
      <c r="P873" s="2324"/>
      <c r="Q873" s="2324"/>
      <c r="R873" s="2325"/>
      <c r="S873" s="2324"/>
      <c r="T873" s="2324"/>
      <c r="U873" s="2326"/>
      <c r="V873" s="2327"/>
      <c r="W873" s="2327"/>
      <c r="X873" s="2327"/>
      <c r="Y873" s="2327"/>
      <c r="Z873" s="2327"/>
      <c r="AA873" s="2328"/>
      <c r="AB873" s="2329"/>
      <c r="AC873" s="2326"/>
      <c r="AD873" s="2330">
        <f t="shared" ref="AD873:AD892" si="614">((P873*U873)-AM873)</f>
        <v>0</v>
      </c>
      <c r="AE873" s="2330"/>
      <c r="AF873" s="2330"/>
      <c r="AG873" s="2330">
        <f t="shared" si="608"/>
        <v>0</v>
      </c>
      <c r="AH873" s="2330"/>
      <c r="AI873" s="2330"/>
      <c r="AJ873" s="2330">
        <f t="shared" ref="AJ873:AJ892" si="615">P873*AA873</f>
        <v>0</v>
      </c>
      <c r="AK873" s="2330"/>
      <c r="AL873" s="2330"/>
      <c r="AM873" s="2331">
        <f t="shared" si="602"/>
        <v>0</v>
      </c>
      <c r="AN873" s="2331"/>
      <c r="AO873" s="2331"/>
      <c r="AP873" s="2331"/>
      <c r="AQ873" s="2332">
        <f t="shared" ref="AQ873:AQ892" si="616">SUM(AD873:AL873)</f>
        <v>0</v>
      </c>
      <c r="AR873" s="2332"/>
      <c r="AS873" s="2332"/>
      <c r="AT873" s="2332">
        <f t="shared" ref="AT873:AT892" si="617">SUM(AD873:AL873)</f>
        <v>0</v>
      </c>
      <c r="AV873" s="151" t="str">
        <f t="shared" si="597"/>
        <v>TILING</v>
      </c>
      <c r="AW873" s="681"/>
      <c r="AX873" s="230"/>
      <c r="AY873" s="230"/>
      <c r="AZ873" s="679"/>
      <c r="BA873" s="49">
        <f t="shared" ref="BA873:BA892" si="618">AD873</f>
        <v>0</v>
      </c>
      <c r="BB873" s="49">
        <f>AG873</f>
        <v>0</v>
      </c>
      <c r="BC873" s="49">
        <f>AJ873</f>
        <v>0</v>
      </c>
      <c r="BD873" s="49">
        <f t="shared" ref="BD873:BD892" si="619">IF(B873="x",1,0)</f>
        <v>0</v>
      </c>
      <c r="BE873" s="49">
        <f>SUM(BA873:BC873)</f>
        <v>0</v>
      </c>
      <c r="BF873" s="49">
        <f t="shared" ref="BF873:BF892" si="620">AQ873</f>
        <v>0</v>
      </c>
      <c r="BG873" s="49">
        <f t="shared" ref="BG873:BG892" si="621">AM873</f>
        <v>0</v>
      </c>
      <c r="BI873" s="134">
        <f>AD873</f>
        <v>0</v>
      </c>
      <c r="BJ873" s="134">
        <f t="shared" ref="BJ873:BJ892" si="622">AM873</f>
        <v>0</v>
      </c>
      <c r="BK873" s="134">
        <f>BJ873+BI873</f>
        <v>0</v>
      </c>
    </row>
    <row r="874" spans="1:63" hidden="1">
      <c r="A874" s="187"/>
      <c r="B874" s="2321"/>
      <c r="C874" s="2322"/>
      <c r="D874" s="2334"/>
      <c r="E874" s="2334"/>
      <c r="F874" s="2334"/>
      <c r="G874" s="2334"/>
      <c r="H874" s="2334"/>
      <c r="I874" s="2334"/>
      <c r="J874" s="2334"/>
      <c r="K874" s="2334"/>
      <c r="L874" s="2334"/>
      <c r="M874" s="2334"/>
      <c r="N874" s="2334"/>
      <c r="O874" s="2334"/>
      <c r="P874" s="2324"/>
      <c r="Q874" s="2324"/>
      <c r="R874" s="2325"/>
      <c r="S874" s="2324"/>
      <c r="T874" s="2324"/>
      <c r="U874" s="2326"/>
      <c r="V874" s="2327"/>
      <c r="W874" s="2327"/>
      <c r="X874" s="2327"/>
      <c r="Y874" s="2327"/>
      <c r="Z874" s="2327"/>
      <c r="AA874" s="2328"/>
      <c r="AB874" s="2329"/>
      <c r="AC874" s="2326"/>
      <c r="AD874" s="2330">
        <f t="shared" si="614"/>
        <v>0</v>
      </c>
      <c r="AE874" s="2330"/>
      <c r="AF874" s="2330"/>
      <c r="AG874" s="2330">
        <f t="shared" si="608"/>
        <v>0</v>
      </c>
      <c r="AH874" s="2330"/>
      <c r="AI874" s="2330"/>
      <c r="AJ874" s="2330">
        <f t="shared" si="615"/>
        <v>0</v>
      </c>
      <c r="AK874" s="2330"/>
      <c r="AL874" s="2330"/>
      <c r="AM874" s="2331">
        <f t="shared" si="602"/>
        <v>0</v>
      </c>
      <c r="AN874" s="2331"/>
      <c r="AO874" s="2331"/>
      <c r="AP874" s="2331"/>
      <c r="AQ874" s="2332">
        <f t="shared" si="616"/>
        <v>0</v>
      </c>
      <c r="AR874" s="2332"/>
      <c r="AS874" s="2332"/>
      <c r="AT874" s="2332">
        <f t="shared" si="617"/>
        <v>0</v>
      </c>
      <c r="AV874" s="151" t="str">
        <f t="shared" si="597"/>
        <v>TILING</v>
      </c>
      <c r="AW874" s="681"/>
      <c r="AX874" s="230"/>
      <c r="AY874" s="230"/>
      <c r="AZ874" s="679"/>
      <c r="BA874" s="49">
        <f t="shared" si="618"/>
        <v>0</v>
      </c>
      <c r="BB874" s="49">
        <f t="shared" ref="BB874:BB892" si="623">AG874</f>
        <v>0</v>
      </c>
      <c r="BC874" s="49">
        <f t="shared" ref="BC874:BC892" si="624">AJ874</f>
        <v>0</v>
      </c>
      <c r="BD874" s="49">
        <f t="shared" si="619"/>
        <v>0</v>
      </c>
      <c r="BE874" s="49">
        <f t="shared" ref="BE874:BE890" si="625">SUM(BA874:BC874)</f>
        <v>0</v>
      </c>
      <c r="BF874" s="49">
        <f t="shared" si="620"/>
        <v>0</v>
      </c>
      <c r="BG874" s="49">
        <f t="shared" si="621"/>
        <v>0</v>
      </c>
      <c r="BI874" s="134">
        <f t="shared" ref="BI874:BI892" si="626">AD874</f>
        <v>0</v>
      </c>
      <c r="BJ874" s="134">
        <f t="shared" si="622"/>
        <v>0</v>
      </c>
      <c r="BK874" s="134">
        <f t="shared" ref="BK874:BK892" si="627">BJ874+BI874</f>
        <v>0</v>
      </c>
    </row>
    <row r="875" spans="1:63" hidden="1">
      <c r="A875" s="187"/>
      <c r="B875" s="2333"/>
      <c r="C875" s="2333"/>
      <c r="D875" s="2334"/>
      <c r="E875" s="2334"/>
      <c r="F875" s="2334"/>
      <c r="G875" s="2334"/>
      <c r="H875" s="2334"/>
      <c r="I875" s="2334"/>
      <c r="J875" s="2334"/>
      <c r="K875" s="2334"/>
      <c r="L875" s="2334"/>
      <c r="M875" s="2334"/>
      <c r="N875" s="2334"/>
      <c r="O875" s="2334"/>
      <c r="P875" s="2324"/>
      <c r="Q875" s="2324"/>
      <c r="R875" s="2325"/>
      <c r="S875" s="2324"/>
      <c r="T875" s="2324"/>
      <c r="U875" s="2326"/>
      <c r="V875" s="2327"/>
      <c r="W875" s="2327"/>
      <c r="X875" s="2327"/>
      <c r="Y875" s="2327"/>
      <c r="Z875" s="2327"/>
      <c r="AA875" s="2328"/>
      <c r="AB875" s="2329"/>
      <c r="AC875" s="2326"/>
      <c r="AD875" s="2330">
        <f t="shared" si="614"/>
        <v>0</v>
      </c>
      <c r="AE875" s="2330"/>
      <c r="AF875" s="2330"/>
      <c r="AG875" s="2330">
        <f t="shared" si="608"/>
        <v>0</v>
      </c>
      <c r="AH875" s="2330"/>
      <c r="AI875" s="2330"/>
      <c r="AJ875" s="2330">
        <f t="shared" si="615"/>
        <v>0</v>
      </c>
      <c r="AK875" s="2330"/>
      <c r="AL875" s="2330"/>
      <c r="AM875" s="2331">
        <f t="shared" si="602"/>
        <v>0</v>
      </c>
      <c r="AN875" s="2331"/>
      <c r="AO875" s="2331"/>
      <c r="AP875" s="2331"/>
      <c r="AQ875" s="2332">
        <f t="shared" si="616"/>
        <v>0</v>
      </c>
      <c r="AR875" s="2332"/>
      <c r="AS875" s="2332"/>
      <c r="AT875" s="2332">
        <f t="shared" si="617"/>
        <v>0</v>
      </c>
      <c r="AV875" s="151" t="str">
        <f t="shared" si="597"/>
        <v>TILING</v>
      </c>
      <c r="AW875" s="681"/>
      <c r="AX875" s="230"/>
      <c r="AY875" s="230"/>
      <c r="AZ875" s="679"/>
      <c r="BA875" s="49">
        <f t="shared" si="618"/>
        <v>0</v>
      </c>
      <c r="BB875" s="49">
        <f t="shared" si="623"/>
        <v>0</v>
      </c>
      <c r="BC875" s="49">
        <f t="shared" si="624"/>
        <v>0</v>
      </c>
      <c r="BD875" s="49">
        <f t="shared" si="619"/>
        <v>0</v>
      </c>
      <c r="BE875" s="49">
        <f t="shared" si="625"/>
        <v>0</v>
      </c>
      <c r="BF875" s="49">
        <f t="shared" si="620"/>
        <v>0</v>
      </c>
      <c r="BG875" s="49">
        <f t="shared" si="621"/>
        <v>0</v>
      </c>
      <c r="BI875" s="134">
        <f t="shared" si="626"/>
        <v>0</v>
      </c>
      <c r="BJ875" s="134">
        <f t="shared" si="622"/>
        <v>0</v>
      </c>
      <c r="BK875" s="134">
        <f t="shared" si="627"/>
        <v>0</v>
      </c>
    </row>
    <row r="876" spans="1:63" hidden="1">
      <c r="A876" s="187"/>
      <c r="B876" s="2333"/>
      <c r="C876" s="2333"/>
      <c r="D876" s="2334"/>
      <c r="E876" s="2334"/>
      <c r="F876" s="2334"/>
      <c r="G876" s="2334"/>
      <c r="H876" s="2334"/>
      <c r="I876" s="2334"/>
      <c r="J876" s="2334"/>
      <c r="K876" s="2334"/>
      <c r="L876" s="2334"/>
      <c r="M876" s="2334"/>
      <c r="N876" s="2334"/>
      <c r="O876" s="2334"/>
      <c r="P876" s="2324"/>
      <c r="Q876" s="2324"/>
      <c r="R876" s="2325"/>
      <c r="S876" s="2324"/>
      <c r="T876" s="2324"/>
      <c r="U876" s="2326"/>
      <c r="V876" s="2327"/>
      <c r="W876" s="2327"/>
      <c r="X876" s="2327"/>
      <c r="Y876" s="2327"/>
      <c r="Z876" s="2327"/>
      <c r="AA876" s="2328"/>
      <c r="AB876" s="2329"/>
      <c r="AC876" s="2326"/>
      <c r="AD876" s="2330">
        <f t="shared" si="614"/>
        <v>0</v>
      </c>
      <c r="AE876" s="2330"/>
      <c r="AF876" s="2330"/>
      <c r="AG876" s="2330">
        <f t="shared" si="608"/>
        <v>0</v>
      </c>
      <c r="AH876" s="2330"/>
      <c r="AI876" s="2330"/>
      <c r="AJ876" s="2330">
        <f t="shared" si="615"/>
        <v>0</v>
      </c>
      <c r="AK876" s="2330"/>
      <c r="AL876" s="2330"/>
      <c r="AM876" s="2331">
        <f t="shared" si="602"/>
        <v>0</v>
      </c>
      <c r="AN876" s="2331"/>
      <c r="AO876" s="2331"/>
      <c r="AP876" s="2331"/>
      <c r="AQ876" s="2332">
        <f t="shared" si="616"/>
        <v>0</v>
      </c>
      <c r="AR876" s="2332"/>
      <c r="AS876" s="2332"/>
      <c r="AT876" s="2332">
        <f t="shared" si="617"/>
        <v>0</v>
      </c>
      <c r="AV876" s="151" t="str">
        <f t="shared" si="597"/>
        <v>TILING</v>
      </c>
      <c r="AW876" s="681"/>
      <c r="AX876" s="230"/>
      <c r="AY876" s="230"/>
      <c r="AZ876" s="679"/>
      <c r="BA876" s="49">
        <f t="shared" si="618"/>
        <v>0</v>
      </c>
      <c r="BB876" s="49">
        <f t="shared" si="623"/>
        <v>0</v>
      </c>
      <c r="BC876" s="49">
        <f t="shared" si="624"/>
        <v>0</v>
      </c>
      <c r="BD876" s="49">
        <f t="shared" si="619"/>
        <v>0</v>
      </c>
      <c r="BE876" s="49">
        <f t="shared" si="625"/>
        <v>0</v>
      </c>
      <c r="BF876" s="49">
        <f t="shared" si="620"/>
        <v>0</v>
      </c>
      <c r="BG876" s="49">
        <f t="shared" si="621"/>
        <v>0</v>
      </c>
      <c r="BI876" s="134">
        <f t="shared" si="626"/>
        <v>0</v>
      </c>
      <c r="BJ876" s="134">
        <f t="shared" si="622"/>
        <v>0</v>
      </c>
      <c r="BK876" s="134">
        <f t="shared" si="627"/>
        <v>0</v>
      </c>
    </row>
    <row r="877" spans="1:63" hidden="1">
      <c r="A877" s="187"/>
      <c r="B877" s="2321"/>
      <c r="C877" s="2322"/>
      <c r="D877" s="2334"/>
      <c r="E877" s="2334"/>
      <c r="F877" s="2334"/>
      <c r="G877" s="2334"/>
      <c r="H877" s="2334"/>
      <c r="I877" s="2334"/>
      <c r="J877" s="2334"/>
      <c r="K877" s="2334"/>
      <c r="L877" s="2334"/>
      <c r="M877" s="2334"/>
      <c r="N877" s="2334"/>
      <c r="O877" s="2334"/>
      <c r="P877" s="2324"/>
      <c r="Q877" s="2324"/>
      <c r="R877" s="2325"/>
      <c r="S877" s="2324"/>
      <c r="T877" s="2324"/>
      <c r="U877" s="2326"/>
      <c r="V877" s="2327"/>
      <c r="W877" s="2327"/>
      <c r="X877" s="2327"/>
      <c r="Y877" s="2327"/>
      <c r="Z877" s="2327"/>
      <c r="AA877" s="2328"/>
      <c r="AB877" s="2329"/>
      <c r="AC877" s="2326"/>
      <c r="AD877" s="2330">
        <f t="shared" si="614"/>
        <v>0</v>
      </c>
      <c r="AE877" s="2330"/>
      <c r="AF877" s="2330"/>
      <c r="AG877" s="2330">
        <f t="shared" si="608"/>
        <v>0</v>
      </c>
      <c r="AH877" s="2330"/>
      <c r="AI877" s="2330"/>
      <c r="AJ877" s="2330">
        <f t="shared" si="615"/>
        <v>0</v>
      </c>
      <c r="AK877" s="2330"/>
      <c r="AL877" s="2330"/>
      <c r="AM877" s="2331">
        <f t="shared" si="602"/>
        <v>0</v>
      </c>
      <c r="AN877" s="2331"/>
      <c r="AO877" s="2331"/>
      <c r="AP877" s="2331"/>
      <c r="AQ877" s="2332">
        <f t="shared" si="616"/>
        <v>0</v>
      </c>
      <c r="AR877" s="2332"/>
      <c r="AS877" s="2332"/>
      <c r="AT877" s="2332">
        <f t="shared" si="617"/>
        <v>0</v>
      </c>
      <c r="AV877" s="151" t="str">
        <f t="shared" si="597"/>
        <v>TILING</v>
      </c>
      <c r="AW877" s="681"/>
      <c r="AX877" s="230"/>
      <c r="AY877" s="230"/>
      <c r="AZ877" s="679"/>
      <c r="BA877" s="49">
        <f t="shared" si="618"/>
        <v>0</v>
      </c>
      <c r="BB877" s="49">
        <f t="shared" si="623"/>
        <v>0</v>
      </c>
      <c r="BC877" s="49">
        <f t="shared" si="624"/>
        <v>0</v>
      </c>
      <c r="BD877" s="49">
        <f t="shared" si="619"/>
        <v>0</v>
      </c>
      <c r="BE877" s="49">
        <f t="shared" si="625"/>
        <v>0</v>
      </c>
      <c r="BF877" s="49">
        <f t="shared" si="620"/>
        <v>0</v>
      </c>
      <c r="BG877" s="49">
        <f t="shared" si="621"/>
        <v>0</v>
      </c>
      <c r="BI877" s="134">
        <f t="shared" si="626"/>
        <v>0</v>
      </c>
      <c r="BJ877" s="134">
        <f t="shared" si="622"/>
        <v>0</v>
      </c>
      <c r="BK877" s="134">
        <f t="shared" si="627"/>
        <v>0</v>
      </c>
    </row>
    <row r="878" spans="1:63" hidden="1">
      <c r="A878" s="187"/>
      <c r="B878" s="2321"/>
      <c r="C878" s="2322"/>
      <c r="D878" s="2334"/>
      <c r="E878" s="2334"/>
      <c r="F878" s="2334"/>
      <c r="G878" s="2334"/>
      <c r="H878" s="2334"/>
      <c r="I878" s="2334"/>
      <c r="J878" s="2334"/>
      <c r="K878" s="2334"/>
      <c r="L878" s="2334"/>
      <c r="M878" s="2334"/>
      <c r="N878" s="2334"/>
      <c r="O878" s="2334"/>
      <c r="P878" s="2324"/>
      <c r="Q878" s="2324"/>
      <c r="R878" s="2325"/>
      <c r="S878" s="2324"/>
      <c r="T878" s="2324"/>
      <c r="U878" s="2326"/>
      <c r="V878" s="2327"/>
      <c r="W878" s="2327"/>
      <c r="X878" s="2327"/>
      <c r="Y878" s="2327"/>
      <c r="Z878" s="2327"/>
      <c r="AA878" s="2328"/>
      <c r="AB878" s="2329"/>
      <c r="AC878" s="2326"/>
      <c r="AD878" s="2330">
        <f t="shared" si="614"/>
        <v>0</v>
      </c>
      <c r="AE878" s="2330"/>
      <c r="AF878" s="2330"/>
      <c r="AG878" s="2330">
        <f t="shared" si="608"/>
        <v>0</v>
      </c>
      <c r="AH878" s="2330"/>
      <c r="AI878" s="2330"/>
      <c r="AJ878" s="2330">
        <f t="shared" si="615"/>
        <v>0</v>
      </c>
      <c r="AK878" s="2330"/>
      <c r="AL878" s="2330"/>
      <c r="AM878" s="2331">
        <f t="shared" si="602"/>
        <v>0</v>
      </c>
      <c r="AN878" s="2331"/>
      <c r="AO878" s="2331"/>
      <c r="AP878" s="2331"/>
      <c r="AQ878" s="2332">
        <f t="shared" si="616"/>
        <v>0</v>
      </c>
      <c r="AR878" s="2332"/>
      <c r="AS878" s="2332"/>
      <c r="AT878" s="2332">
        <f t="shared" si="617"/>
        <v>0</v>
      </c>
      <c r="AV878" s="151" t="str">
        <f t="shared" si="597"/>
        <v>TILING</v>
      </c>
      <c r="AW878" s="681"/>
      <c r="AX878" s="230"/>
      <c r="AY878" s="230"/>
      <c r="AZ878" s="679"/>
      <c r="BA878" s="49">
        <f t="shared" si="618"/>
        <v>0</v>
      </c>
      <c r="BB878" s="49">
        <f t="shared" si="623"/>
        <v>0</v>
      </c>
      <c r="BC878" s="49">
        <f t="shared" si="624"/>
        <v>0</v>
      </c>
      <c r="BD878" s="49">
        <f t="shared" si="619"/>
        <v>0</v>
      </c>
      <c r="BE878" s="49">
        <f t="shared" si="625"/>
        <v>0</v>
      </c>
      <c r="BF878" s="49">
        <f t="shared" si="620"/>
        <v>0</v>
      </c>
      <c r="BG878" s="49">
        <f t="shared" si="621"/>
        <v>0</v>
      </c>
      <c r="BI878" s="134">
        <f t="shared" si="626"/>
        <v>0</v>
      </c>
      <c r="BJ878" s="134">
        <f t="shared" si="622"/>
        <v>0</v>
      </c>
      <c r="BK878" s="134">
        <f t="shared" si="627"/>
        <v>0</v>
      </c>
    </row>
    <row r="879" spans="1:63" hidden="1">
      <c r="A879" s="187"/>
      <c r="B879" s="2321"/>
      <c r="C879" s="2322"/>
      <c r="D879" s="2334"/>
      <c r="E879" s="2334"/>
      <c r="F879" s="2334"/>
      <c r="G879" s="2334"/>
      <c r="H879" s="2334"/>
      <c r="I879" s="2334"/>
      <c r="J879" s="2334"/>
      <c r="K879" s="2334"/>
      <c r="L879" s="2334"/>
      <c r="M879" s="2334"/>
      <c r="N879" s="2334"/>
      <c r="O879" s="2334"/>
      <c r="P879" s="2324"/>
      <c r="Q879" s="2324"/>
      <c r="R879" s="2325"/>
      <c r="S879" s="2324"/>
      <c r="T879" s="2324"/>
      <c r="U879" s="2326"/>
      <c r="V879" s="2327"/>
      <c r="W879" s="2327"/>
      <c r="X879" s="2327"/>
      <c r="Y879" s="2327"/>
      <c r="Z879" s="2327"/>
      <c r="AA879" s="2328"/>
      <c r="AB879" s="2329"/>
      <c r="AC879" s="2326"/>
      <c r="AD879" s="2330">
        <f t="shared" si="614"/>
        <v>0</v>
      </c>
      <c r="AE879" s="2330"/>
      <c r="AF879" s="2330"/>
      <c r="AG879" s="2330">
        <f t="shared" si="608"/>
        <v>0</v>
      </c>
      <c r="AH879" s="2330"/>
      <c r="AI879" s="2330"/>
      <c r="AJ879" s="2330">
        <f t="shared" si="615"/>
        <v>0</v>
      </c>
      <c r="AK879" s="2330"/>
      <c r="AL879" s="2330"/>
      <c r="AM879" s="2331">
        <f t="shared" si="602"/>
        <v>0</v>
      </c>
      <c r="AN879" s="2331"/>
      <c r="AO879" s="2331"/>
      <c r="AP879" s="2331"/>
      <c r="AQ879" s="2332">
        <f t="shared" si="616"/>
        <v>0</v>
      </c>
      <c r="AR879" s="2332"/>
      <c r="AS879" s="2332"/>
      <c r="AT879" s="2332">
        <f t="shared" si="617"/>
        <v>0</v>
      </c>
      <c r="AV879" s="151" t="str">
        <f t="shared" si="597"/>
        <v>TILING</v>
      </c>
      <c r="AW879" s="681"/>
      <c r="AX879" s="230"/>
      <c r="AY879" s="230"/>
      <c r="AZ879" s="679"/>
      <c r="BA879" s="49">
        <f t="shared" si="618"/>
        <v>0</v>
      </c>
      <c r="BB879" s="49">
        <f t="shared" si="623"/>
        <v>0</v>
      </c>
      <c r="BC879" s="49">
        <f t="shared" si="624"/>
        <v>0</v>
      </c>
      <c r="BD879" s="49">
        <f t="shared" si="619"/>
        <v>0</v>
      </c>
      <c r="BE879" s="49">
        <f t="shared" si="625"/>
        <v>0</v>
      </c>
      <c r="BF879" s="49">
        <f t="shared" si="620"/>
        <v>0</v>
      </c>
      <c r="BG879" s="49">
        <f t="shared" si="621"/>
        <v>0</v>
      </c>
      <c r="BI879" s="134">
        <f t="shared" si="626"/>
        <v>0</v>
      </c>
      <c r="BJ879" s="134">
        <f t="shared" si="622"/>
        <v>0</v>
      </c>
      <c r="BK879" s="134">
        <f t="shared" si="627"/>
        <v>0</v>
      </c>
    </row>
    <row r="880" spans="1:63" hidden="1">
      <c r="A880" s="187"/>
      <c r="B880" s="2321"/>
      <c r="C880" s="2322"/>
      <c r="D880" s="2334"/>
      <c r="E880" s="2334"/>
      <c r="F880" s="2334"/>
      <c r="G880" s="2334"/>
      <c r="H880" s="2334"/>
      <c r="I880" s="2334"/>
      <c r="J880" s="2334"/>
      <c r="K880" s="2334"/>
      <c r="L880" s="2334"/>
      <c r="M880" s="2334"/>
      <c r="N880" s="2334"/>
      <c r="O880" s="2334"/>
      <c r="P880" s="2324"/>
      <c r="Q880" s="2324"/>
      <c r="R880" s="2325"/>
      <c r="S880" s="2324"/>
      <c r="T880" s="2324"/>
      <c r="U880" s="2326"/>
      <c r="V880" s="2327"/>
      <c r="W880" s="2327"/>
      <c r="X880" s="2327"/>
      <c r="Y880" s="2327"/>
      <c r="Z880" s="2327"/>
      <c r="AA880" s="2328"/>
      <c r="AB880" s="2329"/>
      <c r="AC880" s="2326"/>
      <c r="AD880" s="2330">
        <f t="shared" si="614"/>
        <v>0</v>
      </c>
      <c r="AE880" s="2330"/>
      <c r="AF880" s="2330"/>
      <c r="AG880" s="2330">
        <f t="shared" si="608"/>
        <v>0</v>
      </c>
      <c r="AH880" s="2330"/>
      <c r="AI880" s="2330"/>
      <c r="AJ880" s="2330">
        <f t="shared" si="615"/>
        <v>0</v>
      </c>
      <c r="AK880" s="2330"/>
      <c r="AL880" s="2330"/>
      <c r="AM880" s="2331">
        <f t="shared" si="602"/>
        <v>0</v>
      </c>
      <c r="AN880" s="2331"/>
      <c r="AO880" s="2331"/>
      <c r="AP880" s="2331"/>
      <c r="AQ880" s="2332">
        <f t="shared" si="616"/>
        <v>0</v>
      </c>
      <c r="AR880" s="2332"/>
      <c r="AS880" s="2332"/>
      <c r="AT880" s="2332">
        <f t="shared" si="617"/>
        <v>0</v>
      </c>
      <c r="AV880" s="151" t="str">
        <f t="shared" si="597"/>
        <v>TILING</v>
      </c>
      <c r="AW880" s="681"/>
      <c r="AX880" s="230"/>
      <c r="AY880" s="230"/>
      <c r="AZ880" s="679"/>
      <c r="BA880" s="49">
        <f t="shared" si="618"/>
        <v>0</v>
      </c>
      <c r="BB880" s="49">
        <f t="shared" si="623"/>
        <v>0</v>
      </c>
      <c r="BC880" s="49">
        <f t="shared" si="624"/>
        <v>0</v>
      </c>
      <c r="BD880" s="49">
        <f t="shared" si="619"/>
        <v>0</v>
      </c>
      <c r="BE880" s="49">
        <f t="shared" si="625"/>
        <v>0</v>
      </c>
      <c r="BF880" s="49">
        <f t="shared" si="620"/>
        <v>0</v>
      </c>
      <c r="BG880" s="49">
        <f t="shared" si="621"/>
        <v>0</v>
      </c>
      <c r="BI880" s="134">
        <f t="shared" si="626"/>
        <v>0</v>
      </c>
      <c r="BJ880" s="134">
        <f t="shared" si="622"/>
        <v>0</v>
      </c>
      <c r="BK880" s="134">
        <f t="shared" si="627"/>
        <v>0</v>
      </c>
    </row>
    <row r="881" spans="1:63" hidden="1">
      <c r="A881" s="187"/>
      <c r="B881" s="2321"/>
      <c r="C881" s="2322"/>
      <c r="D881" s="2334"/>
      <c r="E881" s="2334"/>
      <c r="F881" s="2334"/>
      <c r="G881" s="2334"/>
      <c r="H881" s="2334"/>
      <c r="I881" s="2334"/>
      <c r="J881" s="2334"/>
      <c r="K881" s="2334"/>
      <c r="L881" s="2334"/>
      <c r="M881" s="2334"/>
      <c r="N881" s="2334"/>
      <c r="O881" s="2334"/>
      <c r="P881" s="2324"/>
      <c r="Q881" s="2324"/>
      <c r="R881" s="2325"/>
      <c r="S881" s="2324"/>
      <c r="T881" s="2324"/>
      <c r="U881" s="2326"/>
      <c r="V881" s="2327"/>
      <c r="W881" s="2327"/>
      <c r="X881" s="2327"/>
      <c r="Y881" s="2327"/>
      <c r="Z881" s="2327"/>
      <c r="AA881" s="2328"/>
      <c r="AB881" s="2329"/>
      <c r="AC881" s="2326"/>
      <c r="AD881" s="2330">
        <f t="shared" si="614"/>
        <v>0</v>
      </c>
      <c r="AE881" s="2330"/>
      <c r="AF881" s="2330"/>
      <c r="AG881" s="2330">
        <f t="shared" si="608"/>
        <v>0</v>
      </c>
      <c r="AH881" s="2330"/>
      <c r="AI881" s="2330"/>
      <c r="AJ881" s="2330">
        <f t="shared" si="615"/>
        <v>0</v>
      </c>
      <c r="AK881" s="2330"/>
      <c r="AL881" s="2330"/>
      <c r="AM881" s="2331">
        <f t="shared" si="602"/>
        <v>0</v>
      </c>
      <c r="AN881" s="2331"/>
      <c r="AO881" s="2331"/>
      <c r="AP881" s="2331"/>
      <c r="AQ881" s="2332">
        <f t="shared" si="616"/>
        <v>0</v>
      </c>
      <c r="AR881" s="2332"/>
      <c r="AS881" s="2332"/>
      <c r="AT881" s="2332">
        <f t="shared" si="617"/>
        <v>0</v>
      </c>
      <c r="AV881" s="151" t="str">
        <f t="shared" si="597"/>
        <v>TILING</v>
      </c>
      <c r="AW881" s="681"/>
      <c r="AX881" s="230"/>
      <c r="AY881" s="230"/>
      <c r="AZ881" s="679"/>
      <c r="BA881" s="49">
        <f t="shared" si="618"/>
        <v>0</v>
      </c>
      <c r="BB881" s="49">
        <f t="shared" si="623"/>
        <v>0</v>
      </c>
      <c r="BC881" s="49">
        <f t="shared" si="624"/>
        <v>0</v>
      </c>
      <c r="BD881" s="49">
        <f t="shared" si="619"/>
        <v>0</v>
      </c>
      <c r="BE881" s="49">
        <f t="shared" si="625"/>
        <v>0</v>
      </c>
      <c r="BF881" s="49">
        <f t="shared" si="620"/>
        <v>0</v>
      </c>
      <c r="BG881" s="49">
        <f t="shared" si="621"/>
        <v>0</v>
      </c>
      <c r="BI881" s="134">
        <f t="shared" si="626"/>
        <v>0</v>
      </c>
      <c r="BJ881" s="134">
        <f t="shared" si="622"/>
        <v>0</v>
      </c>
      <c r="BK881" s="134">
        <f t="shared" si="627"/>
        <v>0</v>
      </c>
    </row>
    <row r="882" spans="1:63" hidden="1">
      <c r="A882" s="187"/>
      <c r="B882" s="2333"/>
      <c r="C882" s="2333"/>
      <c r="D882" s="2334"/>
      <c r="E882" s="2334"/>
      <c r="F882" s="2334"/>
      <c r="G882" s="2334"/>
      <c r="H882" s="2334"/>
      <c r="I882" s="2334"/>
      <c r="J882" s="2334"/>
      <c r="K882" s="2334"/>
      <c r="L882" s="2334"/>
      <c r="M882" s="2334"/>
      <c r="N882" s="2334"/>
      <c r="O882" s="2334"/>
      <c r="P882" s="2324"/>
      <c r="Q882" s="2324"/>
      <c r="R882" s="2325"/>
      <c r="S882" s="2324"/>
      <c r="T882" s="2324"/>
      <c r="U882" s="2326"/>
      <c r="V882" s="2327"/>
      <c r="W882" s="2327"/>
      <c r="X882" s="2327"/>
      <c r="Y882" s="2327"/>
      <c r="Z882" s="2327"/>
      <c r="AA882" s="2328"/>
      <c r="AB882" s="2329"/>
      <c r="AC882" s="2326"/>
      <c r="AD882" s="2330">
        <f t="shared" si="614"/>
        <v>0</v>
      </c>
      <c r="AE882" s="2330"/>
      <c r="AF882" s="2330"/>
      <c r="AG882" s="2330">
        <f t="shared" si="608"/>
        <v>0</v>
      </c>
      <c r="AH882" s="2330"/>
      <c r="AI882" s="2330"/>
      <c r="AJ882" s="2330">
        <f t="shared" si="615"/>
        <v>0</v>
      </c>
      <c r="AK882" s="2330"/>
      <c r="AL882" s="2330"/>
      <c r="AM882" s="2331">
        <f t="shared" si="602"/>
        <v>0</v>
      </c>
      <c r="AN882" s="2331"/>
      <c r="AO882" s="2331"/>
      <c r="AP882" s="2331"/>
      <c r="AQ882" s="2332">
        <f t="shared" si="616"/>
        <v>0</v>
      </c>
      <c r="AR882" s="2332"/>
      <c r="AS882" s="2332"/>
      <c r="AT882" s="2332">
        <f t="shared" si="617"/>
        <v>0</v>
      </c>
      <c r="AV882" s="151" t="str">
        <f t="shared" si="597"/>
        <v>TILING</v>
      </c>
      <c r="AW882" s="681"/>
      <c r="AX882" s="230"/>
      <c r="AY882" s="230"/>
      <c r="AZ882" s="679"/>
      <c r="BA882" s="49">
        <f t="shared" si="618"/>
        <v>0</v>
      </c>
      <c r="BB882" s="49">
        <f t="shared" si="623"/>
        <v>0</v>
      </c>
      <c r="BC882" s="49">
        <f t="shared" si="624"/>
        <v>0</v>
      </c>
      <c r="BD882" s="49">
        <f t="shared" si="619"/>
        <v>0</v>
      </c>
      <c r="BE882" s="49">
        <f t="shared" si="625"/>
        <v>0</v>
      </c>
      <c r="BF882" s="49">
        <f t="shared" si="620"/>
        <v>0</v>
      </c>
      <c r="BG882" s="49">
        <f t="shared" si="621"/>
        <v>0</v>
      </c>
      <c r="BI882" s="134">
        <f t="shared" si="626"/>
        <v>0</v>
      </c>
      <c r="BJ882" s="134">
        <f t="shared" si="622"/>
        <v>0</v>
      </c>
      <c r="BK882" s="134">
        <f t="shared" si="627"/>
        <v>0</v>
      </c>
    </row>
    <row r="883" spans="1:63" hidden="1">
      <c r="A883" s="187"/>
      <c r="B883" s="2333"/>
      <c r="C883" s="2333"/>
      <c r="D883" s="2334"/>
      <c r="E883" s="2334"/>
      <c r="F883" s="2334"/>
      <c r="G883" s="2334"/>
      <c r="H883" s="2334"/>
      <c r="I883" s="2334"/>
      <c r="J883" s="2334"/>
      <c r="K883" s="2334"/>
      <c r="L883" s="2334"/>
      <c r="M883" s="2334"/>
      <c r="N883" s="2334"/>
      <c r="O883" s="2334"/>
      <c r="P883" s="2324"/>
      <c r="Q883" s="2324"/>
      <c r="R883" s="2325"/>
      <c r="S883" s="2324"/>
      <c r="T883" s="2324"/>
      <c r="U883" s="2326"/>
      <c r="V883" s="2327"/>
      <c r="W883" s="2327"/>
      <c r="X883" s="2327"/>
      <c r="Y883" s="2327"/>
      <c r="Z883" s="2327"/>
      <c r="AA883" s="2328"/>
      <c r="AB883" s="2329"/>
      <c r="AC883" s="2326"/>
      <c r="AD883" s="2330">
        <f t="shared" si="614"/>
        <v>0</v>
      </c>
      <c r="AE883" s="2330"/>
      <c r="AF883" s="2330"/>
      <c r="AG883" s="2330">
        <f t="shared" si="608"/>
        <v>0</v>
      </c>
      <c r="AH883" s="2330"/>
      <c r="AI883" s="2330"/>
      <c r="AJ883" s="2330">
        <f t="shared" si="615"/>
        <v>0</v>
      </c>
      <c r="AK883" s="2330"/>
      <c r="AL883" s="2330"/>
      <c r="AM883" s="2331">
        <f t="shared" si="602"/>
        <v>0</v>
      </c>
      <c r="AN883" s="2331"/>
      <c r="AO883" s="2331"/>
      <c r="AP883" s="2331"/>
      <c r="AQ883" s="2332">
        <f t="shared" si="616"/>
        <v>0</v>
      </c>
      <c r="AR883" s="2332"/>
      <c r="AS883" s="2332"/>
      <c r="AT883" s="2332">
        <f t="shared" si="617"/>
        <v>0</v>
      </c>
      <c r="AV883" s="151" t="str">
        <f t="shared" si="597"/>
        <v>TILING</v>
      </c>
      <c r="AW883" s="681"/>
      <c r="AX883" s="230"/>
      <c r="AY883" s="230"/>
      <c r="AZ883" s="679"/>
      <c r="BA883" s="49">
        <f t="shared" si="618"/>
        <v>0</v>
      </c>
      <c r="BB883" s="49">
        <f t="shared" si="623"/>
        <v>0</v>
      </c>
      <c r="BC883" s="49">
        <f t="shared" si="624"/>
        <v>0</v>
      </c>
      <c r="BD883" s="49">
        <f t="shared" si="619"/>
        <v>0</v>
      </c>
      <c r="BE883" s="49">
        <f t="shared" si="625"/>
        <v>0</v>
      </c>
      <c r="BF883" s="49">
        <f t="shared" si="620"/>
        <v>0</v>
      </c>
      <c r="BG883" s="49">
        <f t="shared" si="621"/>
        <v>0</v>
      </c>
      <c r="BI883" s="134">
        <f t="shared" si="626"/>
        <v>0</v>
      </c>
      <c r="BJ883" s="134">
        <f t="shared" si="622"/>
        <v>0</v>
      </c>
      <c r="BK883" s="134">
        <f t="shared" si="627"/>
        <v>0</v>
      </c>
    </row>
    <row r="884" spans="1:63" hidden="1">
      <c r="A884" s="187"/>
      <c r="B884" s="2321"/>
      <c r="C884" s="2322"/>
      <c r="D884" s="2334"/>
      <c r="E884" s="2334"/>
      <c r="F884" s="2334"/>
      <c r="G884" s="2334"/>
      <c r="H884" s="2334"/>
      <c r="I884" s="2334"/>
      <c r="J884" s="2334"/>
      <c r="K884" s="2334"/>
      <c r="L884" s="2334"/>
      <c r="M884" s="2334"/>
      <c r="N884" s="2334"/>
      <c r="O884" s="2334"/>
      <c r="P884" s="2324"/>
      <c r="Q884" s="2324"/>
      <c r="R884" s="2325"/>
      <c r="S884" s="2324"/>
      <c r="T884" s="2324"/>
      <c r="U884" s="2326"/>
      <c r="V884" s="2327"/>
      <c r="W884" s="2327"/>
      <c r="X884" s="2327"/>
      <c r="Y884" s="2327"/>
      <c r="Z884" s="2327"/>
      <c r="AA884" s="2328"/>
      <c r="AB884" s="2329"/>
      <c r="AC884" s="2326"/>
      <c r="AD884" s="2330">
        <f t="shared" si="614"/>
        <v>0</v>
      </c>
      <c r="AE884" s="2330"/>
      <c r="AF884" s="2330"/>
      <c r="AG884" s="2330">
        <f t="shared" si="608"/>
        <v>0</v>
      </c>
      <c r="AH884" s="2330"/>
      <c r="AI884" s="2330"/>
      <c r="AJ884" s="2330">
        <f t="shared" si="615"/>
        <v>0</v>
      </c>
      <c r="AK884" s="2330"/>
      <c r="AL884" s="2330"/>
      <c r="AM884" s="2331">
        <f t="shared" si="602"/>
        <v>0</v>
      </c>
      <c r="AN884" s="2331"/>
      <c r="AO884" s="2331"/>
      <c r="AP884" s="2331"/>
      <c r="AQ884" s="2332">
        <f t="shared" si="616"/>
        <v>0</v>
      </c>
      <c r="AR884" s="2332"/>
      <c r="AS884" s="2332"/>
      <c r="AT884" s="2332">
        <f t="shared" si="617"/>
        <v>0</v>
      </c>
      <c r="AV884" s="151" t="str">
        <f t="shared" si="597"/>
        <v>TILING</v>
      </c>
      <c r="AW884" s="681"/>
      <c r="AX884" s="230"/>
      <c r="AY884" s="230"/>
      <c r="AZ884" s="679"/>
      <c r="BA884" s="49">
        <f t="shared" si="618"/>
        <v>0</v>
      </c>
      <c r="BB884" s="49">
        <f t="shared" si="623"/>
        <v>0</v>
      </c>
      <c r="BC884" s="49">
        <f t="shared" si="624"/>
        <v>0</v>
      </c>
      <c r="BD884" s="49">
        <f t="shared" si="619"/>
        <v>0</v>
      </c>
      <c r="BE884" s="49">
        <f t="shared" si="625"/>
        <v>0</v>
      </c>
      <c r="BF884" s="49">
        <f t="shared" si="620"/>
        <v>0</v>
      </c>
      <c r="BG884" s="49">
        <f t="shared" si="621"/>
        <v>0</v>
      </c>
      <c r="BI884" s="134">
        <f t="shared" si="626"/>
        <v>0</v>
      </c>
      <c r="BJ884" s="134">
        <f t="shared" si="622"/>
        <v>0</v>
      </c>
      <c r="BK884" s="134">
        <f t="shared" si="627"/>
        <v>0</v>
      </c>
    </row>
    <row r="885" spans="1:63" hidden="1">
      <c r="A885" s="187"/>
      <c r="B885" s="2321"/>
      <c r="C885" s="2322"/>
      <c r="D885" s="2334"/>
      <c r="E885" s="2334"/>
      <c r="F885" s="2334"/>
      <c r="G885" s="2334"/>
      <c r="H885" s="2334"/>
      <c r="I885" s="2334"/>
      <c r="J885" s="2334"/>
      <c r="K885" s="2334"/>
      <c r="L885" s="2334"/>
      <c r="M885" s="2334"/>
      <c r="N885" s="2334"/>
      <c r="O885" s="2334"/>
      <c r="P885" s="2324"/>
      <c r="Q885" s="2324"/>
      <c r="R885" s="2325"/>
      <c r="S885" s="2324"/>
      <c r="T885" s="2324"/>
      <c r="U885" s="2326"/>
      <c r="V885" s="2327"/>
      <c r="W885" s="2327"/>
      <c r="X885" s="2327"/>
      <c r="Y885" s="2327"/>
      <c r="Z885" s="2327"/>
      <c r="AA885" s="2328"/>
      <c r="AB885" s="2329"/>
      <c r="AC885" s="2326"/>
      <c r="AD885" s="2330">
        <f t="shared" si="614"/>
        <v>0</v>
      </c>
      <c r="AE885" s="2330"/>
      <c r="AF885" s="2330"/>
      <c r="AG885" s="2330">
        <f t="shared" si="608"/>
        <v>0</v>
      </c>
      <c r="AH885" s="2330"/>
      <c r="AI885" s="2330"/>
      <c r="AJ885" s="2330">
        <f t="shared" si="615"/>
        <v>0</v>
      </c>
      <c r="AK885" s="2330"/>
      <c r="AL885" s="2330"/>
      <c r="AM885" s="2331">
        <f t="shared" si="602"/>
        <v>0</v>
      </c>
      <c r="AN885" s="2331"/>
      <c r="AO885" s="2331"/>
      <c r="AP885" s="2331"/>
      <c r="AQ885" s="2332">
        <f t="shared" si="616"/>
        <v>0</v>
      </c>
      <c r="AR885" s="2332"/>
      <c r="AS885" s="2332"/>
      <c r="AT885" s="2332">
        <f t="shared" si="617"/>
        <v>0</v>
      </c>
      <c r="AV885" s="151" t="str">
        <f t="shared" si="597"/>
        <v>TILING</v>
      </c>
      <c r="AW885" s="681"/>
      <c r="AX885" s="230"/>
      <c r="AY885" s="230"/>
      <c r="AZ885" s="679"/>
      <c r="BA885" s="49">
        <f t="shared" si="618"/>
        <v>0</v>
      </c>
      <c r="BB885" s="49">
        <f t="shared" si="623"/>
        <v>0</v>
      </c>
      <c r="BC885" s="49">
        <f t="shared" si="624"/>
        <v>0</v>
      </c>
      <c r="BD885" s="49">
        <f t="shared" si="619"/>
        <v>0</v>
      </c>
      <c r="BE885" s="49">
        <f t="shared" si="625"/>
        <v>0</v>
      </c>
      <c r="BF885" s="49">
        <f t="shared" si="620"/>
        <v>0</v>
      </c>
      <c r="BG885" s="49">
        <f t="shared" si="621"/>
        <v>0</v>
      </c>
      <c r="BI885" s="134">
        <f t="shared" si="626"/>
        <v>0</v>
      </c>
      <c r="BJ885" s="134">
        <f t="shared" si="622"/>
        <v>0</v>
      </c>
      <c r="BK885" s="134">
        <f t="shared" si="627"/>
        <v>0</v>
      </c>
    </row>
    <row r="886" spans="1:63" hidden="1">
      <c r="A886" s="187"/>
      <c r="B886" s="2321"/>
      <c r="C886" s="2322"/>
      <c r="D886" s="2334"/>
      <c r="E886" s="2334"/>
      <c r="F886" s="2334"/>
      <c r="G886" s="2334"/>
      <c r="H886" s="2334"/>
      <c r="I886" s="2334"/>
      <c r="J886" s="2334"/>
      <c r="K886" s="2334"/>
      <c r="L886" s="2334"/>
      <c r="M886" s="2334"/>
      <c r="N886" s="2334"/>
      <c r="O886" s="2334"/>
      <c r="P886" s="2324"/>
      <c r="Q886" s="2324"/>
      <c r="R886" s="2325"/>
      <c r="S886" s="2324"/>
      <c r="T886" s="2324"/>
      <c r="U886" s="2326"/>
      <c r="V886" s="2327"/>
      <c r="W886" s="2327"/>
      <c r="X886" s="2327"/>
      <c r="Y886" s="2327"/>
      <c r="Z886" s="2327"/>
      <c r="AA886" s="2328"/>
      <c r="AB886" s="2329"/>
      <c r="AC886" s="2326"/>
      <c r="AD886" s="2330">
        <f t="shared" si="614"/>
        <v>0</v>
      </c>
      <c r="AE886" s="2330"/>
      <c r="AF886" s="2330"/>
      <c r="AG886" s="2330">
        <f t="shared" si="608"/>
        <v>0</v>
      </c>
      <c r="AH886" s="2330"/>
      <c r="AI886" s="2330"/>
      <c r="AJ886" s="2330">
        <f t="shared" si="615"/>
        <v>0</v>
      </c>
      <c r="AK886" s="2330"/>
      <c r="AL886" s="2330"/>
      <c r="AM886" s="2331">
        <f t="shared" si="602"/>
        <v>0</v>
      </c>
      <c r="AN886" s="2331"/>
      <c r="AO886" s="2331"/>
      <c r="AP886" s="2331"/>
      <c r="AQ886" s="2332">
        <f t="shared" si="616"/>
        <v>0</v>
      </c>
      <c r="AR886" s="2332"/>
      <c r="AS886" s="2332"/>
      <c r="AT886" s="2332">
        <f t="shared" si="617"/>
        <v>0</v>
      </c>
      <c r="AV886" s="151" t="str">
        <f t="shared" si="597"/>
        <v>TILING</v>
      </c>
      <c r="AW886" s="681"/>
      <c r="AX886" s="230"/>
      <c r="AY886" s="230"/>
      <c r="AZ886" s="679"/>
      <c r="BA886" s="49">
        <f t="shared" si="618"/>
        <v>0</v>
      </c>
      <c r="BB886" s="49">
        <f t="shared" si="623"/>
        <v>0</v>
      </c>
      <c r="BC886" s="49">
        <f t="shared" si="624"/>
        <v>0</v>
      </c>
      <c r="BD886" s="49">
        <f t="shared" si="619"/>
        <v>0</v>
      </c>
      <c r="BE886" s="49">
        <f t="shared" si="625"/>
        <v>0</v>
      </c>
      <c r="BF886" s="49">
        <f t="shared" si="620"/>
        <v>0</v>
      </c>
      <c r="BG886" s="49">
        <f t="shared" si="621"/>
        <v>0</v>
      </c>
      <c r="BI886" s="134">
        <f t="shared" si="626"/>
        <v>0</v>
      </c>
      <c r="BJ886" s="134">
        <f t="shared" si="622"/>
        <v>0</v>
      </c>
      <c r="BK886" s="134">
        <f t="shared" si="627"/>
        <v>0</v>
      </c>
    </row>
    <row r="887" spans="1:63" hidden="1">
      <c r="A887" s="187"/>
      <c r="B887" s="2321"/>
      <c r="C887" s="2322"/>
      <c r="D887" s="2334"/>
      <c r="E887" s="2334"/>
      <c r="F887" s="2334"/>
      <c r="G887" s="2334"/>
      <c r="H887" s="2334"/>
      <c r="I887" s="2334"/>
      <c r="J887" s="2334"/>
      <c r="K887" s="2334"/>
      <c r="L887" s="2334"/>
      <c r="M887" s="2334"/>
      <c r="N887" s="2334"/>
      <c r="O887" s="2334"/>
      <c r="P887" s="2324"/>
      <c r="Q887" s="2324"/>
      <c r="R887" s="2325"/>
      <c r="S887" s="2324"/>
      <c r="T887" s="2324"/>
      <c r="U887" s="2326"/>
      <c r="V887" s="2327"/>
      <c r="W887" s="2327"/>
      <c r="X887" s="2327"/>
      <c r="Y887" s="2327"/>
      <c r="Z887" s="2327"/>
      <c r="AA887" s="2328"/>
      <c r="AB887" s="2329"/>
      <c r="AC887" s="2326"/>
      <c r="AD887" s="2330">
        <f t="shared" si="614"/>
        <v>0</v>
      </c>
      <c r="AE887" s="2330"/>
      <c r="AF887" s="2330"/>
      <c r="AG887" s="2330">
        <f t="shared" si="608"/>
        <v>0</v>
      </c>
      <c r="AH887" s="2330"/>
      <c r="AI887" s="2330"/>
      <c r="AJ887" s="2330">
        <f t="shared" si="615"/>
        <v>0</v>
      </c>
      <c r="AK887" s="2330"/>
      <c r="AL887" s="2330"/>
      <c r="AM887" s="2331">
        <f t="shared" si="602"/>
        <v>0</v>
      </c>
      <c r="AN887" s="2331"/>
      <c r="AO887" s="2331"/>
      <c r="AP887" s="2331"/>
      <c r="AQ887" s="2332">
        <f t="shared" si="616"/>
        <v>0</v>
      </c>
      <c r="AR887" s="2332"/>
      <c r="AS887" s="2332"/>
      <c r="AT887" s="2332">
        <f t="shared" si="617"/>
        <v>0</v>
      </c>
      <c r="AV887" s="151" t="str">
        <f t="shared" si="597"/>
        <v>TILING</v>
      </c>
      <c r="AW887" s="681"/>
      <c r="AX887" s="230"/>
      <c r="AY887" s="230"/>
      <c r="AZ887" s="679"/>
      <c r="BA887" s="49">
        <f t="shared" si="618"/>
        <v>0</v>
      </c>
      <c r="BB887" s="49">
        <f t="shared" si="623"/>
        <v>0</v>
      </c>
      <c r="BC887" s="49">
        <f t="shared" si="624"/>
        <v>0</v>
      </c>
      <c r="BD887" s="49">
        <f t="shared" si="619"/>
        <v>0</v>
      </c>
      <c r="BE887" s="49">
        <f t="shared" si="625"/>
        <v>0</v>
      </c>
      <c r="BF887" s="49">
        <f t="shared" si="620"/>
        <v>0</v>
      </c>
      <c r="BG887" s="49">
        <f t="shared" si="621"/>
        <v>0</v>
      </c>
      <c r="BI887" s="134">
        <f t="shared" si="626"/>
        <v>0</v>
      </c>
      <c r="BJ887" s="134">
        <f t="shared" si="622"/>
        <v>0</v>
      </c>
      <c r="BK887" s="134">
        <f t="shared" si="627"/>
        <v>0</v>
      </c>
    </row>
    <row r="888" spans="1:63" hidden="1">
      <c r="A888" s="187"/>
      <c r="B888" s="2321"/>
      <c r="C888" s="2322"/>
      <c r="D888" s="2334"/>
      <c r="E888" s="2334"/>
      <c r="F888" s="2334"/>
      <c r="G888" s="2334"/>
      <c r="H888" s="2334"/>
      <c r="I888" s="2334"/>
      <c r="J888" s="2334"/>
      <c r="K888" s="2334"/>
      <c r="L888" s="2334"/>
      <c r="M888" s="2334"/>
      <c r="N888" s="2334"/>
      <c r="O888" s="2334"/>
      <c r="P888" s="2324"/>
      <c r="Q888" s="2324"/>
      <c r="R888" s="2325"/>
      <c r="S888" s="2324"/>
      <c r="T888" s="2324"/>
      <c r="U888" s="2326"/>
      <c r="V888" s="2327"/>
      <c r="W888" s="2327"/>
      <c r="X888" s="2327"/>
      <c r="Y888" s="2327"/>
      <c r="Z888" s="2327"/>
      <c r="AA888" s="2328"/>
      <c r="AB888" s="2329"/>
      <c r="AC888" s="2326"/>
      <c r="AD888" s="2330">
        <f t="shared" si="614"/>
        <v>0</v>
      </c>
      <c r="AE888" s="2330"/>
      <c r="AF888" s="2330"/>
      <c r="AG888" s="2330">
        <f t="shared" si="608"/>
        <v>0</v>
      </c>
      <c r="AH888" s="2330"/>
      <c r="AI888" s="2330"/>
      <c r="AJ888" s="2330">
        <f t="shared" si="615"/>
        <v>0</v>
      </c>
      <c r="AK888" s="2330"/>
      <c r="AL888" s="2330"/>
      <c r="AM888" s="2331">
        <f t="shared" si="602"/>
        <v>0</v>
      </c>
      <c r="AN888" s="2331"/>
      <c r="AO888" s="2331"/>
      <c r="AP888" s="2331"/>
      <c r="AQ888" s="2332">
        <f t="shared" si="616"/>
        <v>0</v>
      </c>
      <c r="AR888" s="2332"/>
      <c r="AS888" s="2332"/>
      <c r="AT888" s="2332">
        <f t="shared" si="617"/>
        <v>0</v>
      </c>
      <c r="AV888" s="151" t="str">
        <f t="shared" si="597"/>
        <v>TILING</v>
      </c>
      <c r="AW888" s="681"/>
      <c r="AX888" s="230"/>
      <c r="AY888" s="230"/>
      <c r="AZ888" s="679"/>
      <c r="BA888" s="49">
        <f t="shared" si="618"/>
        <v>0</v>
      </c>
      <c r="BB888" s="49">
        <f t="shared" si="623"/>
        <v>0</v>
      </c>
      <c r="BC888" s="49">
        <f t="shared" si="624"/>
        <v>0</v>
      </c>
      <c r="BD888" s="49">
        <f t="shared" si="619"/>
        <v>0</v>
      </c>
      <c r="BE888" s="49">
        <f t="shared" si="625"/>
        <v>0</v>
      </c>
      <c r="BF888" s="49">
        <f t="shared" si="620"/>
        <v>0</v>
      </c>
      <c r="BG888" s="49">
        <f t="shared" si="621"/>
        <v>0</v>
      </c>
      <c r="BI888" s="134">
        <f t="shared" si="626"/>
        <v>0</v>
      </c>
      <c r="BJ888" s="134">
        <f t="shared" si="622"/>
        <v>0</v>
      </c>
      <c r="BK888" s="134">
        <f t="shared" si="627"/>
        <v>0</v>
      </c>
    </row>
    <row r="889" spans="1:63" hidden="1">
      <c r="A889" s="187"/>
      <c r="B889" s="2333"/>
      <c r="C889" s="2333"/>
      <c r="D889" s="2334"/>
      <c r="E889" s="2334"/>
      <c r="F889" s="2334"/>
      <c r="G889" s="2334"/>
      <c r="H889" s="2334"/>
      <c r="I889" s="2334"/>
      <c r="J889" s="2334"/>
      <c r="K889" s="2334"/>
      <c r="L889" s="2334"/>
      <c r="M889" s="2334"/>
      <c r="N889" s="2334"/>
      <c r="O889" s="2334"/>
      <c r="P889" s="2324"/>
      <c r="Q889" s="2324"/>
      <c r="R889" s="2325"/>
      <c r="S889" s="2324"/>
      <c r="T889" s="2324"/>
      <c r="U889" s="2326"/>
      <c r="V889" s="2327"/>
      <c r="W889" s="2327"/>
      <c r="X889" s="2327"/>
      <c r="Y889" s="2327"/>
      <c r="Z889" s="2327"/>
      <c r="AA889" s="2328"/>
      <c r="AB889" s="2329"/>
      <c r="AC889" s="2326"/>
      <c r="AD889" s="2330">
        <f t="shared" si="614"/>
        <v>0</v>
      </c>
      <c r="AE889" s="2330"/>
      <c r="AF889" s="2330"/>
      <c r="AG889" s="2330">
        <f t="shared" si="608"/>
        <v>0</v>
      </c>
      <c r="AH889" s="2330"/>
      <c r="AI889" s="2330"/>
      <c r="AJ889" s="2330">
        <f t="shared" si="615"/>
        <v>0</v>
      </c>
      <c r="AK889" s="2330"/>
      <c r="AL889" s="2330"/>
      <c r="AM889" s="2331">
        <f t="shared" si="602"/>
        <v>0</v>
      </c>
      <c r="AN889" s="2331"/>
      <c r="AO889" s="2331"/>
      <c r="AP889" s="2331"/>
      <c r="AQ889" s="2332">
        <f t="shared" si="616"/>
        <v>0</v>
      </c>
      <c r="AR889" s="2332"/>
      <c r="AS889" s="2332"/>
      <c r="AT889" s="2332">
        <f t="shared" si="617"/>
        <v>0</v>
      </c>
      <c r="AV889" s="151" t="str">
        <f t="shared" si="597"/>
        <v>TILING</v>
      </c>
      <c r="AW889" s="681"/>
      <c r="AX889" s="230"/>
      <c r="AY889" s="230"/>
      <c r="AZ889" s="679"/>
      <c r="BA889" s="49">
        <f t="shared" si="618"/>
        <v>0</v>
      </c>
      <c r="BB889" s="49">
        <f t="shared" si="623"/>
        <v>0</v>
      </c>
      <c r="BC889" s="49">
        <f t="shared" si="624"/>
        <v>0</v>
      </c>
      <c r="BD889" s="49">
        <f t="shared" si="619"/>
        <v>0</v>
      </c>
      <c r="BE889" s="49">
        <f t="shared" si="625"/>
        <v>0</v>
      </c>
      <c r="BF889" s="49">
        <f t="shared" si="620"/>
        <v>0</v>
      </c>
      <c r="BG889" s="49">
        <f t="shared" si="621"/>
        <v>0</v>
      </c>
      <c r="BI889" s="134">
        <f t="shared" si="626"/>
        <v>0</v>
      </c>
      <c r="BJ889" s="134">
        <f t="shared" si="622"/>
        <v>0</v>
      </c>
      <c r="BK889" s="134">
        <f t="shared" si="627"/>
        <v>0</v>
      </c>
    </row>
    <row r="890" spans="1:63" hidden="1">
      <c r="A890" s="187"/>
      <c r="B890" s="2333"/>
      <c r="C890" s="2333"/>
      <c r="D890" s="2334"/>
      <c r="E890" s="2334"/>
      <c r="F890" s="2334"/>
      <c r="G890" s="2334"/>
      <c r="H890" s="2334"/>
      <c r="I890" s="2334"/>
      <c r="J890" s="2334"/>
      <c r="K890" s="2334"/>
      <c r="L890" s="2334"/>
      <c r="M890" s="2334"/>
      <c r="N890" s="2334"/>
      <c r="O890" s="2334"/>
      <c r="P890" s="2324"/>
      <c r="Q890" s="2324"/>
      <c r="R890" s="2325"/>
      <c r="S890" s="2324"/>
      <c r="T890" s="2324"/>
      <c r="U890" s="2326"/>
      <c r="V890" s="2327"/>
      <c r="W890" s="2327"/>
      <c r="X890" s="2327"/>
      <c r="Y890" s="2327"/>
      <c r="Z890" s="2327"/>
      <c r="AA890" s="2328"/>
      <c r="AB890" s="2329"/>
      <c r="AC890" s="2326"/>
      <c r="AD890" s="2330">
        <f t="shared" si="614"/>
        <v>0</v>
      </c>
      <c r="AE890" s="2330"/>
      <c r="AF890" s="2330"/>
      <c r="AG890" s="2330">
        <f t="shared" si="608"/>
        <v>0</v>
      </c>
      <c r="AH890" s="2330"/>
      <c r="AI890" s="2330"/>
      <c r="AJ890" s="2330">
        <f t="shared" si="615"/>
        <v>0</v>
      </c>
      <c r="AK890" s="2330"/>
      <c r="AL890" s="2330"/>
      <c r="AM890" s="2331">
        <f t="shared" si="602"/>
        <v>0</v>
      </c>
      <c r="AN890" s="2331"/>
      <c r="AO890" s="2331"/>
      <c r="AP890" s="2331"/>
      <c r="AQ890" s="2332">
        <f t="shared" si="616"/>
        <v>0</v>
      </c>
      <c r="AR890" s="2332"/>
      <c r="AS890" s="2332"/>
      <c r="AT890" s="2332">
        <f t="shared" si="617"/>
        <v>0</v>
      </c>
      <c r="AV890" s="151" t="str">
        <f t="shared" si="597"/>
        <v>TILING</v>
      </c>
      <c r="AW890" s="681"/>
      <c r="AX890" s="230"/>
      <c r="AY890" s="230"/>
      <c r="AZ890" s="679"/>
      <c r="BA890" s="49">
        <f t="shared" si="618"/>
        <v>0</v>
      </c>
      <c r="BB890" s="49">
        <f t="shared" si="623"/>
        <v>0</v>
      </c>
      <c r="BC890" s="49">
        <f t="shared" si="624"/>
        <v>0</v>
      </c>
      <c r="BD890" s="49">
        <f t="shared" si="619"/>
        <v>0</v>
      </c>
      <c r="BE890" s="49">
        <f t="shared" si="625"/>
        <v>0</v>
      </c>
      <c r="BF890" s="49">
        <f t="shared" si="620"/>
        <v>0</v>
      </c>
      <c r="BG890" s="49">
        <f t="shared" si="621"/>
        <v>0</v>
      </c>
      <c r="BI890" s="134">
        <f t="shared" si="626"/>
        <v>0</v>
      </c>
      <c r="BJ890" s="134">
        <f t="shared" si="622"/>
        <v>0</v>
      </c>
      <c r="BK890" s="134">
        <f t="shared" si="627"/>
        <v>0</v>
      </c>
    </row>
    <row r="891" spans="1:63" hidden="1">
      <c r="A891" s="187"/>
      <c r="B891" s="2321"/>
      <c r="C891" s="2322"/>
      <c r="D891" s="2334"/>
      <c r="E891" s="2334"/>
      <c r="F891" s="2334"/>
      <c r="G891" s="2334"/>
      <c r="H891" s="2334"/>
      <c r="I891" s="2334"/>
      <c r="J891" s="2334"/>
      <c r="K891" s="2334"/>
      <c r="L891" s="2334"/>
      <c r="M891" s="2334"/>
      <c r="N891" s="2334"/>
      <c r="O891" s="2334"/>
      <c r="P891" s="2324"/>
      <c r="Q891" s="2324"/>
      <c r="R891" s="2325"/>
      <c r="S891" s="2324"/>
      <c r="T891" s="2324"/>
      <c r="U891" s="2326"/>
      <c r="V891" s="2327"/>
      <c r="W891" s="2327"/>
      <c r="X891" s="2327"/>
      <c r="Y891" s="2327"/>
      <c r="Z891" s="2327"/>
      <c r="AA891" s="2328"/>
      <c r="AB891" s="2329"/>
      <c r="AC891" s="2326"/>
      <c r="AD891" s="2330">
        <f t="shared" si="614"/>
        <v>0</v>
      </c>
      <c r="AE891" s="2330"/>
      <c r="AF891" s="2330"/>
      <c r="AG891" s="2330">
        <f t="shared" si="608"/>
        <v>0</v>
      </c>
      <c r="AH891" s="2330"/>
      <c r="AI891" s="2330"/>
      <c r="AJ891" s="2330">
        <f t="shared" si="615"/>
        <v>0</v>
      </c>
      <c r="AK891" s="2330"/>
      <c r="AL891" s="2330"/>
      <c r="AM891" s="2331">
        <f t="shared" si="602"/>
        <v>0</v>
      </c>
      <c r="AN891" s="2331"/>
      <c r="AO891" s="2331"/>
      <c r="AP891" s="2331"/>
      <c r="AQ891" s="2332">
        <f t="shared" si="616"/>
        <v>0</v>
      </c>
      <c r="AR891" s="2332"/>
      <c r="AS891" s="2332"/>
      <c r="AT891" s="2332">
        <f t="shared" si="617"/>
        <v>0</v>
      </c>
      <c r="AV891" s="151" t="str">
        <f t="shared" si="597"/>
        <v>TILING</v>
      </c>
      <c r="AW891" s="681"/>
      <c r="AX891" s="230"/>
      <c r="AY891" s="230"/>
      <c r="AZ891" s="679"/>
      <c r="BA891" s="49">
        <f t="shared" si="618"/>
        <v>0</v>
      </c>
      <c r="BB891" s="49">
        <f t="shared" si="623"/>
        <v>0</v>
      </c>
      <c r="BC891" s="49">
        <f t="shared" si="624"/>
        <v>0</v>
      </c>
      <c r="BD891" s="49">
        <f t="shared" si="619"/>
        <v>0</v>
      </c>
      <c r="BE891" s="49">
        <f>SUM(BA891:BC891)</f>
        <v>0</v>
      </c>
      <c r="BF891" s="49">
        <f t="shared" si="620"/>
        <v>0</v>
      </c>
      <c r="BG891" s="49">
        <f t="shared" si="621"/>
        <v>0</v>
      </c>
      <c r="BI891" s="134">
        <f t="shared" si="626"/>
        <v>0</v>
      </c>
      <c r="BJ891" s="134">
        <f t="shared" si="622"/>
        <v>0</v>
      </c>
      <c r="BK891" s="134">
        <f t="shared" si="627"/>
        <v>0</v>
      </c>
    </row>
    <row r="892" spans="1:63" hidden="1">
      <c r="A892" s="187"/>
      <c r="B892" s="2321"/>
      <c r="C892" s="2322"/>
      <c r="D892" s="2334"/>
      <c r="E892" s="2334"/>
      <c r="F892" s="2334"/>
      <c r="G892" s="2334"/>
      <c r="H892" s="2334"/>
      <c r="I892" s="2334"/>
      <c r="J892" s="2334"/>
      <c r="K892" s="2334"/>
      <c r="L892" s="2334"/>
      <c r="M892" s="2334"/>
      <c r="N892" s="2334"/>
      <c r="O892" s="2334"/>
      <c r="P892" s="2324"/>
      <c r="Q892" s="2324"/>
      <c r="R892" s="2325"/>
      <c r="S892" s="2324"/>
      <c r="T892" s="2324"/>
      <c r="U892" s="2326"/>
      <c r="V892" s="2327"/>
      <c r="W892" s="2327"/>
      <c r="X892" s="2327"/>
      <c r="Y892" s="2327"/>
      <c r="Z892" s="2327"/>
      <c r="AA892" s="2328"/>
      <c r="AB892" s="2329"/>
      <c r="AC892" s="2326"/>
      <c r="AD892" s="2330">
        <f t="shared" si="614"/>
        <v>0</v>
      </c>
      <c r="AE892" s="2330"/>
      <c r="AF892" s="2330"/>
      <c r="AG892" s="2330">
        <f t="shared" si="608"/>
        <v>0</v>
      </c>
      <c r="AH892" s="2330"/>
      <c r="AI892" s="2330"/>
      <c r="AJ892" s="2330">
        <f t="shared" si="615"/>
        <v>0</v>
      </c>
      <c r="AK892" s="2330"/>
      <c r="AL892" s="2330"/>
      <c r="AM892" s="2331">
        <f t="shared" si="602"/>
        <v>0</v>
      </c>
      <c r="AN892" s="2331"/>
      <c r="AO892" s="2331"/>
      <c r="AP892" s="2331"/>
      <c r="AQ892" s="2332">
        <f t="shared" si="616"/>
        <v>0</v>
      </c>
      <c r="AR892" s="2332"/>
      <c r="AS892" s="2332"/>
      <c r="AT892" s="2332">
        <f t="shared" si="617"/>
        <v>0</v>
      </c>
      <c r="AV892" s="151" t="str">
        <f t="shared" si="597"/>
        <v>TILING</v>
      </c>
      <c r="AW892" s="681"/>
      <c r="AX892" s="230"/>
      <c r="AY892" s="230"/>
      <c r="AZ892" s="679"/>
      <c r="BA892" s="49">
        <f t="shared" si="618"/>
        <v>0</v>
      </c>
      <c r="BB892" s="49">
        <f t="shared" si="623"/>
        <v>0</v>
      </c>
      <c r="BC892" s="49">
        <f t="shared" si="624"/>
        <v>0</v>
      </c>
      <c r="BD892" s="49">
        <f t="shared" si="619"/>
        <v>0</v>
      </c>
      <c r="BE892" s="49">
        <f>SUM(BA892:BC892)</f>
        <v>0</v>
      </c>
      <c r="BF892" s="49">
        <f t="shared" si="620"/>
        <v>0</v>
      </c>
      <c r="BG892" s="49">
        <f t="shared" si="621"/>
        <v>0</v>
      </c>
      <c r="BI892" s="134">
        <f t="shared" si="626"/>
        <v>0</v>
      </c>
      <c r="BJ892" s="134">
        <f t="shared" si="622"/>
        <v>0</v>
      </c>
      <c r="BK892" s="134">
        <f t="shared" si="627"/>
        <v>0</v>
      </c>
    </row>
    <row r="893" spans="1:63" ht="5.0999999999999996" hidden="1" customHeight="1">
      <c r="A893" s="187"/>
      <c r="B893" s="64"/>
      <c r="C893" s="64"/>
      <c r="D893" s="885"/>
      <c r="E893" s="885"/>
      <c r="F893" s="885"/>
      <c r="G893" s="885"/>
      <c r="H893" s="885"/>
      <c r="I893" s="885"/>
      <c r="J893" s="885"/>
      <c r="K893" s="885"/>
      <c r="L893" s="885"/>
      <c r="M893" s="885"/>
      <c r="N893" s="885"/>
      <c r="O893" s="885"/>
      <c r="P893" s="66"/>
      <c r="Q893" s="66"/>
      <c r="R893" s="66"/>
      <c r="S893" s="66"/>
      <c r="T893" s="66"/>
      <c r="U893" s="67"/>
      <c r="V893" s="67"/>
      <c r="W893" s="67"/>
      <c r="X893" s="67"/>
      <c r="Y893" s="67"/>
      <c r="Z893" s="67"/>
      <c r="AA893" s="67"/>
      <c r="AB893" s="67"/>
      <c r="AC893" s="67"/>
      <c r="AD893" s="68"/>
      <c r="AE893" s="68"/>
      <c r="AF893" s="68"/>
      <c r="AG893" s="68"/>
      <c r="AH893" s="68"/>
      <c r="AI893" s="68"/>
      <c r="AJ893" s="68"/>
      <c r="AK893" s="68"/>
      <c r="AL893" s="68"/>
      <c r="AM893" s="69"/>
      <c r="AN893" s="69"/>
      <c r="AO893" s="69"/>
      <c r="AP893" s="69"/>
      <c r="AQ893" s="661"/>
      <c r="AR893" s="661"/>
      <c r="AS893" s="661"/>
      <c r="AT893" s="661"/>
      <c r="AV893" s="369" t="str">
        <f t="shared" si="597"/>
        <v>TILING</v>
      </c>
      <c r="AW893" s="696"/>
      <c r="AX893" s="696"/>
      <c r="AY893" s="696"/>
      <c r="AZ893" s="369"/>
      <c r="BA893" s="75">
        <f>BA852</f>
        <v>0</v>
      </c>
      <c r="BB893" s="75">
        <f>BB852</f>
        <v>0</v>
      </c>
      <c r="BC893" s="75">
        <f>BC852</f>
        <v>0</v>
      </c>
      <c r="BD893" s="75">
        <f>BD852</f>
        <v>0</v>
      </c>
      <c r="BE893" s="75">
        <f>BE852</f>
        <v>0</v>
      </c>
      <c r="BF893" s="75"/>
      <c r="BG893" s="75"/>
      <c r="BI893" s="75"/>
      <c r="BJ893" s="75"/>
      <c r="BK893" s="75"/>
    </row>
    <row r="894" spans="1:63" ht="21.6" hidden="1" customHeight="1">
      <c r="A894" s="187"/>
      <c r="B894" s="2424"/>
      <c r="C894" s="2424"/>
      <c r="D894" s="886"/>
      <c r="E894" s="886"/>
      <c r="F894" s="886"/>
      <c r="G894" s="886"/>
      <c r="H894" s="886"/>
      <c r="I894" s="886"/>
      <c r="J894" s="886"/>
      <c r="K894" s="886"/>
      <c r="L894" s="886"/>
      <c r="M894" s="886"/>
      <c r="N894" s="886"/>
      <c r="O894" s="886"/>
      <c r="P894" s="37"/>
      <c r="Q894" s="37"/>
      <c r="R894" s="37"/>
      <c r="S894" s="37"/>
      <c r="T894" s="37"/>
      <c r="U894" s="37"/>
      <c r="V894" s="37"/>
      <c r="W894" s="37"/>
      <c r="X894" s="37"/>
      <c r="Y894" s="37"/>
      <c r="Z894" s="37"/>
      <c r="AA894" s="37"/>
      <c r="AB894" s="37"/>
      <c r="AC894" s="370" t="str">
        <f>CONCATENATE(D852," ","TOTAL")</f>
        <v>TILING TOTAL</v>
      </c>
      <c r="AD894" s="2342">
        <f>SUBTOTAL(9,AD853:AD893)</f>
        <v>0</v>
      </c>
      <c r="AE894" s="2342"/>
      <c r="AF894" s="2342"/>
      <c r="AG894" s="2342">
        <f>SUBTOTAL(9,AG853:AG893)</f>
        <v>0</v>
      </c>
      <c r="AH894" s="2342"/>
      <c r="AI894" s="2342"/>
      <c r="AJ894" s="2342">
        <f>SUBTOTAL(9,AJ853:AJ893)</f>
        <v>0</v>
      </c>
      <c r="AK894" s="2342"/>
      <c r="AL894" s="2342"/>
      <c r="AM894" s="2342">
        <f>SUBTOTAL(9,AM853:AM893)</f>
        <v>0</v>
      </c>
      <c r="AN894" s="2342"/>
      <c r="AO894" s="2342"/>
      <c r="AP894" s="2342"/>
      <c r="AQ894" s="2336">
        <f>SUBTOTAL(9,AQ853:AQ893)</f>
        <v>0</v>
      </c>
      <c r="AR894" s="2336"/>
      <c r="AS894" s="2336"/>
      <c r="AT894" s="2336"/>
      <c r="AV894" s="151" t="str">
        <f t="shared" si="597"/>
        <v>TILING</v>
      </c>
      <c r="AW894" s="682"/>
      <c r="AX894" s="695"/>
      <c r="AY894" s="695"/>
      <c r="AZ894" s="274"/>
      <c r="BA894" s="74">
        <f>BA852</f>
        <v>0</v>
      </c>
      <c r="BB894" s="74">
        <f>BB852</f>
        <v>0</v>
      </c>
      <c r="BC894" s="74">
        <f>BC852</f>
        <v>0</v>
      </c>
      <c r="BD894" s="74">
        <f>BD852</f>
        <v>0</v>
      </c>
      <c r="BE894" s="74">
        <f>BE852</f>
        <v>0</v>
      </c>
      <c r="BF894" s="74">
        <f>SUM(BF852:BF893)</f>
        <v>0</v>
      </c>
      <c r="BG894" s="49">
        <f>SUM(BG852:BG893)</f>
        <v>0</v>
      </c>
      <c r="BI894" s="74">
        <f>SUM(BI853:BI893)</f>
        <v>0</v>
      </c>
      <c r="BJ894" s="74">
        <f>SUM(BJ853:BJ893)</f>
        <v>0</v>
      </c>
      <c r="BK894" s="49">
        <f>SUM(BK853:BK893)</f>
        <v>0</v>
      </c>
    </row>
    <row r="895" spans="1:63" ht="5.0999999999999996" hidden="1" customHeight="1">
      <c r="A895" s="187"/>
      <c r="B895" s="64"/>
      <c r="C895" s="64"/>
      <c r="D895" s="885"/>
      <c r="E895" s="885"/>
      <c r="F895" s="885"/>
      <c r="G895" s="885"/>
      <c r="H895" s="885"/>
      <c r="I895" s="885"/>
      <c r="J895" s="885"/>
      <c r="K895" s="885"/>
      <c r="L895" s="885"/>
      <c r="M895" s="885"/>
      <c r="N895" s="885"/>
      <c r="O895" s="885"/>
      <c r="P895" s="66"/>
      <c r="Q895" s="66"/>
      <c r="R895" s="66"/>
      <c r="S895" s="66"/>
      <c r="T895" s="66"/>
      <c r="U895" s="67"/>
      <c r="V895" s="67"/>
      <c r="W895" s="67"/>
      <c r="X895" s="67"/>
      <c r="Y895" s="67"/>
      <c r="Z895" s="67"/>
      <c r="AA895" s="67"/>
      <c r="AB895" s="67"/>
      <c r="AC895" s="67"/>
      <c r="AD895" s="68"/>
      <c r="AE895" s="68"/>
      <c r="AF895" s="68"/>
      <c r="AG895" s="68"/>
      <c r="AH895" s="68"/>
      <c r="AI895" s="68"/>
      <c r="AJ895" s="68"/>
      <c r="AK895" s="68"/>
      <c r="AL895" s="68"/>
      <c r="AM895" s="69"/>
      <c r="AN895" s="69"/>
      <c r="AO895" s="69"/>
      <c r="AP895" s="69"/>
      <c r="AQ895" s="661"/>
      <c r="AR895" s="661"/>
      <c r="AS895" s="661"/>
      <c r="AT895" s="661"/>
      <c r="AV895" s="369" t="str">
        <f t="shared" si="597"/>
        <v>TILING</v>
      </c>
      <c r="AW895" s="696"/>
      <c r="AX895" s="696"/>
      <c r="AY895" s="696"/>
      <c r="AZ895" s="369"/>
      <c r="BA895" s="75">
        <f>BA852</f>
        <v>0</v>
      </c>
      <c r="BB895" s="75">
        <f>BB852</f>
        <v>0</v>
      </c>
      <c r="BC895" s="75">
        <f>BC852</f>
        <v>0</v>
      </c>
      <c r="BD895" s="75">
        <f>BD852</f>
        <v>0</v>
      </c>
      <c r="BE895" s="75">
        <f>BE852</f>
        <v>0</v>
      </c>
      <c r="BF895" s="75"/>
      <c r="BG895" s="75"/>
      <c r="BI895" s="75"/>
      <c r="BJ895" s="75"/>
      <c r="BK895" s="75"/>
    </row>
    <row r="896" spans="1:63" ht="9.6" hidden="1" customHeight="1">
      <c r="A896" s="187"/>
      <c r="B896" s="71"/>
      <c r="C896" s="71"/>
      <c r="D896" s="887"/>
      <c r="E896" s="887"/>
      <c r="F896" s="887"/>
      <c r="G896" s="887"/>
      <c r="H896" s="887"/>
      <c r="I896" s="887"/>
      <c r="J896" s="887"/>
      <c r="K896" s="887"/>
      <c r="L896" s="887"/>
      <c r="M896" s="887"/>
      <c r="N896" s="887"/>
      <c r="O896" s="887"/>
      <c r="P896" s="72"/>
      <c r="Q896" s="72"/>
      <c r="R896" s="72"/>
      <c r="S896" s="72"/>
      <c r="T896" s="72"/>
      <c r="U896" s="72"/>
      <c r="V896" s="72"/>
      <c r="W896" s="72"/>
      <c r="X896" s="72"/>
      <c r="Y896" s="72"/>
      <c r="Z896" s="72"/>
      <c r="AA896" s="72"/>
      <c r="AB896" s="72"/>
      <c r="AC896" s="73"/>
      <c r="AD896" s="662"/>
      <c r="AE896" s="662"/>
      <c r="AF896" s="662"/>
      <c r="AG896" s="662"/>
      <c r="AH896" s="662"/>
      <c r="AI896" s="662"/>
      <c r="AJ896" s="662"/>
      <c r="AK896" s="662"/>
      <c r="AL896" s="662"/>
      <c r="AM896" s="662"/>
      <c r="AN896" s="662"/>
      <c r="AO896" s="662"/>
      <c r="AP896" s="662"/>
      <c r="AQ896" s="663"/>
      <c r="AR896" s="663"/>
      <c r="AS896" s="663"/>
      <c r="AT896" s="663"/>
      <c r="AV896" s="371" t="str">
        <f t="shared" si="597"/>
        <v>TILING</v>
      </c>
      <c r="AW896" s="699"/>
      <c r="AX896" s="801"/>
      <c r="AY896" s="801"/>
      <c r="AZ896" s="371"/>
      <c r="BA896" s="125">
        <f>BA894</f>
        <v>0</v>
      </c>
      <c r="BB896" s="125">
        <f t="shared" ref="BB896:BG896" si="628">BB894</f>
        <v>0</v>
      </c>
      <c r="BC896" s="125">
        <f>BC894</f>
        <v>0</v>
      </c>
      <c r="BD896" s="125">
        <f t="shared" si="628"/>
        <v>0</v>
      </c>
      <c r="BE896" s="125">
        <f t="shared" si="628"/>
        <v>0</v>
      </c>
      <c r="BF896" s="125">
        <f t="shared" si="628"/>
        <v>0</v>
      </c>
      <c r="BG896" s="125">
        <f t="shared" si="628"/>
        <v>0</v>
      </c>
      <c r="BI896" s="125"/>
      <c r="BJ896" s="125"/>
      <c r="BK896" s="125"/>
    </row>
    <row r="897" spans="1:63" ht="23.1" customHeight="1">
      <c r="A897" s="186" t="s">
        <v>952</v>
      </c>
      <c r="B897" s="2343"/>
      <c r="C897" s="2344"/>
      <c r="D897" s="2387" t="str">
        <f>T(AJ77)</f>
        <v>PAINTING</v>
      </c>
      <c r="E897" s="2388"/>
      <c r="F897" s="2388"/>
      <c r="G897" s="2388"/>
      <c r="H897" s="2388"/>
      <c r="I897" s="2388"/>
      <c r="J897" s="2388"/>
      <c r="K897" s="2388"/>
      <c r="L897" s="2388"/>
      <c r="M897" s="2388"/>
      <c r="N897" s="2388"/>
      <c r="O897" s="2389"/>
      <c r="P897" s="2345"/>
      <c r="Q897" s="2345"/>
      <c r="R897" s="2345"/>
      <c r="S897" s="2346"/>
      <c r="T897" s="2347"/>
      <c r="U897" s="2348"/>
      <c r="V897" s="2348"/>
      <c r="W897" s="2348"/>
      <c r="X897" s="2348"/>
      <c r="Y897" s="2348"/>
      <c r="Z897" s="2348"/>
      <c r="AA897" s="2348"/>
      <c r="AB897" s="2348"/>
      <c r="AC897" s="2348"/>
      <c r="AD897" s="2425">
        <f>AD939</f>
        <v>0</v>
      </c>
      <c r="AE897" s="2425"/>
      <c r="AF897" s="2425"/>
      <c r="AG897" s="2425">
        <f>AG939</f>
        <v>0</v>
      </c>
      <c r="AH897" s="2425"/>
      <c r="AI897" s="2425"/>
      <c r="AJ897" s="2425">
        <f>AJ939</f>
        <v>0</v>
      </c>
      <c r="AK897" s="2425"/>
      <c r="AL897" s="2425"/>
      <c r="AM897" s="2342">
        <f>AM939</f>
        <v>0</v>
      </c>
      <c r="AN897" s="2342"/>
      <c r="AO897" s="2342"/>
      <c r="AP897" s="2342"/>
      <c r="AQ897" s="2336">
        <f>AQ939</f>
        <v>0</v>
      </c>
      <c r="AR897" s="2336"/>
      <c r="AS897" s="2336"/>
      <c r="AT897" s="2336" t="e">
        <f>SUM(#REF!)</f>
        <v>#REF!</v>
      </c>
      <c r="AV897" s="151" t="str">
        <f t="shared" ref="AV897:AV941" si="629">$D$897</f>
        <v>PAINTING</v>
      </c>
      <c r="AW897" s="700"/>
      <c r="AX897" s="700"/>
      <c r="AY897" s="700"/>
      <c r="AZ897" s="701"/>
      <c r="BA897" s="49">
        <f>SUM(BA898:BA937)</f>
        <v>0</v>
      </c>
      <c r="BB897" s="49">
        <f>SUM(BB898:BB937)</f>
        <v>0</v>
      </c>
      <c r="BC897" s="49">
        <f>SUM(BC898:BC937)</f>
        <v>0</v>
      </c>
      <c r="BD897" s="49">
        <f>SUM(BD898:BD937)</f>
        <v>0</v>
      </c>
      <c r="BE897" s="49">
        <f>SUM(BE898:BE937)</f>
        <v>0</v>
      </c>
      <c r="BF897" s="49">
        <f t="shared" ref="BF897:BF917" si="630">AQ897</f>
        <v>0</v>
      </c>
      <c r="BG897" s="49">
        <f t="shared" ref="BG897:BG917" si="631">AM897</f>
        <v>0</v>
      </c>
      <c r="BI897" s="134">
        <f>AD897</f>
        <v>0</v>
      </c>
      <c r="BJ897" s="134">
        <f>AM897</f>
        <v>0</v>
      </c>
      <c r="BK897" s="134">
        <f>BJ897+BI897</f>
        <v>0</v>
      </c>
    </row>
    <row r="898" spans="1:63" hidden="1">
      <c r="A898" s="187"/>
      <c r="B898" s="2321"/>
      <c r="C898" s="2322"/>
      <c r="D898" s="2337" t="s">
        <v>57</v>
      </c>
      <c r="E898" s="2337"/>
      <c r="F898" s="2337"/>
      <c r="G898" s="2337"/>
      <c r="H898" s="2337"/>
      <c r="I898" s="2337"/>
      <c r="J898" s="2337"/>
      <c r="K898" s="2337"/>
      <c r="L898" s="2337"/>
      <c r="M898" s="2337"/>
      <c r="N898" s="2337"/>
      <c r="O898" s="2337"/>
      <c r="P898" s="2324"/>
      <c r="Q898" s="2324"/>
      <c r="R898" s="2325"/>
      <c r="S898" s="2324"/>
      <c r="T898" s="2324"/>
      <c r="U898" s="2326"/>
      <c r="V898" s="2327"/>
      <c r="W898" s="2327"/>
      <c r="X898" s="2327"/>
      <c r="Y898" s="2327"/>
      <c r="Z898" s="2327"/>
      <c r="AA898" s="2328"/>
      <c r="AB898" s="2329"/>
      <c r="AC898" s="2326"/>
      <c r="AD898" s="2330">
        <f t="shared" ref="AD898:AD917" si="632">((P898*U898)-AM898)</f>
        <v>0</v>
      </c>
      <c r="AE898" s="2330"/>
      <c r="AF898" s="2330"/>
      <c r="AG898" s="2330">
        <f>P898*X898*(1+$Y$85)</f>
        <v>0</v>
      </c>
      <c r="AH898" s="2330"/>
      <c r="AI898" s="2330"/>
      <c r="AJ898" s="2330">
        <f t="shared" ref="AJ898:AJ917" si="633">P898*AA898</f>
        <v>0</v>
      </c>
      <c r="AK898" s="2330"/>
      <c r="AL898" s="2330"/>
      <c r="AM898" s="2331">
        <f t="shared" ref="AM898:AM937" si="634">IF($B898="x",$P898*$U898,0)</f>
        <v>0</v>
      </c>
      <c r="AN898" s="2331"/>
      <c r="AO898" s="2331"/>
      <c r="AP898" s="2331"/>
      <c r="AQ898" s="2332">
        <f t="shared" ref="AQ898:AQ917" si="635">SUM(AD898:AL898)</f>
        <v>0</v>
      </c>
      <c r="AR898" s="2332"/>
      <c r="AS898" s="2332"/>
      <c r="AT898" s="2332">
        <f t="shared" ref="AT898:AT917" si="636">SUM(AD898:AL898)</f>
        <v>0</v>
      </c>
      <c r="AV898" s="151" t="str">
        <f t="shared" si="629"/>
        <v>PAINTING</v>
      </c>
      <c r="AW898" s="681"/>
      <c r="AX898" s="230"/>
      <c r="AY898" s="230"/>
      <c r="AZ898" s="679"/>
      <c r="BA898" s="49">
        <f t="shared" ref="BA898:BA917" si="637">AD898</f>
        <v>0</v>
      </c>
      <c r="BB898" s="49">
        <f>AG898</f>
        <v>0</v>
      </c>
      <c r="BC898" s="49">
        <f>AJ898</f>
        <v>0</v>
      </c>
      <c r="BD898" s="49">
        <f t="shared" ref="BD898:BD917" si="638">IF(B898="x",1,0)</f>
        <v>0</v>
      </c>
      <c r="BE898" s="49">
        <f>SUM(BA898:BC898)</f>
        <v>0</v>
      </c>
      <c r="BF898" s="49">
        <f t="shared" si="630"/>
        <v>0</v>
      </c>
      <c r="BG898" s="49">
        <f t="shared" si="631"/>
        <v>0</v>
      </c>
      <c r="BI898" s="134">
        <f>AD898</f>
        <v>0</v>
      </c>
      <c r="BJ898" s="134">
        <f t="shared" ref="BJ898:BJ917" si="639">AM898</f>
        <v>0</v>
      </c>
      <c r="BK898" s="134">
        <f>BJ898+BI898</f>
        <v>0</v>
      </c>
    </row>
    <row r="899" spans="1:63" hidden="1">
      <c r="A899" s="187"/>
      <c r="B899" s="2321"/>
      <c r="C899" s="2322"/>
      <c r="D899" s="2338" t="s">
        <v>259</v>
      </c>
      <c r="E899" s="2338"/>
      <c r="F899" s="2338"/>
      <c r="G899" s="2338"/>
      <c r="H899" s="2338"/>
      <c r="I899" s="2338"/>
      <c r="J899" s="2338"/>
      <c r="K899" s="2338"/>
      <c r="L899" s="2338"/>
      <c r="M899" s="2338"/>
      <c r="N899" s="2338"/>
      <c r="O899" s="2338"/>
      <c r="P899" s="2324"/>
      <c r="Q899" s="2324"/>
      <c r="R899" s="2325"/>
      <c r="S899" s="2324" t="s">
        <v>3</v>
      </c>
      <c r="T899" s="2324" t="s">
        <v>3</v>
      </c>
      <c r="U899" s="2326">
        <v>2000</v>
      </c>
      <c r="V899" s="2327"/>
      <c r="W899" s="2327"/>
      <c r="X899" s="2327"/>
      <c r="Y899" s="2327"/>
      <c r="Z899" s="2327"/>
      <c r="AA899" s="2328"/>
      <c r="AB899" s="2329"/>
      <c r="AC899" s="2326"/>
      <c r="AD899" s="2330">
        <f t="shared" si="632"/>
        <v>0</v>
      </c>
      <c r="AE899" s="2330"/>
      <c r="AF899" s="2330"/>
      <c r="AG899" s="2330">
        <f t="shared" ref="AG899:AG937" si="640">P899*X899*(1+$Y$85)</f>
        <v>0</v>
      </c>
      <c r="AH899" s="2330"/>
      <c r="AI899" s="2330"/>
      <c r="AJ899" s="2330">
        <f t="shared" si="633"/>
        <v>0</v>
      </c>
      <c r="AK899" s="2330"/>
      <c r="AL899" s="2330"/>
      <c r="AM899" s="2331">
        <f t="shared" si="634"/>
        <v>0</v>
      </c>
      <c r="AN899" s="2331"/>
      <c r="AO899" s="2331"/>
      <c r="AP899" s="2331"/>
      <c r="AQ899" s="2332">
        <f t="shared" si="635"/>
        <v>0</v>
      </c>
      <c r="AR899" s="2332"/>
      <c r="AS899" s="2332"/>
      <c r="AT899" s="2332">
        <f t="shared" si="636"/>
        <v>0</v>
      </c>
      <c r="AV899" s="151" t="str">
        <f t="shared" si="629"/>
        <v>PAINTING</v>
      </c>
      <c r="AW899" s="681"/>
      <c r="AX899" s="230"/>
      <c r="AY899" s="230"/>
      <c r="AZ899" s="679"/>
      <c r="BA899" s="49">
        <f t="shared" si="637"/>
        <v>0</v>
      </c>
      <c r="BB899" s="49">
        <f t="shared" ref="BB899:BB917" si="641">AG899</f>
        <v>0</v>
      </c>
      <c r="BC899" s="49">
        <f t="shared" ref="BC899:BC917" si="642">AJ899</f>
        <v>0</v>
      </c>
      <c r="BD899" s="49">
        <f t="shared" si="638"/>
        <v>0</v>
      </c>
      <c r="BE899" s="49">
        <f t="shared" ref="BE899:BE915" si="643">SUM(BA899:BC899)</f>
        <v>0</v>
      </c>
      <c r="BF899" s="49">
        <f t="shared" si="630"/>
        <v>0</v>
      </c>
      <c r="BG899" s="49">
        <f t="shared" si="631"/>
        <v>0</v>
      </c>
      <c r="BI899" s="134">
        <f t="shared" ref="BI899:BI917" si="644">AD899</f>
        <v>0</v>
      </c>
      <c r="BJ899" s="134">
        <f t="shared" si="639"/>
        <v>0</v>
      </c>
      <c r="BK899" s="134">
        <f t="shared" ref="BK899:BK917" si="645">BJ899+BI899</f>
        <v>0</v>
      </c>
    </row>
    <row r="900" spans="1:63" hidden="1">
      <c r="A900" s="187"/>
      <c r="B900" s="2333"/>
      <c r="C900" s="2333"/>
      <c r="D900" s="2338" t="s">
        <v>449</v>
      </c>
      <c r="E900" s="2338"/>
      <c r="F900" s="2338"/>
      <c r="G900" s="2338"/>
      <c r="H900" s="2338"/>
      <c r="I900" s="2338"/>
      <c r="J900" s="2338"/>
      <c r="K900" s="2338"/>
      <c r="L900" s="2338"/>
      <c r="M900" s="2338"/>
      <c r="N900" s="2338"/>
      <c r="O900" s="2338"/>
      <c r="P900" s="2324"/>
      <c r="Q900" s="2324"/>
      <c r="R900" s="2325"/>
      <c r="S900" s="2324" t="s">
        <v>798</v>
      </c>
      <c r="T900" s="2324" t="s">
        <v>448</v>
      </c>
      <c r="U900" s="2326"/>
      <c r="V900" s="2327"/>
      <c r="W900" s="2327"/>
      <c r="X900" s="2327">
        <v>35</v>
      </c>
      <c r="Y900" s="2327"/>
      <c r="Z900" s="2327">
        <v>35</v>
      </c>
      <c r="AA900" s="2328"/>
      <c r="AB900" s="2329"/>
      <c r="AC900" s="2326"/>
      <c r="AD900" s="2330">
        <f t="shared" si="632"/>
        <v>0</v>
      </c>
      <c r="AE900" s="2330"/>
      <c r="AF900" s="2330"/>
      <c r="AG900" s="2330">
        <f t="shared" si="640"/>
        <v>0</v>
      </c>
      <c r="AH900" s="2330"/>
      <c r="AI900" s="2330"/>
      <c r="AJ900" s="2330">
        <f t="shared" si="633"/>
        <v>0</v>
      </c>
      <c r="AK900" s="2330"/>
      <c r="AL900" s="2330"/>
      <c r="AM900" s="2331">
        <f t="shared" si="634"/>
        <v>0</v>
      </c>
      <c r="AN900" s="2331"/>
      <c r="AO900" s="2331"/>
      <c r="AP900" s="2331"/>
      <c r="AQ900" s="2332">
        <f t="shared" si="635"/>
        <v>0</v>
      </c>
      <c r="AR900" s="2332"/>
      <c r="AS900" s="2332"/>
      <c r="AT900" s="2332">
        <f t="shared" si="636"/>
        <v>0</v>
      </c>
      <c r="AV900" s="151" t="str">
        <f t="shared" si="629"/>
        <v>PAINTING</v>
      </c>
      <c r="AW900" s="681"/>
      <c r="AX900" s="230"/>
      <c r="AY900" s="230"/>
      <c r="AZ900" s="679"/>
      <c r="BA900" s="49">
        <f t="shared" si="637"/>
        <v>0</v>
      </c>
      <c r="BB900" s="49">
        <f t="shared" si="641"/>
        <v>0</v>
      </c>
      <c r="BC900" s="49">
        <f t="shared" si="642"/>
        <v>0</v>
      </c>
      <c r="BD900" s="49">
        <f t="shared" si="638"/>
        <v>0</v>
      </c>
      <c r="BE900" s="49">
        <f t="shared" si="643"/>
        <v>0</v>
      </c>
      <c r="BF900" s="49">
        <f t="shared" si="630"/>
        <v>0</v>
      </c>
      <c r="BG900" s="49">
        <f t="shared" si="631"/>
        <v>0</v>
      </c>
      <c r="BI900" s="134">
        <f t="shared" si="644"/>
        <v>0</v>
      </c>
      <c r="BJ900" s="134">
        <f t="shared" si="639"/>
        <v>0</v>
      </c>
      <c r="BK900" s="134">
        <f t="shared" si="645"/>
        <v>0</v>
      </c>
    </row>
    <row r="901" spans="1:63" hidden="1">
      <c r="A901" s="187"/>
      <c r="B901" s="2333"/>
      <c r="C901" s="2333"/>
      <c r="D901" s="2334" t="s">
        <v>404</v>
      </c>
      <c r="E901" s="2334"/>
      <c r="F901" s="2334"/>
      <c r="G901" s="2334"/>
      <c r="H901" s="2334"/>
      <c r="I901" s="2334"/>
      <c r="J901" s="2334"/>
      <c r="K901" s="2334"/>
      <c r="L901" s="2334"/>
      <c r="M901" s="2334"/>
      <c r="N901" s="2334"/>
      <c r="O901" s="2334"/>
      <c r="P901" s="2324"/>
      <c r="Q901" s="2324"/>
      <c r="R901" s="2325"/>
      <c r="S901" s="2324" t="s">
        <v>11</v>
      </c>
      <c r="T901" s="2324" t="s">
        <v>11</v>
      </c>
      <c r="U901" s="2326">
        <v>0.2</v>
      </c>
      <c r="V901" s="2327"/>
      <c r="W901" s="2327"/>
      <c r="X901" s="2327"/>
      <c r="Y901" s="2327"/>
      <c r="Z901" s="2327"/>
      <c r="AA901" s="2328"/>
      <c r="AB901" s="2329"/>
      <c r="AC901" s="2326"/>
      <c r="AD901" s="2330">
        <f t="shared" si="632"/>
        <v>0</v>
      </c>
      <c r="AE901" s="2330"/>
      <c r="AF901" s="2330"/>
      <c r="AG901" s="2330">
        <f t="shared" si="640"/>
        <v>0</v>
      </c>
      <c r="AH901" s="2330"/>
      <c r="AI901" s="2330"/>
      <c r="AJ901" s="2330">
        <f t="shared" si="633"/>
        <v>0</v>
      </c>
      <c r="AK901" s="2330"/>
      <c r="AL901" s="2330"/>
      <c r="AM901" s="2331">
        <f t="shared" si="634"/>
        <v>0</v>
      </c>
      <c r="AN901" s="2331"/>
      <c r="AO901" s="2331"/>
      <c r="AP901" s="2331"/>
      <c r="AQ901" s="2332">
        <f t="shared" si="635"/>
        <v>0</v>
      </c>
      <c r="AR901" s="2332"/>
      <c r="AS901" s="2332"/>
      <c r="AT901" s="2332">
        <f t="shared" si="636"/>
        <v>0</v>
      </c>
      <c r="AV901" s="151" t="str">
        <f t="shared" si="629"/>
        <v>PAINTING</v>
      </c>
      <c r="AW901" s="681"/>
      <c r="AX901" s="230"/>
      <c r="AY901" s="230"/>
      <c r="AZ901" s="679"/>
      <c r="BA901" s="49">
        <f t="shared" si="637"/>
        <v>0</v>
      </c>
      <c r="BB901" s="49">
        <f t="shared" si="641"/>
        <v>0</v>
      </c>
      <c r="BC901" s="49">
        <f t="shared" si="642"/>
        <v>0</v>
      </c>
      <c r="BD901" s="49">
        <f t="shared" si="638"/>
        <v>0</v>
      </c>
      <c r="BE901" s="49">
        <f t="shared" si="643"/>
        <v>0</v>
      </c>
      <c r="BF901" s="49">
        <f t="shared" si="630"/>
        <v>0</v>
      </c>
      <c r="BG901" s="49">
        <f t="shared" si="631"/>
        <v>0</v>
      </c>
      <c r="BI901" s="134">
        <f t="shared" si="644"/>
        <v>0</v>
      </c>
      <c r="BJ901" s="134">
        <f t="shared" si="639"/>
        <v>0</v>
      </c>
      <c r="BK901" s="134">
        <f t="shared" si="645"/>
        <v>0</v>
      </c>
    </row>
    <row r="902" spans="1:63" hidden="1">
      <c r="A902" s="187"/>
      <c r="B902" s="2321"/>
      <c r="C902" s="2322"/>
      <c r="D902" s="2334" t="s">
        <v>405</v>
      </c>
      <c r="E902" s="2334"/>
      <c r="F902" s="2334"/>
      <c r="G902" s="2334"/>
      <c r="H902" s="2334"/>
      <c r="I902" s="2334"/>
      <c r="J902" s="2334"/>
      <c r="K902" s="2334"/>
      <c r="L902" s="2334"/>
      <c r="M902" s="2334"/>
      <c r="N902" s="2334"/>
      <c r="O902" s="2334"/>
      <c r="P902" s="2324"/>
      <c r="Q902" s="2324"/>
      <c r="R902" s="2325"/>
      <c r="S902" s="2324" t="s">
        <v>11</v>
      </c>
      <c r="T902" s="2324" t="s">
        <v>11</v>
      </c>
      <c r="U902" s="2326">
        <v>0.75</v>
      </c>
      <c r="V902" s="2327"/>
      <c r="W902" s="2327"/>
      <c r="X902" s="2327">
        <v>0.25</v>
      </c>
      <c r="Y902" s="2327"/>
      <c r="Z902" s="2327">
        <v>0.25</v>
      </c>
      <c r="AA902" s="2328"/>
      <c r="AB902" s="2329"/>
      <c r="AC902" s="2326"/>
      <c r="AD902" s="2330">
        <f t="shared" si="632"/>
        <v>0</v>
      </c>
      <c r="AE902" s="2330"/>
      <c r="AF902" s="2330"/>
      <c r="AG902" s="2330">
        <f t="shared" si="640"/>
        <v>0</v>
      </c>
      <c r="AH902" s="2330"/>
      <c r="AI902" s="2330"/>
      <c r="AJ902" s="2330">
        <f t="shared" si="633"/>
        <v>0</v>
      </c>
      <c r="AK902" s="2330"/>
      <c r="AL902" s="2330"/>
      <c r="AM902" s="2331">
        <f t="shared" si="634"/>
        <v>0</v>
      </c>
      <c r="AN902" s="2331"/>
      <c r="AO902" s="2331"/>
      <c r="AP902" s="2331"/>
      <c r="AQ902" s="2332">
        <f t="shared" si="635"/>
        <v>0</v>
      </c>
      <c r="AR902" s="2332"/>
      <c r="AS902" s="2332"/>
      <c r="AT902" s="2332">
        <f t="shared" si="636"/>
        <v>0</v>
      </c>
      <c r="AV902" s="151" t="str">
        <f t="shared" si="629"/>
        <v>PAINTING</v>
      </c>
      <c r="AW902" s="681"/>
      <c r="AX902" s="230"/>
      <c r="AY902" s="230"/>
      <c r="AZ902" s="679"/>
      <c r="BA902" s="49">
        <f t="shared" si="637"/>
        <v>0</v>
      </c>
      <c r="BB902" s="49">
        <f t="shared" si="641"/>
        <v>0</v>
      </c>
      <c r="BC902" s="49">
        <f t="shared" si="642"/>
        <v>0</v>
      </c>
      <c r="BD902" s="49">
        <f t="shared" si="638"/>
        <v>0</v>
      </c>
      <c r="BE902" s="49">
        <f t="shared" si="643"/>
        <v>0</v>
      </c>
      <c r="BF902" s="49">
        <f t="shared" si="630"/>
        <v>0</v>
      </c>
      <c r="BG902" s="49">
        <f t="shared" si="631"/>
        <v>0</v>
      </c>
      <c r="BI902" s="134">
        <f t="shared" si="644"/>
        <v>0</v>
      </c>
      <c r="BJ902" s="134">
        <f t="shared" si="639"/>
        <v>0</v>
      </c>
      <c r="BK902" s="134">
        <f t="shared" si="645"/>
        <v>0</v>
      </c>
    </row>
    <row r="903" spans="1:63" hidden="1">
      <c r="A903" s="187"/>
      <c r="B903" s="2321"/>
      <c r="C903" s="2322"/>
      <c r="D903" s="2334" t="s">
        <v>16</v>
      </c>
      <c r="E903" s="2334"/>
      <c r="F903" s="2334"/>
      <c r="G903" s="2334"/>
      <c r="H903" s="2334"/>
      <c r="I903" s="2334"/>
      <c r="J903" s="2334"/>
      <c r="K903" s="2334"/>
      <c r="L903" s="2334"/>
      <c r="M903" s="2334"/>
      <c r="N903" s="2334"/>
      <c r="O903" s="2334"/>
      <c r="P903" s="2324"/>
      <c r="Q903" s="2324"/>
      <c r="R903" s="2325"/>
      <c r="S903" s="2324" t="s">
        <v>2</v>
      </c>
      <c r="T903" s="2324" t="s">
        <v>2</v>
      </c>
      <c r="U903" s="2326">
        <v>75</v>
      </c>
      <c r="V903" s="2327"/>
      <c r="W903" s="2327"/>
      <c r="X903" s="2327">
        <v>10</v>
      </c>
      <c r="Y903" s="2327"/>
      <c r="Z903" s="2327">
        <v>10</v>
      </c>
      <c r="AA903" s="2328"/>
      <c r="AB903" s="2329"/>
      <c r="AC903" s="2326"/>
      <c r="AD903" s="2330">
        <f t="shared" si="632"/>
        <v>0</v>
      </c>
      <c r="AE903" s="2330"/>
      <c r="AF903" s="2330"/>
      <c r="AG903" s="2330">
        <f t="shared" si="640"/>
        <v>0</v>
      </c>
      <c r="AH903" s="2330"/>
      <c r="AI903" s="2330"/>
      <c r="AJ903" s="2330">
        <f t="shared" si="633"/>
        <v>0</v>
      </c>
      <c r="AK903" s="2330"/>
      <c r="AL903" s="2330"/>
      <c r="AM903" s="2331">
        <f t="shared" si="634"/>
        <v>0</v>
      </c>
      <c r="AN903" s="2331"/>
      <c r="AO903" s="2331"/>
      <c r="AP903" s="2331"/>
      <c r="AQ903" s="2332">
        <f t="shared" si="635"/>
        <v>0</v>
      </c>
      <c r="AR903" s="2332"/>
      <c r="AS903" s="2332"/>
      <c r="AT903" s="2332">
        <f t="shared" si="636"/>
        <v>0</v>
      </c>
      <c r="AV903" s="151" t="str">
        <f t="shared" si="629"/>
        <v>PAINTING</v>
      </c>
      <c r="AW903" s="681"/>
      <c r="AX903" s="230"/>
      <c r="AY903" s="230"/>
      <c r="AZ903" s="679"/>
      <c r="BA903" s="49">
        <f t="shared" si="637"/>
        <v>0</v>
      </c>
      <c r="BB903" s="49">
        <f t="shared" si="641"/>
        <v>0</v>
      </c>
      <c r="BC903" s="49">
        <f t="shared" si="642"/>
        <v>0</v>
      </c>
      <c r="BD903" s="49">
        <f t="shared" si="638"/>
        <v>0</v>
      </c>
      <c r="BE903" s="49">
        <f t="shared" si="643"/>
        <v>0</v>
      </c>
      <c r="BF903" s="49">
        <f t="shared" si="630"/>
        <v>0</v>
      </c>
      <c r="BG903" s="49">
        <f t="shared" si="631"/>
        <v>0</v>
      </c>
      <c r="BI903" s="134">
        <f t="shared" si="644"/>
        <v>0</v>
      </c>
      <c r="BJ903" s="134">
        <f t="shared" si="639"/>
        <v>0</v>
      </c>
      <c r="BK903" s="134">
        <f t="shared" si="645"/>
        <v>0</v>
      </c>
    </row>
    <row r="904" spans="1:63" hidden="1">
      <c r="A904" s="187"/>
      <c r="B904" s="2333"/>
      <c r="C904" s="2333"/>
      <c r="D904" s="2334" t="s">
        <v>50</v>
      </c>
      <c r="E904" s="2334"/>
      <c r="F904" s="2334"/>
      <c r="G904" s="2334"/>
      <c r="H904" s="2334"/>
      <c r="I904" s="2334"/>
      <c r="J904" s="2334"/>
      <c r="K904" s="2334"/>
      <c r="L904" s="2334"/>
      <c r="M904" s="2334"/>
      <c r="N904" s="2334"/>
      <c r="O904" s="2334"/>
      <c r="P904" s="2324"/>
      <c r="Q904" s="2324"/>
      <c r="R904" s="2325"/>
      <c r="S904" s="2324" t="s">
        <v>12</v>
      </c>
      <c r="T904" s="2324" t="s">
        <v>12</v>
      </c>
      <c r="U904" s="2326">
        <v>1.5</v>
      </c>
      <c r="V904" s="2327"/>
      <c r="W904" s="2327"/>
      <c r="X904" s="2327">
        <v>0.15</v>
      </c>
      <c r="Y904" s="2327"/>
      <c r="Z904" s="2327">
        <v>0.15</v>
      </c>
      <c r="AA904" s="2328"/>
      <c r="AB904" s="2329"/>
      <c r="AC904" s="2326"/>
      <c r="AD904" s="2330">
        <f t="shared" si="632"/>
        <v>0</v>
      </c>
      <c r="AE904" s="2330"/>
      <c r="AF904" s="2330"/>
      <c r="AG904" s="2330">
        <f t="shared" si="640"/>
        <v>0</v>
      </c>
      <c r="AH904" s="2330"/>
      <c r="AI904" s="2330"/>
      <c r="AJ904" s="2330">
        <f t="shared" si="633"/>
        <v>0</v>
      </c>
      <c r="AK904" s="2330"/>
      <c r="AL904" s="2330"/>
      <c r="AM904" s="2331">
        <f t="shared" si="634"/>
        <v>0</v>
      </c>
      <c r="AN904" s="2331"/>
      <c r="AO904" s="2331"/>
      <c r="AP904" s="2331"/>
      <c r="AQ904" s="2332">
        <f t="shared" si="635"/>
        <v>0</v>
      </c>
      <c r="AR904" s="2332"/>
      <c r="AS904" s="2332"/>
      <c r="AT904" s="2332">
        <f t="shared" si="636"/>
        <v>0</v>
      </c>
      <c r="AV904" s="151" t="str">
        <f t="shared" si="629"/>
        <v>PAINTING</v>
      </c>
      <c r="AW904" s="681"/>
      <c r="AX904" s="230"/>
      <c r="AY904" s="230"/>
      <c r="AZ904" s="679"/>
      <c r="BA904" s="49">
        <f t="shared" si="637"/>
        <v>0</v>
      </c>
      <c r="BB904" s="49">
        <f t="shared" si="641"/>
        <v>0</v>
      </c>
      <c r="BC904" s="49">
        <f t="shared" si="642"/>
        <v>0</v>
      </c>
      <c r="BD904" s="49">
        <f t="shared" si="638"/>
        <v>0</v>
      </c>
      <c r="BE904" s="49">
        <f t="shared" si="643"/>
        <v>0</v>
      </c>
      <c r="BF904" s="49">
        <f t="shared" si="630"/>
        <v>0</v>
      </c>
      <c r="BG904" s="49">
        <f t="shared" si="631"/>
        <v>0</v>
      </c>
      <c r="BI904" s="134">
        <f t="shared" si="644"/>
        <v>0</v>
      </c>
      <c r="BJ904" s="134">
        <f t="shared" si="639"/>
        <v>0</v>
      </c>
      <c r="BK904" s="134">
        <f t="shared" si="645"/>
        <v>0</v>
      </c>
    </row>
    <row r="905" spans="1:63" hidden="1">
      <c r="A905" s="187"/>
      <c r="B905" s="2333"/>
      <c r="C905" s="2333"/>
      <c r="D905" s="2334" t="s">
        <v>52</v>
      </c>
      <c r="E905" s="2334"/>
      <c r="F905" s="2334"/>
      <c r="G905" s="2334"/>
      <c r="H905" s="2334"/>
      <c r="I905" s="2334"/>
      <c r="J905" s="2334"/>
      <c r="K905" s="2334"/>
      <c r="L905" s="2334"/>
      <c r="M905" s="2334"/>
      <c r="N905" s="2334"/>
      <c r="O905" s="2334"/>
      <c r="P905" s="2324"/>
      <c r="Q905" s="2324"/>
      <c r="R905" s="2325"/>
      <c r="S905" s="2324" t="s">
        <v>11</v>
      </c>
      <c r="T905" s="2324" t="s">
        <v>11</v>
      </c>
      <c r="U905" s="2326">
        <v>1.5</v>
      </c>
      <c r="V905" s="2327"/>
      <c r="W905" s="2327"/>
      <c r="X905" s="2327">
        <v>0.25</v>
      </c>
      <c r="Y905" s="2327"/>
      <c r="Z905" s="2327">
        <v>0.25</v>
      </c>
      <c r="AA905" s="2328"/>
      <c r="AB905" s="2329"/>
      <c r="AC905" s="2326"/>
      <c r="AD905" s="2330">
        <f t="shared" si="632"/>
        <v>0</v>
      </c>
      <c r="AE905" s="2330"/>
      <c r="AF905" s="2330"/>
      <c r="AG905" s="2330">
        <f t="shared" si="640"/>
        <v>0</v>
      </c>
      <c r="AH905" s="2330"/>
      <c r="AI905" s="2330"/>
      <c r="AJ905" s="2330">
        <f t="shared" si="633"/>
        <v>0</v>
      </c>
      <c r="AK905" s="2330"/>
      <c r="AL905" s="2330"/>
      <c r="AM905" s="2331">
        <f t="shared" si="634"/>
        <v>0</v>
      </c>
      <c r="AN905" s="2331"/>
      <c r="AO905" s="2331"/>
      <c r="AP905" s="2331"/>
      <c r="AQ905" s="2332">
        <f t="shared" si="635"/>
        <v>0</v>
      </c>
      <c r="AR905" s="2332"/>
      <c r="AS905" s="2332"/>
      <c r="AT905" s="2332">
        <f t="shared" si="636"/>
        <v>0</v>
      </c>
      <c r="AV905" s="151" t="str">
        <f t="shared" si="629"/>
        <v>PAINTING</v>
      </c>
      <c r="AW905" s="681"/>
      <c r="AX905" s="230"/>
      <c r="AY905" s="230"/>
      <c r="AZ905" s="679"/>
      <c r="BA905" s="49">
        <f t="shared" si="637"/>
        <v>0</v>
      </c>
      <c r="BB905" s="49">
        <f t="shared" si="641"/>
        <v>0</v>
      </c>
      <c r="BC905" s="49">
        <f t="shared" si="642"/>
        <v>0</v>
      </c>
      <c r="BD905" s="49">
        <f t="shared" si="638"/>
        <v>0</v>
      </c>
      <c r="BE905" s="49">
        <f t="shared" si="643"/>
        <v>0</v>
      </c>
      <c r="BF905" s="49">
        <f t="shared" si="630"/>
        <v>0</v>
      </c>
      <c r="BG905" s="49">
        <f t="shared" si="631"/>
        <v>0</v>
      </c>
      <c r="BI905" s="134">
        <f t="shared" si="644"/>
        <v>0</v>
      </c>
      <c r="BJ905" s="134">
        <f t="shared" si="639"/>
        <v>0</v>
      </c>
      <c r="BK905" s="134">
        <f t="shared" si="645"/>
        <v>0</v>
      </c>
    </row>
    <row r="906" spans="1:63" hidden="1">
      <c r="A906" s="187"/>
      <c r="B906" s="2321"/>
      <c r="C906" s="2322"/>
      <c r="D906" s="2334"/>
      <c r="E906" s="2334"/>
      <c r="F906" s="2334"/>
      <c r="G906" s="2334"/>
      <c r="H906" s="2334"/>
      <c r="I906" s="2334"/>
      <c r="J906" s="2334"/>
      <c r="K906" s="2334"/>
      <c r="L906" s="2334"/>
      <c r="M906" s="2334"/>
      <c r="N906" s="2334"/>
      <c r="O906" s="2334"/>
      <c r="P906" s="2324"/>
      <c r="Q906" s="2324"/>
      <c r="R906" s="2325"/>
      <c r="S906" s="2324"/>
      <c r="T906" s="2324"/>
      <c r="U906" s="2326"/>
      <c r="V906" s="2327"/>
      <c r="W906" s="2327"/>
      <c r="X906" s="2327"/>
      <c r="Y906" s="2327"/>
      <c r="Z906" s="2327"/>
      <c r="AA906" s="2328"/>
      <c r="AB906" s="2329"/>
      <c r="AC906" s="2326"/>
      <c r="AD906" s="2330">
        <f t="shared" si="632"/>
        <v>0</v>
      </c>
      <c r="AE906" s="2330"/>
      <c r="AF906" s="2330"/>
      <c r="AG906" s="2330">
        <f t="shared" si="640"/>
        <v>0</v>
      </c>
      <c r="AH906" s="2330"/>
      <c r="AI906" s="2330"/>
      <c r="AJ906" s="2330">
        <f t="shared" si="633"/>
        <v>0</v>
      </c>
      <c r="AK906" s="2330"/>
      <c r="AL906" s="2330"/>
      <c r="AM906" s="2331">
        <f t="shared" si="634"/>
        <v>0</v>
      </c>
      <c r="AN906" s="2331"/>
      <c r="AO906" s="2331"/>
      <c r="AP906" s="2331"/>
      <c r="AQ906" s="2332">
        <f t="shared" si="635"/>
        <v>0</v>
      </c>
      <c r="AR906" s="2332"/>
      <c r="AS906" s="2332"/>
      <c r="AT906" s="2332">
        <f t="shared" si="636"/>
        <v>0</v>
      </c>
      <c r="AV906" s="151" t="str">
        <f t="shared" si="629"/>
        <v>PAINTING</v>
      </c>
      <c r="AW906" s="681"/>
      <c r="AX906" s="230"/>
      <c r="AY906" s="230"/>
      <c r="AZ906" s="679"/>
      <c r="BA906" s="49">
        <f t="shared" si="637"/>
        <v>0</v>
      </c>
      <c r="BB906" s="49">
        <f t="shared" si="641"/>
        <v>0</v>
      </c>
      <c r="BC906" s="49">
        <f t="shared" si="642"/>
        <v>0</v>
      </c>
      <c r="BD906" s="49">
        <f t="shared" si="638"/>
        <v>0</v>
      </c>
      <c r="BE906" s="49">
        <f t="shared" si="643"/>
        <v>0</v>
      </c>
      <c r="BF906" s="49">
        <f t="shared" si="630"/>
        <v>0</v>
      </c>
      <c r="BG906" s="49">
        <f t="shared" si="631"/>
        <v>0</v>
      </c>
      <c r="BI906" s="134">
        <f t="shared" si="644"/>
        <v>0</v>
      </c>
      <c r="BJ906" s="134">
        <f t="shared" si="639"/>
        <v>0</v>
      </c>
      <c r="BK906" s="134">
        <f t="shared" si="645"/>
        <v>0</v>
      </c>
    </row>
    <row r="907" spans="1:63" hidden="1">
      <c r="A907" s="187"/>
      <c r="B907" s="2321"/>
      <c r="C907" s="2322"/>
      <c r="D907" s="2334"/>
      <c r="E907" s="2334"/>
      <c r="F907" s="2334"/>
      <c r="G907" s="2334"/>
      <c r="H907" s="2334"/>
      <c r="I907" s="2334"/>
      <c r="J907" s="2334"/>
      <c r="K907" s="2334"/>
      <c r="L907" s="2334"/>
      <c r="M907" s="2334"/>
      <c r="N907" s="2334"/>
      <c r="O907" s="2334"/>
      <c r="P907" s="2324"/>
      <c r="Q907" s="2324"/>
      <c r="R907" s="2325"/>
      <c r="S907" s="2324"/>
      <c r="T907" s="2324"/>
      <c r="U907" s="2326"/>
      <c r="V907" s="2327"/>
      <c r="W907" s="2327"/>
      <c r="X907" s="2327"/>
      <c r="Y907" s="2327"/>
      <c r="Z907" s="2327"/>
      <c r="AA907" s="2328"/>
      <c r="AB907" s="2329"/>
      <c r="AC907" s="2326"/>
      <c r="AD907" s="2330">
        <f t="shared" si="632"/>
        <v>0</v>
      </c>
      <c r="AE907" s="2330"/>
      <c r="AF907" s="2330"/>
      <c r="AG907" s="2330">
        <f t="shared" si="640"/>
        <v>0</v>
      </c>
      <c r="AH907" s="2330"/>
      <c r="AI907" s="2330"/>
      <c r="AJ907" s="2330">
        <f t="shared" si="633"/>
        <v>0</v>
      </c>
      <c r="AK907" s="2330"/>
      <c r="AL907" s="2330"/>
      <c r="AM907" s="2331">
        <f t="shared" si="634"/>
        <v>0</v>
      </c>
      <c r="AN907" s="2331"/>
      <c r="AO907" s="2331"/>
      <c r="AP907" s="2331"/>
      <c r="AQ907" s="2332">
        <f t="shared" si="635"/>
        <v>0</v>
      </c>
      <c r="AR907" s="2332"/>
      <c r="AS907" s="2332"/>
      <c r="AT907" s="2332">
        <f t="shared" si="636"/>
        <v>0</v>
      </c>
      <c r="AV907" s="151" t="str">
        <f t="shared" si="629"/>
        <v>PAINTING</v>
      </c>
      <c r="AW907" s="681"/>
      <c r="AX907" s="230"/>
      <c r="AY907" s="230"/>
      <c r="AZ907" s="679"/>
      <c r="BA907" s="49">
        <f t="shared" si="637"/>
        <v>0</v>
      </c>
      <c r="BB907" s="49">
        <f t="shared" si="641"/>
        <v>0</v>
      </c>
      <c r="BC907" s="49">
        <f t="shared" si="642"/>
        <v>0</v>
      </c>
      <c r="BD907" s="49">
        <f t="shared" si="638"/>
        <v>0</v>
      </c>
      <c r="BE907" s="49">
        <f t="shared" si="643"/>
        <v>0</v>
      </c>
      <c r="BF907" s="49">
        <f t="shared" si="630"/>
        <v>0</v>
      </c>
      <c r="BG907" s="49">
        <f t="shared" si="631"/>
        <v>0</v>
      </c>
      <c r="BI907" s="134">
        <f t="shared" si="644"/>
        <v>0</v>
      </c>
      <c r="BJ907" s="134">
        <f t="shared" si="639"/>
        <v>0</v>
      </c>
      <c r="BK907" s="134">
        <f t="shared" si="645"/>
        <v>0</v>
      </c>
    </row>
    <row r="908" spans="1:63" hidden="1">
      <c r="A908" s="187"/>
      <c r="B908" s="2333"/>
      <c r="C908" s="2333"/>
      <c r="D908" s="2337" t="s">
        <v>62</v>
      </c>
      <c r="E908" s="2337"/>
      <c r="F908" s="2337"/>
      <c r="G908" s="2337"/>
      <c r="H908" s="2337"/>
      <c r="I908" s="2337"/>
      <c r="J908" s="2337"/>
      <c r="K908" s="2337"/>
      <c r="L908" s="2337"/>
      <c r="M908" s="2337"/>
      <c r="N908" s="2337"/>
      <c r="O908" s="2337"/>
      <c r="P908" s="2324"/>
      <c r="Q908" s="2324"/>
      <c r="R908" s="2325"/>
      <c r="S908" s="2324"/>
      <c r="T908" s="2324"/>
      <c r="U908" s="2326"/>
      <c r="V908" s="2327"/>
      <c r="W908" s="2327"/>
      <c r="X908" s="2327"/>
      <c r="Y908" s="2327"/>
      <c r="Z908" s="2327"/>
      <c r="AA908" s="2328"/>
      <c r="AB908" s="2329"/>
      <c r="AC908" s="2326"/>
      <c r="AD908" s="2330">
        <f t="shared" si="632"/>
        <v>0</v>
      </c>
      <c r="AE908" s="2330"/>
      <c r="AF908" s="2330"/>
      <c r="AG908" s="2330">
        <f t="shared" si="640"/>
        <v>0</v>
      </c>
      <c r="AH908" s="2330"/>
      <c r="AI908" s="2330"/>
      <c r="AJ908" s="2330">
        <f t="shared" si="633"/>
        <v>0</v>
      </c>
      <c r="AK908" s="2330"/>
      <c r="AL908" s="2330"/>
      <c r="AM908" s="2331">
        <f t="shared" si="634"/>
        <v>0</v>
      </c>
      <c r="AN908" s="2331"/>
      <c r="AO908" s="2331"/>
      <c r="AP908" s="2331"/>
      <c r="AQ908" s="2332">
        <f t="shared" si="635"/>
        <v>0</v>
      </c>
      <c r="AR908" s="2332"/>
      <c r="AS908" s="2332"/>
      <c r="AT908" s="2332">
        <f t="shared" si="636"/>
        <v>0</v>
      </c>
      <c r="AV908" s="151" t="str">
        <f t="shared" si="629"/>
        <v>PAINTING</v>
      </c>
      <c r="AW908" s="681"/>
      <c r="AX908" s="230"/>
      <c r="AY908" s="230"/>
      <c r="AZ908" s="679"/>
      <c r="BA908" s="49">
        <f t="shared" si="637"/>
        <v>0</v>
      </c>
      <c r="BB908" s="49">
        <f t="shared" si="641"/>
        <v>0</v>
      </c>
      <c r="BC908" s="49">
        <f t="shared" si="642"/>
        <v>0</v>
      </c>
      <c r="BD908" s="49">
        <f t="shared" si="638"/>
        <v>0</v>
      </c>
      <c r="BE908" s="49">
        <f t="shared" si="643"/>
        <v>0</v>
      </c>
      <c r="BF908" s="49">
        <f t="shared" si="630"/>
        <v>0</v>
      </c>
      <c r="BG908" s="49">
        <f t="shared" si="631"/>
        <v>0</v>
      </c>
      <c r="BI908" s="134">
        <f t="shared" si="644"/>
        <v>0</v>
      </c>
      <c r="BJ908" s="134">
        <f t="shared" si="639"/>
        <v>0</v>
      </c>
      <c r="BK908" s="134">
        <f t="shared" si="645"/>
        <v>0</v>
      </c>
    </row>
    <row r="909" spans="1:63" hidden="1">
      <c r="A909" s="187"/>
      <c r="B909" s="2333"/>
      <c r="C909" s="2333"/>
      <c r="D909" s="2338" t="s">
        <v>61</v>
      </c>
      <c r="E909" s="2338"/>
      <c r="F909" s="2338"/>
      <c r="G909" s="2338"/>
      <c r="H909" s="2338"/>
      <c r="I909" s="2338"/>
      <c r="J909" s="2338"/>
      <c r="K909" s="2338"/>
      <c r="L909" s="2338"/>
      <c r="M909" s="2338"/>
      <c r="N909" s="2338"/>
      <c r="O909" s="2338"/>
      <c r="P909" s="2324"/>
      <c r="Q909" s="2324"/>
      <c r="R909" s="2325"/>
      <c r="S909" s="2324" t="s">
        <v>3</v>
      </c>
      <c r="T909" s="2324" t="s">
        <v>3</v>
      </c>
      <c r="U909" s="2326">
        <v>2000</v>
      </c>
      <c r="V909" s="2327"/>
      <c r="W909" s="2327"/>
      <c r="X909" s="2327"/>
      <c r="Y909" s="2327"/>
      <c r="Z909" s="2327"/>
      <c r="AA909" s="2328"/>
      <c r="AB909" s="2329"/>
      <c r="AC909" s="2326"/>
      <c r="AD909" s="2330">
        <f t="shared" si="632"/>
        <v>0</v>
      </c>
      <c r="AE909" s="2330"/>
      <c r="AF909" s="2330"/>
      <c r="AG909" s="2330">
        <f t="shared" si="640"/>
        <v>0</v>
      </c>
      <c r="AH909" s="2330"/>
      <c r="AI909" s="2330"/>
      <c r="AJ909" s="2330">
        <f t="shared" si="633"/>
        <v>0</v>
      </c>
      <c r="AK909" s="2330"/>
      <c r="AL909" s="2330"/>
      <c r="AM909" s="2331">
        <f t="shared" si="634"/>
        <v>0</v>
      </c>
      <c r="AN909" s="2331"/>
      <c r="AO909" s="2331"/>
      <c r="AP909" s="2331"/>
      <c r="AQ909" s="2332">
        <f t="shared" si="635"/>
        <v>0</v>
      </c>
      <c r="AR909" s="2332"/>
      <c r="AS909" s="2332"/>
      <c r="AT909" s="2332">
        <f t="shared" si="636"/>
        <v>0</v>
      </c>
      <c r="AV909" s="151" t="str">
        <f t="shared" si="629"/>
        <v>PAINTING</v>
      </c>
      <c r="AW909" s="681"/>
      <c r="AX909" s="230"/>
      <c r="AY909" s="230"/>
      <c r="AZ909" s="679"/>
      <c r="BA909" s="49">
        <f t="shared" si="637"/>
        <v>0</v>
      </c>
      <c r="BB909" s="49">
        <f t="shared" si="641"/>
        <v>0</v>
      </c>
      <c r="BC909" s="49">
        <f t="shared" si="642"/>
        <v>0</v>
      </c>
      <c r="BD909" s="49">
        <f t="shared" si="638"/>
        <v>0</v>
      </c>
      <c r="BE909" s="49">
        <f t="shared" si="643"/>
        <v>0</v>
      </c>
      <c r="BF909" s="49">
        <f t="shared" si="630"/>
        <v>0</v>
      </c>
      <c r="BG909" s="49">
        <f t="shared" si="631"/>
        <v>0</v>
      </c>
      <c r="BI909" s="134">
        <f t="shared" si="644"/>
        <v>0</v>
      </c>
      <c r="BJ909" s="134">
        <f t="shared" si="639"/>
        <v>0</v>
      </c>
      <c r="BK909" s="134">
        <f t="shared" si="645"/>
        <v>0</v>
      </c>
    </row>
    <row r="910" spans="1:63" hidden="1">
      <c r="A910" s="187"/>
      <c r="B910" s="2321"/>
      <c r="C910" s="2322"/>
      <c r="D910" s="2338" t="s">
        <v>450</v>
      </c>
      <c r="E910" s="2338"/>
      <c r="F910" s="2338"/>
      <c r="G910" s="2338"/>
      <c r="H910" s="2338"/>
      <c r="I910" s="2338"/>
      <c r="J910" s="2338"/>
      <c r="K910" s="2338"/>
      <c r="L910" s="2338"/>
      <c r="M910" s="2338"/>
      <c r="N910" s="2338"/>
      <c r="O910" s="2338"/>
      <c r="P910" s="2324"/>
      <c r="Q910" s="2324"/>
      <c r="R910" s="2325"/>
      <c r="S910" s="2324" t="s">
        <v>798</v>
      </c>
      <c r="T910" s="2324" t="s">
        <v>448</v>
      </c>
      <c r="U910" s="2326"/>
      <c r="V910" s="2327"/>
      <c r="W910" s="2327"/>
      <c r="X910" s="2327">
        <v>35</v>
      </c>
      <c r="Y910" s="2327"/>
      <c r="Z910" s="2327">
        <v>35</v>
      </c>
      <c r="AA910" s="2328"/>
      <c r="AB910" s="2329"/>
      <c r="AC910" s="2326"/>
      <c r="AD910" s="2330">
        <f t="shared" si="632"/>
        <v>0</v>
      </c>
      <c r="AE910" s="2330"/>
      <c r="AF910" s="2330"/>
      <c r="AG910" s="2330">
        <f t="shared" si="640"/>
        <v>0</v>
      </c>
      <c r="AH910" s="2330"/>
      <c r="AI910" s="2330"/>
      <c r="AJ910" s="2330">
        <f t="shared" si="633"/>
        <v>0</v>
      </c>
      <c r="AK910" s="2330"/>
      <c r="AL910" s="2330"/>
      <c r="AM910" s="2331">
        <f t="shared" si="634"/>
        <v>0</v>
      </c>
      <c r="AN910" s="2331"/>
      <c r="AO910" s="2331"/>
      <c r="AP910" s="2331"/>
      <c r="AQ910" s="2332">
        <f t="shared" si="635"/>
        <v>0</v>
      </c>
      <c r="AR910" s="2332"/>
      <c r="AS910" s="2332"/>
      <c r="AT910" s="2332">
        <f t="shared" si="636"/>
        <v>0</v>
      </c>
      <c r="AV910" s="151" t="str">
        <f t="shared" si="629"/>
        <v>PAINTING</v>
      </c>
      <c r="AW910" s="681"/>
      <c r="AX910" s="230"/>
      <c r="AY910" s="230"/>
      <c r="AZ910" s="679"/>
      <c r="BA910" s="49">
        <f t="shared" si="637"/>
        <v>0</v>
      </c>
      <c r="BB910" s="49">
        <f t="shared" si="641"/>
        <v>0</v>
      </c>
      <c r="BC910" s="49">
        <f t="shared" si="642"/>
        <v>0</v>
      </c>
      <c r="BD910" s="49">
        <f t="shared" si="638"/>
        <v>0</v>
      </c>
      <c r="BE910" s="49">
        <f t="shared" si="643"/>
        <v>0</v>
      </c>
      <c r="BF910" s="49">
        <f t="shared" si="630"/>
        <v>0</v>
      </c>
      <c r="BG910" s="49">
        <f t="shared" si="631"/>
        <v>0</v>
      </c>
      <c r="BI910" s="134">
        <f t="shared" si="644"/>
        <v>0</v>
      </c>
      <c r="BJ910" s="134">
        <f t="shared" si="639"/>
        <v>0</v>
      </c>
      <c r="BK910" s="134">
        <f t="shared" si="645"/>
        <v>0</v>
      </c>
    </row>
    <row r="911" spans="1:63" hidden="1">
      <c r="A911" s="187"/>
      <c r="B911" s="2321"/>
      <c r="C911" s="2322"/>
      <c r="D911" s="2334" t="s">
        <v>451</v>
      </c>
      <c r="E911" s="2334"/>
      <c r="F911" s="2334"/>
      <c r="G911" s="2334"/>
      <c r="H911" s="2334"/>
      <c r="I911" s="2334"/>
      <c r="J911" s="2334"/>
      <c r="K911" s="2334"/>
      <c r="L911" s="2334"/>
      <c r="M911" s="2334"/>
      <c r="N911" s="2334"/>
      <c r="O911" s="2334"/>
      <c r="P911" s="2324"/>
      <c r="Q911" s="2324"/>
      <c r="R911" s="2325"/>
      <c r="S911" s="2324" t="s">
        <v>2</v>
      </c>
      <c r="T911" s="2324" t="s">
        <v>2</v>
      </c>
      <c r="U911" s="2326">
        <v>50</v>
      </c>
      <c r="V911" s="2327"/>
      <c r="W911" s="2327"/>
      <c r="X911" s="2327">
        <v>5</v>
      </c>
      <c r="Y911" s="2327"/>
      <c r="Z911" s="2327">
        <v>5</v>
      </c>
      <c r="AA911" s="2328"/>
      <c r="AB911" s="2329"/>
      <c r="AC911" s="2326"/>
      <c r="AD911" s="2330">
        <f t="shared" si="632"/>
        <v>0</v>
      </c>
      <c r="AE911" s="2330"/>
      <c r="AF911" s="2330"/>
      <c r="AG911" s="2330">
        <f t="shared" si="640"/>
        <v>0</v>
      </c>
      <c r="AH911" s="2330"/>
      <c r="AI911" s="2330"/>
      <c r="AJ911" s="2330">
        <f t="shared" si="633"/>
        <v>0</v>
      </c>
      <c r="AK911" s="2330"/>
      <c r="AL911" s="2330"/>
      <c r="AM911" s="2331">
        <f t="shared" si="634"/>
        <v>0</v>
      </c>
      <c r="AN911" s="2331"/>
      <c r="AO911" s="2331"/>
      <c r="AP911" s="2331"/>
      <c r="AQ911" s="2332">
        <f t="shared" si="635"/>
        <v>0</v>
      </c>
      <c r="AR911" s="2332"/>
      <c r="AS911" s="2332"/>
      <c r="AT911" s="2332">
        <f t="shared" si="636"/>
        <v>0</v>
      </c>
      <c r="AV911" s="151" t="str">
        <f t="shared" si="629"/>
        <v>PAINTING</v>
      </c>
      <c r="AW911" s="681"/>
      <c r="AX911" s="230"/>
      <c r="AY911" s="230"/>
      <c r="AZ911" s="679"/>
      <c r="BA911" s="49">
        <f t="shared" si="637"/>
        <v>0</v>
      </c>
      <c r="BB911" s="49">
        <f t="shared" si="641"/>
        <v>0</v>
      </c>
      <c r="BC911" s="49">
        <f t="shared" si="642"/>
        <v>0</v>
      </c>
      <c r="BD911" s="49">
        <f t="shared" si="638"/>
        <v>0</v>
      </c>
      <c r="BE911" s="49">
        <f t="shared" si="643"/>
        <v>0</v>
      </c>
      <c r="BF911" s="49">
        <f t="shared" si="630"/>
        <v>0</v>
      </c>
      <c r="BG911" s="49">
        <f t="shared" si="631"/>
        <v>0</v>
      </c>
      <c r="BI911" s="134">
        <f t="shared" si="644"/>
        <v>0</v>
      </c>
      <c r="BJ911" s="134">
        <f t="shared" si="639"/>
        <v>0</v>
      </c>
      <c r="BK911" s="134">
        <f t="shared" si="645"/>
        <v>0</v>
      </c>
    </row>
    <row r="912" spans="1:63" hidden="1">
      <c r="A912" s="187"/>
      <c r="B912" s="2333"/>
      <c r="C912" s="2333"/>
      <c r="D912" s="2334" t="s">
        <v>453</v>
      </c>
      <c r="E912" s="2334"/>
      <c r="F912" s="2334"/>
      <c r="G912" s="2334"/>
      <c r="H912" s="2334"/>
      <c r="I912" s="2334"/>
      <c r="J912" s="2334"/>
      <c r="K912" s="2334"/>
      <c r="L912" s="2334"/>
      <c r="M912" s="2334"/>
      <c r="N912" s="2334"/>
      <c r="O912" s="2334"/>
      <c r="P912" s="2324"/>
      <c r="Q912" s="2324"/>
      <c r="R912" s="2325"/>
      <c r="S912" s="2324" t="s">
        <v>11</v>
      </c>
      <c r="T912" s="2324" t="s">
        <v>11</v>
      </c>
      <c r="U912" s="2326">
        <v>1</v>
      </c>
      <c r="V912" s="2327"/>
      <c r="W912" s="2327"/>
      <c r="X912" s="2327">
        <v>0.2</v>
      </c>
      <c r="Y912" s="2327"/>
      <c r="Z912" s="2327">
        <v>0.2</v>
      </c>
      <c r="AA912" s="2328"/>
      <c r="AB912" s="2329"/>
      <c r="AC912" s="2326"/>
      <c r="AD912" s="2330">
        <f t="shared" si="632"/>
        <v>0</v>
      </c>
      <c r="AE912" s="2330"/>
      <c r="AF912" s="2330"/>
      <c r="AG912" s="2330">
        <f t="shared" si="640"/>
        <v>0</v>
      </c>
      <c r="AH912" s="2330"/>
      <c r="AI912" s="2330"/>
      <c r="AJ912" s="2330">
        <f t="shared" si="633"/>
        <v>0</v>
      </c>
      <c r="AK912" s="2330"/>
      <c r="AL912" s="2330"/>
      <c r="AM912" s="2331">
        <f t="shared" si="634"/>
        <v>0</v>
      </c>
      <c r="AN912" s="2331"/>
      <c r="AO912" s="2331"/>
      <c r="AP912" s="2331"/>
      <c r="AQ912" s="2332">
        <f t="shared" si="635"/>
        <v>0</v>
      </c>
      <c r="AR912" s="2332"/>
      <c r="AS912" s="2332"/>
      <c r="AT912" s="2332">
        <f t="shared" si="636"/>
        <v>0</v>
      </c>
      <c r="AV912" s="151" t="str">
        <f t="shared" si="629"/>
        <v>PAINTING</v>
      </c>
      <c r="AW912" s="681"/>
      <c r="AX912" s="230"/>
      <c r="AY912" s="230"/>
      <c r="AZ912" s="679"/>
      <c r="BA912" s="49">
        <f t="shared" si="637"/>
        <v>0</v>
      </c>
      <c r="BB912" s="49">
        <f t="shared" si="641"/>
        <v>0</v>
      </c>
      <c r="BC912" s="49">
        <f t="shared" si="642"/>
        <v>0</v>
      </c>
      <c r="BD912" s="49">
        <f t="shared" si="638"/>
        <v>0</v>
      </c>
      <c r="BE912" s="49">
        <f t="shared" si="643"/>
        <v>0</v>
      </c>
      <c r="BF912" s="49">
        <f t="shared" si="630"/>
        <v>0</v>
      </c>
      <c r="BG912" s="49">
        <f t="shared" si="631"/>
        <v>0</v>
      </c>
      <c r="BI912" s="134">
        <f t="shared" si="644"/>
        <v>0</v>
      </c>
      <c r="BJ912" s="134">
        <f t="shared" si="639"/>
        <v>0</v>
      </c>
      <c r="BK912" s="134">
        <f t="shared" si="645"/>
        <v>0</v>
      </c>
    </row>
    <row r="913" spans="1:63" hidden="1">
      <c r="A913" s="187"/>
      <c r="B913" s="2333"/>
      <c r="C913" s="2333"/>
      <c r="D913" s="2334" t="s">
        <v>452</v>
      </c>
      <c r="E913" s="2334"/>
      <c r="F913" s="2334"/>
      <c r="G913" s="2334"/>
      <c r="H913" s="2334"/>
      <c r="I913" s="2334"/>
      <c r="J913" s="2334"/>
      <c r="K913" s="2334"/>
      <c r="L913" s="2334"/>
      <c r="M913" s="2334"/>
      <c r="N913" s="2334"/>
      <c r="O913" s="2334"/>
      <c r="P913" s="2324"/>
      <c r="Q913" s="2324"/>
      <c r="R913" s="2325"/>
      <c r="S913" s="2324" t="s">
        <v>11</v>
      </c>
      <c r="T913" s="2324" t="s">
        <v>11</v>
      </c>
      <c r="U913" s="2326">
        <v>1.25</v>
      </c>
      <c r="V913" s="2327"/>
      <c r="W913" s="2327"/>
      <c r="X913" s="2327">
        <v>0.25</v>
      </c>
      <c r="Y913" s="2327"/>
      <c r="Z913" s="2327">
        <v>0.25</v>
      </c>
      <c r="AA913" s="2328"/>
      <c r="AB913" s="2329"/>
      <c r="AC913" s="2326"/>
      <c r="AD913" s="2330">
        <f t="shared" si="632"/>
        <v>0</v>
      </c>
      <c r="AE913" s="2330"/>
      <c r="AF913" s="2330"/>
      <c r="AG913" s="2330">
        <f t="shared" si="640"/>
        <v>0</v>
      </c>
      <c r="AH913" s="2330"/>
      <c r="AI913" s="2330"/>
      <c r="AJ913" s="2330">
        <f t="shared" si="633"/>
        <v>0</v>
      </c>
      <c r="AK913" s="2330"/>
      <c r="AL913" s="2330"/>
      <c r="AM913" s="2331">
        <f t="shared" si="634"/>
        <v>0</v>
      </c>
      <c r="AN913" s="2331"/>
      <c r="AO913" s="2331"/>
      <c r="AP913" s="2331"/>
      <c r="AQ913" s="2332">
        <f t="shared" si="635"/>
        <v>0</v>
      </c>
      <c r="AR913" s="2332"/>
      <c r="AS913" s="2332"/>
      <c r="AT913" s="2332">
        <f t="shared" si="636"/>
        <v>0</v>
      </c>
      <c r="AV913" s="151" t="str">
        <f t="shared" si="629"/>
        <v>PAINTING</v>
      </c>
      <c r="AW913" s="681"/>
      <c r="AX913" s="230"/>
      <c r="AY913" s="230"/>
      <c r="AZ913" s="679"/>
      <c r="BA913" s="49">
        <f t="shared" si="637"/>
        <v>0</v>
      </c>
      <c r="BB913" s="49">
        <f t="shared" si="641"/>
        <v>0</v>
      </c>
      <c r="BC913" s="49">
        <f t="shared" si="642"/>
        <v>0</v>
      </c>
      <c r="BD913" s="49">
        <f t="shared" si="638"/>
        <v>0</v>
      </c>
      <c r="BE913" s="49">
        <f t="shared" si="643"/>
        <v>0</v>
      </c>
      <c r="BF913" s="49">
        <f t="shared" si="630"/>
        <v>0</v>
      </c>
      <c r="BG913" s="49">
        <f t="shared" si="631"/>
        <v>0</v>
      </c>
      <c r="BI913" s="134">
        <f t="shared" si="644"/>
        <v>0</v>
      </c>
      <c r="BJ913" s="134">
        <f t="shared" si="639"/>
        <v>0</v>
      </c>
      <c r="BK913" s="134">
        <f t="shared" si="645"/>
        <v>0</v>
      </c>
    </row>
    <row r="914" spans="1:63" hidden="1">
      <c r="A914" s="187"/>
      <c r="B914" s="2321"/>
      <c r="C914" s="2322"/>
      <c r="D914" s="2334" t="s">
        <v>238</v>
      </c>
      <c r="E914" s="2334"/>
      <c r="F914" s="2334"/>
      <c r="G914" s="2334"/>
      <c r="H914" s="2334"/>
      <c r="I914" s="2334"/>
      <c r="J914" s="2334"/>
      <c r="K914" s="2334"/>
      <c r="L914" s="2334"/>
      <c r="M914" s="2334"/>
      <c r="N914" s="2334"/>
      <c r="O914" s="2334"/>
      <c r="P914" s="2324"/>
      <c r="Q914" s="2324"/>
      <c r="R914" s="2325"/>
      <c r="S914" s="2324" t="s">
        <v>12</v>
      </c>
      <c r="T914" s="2324" t="s">
        <v>12</v>
      </c>
      <c r="U914" s="2326">
        <v>2</v>
      </c>
      <c r="V914" s="2327"/>
      <c r="W914" s="2327"/>
      <c r="X914" s="2327">
        <v>0.1</v>
      </c>
      <c r="Y914" s="2327"/>
      <c r="Z914" s="2327">
        <v>0.1</v>
      </c>
      <c r="AA914" s="2328"/>
      <c r="AB914" s="2329"/>
      <c r="AC914" s="2326"/>
      <c r="AD914" s="2330">
        <f t="shared" si="632"/>
        <v>0</v>
      </c>
      <c r="AE914" s="2330"/>
      <c r="AF914" s="2330"/>
      <c r="AG914" s="2330">
        <f t="shared" si="640"/>
        <v>0</v>
      </c>
      <c r="AH914" s="2330"/>
      <c r="AI914" s="2330"/>
      <c r="AJ914" s="2330">
        <f t="shared" si="633"/>
        <v>0</v>
      </c>
      <c r="AK914" s="2330"/>
      <c r="AL914" s="2330"/>
      <c r="AM914" s="2331">
        <f t="shared" si="634"/>
        <v>0</v>
      </c>
      <c r="AN914" s="2331"/>
      <c r="AO914" s="2331"/>
      <c r="AP914" s="2331"/>
      <c r="AQ914" s="2332">
        <f t="shared" si="635"/>
        <v>0</v>
      </c>
      <c r="AR914" s="2332"/>
      <c r="AS914" s="2332"/>
      <c r="AT914" s="2332">
        <f t="shared" si="636"/>
        <v>0</v>
      </c>
      <c r="AV914" s="151" t="str">
        <f t="shared" si="629"/>
        <v>PAINTING</v>
      </c>
      <c r="AW914" s="681"/>
      <c r="AX914" s="230"/>
      <c r="AY914" s="230"/>
      <c r="AZ914" s="679"/>
      <c r="BA914" s="49">
        <f t="shared" si="637"/>
        <v>0</v>
      </c>
      <c r="BB914" s="49">
        <f t="shared" si="641"/>
        <v>0</v>
      </c>
      <c r="BC914" s="49">
        <f t="shared" si="642"/>
        <v>0</v>
      </c>
      <c r="BD914" s="49">
        <f t="shared" si="638"/>
        <v>0</v>
      </c>
      <c r="BE914" s="49">
        <f t="shared" si="643"/>
        <v>0</v>
      </c>
      <c r="BF914" s="49">
        <f t="shared" si="630"/>
        <v>0</v>
      </c>
      <c r="BG914" s="49">
        <f t="shared" si="631"/>
        <v>0</v>
      </c>
      <c r="BI914" s="134">
        <f t="shared" si="644"/>
        <v>0</v>
      </c>
      <c r="BJ914" s="134">
        <f t="shared" si="639"/>
        <v>0</v>
      </c>
      <c r="BK914" s="134">
        <f t="shared" si="645"/>
        <v>0</v>
      </c>
    </row>
    <row r="915" spans="1:63" hidden="1">
      <c r="A915" s="187"/>
      <c r="B915" s="2321"/>
      <c r="C915" s="2322"/>
      <c r="D915" s="2334" t="s">
        <v>239</v>
      </c>
      <c r="E915" s="2334"/>
      <c r="F915" s="2334"/>
      <c r="G915" s="2334"/>
      <c r="H915" s="2334"/>
      <c r="I915" s="2334"/>
      <c r="J915" s="2334"/>
      <c r="K915" s="2334"/>
      <c r="L915" s="2334"/>
      <c r="M915" s="2334"/>
      <c r="N915" s="2334"/>
      <c r="O915" s="2334"/>
      <c r="P915" s="2324"/>
      <c r="Q915" s="2324"/>
      <c r="R915" s="2325"/>
      <c r="S915" s="2324" t="s">
        <v>11</v>
      </c>
      <c r="T915" s="2324" t="s">
        <v>11</v>
      </c>
      <c r="U915" s="2326">
        <v>2.5</v>
      </c>
      <c r="V915" s="2327"/>
      <c r="W915" s="2327"/>
      <c r="X915" s="2327">
        <v>0.5</v>
      </c>
      <c r="Y915" s="2327"/>
      <c r="Z915" s="2327">
        <v>0.5</v>
      </c>
      <c r="AA915" s="2328"/>
      <c r="AB915" s="2329"/>
      <c r="AC915" s="2326"/>
      <c r="AD915" s="2330">
        <f t="shared" si="632"/>
        <v>0</v>
      </c>
      <c r="AE915" s="2330"/>
      <c r="AF915" s="2330"/>
      <c r="AG915" s="2330">
        <f t="shared" si="640"/>
        <v>0</v>
      </c>
      <c r="AH915" s="2330"/>
      <c r="AI915" s="2330"/>
      <c r="AJ915" s="2330">
        <f t="shared" si="633"/>
        <v>0</v>
      </c>
      <c r="AK915" s="2330"/>
      <c r="AL915" s="2330"/>
      <c r="AM915" s="2331">
        <f t="shared" si="634"/>
        <v>0</v>
      </c>
      <c r="AN915" s="2331"/>
      <c r="AO915" s="2331"/>
      <c r="AP915" s="2331"/>
      <c r="AQ915" s="2332">
        <f t="shared" si="635"/>
        <v>0</v>
      </c>
      <c r="AR915" s="2332"/>
      <c r="AS915" s="2332"/>
      <c r="AT915" s="2332">
        <f t="shared" si="636"/>
        <v>0</v>
      </c>
      <c r="AV915" s="151" t="str">
        <f t="shared" si="629"/>
        <v>PAINTING</v>
      </c>
      <c r="AW915" s="681"/>
      <c r="AX915" s="230"/>
      <c r="AY915" s="230"/>
      <c r="AZ915" s="679"/>
      <c r="BA915" s="49">
        <f t="shared" si="637"/>
        <v>0</v>
      </c>
      <c r="BB915" s="49">
        <f t="shared" si="641"/>
        <v>0</v>
      </c>
      <c r="BC915" s="49">
        <f t="shared" si="642"/>
        <v>0</v>
      </c>
      <c r="BD915" s="49">
        <f t="shared" si="638"/>
        <v>0</v>
      </c>
      <c r="BE915" s="49">
        <f t="shared" si="643"/>
        <v>0</v>
      </c>
      <c r="BF915" s="49">
        <f t="shared" si="630"/>
        <v>0</v>
      </c>
      <c r="BG915" s="49">
        <f t="shared" si="631"/>
        <v>0</v>
      </c>
      <c r="BI915" s="134">
        <f t="shared" si="644"/>
        <v>0</v>
      </c>
      <c r="BJ915" s="134">
        <f t="shared" si="639"/>
        <v>0</v>
      </c>
      <c r="BK915" s="134">
        <f t="shared" si="645"/>
        <v>0</v>
      </c>
    </row>
    <row r="916" spans="1:63" hidden="1">
      <c r="A916" s="187"/>
      <c r="B916" s="2333"/>
      <c r="C916" s="2333"/>
      <c r="D916" s="2334"/>
      <c r="E916" s="2334"/>
      <c r="F916" s="2334"/>
      <c r="G916" s="2334"/>
      <c r="H916" s="2334"/>
      <c r="I916" s="2334"/>
      <c r="J916" s="2334"/>
      <c r="K916" s="2334"/>
      <c r="L916" s="2334"/>
      <c r="M916" s="2334"/>
      <c r="N916" s="2334"/>
      <c r="O916" s="2334"/>
      <c r="P916" s="2324"/>
      <c r="Q916" s="2324"/>
      <c r="R916" s="2325"/>
      <c r="S916" s="2324"/>
      <c r="T916" s="2324"/>
      <c r="U916" s="2326"/>
      <c r="V916" s="2327"/>
      <c r="W916" s="2327"/>
      <c r="X916" s="2327"/>
      <c r="Y916" s="2327"/>
      <c r="Z916" s="2327"/>
      <c r="AA916" s="2328"/>
      <c r="AB916" s="2329"/>
      <c r="AC916" s="2326"/>
      <c r="AD916" s="2330">
        <f t="shared" si="632"/>
        <v>0</v>
      </c>
      <c r="AE916" s="2330"/>
      <c r="AF916" s="2330"/>
      <c r="AG916" s="2330">
        <f t="shared" si="640"/>
        <v>0</v>
      </c>
      <c r="AH916" s="2330"/>
      <c r="AI916" s="2330"/>
      <c r="AJ916" s="2330">
        <f t="shared" si="633"/>
        <v>0</v>
      </c>
      <c r="AK916" s="2330"/>
      <c r="AL916" s="2330"/>
      <c r="AM916" s="2331">
        <f t="shared" si="634"/>
        <v>0</v>
      </c>
      <c r="AN916" s="2331"/>
      <c r="AO916" s="2331"/>
      <c r="AP916" s="2331"/>
      <c r="AQ916" s="2332">
        <f t="shared" si="635"/>
        <v>0</v>
      </c>
      <c r="AR916" s="2332"/>
      <c r="AS916" s="2332"/>
      <c r="AT916" s="2332">
        <f t="shared" si="636"/>
        <v>0</v>
      </c>
      <c r="AV916" s="151" t="str">
        <f t="shared" si="629"/>
        <v>PAINTING</v>
      </c>
      <c r="AW916" s="681"/>
      <c r="AX916" s="230"/>
      <c r="AY916" s="230"/>
      <c r="AZ916" s="679"/>
      <c r="BA916" s="49">
        <f t="shared" si="637"/>
        <v>0</v>
      </c>
      <c r="BB916" s="49">
        <f t="shared" si="641"/>
        <v>0</v>
      </c>
      <c r="BC916" s="49">
        <f t="shared" si="642"/>
        <v>0</v>
      </c>
      <c r="BD916" s="49">
        <f t="shared" si="638"/>
        <v>0</v>
      </c>
      <c r="BE916" s="49">
        <f>SUM(BA916:BC916)</f>
        <v>0</v>
      </c>
      <c r="BF916" s="49">
        <f t="shared" si="630"/>
        <v>0</v>
      </c>
      <c r="BG916" s="49">
        <f t="shared" si="631"/>
        <v>0</v>
      </c>
      <c r="BI916" s="134">
        <f t="shared" si="644"/>
        <v>0</v>
      </c>
      <c r="BJ916" s="134">
        <f t="shared" si="639"/>
        <v>0</v>
      </c>
      <c r="BK916" s="134">
        <f t="shared" si="645"/>
        <v>0</v>
      </c>
    </row>
    <row r="917" spans="1:63" hidden="1">
      <c r="A917" s="187"/>
      <c r="B917" s="2333"/>
      <c r="C917" s="2333"/>
      <c r="D917" s="2334"/>
      <c r="E917" s="2334"/>
      <c r="F917" s="2334"/>
      <c r="G917" s="2334"/>
      <c r="H917" s="2334"/>
      <c r="I917" s="2334"/>
      <c r="J917" s="2334"/>
      <c r="K917" s="2334"/>
      <c r="L917" s="2334"/>
      <c r="M917" s="2334"/>
      <c r="N917" s="2334"/>
      <c r="O917" s="2334"/>
      <c r="P917" s="2324"/>
      <c r="Q917" s="2324"/>
      <c r="R917" s="2325"/>
      <c r="S917" s="2324"/>
      <c r="T917" s="2324"/>
      <c r="U917" s="2326"/>
      <c r="V917" s="2327"/>
      <c r="W917" s="2327"/>
      <c r="X917" s="2327"/>
      <c r="Y917" s="2327"/>
      <c r="Z917" s="2327"/>
      <c r="AA917" s="2328"/>
      <c r="AB917" s="2329"/>
      <c r="AC917" s="2326"/>
      <c r="AD917" s="2330">
        <f t="shared" si="632"/>
        <v>0</v>
      </c>
      <c r="AE917" s="2330"/>
      <c r="AF917" s="2330"/>
      <c r="AG917" s="2330">
        <f t="shared" si="640"/>
        <v>0</v>
      </c>
      <c r="AH917" s="2330"/>
      <c r="AI917" s="2330"/>
      <c r="AJ917" s="2330">
        <f t="shared" si="633"/>
        <v>0</v>
      </c>
      <c r="AK917" s="2330"/>
      <c r="AL917" s="2330"/>
      <c r="AM917" s="2331">
        <f t="shared" si="634"/>
        <v>0</v>
      </c>
      <c r="AN917" s="2331"/>
      <c r="AO917" s="2331"/>
      <c r="AP917" s="2331"/>
      <c r="AQ917" s="2332">
        <f t="shared" si="635"/>
        <v>0</v>
      </c>
      <c r="AR917" s="2332"/>
      <c r="AS917" s="2332"/>
      <c r="AT917" s="2332">
        <f t="shared" si="636"/>
        <v>0</v>
      </c>
      <c r="AV917" s="151" t="str">
        <f t="shared" si="629"/>
        <v>PAINTING</v>
      </c>
      <c r="AW917" s="681"/>
      <c r="AX917" s="230"/>
      <c r="AY917" s="230"/>
      <c r="AZ917" s="679"/>
      <c r="BA917" s="49">
        <f t="shared" si="637"/>
        <v>0</v>
      </c>
      <c r="BB917" s="49">
        <f t="shared" si="641"/>
        <v>0</v>
      </c>
      <c r="BC917" s="49">
        <f t="shared" si="642"/>
        <v>0</v>
      </c>
      <c r="BD917" s="49">
        <f t="shared" si="638"/>
        <v>0</v>
      </c>
      <c r="BE917" s="49">
        <f>SUM(BA917:BC917)</f>
        <v>0</v>
      </c>
      <c r="BF917" s="49">
        <f t="shared" si="630"/>
        <v>0</v>
      </c>
      <c r="BG917" s="49">
        <f t="shared" si="631"/>
        <v>0</v>
      </c>
      <c r="BI917" s="134">
        <f t="shared" si="644"/>
        <v>0</v>
      </c>
      <c r="BJ917" s="134">
        <f t="shared" si="639"/>
        <v>0</v>
      </c>
      <c r="BK917" s="134">
        <f t="shared" si="645"/>
        <v>0</v>
      </c>
    </row>
    <row r="918" spans="1:63" hidden="1">
      <c r="A918" s="187"/>
      <c r="B918" s="2321"/>
      <c r="C918" s="2322"/>
      <c r="D918" s="2334"/>
      <c r="E918" s="2334"/>
      <c r="F918" s="2334"/>
      <c r="G918" s="2334"/>
      <c r="H918" s="2334"/>
      <c r="I918" s="2334"/>
      <c r="J918" s="2334"/>
      <c r="K918" s="2334"/>
      <c r="L918" s="2334"/>
      <c r="M918" s="2334"/>
      <c r="N918" s="2334"/>
      <c r="O918" s="2334"/>
      <c r="P918" s="2324"/>
      <c r="Q918" s="2324"/>
      <c r="R918" s="2325"/>
      <c r="S918" s="2324"/>
      <c r="T918" s="2324"/>
      <c r="U918" s="2326"/>
      <c r="V918" s="2327"/>
      <c r="W918" s="2327"/>
      <c r="X918" s="2327"/>
      <c r="Y918" s="2327"/>
      <c r="Z918" s="2327"/>
      <c r="AA918" s="2328"/>
      <c r="AB918" s="2329"/>
      <c r="AC918" s="2326"/>
      <c r="AD918" s="2330">
        <f t="shared" ref="AD918:AD937" si="646">((P918*U918)-AM918)</f>
        <v>0</v>
      </c>
      <c r="AE918" s="2330"/>
      <c r="AF918" s="2330"/>
      <c r="AG918" s="2330">
        <f t="shared" si="640"/>
        <v>0</v>
      </c>
      <c r="AH918" s="2330"/>
      <c r="AI918" s="2330"/>
      <c r="AJ918" s="2330">
        <f t="shared" ref="AJ918:AJ937" si="647">P918*AA918</f>
        <v>0</v>
      </c>
      <c r="AK918" s="2330"/>
      <c r="AL918" s="2330"/>
      <c r="AM918" s="2331">
        <f t="shared" si="634"/>
        <v>0</v>
      </c>
      <c r="AN918" s="2331"/>
      <c r="AO918" s="2331"/>
      <c r="AP918" s="2331"/>
      <c r="AQ918" s="2332">
        <f t="shared" ref="AQ918:AQ937" si="648">SUM(AD918:AL918)</f>
        <v>0</v>
      </c>
      <c r="AR918" s="2332"/>
      <c r="AS918" s="2332"/>
      <c r="AT918" s="2332">
        <f t="shared" ref="AT918:AT937" si="649">SUM(AD918:AL918)</f>
        <v>0</v>
      </c>
      <c r="AV918" s="151" t="str">
        <f t="shared" si="629"/>
        <v>PAINTING</v>
      </c>
      <c r="AW918" s="681"/>
      <c r="AX918" s="230"/>
      <c r="AY918" s="230"/>
      <c r="AZ918" s="679"/>
      <c r="BA918" s="49">
        <f t="shared" ref="BA918:BA937" si="650">AD918</f>
        <v>0</v>
      </c>
      <c r="BB918" s="49">
        <f>AG918</f>
        <v>0</v>
      </c>
      <c r="BC918" s="49">
        <f>AJ918</f>
        <v>0</v>
      </c>
      <c r="BD918" s="49">
        <f t="shared" ref="BD918:BD937" si="651">IF(B918="x",1,0)</f>
        <v>0</v>
      </c>
      <c r="BE918" s="49">
        <f>SUM(BA918:BC918)</f>
        <v>0</v>
      </c>
      <c r="BF918" s="49">
        <f t="shared" ref="BF918:BF937" si="652">AQ918</f>
        <v>0</v>
      </c>
      <c r="BG918" s="49">
        <f t="shared" ref="BG918:BG937" si="653">AM918</f>
        <v>0</v>
      </c>
      <c r="BI918" s="134">
        <f>AD918</f>
        <v>0</v>
      </c>
      <c r="BJ918" s="134">
        <f t="shared" ref="BJ918:BJ937" si="654">AM918</f>
        <v>0</v>
      </c>
      <c r="BK918" s="134">
        <f>BJ918+BI918</f>
        <v>0</v>
      </c>
    </row>
    <row r="919" spans="1:63" hidden="1">
      <c r="A919" s="187"/>
      <c r="B919" s="2321"/>
      <c r="C919" s="2322"/>
      <c r="D919" s="2334"/>
      <c r="E919" s="2334"/>
      <c r="F919" s="2334"/>
      <c r="G919" s="2334"/>
      <c r="H919" s="2334"/>
      <c r="I919" s="2334"/>
      <c r="J919" s="2334"/>
      <c r="K919" s="2334"/>
      <c r="L919" s="2334"/>
      <c r="M919" s="2334"/>
      <c r="N919" s="2334"/>
      <c r="O919" s="2334"/>
      <c r="P919" s="2324"/>
      <c r="Q919" s="2324"/>
      <c r="R919" s="2325"/>
      <c r="S919" s="2324"/>
      <c r="T919" s="2324"/>
      <c r="U919" s="2326"/>
      <c r="V919" s="2327"/>
      <c r="W919" s="2327"/>
      <c r="X919" s="2327"/>
      <c r="Y919" s="2327"/>
      <c r="Z919" s="2327"/>
      <c r="AA919" s="2328"/>
      <c r="AB919" s="2329"/>
      <c r="AC919" s="2326"/>
      <c r="AD919" s="2330">
        <f t="shared" si="646"/>
        <v>0</v>
      </c>
      <c r="AE919" s="2330"/>
      <c r="AF919" s="2330"/>
      <c r="AG919" s="2330">
        <f t="shared" si="640"/>
        <v>0</v>
      </c>
      <c r="AH919" s="2330"/>
      <c r="AI919" s="2330"/>
      <c r="AJ919" s="2330">
        <f t="shared" si="647"/>
        <v>0</v>
      </c>
      <c r="AK919" s="2330"/>
      <c r="AL919" s="2330"/>
      <c r="AM919" s="2331">
        <f t="shared" si="634"/>
        <v>0</v>
      </c>
      <c r="AN919" s="2331"/>
      <c r="AO919" s="2331"/>
      <c r="AP919" s="2331"/>
      <c r="AQ919" s="2332">
        <f t="shared" si="648"/>
        <v>0</v>
      </c>
      <c r="AR919" s="2332"/>
      <c r="AS919" s="2332"/>
      <c r="AT919" s="2332">
        <f t="shared" si="649"/>
        <v>0</v>
      </c>
      <c r="AV919" s="151" t="str">
        <f t="shared" si="629"/>
        <v>PAINTING</v>
      </c>
      <c r="AW919" s="681"/>
      <c r="AX919" s="230"/>
      <c r="AY919" s="230"/>
      <c r="AZ919" s="679"/>
      <c r="BA919" s="49">
        <f t="shared" si="650"/>
        <v>0</v>
      </c>
      <c r="BB919" s="49">
        <f t="shared" ref="BB919:BB937" si="655">AG919</f>
        <v>0</v>
      </c>
      <c r="BC919" s="49">
        <f t="shared" ref="BC919:BC937" si="656">AJ919</f>
        <v>0</v>
      </c>
      <c r="BD919" s="49">
        <f t="shared" si="651"/>
        <v>0</v>
      </c>
      <c r="BE919" s="49">
        <f t="shared" ref="BE919:BE935" si="657">SUM(BA919:BC919)</f>
        <v>0</v>
      </c>
      <c r="BF919" s="49">
        <f t="shared" si="652"/>
        <v>0</v>
      </c>
      <c r="BG919" s="49">
        <f t="shared" si="653"/>
        <v>0</v>
      </c>
      <c r="BI919" s="134">
        <f t="shared" ref="BI919:BI937" si="658">AD919</f>
        <v>0</v>
      </c>
      <c r="BJ919" s="134">
        <f t="shared" si="654"/>
        <v>0</v>
      </c>
      <c r="BK919" s="134">
        <f t="shared" ref="BK919:BK937" si="659">BJ919+BI919</f>
        <v>0</v>
      </c>
    </row>
    <row r="920" spans="1:63" hidden="1">
      <c r="A920" s="187"/>
      <c r="B920" s="2333"/>
      <c r="C920" s="2333"/>
      <c r="D920" s="2334"/>
      <c r="E920" s="2334"/>
      <c r="F920" s="2334"/>
      <c r="G920" s="2334"/>
      <c r="H920" s="2334"/>
      <c r="I920" s="2334"/>
      <c r="J920" s="2334"/>
      <c r="K920" s="2334"/>
      <c r="L920" s="2334"/>
      <c r="M920" s="2334"/>
      <c r="N920" s="2334"/>
      <c r="O920" s="2334"/>
      <c r="P920" s="2324"/>
      <c r="Q920" s="2324"/>
      <c r="R920" s="2325"/>
      <c r="S920" s="2324"/>
      <c r="T920" s="2324"/>
      <c r="U920" s="2326"/>
      <c r="V920" s="2327"/>
      <c r="W920" s="2327"/>
      <c r="X920" s="2327"/>
      <c r="Y920" s="2327"/>
      <c r="Z920" s="2327"/>
      <c r="AA920" s="2328"/>
      <c r="AB920" s="2329"/>
      <c r="AC920" s="2326"/>
      <c r="AD920" s="2330">
        <f t="shared" si="646"/>
        <v>0</v>
      </c>
      <c r="AE920" s="2330"/>
      <c r="AF920" s="2330"/>
      <c r="AG920" s="2330">
        <f t="shared" si="640"/>
        <v>0</v>
      </c>
      <c r="AH920" s="2330"/>
      <c r="AI920" s="2330"/>
      <c r="AJ920" s="2330">
        <f t="shared" si="647"/>
        <v>0</v>
      </c>
      <c r="AK920" s="2330"/>
      <c r="AL920" s="2330"/>
      <c r="AM920" s="2331">
        <f t="shared" si="634"/>
        <v>0</v>
      </c>
      <c r="AN920" s="2331"/>
      <c r="AO920" s="2331"/>
      <c r="AP920" s="2331"/>
      <c r="AQ920" s="2332">
        <f t="shared" si="648"/>
        <v>0</v>
      </c>
      <c r="AR920" s="2332"/>
      <c r="AS920" s="2332"/>
      <c r="AT920" s="2332">
        <f t="shared" si="649"/>
        <v>0</v>
      </c>
      <c r="AV920" s="151" t="str">
        <f t="shared" si="629"/>
        <v>PAINTING</v>
      </c>
      <c r="AW920" s="681"/>
      <c r="AX920" s="230"/>
      <c r="AY920" s="230"/>
      <c r="AZ920" s="679"/>
      <c r="BA920" s="49">
        <f t="shared" si="650"/>
        <v>0</v>
      </c>
      <c r="BB920" s="49">
        <f t="shared" si="655"/>
        <v>0</v>
      </c>
      <c r="BC920" s="49">
        <f t="shared" si="656"/>
        <v>0</v>
      </c>
      <c r="BD920" s="49">
        <f t="shared" si="651"/>
        <v>0</v>
      </c>
      <c r="BE920" s="49">
        <f t="shared" si="657"/>
        <v>0</v>
      </c>
      <c r="BF920" s="49">
        <f t="shared" si="652"/>
        <v>0</v>
      </c>
      <c r="BG920" s="49">
        <f t="shared" si="653"/>
        <v>0</v>
      </c>
      <c r="BI920" s="134">
        <f t="shared" si="658"/>
        <v>0</v>
      </c>
      <c r="BJ920" s="134">
        <f t="shared" si="654"/>
        <v>0</v>
      </c>
      <c r="BK920" s="134">
        <f t="shared" si="659"/>
        <v>0</v>
      </c>
    </row>
    <row r="921" spans="1:63" hidden="1">
      <c r="A921" s="187"/>
      <c r="B921" s="2333"/>
      <c r="C921" s="2333"/>
      <c r="D921" s="2334"/>
      <c r="E921" s="2334"/>
      <c r="F921" s="2334"/>
      <c r="G921" s="2334"/>
      <c r="H921" s="2334"/>
      <c r="I921" s="2334"/>
      <c r="J921" s="2334"/>
      <c r="K921" s="2334"/>
      <c r="L921" s="2334"/>
      <c r="M921" s="2334"/>
      <c r="N921" s="2334"/>
      <c r="O921" s="2334"/>
      <c r="P921" s="2324"/>
      <c r="Q921" s="2324"/>
      <c r="R921" s="2325"/>
      <c r="S921" s="2324"/>
      <c r="T921" s="2324"/>
      <c r="U921" s="2326"/>
      <c r="V921" s="2327"/>
      <c r="W921" s="2327"/>
      <c r="X921" s="2327"/>
      <c r="Y921" s="2327"/>
      <c r="Z921" s="2327"/>
      <c r="AA921" s="2328"/>
      <c r="AB921" s="2329"/>
      <c r="AC921" s="2326"/>
      <c r="AD921" s="2330">
        <f t="shared" si="646"/>
        <v>0</v>
      </c>
      <c r="AE921" s="2330"/>
      <c r="AF921" s="2330"/>
      <c r="AG921" s="2330">
        <f t="shared" si="640"/>
        <v>0</v>
      </c>
      <c r="AH921" s="2330"/>
      <c r="AI921" s="2330"/>
      <c r="AJ921" s="2330">
        <f t="shared" si="647"/>
        <v>0</v>
      </c>
      <c r="AK921" s="2330"/>
      <c r="AL921" s="2330"/>
      <c r="AM921" s="2331">
        <f t="shared" si="634"/>
        <v>0</v>
      </c>
      <c r="AN921" s="2331"/>
      <c r="AO921" s="2331"/>
      <c r="AP921" s="2331"/>
      <c r="AQ921" s="2332">
        <f t="shared" si="648"/>
        <v>0</v>
      </c>
      <c r="AR921" s="2332"/>
      <c r="AS921" s="2332"/>
      <c r="AT921" s="2332">
        <f t="shared" si="649"/>
        <v>0</v>
      </c>
      <c r="AV921" s="151" t="str">
        <f t="shared" si="629"/>
        <v>PAINTING</v>
      </c>
      <c r="AW921" s="681"/>
      <c r="AX921" s="230"/>
      <c r="AY921" s="230"/>
      <c r="AZ921" s="679"/>
      <c r="BA921" s="49">
        <f t="shared" si="650"/>
        <v>0</v>
      </c>
      <c r="BB921" s="49">
        <f t="shared" si="655"/>
        <v>0</v>
      </c>
      <c r="BC921" s="49">
        <f t="shared" si="656"/>
        <v>0</v>
      </c>
      <c r="BD921" s="49">
        <f t="shared" si="651"/>
        <v>0</v>
      </c>
      <c r="BE921" s="49">
        <f t="shared" si="657"/>
        <v>0</v>
      </c>
      <c r="BF921" s="49">
        <f t="shared" si="652"/>
        <v>0</v>
      </c>
      <c r="BG921" s="49">
        <f t="shared" si="653"/>
        <v>0</v>
      </c>
      <c r="BI921" s="134">
        <f t="shared" si="658"/>
        <v>0</v>
      </c>
      <c r="BJ921" s="134">
        <f t="shared" si="654"/>
        <v>0</v>
      </c>
      <c r="BK921" s="134">
        <f t="shared" si="659"/>
        <v>0</v>
      </c>
    </row>
    <row r="922" spans="1:63" hidden="1">
      <c r="A922" s="187"/>
      <c r="B922" s="2321"/>
      <c r="C922" s="2322"/>
      <c r="D922" s="2334"/>
      <c r="E922" s="2334"/>
      <c r="F922" s="2334"/>
      <c r="G922" s="2334"/>
      <c r="H922" s="2334"/>
      <c r="I922" s="2334"/>
      <c r="J922" s="2334"/>
      <c r="K922" s="2334"/>
      <c r="L922" s="2334"/>
      <c r="M922" s="2334"/>
      <c r="N922" s="2334"/>
      <c r="O922" s="2334"/>
      <c r="P922" s="2324"/>
      <c r="Q922" s="2324"/>
      <c r="R922" s="2325"/>
      <c r="S922" s="2324"/>
      <c r="T922" s="2324"/>
      <c r="U922" s="2326"/>
      <c r="V922" s="2327"/>
      <c r="W922" s="2327"/>
      <c r="X922" s="2327"/>
      <c r="Y922" s="2327"/>
      <c r="Z922" s="2327"/>
      <c r="AA922" s="2328"/>
      <c r="AB922" s="2329"/>
      <c r="AC922" s="2326"/>
      <c r="AD922" s="2330">
        <f t="shared" si="646"/>
        <v>0</v>
      </c>
      <c r="AE922" s="2330"/>
      <c r="AF922" s="2330"/>
      <c r="AG922" s="2330">
        <f t="shared" si="640"/>
        <v>0</v>
      </c>
      <c r="AH922" s="2330"/>
      <c r="AI922" s="2330"/>
      <c r="AJ922" s="2330">
        <f t="shared" si="647"/>
        <v>0</v>
      </c>
      <c r="AK922" s="2330"/>
      <c r="AL922" s="2330"/>
      <c r="AM922" s="2331">
        <f t="shared" si="634"/>
        <v>0</v>
      </c>
      <c r="AN922" s="2331"/>
      <c r="AO922" s="2331"/>
      <c r="AP922" s="2331"/>
      <c r="AQ922" s="2332">
        <f t="shared" si="648"/>
        <v>0</v>
      </c>
      <c r="AR922" s="2332"/>
      <c r="AS922" s="2332"/>
      <c r="AT922" s="2332">
        <f t="shared" si="649"/>
        <v>0</v>
      </c>
      <c r="AV922" s="151" t="str">
        <f t="shared" si="629"/>
        <v>PAINTING</v>
      </c>
      <c r="AW922" s="681"/>
      <c r="AX922" s="230"/>
      <c r="AY922" s="230"/>
      <c r="AZ922" s="679"/>
      <c r="BA922" s="49">
        <f t="shared" si="650"/>
        <v>0</v>
      </c>
      <c r="BB922" s="49">
        <f t="shared" si="655"/>
        <v>0</v>
      </c>
      <c r="BC922" s="49">
        <f t="shared" si="656"/>
        <v>0</v>
      </c>
      <c r="BD922" s="49">
        <f t="shared" si="651"/>
        <v>0</v>
      </c>
      <c r="BE922" s="49">
        <f t="shared" si="657"/>
        <v>0</v>
      </c>
      <c r="BF922" s="49">
        <f t="shared" si="652"/>
        <v>0</v>
      </c>
      <c r="BG922" s="49">
        <f t="shared" si="653"/>
        <v>0</v>
      </c>
      <c r="BI922" s="134">
        <f t="shared" si="658"/>
        <v>0</v>
      </c>
      <c r="BJ922" s="134">
        <f t="shared" si="654"/>
        <v>0</v>
      </c>
      <c r="BK922" s="134">
        <f t="shared" si="659"/>
        <v>0</v>
      </c>
    </row>
    <row r="923" spans="1:63" hidden="1">
      <c r="A923" s="187"/>
      <c r="B923" s="2321"/>
      <c r="C923" s="2322"/>
      <c r="D923" s="2334"/>
      <c r="E923" s="2334"/>
      <c r="F923" s="2334"/>
      <c r="G923" s="2334"/>
      <c r="H923" s="2334"/>
      <c r="I923" s="2334"/>
      <c r="J923" s="2334"/>
      <c r="K923" s="2334"/>
      <c r="L923" s="2334"/>
      <c r="M923" s="2334"/>
      <c r="N923" s="2334"/>
      <c r="O923" s="2334"/>
      <c r="P923" s="2324"/>
      <c r="Q923" s="2324"/>
      <c r="R923" s="2325"/>
      <c r="S923" s="2324"/>
      <c r="T923" s="2324"/>
      <c r="U923" s="2326"/>
      <c r="V923" s="2327"/>
      <c r="W923" s="2327"/>
      <c r="X923" s="2327"/>
      <c r="Y923" s="2327"/>
      <c r="Z923" s="2327"/>
      <c r="AA923" s="2328"/>
      <c r="AB923" s="2329"/>
      <c r="AC923" s="2326"/>
      <c r="AD923" s="2330">
        <f t="shared" si="646"/>
        <v>0</v>
      </c>
      <c r="AE923" s="2330"/>
      <c r="AF923" s="2330"/>
      <c r="AG923" s="2330">
        <f t="shared" si="640"/>
        <v>0</v>
      </c>
      <c r="AH923" s="2330"/>
      <c r="AI923" s="2330"/>
      <c r="AJ923" s="2330">
        <f t="shared" si="647"/>
        <v>0</v>
      </c>
      <c r="AK923" s="2330"/>
      <c r="AL923" s="2330"/>
      <c r="AM923" s="2331">
        <f t="shared" si="634"/>
        <v>0</v>
      </c>
      <c r="AN923" s="2331"/>
      <c r="AO923" s="2331"/>
      <c r="AP923" s="2331"/>
      <c r="AQ923" s="2332">
        <f t="shared" si="648"/>
        <v>0</v>
      </c>
      <c r="AR923" s="2332"/>
      <c r="AS923" s="2332"/>
      <c r="AT923" s="2332">
        <f t="shared" si="649"/>
        <v>0</v>
      </c>
      <c r="AV923" s="151" t="str">
        <f t="shared" si="629"/>
        <v>PAINTING</v>
      </c>
      <c r="AW923" s="681"/>
      <c r="AX923" s="230"/>
      <c r="AY923" s="230"/>
      <c r="AZ923" s="679"/>
      <c r="BA923" s="49">
        <f t="shared" si="650"/>
        <v>0</v>
      </c>
      <c r="BB923" s="49">
        <f t="shared" si="655"/>
        <v>0</v>
      </c>
      <c r="BC923" s="49">
        <f t="shared" si="656"/>
        <v>0</v>
      </c>
      <c r="BD923" s="49">
        <f t="shared" si="651"/>
        <v>0</v>
      </c>
      <c r="BE923" s="49">
        <f t="shared" si="657"/>
        <v>0</v>
      </c>
      <c r="BF923" s="49">
        <f t="shared" si="652"/>
        <v>0</v>
      </c>
      <c r="BG923" s="49">
        <f t="shared" si="653"/>
        <v>0</v>
      </c>
      <c r="BI923" s="134">
        <f t="shared" si="658"/>
        <v>0</v>
      </c>
      <c r="BJ923" s="134">
        <f t="shared" si="654"/>
        <v>0</v>
      </c>
      <c r="BK923" s="134">
        <f t="shared" si="659"/>
        <v>0</v>
      </c>
    </row>
    <row r="924" spans="1:63" hidden="1">
      <c r="A924" s="187"/>
      <c r="B924" s="2333"/>
      <c r="C924" s="2333"/>
      <c r="D924" s="2334"/>
      <c r="E924" s="2334"/>
      <c r="F924" s="2334"/>
      <c r="G924" s="2334"/>
      <c r="H924" s="2334"/>
      <c r="I924" s="2334"/>
      <c r="J924" s="2334"/>
      <c r="K924" s="2334"/>
      <c r="L924" s="2334"/>
      <c r="M924" s="2334"/>
      <c r="N924" s="2334"/>
      <c r="O924" s="2334"/>
      <c r="P924" s="2324"/>
      <c r="Q924" s="2324"/>
      <c r="R924" s="2325"/>
      <c r="S924" s="2324"/>
      <c r="T924" s="2324"/>
      <c r="U924" s="2326"/>
      <c r="V924" s="2327"/>
      <c r="W924" s="2327"/>
      <c r="X924" s="2327"/>
      <c r="Y924" s="2327"/>
      <c r="Z924" s="2327"/>
      <c r="AA924" s="2328"/>
      <c r="AB924" s="2329"/>
      <c r="AC924" s="2326"/>
      <c r="AD924" s="2330">
        <f t="shared" si="646"/>
        <v>0</v>
      </c>
      <c r="AE924" s="2330"/>
      <c r="AF924" s="2330"/>
      <c r="AG924" s="2330">
        <f t="shared" si="640"/>
        <v>0</v>
      </c>
      <c r="AH924" s="2330"/>
      <c r="AI924" s="2330"/>
      <c r="AJ924" s="2330">
        <f t="shared" si="647"/>
        <v>0</v>
      </c>
      <c r="AK924" s="2330"/>
      <c r="AL924" s="2330"/>
      <c r="AM924" s="2331">
        <f t="shared" si="634"/>
        <v>0</v>
      </c>
      <c r="AN924" s="2331"/>
      <c r="AO924" s="2331"/>
      <c r="AP924" s="2331"/>
      <c r="AQ924" s="2332">
        <f t="shared" si="648"/>
        <v>0</v>
      </c>
      <c r="AR924" s="2332"/>
      <c r="AS924" s="2332"/>
      <c r="AT924" s="2332">
        <f t="shared" si="649"/>
        <v>0</v>
      </c>
      <c r="AV924" s="151" t="str">
        <f t="shared" si="629"/>
        <v>PAINTING</v>
      </c>
      <c r="AW924" s="681"/>
      <c r="AX924" s="230"/>
      <c r="AY924" s="230"/>
      <c r="AZ924" s="679"/>
      <c r="BA924" s="49">
        <f t="shared" si="650"/>
        <v>0</v>
      </c>
      <c r="BB924" s="49">
        <f t="shared" si="655"/>
        <v>0</v>
      </c>
      <c r="BC924" s="49">
        <f t="shared" si="656"/>
        <v>0</v>
      </c>
      <c r="BD924" s="49">
        <f t="shared" si="651"/>
        <v>0</v>
      </c>
      <c r="BE924" s="49">
        <f t="shared" si="657"/>
        <v>0</v>
      </c>
      <c r="BF924" s="49">
        <f t="shared" si="652"/>
        <v>0</v>
      </c>
      <c r="BG924" s="49">
        <f t="shared" si="653"/>
        <v>0</v>
      </c>
      <c r="BI924" s="134">
        <f t="shared" si="658"/>
        <v>0</v>
      </c>
      <c r="BJ924" s="134">
        <f t="shared" si="654"/>
        <v>0</v>
      </c>
      <c r="BK924" s="134">
        <f t="shared" si="659"/>
        <v>0</v>
      </c>
    </row>
    <row r="925" spans="1:63" hidden="1">
      <c r="A925" s="187"/>
      <c r="B925" s="2333"/>
      <c r="C925" s="2333"/>
      <c r="D925" s="2334"/>
      <c r="E925" s="2334"/>
      <c r="F925" s="2334"/>
      <c r="G925" s="2334"/>
      <c r="H925" s="2334"/>
      <c r="I925" s="2334"/>
      <c r="J925" s="2334"/>
      <c r="K925" s="2334"/>
      <c r="L925" s="2334"/>
      <c r="M925" s="2334"/>
      <c r="N925" s="2334"/>
      <c r="O925" s="2334"/>
      <c r="P925" s="2324"/>
      <c r="Q925" s="2324"/>
      <c r="R925" s="2325"/>
      <c r="S925" s="2324"/>
      <c r="T925" s="2324"/>
      <c r="U925" s="2326"/>
      <c r="V925" s="2327"/>
      <c r="W925" s="2327"/>
      <c r="X925" s="2327"/>
      <c r="Y925" s="2327"/>
      <c r="Z925" s="2327"/>
      <c r="AA925" s="2328"/>
      <c r="AB925" s="2329"/>
      <c r="AC925" s="2326"/>
      <c r="AD925" s="2330">
        <f t="shared" si="646"/>
        <v>0</v>
      </c>
      <c r="AE925" s="2330"/>
      <c r="AF925" s="2330"/>
      <c r="AG925" s="2330">
        <f t="shared" si="640"/>
        <v>0</v>
      </c>
      <c r="AH925" s="2330"/>
      <c r="AI925" s="2330"/>
      <c r="AJ925" s="2330">
        <f t="shared" si="647"/>
        <v>0</v>
      </c>
      <c r="AK925" s="2330"/>
      <c r="AL925" s="2330"/>
      <c r="AM925" s="2331">
        <f t="shared" si="634"/>
        <v>0</v>
      </c>
      <c r="AN925" s="2331"/>
      <c r="AO925" s="2331"/>
      <c r="AP925" s="2331"/>
      <c r="AQ925" s="2332">
        <f t="shared" si="648"/>
        <v>0</v>
      </c>
      <c r="AR925" s="2332"/>
      <c r="AS925" s="2332"/>
      <c r="AT925" s="2332">
        <f t="shared" si="649"/>
        <v>0</v>
      </c>
      <c r="AV925" s="151" t="str">
        <f t="shared" si="629"/>
        <v>PAINTING</v>
      </c>
      <c r="AW925" s="681"/>
      <c r="AX925" s="230"/>
      <c r="AY925" s="230"/>
      <c r="AZ925" s="679"/>
      <c r="BA925" s="49">
        <f t="shared" si="650"/>
        <v>0</v>
      </c>
      <c r="BB925" s="49">
        <f t="shared" si="655"/>
        <v>0</v>
      </c>
      <c r="BC925" s="49">
        <f t="shared" si="656"/>
        <v>0</v>
      </c>
      <c r="BD925" s="49">
        <f t="shared" si="651"/>
        <v>0</v>
      </c>
      <c r="BE925" s="49">
        <f t="shared" si="657"/>
        <v>0</v>
      </c>
      <c r="BF925" s="49">
        <f t="shared" si="652"/>
        <v>0</v>
      </c>
      <c r="BG925" s="49">
        <f t="shared" si="653"/>
        <v>0</v>
      </c>
      <c r="BI925" s="134">
        <f t="shared" si="658"/>
        <v>0</v>
      </c>
      <c r="BJ925" s="134">
        <f t="shared" si="654"/>
        <v>0</v>
      </c>
      <c r="BK925" s="134">
        <f t="shared" si="659"/>
        <v>0</v>
      </c>
    </row>
    <row r="926" spans="1:63" hidden="1">
      <c r="A926" s="187"/>
      <c r="B926" s="2321"/>
      <c r="C926" s="2322"/>
      <c r="D926" s="2334"/>
      <c r="E926" s="2334"/>
      <c r="F926" s="2334"/>
      <c r="G926" s="2334"/>
      <c r="H926" s="2334"/>
      <c r="I926" s="2334"/>
      <c r="J926" s="2334"/>
      <c r="K926" s="2334"/>
      <c r="L926" s="2334"/>
      <c r="M926" s="2334"/>
      <c r="N926" s="2334"/>
      <c r="O926" s="2334"/>
      <c r="P926" s="2324"/>
      <c r="Q926" s="2324"/>
      <c r="R926" s="2325"/>
      <c r="S926" s="2324"/>
      <c r="T926" s="2324"/>
      <c r="U926" s="2326"/>
      <c r="V926" s="2327"/>
      <c r="W926" s="2327"/>
      <c r="X926" s="2327"/>
      <c r="Y926" s="2327"/>
      <c r="Z926" s="2327"/>
      <c r="AA926" s="2328"/>
      <c r="AB926" s="2329"/>
      <c r="AC926" s="2326"/>
      <c r="AD926" s="2330">
        <f t="shared" si="646"/>
        <v>0</v>
      </c>
      <c r="AE926" s="2330"/>
      <c r="AF926" s="2330"/>
      <c r="AG926" s="2330">
        <f t="shared" si="640"/>
        <v>0</v>
      </c>
      <c r="AH926" s="2330"/>
      <c r="AI926" s="2330"/>
      <c r="AJ926" s="2330">
        <f t="shared" si="647"/>
        <v>0</v>
      </c>
      <c r="AK926" s="2330"/>
      <c r="AL926" s="2330"/>
      <c r="AM926" s="2331">
        <f t="shared" si="634"/>
        <v>0</v>
      </c>
      <c r="AN926" s="2331"/>
      <c r="AO926" s="2331"/>
      <c r="AP926" s="2331"/>
      <c r="AQ926" s="2332">
        <f t="shared" si="648"/>
        <v>0</v>
      </c>
      <c r="AR926" s="2332"/>
      <c r="AS926" s="2332"/>
      <c r="AT926" s="2332">
        <f t="shared" si="649"/>
        <v>0</v>
      </c>
      <c r="AV926" s="151" t="str">
        <f t="shared" si="629"/>
        <v>PAINTING</v>
      </c>
      <c r="AW926" s="681"/>
      <c r="AX926" s="230"/>
      <c r="AY926" s="230"/>
      <c r="AZ926" s="679"/>
      <c r="BA926" s="49">
        <f t="shared" si="650"/>
        <v>0</v>
      </c>
      <c r="BB926" s="49">
        <f t="shared" si="655"/>
        <v>0</v>
      </c>
      <c r="BC926" s="49">
        <f t="shared" si="656"/>
        <v>0</v>
      </c>
      <c r="BD926" s="49">
        <f t="shared" si="651"/>
        <v>0</v>
      </c>
      <c r="BE926" s="49">
        <f t="shared" si="657"/>
        <v>0</v>
      </c>
      <c r="BF926" s="49">
        <f t="shared" si="652"/>
        <v>0</v>
      </c>
      <c r="BG926" s="49">
        <f t="shared" si="653"/>
        <v>0</v>
      </c>
      <c r="BI926" s="134">
        <f t="shared" si="658"/>
        <v>0</v>
      </c>
      <c r="BJ926" s="134">
        <f t="shared" si="654"/>
        <v>0</v>
      </c>
      <c r="BK926" s="134">
        <f t="shared" si="659"/>
        <v>0</v>
      </c>
    </row>
    <row r="927" spans="1:63" hidden="1">
      <c r="A927" s="187"/>
      <c r="B927" s="2321"/>
      <c r="C927" s="2322"/>
      <c r="D927" s="2334"/>
      <c r="E927" s="2334"/>
      <c r="F927" s="2334"/>
      <c r="G927" s="2334"/>
      <c r="H927" s="2334"/>
      <c r="I927" s="2334"/>
      <c r="J927" s="2334"/>
      <c r="K927" s="2334"/>
      <c r="L927" s="2334"/>
      <c r="M927" s="2334"/>
      <c r="N927" s="2334"/>
      <c r="O927" s="2334"/>
      <c r="P927" s="2324"/>
      <c r="Q927" s="2324"/>
      <c r="R927" s="2325"/>
      <c r="S927" s="2324"/>
      <c r="T927" s="2324"/>
      <c r="U927" s="2326"/>
      <c r="V927" s="2327"/>
      <c r="W927" s="2327"/>
      <c r="X927" s="2327"/>
      <c r="Y927" s="2327"/>
      <c r="Z927" s="2327"/>
      <c r="AA927" s="2328"/>
      <c r="AB927" s="2329"/>
      <c r="AC927" s="2326"/>
      <c r="AD927" s="2330">
        <f t="shared" si="646"/>
        <v>0</v>
      </c>
      <c r="AE927" s="2330"/>
      <c r="AF927" s="2330"/>
      <c r="AG927" s="2330">
        <f t="shared" si="640"/>
        <v>0</v>
      </c>
      <c r="AH927" s="2330"/>
      <c r="AI927" s="2330"/>
      <c r="AJ927" s="2330">
        <f t="shared" si="647"/>
        <v>0</v>
      </c>
      <c r="AK927" s="2330"/>
      <c r="AL927" s="2330"/>
      <c r="AM927" s="2331">
        <f t="shared" si="634"/>
        <v>0</v>
      </c>
      <c r="AN927" s="2331"/>
      <c r="AO927" s="2331"/>
      <c r="AP927" s="2331"/>
      <c r="AQ927" s="2332">
        <f t="shared" si="648"/>
        <v>0</v>
      </c>
      <c r="AR927" s="2332"/>
      <c r="AS927" s="2332"/>
      <c r="AT927" s="2332">
        <f t="shared" si="649"/>
        <v>0</v>
      </c>
      <c r="AV927" s="151" t="str">
        <f t="shared" si="629"/>
        <v>PAINTING</v>
      </c>
      <c r="AW927" s="681"/>
      <c r="AX927" s="230"/>
      <c r="AY927" s="230"/>
      <c r="AZ927" s="679"/>
      <c r="BA927" s="49">
        <f t="shared" si="650"/>
        <v>0</v>
      </c>
      <c r="BB927" s="49">
        <f t="shared" si="655"/>
        <v>0</v>
      </c>
      <c r="BC927" s="49">
        <f t="shared" si="656"/>
        <v>0</v>
      </c>
      <c r="BD927" s="49">
        <f t="shared" si="651"/>
        <v>0</v>
      </c>
      <c r="BE927" s="49">
        <f t="shared" si="657"/>
        <v>0</v>
      </c>
      <c r="BF927" s="49">
        <f t="shared" si="652"/>
        <v>0</v>
      </c>
      <c r="BG927" s="49">
        <f t="shared" si="653"/>
        <v>0</v>
      </c>
      <c r="BI927" s="134">
        <f t="shared" si="658"/>
        <v>0</v>
      </c>
      <c r="BJ927" s="134">
        <f t="shared" si="654"/>
        <v>0</v>
      </c>
      <c r="BK927" s="134">
        <f t="shared" si="659"/>
        <v>0</v>
      </c>
    </row>
    <row r="928" spans="1:63" hidden="1">
      <c r="A928" s="187"/>
      <c r="B928" s="2333"/>
      <c r="C928" s="2333"/>
      <c r="D928" s="2334"/>
      <c r="E928" s="2334"/>
      <c r="F928" s="2334"/>
      <c r="G928" s="2334"/>
      <c r="H928" s="2334"/>
      <c r="I928" s="2334"/>
      <c r="J928" s="2334"/>
      <c r="K928" s="2334"/>
      <c r="L928" s="2334"/>
      <c r="M928" s="2334"/>
      <c r="N928" s="2334"/>
      <c r="O928" s="2334"/>
      <c r="P928" s="2324"/>
      <c r="Q928" s="2324"/>
      <c r="R928" s="2325"/>
      <c r="S928" s="2324"/>
      <c r="T928" s="2324"/>
      <c r="U928" s="2326"/>
      <c r="V928" s="2327"/>
      <c r="W928" s="2327"/>
      <c r="X928" s="2327"/>
      <c r="Y928" s="2327"/>
      <c r="Z928" s="2327"/>
      <c r="AA928" s="2328"/>
      <c r="AB928" s="2329"/>
      <c r="AC928" s="2326"/>
      <c r="AD928" s="2330">
        <f t="shared" si="646"/>
        <v>0</v>
      </c>
      <c r="AE928" s="2330"/>
      <c r="AF928" s="2330"/>
      <c r="AG928" s="2330">
        <f t="shared" si="640"/>
        <v>0</v>
      </c>
      <c r="AH928" s="2330"/>
      <c r="AI928" s="2330"/>
      <c r="AJ928" s="2330">
        <f t="shared" si="647"/>
        <v>0</v>
      </c>
      <c r="AK928" s="2330"/>
      <c r="AL928" s="2330"/>
      <c r="AM928" s="2331">
        <f t="shared" si="634"/>
        <v>0</v>
      </c>
      <c r="AN928" s="2331"/>
      <c r="AO928" s="2331"/>
      <c r="AP928" s="2331"/>
      <c r="AQ928" s="2332">
        <f t="shared" si="648"/>
        <v>0</v>
      </c>
      <c r="AR928" s="2332"/>
      <c r="AS928" s="2332"/>
      <c r="AT928" s="2332">
        <f t="shared" si="649"/>
        <v>0</v>
      </c>
      <c r="AV928" s="151" t="str">
        <f t="shared" si="629"/>
        <v>PAINTING</v>
      </c>
      <c r="AW928" s="681"/>
      <c r="AX928" s="230"/>
      <c r="AY928" s="230"/>
      <c r="AZ928" s="679"/>
      <c r="BA928" s="49">
        <f t="shared" si="650"/>
        <v>0</v>
      </c>
      <c r="BB928" s="49">
        <f t="shared" si="655"/>
        <v>0</v>
      </c>
      <c r="BC928" s="49">
        <f t="shared" si="656"/>
        <v>0</v>
      </c>
      <c r="BD928" s="49">
        <f t="shared" si="651"/>
        <v>0</v>
      </c>
      <c r="BE928" s="49">
        <f t="shared" si="657"/>
        <v>0</v>
      </c>
      <c r="BF928" s="49">
        <f t="shared" si="652"/>
        <v>0</v>
      </c>
      <c r="BG928" s="49">
        <f t="shared" si="653"/>
        <v>0</v>
      </c>
      <c r="BI928" s="134">
        <f t="shared" si="658"/>
        <v>0</v>
      </c>
      <c r="BJ928" s="134">
        <f t="shared" si="654"/>
        <v>0</v>
      </c>
      <c r="BK928" s="134">
        <f t="shared" si="659"/>
        <v>0</v>
      </c>
    </row>
    <row r="929" spans="1:63" hidden="1">
      <c r="A929" s="187"/>
      <c r="B929" s="2333"/>
      <c r="C929" s="2333"/>
      <c r="D929" s="2334"/>
      <c r="E929" s="2334"/>
      <c r="F929" s="2334"/>
      <c r="G929" s="2334"/>
      <c r="H929" s="2334"/>
      <c r="I929" s="2334"/>
      <c r="J929" s="2334"/>
      <c r="K929" s="2334"/>
      <c r="L929" s="2334"/>
      <c r="M929" s="2334"/>
      <c r="N929" s="2334"/>
      <c r="O929" s="2334"/>
      <c r="P929" s="2324"/>
      <c r="Q929" s="2324"/>
      <c r="R929" s="2325"/>
      <c r="S929" s="2324"/>
      <c r="T929" s="2324"/>
      <c r="U929" s="2326"/>
      <c r="V929" s="2327"/>
      <c r="W929" s="2327"/>
      <c r="X929" s="2327"/>
      <c r="Y929" s="2327"/>
      <c r="Z929" s="2327"/>
      <c r="AA929" s="2328"/>
      <c r="AB929" s="2329"/>
      <c r="AC929" s="2326"/>
      <c r="AD929" s="2330">
        <f t="shared" si="646"/>
        <v>0</v>
      </c>
      <c r="AE929" s="2330"/>
      <c r="AF929" s="2330"/>
      <c r="AG929" s="2330">
        <f t="shared" si="640"/>
        <v>0</v>
      </c>
      <c r="AH929" s="2330"/>
      <c r="AI929" s="2330"/>
      <c r="AJ929" s="2330">
        <f t="shared" si="647"/>
        <v>0</v>
      </c>
      <c r="AK929" s="2330"/>
      <c r="AL929" s="2330"/>
      <c r="AM929" s="2331">
        <f t="shared" si="634"/>
        <v>0</v>
      </c>
      <c r="AN929" s="2331"/>
      <c r="AO929" s="2331"/>
      <c r="AP929" s="2331"/>
      <c r="AQ929" s="2332">
        <f t="shared" si="648"/>
        <v>0</v>
      </c>
      <c r="AR929" s="2332"/>
      <c r="AS929" s="2332"/>
      <c r="AT929" s="2332">
        <f t="shared" si="649"/>
        <v>0</v>
      </c>
      <c r="AV929" s="151" t="str">
        <f t="shared" si="629"/>
        <v>PAINTING</v>
      </c>
      <c r="AW929" s="681"/>
      <c r="AX929" s="230"/>
      <c r="AY929" s="230"/>
      <c r="AZ929" s="679"/>
      <c r="BA929" s="49">
        <f t="shared" si="650"/>
        <v>0</v>
      </c>
      <c r="BB929" s="49">
        <f t="shared" si="655"/>
        <v>0</v>
      </c>
      <c r="BC929" s="49">
        <f t="shared" si="656"/>
        <v>0</v>
      </c>
      <c r="BD929" s="49">
        <f t="shared" si="651"/>
        <v>0</v>
      </c>
      <c r="BE929" s="49">
        <f t="shared" si="657"/>
        <v>0</v>
      </c>
      <c r="BF929" s="49">
        <f t="shared" si="652"/>
        <v>0</v>
      </c>
      <c r="BG929" s="49">
        <f t="shared" si="653"/>
        <v>0</v>
      </c>
      <c r="BI929" s="134">
        <f t="shared" si="658"/>
        <v>0</v>
      </c>
      <c r="BJ929" s="134">
        <f t="shared" si="654"/>
        <v>0</v>
      </c>
      <c r="BK929" s="134">
        <f t="shared" si="659"/>
        <v>0</v>
      </c>
    </row>
    <row r="930" spans="1:63" hidden="1">
      <c r="A930" s="187"/>
      <c r="B930" s="2321"/>
      <c r="C930" s="2322"/>
      <c r="D930" s="2334"/>
      <c r="E930" s="2334"/>
      <c r="F930" s="2334"/>
      <c r="G930" s="2334"/>
      <c r="H930" s="2334"/>
      <c r="I930" s="2334"/>
      <c r="J930" s="2334"/>
      <c r="K930" s="2334"/>
      <c r="L930" s="2334"/>
      <c r="M930" s="2334"/>
      <c r="N930" s="2334"/>
      <c r="O930" s="2334"/>
      <c r="P930" s="2324"/>
      <c r="Q930" s="2324"/>
      <c r="R930" s="2325"/>
      <c r="S930" s="2324"/>
      <c r="T930" s="2324"/>
      <c r="U930" s="2326"/>
      <c r="V930" s="2327"/>
      <c r="W930" s="2327"/>
      <c r="X930" s="2327"/>
      <c r="Y930" s="2327"/>
      <c r="Z930" s="2327"/>
      <c r="AA930" s="2328"/>
      <c r="AB930" s="2329"/>
      <c r="AC930" s="2326"/>
      <c r="AD930" s="2330">
        <f t="shared" si="646"/>
        <v>0</v>
      </c>
      <c r="AE930" s="2330"/>
      <c r="AF930" s="2330"/>
      <c r="AG930" s="2330">
        <f t="shared" si="640"/>
        <v>0</v>
      </c>
      <c r="AH930" s="2330"/>
      <c r="AI930" s="2330"/>
      <c r="AJ930" s="2330">
        <f t="shared" si="647"/>
        <v>0</v>
      </c>
      <c r="AK930" s="2330"/>
      <c r="AL930" s="2330"/>
      <c r="AM930" s="2331">
        <f t="shared" si="634"/>
        <v>0</v>
      </c>
      <c r="AN930" s="2331"/>
      <c r="AO930" s="2331"/>
      <c r="AP930" s="2331"/>
      <c r="AQ930" s="2332">
        <f t="shared" si="648"/>
        <v>0</v>
      </c>
      <c r="AR930" s="2332"/>
      <c r="AS930" s="2332"/>
      <c r="AT930" s="2332">
        <f t="shared" si="649"/>
        <v>0</v>
      </c>
      <c r="AV930" s="151" t="str">
        <f t="shared" si="629"/>
        <v>PAINTING</v>
      </c>
      <c r="AW930" s="681"/>
      <c r="AX930" s="230"/>
      <c r="AY930" s="230"/>
      <c r="AZ930" s="679"/>
      <c r="BA930" s="49">
        <f t="shared" si="650"/>
        <v>0</v>
      </c>
      <c r="BB930" s="49">
        <f t="shared" si="655"/>
        <v>0</v>
      </c>
      <c r="BC930" s="49">
        <f t="shared" si="656"/>
        <v>0</v>
      </c>
      <c r="BD930" s="49">
        <f t="shared" si="651"/>
        <v>0</v>
      </c>
      <c r="BE930" s="49">
        <f t="shared" si="657"/>
        <v>0</v>
      </c>
      <c r="BF930" s="49">
        <f t="shared" si="652"/>
        <v>0</v>
      </c>
      <c r="BG930" s="49">
        <f t="shared" si="653"/>
        <v>0</v>
      </c>
      <c r="BI930" s="134">
        <f t="shared" si="658"/>
        <v>0</v>
      </c>
      <c r="BJ930" s="134">
        <f t="shared" si="654"/>
        <v>0</v>
      </c>
      <c r="BK930" s="134">
        <f t="shared" si="659"/>
        <v>0</v>
      </c>
    </row>
    <row r="931" spans="1:63" hidden="1">
      <c r="A931" s="187"/>
      <c r="B931" s="2321"/>
      <c r="C931" s="2322"/>
      <c r="D931" s="2334"/>
      <c r="E931" s="2334"/>
      <c r="F931" s="2334"/>
      <c r="G931" s="2334"/>
      <c r="H931" s="2334"/>
      <c r="I931" s="2334"/>
      <c r="J931" s="2334"/>
      <c r="K931" s="2334"/>
      <c r="L931" s="2334"/>
      <c r="M931" s="2334"/>
      <c r="N931" s="2334"/>
      <c r="O931" s="2334"/>
      <c r="P931" s="2324"/>
      <c r="Q931" s="2324"/>
      <c r="R931" s="2325"/>
      <c r="S931" s="2324"/>
      <c r="T931" s="2324"/>
      <c r="U931" s="2326"/>
      <c r="V931" s="2327"/>
      <c r="W931" s="2327"/>
      <c r="X931" s="2327"/>
      <c r="Y931" s="2327"/>
      <c r="Z931" s="2327"/>
      <c r="AA931" s="2328"/>
      <c r="AB931" s="2329"/>
      <c r="AC931" s="2326"/>
      <c r="AD931" s="2330">
        <f t="shared" si="646"/>
        <v>0</v>
      </c>
      <c r="AE931" s="2330"/>
      <c r="AF931" s="2330"/>
      <c r="AG931" s="2330">
        <f t="shared" si="640"/>
        <v>0</v>
      </c>
      <c r="AH931" s="2330"/>
      <c r="AI931" s="2330"/>
      <c r="AJ931" s="2330">
        <f t="shared" si="647"/>
        <v>0</v>
      </c>
      <c r="AK931" s="2330"/>
      <c r="AL931" s="2330"/>
      <c r="AM931" s="2331">
        <f t="shared" si="634"/>
        <v>0</v>
      </c>
      <c r="AN931" s="2331"/>
      <c r="AO931" s="2331"/>
      <c r="AP931" s="2331"/>
      <c r="AQ931" s="2332">
        <f t="shared" si="648"/>
        <v>0</v>
      </c>
      <c r="AR931" s="2332"/>
      <c r="AS931" s="2332"/>
      <c r="AT931" s="2332">
        <f t="shared" si="649"/>
        <v>0</v>
      </c>
      <c r="AV931" s="151" t="str">
        <f t="shared" si="629"/>
        <v>PAINTING</v>
      </c>
      <c r="AW931" s="681"/>
      <c r="AX931" s="230"/>
      <c r="AY931" s="230"/>
      <c r="AZ931" s="679"/>
      <c r="BA931" s="49">
        <f t="shared" si="650"/>
        <v>0</v>
      </c>
      <c r="BB931" s="49">
        <f t="shared" si="655"/>
        <v>0</v>
      </c>
      <c r="BC931" s="49">
        <f t="shared" si="656"/>
        <v>0</v>
      </c>
      <c r="BD931" s="49">
        <f t="shared" si="651"/>
        <v>0</v>
      </c>
      <c r="BE931" s="49">
        <f t="shared" si="657"/>
        <v>0</v>
      </c>
      <c r="BF931" s="49">
        <f t="shared" si="652"/>
        <v>0</v>
      </c>
      <c r="BG931" s="49">
        <f t="shared" si="653"/>
        <v>0</v>
      </c>
      <c r="BI931" s="134">
        <f t="shared" si="658"/>
        <v>0</v>
      </c>
      <c r="BJ931" s="134">
        <f t="shared" si="654"/>
        <v>0</v>
      </c>
      <c r="BK931" s="134">
        <f t="shared" si="659"/>
        <v>0</v>
      </c>
    </row>
    <row r="932" spans="1:63" hidden="1">
      <c r="A932" s="187"/>
      <c r="B932" s="2333"/>
      <c r="C932" s="2333"/>
      <c r="D932" s="2334"/>
      <c r="E932" s="2334"/>
      <c r="F932" s="2334"/>
      <c r="G932" s="2334"/>
      <c r="H932" s="2334"/>
      <c r="I932" s="2334"/>
      <c r="J932" s="2334"/>
      <c r="K932" s="2334"/>
      <c r="L932" s="2334"/>
      <c r="M932" s="2334"/>
      <c r="N932" s="2334"/>
      <c r="O932" s="2334"/>
      <c r="P932" s="2324"/>
      <c r="Q932" s="2324"/>
      <c r="R932" s="2325"/>
      <c r="S932" s="2324"/>
      <c r="T932" s="2324"/>
      <c r="U932" s="2326"/>
      <c r="V932" s="2327"/>
      <c r="W932" s="2327"/>
      <c r="X932" s="2327"/>
      <c r="Y932" s="2327"/>
      <c r="Z932" s="2327"/>
      <c r="AA932" s="2328"/>
      <c r="AB932" s="2329"/>
      <c r="AC932" s="2326"/>
      <c r="AD932" s="2330">
        <f t="shared" si="646"/>
        <v>0</v>
      </c>
      <c r="AE932" s="2330"/>
      <c r="AF932" s="2330"/>
      <c r="AG932" s="2330">
        <f t="shared" si="640"/>
        <v>0</v>
      </c>
      <c r="AH932" s="2330"/>
      <c r="AI932" s="2330"/>
      <c r="AJ932" s="2330">
        <f t="shared" si="647"/>
        <v>0</v>
      </c>
      <c r="AK932" s="2330"/>
      <c r="AL932" s="2330"/>
      <c r="AM932" s="2331">
        <f t="shared" si="634"/>
        <v>0</v>
      </c>
      <c r="AN932" s="2331"/>
      <c r="AO932" s="2331"/>
      <c r="AP932" s="2331"/>
      <c r="AQ932" s="2332">
        <f t="shared" si="648"/>
        <v>0</v>
      </c>
      <c r="AR932" s="2332"/>
      <c r="AS932" s="2332"/>
      <c r="AT932" s="2332">
        <f t="shared" si="649"/>
        <v>0</v>
      </c>
      <c r="AV932" s="151" t="str">
        <f t="shared" si="629"/>
        <v>PAINTING</v>
      </c>
      <c r="AW932" s="681"/>
      <c r="AX932" s="230"/>
      <c r="AY932" s="230"/>
      <c r="AZ932" s="679"/>
      <c r="BA932" s="49">
        <f t="shared" si="650"/>
        <v>0</v>
      </c>
      <c r="BB932" s="49">
        <f t="shared" si="655"/>
        <v>0</v>
      </c>
      <c r="BC932" s="49">
        <f t="shared" si="656"/>
        <v>0</v>
      </c>
      <c r="BD932" s="49">
        <f t="shared" si="651"/>
        <v>0</v>
      </c>
      <c r="BE932" s="49">
        <f t="shared" si="657"/>
        <v>0</v>
      </c>
      <c r="BF932" s="49">
        <f t="shared" si="652"/>
        <v>0</v>
      </c>
      <c r="BG932" s="49">
        <f t="shared" si="653"/>
        <v>0</v>
      </c>
      <c r="BI932" s="134">
        <f t="shared" si="658"/>
        <v>0</v>
      </c>
      <c r="BJ932" s="134">
        <f t="shared" si="654"/>
        <v>0</v>
      </c>
      <c r="BK932" s="134">
        <f t="shared" si="659"/>
        <v>0</v>
      </c>
    </row>
    <row r="933" spans="1:63" hidden="1">
      <c r="A933" s="187"/>
      <c r="B933" s="2333"/>
      <c r="C933" s="2333"/>
      <c r="D933" s="2334"/>
      <c r="E933" s="2334"/>
      <c r="F933" s="2334"/>
      <c r="G933" s="2334"/>
      <c r="H933" s="2334"/>
      <c r="I933" s="2334"/>
      <c r="J933" s="2334"/>
      <c r="K933" s="2334"/>
      <c r="L933" s="2334"/>
      <c r="M933" s="2334"/>
      <c r="N933" s="2334"/>
      <c r="O933" s="2334"/>
      <c r="P933" s="2324"/>
      <c r="Q933" s="2324"/>
      <c r="R933" s="2325"/>
      <c r="S933" s="2324"/>
      <c r="T933" s="2324"/>
      <c r="U933" s="2326"/>
      <c r="V933" s="2327"/>
      <c r="W933" s="2327"/>
      <c r="X933" s="2327"/>
      <c r="Y933" s="2327"/>
      <c r="Z933" s="2327"/>
      <c r="AA933" s="2328"/>
      <c r="AB933" s="2329"/>
      <c r="AC933" s="2326"/>
      <c r="AD933" s="2330">
        <f t="shared" si="646"/>
        <v>0</v>
      </c>
      <c r="AE933" s="2330"/>
      <c r="AF933" s="2330"/>
      <c r="AG933" s="2330">
        <f t="shared" si="640"/>
        <v>0</v>
      </c>
      <c r="AH933" s="2330"/>
      <c r="AI933" s="2330"/>
      <c r="AJ933" s="2330">
        <f t="shared" si="647"/>
        <v>0</v>
      </c>
      <c r="AK933" s="2330"/>
      <c r="AL933" s="2330"/>
      <c r="AM933" s="2331">
        <f t="shared" si="634"/>
        <v>0</v>
      </c>
      <c r="AN933" s="2331"/>
      <c r="AO933" s="2331"/>
      <c r="AP933" s="2331"/>
      <c r="AQ933" s="2332">
        <f t="shared" si="648"/>
        <v>0</v>
      </c>
      <c r="AR933" s="2332"/>
      <c r="AS933" s="2332"/>
      <c r="AT933" s="2332">
        <f t="shared" si="649"/>
        <v>0</v>
      </c>
      <c r="AV933" s="151" t="str">
        <f t="shared" si="629"/>
        <v>PAINTING</v>
      </c>
      <c r="AW933" s="681"/>
      <c r="AX933" s="230"/>
      <c r="AY933" s="230"/>
      <c r="AZ933" s="679"/>
      <c r="BA933" s="49">
        <f t="shared" si="650"/>
        <v>0</v>
      </c>
      <c r="BB933" s="49">
        <f t="shared" si="655"/>
        <v>0</v>
      </c>
      <c r="BC933" s="49">
        <f t="shared" si="656"/>
        <v>0</v>
      </c>
      <c r="BD933" s="49">
        <f t="shared" si="651"/>
        <v>0</v>
      </c>
      <c r="BE933" s="49">
        <f t="shared" si="657"/>
        <v>0</v>
      </c>
      <c r="BF933" s="49">
        <f t="shared" si="652"/>
        <v>0</v>
      </c>
      <c r="BG933" s="49">
        <f t="shared" si="653"/>
        <v>0</v>
      </c>
      <c r="BI933" s="134">
        <f t="shared" si="658"/>
        <v>0</v>
      </c>
      <c r="BJ933" s="134">
        <f t="shared" si="654"/>
        <v>0</v>
      </c>
      <c r="BK933" s="134">
        <f t="shared" si="659"/>
        <v>0</v>
      </c>
    </row>
    <row r="934" spans="1:63" hidden="1">
      <c r="A934" s="187"/>
      <c r="B934" s="2321"/>
      <c r="C934" s="2322"/>
      <c r="D934" s="2334"/>
      <c r="E934" s="2334"/>
      <c r="F934" s="2334"/>
      <c r="G934" s="2334"/>
      <c r="H934" s="2334"/>
      <c r="I934" s="2334"/>
      <c r="J934" s="2334"/>
      <c r="K934" s="2334"/>
      <c r="L934" s="2334"/>
      <c r="M934" s="2334"/>
      <c r="N934" s="2334"/>
      <c r="O934" s="2334"/>
      <c r="P934" s="2324"/>
      <c r="Q934" s="2324"/>
      <c r="R934" s="2325"/>
      <c r="S934" s="2324"/>
      <c r="T934" s="2324"/>
      <c r="U934" s="2326"/>
      <c r="V934" s="2327"/>
      <c r="W934" s="2327"/>
      <c r="X934" s="2327"/>
      <c r="Y934" s="2327"/>
      <c r="Z934" s="2327"/>
      <c r="AA934" s="2328"/>
      <c r="AB934" s="2329"/>
      <c r="AC934" s="2326"/>
      <c r="AD934" s="2330">
        <f t="shared" si="646"/>
        <v>0</v>
      </c>
      <c r="AE934" s="2330"/>
      <c r="AF934" s="2330"/>
      <c r="AG934" s="2330">
        <f t="shared" si="640"/>
        <v>0</v>
      </c>
      <c r="AH934" s="2330"/>
      <c r="AI934" s="2330"/>
      <c r="AJ934" s="2330">
        <f t="shared" si="647"/>
        <v>0</v>
      </c>
      <c r="AK934" s="2330"/>
      <c r="AL934" s="2330"/>
      <c r="AM934" s="2331">
        <f t="shared" si="634"/>
        <v>0</v>
      </c>
      <c r="AN934" s="2331"/>
      <c r="AO934" s="2331"/>
      <c r="AP934" s="2331"/>
      <c r="AQ934" s="2332">
        <f t="shared" si="648"/>
        <v>0</v>
      </c>
      <c r="AR934" s="2332"/>
      <c r="AS934" s="2332"/>
      <c r="AT934" s="2332">
        <f t="shared" si="649"/>
        <v>0</v>
      </c>
      <c r="AV934" s="151" t="str">
        <f t="shared" si="629"/>
        <v>PAINTING</v>
      </c>
      <c r="AW934" s="681"/>
      <c r="AX934" s="230"/>
      <c r="AY934" s="230"/>
      <c r="AZ934" s="679"/>
      <c r="BA934" s="49">
        <f t="shared" si="650"/>
        <v>0</v>
      </c>
      <c r="BB934" s="49">
        <f t="shared" si="655"/>
        <v>0</v>
      </c>
      <c r="BC934" s="49">
        <f t="shared" si="656"/>
        <v>0</v>
      </c>
      <c r="BD934" s="49">
        <f t="shared" si="651"/>
        <v>0</v>
      </c>
      <c r="BE934" s="49">
        <f t="shared" si="657"/>
        <v>0</v>
      </c>
      <c r="BF934" s="49">
        <f t="shared" si="652"/>
        <v>0</v>
      </c>
      <c r="BG934" s="49">
        <f t="shared" si="653"/>
        <v>0</v>
      </c>
      <c r="BI934" s="134">
        <f t="shared" si="658"/>
        <v>0</v>
      </c>
      <c r="BJ934" s="134">
        <f t="shared" si="654"/>
        <v>0</v>
      </c>
      <c r="BK934" s="134">
        <f t="shared" si="659"/>
        <v>0</v>
      </c>
    </row>
    <row r="935" spans="1:63" hidden="1">
      <c r="A935" s="187"/>
      <c r="B935" s="2321"/>
      <c r="C935" s="2322"/>
      <c r="D935" s="2334"/>
      <c r="E935" s="2334"/>
      <c r="F935" s="2334"/>
      <c r="G935" s="2334"/>
      <c r="H935" s="2334"/>
      <c r="I935" s="2334"/>
      <c r="J935" s="2334"/>
      <c r="K935" s="2334"/>
      <c r="L935" s="2334"/>
      <c r="M935" s="2334"/>
      <c r="N935" s="2334"/>
      <c r="O935" s="2334"/>
      <c r="P935" s="2324"/>
      <c r="Q935" s="2324"/>
      <c r="R935" s="2325"/>
      <c r="S935" s="2324"/>
      <c r="T935" s="2324"/>
      <c r="U935" s="2326"/>
      <c r="V935" s="2327"/>
      <c r="W935" s="2327"/>
      <c r="X935" s="2327"/>
      <c r="Y935" s="2327"/>
      <c r="Z935" s="2327"/>
      <c r="AA935" s="2328"/>
      <c r="AB935" s="2329"/>
      <c r="AC935" s="2326"/>
      <c r="AD935" s="2330">
        <f t="shared" si="646"/>
        <v>0</v>
      </c>
      <c r="AE935" s="2330"/>
      <c r="AF935" s="2330"/>
      <c r="AG935" s="2330">
        <f t="shared" si="640"/>
        <v>0</v>
      </c>
      <c r="AH935" s="2330"/>
      <c r="AI935" s="2330"/>
      <c r="AJ935" s="2330">
        <f t="shared" si="647"/>
        <v>0</v>
      </c>
      <c r="AK935" s="2330"/>
      <c r="AL935" s="2330"/>
      <c r="AM935" s="2331">
        <f t="shared" si="634"/>
        <v>0</v>
      </c>
      <c r="AN935" s="2331"/>
      <c r="AO935" s="2331"/>
      <c r="AP935" s="2331"/>
      <c r="AQ935" s="2332">
        <f t="shared" si="648"/>
        <v>0</v>
      </c>
      <c r="AR935" s="2332"/>
      <c r="AS935" s="2332"/>
      <c r="AT935" s="2332">
        <f t="shared" si="649"/>
        <v>0</v>
      </c>
      <c r="AV935" s="151" t="str">
        <f t="shared" si="629"/>
        <v>PAINTING</v>
      </c>
      <c r="AW935" s="681"/>
      <c r="AX935" s="230"/>
      <c r="AY935" s="230"/>
      <c r="AZ935" s="679"/>
      <c r="BA935" s="49">
        <f t="shared" si="650"/>
        <v>0</v>
      </c>
      <c r="BB935" s="49">
        <f t="shared" si="655"/>
        <v>0</v>
      </c>
      <c r="BC935" s="49">
        <f t="shared" si="656"/>
        <v>0</v>
      </c>
      <c r="BD935" s="49">
        <f t="shared" si="651"/>
        <v>0</v>
      </c>
      <c r="BE935" s="49">
        <f t="shared" si="657"/>
        <v>0</v>
      </c>
      <c r="BF935" s="49">
        <f t="shared" si="652"/>
        <v>0</v>
      </c>
      <c r="BG935" s="49">
        <f t="shared" si="653"/>
        <v>0</v>
      </c>
      <c r="BI935" s="134">
        <f t="shared" si="658"/>
        <v>0</v>
      </c>
      <c r="BJ935" s="134">
        <f t="shared" si="654"/>
        <v>0</v>
      </c>
      <c r="BK935" s="134">
        <f t="shared" si="659"/>
        <v>0</v>
      </c>
    </row>
    <row r="936" spans="1:63" hidden="1">
      <c r="A936" s="187"/>
      <c r="B936" s="2333"/>
      <c r="C936" s="2333"/>
      <c r="D936" s="2334"/>
      <c r="E936" s="2334"/>
      <c r="F936" s="2334"/>
      <c r="G936" s="2334"/>
      <c r="H936" s="2334"/>
      <c r="I936" s="2334"/>
      <c r="J936" s="2334"/>
      <c r="K936" s="2334"/>
      <c r="L936" s="2334"/>
      <c r="M936" s="2334"/>
      <c r="N936" s="2334"/>
      <c r="O936" s="2334"/>
      <c r="P936" s="2324"/>
      <c r="Q936" s="2324"/>
      <c r="R936" s="2325"/>
      <c r="S936" s="2324"/>
      <c r="T936" s="2324"/>
      <c r="U936" s="2326"/>
      <c r="V936" s="2327"/>
      <c r="W936" s="2327"/>
      <c r="X936" s="2327"/>
      <c r="Y936" s="2327"/>
      <c r="Z936" s="2327"/>
      <c r="AA936" s="2328"/>
      <c r="AB936" s="2329"/>
      <c r="AC936" s="2326"/>
      <c r="AD936" s="2330">
        <f t="shared" si="646"/>
        <v>0</v>
      </c>
      <c r="AE936" s="2330"/>
      <c r="AF936" s="2330"/>
      <c r="AG936" s="2330">
        <f t="shared" si="640"/>
        <v>0</v>
      </c>
      <c r="AH936" s="2330"/>
      <c r="AI936" s="2330"/>
      <c r="AJ936" s="2330">
        <f t="shared" si="647"/>
        <v>0</v>
      </c>
      <c r="AK936" s="2330"/>
      <c r="AL936" s="2330"/>
      <c r="AM936" s="2331">
        <f t="shared" si="634"/>
        <v>0</v>
      </c>
      <c r="AN936" s="2331"/>
      <c r="AO936" s="2331"/>
      <c r="AP936" s="2331"/>
      <c r="AQ936" s="2332">
        <f t="shared" si="648"/>
        <v>0</v>
      </c>
      <c r="AR936" s="2332"/>
      <c r="AS936" s="2332"/>
      <c r="AT936" s="2332">
        <f t="shared" si="649"/>
        <v>0</v>
      </c>
      <c r="AV936" s="151" t="str">
        <f t="shared" si="629"/>
        <v>PAINTING</v>
      </c>
      <c r="AW936" s="681"/>
      <c r="AX936" s="230"/>
      <c r="AY936" s="230"/>
      <c r="AZ936" s="679"/>
      <c r="BA936" s="49">
        <f t="shared" si="650"/>
        <v>0</v>
      </c>
      <c r="BB936" s="49">
        <f t="shared" si="655"/>
        <v>0</v>
      </c>
      <c r="BC936" s="49">
        <f t="shared" si="656"/>
        <v>0</v>
      </c>
      <c r="BD936" s="49">
        <f t="shared" si="651"/>
        <v>0</v>
      </c>
      <c r="BE936" s="49">
        <f>SUM(BA936:BC936)</f>
        <v>0</v>
      </c>
      <c r="BF936" s="49">
        <f t="shared" si="652"/>
        <v>0</v>
      </c>
      <c r="BG936" s="49">
        <f t="shared" si="653"/>
        <v>0</v>
      </c>
      <c r="BI936" s="134">
        <f t="shared" si="658"/>
        <v>0</v>
      </c>
      <c r="BJ936" s="134">
        <f t="shared" si="654"/>
        <v>0</v>
      </c>
      <c r="BK936" s="134">
        <f t="shared" si="659"/>
        <v>0</v>
      </c>
    </row>
    <row r="937" spans="1:63" hidden="1">
      <c r="A937" s="187"/>
      <c r="B937" s="2333"/>
      <c r="C937" s="2333"/>
      <c r="D937" s="2334"/>
      <c r="E937" s="2334"/>
      <c r="F937" s="2334"/>
      <c r="G937" s="2334"/>
      <c r="H937" s="2334"/>
      <c r="I937" s="2334"/>
      <c r="J937" s="2334"/>
      <c r="K937" s="2334"/>
      <c r="L937" s="2334"/>
      <c r="M937" s="2334"/>
      <c r="N937" s="2334"/>
      <c r="O937" s="2334"/>
      <c r="P937" s="2324"/>
      <c r="Q937" s="2324"/>
      <c r="R937" s="2325"/>
      <c r="S937" s="2324"/>
      <c r="T937" s="2324"/>
      <c r="U937" s="2326"/>
      <c r="V937" s="2327"/>
      <c r="W937" s="2327"/>
      <c r="X937" s="2327"/>
      <c r="Y937" s="2327"/>
      <c r="Z937" s="2327"/>
      <c r="AA937" s="2328"/>
      <c r="AB937" s="2329"/>
      <c r="AC937" s="2326"/>
      <c r="AD937" s="2330">
        <f t="shared" si="646"/>
        <v>0</v>
      </c>
      <c r="AE937" s="2330"/>
      <c r="AF937" s="2330"/>
      <c r="AG937" s="2330">
        <f t="shared" si="640"/>
        <v>0</v>
      </c>
      <c r="AH937" s="2330"/>
      <c r="AI937" s="2330"/>
      <c r="AJ937" s="2330">
        <f t="shared" si="647"/>
        <v>0</v>
      </c>
      <c r="AK937" s="2330"/>
      <c r="AL937" s="2330"/>
      <c r="AM937" s="2331">
        <f t="shared" si="634"/>
        <v>0</v>
      </c>
      <c r="AN937" s="2331"/>
      <c r="AO937" s="2331"/>
      <c r="AP937" s="2331"/>
      <c r="AQ937" s="2332">
        <f t="shared" si="648"/>
        <v>0</v>
      </c>
      <c r="AR937" s="2332"/>
      <c r="AS937" s="2332"/>
      <c r="AT937" s="2332">
        <f t="shared" si="649"/>
        <v>0</v>
      </c>
      <c r="AV937" s="151" t="str">
        <f t="shared" si="629"/>
        <v>PAINTING</v>
      </c>
      <c r="AW937" s="681"/>
      <c r="AX937" s="230"/>
      <c r="AY937" s="230"/>
      <c r="AZ937" s="679"/>
      <c r="BA937" s="49">
        <f t="shared" si="650"/>
        <v>0</v>
      </c>
      <c r="BB937" s="49">
        <f t="shared" si="655"/>
        <v>0</v>
      </c>
      <c r="BC937" s="49">
        <f t="shared" si="656"/>
        <v>0</v>
      </c>
      <c r="BD937" s="49">
        <f t="shared" si="651"/>
        <v>0</v>
      </c>
      <c r="BE937" s="49">
        <f>SUM(BA937:BC937)</f>
        <v>0</v>
      </c>
      <c r="BF937" s="49">
        <f t="shared" si="652"/>
        <v>0</v>
      </c>
      <c r="BG937" s="49">
        <f t="shared" si="653"/>
        <v>0</v>
      </c>
      <c r="BI937" s="134">
        <f t="shared" si="658"/>
        <v>0</v>
      </c>
      <c r="BJ937" s="134">
        <f t="shared" si="654"/>
        <v>0</v>
      </c>
      <c r="BK937" s="134">
        <f t="shared" si="659"/>
        <v>0</v>
      </c>
    </row>
    <row r="938" spans="1:63" ht="5.0999999999999996" hidden="1" customHeight="1">
      <c r="A938" s="187"/>
      <c r="B938" s="64"/>
      <c r="C938" s="64"/>
      <c r="D938" s="885"/>
      <c r="E938" s="885"/>
      <c r="F938" s="885"/>
      <c r="G938" s="885"/>
      <c r="H938" s="885"/>
      <c r="I938" s="885"/>
      <c r="J938" s="885"/>
      <c r="K938" s="885"/>
      <c r="L938" s="885"/>
      <c r="M938" s="885"/>
      <c r="N938" s="885"/>
      <c r="O938" s="885"/>
      <c r="P938" s="66"/>
      <c r="Q938" s="66"/>
      <c r="R938" s="66"/>
      <c r="S938" s="66"/>
      <c r="T938" s="66"/>
      <c r="U938" s="67"/>
      <c r="V938" s="67"/>
      <c r="W938" s="67"/>
      <c r="X938" s="67"/>
      <c r="Y938" s="67"/>
      <c r="Z938" s="67"/>
      <c r="AA938" s="67"/>
      <c r="AB938" s="67"/>
      <c r="AC938" s="67"/>
      <c r="AD938" s="68"/>
      <c r="AE938" s="68"/>
      <c r="AF938" s="68"/>
      <c r="AG938" s="68"/>
      <c r="AH938" s="68"/>
      <c r="AI938" s="68"/>
      <c r="AJ938" s="68"/>
      <c r="AK938" s="68"/>
      <c r="AL938" s="68"/>
      <c r="AM938" s="69"/>
      <c r="AN938" s="69"/>
      <c r="AO938" s="69"/>
      <c r="AP938" s="69"/>
      <c r="AQ938" s="661"/>
      <c r="AR938" s="661"/>
      <c r="AS938" s="661"/>
      <c r="AT938" s="661"/>
      <c r="AV938" s="369" t="str">
        <f t="shared" si="629"/>
        <v>PAINTING</v>
      </c>
      <c r="AW938" s="696"/>
      <c r="AX938" s="696"/>
      <c r="AY938" s="696"/>
      <c r="AZ938" s="369"/>
      <c r="BA938" s="75">
        <f>BA897</f>
        <v>0</v>
      </c>
      <c r="BB938" s="75">
        <f>BB897</f>
        <v>0</v>
      </c>
      <c r="BC938" s="75">
        <f>BC897</f>
        <v>0</v>
      </c>
      <c r="BD938" s="75">
        <f>BD897</f>
        <v>0</v>
      </c>
      <c r="BE938" s="75">
        <f>BE897</f>
        <v>0</v>
      </c>
      <c r="BF938" s="75"/>
      <c r="BG938" s="75"/>
      <c r="BI938" s="75"/>
      <c r="BJ938" s="75"/>
      <c r="BK938" s="75"/>
    </row>
    <row r="939" spans="1:63" ht="21.6" hidden="1" customHeight="1">
      <c r="A939" s="187"/>
      <c r="B939" s="2424"/>
      <c r="C939" s="2424"/>
      <c r="D939" s="886"/>
      <c r="E939" s="886"/>
      <c r="F939" s="886"/>
      <c r="G939" s="886"/>
      <c r="H939" s="886"/>
      <c r="I939" s="886"/>
      <c r="J939" s="886"/>
      <c r="K939" s="886"/>
      <c r="L939" s="886"/>
      <c r="M939" s="886"/>
      <c r="N939" s="886"/>
      <c r="O939" s="886"/>
      <c r="P939" s="37"/>
      <c r="Q939" s="37"/>
      <c r="R939" s="37"/>
      <c r="S939" s="37"/>
      <c r="T939" s="37"/>
      <c r="U939" s="37"/>
      <c r="V939" s="37"/>
      <c r="W939" s="37"/>
      <c r="X939" s="37"/>
      <c r="Y939" s="37"/>
      <c r="Z939" s="37"/>
      <c r="AA939" s="37"/>
      <c r="AB939" s="37"/>
      <c r="AC939" s="370" t="str">
        <f>CONCATENATE(D897," ","TOTAL")</f>
        <v>PAINTING TOTAL</v>
      </c>
      <c r="AD939" s="2342">
        <f>SUBTOTAL(9,AD898:AD938)</f>
        <v>0</v>
      </c>
      <c r="AE939" s="2342"/>
      <c r="AF939" s="2342"/>
      <c r="AG939" s="2342">
        <f>SUBTOTAL(9,AG898:AG938)</f>
        <v>0</v>
      </c>
      <c r="AH939" s="2342"/>
      <c r="AI939" s="2342"/>
      <c r="AJ939" s="2342">
        <f>SUBTOTAL(9,AJ898:AJ938)</f>
        <v>0</v>
      </c>
      <c r="AK939" s="2342"/>
      <c r="AL939" s="2342"/>
      <c r="AM939" s="2342">
        <f>SUBTOTAL(9,AM898:AM938)</f>
        <v>0</v>
      </c>
      <c r="AN939" s="2342"/>
      <c r="AO939" s="2342"/>
      <c r="AP939" s="2342"/>
      <c r="AQ939" s="2336">
        <f>SUBTOTAL(9,AQ898:AQ938)</f>
        <v>0</v>
      </c>
      <c r="AR939" s="2336"/>
      <c r="AS939" s="2336"/>
      <c r="AT939" s="2336" t="e">
        <f>SUM(AT895:AT930)</f>
        <v>#REF!</v>
      </c>
      <c r="AV939" s="151" t="str">
        <f t="shared" si="629"/>
        <v>PAINTING</v>
      </c>
      <c r="AW939" s="682"/>
      <c r="AX939" s="695"/>
      <c r="AY939" s="695"/>
      <c r="AZ939" s="274"/>
      <c r="BA939" s="74">
        <f>BA897</f>
        <v>0</v>
      </c>
      <c r="BB939" s="74">
        <f>BB897</f>
        <v>0</v>
      </c>
      <c r="BC939" s="74">
        <f>BC897</f>
        <v>0</v>
      </c>
      <c r="BD939" s="74">
        <f>BD897</f>
        <v>0</v>
      </c>
      <c r="BE939" s="74">
        <f>BE897</f>
        <v>0</v>
      </c>
      <c r="BF939" s="74">
        <f>SUM(BF897:BF938)</f>
        <v>0</v>
      </c>
      <c r="BG939" s="49">
        <f>SUM(BG897:BG938)</f>
        <v>0</v>
      </c>
      <c r="BI939" s="74">
        <f>SUM(BI898:BI938)</f>
        <v>0</v>
      </c>
      <c r="BJ939" s="74">
        <f>SUM(BJ898:BJ938)</f>
        <v>0</v>
      </c>
      <c r="BK939" s="49">
        <f>SUM(BK898:BK938)</f>
        <v>0</v>
      </c>
    </row>
    <row r="940" spans="1:63" ht="5.0999999999999996" hidden="1" customHeight="1">
      <c r="A940" s="187"/>
      <c r="B940" s="64"/>
      <c r="C940" s="64"/>
      <c r="D940" s="885"/>
      <c r="E940" s="885"/>
      <c r="F940" s="885"/>
      <c r="G940" s="885"/>
      <c r="H940" s="885"/>
      <c r="I940" s="885"/>
      <c r="J940" s="885"/>
      <c r="K940" s="885"/>
      <c r="L940" s="885"/>
      <c r="M940" s="885"/>
      <c r="N940" s="885"/>
      <c r="O940" s="885"/>
      <c r="P940" s="66"/>
      <c r="Q940" s="66"/>
      <c r="R940" s="66"/>
      <c r="S940" s="66"/>
      <c r="T940" s="66"/>
      <c r="U940" s="67"/>
      <c r="V940" s="67"/>
      <c r="W940" s="67"/>
      <c r="X940" s="67"/>
      <c r="Y940" s="67"/>
      <c r="Z940" s="67"/>
      <c r="AA940" s="67"/>
      <c r="AB940" s="67"/>
      <c r="AC940" s="67"/>
      <c r="AD940" s="68"/>
      <c r="AE940" s="68"/>
      <c r="AF940" s="68"/>
      <c r="AG940" s="68"/>
      <c r="AH940" s="68"/>
      <c r="AI940" s="68"/>
      <c r="AJ940" s="68"/>
      <c r="AK940" s="68"/>
      <c r="AL940" s="68"/>
      <c r="AM940" s="69"/>
      <c r="AN940" s="69"/>
      <c r="AO940" s="69"/>
      <c r="AP940" s="69"/>
      <c r="AQ940" s="661"/>
      <c r="AR940" s="661"/>
      <c r="AS940" s="661"/>
      <c r="AT940" s="661"/>
      <c r="AV940" s="369" t="str">
        <f t="shared" si="629"/>
        <v>PAINTING</v>
      </c>
      <c r="AW940" s="696"/>
      <c r="AX940" s="696"/>
      <c r="AY940" s="696"/>
      <c r="AZ940" s="369"/>
      <c r="BA940" s="75">
        <f>BA897</f>
        <v>0</v>
      </c>
      <c r="BB940" s="75">
        <f>BB897</f>
        <v>0</v>
      </c>
      <c r="BC940" s="75">
        <f>BC897</f>
        <v>0</v>
      </c>
      <c r="BD940" s="75">
        <f>BD897</f>
        <v>0</v>
      </c>
      <c r="BE940" s="75">
        <f>BE897</f>
        <v>0</v>
      </c>
      <c r="BF940" s="75"/>
      <c r="BG940" s="75"/>
      <c r="BI940" s="75"/>
      <c r="BJ940" s="75"/>
      <c r="BK940" s="75"/>
    </row>
    <row r="941" spans="1:63" ht="9.6" hidden="1" customHeight="1">
      <c r="A941" s="187"/>
      <c r="B941" s="71"/>
      <c r="C941" s="71"/>
      <c r="D941" s="887"/>
      <c r="E941" s="887"/>
      <c r="F941" s="887"/>
      <c r="G941" s="887"/>
      <c r="H941" s="887"/>
      <c r="I941" s="887"/>
      <c r="J941" s="887"/>
      <c r="K941" s="887"/>
      <c r="L941" s="887"/>
      <c r="M941" s="887"/>
      <c r="N941" s="887"/>
      <c r="O941" s="887"/>
      <c r="P941" s="72"/>
      <c r="Q941" s="72"/>
      <c r="R941" s="72"/>
      <c r="S941" s="72"/>
      <c r="T941" s="72"/>
      <c r="U941" s="72"/>
      <c r="V941" s="72"/>
      <c r="W941" s="72"/>
      <c r="X941" s="72"/>
      <c r="Y941" s="72"/>
      <c r="Z941" s="72"/>
      <c r="AA941" s="72"/>
      <c r="AB941" s="72"/>
      <c r="AC941" s="73"/>
      <c r="AD941" s="662"/>
      <c r="AE941" s="662"/>
      <c r="AF941" s="662"/>
      <c r="AG941" s="662"/>
      <c r="AH941" s="662"/>
      <c r="AI941" s="662"/>
      <c r="AJ941" s="662"/>
      <c r="AK941" s="662"/>
      <c r="AL941" s="662"/>
      <c r="AM941" s="662"/>
      <c r="AN941" s="662"/>
      <c r="AO941" s="662"/>
      <c r="AP941" s="662"/>
      <c r="AQ941" s="663"/>
      <c r="AR941" s="663"/>
      <c r="AS941" s="663"/>
      <c r="AT941" s="663"/>
      <c r="AV941" s="371" t="str">
        <f t="shared" si="629"/>
        <v>PAINTING</v>
      </c>
      <c r="AW941" s="699"/>
      <c r="AX941" s="801"/>
      <c r="AY941" s="801"/>
      <c r="AZ941" s="371"/>
      <c r="BA941" s="125">
        <f>BA939</f>
        <v>0</v>
      </c>
      <c r="BB941" s="125">
        <f t="shared" ref="BB941:BG941" si="660">BB939</f>
        <v>0</v>
      </c>
      <c r="BC941" s="125">
        <f>BC939</f>
        <v>0</v>
      </c>
      <c r="BD941" s="125">
        <f t="shared" si="660"/>
        <v>0</v>
      </c>
      <c r="BE941" s="125">
        <f t="shared" si="660"/>
        <v>0</v>
      </c>
      <c r="BF941" s="125">
        <f t="shared" si="660"/>
        <v>0</v>
      </c>
      <c r="BG941" s="125">
        <f t="shared" si="660"/>
        <v>0</v>
      </c>
      <c r="BI941" s="125"/>
      <c r="BJ941" s="125"/>
      <c r="BK941" s="125"/>
    </row>
    <row r="942" spans="1:63" ht="23.1" customHeight="1">
      <c r="A942" s="186" t="s">
        <v>952</v>
      </c>
      <c r="B942" s="2343"/>
      <c r="C942" s="2344"/>
      <c r="D942" s="2387" t="str">
        <f>T(AJ78)</f>
        <v>APPLIANCES</v>
      </c>
      <c r="E942" s="2388"/>
      <c r="F942" s="2388"/>
      <c r="G942" s="2388"/>
      <c r="H942" s="2388"/>
      <c r="I942" s="2388"/>
      <c r="J942" s="2388"/>
      <c r="K942" s="2388"/>
      <c r="L942" s="2388"/>
      <c r="M942" s="2388"/>
      <c r="N942" s="2388"/>
      <c r="O942" s="2389"/>
      <c r="P942" s="2345"/>
      <c r="Q942" s="2345"/>
      <c r="R942" s="2345"/>
      <c r="S942" s="2346"/>
      <c r="T942" s="2347"/>
      <c r="U942" s="2348"/>
      <c r="V942" s="2348"/>
      <c r="W942" s="2348"/>
      <c r="X942" s="2348"/>
      <c r="Y942" s="2348"/>
      <c r="Z942" s="2348"/>
      <c r="AA942" s="2348"/>
      <c r="AB942" s="2348"/>
      <c r="AC942" s="2348"/>
      <c r="AD942" s="2342">
        <f>AD984</f>
        <v>0</v>
      </c>
      <c r="AE942" s="2342"/>
      <c r="AF942" s="2342"/>
      <c r="AG942" s="2342">
        <f>AG984</f>
        <v>0</v>
      </c>
      <c r="AH942" s="2342"/>
      <c r="AI942" s="2342"/>
      <c r="AJ942" s="2342">
        <f>AJ984</f>
        <v>0</v>
      </c>
      <c r="AK942" s="2342"/>
      <c r="AL942" s="2342"/>
      <c r="AM942" s="2342">
        <f>AM984</f>
        <v>0</v>
      </c>
      <c r="AN942" s="2342"/>
      <c r="AO942" s="2342"/>
      <c r="AP942" s="2342"/>
      <c r="AQ942" s="2336">
        <f>AQ984</f>
        <v>0</v>
      </c>
      <c r="AR942" s="2336"/>
      <c r="AS942" s="2336"/>
      <c r="AT942" s="2336" t="e">
        <f>SUM(#REF!)</f>
        <v>#REF!</v>
      </c>
      <c r="AV942" s="151" t="str">
        <f t="shared" ref="AV942:AV986" si="661">$D$942</f>
        <v>APPLIANCES</v>
      </c>
      <c r="AW942" s="700"/>
      <c r="AX942" s="700"/>
      <c r="AY942" s="700"/>
      <c r="AZ942" s="701"/>
      <c r="BA942" s="49">
        <f>SUM(BA943:BA982)</f>
        <v>0</v>
      </c>
      <c r="BB942" s="49">
        <f>SUM(BB943:BB982)</f>
        <v>0</v>
      </c>
      <c r="BC942" s="49">
        <f>SUM(BC943:BC982)</f>
        <v>0</v>
      </c>
      <c r="BD942" s="49">
        <f>SUM(BD943:BD982)</f>
        <v>0</v>
      </c>
      <c r="BE942" s="49">
        <f>SUM(BE943:BE982)</f>
        <v>0</v>
      </c>
      <c r="BF942" s="49">
        <f t="shared" ref="BF942:BF962" si="662">AQ942</f>
        <v>0</v>
      </c>
      <c r="BG942" s="49">
        <f t="shared" ref="BG942:BG962" si="663">AM942</f>
        <v>0</v>
      </c>
      <c r="BI942" s="134">
        <f>AD942</f>
        <v>0</v>
      </c>
      <c r="BJ942" s="134">
        <f>AM942</f>
        <v>0</v>
      </c>
      <c r="BK942" s="134">
        <f>BJ942+BI942</f>
        <v>0</v>
      </c>
    </row>
    <row r="943" spans="1:63" hidden="1">
      <c r="A943" s="187"/>
      <c r="B943" s="2321"/>
      <c r="C943" s="2322"/>
      <c r="D943" s="2338" t="s">
        <v>758</v>
      </c>
      <c r="E943" s="2338"/>
      <c r="F943" s="2338"/>
      <c r="G943" s="2338"/>
      <c r="H943" s="2338"/>
      <c r="I943" s="2338"/>
      <c r="J943" s="2338"/>
      <c r="K943" s="2338"/>
      <c r="L943" s="2338"/>
      <c r="M943" s="2338"/>
      <c r="N943" s="2338"/>
      <c r="O943" s="2338"/>
      <c r="P943" s="2324"/>
      <c r="Q943" s="2324"/>
      <c r="R943" s="2325"/>
      <c r="S943" s="2324" t="s">
        <v>3</v>
      </c>
      <c r="T943" s="2324"/>
      <c r="U943" s="2326"/>
      <c r="V943" s="2327"/>
      <c r="W943" s="2327"/>
      <c r="X943" s="2327">
        <v>2500</v>
      </c>
      <c r="Y943" s="2327"/>
      <c r="Z943" s="2327"/>
      <c r="AA943" s="2328"/>
      <c r="AB943" s="2329"/>
      <c r="AC943" s="2326"/>
      <c r="AD943" s="2330">
        <f t="shared" ref="AD943:AD962" si="664">((P943*U943)-AM943)</f>
        <v>0</v>
      </c>
      <c r="AE943" s="2330"/>
      <c r="AF943" s="2330"/>
      <c r="AG943" s="2330">
        <f>P943*X943*(1+$Y$85)</f>
        <v>0</v>
      </c>
      <c r="AH943" s="2330"/>
      <c r="AI943" s="2330"/>
      <c r="AJ943" s="2330">
        <f t="shared" ref="AJ943:AJ962" si="665">P943*AA943</f>
        <v>0</v>
      </c>
      <c r="AK943" s="2330"/>
      <c r="AL943" s="2330"/>
      <c r="AM943" s="2331">
        <f t="shared" ref="AM943:AM982" si="666">IF($B943="x",$P943*$U943,0)</f>
        <v>0</v>
      </c>
      <c r="AN943" s="2331"/>
      <c r="AO943" s="2331"/>
      <c r="AP943" s="2331"/>
      <c r="AQ943" s="2332">
        <f t="shared" ref="AQ943:AQ962" si="667">SUM(AD943:AL943)</f>
        <v>0</v>
      </c>
      <c r="AR943" s="2332"/>
      <c r="AS943" s="2332"/>
      <c r="AT943" s="2332">
        <f t="shared" ref="AT943:AT962" si="668">SUM(AD943:AL943)</f>
        <v>0</v>
      </c>
      <c r="AV943" s="151" t="str">
        <f t="shared" si="661"/>
        <v>APPLIANCES</v>
      </c>
      <c r="AW943" s="681" t="s">
        <v>45</v>
      </c>
      <c r="AX943" s="230"/>
      <c r="AY943" s="230"/>
      <c r="AZ943" s="679"/>
      <c r="BA943" s="49">
        <f t="shared" ref="BA943:BA962" si="669">AD943</f>
        <v>0</v>
      </c>
      <c r="BB943" s="49">
        <f>AG943</f>
        <v>0</v>
      </c>
      <c r="BC943" s="49">
        <f>AJ943</f>
        <v>0</v>
      </c>
      <c r="BD943" s="49">
        <f t="shared" ref="BD943:BD962" si="670">IF(B943="x",1,0)</f>
        <v>0</v>
      </c>
      <c r="BE943" s="49">
        <f>SUM(BA943:BC943)</f>
        <v>0</v>
      </c>
      <c r="BF943" s="49">
        <f t="shared" si="662"/>
        <v>0</v>
      </c>
      <c r="BG943" s="49">
        <f t="shared" si="663"/>
        <v>0</v>
      </c>
      <c r="BI943" s="134">
        <f>AD943</f>
        <v>0</v>
      </c>
      <c r="BJ943" s="134">
        <f t="shared" ref="BJ943:BJ962" si="671">AM943</f>
        <v>0</v>
      </c>
      <c r="BK943" s="134">
        <f>BJ943+BI943</f>
        <v>0</v>
      </c>
    </row>
    <row r="944" spans="1:63" hidden="1">
      <c r="A944" s="187"/>
      <c r="B944" s="2321"/>
      <c r="C944" s="2322"/>
      <c r="D944" s="2334"/>
      <c r="E944" s="2334"/>
      <c r="F944" s="2334"/>
      <c r="G944" s="2334"/>
      <c r="H944" s="2334"/>
      <c r="I944" s="2334"/>
      <c r="J944" s="2334"/>
      <c r="K944" s="2334"/>
      <c r="L944" s="2334"/>
      <c r="M944" s="2334"/>
      <c r="N944" s="2334"/>
      <c r="O944" s="2334"/>
      <c r="P944" s="2324"/>
      <c r="Q944" s="2324"/>
      <c r="R944" s="2325"/>
      <c r="S944" s="2324"/>
      <c r="T944" s="2324"/>
      <c r="U944" s="2326"/>
      <c r="V944" s="2327"/>
      <c r="W944" s="2327"/>
      <c r="X944" s="2327"/>
      <c r="Y944" s="2327"/>
      <c r="Z944" s="2327"/>
      <c r="AA944" s="2328"/>
      <c r="AB944" s="2329"/>
      <c r="AC944" s="2326"/>
      <c r="AD944" s="2330">
        <f t="shared" si="664"/>
        <v>0</v>
      </c>
      <c r="AE944" s="2330"/>
      <c r="AF944" s="2330"/>
      <c r="AG944" s="2330">
        <f t="shared" ref="AG944:AG982" si="672">P944*X944*(1+$Y$85)</f>
        <v>0</v>
      </c>
      <c r="AH944" s="2330"/>
      <c r="AI944" s="2330"/>
      <c r="AJ944" s="2330">
        <f t="shared" si="665"/>
        <v>0</v>
      </c>
      <c r="AK944" s="2330"/>
      <c r="AL944" s="2330"/>
      <c r="AM944" s="2331">
        <f t="shared" si="666"/>
        <v>0</v>
      </c>
      <c r="AN944" s="2331"/>
      <c r="AO944" s="2331"/>
      <c r="AP944" s="2331"/>
      <c r="AQ944" s="2332">
        <f t="shared" si="667"/>
        <v>0</v>
      </c>
      <c r="AR944" s="2332"/>
      <c r="AS944" s="2332"/>
      <c r="AT944" s="2332">
        <f t="shared" si="668"/>
        <v>0</v>
      </c>
      <c r="AV944" s="151" t="str">
        <f t="shared" si="661"/>
        <v>APPLIANCES</v>
      </c>
      <c r="AW944" s="681" t="s">
        <v>45</v>
      </c>
      <c r="AX944" s="230"/>
      <c r="AY944" s="230"/>
      <c r="AZ944" s="679"/>
      <c r="BA944" s="49">
        <f t="shared" si="669"/>
        <v>0</v>
      </c>
      <c r="BB944" s="49">
        <f t="shared" ref="BB944:BB962" si="673">AG944</f>
        <v>0</v>
      </c>
      <c r="BC944" s="49">
        <f t="shared" ref="BC944:BC962" si="674">AJ944</f>
        <v>0</v>
      </c>
      <c r="BD944" s="49">
        <f t="shared" si="670"/>
        <v>0</v>
      </c>
      <c r="BE944" s="49">
        <f t="shared" ref="BE944:BE960" si="675">SUM(BA944:BC944)</f>
        <v>0</v>
      </c>
      <c r="BF944" s="49">
        <f t="shared" si="662"/>
        <v>0</v>
      </c>
      <c r="BG944" s="49">
        <f t="shared" si="663"/>
        <v>0</v>
      </c>
      <c r="BI944" s="134">
        <f t="shared" ref="BI944:BI962" si="676">AD944</f>
        <v>0</v>
      </c>
      <c r="BJ944" s="134">
        <f t="shared" si="671"/>
        <v>0</v>
      </c>
      <c r="BK944" s="134">
        <f t="shared" ref="BK944:BK962" si="677">BJ944+BI944</f>
        <v>0</v>
      </c>
    </row>
    <row r="945" spans="1:63" hidden="1">
      <c r="A945" s="187"/>
      <c r="B945" s="2333"/>
      <c r="C945" s="2333"/>
      <c r="D945" s="2337" t="s">
        <v>1523</v>
      </c>
      <c r="E945" s="2337"/>
      <c r="F945" s="2337"/>
      <c r="G945" s="2337"/>
      <c r="H945" s="2337"/>
      <c r="I945" s="2337"/>
      <c r="J945" s="2337"/>
      <c r="K945" s="2337"/>
      <c r="L945" s="2337"/>
      <c r="M945" s="2337"/>
      <c r="N945" s="2337"/>
      <c r="O945" s="2337"/>
      <c r="P945" s="2324"/>
      <c r="Q945" s="2324"/>
      <c r="R945" s="2325"/>
      <c r="S945" s="2324"/>
      <c r="T945" s="2324"/>
      <c r="U945" s="2326"/>
      <c r="V945" s="2327"/>
      <c r="W945" s="2327"/>
      <c r="X945" s="2327"/>
      <c r="Y945" s="2327"/>
      <c r="Z945" s="2327"/>
      <c r="AA945" s="2328"/>
      <c r="AB945" s="2329"/>
      <c r="AC945" s="2326"/>
      <c r="AD945" s="2330">
        <f t="shared" si="664"/>
        <v>0</v>
      </c>
      <c r="AE945" s="2330"/>
      <c r="AF945" s="2330"/>
      <c r="AG945" s="2330">
        <f t="shared" si="672"/>
        <v>0</v>
      </c>
      <c r="AH945" s="2330"/>
      <c r="AI945" s="2330"/>
      <c r="AJ945" s="2330">
        <f t="shared" si="665"/>
        <v>0</v>
      </c>
      <c r="AK945" s="2330"/>
      <c r="AL945" s="2330"/>
      <c r="AM945" s="2331">
        <f t="shared" si="666"/>
        <v>0</v>
      </c>
      <c r="AN945" s="2331"/>
      <c r="AO945" s="2331"/>
      <c r="AP945" s="2331"/>
      <c r="AQ945" s="2332">
        <f t="shared" si="667"/>
        <v>0</v>
      </c>
      <c r="AR945" s="2332"/>
      <c r="AS945" s="2332"/>
      <c r="AT945" s="2332">
        <f t="shared" si="668"/>
        <v>0</v>
      </c>
      <c r="AV945" s="151" t="str">
        <f t="shared" si="661"/>
        <v>APPLIANCES</v>
      </c>
      <c r="AW945" s="681" t="s">
        <v>45</v>
      </c>
      <c r="AX945" s="230"/>
      <c r="AY945" s="230"/>
      <c r="AZ945" s="679"/>
      <c r="BA945" s="49">
        <f t="shared" si="669"/>
        <v>0</v>
      </c>
      <c r="BB945" s="49">
        <f t="shared" si="673"/>
        <v>0</v>
      </c>
      <c r="BC945" s="49">
        <f t="shared" si="674"/>
        <v>0</v>
      </c>
      <c r="BD945" s="49">
        <f t="shared" si="670"/>
        <v>0</v>
      </c>
      <c r="BE945" s="49">
        <f t="shared" si="675"/>
        <v>0</v>
      </c>
      <c r="BF945" s="49">
        <f t="shared" si="662"/>
        <v>0</v>
      </c>
      <c r="BG945" s="49">
        <f t="shared" si="663"/>
        <v>0</v>
      </c>
      <c r="BI945" s="134">
        <f t="shared" si="676"/>
        <v>0</v>
      </c>
      <c r="BJ945" s="134">
        <f t="shared" si="671"/>
        <v>0</v>
      </c>
      <c r="BK945" s="134">
        <f t="shared" si="677"/>
        <v>0</v>
      </c>
    </row>
    <row r="946" spans="1:63" hidden="1">
      <c r="A946" s="187"/>
      <c r="B946" s="2333"/>
      <c r="C946" s="2333"/>
      <c r="D946" s="2334" t="s">
        <v>1525</v>
      </c>
      <c r="E946" s="2334"/>
      <c r="F946" s="2334"/>
      <c r="G946" s="2334"/>
      <c r="H946" s="2334"/>
      <c r="I946" s="2334"/>
      <c r="J946" s="2334"/>
      <c r="K946" s="2334"/>
      <c r="L946" s="2334"/>
      <c r="M946" s="2334"/>
      <c r="N946" s="2334"/>
      <c r="O946" s="2334"/>
      <c r="P946" s="2324"/>
      <c r="Q946" s="2324"/>
      <c r="R946" s="2325"/>
      <c r="S946" s="2324" t="s">
        <v>2</v>
      </c>
      <c r="T946" s="2324"/>
      <c r="U946" s="2326"/>
      <c r="V946" s="2327"/>
      <c r="W946" s="2327"/>
      <c r="X946" s="2327">
        <v>1800</v>
      </c>
      <c r="Y946" s="2327"/>
      <c r="Z946" s="2327"/>
      <c r="AA946" s="2328"/>
      <c r="AB946" s="2329"/>
      <c r="AC946" s="2326"/>
      <c r="AD946" s="2330">
        <f t="shared" si="664"/>
        <v>0</v>
      </c>
      <c r="AE946" s="2330"/>
      <c r="AF946" s="2330"/>
      <c r="AG946" s="2330">
        <f t="shared" si="672"/>
        <v>0</v>
      </c>
      <c r="AH946" s="2330"/>
      <c r="AI946" s="2330"/>
      <c r="AJ946" s="2330">
        <f t="shared" si="665"/>
        <v>0</v>
      </c>
      <c r="AK946" s="2330"/>
      <c r="AL946" s="2330"/>
      <c r="AM946" s="2331">
        <f t="shared" si="666"/>
        <v>0</v>
      </c>
      <c r="AN946" s="2331"/>
      <c r="AO946" s="2331"/>
      <c r="AP946" s="2331"/>
      <c r="AQ946" s="2332">
        <f t="shared" si="667"/>
        <v>0</v>
      </c>
      <c r="AR946" s="2332"/>
      <c r="AS946" s="2332"/>
      <c r="AT946" s="2332">
        <f t="shared" si="668"/>
        <v>0</v>
      </c>
      <c r="AV946" s="151" t="str">
        <f t="shared" si="661"/>
        <v>APPLIANCES</v>
      </c>
      <c r="AW946" s="681" t="s">
        <v>45</v>
      </c>
      <c r="AX946" s="230"/>
      <c r="AY946" s="230"/>
      <c r="AZ946" s="679"/>
      <c r="BA946" s="49">
        <f t="shared" si="669"/>
        <v>0</v>
      </c>
      <c r="BB946" s="49">
        <f t="shared" si="673"/>
        <v>0</v>
      </c>
      <c r="BC946" s="49">
        <f t="shared" si="674"/>
        <v>0</v>
      </c>
      <c r="BD946" s="49">
        <f t="shared" si="670"/>
        <v>0</v>
      </c>
      <c r="BE946" s="49">
        <f t="shared" si="675"/>
        <v>0</v>
      </c>
      <c r="BF946" s="49">
        <f t="shared" si="662"/>
        <v>0</v>
      </c>
      <c r="BG946" s="49">
        <f t="shared" si="663"/>
        <v>0</v>
      </c>
      <c r="BI946" s="134">
        <f t="shared" si="676"/>
        <v>0</v>
      </c>
      <c r="BJ946" s="134">
        <f t="shared" si="671"/>
        <v>0</v>
      </c>
      <c r="BK946" s="134">
        <f t="shared" si="677"/>
        <v>0</v>
      </c>
    </row>
    <row r="947" spans="1:63" hidden="1">
      <c r="A947" s="187"/>
      <c r="B947" s="2321"/>
      <c r="C947" s="2322"/>
      <c r="D947" s="2334" t="s">
        <v>1524</v>
      </c>
      <c r="E947" s="2334"/>
      <c r="F947" s="2334"/>
      <c r="G947" s="2334"/>
      <c r="H947" s="2334"/>
      <c r="I947" s="2334"/>
      <c r="J947" s="2334"/>
      <c r="K947" s="2334"/>
      <c r="L947" s="2334"/>
      <c r="M947" s="2334"/>
      <c r="N947" s="2334"/>
      <c r="O947" s="2334"/>
      <c r="P947" s="2324"/>
      <c r="Q947" s="2324"/>
      <c r="R947" s="2325"/>
      <c r="S947" s="2324" t="s">
        <v>2</v>
      </c>
      <c r="T947" s="2324"/>
      <c r="U947" s="2326"/>
      <c r="V947" s="2327"/>
      <c r="W947" s="2327"/>
      <c r="X947" s="2327">
        <v>3000</v>
      </c>
      <c r="Y947" s="2327"/>
      <c r="Z947" s="2327"/>
      <c r="AA947" s="2328"/>
      <c r="AB947" s="2329"/>
      <c r="AC947" s="2326"/>
      <c r="AD947" s="2330">
        <f t="shared" si="664"/>
        <v>0</v>
      </c>
      <c r="AE947" s="2330"/>
      <c r="AF947" s="2330"/>
      <c r="AG947" s="2330">
        <f t="shared" si="672"/>
        <v>0</v>
      </c>
      <c r="AH947" s="2330"/>
      <c r="AI947" s="2330"/>
      <c r="AJ947" s="2330">
        <f t="shared" si="665"/>
        <v>0</v>
      </c>
      <c r="AK947" s="2330"/>
      <c r="AL947" s="2330"/>
      <c r="AM947" s="2331">
        <f t="shared" si="666"/>
        <v>0</v>
      </c>
      <c r="AN947" s="2331"/>
      <c r="AO947" s="2331"/>
      <c r="AP947" s="2331"/>
      <c r="AQ947" s="2332">
        <f t="shared" si="667"/>
        <v>0</v>
      </c>
      <c r="AR947" s="2332"/>
      <c r="AS947" s="2332"/>
      <c r="AT947" s="2332">
        <f t="shared" si="668"/>
        <v>0</v>
      </c>
      <c r="AV947" s="151" t="str">
        <f t="shared" si="661"/>
        <v>APPLIANCES</v>
      </c>
      <c r="AW947" s="681" t="s">
        <v>45</v>
      </c>
      <c r="AX947" s="230"/>
      <c r="AY947" s="230"/>
      <c r="AZ947" s="679"/>
      <c r="BA947" s="49">
        <f t="shared" si="669"/>
        <v>0</v>
      </c>
      <c r="BB947" s="49">
        <f t="shared" si="673"/>
        <v>0</v>
      </c>
      <c r="BC947" s="49">
        <f t="shared" si="674"/>
        <v>0</v>
      </c>
      <c r="BD947" s="49">
        <f t="shared" si="670"/>
        <v>0</v>
      </c>
      <c r="BE947" s="49">
        <f t="shared" si="675"/>
        <v>0</v>
      </c>
      <c r="BF947" s="49">
        <f t="shared" si="662"/>
        <v>0</v>
      </c>
      <c r="BG947" s="49">
        <f t="shared" si="663"/>
        <v>0</v>
      </c>
      <c r="BI947" s="134">
        <f t="shared" si="676"/>
        <v>0</v>
      </c>
      <c r="BJ947" s="134">
        <f t="shared" si="671"/>
        <v>0</v>
      </c>
      <c r="BK947" s="134">
        <f t="shared" si="677"/>
        <v>0</v>
      </c>
    </row>
    <row r="948" spans="1:63" hidden="1">
      <c r="A948" s="187"/>
      <c r="B948" s="2321"/>
      <c r="C948" s="2322"/>
      <c r="D948" s="2334" t="s">
        <v>1531</v>
      </c>
      <c r="E948" s="2334"/>
      <c r="F948" s="2334"/>
      <c r="G948" s="2334"/>
      <c r="H948" s="2334"/>
      <c r="I948" s="2334"/>
      <c r="J948" s="2334"/>
      <c r="K948" s="2334"/>
      <c r="L948" s="2334"/>
      <c r="M948" s="2334"/>
      <c r="N948" s="2334"/>
      <c r="O948" s="2334"/>
      <c r="P948" s="2324"/>
      <c r="Q948" s="2324"/>
      <c r="R948" s="2325"/>
      <c r="S948" s="2324" t="s">
        <v>2</v>
      </c>
      <c r="T948" s="2324"/>
      <c r="U948" s="2326"/>
      <c r="V948" s="2327"/>
      <c r="W948" s="2327"/>
      <c r="X948" s="2327">
        <v>7500</v>
      </c>
      <c r="Y948" s="2327"/>
      <c r="Z948" s="2327"/>
      <c r="AA948" s="2328"/>
      <c r="AB948" s="2329"/>
      <c r="AC948" s="2326"/>
      <c r="AD948" s="2330">
        <f t="shared" si="664"/>
        <v>0</v>
      </c>
      <c r="AE948" s="2330"/>
      <c r="AF948" s="2330"/>
      <c r="AG948" s="2330">
        <f t="shared" si="672"/>
        <v>0</v>
      </c>
      <c r="AH948" s="2330"/>
      <c r="AI948" s="2330"/>
      <c r="AJ948" s="2330">
        <f t="shared" si="665"/>
        <v>0</v>
      </c>
      <c r="AK948" s="2330"/>
      <c r="AL948" s="2330"/>
      <c r="AM948" s="2331">
        <f t="shared" si="666"/>
        <v>0</v>
      </c>
      <c r="AN948" s="2331"/>
      <c r="AO948" s="2331"/>
      <c r="AP948" s="2331"/>
      <c r="AQ948" s="2332">
        <f t="shared" si="667"/>
        <v>0</v>
      </c>
      <c r="AR948" s="2332"/>
      <c r="AS948" s="2332"/>
      <c r="AT948" s="2332">
        <f t="shared" si="668"/>
        <v>0</v>
      </c>
      <c r="AV948" s="151" t="str">
        <f t="shared" si="661"/>
        <v>APPLIANCES</v>
      </c>
      <c r="AW948" s="681" t="s">
        <v>45</v>
      </c>
      <c r="AX948" s="230"/>
      <c r="AY948" s="230"/>
      <c r="AZ948" s="679"/>
      <c r="BA948" s="49">
        <f t="shared" si="669"/>
        <v>0</v>
      </c>
      <c r="BB948" s="49">
        <f t="shared" si="673"/>
        <v>0</v>
      </c>
      <c r="BC948" s="49">
        <f t="shared" si="674"/>
        <v>0</v>
      </c>
      <c r="BD948" s="49">
        <f t="shared" si="670"/>
        <v>0</v>
      </c>
      <c r="BE948" s="49">
        <f t="shared" si="675"/>
        <v>0</v>
      </c>
      <c r="BF948" s="49">
        <f t="shared" si="662"/>
        <v>0</v>
      </c>
      <c r="BG948" s="49">
        <f t="shared" si="663"/>
        <v>0</v>
      </c>
      <c r="BI948" s="134">
        <f t="shared" si="676"/>
        <v>0</v>
      </c>
      <c r="BJ948" s="134">
        <f t="shared" si="671"/>
        <v>0</v>
      </c>
      <c r="BK948" s="134">
        <f t="shared" si="677"/>
        <v>0</v>
      </c>
    </row>
    <row r="949" spans="1:63" hidden="1">
      <c r="A949" s="187"/>
      <c r="B949" s="2321"/>
      <c r="C949" s="2322"/>
      <c r="D949" s="2334"/>
      <c r="E949" s="2334"/>
      <c r="F949" s="2334"/>
      <c r="G949" s="2334"/>
      <c r="H949" s="2334"/>
      <c r="I949" s="2334"/>
      <c r="J949" s="2334"/>
      <c r="K949" s="2334"/>
      <c r="L949" s="2334"/>
      <c r="M949" s="2334"/>
      <c r="N949" s="2334"/>
      <c r="O949" s="2334"/>
      <c r="P949" s="2324"/>
      <c r="Q949" s="2324"/>
      <c r="R949" s="2325"/>
      <c r="S949" s="2324"/>
      <c r="T949" s="2324"/>
      <c r="U949" s="2326"/>
      <c r="V949" s="2327"/>
      <c r="W949" s="2327"/>
      <c r="X949" s="2327"/>
      <c r="Y949" s="2327"/>
      <c r="Z949" s="2327"/>
      <c r="AA949" s="2328"/>
      <c r="AB949" s="2329"/>
      <c r="AC949" s="2326"/>
      <c r="AD949" s="2330">
        <f t="shared" si="664"/>
        <v>0</v>
      </c>
      <c r="AE949" s="2330"/>
      <c r="AF949" s="2330"/>
      <c r="AG949" s="2330">
        <f t="shared" si="672"/>
        <v>0</v>
      </c>
      <c r="AH949" s="2330"/>
      <c r="AI949" s="2330"/>
      <c r="AJ949" s="2330">
        <f t="shared" si="665"/>
        <v>0</v>
      </c>
      <c r="AK949" s="2330"/>
      <c r="AL949" s="2330"/>
      <c r="AM949" s="2331">
        <f t="shared" si="666"/>
        <v>0</v>
      </c>
      <c r="AN949" s="2331"/>
      <c r="AO949" s="2331"/>
      <c r="AP949" s="2331"/>
      <c r="AQ949" s="2332">
        <f t="shared" si="667"/>
        <v>0</v>
      </c>
      <c r="AR949" s="2332"/>
      <c r="AS949" s="2332"/>
      <c r="AT949" s="2332">
        <f t="shared" si="668"/>
        <v>0</v>
      </c>
      <c r="AV949" s="151" t="str">
        <f t="shared" si="661"/>
        <v>APPLIANCES</v>
      </c>
      <c r="AW949" s="681" t="s">
        <v>45</v>
      </c>
      <c r="AX949" s="230"/>
      <c r="AY949" s="230"/>
      <c r="AZ949" s="679"/>
      <c r="BA949" s="49">
        <f t="shared" si="669"/>
        <v>0</v>
      </c>
      <c r="BB949" s="49">
        <f t="shared" si="673"/>
        <v>0</v>
      </c>
      <c r="BC949" s="49">
        <f t="shared" si="674"/>
        <v>0</v>
      </c>
      <c r="BD949" s="49">
        <f t="shared" si="670"/>
        <v>0</v>
      </c>
      <c r="BE949" s="49">
        <f t="shared" si="675"/>
        <v>0</v>
      </c>
      <c r="BF949" s="49">
        <f t="shared" si="662"/>
        <v>0</v>
      </c>
      <c r="BG949" s="49">
        <f t="shared" si="663"/>
        <v>0</v>
      </c>
      <c r="BI949" s="134">
        <f t="shared" si="676"/>
        <v>0</v>
      </c>
      <c r="BJ949" s="134">
        <f t="shared" si="671"/>
        <v>0</v>
      </c>
      <c r="BK949" s="134">
        <f t="shared" si="677"/>
        <v>0</v>
      </c>
    </row>
    <row r="950" spans="1:63" hidden="1">
      <c r="A950" s="187"/>
      <c r="B950" s="2333"/>
      <c r="C950" s="2333"/>
      <c r="D950" s="2334"/>
      <c r="E950" s="2334"/>
      <c r="F950" s="2334"/>
      <c r="G950" s="2334"/>
      <c r="H950" s="2334"/>
      <c r="I950" s="2334"/>
      <c r="J950" s="2334"/>
      <c r="K950" s="2334"/>
      <c r="L950" s="2334"/>
      <c r="M950" s="2334"/>
      <c r="N950" s="2334"/>
      <c r="O950" s="2334"/>
      <c r="P950" s="2324"/>
      <c r="Q950" s="2324"/>
      <c r="R950" s="2325"/>
      <c r="S950" s="2324"/>
      <c r="T950" s="2324"/>
      <c r="U950" s="2326"/>
      <c r="V950" s="2327"/>
      <c r="W950" s="2327"/>
      <c r="X950" s="2327"/>
      <c r="Y950" s="2327"/>
      <c r="Z950" s="2327"/>
      <c r="AA950" s="2328"/>
      <c r="AB950" s="2329"/>
      <c r="AC950" s="2326"/>
      <c r="AD950" s="2330">
        <f t="shared" si="664"/>
        <v>0</v>
      </c>
      <c r="AE950" s="2330"/>
      <c r="AF950" s="2330"/>
      <c r="AG950" s="2330">
        <f t="shared" si="672"/>
        <v>0</v>
      </c>
      <c r="AH950" s="2330"/>
      <c r="AI950" s="2330"/>
      <c r="AJ950" s="2330">
        <f t="shared" si="665"/>
        <v>0</v>
      </c>
      <c r="AK950" s="2330"/>
      <c r="AL950" s="2330"/>
      <c r="AM950" s="2331">
        <f t="shared" si="666"/>
        <v>0</v>
      </c>
      <c r="AN950" s="2331"/>
      <c r="AO950" s="2331"/>
      <c r="AP950" s="2331"/>
      <c r="AQ950" s="2332">
        <f t="shared" si="667"/>
        <v>0</v>
      </c>
      <c r="AR950" s="2332"/>
      <c r="AS950" s="2332"/>
      <c r="AT950" s="2332">
        <f t="shared" si="668"/>
        <v>0</v>
      </c>
      <c r="AV950" s="151" t="str">
        <f t="shared" si="661"/>
        <v>APPLIANCES</v>
      </c>
      <c r="AW950" s="681" t="s">
        <v>45</v>
      </c>
      <c r="AX950" s="230"/>
      <c r="AY950" s="230"/>
      <c r="AZ950" s="679"/>
      <c r="BA950" s="49">
        <f t="shared" si="669"/>
        <v>0</v>
      </c>
      <c r="BB950" s="49">
        <f t="shared" si="673"/>
        <v>0</v>
      </c>
      <c r="BC950" s="49">
        <f t="shared" si="674"/>
        <v>0</v>
      </c>
      <c r="BD950" s="49">
        <f t="shared" si="670"/>
        <v>0</v>
      </c>
      <c r="BE950" s="49">
        <f t="shared" si="675"/>
        <v>0</v>
      </c>
      <c r="BF950" s="49">
        <f t="shared" si="662"/>
        <v>0</v>
      </c>
      <c r="BG950" s="49">
        <f t="shared" si="663"/>
        <v>0</v>
      </c>
      <c r="BI950" s="134">
        <f t="shared" si="676"/>
        <v>0</v>
      </c>
      <c r="BJ950" s="134">
        <f t="shared" si="671"/>
        <v>0</v>
      </c>
      <c r="BK950" s="134">
        <f t="shared" si="677"/>
        <v>0</v>
      </c>
    </row>
    <row r="951" spans="1:63" hidden="1">
      <c r="A951" s="187"/>
      <c r="B951" s="2333"/>
      <c r="C951" s="2333"/>
      <c r="D951" s="2337" t="s">
        <v>1530</v>
      </c>
      <c r="E951" s="2337"/>
      <c r="F951" s="2337"/>
      <c r="G951" s="2337"/>
      <c r="H951" s="2337"/>
      <c r="I951" s="2337"/>
      <c r="J951" s="2337"/>
      <c r="K951" s="2337"/>
      <c r="L951" s="2337"/>
      <c r="M951" s="2337"/>
      <c r="N951" s="2337"/>
      <c r="O951" s="2337"/>
      <c r="P951" s="2324"/>
      <c r="Q951" s="2324"/>
      <c r="R951" s="2325"/>
      <c r="S951" s="2324"/>
      <c r="T951" s="2324"/>
      <c r="U951" s="2326"/>
      <c r="V951" s="2327"/>
      <c r="W951" s="2327"/>
      <c r="X951" s="2327"/>
      <c r="Y951" s="2327"/>
      <c r="Z951" s="2327"/>
      <c r="AA951" s="2328"/>
      <c r="AB951" s="2329"/>
      <c r="AC951" s="2326"/>
      <c r="AD951" s="2330">
        <f t="shared" si="664"/>
        <v>0</v>
      </c>
      <c r="AE951" s="2330"/>
      <c r="AF951" s="2330"/>
      <c r="AG951" s="2330">
        <f t="shared" si="672"/>
        <v>0</v>
      </c>
      <c r="AH951" s="2330"/>
      <c r="AI951" s="2330"/>
      <c r="AJ951" s="2330">
        <f t="shared" si="665"/>
        <v>0</v>
      </c>
      <c r="AK951" s="2330"/>
      <c r="AL951" s="2330"/>
      <c r="AM951" s="2331">
        <f t="shared" si="666"/>
        <v>0</v>
      </c>
      <c r="AN951" s="2331"/>
      <c r="AO951" s="2331"/>
      <c r="AP951" s="2331"/>
      <c r="AQ951" s="2332">
        <f t="shared" si="667"/>
        <v>0</v>
      </c>
      <c r="AR951" s="2332"/>
      <c r="AS951" s="2332"/>
      <c r="AT951" s="2332">
        <f t="shared" si="668"/>
        <v>0</v>
      </c>
      <c r="AV951" s="151" t="str">
        <f t="shared" si="661"/>
        <v>APPLIANCES</v>
      </c>
      <c r="AW951" s="681" t="s">
        <v>45</v>
      </c>
      <c r="AX951" s="230"/>
      <c r="AY951" s="230"/>
      <c r="AZ951" s="679"/>
      <c r="BA951" s="49">
        <f t="shared" si="669"/>
        <v>0</v>
      </c>
      <c r="BB951" s="49">
        <f t="shared" si="673"/>
        <v>0</v>
      </c>
      <c r="BC951" s="49">
        <f t="shared" si="674"/>
        <v>0</v>
      </c>
      <c r="BD951" s="49">
        <f t="shared" si="670"/>
        <v>0</v>
      </c>
      <c r="BE951" s="49">
        <f t="shared" si="675"/>
        <v>0</v>
      </c>
      <c r="BF951" s="49">
        <f t="shared" si="662"/>
        <v>0</v>
      </c>
      <c r="BG951" s="49">
        <f t="shared" si="663"/>
        <v>0</v>
      </c>
      <c r="BI951" s="134">
        <f t="shared" si="676"/>
        <v>0</v>
      </c>
      <c r="BJ951" s="134">
        <f t="shared" si="671"/>
        <v>0</v>
      </c>
      <c r="BK951" s="134">
        <f t="shared" si="677"/>
        <v>0</v>
      </c>
    </row>
    <row r="952" spans="1:63" hidden="1">
      <c r="A952" s="187"/>
      <c r="B952" s="2321"/>
      <c r="C952" s="2322"/>
      <c r="D952" s="2318" t="s">
        <v>761</v>
      </c>
      <c r="E952" s="2319"/>
      <c r="F952" s="2319"/>
      <c r="G952" s="2319"/>
      <c r="H952" s="2319"/>
      <c r="I952" s="2319"/>
      <c r="J952" s="2319"/>
      <c r="K952" s="2319"/>
      <c r="L952" s="2319"/>
      <c r="M952" s="2319"/>
      <c r="N952" s="2319"/>
      <c r="O952" s="2320"/>
      <c r="P952" s="2324"/>
      <c r="Q952" s="2324"/>
      <c r="R952" s="2325"/>
      <c r="S952" s="2324" t="s">
        <v>2</v>
      </c>
      <c r="T952" s="2324"/>
      <c r="U952" s="2326"/>
      <c r="V952" s="2327"/>
      <c r="W952" s="2327"/>
      <c r="X952" s="2327">
        <v>750</v>
      </c>
      <c r="Y952" s="2327"/>
      <c r="Z952" s="2327"/>
      <c r="AA952" s="2328"/>
      <c r="AB952" s="2329"/>
      <c r="AC952" s="2326"/>
      <c r="AD952" s="2330">
        <f t="shared" si="664"/>
        <v>0</v>
      </c>
      <c r="AE952" s="2330"/>
      <c r="AF952" s="2330"/>
      <c r="AG952" s="2330">
        <f t="shared" si="672"/>
        <v>0</v>
      </c>
      <c r="AH952" s="2330"/>
      <c r="AI952" s="2330"/>
      <c r="AJ952" s="2330">
        <f t="shared" si="665"/>
        <v>0</v>
      </c>
      <c r="AK952" s="2330"/>
      <c r="AL952" s="2330"/>
      <c r="AM952" s="2331">
        <f t="shared" si="666"/>
        <v>0</v>
      </c>
      <c r="AN952" s="2331"/>
      <c r="AO952" s="2331"/>
      <c r="AP952" s="2331"/>
      <c r="AQ952" s="2332">
        <f t="shared" si="667"/>
        <v>0</v>
      </c>
      <c r="AR952" s="2332"/>
      <c r="AS952" s="2332"/>
      <c r="AT952" s="2332">
        <f t="shared" si="668"/>
        <v>0</v>
      </c>
      <c r="AV952" s="151" t="str">
        <f t="shared" si="661"/>
        <v>APPLIANCES</v>
      </c>
      <c r="AW952" s="681" t="s">
        <v>45</v>
      </c>
      <c r="AX952" s="230"/>
      <c r="AY952" s="230"/>
      <c r="AZ952" s="679"/>
      <c r="BA952" s="49">
        <f t="shared" si="669"/>
        <v>0</v>
      </c>
      <c r="BB952" s="49">
        <f t="shared" si="673"/>
        <v>0</v>
      </c>
      <c r="BC952" s="49">
        <f t="shared" si="674"/>
        <v>0</v>
      </c>
      <c r="BD952" s="49">
        <f t="shared" si="670"/>
        <v>0</v>
      </c>
      <c r="BE952" s="49">
        <f t="shared" si="675"/>
        <v>0</v>
      </c>
      <c r="BF952" s="49">
        <f t="shared" si="662"/>
        <v>0</v>
      </c>
      <c r="BG952" s="49">
        <f t="shared" si="663"/>
        <v>0</v>
      </c>
      <c r="BI952" s="134">
        <f t="shared" si="676"/>
        <v>0</v>
      </c>
      <c r="BJ952" s="134">
        <f t="shared" si="671"/>
        <v>0</v>
      </c>
      <c r="BK952" s="134">
        <f t="shared" si="677"/>
        <v>0</v>
      </c>
    </row>
    <row r="953" spans="1:63" hidden="1">
      <c r="A953" s="187"/>
      <c r="B953" s="2321"/>
      <c r="C953" s="2322"/>
      <c r="D953" s="2318" t="s">
        <v>759</v>
      </c>
      <c r="E953" s="2319"/>
      <c r="F953" s="2319"/>
      <c r="G953" s="2319"/>
      <c r="H953" s="2319"/>
      <c r="I953" s="2319"/>
      <c r="J953" s="2319"/>
      <c r="K953" s="2319"/>
      <c r="L953" s="2319"/>
      <c r="M953" s="2319"/>
      <c r="N953" s="2319"/>
      <c r="O953" s="2320"/>
      <c r="P953" s="2325"/>
      <c r="Q953" s="2339"/>
      <c r="R953" s="2340"/>
      <c r="S953" s="2324" t="s">
        <v>2</v>
      </c>
      <c r="T953" s="2324"/>
      <c r="U953" s="2326"/>
      <c r="V953" s="2327"/>
      <c r="W953" s="2327"/>
      <c r="X953" s="2327">
        <v>375</v>
      </c>
      <c r="Y953" s="2327"/>
      <c r="Z953" s="2327"/>
      <c r="AA953" s="2328"/>
      <c r="AB953" s="2329"/>
      <c r="AC953" s="2326"/>
      <c r="AD953" s="2330">
        <f t="shared" si="664"/>
        <v>0</v>
      </c>
      <c r="AE953" s="2330"/>
      <c r="AF953" s="2330"/>
      <c r="AG953" s="2330">
        <f t="shared" si="672"/>
        <v>0</v>
      </c>
      <c r="AH953" s="2330"/>
      <c r="AI953" s="2330"/>
      <c r="AJ953" s="2330">
        <f t="shared" si="665"/>
        <v>0</v>
      </c>
      <c r="AK953" s="2330"/>
      <c r="AL953" s="2330"/>
      <c r="AM953" s="2331">
        <f t="shared" si="666"/>
        <v>0</v>
      </c>
      <c r="AN953" s="2331"/>
      <c r="AO953" s="2331"/>
      <c r="AP953" s="2331"/>
      <c r="AQ953" s="2332">
        <f t="shared" si="667"/>
        <v>0</v>
      </c>
      <c r="AR953" s="2332"/>
      <c r="AS953" s="2332"/>
      <c r="AT953" s="2332">
        <f t="shared" si="668"/>
        <v>0</v>
      </c>
      <c r="AV953" s="151" t="str">
        <f t="shared" si="661"/>
        <v>APPLIANCES</v>
      </c>
      <c r="AW953" s="681" t="s">
        <v>45</v>
      </c>
      <c r="AX953" s="230"/>
      <c r="AY953" s="230"/>
      <c r="AZ953" s="679"/>
      <c r="BA953" s="49">
        <f t="shared" si="669"/>
        <v>0</v>
      </c>
      <c r="BB953" s="49">
        <f t="shared" si="673"/>
        <v>0</v>
      </c>
      <c r="BC953" s="49">
        <f t="shared" si="674"/>
        <v>0</v>
      </c>
      <c r="BD953" s="49">
        <f t="shared" si="670"/>
        <v>0</v>
      </c>
      <c r="BE953" s="49">
        <f t="shared" si="675"/>
        <v>0</v>
      </c>
      <c r="BF953" s="49">
        <f t="shared" si="662"/>
        <v>0</v>
      </c>
      <c r="BG953" s="49">
        <f t="shared" si="663"/>
        <v>0</v>
      </c>
      <c r="BI953" s="134">
        <f t="shared" si="676"/>
        <v>0</v>
      </c>
      <c r="BJ953" s="134">
        <f t="shared" si="671"/>
        <v>0</v>
      </c>
      <c r="BK953" s="134">
        <f t="shared" si="677"/>
        <v>0</v>
      </c>
    </row>
    <row r="954" spans="1:63" hidden="1">
      <c r="A954" s="187"/>
      <c r="B954" s="2333"/>
      <c r="C954" s="2333"/>
      <c r="D954" s="2318" t="s">
        <v>1532</v>
      </c>
      <c r="E954" s="2319"/>
      <c r="F954" s="2319"/>
      <c r="G954" s="2319"/>
      <c r="H954" s="2319"/>
      <c r="I954" s="2319"/>
      <c r="J954" s="2319"/>
      <c r="K954" s="2319"/>
      <c r="L954" s="2319"/>
      <c r="M954" s="2319"/>
      <c r="N954" s="2319"/>
      <c r="O954" s="2320"/>
      <c r="P954" s="2324"/>
      <c r="Q954" s="2324"/>
      <c r="R954" s="2325"/>
      <c r="S954" s="2324" t="s">
        <v>2</v>
      </c>
      <c r="T954" s="2324"/>
      <c r="U954" s="2326"/>
      <c r="V954" s="2327"/>
      <c r="W954" s="2327"/>
      <c r="X954" s="2327">
        <v>200</v>
      </c>
      <c r="Y954" s="2327"/>
      <c r="Z954" s="2327"/>
      <c r="AA954" s="2328"/>
      <c r="AB954" s="2329"/>
      <c r="AC954" s="2326"/>
      <c r="AD954" s="2330">
        <f t="shared" si="664"/>
        <v>0</v>
      </c>
      <c r="AE954" s="2330"/>
      <c r="AF954" s="2330"/>
      <c r="AG954" s="2330">
        <f t="shared" si="672"/>
        <v>0</v>
      </c>
      <c r="AH954" s="2330"/>
      <c r="AI954" s="2330"/>
      <c r="AJ954" s="2330">
        <f t="shared" si="665"/>
        <v>0</v>
      </c>
      <c r="AK954" s="2330"/>
      <c r="AL954" s="2330"/>
      <c r="AM954" s="2331">
        <f t="shared" si="666"/>
        <v>0</v>
      </c>
      <c r="AN954" s="2331"/>
      <c r="AO954" s="2331"/>
      <c r="AP954" s="2331"/>
      <c r="AQ954" s="2332">
        <f t="shared" si="667"/>
        <v>0</v>
      </c>
      <c r="AR954" s="2332"/>
      <c r="AS954" s="2332"/>
      <c r="AT954" s="2332">
        <f t="shared" si="668"/>
        <v>0</v>
      </c>
      <c r="AV954" s="151" t="str">
        <f t="shared" si="661"/>
        <v>APPLIANCES</v>
      </c>
      <c r="AW954" s="681" t="s">
        <v>45</v>
      </c>
      <c r="AX954" s="230"/>
      <c r="AY954" s="230"/>
      <c r="AZ954" s="679"/>
      <c r="BA954" s="49">
        <f t="shared" si="669"/>
        <v>0</v>
      </c>
      <c r="BB954" s="49">
        <f t="shared" si="673"/>
        <v>0</v>
      </c>
      <c r="BC954" s="49">
        <f t="shared" si="674"/>
        <v>0</v>
      </c>
      <c r="BD954" s="49">
        <f t="shared" si="670"/>
        <v>0</v>
      </c>
      <c r="BE954" s="49">
        <f t="shared" si="675"/>
        <v>0</v>
      </c>
      <c r="BF954" s="49">
        <f t="shared" si="662"/>
        <v>0</v>
      </c>
      <c r="BG954" s="49">
        <f t="shared" si="663"/>
        <v>0</v>
      </c>
      <c r="BI954" s="134">
        <f t="shared" si="676"/>
        <v>0</v>
      </c>
      <c r="BJ954" s="134">
        <f t="shared" si="671"/>
        <v>0</v>
      </c>
      <c r="BK954" s="134">
        <f t="shared" si="677"/>
        <v>0</v>
      </c>
    </row>
    <row r="955" spans="1:63" hidden="1">
      <c r="A955" s="187"/>
      <c r="B955" s="2333"/>
      <c r="C955" s="2333"/>
      <c r="D955" s="2334" t="s">
        <v>763</v>
      </c>
      <c r="E955" s="2334"/>
      <c r="F955" s="2334"/>
      <c r="G955" s="2334"/>
      <c r="H955" s="2334"/>
      <c r="I955" s="2334"/>
      <c r="J955" s="2334"/>
      <c r="K955" s="2334"/>
      <c r="L955" s="2334"/>
      <c r="M955" s="2334"/>
      <c r="N955" s="2334"/>
      <c r="O955" s="2334"/>
      <c r="P955" s="2324"/>
      <c r="Q955" s="2324"/>
      <c r="R955" s="2325"/>
      <c r="S955" s="2324" t="s">
        <v>2</v>
      </c>
      <c r="T955" s="2324"/>
      <c r="U955" s="2326"/>
      <c r="V955" s="2327"/>
      <c r="W955" s="2327"/>
      <c r="X955" s="2327">
        <v>300</v>
      </c>
      <c r="Y955" s="2327"/>
      <c r="Z955" s="2327"/>
      <c r="AA955" s="2328"/>
      <c r="AB955" s="2329"/>
      <c r="AC955" s="2326"/>
      <c r="AD955" s="2330">
        <f t="shared" si="664"/>
        <v>0</v>
      </c>
      <c r="AE955" s="2330"/>
      <c r="AF955" s="2330"/>
      <c r="AG955" s="2330">
        <f t="shared" si="672"/>
        <v>0</v>
      </c>
      <c r="AH955" s="2330"/>
      <c r="AI955" s="2330"/>
      <c r="AJ955" s="2330">
        <f t="shared" si="665"/>
        <v>0</v>
      </c>
      <c r="AK955" s="2330"/>
      <c r="AL955" s="2330"/>
      <c r="AM955" s="2331">
        <f t="shared" si="666"/>
        <v>0</v>
      </c>
      <c r="AN955" s="2331"/>
      <c r="AO955" s="2331"/>
      <c r="AP955" s="2331"/>
      <c r="AQ955" s="2332">
        <f t="shared" si="667"/>
        <v>0</v>
      </c>
      <c r="AR955" s="2332"/>
      <c r="AS955" s="2332"/>
      <c r="AT955" s="2332">
        <f t="shared" si="668"/>
        <v>0</v>
      </c>
      <c r="AV955" s="151" t="str">
        <f t="shared" si="661"/>
        <v>APPLIANCES</v>
      </c>
      <c r="AW955" s="681" t="s">
        <v>45</v>
      </c>
      <c r="AX955" s="230"/>
      <c r="AY955" s="230"/>
      <c r="AZ955" s="679"/>
      <c r="BA955" s="49">
        <f t="shared" si="669"/>
        <v>0</v>
      </c>
      <c r="BB955" s="49">
        <f t="shared" si="673"/>
        <v>0</v>
      </c>
      <c r="BC955" s="49">
        <f t="shared" si="674"/>
        <v>0</v>
      </c>
      <c r="BD955" s="49">
        <f t="shared" si="670"/>
        <v>0</v>
      </c>
      <c r="BE955" s="49">
        <f t="shared" si="675"/>
        <v>0</v>
      </c>
      <c r="BF955" s="49">
        <f t="shared" si="662"/>
        <v>0</v>
      </c>
      <c r="BG955" s="49">
        <f t="shared" si="663"/>
        <v>0</v>
      </c>
      <c r="BI955" s="134">
        <f t="shared" si="676"/>
        <v>0</v>
      </c>
      <c r="BJ955" s="134">
        <f t="shared" si="671"/>
        <v>0</v>
      </c>
      <c r="BK955" s="134">
        <f t="shared" si="677"/>
        <v>0</v>
      </c>
    </row>
    <row r="956" spans="1:63" hidden="1">
      <c r="A956" s="187"/>
      <c r="B956" s="2321"/>
      <c r="C956" s="2322"/>
      <c r="D956" s="2334" t="s">
        <v>1533</v>
      </c>
      <c r="E956" s="2334"/>
      <c r="F956" s="2334"/>
      <c r="G956" s="2334"/>
      <c r="H956" s="2334"/>
      <c r="I956" s="2334"/>
      <c r="J956" s="2334"/>
      <c r="K956" s="2334"/>
      <c r="L956" s="2334"/>
      <c r="M956" s="2334"/>
      <c r="N956" s="2334"/>
      <c r="O956" s="2334"/>
      <c r="P956" s="2324"/>
      <c r="Q956" s="2324"/>
      <c r="R956" s="2325"/>
      <c r="S956" s="2324" t="s">
        <v>2</v>
      </c>
      <c r="T956" s="2324"/>
      <c r="U956" s="2326"/>
      <c r="V956" s="2327"/>
      <c r="W956" s="2327"/>
      <c r="X956" s="2327">
        <v>100</v>
      </c>
      <c r="Y956" s="2327"/>
      <c r="Z956" s="2327"/>
      <c r="AA956" s="2328"/>
      <c r="AB956" s="2329"/>
      <c r="AC956" s="2326"/>
      <c r="AD956" s="2330">
        <f t="shared" si="664"/>
        <v>0</v>
      </c>
      <c r="AE956" s="2330"/>
      <c r="AF956" s="2330"/>
      <c r="AG956" s="2330">
        <f t="shared" si="672"/>
        <v>0</v>
      </c>
      <c r="AH956" s="2330"/>
      <c r="AI956" s="2330"/>
      <c r="AJ956" s="2330">
        <f t="shared" si="665"/>
        <v>0</v>
      </c>
      <c r="AK956" s="2330"/>
      <c r="AL956" s="2330"/>
      <c r="AM956" s="2331">
        <f t="shared" si="666"/>
        <v>0</v>
      </c>
      <c r="AN956" s="2331"/>
      <c r="AO956" s="2331"/>
      <c r="AP956" s="2331"/>
      <c r="AQ956" s="2332">
        <f t="shared" si="667"/>
        <v>0</v>
      </c>
      <c r="AR956" s="2332"/>
      <c r="AS956" s="2332"/>
      <c r="AT956" s="2332">
        <f t="shared" si="668"/>
        <v>0</v>
      </c>
      <c r="AV956" s="151" t="str">
        <f t="shared" si="661"/>
        <v>APPLIANCES</v>
      </c>
      <c r="AW956" s="681" t="s">
        <v>45</v>
      </c>
      <c r="AX956" s="230"/>
      <c r="AY956" s="230"/>
      <c r="AZ956" s="679"/>
      <c r="BA956" s="49">
        <f t="shared" si="669"/>
        <v>0</v>
      </c>
      <c r="BB956" s="49">
        <f t="shared" si="673"/>
        <v>0</v>
      </c>
      <c r="BC956" s="49">
        <f t="shared" si="674"/>
        <v>0</v>
      </c>
      <c r="BD956" s="49">
        <f t="shared" si="670"/>
        <v>0</v>
      </c>
      <c r="BE956" s="49">
        <f t="shared" si="675"/>
        <v>0</v>
      </c>
      <c r="BF956" s="49">
        <f t="shared" si="662"/>
        <v>0</v>
      </c>
      <c r="BG956" s="49">
        <f t="shared" si="663"/>
        <v>0</v>
      </c>
      <c r="BI956" s="134">
        <f t="shared" si="676"/>
        <v>0</v>
      </c>
      <c r="BJ956" s="134">
        <f t="shared" si="671"/>
        <v>0</v>
      </c>
      <c r="BK956" s="134">
        <f t="shared" si="677"/>
        <v>0</v>
      </c>
    </row>
    <row r="957" spans="1:63" hidden="1">
      <c r="A957" s="187"/>
      <c r="B957" s="2321"/>
      <c r="C957" s="2322"/>
      <c r="D957" s="2334" t="s">
        <v>1529</v>
      </c>
      <c r="E957" s="2334"/>
      <c r="F957" s="2334"/>
      <c r="G957" s="2334"/>
      <c r="H957" s="2334"/>
      <c r="I957" s="2334"/>
      <c r="J957" s="2334"/>
      <c r="K957" s="2334"/>
      <c r="L957" s="2334"/>
      <c r="M957" s="2334"/>
      <c r="N957" s="2334"/>
      <c r="O957" s="2334"/>
      <c r="P957" s="2324"/>
      <c r="Q957" s="2324"/>
      <c r="R957" s="2325"/>
      <c r="S957" s="2324" t="s">
        <v>2</v>
      </c>
      <c r="T957" s="2324"/>
      <c r="U957" s="2326"/>
      <c r="V957" s="2327"/>
      <c r="W957" s="2327"/>
      <c r="X957" s="2327">
        <v>75</v>
      </c>
      <c r="Y957" s="2327"/>
      <c r="Z957" s="2327"/>
      <c r="AA957" s="2328"/>
      <c r="AB957" s="2329"/>
      <c r="AC957" s="2326"/>
      <c r="AD957" s="2330">
        <f t="shared" si="664"/>
        <v>0</v>
      </c>
      <c r="AE957" s="2330"/>
      <c r="AF957" s="2330"/>
      <c r="AG957" s="2330">
        <f t="shared" si="672"/>
        <v>0</v>
      </c>
      <c r="AH957" s="2330"/>
      <c r="AI957" s="2330"/>
      <c r="AJ957" s="2330">
        <f t="shared" si="665"/>
        <v>0</v>
      </c>
      <c r="AK957" s="2330"/>
      <c r="AL957" s="2330"/>
      <c r="AM957" s="2331">
        <f t="shared" si="666"/>
        <v>0</v>
      </c>
      <c r="AN957" s="2331"/>
      <c r="AO957" s="2331"/>
      <c r="AP957" s="2331"/>
      <c r="AQ957" s="2332">
        <f t="shared" si="667"/>
        <v>0</v>
      </c>
      <c r="AR957" s="2332"/>
      <c r="AS957" s="2332"/>
      <c r="AT957" s="2332">
        <f t="shared" si="668"/>
        <v>0</v>
      </c>
      <c r="AV957" s="151" t="str">
        <f t="shared" si="661"/>
        <v>APPLIANCES</v>
      </c>
      <c r="AW957" s="681" t="s">
        <v>45</v>
      </c>
      <c r="AX957" s="230"/>
      <c r="AY957" s="230"/>
      <c r="AZ957" s="679"/>
      <c r="BA957" s="49">
        <f t="shared" si="669"/>
        <v>0</v>
      </c>
      <c r="BB957" s="49">
        <f t="shared" si="673"/>
        <v>0</v>
      </c>
      <c r="BC957" s="49">
        <f t="shared" si="674"/>
        <v>0</v>
      </c>
      <c r="BD957" s="49">
        <f t="shared" si="670"/>
        <v>0</v>
      </c>
      <c r="BE957" s="49">
        <f t="shared" si="675"/>
        <v>0</v>
      </c>
      <c r="BF957" s="49">
        <f t="shared" si="662"/>
        <v>0</v>
      </c>
      <c r="BG957" s="49">
        <f t="shared" si="663"/>
        <v>0</v>
      </c>
      <c r="BI957" s="134">
        <f t="shared" si="676"/>
        <v>0</v>
      </c>
      <c r="BJ957" s="134">
        <f t="shared" si="671"/>
        <v>0</v>
      </c>
      <c r="BK957" s="134">
        <f t="shared" si="677"/>
        <v>0</v>
      </c>
    </row>
    <row r="958" spans="1:63" hidden="1">
      <c r="A958" s="187"/>
      <c r="B958" s="2321"/>
      <c r="C958" s="2322"/>
      <c r="D958" s="2334"/>
      <c r="E958" s="2334"/>
      <c r="F958" s="2334"/>
      <c r="G958" s="2334"/>
      <c r="H958" s="2334"/>
      <c r="I958" s="2334"/>
      <c r="J958" s="2334"/>
      <c r="K958" s="2334"/>
      <c r="L958" s="2334"/>
      <c r="M958" s="2334"/>
      <c r="N958" s="2334"/>
      <c r="O958" s="2334"/>
      <c r="P958" s="2324"/>
      <c r="Q958" s="2324"/>
      <c r="R958" s="2325"/>
      <c r="S958" s="2324"/>
      <c r="T958" s="2324"/>
      <c r="U958" s="2326"/>
      <c r="V958" s="2327"/>
      <c r="W958" s="2327"/>
      <c r="X958" s="2327"/>
      <c r="Y958" s="2327"/>
      <c r="Z958" s="2327"/>
      <c r="AA958" s="2328"/>
      <c r="AB958" s="2329"/>
      <c r="AC958" s="2326"/>
      <c r="AD958" s="2330">
        <f t="shared" si="664"/>
        <v>0</v>
      </c>
      <c r="AE958" s="2330"/>
      <c r="AF958" s="2330"/>
      <c r="AG958" s="2330">
        <f t="shared" si="672"/>
        <v>0</v>
      </c>
      <c r="AH958" s="2330"/>
      <c r="AI958" s="2330"/>
      <c r="AJ958" s="2330">
        <f t="shared" si="665"/>
        <v>0</v>
      </c>
      <c r="AK958" s="2330"/>
      <c r="AL958" s="2330"/>
      <c r="AM958" s="2331">
        <f t="shared" si="666"/>
        <v>0</v>
      </c>
      <c r="AN958" s="2331"/>
      <c r="AO958" s="2331"/>
      <c r="AP958" s="2331"/>
      <c r="AQ958" s="2332">
        <f t="shared" si="667"/>
        <v>0</v>
      </c>
      <c r="AR958" s="2332"/>
      <c r="AS958" s="2332"/>
      <c r="AT958" s="2332">
        <f t="shared" si="668"/>
        <v>0</v>
      </c>
      <c r="AV958" s="151" t="str">
        <f t="shared" si="661"/>
        <v>APPLIANCES</v>
      </c>
      <c r="AW958" s="681" t="s">
        <v>45</v>
      </c>
      <c r="AX958" s="230"/>
      <c r="AY958" s="230"/>
      <c r="AZ958" s="679"/>
      <c r="BA958" s="49">
        <f t="shared" si="669"/>
        <v>0</v>
      </c>
      <c r="BB958" s="49">
        <f t="shared" si="673"/>
        <v>0</v>
      </c>
      <c r="BC958" s="49">
        <f t="shared" si="674"/>
        <v>0</v>
      </c>
      <c r="BD958" s="49">
        <f t="shared" si="670"/>
        <v>0</v>
      </c>
      <c r="BE958" s="49">
        <f t="shared" si="675"/>
        <v>0</v>
      </c>
      <c r="BF958" s="49">
        <f t="shared" si="662"/>
        <v>0</v>
      </c>
      <c r="BG958" s="49">
        <f t="shared" si="663"/>
        <v>0</v>
      </c>
      <c r="BI958" s="134">
        <f t="shared" si="676"/>
        <v>0</v>
      </c>
      <c r="BJ958" s="134">
        <f t="shared" si="671"/>
        <v>0</v>
      </c>
      <c r="BK958" s="134">
        <f t="shared" si="677"/>
        <v>0</v>
      </c>
    </row>
    <row r="959" spans="1:63" hidden="1">
      <c r="A959" s="187"/>
      <c r="B959" s="2333"/>
      <c r="C959" s="2333"/>
      <c r="D959" s="2334"/>
      <c r="E959" s="2334"/>
      <c r="F959" s="2334"/>
      <c r="G959" s="2334"/>
      <c r="H959" s="2334"/>
      <c r="I959" s="2334"/>
      <c r="J959" s="2334"/>
      <c r="K959" s="2334"/>
      <c r="L959" s="2334"/>
      <c r="M959" s="2334"/>
      <c r="N959" s="2334"/>
      <c r="O959" s="2334"/>
      <c r="P959" s="2324"/>
      <c r="Q959" s="2324"/>
      <c r="R959" s="2325"/>
      <c r="S959" s="2324"/>
      <c r="T959" s="2324"/>
      <c r="U959" s="2326"/>
      <c r="V959" s="2327"/>
      <c r="W959" s="2327"/>
      <c r="X959" s="2327"/>
      <c r="Y959" s="2327"/>
      <c r="Z959" s="2327"/>
      <c r="AA959" s="2328"/>
      <c r="AB959" s="2329"/>
      <c r="AC959" s="2326"/>
      <c r="AD959" s="2330">
        <f t="shared" si="664"/>
        <v>0</v>
      </c>
      <c r="AE959" s="2330"/>
      <c r="AF959" s="2330"/>
      <c r="AG959" s="2330">
        <f t="shared" si="672"/>
        <v>0</v>
      </c>
      <c r="AH959" s="2330"/>
      <c r="AI959" s="2330"/>
      <c r="AJ959" s="2330">
        <f t="shared" si="665"/>
        <v>0</v>
      </c>
      <c r="AK959" s="2330"/>
      <c r="AL959" s="2330"/>
      <c r="AM959" s="2331">
        <f t="shared" si="666"/>
        <v>0</v>
      </c>
      <c r="AN959" s="2331"/>
      <c r="AO959" s="2331"/>
      <c r="AP959" s="2331"/>
      <c r="AQ959" s="2332">
        <f t="shared" si="667"/>
        <v>0</v>
      </c>
      <c r="AR959" s="2332"/>
      <c r="AS959" s="2332"/>
      <c r="AT959" s="2332">
        <f t="shared" si="668"/>
        <v>0</v>
      </c>
      <c r="AV959" s="151" t="str">
        <f t="shared" si="661"/>
        <v>APPLIANCES</v>
      </c>
      <c r="AW959" s="681" t="s">
        <v>45</v>
      </c>
      <c r="AX959" s="230"/>
      <c r="AY959" s="230"/>
      <c r="AZ959" s="679"/>
      <c r="BA959" s="49">
        <f t="shared" si="669"/>
        <v>0</v>
      </c>
      <c r="BB959" s="49">
        <f t="shared" si="673"/>
        <v>0</v>
      </c>
      <c r="BC959" s="49">
        <f t="shared" si="674"/>
        <v>0</v>
      </c>
      <c r="BD959" s="49">
        <f t="shared" si="670"/>
        <v>0</v>
      </c>
      <c r="BE959" s="49">
        <f t="shared" si="675"/>
        <v>0</v>
      </c>
      <c r="BF959" s="49">
        <f t="shared" si="662"/>
        <v>0</v>
      </c>
      <c r="BG959" s="49">
        <f t="shared" si="663"/>
        <v>0</v>
      </c>
      <c r="BI959" s="134">
        <f t="shared" si="676"/>
        <v>0</v>
      </c>
      <c r="BJ959" s="134">
        <f t="shared" si="671"/>
        <v>0</v>
      </c>
      <c r="BK959" s="134">
        <f t="shared" si="677"/>
        <v>0</v>
      </c>
    </row>
    <row r="960" spans="1:63" hidden="1">
      <c r="A960" s="187"/>
      <c r="B960" s="2333"/>
      <c r="C960" s="2333"/>
      <c r="D960" s="2337" t="s">
        <v>1526</v>
      </c>
      <c r="E960" s="2337"/>
      <c r="F960" s="2337"/>
      <c r="G960" s="2337"/>
      <c r="H960" s="2337"/>
      <c r="I960" s="2337"/>
      <c r="J960" s="2337"/>
      <c r="K960" s="2337"/>
      <c r="L960" s="2337"/>
      <c r="M960" s="2337"/>
      <c r="N960" s="2337"/>
      <c r="O960" s="2337"/>
      <c r="P960" s="2324"/>
      <c r="Q960" s="2324"/>
      <c r="R960" s="2325"/>
      <c r="S960" s="2324"/>
      <c r="T960" s="2324"/>
      <c r="U960" s="2326"/>
      <c r="V960" s="2327"/>
      <c r="W960" s="2327"/>
      <c r="X960" s="2327"/>
      <c r="Y960" s="2327"/>
      <c r="Z960" s="2327"/>
      <c r="AA960" s="2328"/>
      <c r="AB960" s="2329"/>
      <c r="AC960" s="2326"/>
      <c r="AD960" s="2330">
        <f t="shared" si="664"/>
        <v>0</v>
      </c>
      <c r="AE960" s="2330"/>
      <c r="AF960" s="2330"/>
      <c r="AG960" s="2330">
        <f t="shared" si="672"/>
        <v>0</v>
      </c>
      <c r="AH960" s="2330"/>
      <c r="AI960" s="2330"/>
      <c r="AJ960" s="2330">
        <f t="shared" si="665"/>
        <v>0</v>
      </c>
      <c r="AK960" s="2330"/>
      <c r="AL960" s="2330"/>
      <c r="AM960" s="2331">
        <f t="shared" si="666"/>
        <v>0</v>
      </c>
      <c r="AN960" s="2331"/>
      <c r="AO960" s="2331"/>
      <c r="AP960" s="2331"/>
      <c r="AQ960" s="2332">
        <f t="shared" si="667"/>
        <v>0</v>
      </c>
      <c r="AR960" s="2332"/>
      <c r="AS960" s="2332"/>
      <c r="AT960" s="2332">
        <f t="shared" si="668"/>
        <v>0</v>
      </c>
      <c r="AV960" s="151" t="str">
        <f t="shared" si="661"/>
        <v>APPLIANCES</v>
      </c>
      <c r="AW960" s="681" t="s">
        <v>45</v>
      </c>
      <c r="AX960" s="230"/>
      <c r="AY960" s="230"/>
      <c r="AZ960" s="679"/>
      <c r="BA960" s="49">
        <f t="shared" si="669"/>
        <v>0</v>
      </c>
      <c r="BB960" s="49">
        <f t="shared" si="673"/>
        <v>0</v>
      </c>
      <c r="BC960" s="49">
        <f t="shared" si="674"/>
        <v>0</v>
      </c>
      <c r="BD960" s="49">
        <f t="shared" si="670"/>
        <v>0</v>
      </c>
      <c r="BE960" s="49">
        <f t="shared" si="675"/>
        <v>0</v>
      </c>
      <c r="BF960" s="49">
        <f t="shared" si="662"/>
        <v>0</v>
      </c>
      <c r="BG960" s="49">
        <f t="shared" si="663"/>
        <v>0</v>
      </c>
      <c r="BI960" s="134">
        <f t="shared" si="676"/>
        <v>0</v>
      </c>
      <c r="BJ960" s="134">
        <f t="shared" si="671"/>
        <v>0</v>
      </c>
      <c r="BK960" s="134">
        <f t="shared" si="677"/>
        <v>0</v>
      </c>
    </row>
    <row r="961" spans="1:63" hidden="1">
      <c r="A961" s="187"/>
      <c r="B961" s="2321"/>
      <c r="C961" s="2322"/>
      <c r="D961" s="2318" t="s">
        <v>762</v>
      </c>
      <c r="E961" s="2319"/>
      <c r="F961" s="2319"/>
      <c r="G961" s="2319"/>
      <c r="H961" s="2319"/>
      <c r="I961" s="2319"/>
      <c r="J961" s="2319"/>
      <c r="K961" s="2319"/>
      <c r="L961" s="2319"/>
      <c r="M961" s="2319"/>
      <c r="N961" s="2319"/>
      <c r="O961" s="2320"/>
      <c r="P961" s="2324"/>
      <c r="Q961" s="2324"/>
      <c r="R961" s="2325"/>
      <c r="S961" s="2324" t="s">
        <v>2</v>
      </c>
      <c r="T961" s="2324"/>
      <c r="U961" s="2326"/>
      <c r="V961" s="2327"/>
      <c r="W961" s="2327"/>
      <c r="X961" s="2327">
        <v>1150</v>
      </c>
      <c r="Y961" s="2327"/>
      <c r="Z961" s="2327"/>
      <c r="AA961" s="2328"/>
      <c r="AB961" s="2329"/>
      <c r="AC961" s="2326"/>
      <c r="AD961" s="2330">
        <f t="shared" si="664"/>
        <v>0</v>
      </c>
      <c r="AE961" s="2330"/>
      <c r="AF961" s="2330"/>
      <c r="AG961" s="2330">
        <f t="shared" si="672"/>
        <v>0</v>
      </c>
      <c r="AH961" s="2330"/>
      <c r="AI961" s="2330"/>
      <c r="AJ961" s="2330">
        <f t="shared" si="665"/>
        <v>0</v>
      </c>
      <c r="AK961" s="2330"/>
      <c r="AL961" s="2330"/>
      <c r="AM961" s="2331">
        <f t="shared" si="666"/>
        <v>0</v>
      </c>
      <c r="AN961" s="2331"/>
      <c r="AO961" s="2331"/>
      <c r="AP961" s="2331"/>
      <c r="AQ961" s="2332">
        <f t="shared" si="667"/>
        <v>0</v>
      </c>
      <c r="AR961" s="2332"/>
      <c r="AS961" s="2332"/>
      <c r="AT961" s="2332">
        <f t="shared" si="668"/>
        <v>0</v>
      </c>
      <c r="AV961" s="151" t="str">
        <f t="shared" si="661"/>
        <v>APPLIANCES</v>
      </c>
      <c r="AW961" s="681"/>
      <c r="AX961" s="230"/>
      <c r="AY961" s="230"/>
      <c r="AZ961" s="679"/>
      <c r="BA961" s="49">
        <f t="shared" si="669"/>
        <v>0</v>
      </c>
      <c r="BB961" s="49">
        <f t="shared" si="673"/>
        <v>0</v>
      </c>
      <c r="BC961" s="49">
        <f t="shared" si="674"/>
        <v>0</v>
      </c>
      <c r="BD961" s="49">
        <f t="shared" si="670"/>
        <v>0</v>
      </c>
      <c r="BE961" s="49">
        <f>SUM(BA961:BC961)</f>
        <v>0</v>
      </c>
      <c r="BF961" s="49">
        <f t="shared" si="662"/>
        <v>0</v>
      </c>
      <c r="BG961" s="49">
        <f t="shared" si="663"/>
        <v>0</v>
      </c>
      <c r="BI961" s="134">
        <f t="shared" si="676"/>
        <v>0</v>
      </c>
      <c r="BJ961" s="134">
        <f t="shared" si="671"/>
        <v>0</v>
      </c>
      <c r="BK961" s="134">
        <f t="shared" si="677"/>
        <v>0</v>
      </c>
    </row>
    <row r="962" spans="1:63" hidden="1">
      <c r="A962" s="187"/>
      <c r="B962" s="2321"/>
      <c r="C962" s="2322"/>
      <c r="D962" s="2318" t="s">
        <v>760</v>
      </c>
      <c r="E962" s="2319"/>
      <c r="F962" s="2319"/>
      <c r="G962" s="2319"/>
      <c r="H962" s="2319"/>
      <c r="I962" s="2319"/>
      <c r="J962" s="2319"/>
      <c r="K962" s="2319"/>
      <c r="L962" s="2319"/>
      <c r="M962" s="2319"/>
      <c r="N962" s="2319"/>
      <c r="O962" s="2320"/>
      <c r="P962" s="2324"/>
      <c r="Q962" s="2324"/>
      <c r="R962" s="2325"/>
      <c r="S962" s="2324" t="s">
        <v>2</v>
      </c>
      <c r="T962" s="2324"/>
      <c r="U962" s="2326"/>
      <c r="V962" s="2327"/>
      <c r="W962" s="2327"/>
      <c r="X962" s="2327">
        <v>750</v>
      </c>
      <c r="Y962" s="2327"/>
      <c r="Z962" s="2327"/>
      <c r="AA962" s="2328"/>
      <c r="AB962" s="2329"/>
      <c r="AC962" s="2326"/>
      <c r="AD962" s="2330">
        <f t="shared" si="664"/>
        <v>0</v>
      </c>
      <c r="AE962" s="2330"/>
      <c r="AF962" s="2330"/>
      <c r="AG962" s="2330">
        <f t="shared" si="672"/>
        <v>0</v>
      </c>
      <c r="AH962" s="2330"/>
      <c r="AI962" s="2330"/>
      <c r="AJ962" s="2330">
        <f t="shared" si="665"/>
        <v>0</v>
      </c>
      <c r="AK962" s="2330"/>
      <c r="AL962" s="2330"/>
      <c r="AM962" s="2331">
        <f t="shared" si="666"/>
        <v>0</v>
      </c>
      <c r="AN962" s="2331"/>
      <c r="AO962" s="2331"/>
      <c r="AP962" s="2331"/>
      <c r="AQ962" s="2332">
        <f t="shared" si="667"/>
        <v>0</v>
      </c>
      <c r="AR962" s="2332"/>
      <c r="AS962" s="2332"/>
      <c r="AT962" s="2332">
        <f t="shared" si="668"/>
        <v>0</v>
      </c>
      <c r="AV962" s="151" t="str">
        <f t="shared" si="661"/>
        <v>APPLIANCES</v>
      </c>
      <c r="AW962" s="681"/>
      <c r="AX962" s="230"/>
      <c r="AY962" s="230"/>
      <c r="AZ962" s="679"/>
      <c r="BA962" s="49">
        <f t="shared" si="669"/>
        <v>0</v>
      </c>
      <c r="BB962" s="49">
        <f t="shared" si="673"/>
        <v>0</v>
      </c>
      <c r="BC962" s="49">
        <f t="shared" si="674"/>
        <v>0</v>
      </c>
      <c r="BD962" s="49">
        <f t="shared" si="670"/>
        <v>0</v>
      </c>
      <c r="BE962" s="49">
        <f>SUM(BA962:BC962)</f>
        <v>0</v>
      </c>
      <c r="BF962" s="49">
        <f t="shared" si="662"/>
        <v>0</v>
      </c>
      <c r="BG962" s="49">
        <f t="shared" si="663"/>
        <v>0</v>
      </c>
      <c r="BI962" s="134">
        <f t="shared" si="676"/>
        <v>0</v>
      </c>
      <c r="BJ962" s="134">
        <f t="shared" si="671"/>
        <v>0</v>
      </c>
      <c r="BK962" s="134">
        <f t="shared" si="677"/>
        <v>0</v>
      </c>
    </row>
    <row r="963" spans="1:63" hidden="1">
      <c r="A963" s="187"/>
      <c r="B963" s="2321"/>
      <c r="C963" s="2322"/>
      <c r="D963" s="2318" t="s">
        <v>1527</v>
      </c>
      <c r="E963" s="2319"/>
      <c r="F963" s="2319"/>
      <c r="G963" s="2319"/>
      <c r="H963" s="2319"/>
      <c r="I963" s="2319"/>
      <c r="J963" s="2319"/>
      <c r="K963" s="2319"/>
      <c r="L963" s="2319"/>
      <c r="M963" s="2319"/>
      <c r="N963" s="2319"/>
      <c r="O963" s="2320"/>
      <c r="P963" s="2324"/>
      <c r="Q963" s="2324"/>
      <c r="R963" s="2325"/>
      <c r="S963" s="2324" t="s">
        <v>2</v>
      </c>
      <c r="T963" s="2324"/>
      <c r="U963" s="2326"/>
      <c r="V963" s="2327"/>
      <c r="W963" s="2327"/>
      <c r="X963" s="2327">
        <v>350</v>
      </c>
      <c r="Y963" s="2327"/>
      <c r="Z963" s="2327"/>
      <c r="AA963" s="2328"/>
      <c r="AB963" s="2329"/>
      <c r="AC963" s="2326"/>
      <c r="AD963" s="2330">
        <f t="shared" ref="AD963:AD982" si="678">((P963*U963)-AM963)</f>
        <v>0</v>
      </c>
      <c r="AE963" s="2330"/>
      <c r="AF963" s="2330"/>
      <c r="AG963" s="2330">
        <f t="shared" si="672"/>
        <v>0</v>
      </c>
      <c r="AH963" s="2330"/>
      <c r="AI963" s="2330"/>
      <c r="AJ963" s="2330">
        <f t="shared" ref="AJ963:AJ982" si="679">P963*AA963</f>
        <v>0</v>
      </c>
      <c r="AK963" s="2330"/>
      <c r="AL963" s="2330"/>
      <c r="AM963" s="2331">
        <f t="shared" si="666"/>
        <v>0</v>
      </c>
      <c r="AN963" s="2331"/>
      <c r="AO963" s="2331"/>
      <c r="AP963" s="2331"/>
      <c r="AQ963" s="2332">
        <f t="shared" ref="AQ963:AQ982" si="680">SUM(AD963:AL963)</f>
        <v>0</v>
      </c>
      <c r="AR963" s="2332"/>
      <c r="AS963" s="2332"/>
      <c r="AT963" s="2332">
        <f t="shared" ref="AT963:AT982" si="681">SUM(AD963:AL963)</f>
        <v>0</v>
      </c>
      <c r="AV963" s="151" t="str">
        <f t="shared" si="661"/>
        <v>APPLIANCES</v>
      </c>
      <c r="AW963" s="681"/>
      <c r="AX963" s="230"/>
      <c r="AY963" s="230"/>
      <c r="AZ963" s="679"/>
      <c r="BA963" s="49">
        <f t="shared" ref="BA963:BA982" si="682">AD963</f>
        <v>0</v>
      </c>
      <c r="BB963" s="49">
        <f>AG963</f>
        <v>0</v>
      </c>
      <c r="BC963" s="49">
        <f>AJ963</f>
        <v>0</v>
      </c>
      <c r="BD963" s="49">
        <f t="shared" ref="BD963:BD982" si="683">IF(B963="x",1,0)</f>
        <v>0</v>
      </c>
      <c r="BE963" s="49">
        <f>SUM(BA963:BC963)</f>
        <v>0</v>
      </c>
      <c r="BF963" s="49">
        <f t="shared" ref="BF963:BF982" si="684">AQ963</f>
        <v>0</v>
      </c>
      <c r="BG963" s="49">
        <f t="shared" ref="BG963:BG982" si="685">AM963</f>
        <v>0</v>
      </c>
      <c r="BI963" s="134">
        <f>AD963</f>
        <v>0</v>
      </c>
      <c r="BJ963" s="134">
        <f t="shared" ref="BJ963:BJ982" si="686">AM963</f>
        <v>0</v>
      </c>
      <c r="BK963" s="134">
        <f>BJ963+BI963</f>
        <v>0</v>
      </c>
    </row>
    <row r="964" spans="1:63" hidden="1">
      <c r="A964" s="187"/>
      <c r="B964" s="2321"/>
      <c r="C964" s="2322"/>
      <c r="D964" s="2334" t="s">
        <v>764</v>
      </c>
      <c r="E964" s="2334"/>
      <c r="F964" s="2334"/>
      <c r="G964" s="2334"/>
      <c r="H964" s="2334"/>
      <c r="I964" s="2334"/>
      <c r="J964" s="2334"/>
      <c r="K964" s="2334"/>
      <c r="L964" s="2334"/>
      <c r="M964" s="2334"/>
      <c r="N964" s="2334"/>
      <c r="O964" s="2334"/>
      <c r="P964" s="2324"/>
      <c r="Q964" s="2324"/>
      <c r="R964" s="2325"/>
      <c r="S964" s="2324" t="s">
        <v>2</v>
      </c>
      <c r="T964" s="2324"/>
      <c r="U964" s="2326"/>
      <c r="V964" s="2327"/>
      <c r="W964" s="2327"/>
      <c r="X964" s="2327">
        <v>500</v>
      </c>
      <c r="Y964" s="2327"/>
      <c r="Z964" s="2327"/>
      <c r="AA964" s="2328"/>
      <c r="AB964" s="2329"/>
      <c r="AC964" s="2326"/>
      <c r="AD964" s="2330">
        <f t="shared" si="678"/>
        <v>0</v>
      </c>
      <c r="AE964" s="2330"/>
      <c r="AF964" s="2330"/>
      <c r="AG964" s="2330">
        <f t="shared" si="672"/>
        <v>0</v>
      </c>
      <c r="AH964" s="2330"/>
      <c r="AI964" s="2330"/>
      <c r="AJ964" s="2330">
        <f t="shared" si="679"/>
        <v>0</v>
      </c>
      <c r="AK964" s="2330"/>
      <c r="AL964" s="2330"/>
      <c r="AM964" s="2331">
        <f t="shared" si="666"/>
        <v>0</v>
      </c>
      <c r="AN964" s="2331"/>
      <c r="AO964" s="2331"/>
      <c r="AP964" s="2331"/>
      <c r="AQ964" s="2332">
        <f t="shared" si="680"/>
        <v>0</v>
      </c>
      <c r="AR964" s="2332"/>
      <c r="AS964" s="2332"/>
      <c r="AT964" s="2332">
        <f t="shared" si="681"/>
        <v>0</v>
      </c>
      <c r="AV964" s="151" t="str">
        <f t="shared" si="661"/>
        <v>APPLIANCES</v>
      </c>
      <c r="AW964" s="681"/>
      <c r="AX964" s="230"/>
      <c r="AY964" s="230"/>
      <c r="AZ964" s="679"/>
      <c r="BA964" s="49">
        <f t="shared" si="682"/>
        <v>0</v>
      </c>
      <c r="BB964" s="49">
        <f t="shared" ref="BB964:BB982" si="687">AG964</f>
        <v>0</v>
      </c>
      <c r="BC964" s="49">
        <f t="shared" ref="BC964:BC982" si="688">AJ964</f>
        <v>0</v>
      </c>
      <c r="BD964" s="49">
        <f t="shared" si="683"/>
        <v>0</v>
      </c>
      <c r="BE964" s="49">
        <f t="shared" ref="BE964:BE980" si="689">SUM(BA964:BC964)</f>
        <v>0</v>
      </c>
      <c r="BF964" s="49">
        <f t="shared" si="684"/>
        <v>0</v>
      </c>
      <c r="BG964" s="49">
        <f t="shared" si="685"/>
        <v>0</v>
      </c>
      <c r="BI964" s="134">
        <f t="shared" ref="BI964:BI982" si="690">AD964</f>
        <v>0</v>
      </c>
      <c r="BJ964" s="134">
        <f t="shared" si="686"/>
        <v>0</v>
      </c>
      <c r="BK964" s="134">
        <f t="shared" ref="BK964:BK982" si="691">BJ964+BI964</f>
        <v>0</v>
      </c>
    </row>
    <row r="965" spans="1:63" hidden="1">
      <c r="A965" s="187"/>
      <c r="B965" s="2333"/>
      <c r="C965" s="2333"/>
      <c r="D965" s="2334" t="s">
        <v>1528</v>
      </c>
      <c r="E965" s="2334"/>
      <c r="F965" s="2334"/>
      <c r="G965" s="2334"/>
      <c r="H965" s="2334"/>
      <c r="I965" s="2334"/>
      <c r="J965" s="2334"/>
      <c r="K965" s="2334"/>
      <c r="L965" s="2334"/>
      <c r="M965" s="2334"/>
      <c r="N965" s="2334"/>
      <c r="O965" s="2334"/>
      <c r="P965" s="2324"/>
      <c r="Q965" s="2324"/>
      <c r="R965" s="2325"/>
      <c r="S965" s="2324" t="s">
        <v>2</v>
      </c>
      <c r="T965" s="2324"/>
      <c r="U965" s="2326"/>
      <c r="V965" s="2327"/>
      <c r="W965" s="2327"/>
      <c r="X965" s="2327">
        <v>175</v>
      </c>
      <c r="Y965" s="2327"/>
      <c r="Z965" s="2327"/>
      <c r="AA965" s="2328"/>
      <c r="AB965" s="2329"/>
      <c r="AC965" s="2326"/>
      <c r="AD965" s="2330">
        <f t="shared" si="678"/>
        <v>0</v>
      </c>
      <c r="AE965" s="2330"/>
      <c r="AF965" s="2330"/>
      <c r="AG965" s="2330">
        <f t="shared" si="672"/>
        <v>0</v>
      </c>
      <c r="AH965" s="2330"/>
      <c r="AI965" s="2330"/>
      <c r="AJ965" s="2330">
        <f t="shared" si="679"/>
        <v>0</v>
      </c>
      <c r="AK965" s="2330"/>
      <c r="AL965" s="2330"/>
      <c r="AM965" s="2331">
        <f t="shared" si="666"/>
        <v>0</v>
      </c>
      <c r="AN965" s="2331"/>
      <c r="AO965" s="2331"/>
      <c r="AP965" s="2331"/>
      <c r="AQ965" s="2332">
        <f t="shared" si="680"/>
        <v>0</v>
      </c>
      <c r="AR965" s="2332"/>
      <c r="AS965" s="2332"/>
      <c r="AT965" s="2332">
        <f t="shared" si="681"/>
        <v>0</v>
      </c>
      <c r="AV965" s="151" t="str">
        <f t="shared" si="661"/>
        <v>APPLIANCES</v>
      </c>
      <c r="AW965" s="681"/>
      <c r="AX965" s="230"/>
      <c r="AY965" s="230"/>
      <c r="AZ965" s="679"/>
      <c r="BA965" s="49">
        <f t="shared" si="682"/>
        <v>0</v>
      </c>
      <c r="BB965" s="49">
        <f t="shared" si="687"/>
        <v>0</v>
      </c>
      <c r="BC965" s="49">
        <f t="shared" si="688"/>
        <v>0</v>
      </c>
      <c r="BD965" s="49">
        <f t="shared" si="683"/>
        <v>0</v>
      </c>
      <c r="BE965" s="49">
        <f t="shared" si="689"/>
        <v>0</v>
      </c>
      <c r="BF965" s="49">
        <f t="shared" si="684"/>
        <v>0</v>
      </c>
      <c r="BG965" s="49">
        <f t="shared" si="685"/>
        <v>0</v>
      </c>
      <c r="BI965" s="134">
        <f t="shared" si="690"/>
        <v>0</v>
      </c>
      <c r="BJ965" s="134">
        <f t="shared" si="686"/>
        <v>0</v>
      </c>
      <c r="BK965" s="134">
        <f t="shared" si="691"/>
        <v>0</v>
      </c>
    </row>
    <row r="966" spans="1:63" hidden="1">
      <c r="A966" s="187"/>
      <c r="B966" s="2333"/>
      <c r="C966" s="2333"/>
      <c r="D966" s="2334" t="s">
        <v>1529</v>
      </c>
      <c r="E966" s="2334"/>
      <c r="F966" s="2334"/>
      <c r="G966" s="2334"/>
      <c r="H966" s="2334"/>
      <c r="I966" s="2334"/>
      <c r="J966" s="2334"/>
      <c r="K966" s="2334"/>
      <c r="L966" s="2334"/>
      <c r="M966" s="2334"/>
      <c r="N966" s="2334"/>
      <c r="O966" s="2334"/>
      <c r="P966" s="2324"/>
      <c r="Q966" s="2324"/>
      <c r="R966" s="2325"/>
      <c r="S966" s="2324" t="s">
        <v>2</v>
      </c>
      <c r="T966" s="2324"/>
      <c r="U966" s="2326"/>
      <c r="V966" s="2327"/>
      <c r="W966" s="2327"/>
      <c r="X966" s="2327">
        <v>75</v>
      </c>
      <c r="Y966" s="2327"/>
      <c r="Z966" s="2327"/>
      <c r="AA966" s="2328"/>
      <c r="AB966" s="2329"/>
      <c r="AC966" s="2326"/>
      <c r="AD966" s="2330">
        <f t="shared" si="678"/>
        <v>0</v>
      </c>
      <c r="AE966" s="2330"/>
      <c r="AF966" s="2330"/>
      <c r="AG966" s="2330">
        <f t="shared" si="672"/>
        <v>0</v>
      </c>
      <c r="AH966" s="2330"/>
      <c r="AI966" s="2330"/>
      <c r="AJ966" s="2330">
        <f t="shared" si="679"/>
        <v>0</v>
      </c>
      <c r="AK966" s="2330"/>
      <c r="AL966" s="2330"/>
      <c r="AM966" s="2331">
        <f t="shared" si="666"/>
        <v>0</v>
      </c>
      <c r="AN966" s="2331"/>
      <c r="AO966" s="2331"/>
      <c r="AP966" s="2331"/>
      <c r="AQ966" s="2332">
        <f t="shared" si="680"/>
        <v>0</v>
      </c>
      <c r="AR966" s="2332"/>
      <c r="AS966" s="2332"/>
      <c r="AT966" s="2332">
        <f t="shared" si="681"/>
        <v>0</v>
      </c>
      <c r="AV966" s="151" t="str">
        <f t="shared" si="661"/>
        <v>APPLIANCES</v>
      </c>
      <c r="AW966" s="681"/>
      <c r="AX966" s="230"/>
      <c r="AY966" s="230"/>
      <c r="AZ966" s="679"/>
      <c r="BA966" s="49">
        <f t="shared" si="682"/>
        <v>0</v>
      </c>
      <c r="BB966" s="49">
        <f t="shared" si="687"/>
        <v>0</v>
      </c>
      <c r="BC966" s="49">
        <f t="shared" si="688"/>
        <v>0</v>
      </c>
      <c r="BD966" s="49">
        <f t="shared" si="683"/>
        <v>0</v>
      </c>
      <c r="BE966" s="49">
        <f t="shared" si="689"/>
        <v>0</v>
      </c>
      <c r="BF966" s="49">
        <f t="shared" si="684"/>
        <v>0</v>
      </c>
      <c r="BG966" s="49">
        <f t="shared" si="685"/>
        <v>0</v>
      </c>
      <c r="BI966" s="134">
        <f t="shared" si="690"/>
        <v>0</v>
      </c>
      <c r="BJ966" s="134">
        <f t="shared" si="686"/>
        <v>0</v>
      </c>
      <c r="BK966" s="134">
        <f t="shared" si="691"/>
        <v>0</v>
      </c>
    </row>
    <row r="967" spans="1:63" hidden="1">
      <c r="A967" s="187"/>
      <c r="B967" s="2321"/>
      <c r="C967" s="2322"/>
      <c r="D967" s="2334"/>
      <c r="E967" s="2334"/>
      <c r="F967" s="2334"/>
      <c r="G967" s="2334"/>
      <c r="H967" s="2334"/>
      <c r="I967" s="2334"/>
      <c r="J967" s="2334"/>
      <c r="K967" s="2334"/>
      <c r="L967" s="2334"/>
      <c r="M967" s="2334"/>
      <c r="N967" s="2334"/>
      <c r="O967" s="2334"/>
      <c r="P967" s="2324"/>
      <c r="Q967" s="2324"/>
      <c r="R967" s="2325"/>
      <c r="S967" s="2324"/>
      <c r="T967" s="2324"/>
      <c r="U967" s="2326"/>
      <c r="V967" s="2327"/>
      <c r="W967" s="2327"/>
      <c r="X967" s="2327"/>
      <c r="Y967" s="2327"/>
      <c r="Z967" s="2327"/>
      <c r="AA967" s="2328"/>
      <c r="AB967" s="2329"/>
      <c r="AC967" s="2326"/>
      <c r="AD967" s="2330">
        <f t="shared" si="678"/>
        <v>0</v>
      </c>
      <c r="AE967" s="2330"/>
      <c r="AF967" s="2330"/>
      <c r="AG967" s="2330">
        <f t="shared" si="672"/>
        <v>0</v>
      </c>
      <c r="AH967" s="2330"/>
      <c r="AI967" s="2330"/>
      <c r="AJ967" s="2330">
        <f t="shared" si="679"/>
        <v>0</v>
      </c>
      <c r="AK967" s="2330"/>
      <c r="AL967" s="2330"/>
      <c r="AM967" s="2331">
        <f t="shared" si="666"/>
        <v>0</v>
      </c>
      <c r="AN967" s="2331"/>
      <c r="AO967" s="2331"/>
      <c r="AP967" s="2331"/>
      <c r="AQ967" s="2332">
        <f t="shared" si="680"/>
        <v>0</v>
      </c>
      <c r="AR967" s="2332"/>
      <c r="AS967" s="2332"/>
      <c r="AT967" s="2332">
        <f t="shared" si="681"/>
        <v>0</v>
      </c>
      <c r="AV967" s="151" t="str">
        <f t="shared" si="661"/>
        <v>APPLIANCES</v>
      </c>
      <c r="AW967" s="681"/>
      <c r="AX967" s="230"/>
      <c r="AY967" s="230"/>
      <c r="AZ967" s="679"/>
      <c r="BA967" s="49">
        <f t="shared" si="682"/>
        <v>0</v>
      </c>
      <c r="BB967" s="49">
        <f t="shared" si="687"/>
        <v>0</v>
      </c>
      <c r="BC967" s="49">
        <f t="shared" si="688"/>
        <v>0</v>
      </c>
      <c r="BD967" s="49">
        <f t="shared" si="683"/>
        <v>0</v>
      </c>
      <c r="BE967" s="49">
        <f t="shared" si="689"/>
        <v>0</v>
      </c>
      <c r="BF967" s="49">
        <f t="shared" si="684"/>
        <v>0</v>
      </c>
      <c r="BG967" s="49">
        <f t="shared" si="685"/>
        <v>0</v>
      </c>
      <c r="BI967" s="134">
        <f t="shared" si="690"/>
        <v>0</v>
      </c>
      <c r="BJ967" s="134">
        <f t="shared" si="686"/>
        <v>0</v>
      </c>
      <c r="BK967" s="134">
        <f t="shared" si="691"/>
        <v>0</v>
      </c>
    </row>
    <row r="968" spans="1:63" hidden="1">
      <c r="A968" s="187"/>
      <c r="B968" s="2321"/>
      <c r="C968" s="2322"/>
      <c r="D968" s="2334"/>
      <c r="E968" s="2334"/>
      <c r="F968" s="2334"/>
      <c r="G968" s="2334"/>
      <c r="H968" s="2334"/>
      <c r="I968" s="2334"/>
      <c r="J968" s="2334"/>
      <c r="K968" s="2334"/>
      <c r="L968" s="2334"/>
      <c r="M968" s="2334"/>
      <c r="N968" s="2334"/>
      <c r="O968" s="2334"/>
      <c r="P968" s="2324"/>
      <c r="Q968" s="2324"/>
      <c r="R968" s="2325"/>
      <c r="S968" s="2324"/>
      <c r="T968" s="2324"/>
      <c r="U968" s="2326"/>
      <c r="V968" s="2327"/>
      <c r="W968" s="2327"/>
      <c r="X968" s="2327"/>
      <c r="Y968" s="2327"/>
      <c r="Z968" s="2327"/>
      <c r="AA968" s="2328"/>
      <c r="AB968" s="2329"/>
      <c r="AC968" s="2326"/>
      <c r="AD968" s="2330">
        <f t="shared" si="678"/>
        <v>0</v>
      </c>
      <c r="AE968" s="2330"/>
      <c r="AF968" s="2330"/>
      <c r="AG968" s="2330">
        <f t="shared" si="672"/>
        <v>0</v>
      </c>
      <c r="AH968" s="2330"/>
      <c r="AI968" s="2330"/>
      <c r="AJ968" s="2330">
        <f t="shared" si="679"/>
        <v>0</v>
      </c>
      <c r="AK968" s="2330"/>
      <c r="AL968" s="2330"/>
      <c r="AM968" s="2331">
        <f t="shared" si="666"/>
        <v>0</v>
      </c>
      <c r="AN968" s="2331"/>
      <c r="AO968" s="2331"/>
      <c r="AP968" s="2331"/>
      <c r="AQ968" s="2332">
        <f t="shared" si="680"/>
        <v>0</v>
      </c>
      <c r="AR968" s="2332"/>
      <c r="AS968" s="2332"/>
      <c r="AT968" s="2332">
        <f t="shared" si="681"/>
        <v>0</v>
      </c>
      <c r="AV968" s="151" t="str">
        <f t="shared" si="661"/>
        <v>APPLIANCES</v>
      </c>
      <c r="AW968" s="681"/>
      <c r="AX968" s="230"/>
      <c r="AY968" s="230"/>
      <c r="AZ968" s="679"/>
      <c r="BA968" s="49">
        <f t="shared" si="682"/>
        <v>0</v>
      </c>
      <c r="BB968" s="49">
        <f t="shared" si="687"/>
        <v>0</v>
      </c>
      <c r="BC968" s="49">
        <f t="shared" si="688"/>
        <v>0</v>
      </c>
      <c r="BD968" s="49">
        <f t="shared" si="683"/>
        <v>0</v>
      </c>
      <c r="BE968" s="49">
        <f t="shared" si="689"/>
        <v>0</v>
      </c>
      <c r="BF968" s="49">
        <f t="shared" si="684"/>
        <v>0</v>
      </c>
      <c r="BG968" s="49">
        <f t="shared" si="685"/>
        <v>0</v>
      </c>
      <c r="BI968" s="134">
        <f t="shared" si="690"/>
        <v>0</v>
      </c>
      <c r="BJ968" s="134">
        <f t="shared" si="686"/>
        <v>0</v>
      </c>
      <c r="BK968" s="134">
        <f t="shared" si="691"/>
        <v>0</v>
      </c>
    </row>
    <row r="969" spans="1:63" hidden="1">
      <c r="A969" s="187"/>
      <c r="B969" s="2321"/>
      <c r="C969" s="2322"/>
      <c r="D969" s="2337" t="s">
        <v>1534</v>
      </c>
      <c r="E969" s="2337"/>
      <c r="F969" s="2337"/>
      <c r="G969" s="2337"/>
      <c r="H969" s="2337"/>
      <c r="I969" s="2337"/>
      <c r="J969" s="2337"/>
      <c r="K969" s="2337"/>
      <c r="L969" s="2337"/>
      <c r="M969" s="2337"/>
      <c r="N969" s="2337"/>
      <c r="O969" s="2337"/>
      <c r="P969" s="2324"/>
      <c r="Q969" s="2324"/>
      <c r="R969" s="2325"/>
      <c r="S969" s="2324"/>
      <c r="T969" s="2324"/>
      <c r="U969" s="2326"/>
      <c r="V969" s="2327"/>
      <c r="W969" s="2327"/>
      <c r="X969" s="2327"/>
      <c r="Y969" s="2327"/>
      <c r="Z969" s="2327"/>
      <c r="AA969" s="2328"/>
      <c r="AB969" s="2329"/>
      <c r="AC969" s="2326"/>
      <c r="AD969" s="2330">
        <f t="shared" si="678"/>
        <v>0</v>
      </c>
      <c r="AE969" s="2330"/>
      <c r="AF969" s="2330"/>
      <c r="AG969" s="2330">
        <f t="shared" si="672"/>
        <v>0</v>
      </c>
      <c r="AH969" s="2330"/>
      <c r="AI969" s="2330"/>
      <c r="AJ969" s="2330">
        <f t="shared" si="679"/>
        <v>0</v>
      </c>
      <c r="AK969" s="2330"/>
      <c r="AL969" s="2330"/>
      <c r="AM969" s="2331">
        <f t="shared" si="666"/>
        <v>0</v>
      </c>
      <c r="AN969" s="2331"/>
      <c r="AO969" s="2331"/>
      <c r="AP969" s="2331"/>
      <c r="AQ969" s="2332">
        <f t="shared" si="680"/>
        <v>0</v>
      </c>
      <c r="AR969" s="2332"/>
      <c r="AS969" s="2332"/>
      <c r="AT969" s="2332">
        <f t="shared" si="681"/>
        <v>0</v>
      </c>
      <c r="AV969" s="151" t="str">
        <f t="shared" si="661"/>
        <v>APPLIANCES</v>
      </c>
      <c r="AW969" s="681"/>
      <c r="AX969" s="230"/>
      <c r="AY969" s="230"/>
      <c r="AZ969" s="679"/>
      <c r="BA969" s="49">
        <f t="shared" si="682"/>
        <v>0</v>
      </c>
      <c r="BB969" s="49">
        <f t="shared" si="687"/>
        <v>0</v>
      </c>
      <c r="BC969" s="49">
        <f t="shared" si="688"/>
        <v>0</v>
      </c>
      <c r="BD969" s="49">
        <f t="shared" si="683"/>
        <v>0</v>
      </c>
      <c r="BE969" s="49">
        <f t="shared" si="689"/>
        <v>0</v>
      </c>
      <c r="BF969" s="49">
        <f t="shared" si="684"/>
        <v>0</v>
      </c>
      <c r="BG969" s="49">
        <f t="shared" si="685"/>
        <v>0</v>
      </c>
      <c r="BI969" s="134">
        <f t="shared" si="690"/>
        <v>0</v>
      </c>
      <c r="BJ969" s="134">
        <f t="shared" si="686"/>
        <v>0</v>
      </c>
      <c r="BK969" s="134">
        <f t="shared" si="691"/>
        <v>0</v>
      </c>
    </row>
    <row r="970" spans="1:63" hidden="1">
      <c r="A970" s="187"/>
      <c r="B970" s="2333"/>
      <c r="C970" s="2333"/>
      <c r="D970" s="2318" t="s">
        <v>1535</v>
      </c>
      <c r="E970" s="2319"/>
      <c r="F970" s="2319"/>
      <c r="G970" s="2319"/>
      <c r="H970" s="2319"/>
      <c r="I970" s="2319"/>
      <c r="J970" s="2319"/>
      <c r="K970" s="2319"/>
      <c r="L970" s="2319"/>
      <c r="M970" s="2319"/>
      <c r="N970" s="2319"/>
      <c r="O970" s="2320"/>
      <c r="P970" s="2324"/>
      <c r="Q970" s="2324"/>
      <c r="R970" s="2325"/>
      <c r="S970" s="2324" t="s">
        <v>2</v>
      </c>
      <c r="T970" s="2324"/>
      <c r="U970" s="2326"/>
      <c r="V970" s="2327"/>
      <c r="W970" s="2327"/>
      <c r="X970" s="2327">
        <v>3000</v>
      </c>
      <c r="Y970" s="2327"/>
      <c r="Z970" s="2327"/>
      <c r="AA970" s="2328"/>
      <c r="AB970" s="2329"/>
      <c r="AC970" s="2326"/>
      <c r="AD970" s="2330">
        <f t="shared" si="678"/>
        <v>0</v>
      </c>
      <c r="AE970" s="2330"/>
      <c r="AF970" s="2330"/>
      <c r="AG970" s="2330">
        <f t="shared" si="672"/>
        <v>0</v>
      </c>
      <c r="AH970" s="2330"/>
      <c r="AI970" s="2330"/>
      <c r="AJ970" s="2330">
        <f t="shared" si="679"/>
        <v>0</v>
      </c>
      <c r="AK970" s="2330"/>
      <c r="AL970" s="2330"/>
      <c r="AM970" s="2331">
        <f t="shared" si="666"/>
        <v>0</v>
      </c>
      <c r="AN970" s="2331"/>
      <c r="AO970" s="2331"/>
      <c r="AP970" s="2331"/>
      <c r="AQ970" s="2332">
        <f t="shared" si="680"/>
        <v>0</v>
      </c>
      <c r="AR970" s="2332"/>
      <c r="AS970" s="2332"/>
      <c r="AT970" s="2332">
        <f t="shared" si="681"/>
        <v>0</v>
      </c>
      <c r="AV970" s="151" t="str">
        <f t="shared" si="661"/>
        <v>APPLIANCES</v>
      </c>
      <c r="AW970" s="681"/>
      <c r="AX970" s="230"/>
      <c r="AY970" s="230"/>
      <c r="AZ970" s="679"/>
      <c r="BA970" s="49">
        <f t="shared" si="682"/>
        <v>0</v>
      </c>
      <c r="BB970" s="49">
        <f t="shared" si="687"/>
        <v>0</v>
      </c>
      <c r="BC970" s="49">
        <f t="shared" si="688"/>
        <v>0</v>
      </c>
      <c r="BD970" s="49">
        <f t="shared" si="683"/>
        <v>0</v>
      </c>
      <c r="BE970" s="49">
        <f t="shared" si="689"/>
        <v>0</v>
      </c>
      <c r="BF970" s="49">
        <f t="shared" si="684"/>
        <v>0</v>
      </c>
      <c r="BG970" s="49">
        <f t="shared" si="685"/>
        <v>0</v>
      </c>
      <c r="BI970" s="134">
        <f t="shared" si="690"/>
        <v>0</v>
      </c>
      <c r="BJ970" s="134">
        <f t="shared" si="686"/>
        <v>0</v>
      </c>
      <c r="BK970" s="134">
        <f t="shared" si="691"/>
        <v>0</v>
      </c>
    </row>
    <row r="971" spans="1:63" hidden="1">
      <c r="A971" s="187"/>
      <c r="B971" s="2333"/>
      <c r="C971" s="2333"/>
      <c r="D971" s="2318" t="s">
        <v>1536</v>
      </c>
      <c r="E971" s="2319"/>
      <c r="F971" s="2319"/>
      <c r="G971" s="2319"/>
      <c r="H971" s="2319"/>
      <c r="I971" s="2319"/>
      <c r="J971" s="2319"/>
      <c r="K971" s="2319"/>
      <c r="L971" s="2319"/>
      <c r="M971" s="2319"/>
      <c r="N971" s="2319"/>
      <c r="O971" s="2320"/>
      <c r="P971" s="2324"/>
      <c r="Q971" s="2324"/>
      <c r="R971" s="2325"/>
      <c r="S971" s="2324" t="s">
        <v>2</v>
      </c>
      <c r="T971" s="2324"/>
      <c r="U971" s="2326"/>
      <c r="V971" s="2327"/>
      <c r="W971" s="2327"/>
      <c r="X971" s="2327">
        <v>2000</v>
      </c>
      <c r="Y971" s="2327"/>
      <c r="Z971" s="2327"/>
      <c r="AA971" s="2328"/>
      <c r="AB971" s="2329"/>
      <c r="AC971" s="2326"/>
      <c r="AD971" s="2330">
        <f t="shared" si="678"/>
        <v>0</v>
      </c>
      <c r="AE971" s="2330"/>
      <c r="AF971" s="2330"/>
      <c r="AG971" s="2330">
        <f t="shared" si="672"/>
        <v>0</v>
      </c>
      <c r="AH971" s="2330"/>
      <c r="AI971" s="2330"/>
      <c r="AJ971" s="2330">
        <f t="shared" si="679"/>
        <v>0</v>
      </c>
      <c r="AK971" s="2330"/>
      <c r="AL971" s="2330"/>
      <c r="AM971" s="2331">
        <f t="shared" si="666"/>
        <v>0</v>
      </c>
      <c r="AN971" s="2331"/>
      <c r="AO971" s="2331"/>
      <c r="AP971" s="2331"/>
      <c r="AQ971" s="2332">
        <f t="shared" si="680"/>
        <v>0</v>
      </c>
      <c r="AR971" s="2332"/>
      <c r="AS971" s="2332"/>
      <c r="AT971" s="2332">
        <f t="shared" si="681"/>
        <v>0</v>
      </c>
      <c r="AV971" s="151" t="str">
        <f t="shared" si="661"/>
        <v>APPLIANCES</v>
      </c>
      <c r="AW971" s="681"/>
      <c r="AX971" s="230"/>
      <c r="AY971" s="230"/>
      <c r="AZ971" s="679"/>
      <c r="BA971" s="49">
        <f t="shared" si="682"/>
        <v>0</v>
      </c>
      <c r="BB971" s="49">
        <f t="shared" si="687"/>
        <v>0</v>
      </c>
      <c r="BC971" s="49">
        <f t="shared" si="688"/>
        <v>0</v>
      </c>
      <c r="BD971" s="49">
        <f t="shared" si="683"/>
        <v>0</v>
      </c>
      <c r="BE971" s="49">
        <f t="shared" si="689"/>
        <v>0</v>
      </c>
      <c r="BF971" s="49">
        <f t="shared" si="684"/>
        <v>0</v>
      </c>
      <c r="BG971" s="49">
        <f t="shared" si="685"/>
        <v>0</v>
      </c>
      <c r="BI971" s="134">
        <f t="shared" si="690"/>
        <v>0</v>
      </c>
      <c r="BJ971" s="134">
        <f t="shared" si="686"/>
        <v>0</v>
      </c>
      <c r="BK971" s="134">
        <f t="shared" si="691"/>
        <v>0</v>
      </c>
    </row>
    <row r="972" spans="1:63" hidden="1">
      <c r="A972" s="187"/>
      <c r="B972" s="2321"/>
      <c r="C972" s="2322"/>
      <c r="D972" s="2318" t="s">
        <v>1537</v>
      </c>
      <c r="E972" s="2319"/>
      <c r="F972" s="2319"/>
      <c r="G972" s="2319"/>
      <c r="H972" s="2319"/>
      <c r="I972" s="2319"/>
      <c r="J972" s="2319"/>
      <c r="K972" s="2319"/>
      <c r="L972" s="2319"/>
      <c r="M972" s="2319"/>
      <c r="N972" s="2319"/>
      <c r="O972" s="2320"/>
      <c r="P972" s="2324"/>
      <c r="Q972" s="2324"/>
      <c r="R972" s="2325"/>
      <c r="S972" s="2324" t="s">
        <v>2</v>
      </c>
      <c r="T972" s="2324"/>
      <c r="U972" s="2326"/>
      <c r="V972" s="2327"/>
      <c r="W972" s="2327"/>
      <c r="X972" s="2327">
        <v>750</v>
      </c>
      <c r="Y972" s="2327"/>
      <c r="Z972" s="2327"/>
      <c r="AA972" s="2328"/>
      <c r="AB972" s="2329"/>
      <c r="AC972" s="2326"/>
      <c r="AD972" s="2330">
        <f t="shared" si="678"/>
        <v>0</v>
      </c>
      <c r="AE972" s="2330"/>
      <c r="AF972" s="2330"/>
      <c r="AG972" s="2330">
        <f t="shared" si="672"/>
        <v>0</v>
      </c>
      <c r="AH972" s="2330"/>
      <c r="AI972" s="2330"/>
      <c r="AJ972" s="2330">
        <f t="shared" si="679"/>
        <v>0</v>
      </c>
      <c r="AK972" s="2330"/>
      <c r="AL972" s="2330"/>
      <c r="AM972" s="2331">
        <f t="shared" si="666"/>
        <v>0</v>
      </c>
      <c r="AN972" s="2331"/>
      <c r="AO972" s="2331"/>
      <c r="AP972" s="2331"/>
      <c r="AQ972" s="2332">
        <f t="shared" si="680"/>
        <v>0</v>
      </c>
      <c r="AR972" s="2332"/>
      <c r="AS972" s="2332"/>
      <c r="AT972" s="2332">
        <f t="shared" si="681"/>
        <v>0</v>
      </c>
      <c r="AV972" s="151" t="str">
        <f t="shared" si="661"/>
        <v>APPLIANCES</v>
      </c>
      <c r="AW972" s="681"/>
      <c r="AX972" s="230"/>
      <c r="AY972" s="230"/>
      <c r="AZ972" s="679"/>
      <c r="BA972" s="49">
        <f t="shared" si="682"/>
        <v>0</v>
      </c>
      <c r="BB972" s="49">
        <f t="shared" si="687"/>
        <v>0</v>
      </c>
      <c r="BC972" s="49">
        <f t="shared" si="688"/>
        <v>0</v>
      </c>
      <c r="BD972" s="49">
        <f t="shared" si="683"/>
        <v>0</v>
      </c>
      <c r="BE972" s="49">
        <f t="shared" si="689"/>
        <v>0</v>
      </c>
      <c r="BF972" s="49">
        <f t="shared" si="684"/>
        <v>0</v>
      </c>
      <c r="BG972" s="49">
        <f t="shared" si="685"/>
        <v>0</v>
      </c>
      <c r="BI972" s="134">
        <f t="shared" si="690"/>
        <v>0</v>
      </c>
      <c r="BJ972" s="134">
        <f t="shared" si="686"/>
        <v>0</v>
      </c>
      <c r="BK972" s="134">
        <f t="shared" si="691"/>
        <v>0</v>
      </c>
    </row>
    <row r="973" spans="1:63" hidden="1">
      <c r="A973" s="187"/>
      <c r="B973" s="2321"/>
      <c r="C973" s="2322"/>
      <c r="D973" s="2334" t="s">
        <v>1538</v>
      </c>
      <c r="E973" s="2334"/>
      <c r="F973" s="2334"/>
      <c r="G973" s="2334"/>
      <c r="H973" s="2334"/>
      <c r="I973" s="2334"/>
      <c r="J973" s="2334"/>
      <c r="K973" s="2334"/>
      <c r="L973" s="2334"/>
      <c r="M973" s="2334"/>
      <c r="N973" s="2334"/>
      <c r="O973" s="2334"/>
      <c r="P973" s="2324"/>
      <c r="Q973" s="2324"/>
      <c r="R973" s="2325"/>
      <c r="S973" s="2324" t="s">
        <v>2</v>
      </c>
      <c r="T973" s="2324"/>
      <c r="U973" s="2326"/>
      <c r="V973" s="2327"/>
      <c r="W973" s="2327"/>
      <c r="X973" s="2327">
        <v>1250</v>
      </c>
      <c r="Y973" s="2327"/>
      <c r="Z973" s="2327"/>
      <c r="AA973" s="2328"/>
      <c r="AB973" s="2329"/>
      <c r="AC973" s="2326"/>
      <c r="AD973" s="2330">
        <f t="shared" si="678"/>
        <v>0</v>
      </c>
      <c r="AE973" s="2330"/>
      <c r="AF973" s="2330"/>
      <c r="AG973" s="2330">
        <f t="shared" si="672"/>
        <v>0</v>
      </c>
      <c r="AH973" s="2330"/>
      <c r="AI973" s="2330"/>
      <c r="AJ973" s="2330">
        <f t="shared" si="679"/>
        <v>0</v>
      </c>
      <c r="AK973" s="2330"/>
      <c r="AL973" s="2330"/>
      <c r="AM973" s="2331">
        <f t="shared" si="666"/>
        <v>0</v>
      </c>
      <c r="AN973" s="2331"/>
      <c r="AO973" s="2331"/>
      <c r="AP973" s="2331"/>
      <c r="AQ973" s="2332">
        <f t="shared" si="680"/>
        <v>0</v>
      </c>
      <c r="AR973" s="2332"/>
      <c r="AS973" s="2332"/>
      <c r="AT973" s="2332">
        <f t="shared" si="681"/>
        <v>0</v>
      </c>
      <c r="AV973" s="151" t="str">
        <f t="shared" si="661"/>
        <v>APPLIANCES</v>
      </c>
      <c r="AW973" s="681"/>
      <c r="AX973" s="230"/>
      <c r="AY973" s="230"/>
      <c r="AZ973" s="679"/>
      <c r="BA973" s="49">
        <f t="shared" si="682"/>
        <v>0</v>
      </c>
      <c r="BB973" s="49">
        <f t="shared" si="687"/>
        <v>0</v>
      </c>
      <c r="BC973" s="49">
        <f t="shared" si="688"/>
        <v>0</v>
      </c>
      <c r="BD973" s="49">
        <f t="shared" si="683"/>
        <v>0</v>
      </c>
      <c r="BE973" s="49">
        <f t="shared" si="689"/>
        <v>0</v>
      </c>
      <c r="BF973" s="49">
        <f t="shared" si="684"/>
        <v>0</v>
      </c>
      <c r="BG973" s="49">
        <f t="shared" si="685"/>
        <v>0</v>
      </c>
      <c r="BI973" s="134">
        <f t="shared" si="690"/>
        <v>0</v>
      </c>
      <c r="BJ973" s="134">
        <f t="shared" si="686"/>
        <v>0</v>
      </c>
      <c r="BK973" s="134">
        <f t="shared" si="691"/>
        <v>0</v>
      </c>
    </row>
    <row r="974" spans="1:63" hidden="1">
      <c r="A974" s="187"/>
      <c r="B974" s="2333"/>
      <c r="C974" s="2333"/>
      <c r="D974" s="2334" t="s">
        <v>1539</v>
      </c>
      <c r="E974" s="2334"/>
      <c r="F974" s="2334"/>
      <c r="G974" s="2334"/>
      <c r="H974" s="2334"/>
      <c r="I974" s="2334"/>
      <c r="J974" s="2334"/>
      <c r="K974" s="2334"/>
      <c r="L974" s="2334"/>
      <c r="M974" s="2334"/>
      <c r="N974" s="2334"/>
      <c r="O974" s="2334"/>
      <c r="P974" s="2324"/>
      <c r="Q974" s="2324"/>
      <c r="R974" s="2325"/>
      <c r="S974" s="2324" t="s">
        <v>2</v>
      </c>
      <c r="T974" s="2324"/>
      <c r="U974" s="2326"/>
      <c r="V974" s="2327"/>
      <c r="W974" s="2327"/>
      <c r="X974" s="2327">
        <v>400</v>
      </c>
      <c r="Y974" s="2327"/>
      <c r="Z974" s="2327"/>
      <c r="AA974" s="2328"/>
      <c r="AB974" s="2329"/>
      <c r="AC974" s="2326"/>
      <c r="AD974" s="2330">
        <f t="shared" si="678"/>
        <v>0</v>
      </c>
      <c r="AE974" s="2330"/>
      <c r="AF974" s="2330"/>
      <c r="AG974" s="2330">
        <f t="shared" si="672"/>
        <v>0</v>
      </c>
      <c r="AH974" s="2330"/>
      <c r="AI974" s="2330"/>
      <c r="AJ974" s="2330">
        <f t="shared" si="679"/>
        <v>0</v>
      </c>
      <c r="AK974" s="2330"/>
      <c r="AL974" s="2330"/>
      <c r="AM974" s="2331">
        <f t="shared" si="666"/>
        <v>0</v>
      </c>
      <c r="AN974" s="2331"/>
      <c r="AO974" s="2331"/>
      <c r="AP974" s="2331"/>
      <c r="AQ974" s="2332">
        <f t="shared" si="680"/>
        <v>0</v>
      </c>
      <c r="AR974" s="2332"/>
      <c r="AS974" s="2332"/>
      <c r="AT974" s="2332">
        <f t="shared" si="681"/>
        <v>0</v>
      </c>
      <c r="AV974" s="151" t="str">
        <f t="shared" si="661"/>
        <v>APPLIANCES</v>
      </c>
      <c r="AW974" s="681"/>
      <c r="AX974" s="230"/>
      <c r="AY974" s="230"/>
      <c r="AZ974" s="679"/>
      <c r="BA974" s="49">
        <f t="shared" si="682"/>
        <v>0</v>
      </c>
      <c r="BB974" s="49">
        <f t="shared" si="687"/>
        <v>0</v>
      </c>
      <c r="BC974" s="49">
        <f t="shared" si="688"/>
        <v>0</v>
      </c>
      <c r="BD974" s="49">
        <f t="shared" si="683"/>
        <v>0</v>
      </c>
      <c r="BE974" s="49">
        <f t="shared" si="689"/>
        <v>0</v>
      </c>
      <c r="BF974" s="49">
        <f t="shared" si="684"/>
        <v>0</v>
      </c>
      <c r="BG974" s="49">
        <f t="shared" si="685"/>
        <v>0</v>
      </c>
      <c r="BI974" s="134">
        <f t="shared" si="690"/>
        <v>0</v>
      </c>
      <c r="BJ974" s="134">
        <f t="shared" si="686"/>
        <v>0</v>
      </c>
      <c r="BK974" s="134">
        <f t="shared" si="691"/>
        <v>0</v>
      </c>
    </row>
    <row r="975" spans="1:63" hidden="1">
      <c r="A975" s="187"/>
      <c r="B975" s="2333"/>
      <c r="C975" s="2333"/>
      <c r="D975" s="2334" t="s">
        <v>1529</v>
      </c>
      <c r="E975" s="2334"/>
      <c r="F975" s="2334"/>
      <c r="G975" s="2334"/>
      <c r="H975" s="2334"/>
      <c r="I975" s="2334"/>
      <c r="J975" s="2334"/>
      <c r="K975" s="2334"/>
      <c r="L975" s="2334"/>
      <c r="M975" s="2334"/>
      <c r="N975" s="2334"/>
      <c r="O975" s="2334"/>
      <c r="P975" s="2324"/>
      <c r="Q975" s="2324"/>
      <c r="R975" s="2325"/>
      <c r="S975" s="2324" t="s">
        <v>2</v>
      </c>
      <c r="T975" s="2324"/>
      <c r="U975" s="2326"/>
      <c r="V975" s="2327"/>
      <c r="W975" s="2327"/>
      <c r="X975" s="2327">
        <v>75</v>
      </c>
      <c r="Y975" s="2327"/>
      <c r="Z975" s="2327"/>
      <c r="AA975" s="2328"/>
      <c r="AB975" s="2329"/>
      <c r="AC975" s="2326"/>
      <c r="AD975" s="2330">
        <f t="shared" si="678"/>
        <v>0</v>
      </c>
      <c r="AE975" s="2330"/>
      <c r="AF975" s="2330"/>
      <c r="AG975" s="2330">
        <f t="shared" si="672"/>
        <v>0</v>
      </c>
      <c r="AH975" s="2330"/>
      <c r="AI975" s="2330"/>
      <c r="AJ975" s="2330">
        <f t="shared" si="679"/>
        <v>0</v>
      </c>
      <c r="AK975" s="2330"/>
      <c r="AL975" s="2330"/>
      <c r="AM975" s="2331">
        <f t="shared" si="666"/>
        <v>0</v>
      </c>
      <c r="AN975" s="2331"/>
      <c r="AO975" s="2331"/>
      <c r="AP975" s="2331"/>
      <c r="AQ975" s="2332">
        <f t="shared" si="680"/>
        <v>0</v>
      </c>
      <c r="AR975" s="2332"/>
      <c r="AS975" s="2332"/>
      <c r="AT975" s="2332">
        <f t="shared" si="681"/>
        <v>0</v>
      </c>
      <c r="AV975" s="151" t="str">
        <f t="shared" si="661"/>
        <v>APPLIANCES</v>
      </c>
      <c r="AW975" s="681"/>
      <c r="AX975" s="230"/>
      <c r="AY975" s="230"/>
      <c r="AZ975" s="679"/>
      <c r="BA975" s="49">
        <f t="shared" si="682"/>
        <v>0</v>
      </c>
      <c r="BB975" s="49">
        <f t="shared" si="687"/>
        <v>0</v>
      </c>
      <c r="BC975" s="49">
        <f t="shared" si="688"/>
        <v>0</v>
      </c>
      <c r="BD975" s="49">
        <f t="shared" si="683"/>
        <v>0</v>
      </c>
      <c r="BE975" s="49">
        <f t="shared" si="689"/>
        <v>0</v>
      </c>
      <c r="BF975" s="49">
        <f t="shared" si="684"/>
        <v>0</v>
      </c>
      <c r="BG975" s="49">
        <f t="shared" si="685"/>
        <v>0</v>
      </c>
      <c r="BI975" s="134">
        <f t="shared" si="690"/>
        <v>0</v>
      </c>
      <c r="BJ975" s="134">
        <f t="shared" si="686"/>
        <v>0</v>
      </c>
      <c r="BK975" s="134">
        <f t="shared" si="691"/>
        <v>0</v>
      </c>
    </row>
    <row r="976" spans="1:63" hidden="1">
      <c r="A976" s="187"/>
      <c r="B976" s="2321"/>
      <c r="C976" s="2322"/>
      <c r="D976" s="2334"/>
      <c r="E976" s="2334"/>
      <c r="F976" s="2334"/>
      <c r="G976" s="2334"/>
      <c r="H976" s="2334"/>
      <c r="I976" s="2334"/>
      <c r="J976" s="2334"/>
      <c r="K976" s="2334"/>
      <c r="L976" s="2334"/>
      <c r="M976" s="2334"/>
      <c r="N976" s="2334"/>
      <c r="O976" s="2334"/>
      <c r="P976" s="2324"/>
      <c r="Q976" s="2324"/>
      <c r="R976" s="2325"/>
      <c r="S976" s="2324"/>
      <c r="T976" s="2324"/>
      <c r="U976" s="2326"/>
      <c r="V976" s="2327"/>
      <c r="W976" s="2327"/>
      <c r="X976" s="2327"/>
      <c r="Y976" s="2327"/>
      <c r="Z976" s="2327"/>
      <c r="AA976" s="2328"/>
      <c r="AB976" s="2329"/>
      <c r="AC976" s="2326"/>
      <c r="AD976" s="2330">
        <f t="shared" si="678"/>
        <v>0</v>
      </c>
      <c r="AE976" s="2330"/>
      <c r="AF976" s="2330"/>
      <c r="AG976" s="2330">
        <f t="shared" si="672"/>
        <v>0</v>
      </c>
      <c r="AH976" s="2330"/>
      <c r="AI976" s="2330"/>
      <c r="AJ976" s="2330">
        <f t="shared" si="679"/>
        <v>0</v>
      </c>
      <c r="AK976" s="2330"/>
      <c r="AL976" s="2330"/>
      <c r="AM976" s="2331">
        <f t="shared" si="666"/>
        <v>0</v>
      </c>
      <c r="AN976" s="2331"/>
      <c r="AO976" s="2331"/>
      <c r="AP976" s="2331"/>
      <c r="AQ976" s="2332">
        <f t="shared" si="680"/>
        <v>0</v>
      </c>
      <c r="AR976" s="2332"/>
      <c r="AS976" s="2332"/>
      <c r="AT976" s="2332">
        <f t="shared" si="681"/>
        <v>0</v>
      </c>
      <c r="AV976" s="151" t="str">
        <f t="shared" si="661"/>
        <v>APPLIANCES</v>
      </c>
      <c r="AW976" s="681"/>
      <c r="AX976" s="230"/>
      <c r="AY976" s="230"/>
      <c r="AZ976" s="679"/>
      <c r="BA976" s="49">
        <f t="shared" si="682"/>
        <v>0</v>
      </c>
      <c r="BB976" s="49">
        <f t="shared" si="687"/>
        <v>0</v>
      </c>
      <c r="BC976" s="49">
        <f t="shared" si="688"/>
        <v>0</v>
      </c>
      <c r="BD976" s="49">
        <f t="shared" si="683"/>
        <v>0</v>
      </c>
      <c r="BE976" s="49">
        <f t="shared" si="689"/>
        <v>0</v>
      </c>
      <c r="BF976" s="49">
        <f t="shared" si="684"/>
        <v>0</v>
      </c>
      <c r="BG976" s="49">
        <f t="shared" si="685"/>
        <v>0</v>
      </c>
      <c r="BI976" s="134">
        <f t="shared" si="690"/>
        <v>0</v>
      </c>
      <c r="BJ976" s="134">
        <f t="shared" si="686"/>
        <v>0</v>
      </c>
      <c r="BK976" s="134">
        <f t="shared" si="691"/>
        <v>0</v>
      </c>
    </row>
    <row r="977" spans="1:63" hidden="1">
      <c r="A977" s="187"/>
      <c r="B977" s="2321"/>
      <c r="C977" s="2322"/>
      <c r="D977" s="2334"/>
      <c r="E977" s="2334"/>
      <c r="F977" s="2334"/>
      <c r="G977" s="2334"/>
      <c r="H977" s="2334"/>
      <c r="I977" s="2334"/>
      <c r="J977" s="2334"/>
      <c r="K977" s="2334"/>
      <c r="L977" s="2334"/>
      <c r="M977" s="2334"/>
      <c r="N977" s="2334"/>
      <c r="O977" s="2334"/>
      <c r="P977" s="2324"/>
      <c r="Q977" s="2324"/>
      <c r="R977" s="2325"/>
      <c r="S977" s="2324"/>
      <c r="T977" s="2324"/>
      <c r="U977" s="2326"/>
      <c r="V977" s="2327"/>
      <c r="W977" s="2327"/>
      <c r="X977" s="2327"/>
      <c r="Y977" s="2327"/>
      <c r="Z977" s="2327"/>
      <c r="AA977" s="2328"/>
      <c r="AB977" s="2329"/>
      <c r="AC977" s="2326"/>
      <c r="AD977" s="2330">
        <f t="shared" si="678"/>
        <v>0</v>
      </c>
      <c r="AE977" s="2330"/>
      <c r="AF977" s="2330"/>
      <c r="AG977" s="2330">
        <f t="shared" si="672"/>
        <v>0</v>
      </c>
      <c r="AH977" s="2330"/>
      <c r="AI977" s="2330"/>
      <c r="AJ977" s="2330">
        <f t="shared" si="679"/>
        <v>0</v>
      </c>
      <c r="AK977" s="2330"/>
      <c r="AL977" s="2330"/>
      <c r="AM977" s="2331">
        <f t="shared" si="666"/>
        <v>0</v>
      </c>
      <c r="AN977" s="2331"/>
      <c r="AO977" s="2331"/>
      <c r="AP977" s="2331"/>
      <c r="AQ977" s="2332">
        <f t="shared" si="680"/>
        <v>0</v>
      </c>
      <c r="AR977" s="2332"/>
      <c r="AS977" s="2332"/>
      <c r="AT977" s="2332">
        <f t="shared" si="681"/>
        <v>0</v>
      </c>
      <c r="AV977" s="151" t="str">
        <f t="shared" si="661"/>
        <v>APPLIANCES</v>
      </c>
      <c r="AW977" s="681"/>
      <c r="AX977" s="230"/>
      <c r="AY977" s="230"/>
      <c r="AZ977" s="679"/>
      <c r="BA977" s="49">
        <f t="shared" si="682"/>
        <v>0</v>
      </c>
      <c r="BB977" s="49">
        <f t="shared" si="687"/>
        <v>0</v>
      </c>
      <c r="BC977" s="49">
        <f t="shared" si="688"/>
        <v>0</v>
      </c>
      <c r="BD977" s="49">
        <f t="shared" si="683"/>
        <v>0</v>
      </c>
      <c r="BE977" s="49">
        <f t="shared" si="689"/>
        <v>0</v>
      </c>
      <c r="BF977" s="49">
        <f t="shared" si="684"/>
        <v>0</v>
      </c>
      <c r="BG977" s="49">
        <f t="shared" si="685"/>
        <v>0</v>
      </c>
      <c r="BI977" s="134">
        <f t="shared" si="690"/>
        <v>0</v>
      </c>
      <c r="BJ977" s="134">
        <f t="shared" si="686"/>
        <v>0</v>
      </c>
      <c r="BK977" s="134">
        <f t="shared" si="691"/>
        <v>0</v>
      </c>
    </row>
    <row r="978" spans="1:63" hidden="1">
      <c r="A978" s="187"/>
      <c r="B978" s="2321"/>
      <c r="C978" s="2322"/>
      <c r="D978" s="2334"/>
      <c r="E978" s="2334"/>
      <c r="F978" s="2334"/>
      <c r="G978" s="2334"/>
      <c r="H978" s="2334"/>
      <c r="I978" s="2334"/>
      <c r="J978" s="2334"/>
      <c r="K978" s="2334"/>
      <c r="L978" s="2334"/>
      <c r="M978" s="2334"/>
      <c r="N978" s="2334"/>
      <c r="O978" s="2334"/>
      <c r="P978" s="2324"/>
      <c r="Q978" s="2324"/>
      <c r="R978" s="2325"/>
      <c r="S978" s="2324"/>
      <c r="T978" s="2324"/>
      <c r="U978" s="2326"/>
      <c r="V978" s="2327"/>
      <c r="W978" s="2327"/>
      <c r="X978" s="2327"/>
      <c r="Y978" s="2327"/>
      <c r="Z978" s="2327"/>
      <c r="AA978" s="2328"/>
      <c r="AB978" s="2329"/>
      <c r="AC978" s="2326"/>
      <c r="AD978" s="2330">
        <f t="shared" si="678"/>
        <v>0</v>
      </c>
      <c r="AE978" s="2330"/>
      <c r="AF978" s="2330"/>
      <c r="AG978" s="2330">
        <f t="shared" si="672"/>
        <v>0</v>
      </c>
      <c r="AH978" s="2330"/>
      <c r="AI978" s="2330"/>
      <c r="AJ978" s="2330">
        <f t="shared" si="679"/>
        <v>0</v>
      </c>
      <c r="AK978" s="2330"/>
      <c r="AL978" s="2330"/>
      <c r="AM978" s="2331">
        <f t="shared" si="666"/>
        <v>0</v>
      </c>
      <c r="AN978" s="2331"/>
      <c r="AO978" s="2331"/>
      <c r="AP978" s="2331"/>
      <c r="AQ978" s="2332">
        <f t="shared" si="680"/>
        <v>0</v>
      </c>
      <c r="AR978" s="2332"/>
      <c r="AS978" s="2332"/>
      <c r="AT978" s="2332">
        <f t="shared" si="681"/>
        <v>0</v>
      </c>
      <c r="AV978" s="151" t="str">
        <f t="shared" si="661"/>
        <v>APPLIANCES</v>
      </c>
      <c r="AW978" s="681"/>
      <c r="AX978" s="230"/>
      <c r="AY978" s="230"/>
      <c r="AZ978" s="679"/>
      <c r="BA978" s="49">
        <f t="shared" si="682"/>
        <v>0</v>
      </c>
      <c r="BB978" s="49">
        <f t="shared" si="687"/>
        <v>0</v>
      </c>
      <c r="BC978" s="49">
        <f t="shared" si="688"/>
        <v>0</v>
      </c>
      <c r="BD978" s="49">
        <f t="shared" si="683"/>
        <v>0</v>
      </c>
      <c r="BE978" s="49">
        <f t="shared" si="689"/>
        <v>0</v>
      </c>
      <c r="BF978" s="49">
        <f t="shared" si="684"/>
        <v>0</v>
      </c>
      <c r="BG978" s="49">
        <f t="shared" si="685"/>
        <v>0</v>
      </c>
      <c r="BI978" s="134">
        <f t="shared" si="690"/>
        <v>0</v>
      </c>
      <c r="BJ978" s="134">
        <f t="shared" si="686"/>
        <v>0</v>
      </c>
      <c r="BK978" s="134">
        <f t="shared" si="691"/>
        <v>0</v>
      </c>
    </row>
    <row r="979" spans="1:63" hidden="1">
      <c r="A979" s="187"/>
      <c r="B979" s="2333"/>
      <c r="C979" s="2333"/>
      <c r="D979" s="2334"/>
      <c r="E979" s="2334"/>
      <c r="F979" s="2334"/>
      <c r="G979" s="2334"/>
      <c r="H979" s="2334"/>
      <c r="I979" s="2334"/>
      <c r="J979" s="2334"/>
      <c r="K979" s="2334"/>
      <c r="L979" s="2334"/>
      <c r="M979" s="2334"/>
      <c r="N979" s="2334"/>
      <c r="O979" s="2334"/>
      <c r="P979" s="2324"/>
      <c r="Q979" s="2324"/>
      <c r="R979" s="2325"/>
      <c r="S979" s="2324"/>
      <c r="T979" s="2324"/>
      <c r="U979" s="2326"/>
      <c r="V979" s="2327"/>
      <c r="W979" s="2327"/>
      <c r="X979" s="2327"/>
      <c r="Y979" s="2327"/>
      <c r="Z979" s="2327"/>
      <c r="AA979" s="2328"/>
      <c r="AB979" s="2329"/>
      <c r="AC979" s="2326"/>
      <c r="AD979" s="2330">
        <f t="shared" si="678"/>
        <v>0</v>
      </c>
      <c r="AE979" s="2330"/>
      <c r="AF979" s="2330"/>
      <c r="AG979" s="2330">
        <f t="shared" si="672"/>
        <v>0</v>
      </c>
      <c r="AH979" s="2330"/>
      <c r="AI979" s="2330"/>
      <c r="AJ979" s="2330">
        <f t="shared" si="679"/>
        <v>0</v>
      </c>
      <c r="AK979" s="2330"/>
      <c r="AL979" s="2330"/>
      <c r="AM979" s="2331">
        <f t="shared" si="666"/>
        <v>0</v>
      </c>
      <c r="AN979" s="2331"/>
      <c r="AO979" s="2331"/>
      <c r="AP979" s="2331"/>
      <c r="AQ979" s="2332">
        <f t="shared" si="680"/>
        <v>0</v>
      </c>
      <c r="AR979" s="2332"/>
      <c r="AS979" s="2332"/>
      <c r="AT979" s="2332">
        <f t="shared" si="681"/>
        <v>0</v>
      </c>
      <c r="AV979" s="151" t="str">
        <f t="shared" si="661"/>
        <v>APPLIANCES</v>
      </c>
      <c r="AW979" s="681"/>
      <c r="AX979" s="230"/>
      <c r="AY979" s="230"/>
      <c r="AZ979" s="679"/>
      <c r="BA979" s="49">
        <f t="shared" si="682"/>
        <v>0</v>
      </c>
      <c r="BB979" s="49">
        <f t="shared" si="687"/>
        <v>0</v>
      </c>
      <c r="BC979" s="49">
        <f t="shared" si="688"/>
        <v>0</v>
      </c>
      <c r="BD979" s="49">
        <f t="shared" si="683"/>
        <v>0</v>
      </c>
      <c r="BE979" s="49">
        <f t="shared" si="689"/>
        <v>0</v>
      </c>
      <c r="BF979" s="49">
        <f t="shared" si="684"/>
        <v>0</v>
      </c>
      <c r="BG979" s="49">
        <f t="shared" si="685"/>
        <v>0</v>
      </c>
      <c r="BI979" s="134">
        <f t="shared" si="690"/>
        <v>0</v>
      </c>
      <c r="BJ979" s="134">
        <f t="shared" si="686"/>
        <v>0</v>
      </c>
      <c r="BK979" s="134">
        <f t="shared" si="691"/>
        <v>0</v>
      </c>
    </row>
    <row r="980" spans="1:63" hidden="1">
      <c r="A980" s="187"/>
      <c r="B980" s="2333"/>
      <c r="C980" s="2333"/>
      <c r="D980" s="2334"/>
      <c r="E980" s="2334"/>
      <c r="F980" s="2334"/>
      <c r="G980" s="2334"/>
      <c r="H980" s="2334"/>
      <c r="I980" s="2334"/>
      <c r="J980" s="2334"/>
      <c r="K980" s="2334"/>
      <c r="L980" s="2334"/>
      <c r="M980" s="2334"/>
      <c r="N980" s="2334"/>
      <c r="O980" s="2334"/>
      <c r="P980" s="2324"/>
      <c r="Q980" s="2324"/>
      <c r="R980" s="2325"/>
      <c r="S980" s="2324"/>
      <c r="T980" s="2324"/>
      <c r="U980" s="2326"/>
      <c r="V980" s="2327"/>
      <c r="W980" s="2327"/>
      <c r="X980" s="2327"/>
      <c r="Y980" s="2327"/>
      <c r="Z980" s="2327"/>
      <c r="AA980" s="2328"/>
      <c r="AB980" s="2329"/>
      <c r="AC980" s="2326"/>
      <c r="AD980" s="2330">
        <f t="shared" si="678"/>
        <v>0</v>
      </c>
      <c r="AE980" s="2330"/>
      <c r="AF980" s="2330"/>
      <c r="AG980" s="2330">
        <f t="shared" si="672"/>
        <v>0</v>
      </c>
      <c r="AH980" s="2330"/>
      <c r="AI980" s="2330"/>
      <c r="AJ980" s="2330">
        <f t="shared" si="679"/>
        <v>0</v>
      </c>
      <c r="AK980" s="2330"/>
      <c r="AL980" s="2330"/>
      <c r="AM980" s="2331">
        <f t="shared" si="666"/>
        <v>0</v>
      </c>
      <c r="AN980" s="2331"/>
      <c r="AO980" s="2331"/>
      <c r="AP980" s="2331"/>
      <c r="AQ980" s="2332">
        <f t="shared" si="680"/>
        <v>0</v>
      </c>
      <c r="AR980" s="2332"/>
      <c r="AS980" s="2332"/>
      <c r="AT980" s="2332">
        <f t="shared" si="681"/>
        <v>0</v>
      </c>
      <c r="AV980" s="151" t="str">
        <f t="shared" si="661"/>
        <v>APPLIANCES</v>
      </c>
      <c r="AW980" s="681"/>
      <c r="AX980" s="230"/>
      <c r="AY980" s="230"/>
      <c r="AZ980" s="679"/>
      <c r="BA980" s="49">
        <f t="shared" si="682"/>
        <v>0</v>
      </c>
      <c r="BB980" s="49">
        <f t="shared" si="687"/>
        <v>0</v>
      </c>
      <c r="BC980" s="49">
        <f t="shared" si="688"/>
        <v>0</v>
      </c>
      <c r="BD980" s="49">
        <f t="shared" si="683"/>
        <v>0</v>
      </c>
      <c r="BE980" s="49">
        <f t="shared" si="689"/>
        <v>0</v>
      </c>
      <c r="BF980" s="49">
        <f t="shared" si="684"/>
        <v>0</v>
      </c>
      <c r="BG980" s="49">
        <f t="shared" si="685"/>
        <v>0</v>
      </c>
      <c r="BI980" s="134">
        <f t="shared" si="690"/>
        <v>0</v>
      </c>
      <c r="BJ980" s="134">
        <f t="shared" si="686"/>
        <v>0</v>
      </c>
      <c r="BK980" s="134">
        <f t="shared" si="691"/>
        <v>0</v>
      </c>
    </row>
    <row r="981" spans="1:63" hidden="1">
      <c r="A981" s="187"/>
      <c r="B981" s="2321"/>
      <c r="C981" s="2322"/>
      <c r="D981" s="2334"/>
      <c r="E981" s="2334"/>
      <c r="F981" s="2334"/>
      <c r="G981" s="2334"/>
      <c r="H981" s="2334"/>
      <c r="I981" s="2334"/>
      <c r="J981" s="2334"/>
      <c r="K981" s="2334"/>
      <c r="L981" s="2334"/>
      <c r="M981" s="2334"/>
      <c r="N981" s="2334"/>
      <c r="O981" s="2334"/>
      <c r="P981" s="2324"/>
      <c r="Q981" s="2324"/>
      <c r="R981" s="2325"/>
      <c r="S981" s="2324"/>
      <c r="T981" s="2324"/>
      <c r="U981" s="2326"/>
      <c r="V981" s="2327"/>
      <c r="W981" s="2327"/>
      <c r="X981" s="2327"/>
      <c r="Y981" s="2327"/>
      <c r="Z981" s="2327"/>
      <c r="AA981" s="2328"/>
      <c r="AB981" s="2329"/>
      <c r="AC981" s="2326"/>
      <c r="AD981" s="2330">
        <f t="shared" si="678"/>
        <v>0</v>
      </c>
      <c r="AE981" s="2330"/>
      <c r="AF981" s="2330"/>
      <c r="AG981" s="2330">
        <f t="shared" si="672"/>
        <v>0</v>
      </c>
      <c r="AH981" s="2330"/>
      <c r="AI981" s="2330"/>
      <c r="AJ981" s="2330">
        <f t="shared" si="679"/>
        <v>0</v>
      </c>
      <c r="AK981" s="2330"/>
      <c r="AL981" s="2330"/>
      <c r="AM981" s="2331">
        <f t="shared" si="666"/>
        <v>0</v>
      </c>
      <c r="AN981" s="2331"/>
      <c r="AO981" s="2331"/>
      <c r="AP981" s="2331"/>
      <c r="AQ981" s="2332">
        <f t="shared" si="680"/>
        <v>0</v>
      </c>
      <c r="AR981" s="2332"/>
      <c r="AS981" s="2332"/>
      <c r="AT981" s="2332">
        <f t="shared" si="681"/>
        <v>0</v>
      </c>
      <c r="AV981" s="151" t="str">
        <f t="shared" si="661"/>
        <v>APPLIANCES</v>
      </c>
      <c r="AW981" s="681"/>
      <c r="AX981" s="230"/>
      <c r="AY981" s="230"/>
      <c r="AZ981" s="679"/>
      <c r="BA981" s="49">
        <f t="shared" si="682"/>
        <v>0</v>
      </c>
      <c r="BB981" s="49">
        <f t="shared" si="687"/>
        <v>0</v>
      </c>
      <c r="BC981" s="49">
        <f t="shared" si="688"/>
        <v>0</v>
      </c>
      <c r="BD981" s="49">
        <f t="shared" si="683"/>
        <v>0</v>
      </c>
      <c r="BE981" s="49">
        <f>SUM(BA981:BC981)</f>
        <v>0</v>
      </c>
      <c r="BF981" s="49">
        <f t="shared" si="684"/>
        <v>0</v>
      </c>
      <c r="BG981" s="49">
        <f t="shared" si="685"/>
        <v>0</v>
      </c>
      <c r="BI981" s="134">
        <f t="shared" si="690"/>
        <v>0</v>
      </c>
      <c r="BJ981" s="134">
        <f t="shared" si="686"/>
        <v>0</v>
      </c>
      <c r="BK981" s="134">
        <f t="shared" si="691"/>
        <v>0</v>
      </c>
    </row>
    <row r="982" spans="1:63" hidden="1">
      <c r="A982" s="187"/>
      <c r="B982" s="2321"/>
      <c r="C982" s="2322"/>
      <c r="D982" s="2334"/>
      <c r="E982" s="2334"/>
      <c r="F982" s="2334"/>
      <c r="G982" s="2334"/>
      <c r="H982" s="2334"/>
      <c r="I982" s="2334"/>
      <c r="J982" s="2334"/>
      <c r="K982" s="2334"/>
      <c r="L982" s="2334"/>
      <c r="M982" s="2334"/>
      <c r="N982" s="2334"/>
      <c r="O982" s="2334"/>
      <c r="P982" s="2324"/>
      <c r="Q982" s="2324"/>
      <c r="R982" s="2325"/>
      <c r="S982" s="2324"/>
      <c r="T982" s="2324"/>
      <c r="U982" s="2326"/>
      <c r="V982" s="2327"/>
      <c r="W982" s="2327"/>
      <c r="X982" s="2327"/>
      <c r="Y982" s="2327"/>
      <c r="Z982" s="2327"/>
      <c r="AA982" s="2328"/>
      <c r="AB982" s="2329"/>
      <c r="AC982" s="2326"/>
      <c r="AD982" s="2330">
        <f t="shared" si="678"/>
        <v>0</v>
      </c>
      <c r="AE982" s="2330"/>
      <c r="AF982" s="2330"/>
      <c r="AG982" s="2330">
        <f t="shared" si="672"/>
        <v>0</v>
      </c>
      <c r="AH982" s="2330"/>
      <c r="AI982" s="2330"/>
      <c r="AJ982" s="2330">
        <f t="shared" si="679"/>
        <v>0</v>
      </c>
      <c r="AK982" s="2330"/>
      <c r="AL982" s="2330"/>
      <c r="AM982" s="2331">
        <f t="shared" si="666"/>
        <v>0</v>
      </c>
      <c r="AN982" s="2331"/>
      <c r="AO982" s="2331"/>
      <c r="AP982" s="2331"/>
      <c r="AQ982" s="2332">
        <f t="shared" si="680"/>
        <v>0</v>
      </c>
      <c r="AR982" s="2332"/>
      <c r="AS982" s="2332"/>
      <c r="AT982" s="2332">
        <f t="shared" si="681"/>
        <v>0</v>
      </c>
      <c r="AV982" s="151" t="str">
        <f t="shared" si="661"/>
        <v>APPLIANCES</v>
      </c>
      <c r="AW982" s="681"/>
      <c r="AX982" s="230"/>
      <c r="AY982" s="230"/>
      <c r="AZ982" s="679"/>
      <c r="BA982" s="49">
        <f t="shared" si="682"/>
        <v>0</v>
      </c>
      <c r="BB982" s="49">
        <f t="shared" si="687"/>
        <v>0</v>
      </c>
      <c r="BC982" s="49">
        <f t="shared" si="688"/>
        <v>0</v>
      </c>
      <c r="BD982" s="49">
        <f t="shared" si="683"/>
        <v>0</v>
      </c>
      <c r="BE982" s="49">
        <f>SUM(BA982:BC982)</f>
        <v>0</v>
      </c>
      <c r="BF982" s="49">
        <f t="shared" si="684"/>
        <v>0</v>
      </c>
      <c r="BG982" s="49">
        <f t="shared" si="685"/>
        <v>0</v>
      </c>
      <c r="BI982" s="134">
        <f t="shared" si="690"/>
        <v>0</v>
      </c>
      <c r="BJ982" s="134">
        <f t="shared" si="686"/>
        <v>0</v>
      </c>
      <c r="BK982" s="134">
        <f t="shared" si="691"/>
        <v>0</v>
      </c>
    </row>
    <row r="983" spans="1:63" ht="5.0999999999999996" hidden="1" customHeight="1">
      <c r="A983" s="187"/>
      <c r="B983" s="64"/>
      <c r="C983" s="64"/>
      <c r="D983" s="885"/>
      <c r="E983" s="885"/>
      <c r="F983" s="885"/>
      <c r="G983" s="885"/>
      <c r="H983" s="885"/>
      <c r="I983" s="885"/>
      <c r="J983" s="885"/>
      <c r="K983" s="885"/>
      <c r="L983" s="885"/>
      <c r="M983" s="885"/>
      <c r="N983" s="885"/>
      <c r="O983" s="885"/>
      <c r="P983" s="66"/>
      <c r="Q983" s="66"/>
      <c r="R983" s="66"/>
      <c r="S983" s="66"/>
      <c r="T983" s="66"/>
      <c r="U983" s="67"/>
      <c r="V983" s="67"/>
      <c r="W983" s="67"/>
      <c r="X983" s="67"/>
      <c r="Y983" s="67"/>
      <c r="Z983" s="67"/>
      <c r="AA983" s="67"/>
      <c r="AB983" s="67"/>
      <c r="AC983" s="67"/>
      <c r="AD983" s="68"/>
      <c r="AE983" s="68"/>
      <c r="AF983" s="68"/>
      <c r="AG983" s="68"/>
      <c r="AH983" s="68"/>
      <c r="AI983" s="68"/>
      <c r="AJ983" s="68"/>
      <c r="AK983" s="68"/>
      <c r="AL983" s="68"/>
      <c r="AM983" s="69"/>
      <c r="AN983" s="69"/>
      <c r="AO983" s="69"/>
      <c r="AP983" s="69"/>
      <c r="AQ983" s="661"/>
      <c r="AR983" s="661"/>
      <c r="AS983" s="661"/>
      <c r="AT983" s="661"/>
      <c r="AV983" s="369" t="str">
        <f t="shared" si="661"/>
        <v>APPLIANCES</v>
      </c>
      <c r="AW983" s="696"/>
      <c r="AX983" s="696"/>
      <c r="AY983" s="696"/>
      <c r="AZ983" s="369"/>
      <c r="BA983" s="75">
        <f>BA942</f>
        <v>0</v>
      </c>
      <c r="BB983" s="75">
        <f>BB942</f>
        <v>0</v>
      </c>
      <c r="BC983" s="75">
        <f>BC942</f>
        <v>0</v>
      </c>
      <c r="BD983" s="75">
        <f>BD942</f>
        <v>0</v>
      </c>
      <c r="BE983" s="75">
        <f>BE942</f>
        <v>0</v>
      </c>
      <c r="BF983" s="75"/>
      <c r="BG983" s="75"/>
      <c r="BI983" s="75"/>
      <c r="BJ983" s="75"/>
      <c r="BK983" s="75"/>
    </row>
    <row r="984" spans="1:63" ht="21.6" hidden="1" customHeight="1">
      <c r="A984" s="187"/>
      <c r="B984" s="2424"/>
      <c r="C984" s="2424"/>
      <c r="D984" s="886"/>
      <c r="E984" s="886"/>
      <c r="F984" s="886"/>
      <c r="G984" s="886"/>
      <c r="H984" s="886"/>
      <c r="I984" s="886"/>
      <c r="J984" s="886"/>
      <c r="K984" s="886"/>
      <c r="L984" s="886"/>
      <c r="M984" s="886"/>
      <c r="N984" s="886"/>
      <c r="O984" s="886"/>
      <c r="P984" s="37"/>
      <c r="Q984" s="37"/>
      <c r="R984" s="37"/>
      <c r="S984" s="37"/>
      <c r="T984" s="37"/>
      <c r="U984" s="37"/>
      <c r="V984" s="37"/>
      <c r="W984" s="37"/>
      <c r="X984" s="37"/>
      <c r="Y984" s="37"/>
      <c r="Z984" s="37"/>
      <c r="AA984" s="37"/>
      <c r="AB984" s="37"/>
      <c r="AC984" s="370" t="str">
        <f>CONCATENATE(D942," ","TOTAL")</f>
        <v>APPLIANCES TOTAL</v>
      </c>
      <c r="AD984" s="2342">
        <f>SUBTOTAL(9,AD943:AD983)</f>
        <v>0</v>
      </c>
      <c r="AE984" s="2342"/>
      <c r="AF984" s="2342"/>
      <c r="AG984" s="2342">
        <f>SUBTOTAL(9,AG943:AG983)</f>
        <v>0</v>
      </c>
      <c r="AH984" s="2342"/>
      <c r="AI984" s="2342"/>
      <c r="AJ984" s="2342">
        <f>SUBTOTAL(9,AJ943:AJ983)</f>
        <v>0</v>
      </c>
      <c r="AK984" s="2342"/>
      <c r="AL984" s="2342"/>
      <c r="AM984" s="2342">
        <f>SUBTOTAL(9,AM943:AM983)</f>
        <v>0</v>
      </c>
      <c r="AN984" s="2342"/>
      <c r="AO984" s="2342"/>
      <c r="AP984" s="2342"/>
      <c r="AQ984" s="2336">
        <f>SUBTOTAL(9,AQ943:AQ983)</f>
        <v>0</v>
      </c>
      <c r="AR984" s="2336"/>
      <c r="AS984" s="2336"/>
      <c r="AT984" s="2336" t="e">
        <f>SUM(AT940:AT975)</f>
        <v>#REF!</v>
      </c>
      <c r="AV984" s="151" t="str">
        <f t="shared" si="661"/>
        <v>APPLIANCES</v>
      </c>
      <c r="AW984" s="682"/>
      <c r="AX984" s="695"/>
      <c r="AY984" s="695"/>
      <c r="AZ984" s="274"/>
      <c r="BA984" s="74">
        <f>BA942</f>
        <v>0</v>
      </c>
      <c r="BB984" s="74">
        <f>BB942</f>
        <v>0</v>
      </c>
      <c r="BC984" s="74">
        <f>BC942</f>
        <v>0</v>
      </c>
      <c r="BD984" s="74">
        <f>BD942</f>
        <v>0</v>
      </c>
      <c r="BE984" s="74">
        <f>BE942</f>
        <v>0</v>
      </c>
      <c r="BF984" s="74">
        <f>SUM(BF942:BF983)</f>
        <v>0</v>
      </c>
      <c r="BG984" s="49">
        <f>SUM(BG942:BG983)</f>
        <v>0</v>
      </c>
      <c r="BI984" s="74">
        <f>SUM(BI943:BI983)</f>
        <v>0</v>
      </c>
      <c r="BJ984" s="74">
        <f>SUM(BJ943:BJ983)</f>
        <v>0</v>
      </c>
      <c r="BK984" s="49">
        <f>SUM(BK943:BK983)</f>
        <v>0</v>
      </c>
    </row>
    <row r="985" spans="1:63" ht="5.0999999999999996" hidden="1" customHeight="1">
      <c r="A985" s="187"/>
      <c r="B985" s="64"/>
      <c r="C985" s="64"/>
      <c r="D985" s="885"/>
      <c r="E985" s="885"/>
      <c r="F985" s="885"/>
      <c r="G985" s="885"/>
      <c r="H985" s="885"/>
      <c r="I985" s="885"/>
      <c r="J985" s="885"/>
      <c r="K985" s="885"/>
      <c r="L985" s="885"/>
      <c r="M985" s="885"/>
      <c r="N985" s="885"/>
      <c r="O985" s="885"/>
      <c r="P985" s="66"/>
      <c r="Q985" s="66"/>
      <c r="R985" s="66"/>
      <c r="S985" s="66"/>
      <c r="T985" s="66"/>
      <c r="U985" s="67"/>
      <c r="V985" s="67"/>
      <c r="W985" s="67"/>
      <c r="X985" s="67"/>
      <c r="Y985" s="67"/>
      <c r="Z985" s="67"/>
      <c r="AA985" s="67"/>
      <c r="AB985" s="67"/>
      <c r="AC985" s="67"/>
      <c r="AD985" s="68"/>
      <c r="AE985" s="68"/>
      <c r="AF985" s="68"/>
      <c r="AG985" s="68"/>
      <c r="AH985" s="68"/>
      <c r="AI985" s="68"/>
      <c r="AJ985" s="68"/>
      <c r="AK985" s="68"/>
      <c r="AL985" s="68"/>
      <c r="AM985" s="69"/>
      <c r="AN985" s="69"/>
      <c r="AO985" s="69"/>
      <c r="AP985" s="69"/>
      <c r="AQ985" s="661"/>
      <c r="AR985" s="661"/>
      <c r="AS985" s="661"/>
      <c r="AT985" s="661"/>
      <c r="AV985" s="369" t="str">
        <f t="shared" si="661"/>
        <v>APPLIANCES</v>
      </c>
      <c r="AW985" s="696"/>
      <c r="AX985" s="696"/>
      <c r="AY985" s="696"/>
      <c r="AZ985" s="369"/>
      <c r="BA985" s="75">
        <f>BA942</f>
        <v>0</v>
      </c>
      <c r="BB985" s="75">
        <f>BB942</f>
        <v>0</v>
      </c>
      <c r="BC985" s="75">
        <f>BC942</f>
        <v>0</v>
      </c>
      <c r="BD985" s="75">
        <f>BD942</f>
        <v>0</v>
      </c>
      <c r="BE985" s="75">
        <f>BE942</f>
        <v>0</v>
      </c>
      <c r="BF985" s="75"/>
      <c r="BG985" s="75"/>
      <c r="BI985" s="75"/>
      <c r="BJ985" s="75"/>
      <c r="BK985" s="75"/>
    </row>
    <row r="986" spans="1:63" ht="9.6" hidden="1" customHeight="1">
      <c r="A986" s="187"/>
      <c r="B986" s="71"/>
      <c r="C986" s="71"/>
      <c r="D986" s="887"/>
      <c r="E986" s="887"/>
      <c r="F986" s="887"/>
      <c r="G986" s="887"/>
      <c r="H986" s="887"/>
      <c r="I986" s="887"/>
      <c r="J986" s="887"/>
      <c r="K986" s="887"/>
      <c r="L986" s="887"/>
      <c r="M986" s="887"/>
      <c r="N986" s="887"/>
      <c r="O986" s="887"/>
      <c r="P986" s="72"/>
      <c r="Q986" s="72"/>
      <c r="R986" s="72"/>
      <c r="S986" s="72"/>
      <c r="T986" s="72"/>
      <c r="U986" s="72"/>
      <c r="V986" s="72"/>
      <c r="W986" s="72"/>
      <c r="X986" s="72"/>
      <c r="Y986" s="72"/>
      <c r="Z986" s="72"/>
      <c r="AA986" s="72"/>
      <c r="AB986" s="72"/>
      <c r="AC986" s="73"/>
      <c r="AD986" s="662"/>
      <c r="AE986" s="662"/>
      <c r="AF986" s="662"/>
      <c r="AG986" s="662"/>
      <c r="AH986" s="662"/>
      <c r="AI986" s="662"/>
      <c r="AJ986" s="662"/>
      <c r="AK986" s="662"/>
      <c r="AL986" s="662"/>
      <c r="AM986" s="662"/>
      <c r="AN986" s="662"/>
      <c r="AO986" s="662"/>
      <c r="AP986" s="662"/>
      <c r="AQ986" s="663"/>
      <c r="AR986" s="663"/>
      <c r="AS986" s="663"/>
      <c r="AT986" s="663"/>
      <c r="AV986" s="371" t="str">
        <f t="shared" si="661"/>
        <v>APPLIANCES</v>
      </c>
      <c r="AW986" s="699"/>
      <c r="AX986" s="801"/>
      <c r="AY986" s="801"/>
      <c r="AZ986" s="371"/>
      <c r="BA986" s="125">
        <f>BA984</f>
        <v>0</v>
      </c>
      <c r="BB986" s="125">
        <f t="shared" ref="BB986:BG986" si="692">BB984</f>
        <v>0</v>
      </c>
      <c r="BC986" s="125">
        <f>BC984</f>
        <v>0</v>
      </c>
      <c r="BD986" s="125">
        <f t="shared" si="692"/>
        <v>0</v>
      </c>
      <c r="BE986" s="125">
        <f t="shared" si="692"/>
        <v>0</v>
      </c>
      <c r="BF986" s="125">
        <f t="shared" si="692"/>
        <v>0</v>
      </c>
      <c r="BG986" s="125">
        <f t="shared" si="692"/>
        <v>0</v>
      </c>
      <c r="BI986" s="125"/>
      <c r="BJ986" s="125"/>
      <c r="BK986" s="125"/>
    </row>
    <row r="987" spans="1:63" ht="21.6" customHeight="1">
      <c r="A987" s="186" t="s">
        <v>952</v>
      </c>
      <c r="B987" s="2343"/>
      <c r="C987" s="2344"/>
      <c r="D987" s="2387" t="str">
        <f>T(AJ79)</f>
        <v>PLUMBING</v>
      </c>
      <c r="E987" s="2388"/>
      <c r="F987" s="2388"/>
      <c r="G987" s="2388"/>
      <c r="H987" s="2388"/>
      <c r="I987" s="2388"/>
      <c r="J987" s="2388"/>
      <c r="K987" s="2388"/>
      <c r="L987" s="2388"/>
      <c r="M987" s="2388"/>
      <c r="N987" s="2388"/>
      <c r="O987" s="2389"/>
      <c r="P987" s="2345"/>
      <c r="Q987" s="2345"/>
      <c r="R987" s="2345"/>
      <c r="S987" s="2346"/>
      <c r="T987" s="2347"/>
      <c r="U987" s="2348"/>
      <c r="V987" s="2348"/>
      <c r="W987" s="2348"/>
      <c r="X987" s="2348"/>
      <c r="Y987" s="2348"/>
      <c r="Z987" s="2348"/>
      <c r="AA987" s="2348"/>
      <c r="AB987" s="2348"/>
      <c r="AC987" s="2348"/>
      <c r="AD987" s="2342">
        <f>AD1029</f>
        <v>0</v>
      </c>
      <c r="AE987" s="2342"/>
      <c r="AF987" s="2342"/>
      <c r="AG987" s="2342">
        <f>AG1029</f>
        <v>0</v>
      </c>
      <c r="AH987" s="2342"/>
      <c r="AI987" s="2342"/>
      <c r="AJ987" s="2342">
        <f>AJ1029</f>
        <v>0</v>
      </c>
      <c r="AK987" s="2342"/>
      <c r="AL987" s="2342"/>
      <c r="AM987" s="2342">
        <f>AM1029</f>
        <v>0</v>
      </c>
      <c r="AN987" s="2342"/>
      <c r="AO987" s="2342"/>
      <c r="AP987" s="2342"/>
      <c r="AQ987" s="2336">
        <f>AQ1029</f>
        <v>0</v>
      </c>
      <c r="AR987" s="2336"/>
      <c r="AS987" s="2336"/>
      <c r="AT987" s="2336" t="e">
        <f>SUM(#REF!)</f>
        <v>#REF!</v>
      </c>
      <c r="AV987" s="151" t="str">
        <f t="shared" ref="AV987:AV1031" si="693">$D$987</f>
        <v>PLUMBING</v>
      </c>
      <c r="AW987" s="700"/>
      <c r="AX987" s="700"/>
      <c r="AY987" s="700"/>
      <c r="AZ987" s="701"/>
      <c r="BA987" s="49">
        <f>SUM(BA988:BA1027)</f>
        <v>0</v>
      </c>
      <c r="BB987" s="49">
        <f>SUM(BB988:BB1027)</f>
        <v>0</v>
      </c>
      <c r="BC987" s="49">
        <f>SUM(BC988:BC1027)</f>
        <v>0</v>
      </c>
      <c r="BD987" s="49">
        <f>SUM(BD988:BD1027)</f>
        <v>0</v>
      </c>
      <c r="BE987" s="49">
        <f>SUM(BE988:BE1027)</f>
        <v>0</v>
      </c>
      <c r="BF987" s="49">
        <f t="shared" ref="BF987:BF1007" si="694">AQ987</f>
        <v>0</v>
      </c>
      <c r="BG987" s="49">
        <f t="shared" ref="BG987:BG1007" si="695">AM987</f>
        <v>0</v>
      </c>
      <c r="BI987" s="134">
        <f>AD987</f>
        <v>0</v>
      </c>
      <c r="BJ987" s="134">
        <f>AM987</f>
        <v>0</v>
      </c>
      <c r="BK987" s="134">
        <f>BJ987+BI987</f>
        <v>0</v>
      </c>
    </row>
    <row r="988" spans="1:63" hidden="1">
      <c r="A988" s="187"/>
      <c r="B988" s="2321"/>
      <c r="C988" s="2322"/>
      <c r="D988" s="2338" t="s">
        <v>63</v>
      </c>
      <c r="E988" s="2338"/>
      <c r="F988" s="2338"/>
      <c r="G988" s="2338"/>
      <c r="H988" s="2338"/>
      <c r="I988" s="2338"/>
      <c r="J988" s="2338"/>
      <c r="K988" s="2338"/>
      <c r="L988" s="2338"/>
      <c r="M988" s="2338"/>
      <c r="N988" s="2338"/>
      <c r="O988" s="2338"/>
      <c r="P988" s="2324"/>
      <c r="Q988" s="2324"/>
      <c r="R988" s="2325"/>
      <c r="S988" s="2324" t="s">
        <v>3</v>
      </c>
      <c r="T988" s="2324" t="s">
        <v>3</v>
      </c>
      <c r="U988" s="2326"/>
      <c r="V988" s="2327"/>
      <c r="W988" s="2327"/>
      <c r="X988" s="2327">
        <v>3500</v>
      </c>
      <c r="Y988" s="2327"/>
      <c r="Z988" s="2327"/>
      <c r="AA988" s="2328"/>
      <c r="AB988" s="2329"/>
      <c r="AC988" s="2326"/>
      <c r="AD988" s="2330">
        <f t="shared" ref="AD988:AD1007" si="696">((P988*U988)-AM988)</f>
        <v>0</v>
      </c>
      <c r="AE988" s="2330"/>
      <c r="AF988" s="2330"/>
      <c r="AG988" s="2330">
        <f>P988*X988*(1+$Y$85)</f>
        <v>0</v>
      </c>
      <c r="AH988" s="2330"/>
      <c r="AI988" s="2330"/>
      <c r="AJ988" s="2330">
        <f t="shared" ref="AJ988:AJ1007" si="697">P988*AA988</f>
        <v>0</v>
      </c>
      <c r="AK988" s="2330"/>
      <c r="AL988" s="2330"/>
      <c r="AM988" s="2331">
        <f t="shared" ref="AM988:AM1027" si="698">IF($B988="x",$P988*$U988,0)</f>
        <v>0</v>
      </c>
      <c r="AN988" s="2331"/>
      <c r="AO988" s="2331"/>
      <c r="AP988" s="2331"/>
      <c r="AQ988" s="2332">
        <f t="shared" ref="AQ988:AQ1007" si="699">SUM(AD988:AL988)</f>
        <v>0</v>
      </c>
      <c r="AR988" s="2332"/>
      <c r="AS988" s="2332"/>
      <c r="AT988" s="2332">
        <f t="shared" ref="AT988:AT1007" si="700">SUM(AD988:AL988)</f>
        <v>0</v>
      </c>
      <c r="AV988" s="151" t="str">
        <f t="shared" si="693"/>
        <v>PLUMBING</v>
      </c>
      <c r="AW988" s="681"/>
      <c r="AX988" s="230"/>
      <c r="AY988" s="230"/>
      <c r="AZ988" s="679"/>
      <c r="BA988" s="49">
        <f t="shared" ref="BA988:BA1007" si="701">AD988</f>
        <v>0</v>
      </c>
      <c r="BB988" s="49">
        <f>AG988</f>
        <v>0</v>
      </c>
      <c r="BC988" s="49">
        <f>AJ988</f>
        <v>0</v>
      </c>
      <c r="BD988" s="49">
        <f t="shared" ref="BD988:BD1007" si="702">IF(B988="x",1,0)</f>
        <v>0</v>
      </c>
      <c r="BE988" s="49">
        <f>SUM(BA988:BC988)</f>
        <v>0</v>
      </c>
      <c r="BF988" s="49">
        <f t="shared" si="694"/>
        <v>0</v>
      </c>
      <c r="BG988" s="49">
        <f t="shared" si="695"/>
        <v>0</v>
      </c>
      <c r="BI988" s="134">
        <f>AD988</f>
        <v>0</v>
      </c>
      <c r="BJ988" s="134">
        <f t="shared" ref="BJ988:BJ1007" si="703">AM988</f>
        <v>0</v>
      </c>
      <c r="BK988" s="134">
        <f>BJ988+BI988</f>
        <v>0</v>
      </c>
    </row>
    <row r="989" spans="1:63" hidden="1">
      <c r="A989" s="187"/>
      <c r="B989" s="2321"/>
      <c r="C989" s="2322"/>
      <c r="D989" s="2337" t="s">
        <v>308</v>
      </c>
      <c r="E989" s="2337"/>
      <c r="F989" s="2337"/>
      <c r="G989" s="2337"/>
      <c r="H989" s="2337"/>
      <c r="I989" s="2337"/>
      <c r="J989" s="2337"/>
      <c r="K989" s="2337"/>
      <c r="L989" s="2337"/>
      <c r="M989" s="2337"/>
      <c r="N989" s="2337"/>
      <c r="O989" s="2337"/>
      <c r="P989" s="2324"/>
      <c r="Q989" s="2324"/>
      <c r="R989" s="2325"/>
      <c r="S989" s="2324" t="s">
        <v>3</v>
      </c>
      <c r="T989" s="2324"/>
      <c r="U989" s="2326"/>
      <c r="V989" s="2327"/>
      <c r="W989" s="2327"/>
      <c r="X989" s="2327"/>
      <c r="Y989" s="2327"/>
      <c r="Z989" s="2327"/>
      <c r="AA989" s="2328"/>
      <c r="AB989" s="2329"/>
      <c r="AC989" s="2326"/>
      <c r="AD989" s="2330">
        <f t="shared" si="696"/>
        <v>0</v>
      </c>
      <c r="AE989" s="2330"/>
      <c r="AF989" s="2330"/>
      <c r="AG989" s="2330">
        <f t="shared" ref="AG989:AG1027" si="704">P989*X989*(1+$Y$85)</f>
        <v>0</v>
      </c>
      <c r="AH989" s="2330"/>
      <c r="AI989" s="2330"/>
      <c r="AJ989" s="2330">
        <f t="shared" si="697"/>
        <v>0</v>
      </c>
      <c r="AK989" s="2330"/>
      <c r="AL989" s="2330"/>
      <c r="AM989" s="2331">
        <f t="shared" si="698"/>
        <v>0</v>
      </c>
      <c r="AN989" s="2331"/>
      <c r="AO989" s="2331"/>
      <c r="AP989" s="2331"/>
      <c r="AQ989" s="2332">
        <f t="shared" si="699"/>
        <v>0</v>
      </c>
      <c r="AR989" s="2332"/>
      <c r="AS989" s="2332"/>
      <c r="AT989" s="2332">
        <f t="shared" si="700"/>
        <v>0</v>
      </c>
      <c r="AV989" s="151" t="str">
        <f t="shared" si="693"/>
        <v>PLUMBING</v>
      </c>
      <c r="AW989" s="681"/>
      <c r="AX989" s="230"/>
      <c r="AY989" s="230"/>
      <c r="AZ989" s="679"/>
      <c r="BA989" s="49">
        <f t="shared" si="701"/>
        <v>0</v>
      </c>
      <c r="BB989" s="49">
        <f t="shared" ref="BB989:BB1007" si="705">AG989</f>
        <v>0</v>
      </c>
      <c r="BC989" s="49">
        <f t="shared" ref="BC989:BC1007" si="706">AJ989</f>
        <v>0</v>
      </c>
      <c r="BD989" s="49">
        <f t="shared" si="702"/>
        <v>0</v>
      </c>
      <c r="BE989" s="49">
        <f t="shared" ref="BE989:BE1005" si="707">SUM(BA989:BC989)</f>
        <v>0</v>
      </c>
      <c r="BF989" s="49">
        <f t="shared" si="694"/>
        <v>0</v>
      </c>
      <c r="BG989" s="49">
        <f t="shared" si="695"/>
        <v>0</v>
      </c>
      <c r="BI989" s="134">
        <f t="shared" ref="BI989:BI1007" si="708">AD989</f>
        <v>0</v>
      </c>
      <c r="BJ989" s="134">
        <f t="shared" si="703"/>
        <v>0</v>
      </c>
      <c r="BK989" s="134">
        <f t="shared" ref="BK989:BK1007" si="709">BJ989+BI989</f>
        <v>0</v>
      </c>
    </row>
    <row r="990" spans="1:63" hidden="1">
      <c r="A990" s="187"/>
      <c r="B990" s="2333"/>
      <c r="C990" s="2333"/>
      <c r="D990" s="2334" t="s">
        <v>241</v>
      </c>
      <c r="E990" s="2334"/>
      <c r="F990" s="2334"/>
      <c r="G990" s="2334"/>
      <c r="H990" s="2334"/>
      <c r="I990" s="2334"/>
      <c r="J990" s="2334"/>
      <c r="K990" s="2334"/>
      <c r="L990" s="2334"/>
      <c r="M990" s="2334"/>
      <c r="N990" s="2334"/>
      <c r="O990" s="2334"/>
      <c r="P990" s="2324"/>
      <c r="Q990" s="2324"/>
      <c r="R990" s="2325"/>
      <c r="S990" s="2324" t="s">
        <v>18</v>
      </c>
      <c r="T990" s="2324" t="s">
        <v>18</v>
      </c>
      <c r="U990" s="2326">
        <v>65</v>
      </c>
      <c r="V990" s="2327"/>
      <c r="W990" s="2327"/>
      <c r="X990" s="2327"/>
      <c r="Y990" s="2327"/>
      <c r="Z990" s="2327"/>
      <c r="AA990" s="2328"/>
      <c r="AB990" s="2329"/>
      <c r="AC990" s="2326"/>
      <c r="AD990" s="2330">
        <f t="shared" si="696"/>
        <v>0</v>
      </c>
      <c r="AE990" s="2330"/>
      <c r="AF990" s="2330"/>
      <c r="AG990" s="2330">
        <f t="shared" si="704"/>
        <v>0</v>
      </c>
      <c r="AH990" s="2330"/>
      <c r="AI990" s="2330"/>
      <c r="AJ990" s="2330">
        <f t="shared" si="697"/>
        <v>0</v>
      </c>
      <c r="AK990" s="2330"/>
      <c r="AL990" s="2330"/>
      <c r="AM990" s="2331">
        <f t="shared" si="698"/>
        <v>0</v>
      </c>
      <c r="AN990" s="2331"/>
      <c r="AO990" s="2331"/>
      <c r="AP990" s="2331"/>
      <c r="AQ990" s="2332">
        <f t="shared" si="699"/>
        <v>0</v>
      </c>
      <c r="AR990" s="2332"/>
      <c r="AS990" s="2332"/>
      <c r="AT990" s="2332">
        <f t="shared" si="700"/>
        <v>0</v>
      </c>
      <c r="AV990" s="151" t="str">
        <f t="shared" si="693"/>
        <v>PLUMBING</v>
      </c>
      <c r="AW990" s="681"/>
      <c r="AX990" s="230"/>
      <c r="AY990" s="230"/>
      <c r="AZ990" s="679"/>
      <c r="BA990" s="49">
        <f t="shared" si="701"/>
        <v>0</v>
      </c>
      <c r="BB990" s="49">
        <f t="shared" si="705"/>
        <v>0</v>
      </c>
      <c r="BC990" s="49">
        <f t="shared" si="706"/>
        <v>0</v>
      </c>
      <c r="BD990" s="49">
        <f t="shared" si="702"/>
        <v>0</v>
      </c>
      <c r="BE990" s="49">
        <f t="shared" si="707"/>
        <v>0</v>
      </c>
      <c r="BF990" s="49">
        <f t="shared" si="694"/>
        <v>0</v>
      </c>
      <c r="BG990" s="49">
        <f t="shared" si="695"/>
        <v>0</v>
      </c>
      <c r="BI990" s="134">
        <f t="shared" si="708"/>
        <v>0</v>
      </c>
      <c r="BJ990" s="134">
        <f t="shared" si="703"/>
        <v>0</v>
      </c>
      <c r="BK990" s="134">
        <f t="shared" si="709"/>
        <v>0</v>
      </c>
    </row>
    <row r="991" spans="1:63" hidden="1">
      <c r="A991" s="187"/>
      <c r="B991" s="2333"/>
      <c r="C991" s="2333"/>
      <c r="D991" s="2334" t="s">
        <v>258</v>
      </c>
      <c r="E991" s="2334"/>
      <c r="F991" s="2334"/>
      <c r="G991" s="2334"/>
      <c r="H991" s="2334"/>
      <c r="I991" s="2334"/>
      <c r="J991" s="2334"/>
      <c r="K991" s="2334"/>
      <c r="L991" s="2334"/>
      <c r="M991" s="2334"/>
      <c r="N991" s="2334"/>
      <c r="O991" s="2334"/>
      <c r="P991" s="2324"/>
      <c r="Q991" s="2324"/>
      <c r="R991" s="2325"/>
      <c r="S991" s="2324" t="s">
        <v>11</v>
      </c>
      <c r="T991" s="2324" t="s">
        <v>11</v>
      </c>
      <c r="U991" s="2326">
        <v>10</v>
      </c>
      <c r="V991" s="2327"/>
      <c r="W991" s="2327"/>
      <c r="X991" s="2327"/>
      <c r="Y991" s="2327"/>
      <c r="Z991" s="2327"/>
      <c r="AA991" s="2328"/>
      <c r="AB991" s="2329"/>
      <c r="AC991" s="2326"/>
      <c r="AD991" s="2330">
        <f t="shared" si="696"/>
        <v>0</v>
      </c>
      <c r="AE991" s="2330"/>
      <c r="AF991" s="2330"/>
      <c r="AG991" s="2330">
        <f t="shared" si="704"/>
        <v>0</v>
      </c>
      <c r="AH991" s="2330"/>
      <c r="AI991" s="2330"/>
      <c r="AJ991" s="2330">
        <f t="shared" si="697"/>
        <v>0</v>
      </c>
      <c r="AK991" s="2330"/>
      <c r="AL991" s="2330"/>
      <c r="AM991" s="2331">
        <f t="shared" si="698"/>
        <v>0</v>
      </c>
      <c r="AN991" s="2331"/>
      <c r="AO991" s="2331"/>
      <c r="AP991" s="2331"/>
      <c r="AQ991" s="2332">
        <f t="shared" si="699"/>
        <v>0</v>
      </c>
      <c r="AR991" s="2332"/>
      <c r="AS991" s="2332"/>
      <c r="AT991" s="2332">
        <f t="shared" si="700"/>
        <v>0</v>
      </c>
      <c r="AV991" s="151" t="str">
        <f t="shared" si="693"/>
        <v>PLUMBING</v>
      </c>
      <c r="AW991" s="681"/>
      <c r="AX991" s="230"/>
      <c r="AY991" s="230"/>
      <c r="AZ991" s="679"/>
      <c r="BA991" s="49">
        <f t="shared" si="701"/>
        <v>0</v>
      </c>
      <c r="BB991" s="49">
        <f t="shared" si="705"/>
        <v>0</v>
      </c>
      <c r="BC991" s="49">
        <f t="shared" si="706"/>
        <v>0</v>
      </c>
      <c r="BD991" s="49">
        <f t="shared" si="702"/>
        <v>0</v>
      </c>
      <c r="BE991" s="49">
        <f t="shared" si="707"/>
        <v>0</v>
      </c>
      <c r="BF991" s="49">
        <f t="shared" si="694"/>
        <v>0</v>
      </c>
      <c r="BG991" s="49">
        <f t="shared" si="695"/>
        <v>0</v>
      </c>
      <c r="BI991" s="134">
        <f t="shared" si="708"/>
        <v>0</v>
      </c>
      <c r="BJ991" s="134">
        <f t="shared" si="703"/>
        <v>0</v>
      </c>
      <c r="BK991" s="134">
        <f t="shared" si="709"/>
        <v>0</v>
      </c>
    </row>
    <row r="992" spans="1:63" hidden="1">
      <c r="A992" s="187"/>
      <c r="B992" s="2321"/>
      <c r="C992" s="2322"/>
      <c r="D992" s="2334" t="s">
        <v>242</v>
      </c>
      <c r="E992" s="2334"/>
      <c r="F992" s="2334"/>
      <c r="G992" s="2334"/>
      <c r="H992" s="2334"/>
      <c r="I992" s="2334"/>
      <c r="J992" s="2334"/>
      <c r="K992" s="2334"/>
      <c r="L992" s="2334"/>
      <c r="M992" s="2334"/>
      <c r="N992" s="2334"/>
      <c r="O992" s="2334"/>
      <c r="P992" s="2324"/>
      <c r="Q992" s="2324"/>
      <c r="R992" s="2325"/>
      <c r="S992" s="2324" t="s">
        <v>18</v>
      </c>
      <c r="T992" s="2324" t="s">
        <v>18</v>
      </c>
      <c r="U992" s="2326">
        <v>65</v>
      </c>
      <c r="V992" s="2327"/>
      <c r="W992" s="2327"/>
      <c r="X992" s="2327"/>
      <c r="Y992" s="2327"/>
      <c r="Z992" s="2327"/>
      <c r="AA992" s="2328"/>
      <c r="AB992" s="2329"/>
      <c r="AC992" s="2326"/>
      <c r="AD992" s="2330">
        <f t="shared" si="696"/>
        <v>0</v>
      </c>
      <c r="AE992" s="2330"/>
      <c r="AF992" s="2330"/>
      <c r="AG992" s="2330">
        <f t="shared" si="704"/>
        <v>0</v>
      </c>
      <c r="AH992" s="2330"/>
      <c r="AI992" s="2330"/>
      <c r="AJ992" s="2330">
        <f t="shared" si="697"/>
        <v>0</v>
      </c>
      <c r="AK992" s="2330"/>
      <c r="AL992" s="2330"/>
      <c r="AM992" s="2331">
        <f t="shared" si="698"/>
        <v>0</v>
      </c>
      <c r="AN992" s="2331"/>
      <c r="AO992" s="2331"/>
      <c r="AP992" s="2331"/>
      <c r="AQ992" s="2332">
        <f t="shared" si="699"/>
        <v>0</v>
      </c>
      <c r="AR992" s="2332"/>
      <c r="AS992" s="2332"/>
      <c r="AT992" s="2332">
        <f t="shared" si="700"/>
        <v>0</v>
      </c>
      <c r="AV992" s="151" t="str">
        <f t="shared" si="693"/>
        <v>PLUMBING</v>
      </c>
      <c r="AW992" s="681"/>
      <c r="AX992" s="230"/>
      <c r="AY992" s="230"/>
      <c r="AZ992" s="679"/>
      <c r="BA992" s="49">
        <f t="shared" si="701"/>
        <v>0</v>
      </c>
      <c r="BB992" s="49">
        <f t="shared" si="705"/>
        <v>0</v>
      </c>
      <c r="BC992" s="49">
        <f t="shared" si="706"/>
        <v>0</v>
      </c>
      <c r="BD992" s="49">
        <f t="shared" si="702"/>
        <v>0</v>
      </c>
      <c r="BE992" s="49">
        <f t="shared" si="707"/>
        <v>0</v>
      </c>
      <c r="BF992" s="49">
        <f t="shared" si="694"/>
        <v>0</v>
      </c>
      <c r="BG992" s="49">
        <f t="shared" si="695"/>
        <v>0</v>
      </c>
      <c r="BI992" s="134">
        <f t="shared" si="708"/>
        <v>0</v>
      </c>
      <c r="BJ992" s="134">
        <f t="shared" si="703"/>
        <v>0</v>
      </c>
      <c r="BK992" s="134">
        <f t="shared" si="709"/>
        <v>0</v>
      </c>
    </row>
    <row r="993" spans="1:63" hidden="1">
      <c r="A993" s="187"/>
      <c r="B993" s="2321"/>
      <c r="C993" s="2322"/>
      <c r="D993" s="2334" t="s">
        <v>26</v>
      </c>
      <c r="E993" s="2334"/>
      <c r="F993" s="2334"/>
      <c r="G993" s="2334"/>
      <c r="H993" s="2334"/>
      <c r="I993" s="2334"/>
      <c r="J993" s="2334"/>
      <c r="K993" s="2334"/>
      <c r="L993" s="2334"/>
      <c r="M993" s="2334"/>
      <c r="N993" s="2334"/>
      <c r="O993" s="2334"/>
      <c r="P993" s="2324"/>
      <c r="Q993" s="2324"/>
      <c r="R993" s="2325"/>
      <c r="S993" s="2324" t="s">
        <v>2</v>
      </c>
      <c r="T993" s="2324" t="s">
        <v>2</v>
      </c>
      <c r="U993" s="2326">
        <v>200</v>
      </c>
      <c r="V993" s="2327"/>
      <c r="W993" s="2327"/>
      <c r="X993" s="2327">
        <v>350</v>
      </c>
      <c r="Y993" s="2327"/>
      <c r="Z993" s="2327">
        <v>350</v>
      </c>
      <c r="AA993" s="2328"/>
      <c r="AB993" s="2329"/>
      <c r="AC993" s="2326"/>
      <c r="AD993" s="2330">
        <f t="shared" si="696"/>
        <v>0</v>
      </c>
      <c r="AE993" s="2330"/>
      <c r="AF993" s="2330"/>
      <c r="AG993" s="2330">
        <f t="shared" si="704"/>
        <v>0</v>
      </c>
      <c r="AH993" s="2330"/>
      <c r="AI993" s="2330"/>
      <c r="AJ993" s="2330">
        <f t="shared" si="697"/>
        <v>0</v>
      </c>
      <c r="AK993" s="2330"/>
      <c r="AL993" s="2330"/>
      <c r="AM993" s="2331">
        <f t="shared" si="698"/>
        <v>0</v>
      </c>
      <c r="AN993" s="2331"/>
      <c r="AO993" s="2331"/>
      <c r="AP993" s="2331"/>
      <c r="AQ993" s="2332">
        <f t="shared" si="699"/>
        <v>0</v>
      </c>
      <c r="AR993" s="2332"/>
      <c r="AS993" s="2332"/>
      <c r="AT993" s="2332">
        <f t="shared" si="700"/>
        <v>0</v>
      </c>
      <c r="AV993" s="151" t="str">
        <f t="shared" si="693"/>
        <v>PLUMBING</v>
      </c>
      <c r="AW993" s="681"/>
      <c r="AX993" s="230"/>
      <c r="AY993" s="230"/>
      <c r="AZ993" s="679"/>
      <c r="BA993" s="49">
        <f t="shared" si="701"/>
        <v>0</v>
      </c>
      <c r="BB993" s="49">
        <f t="shared" si="705"/>
        <v>0</v>
      </c>
      <c r="BC993" s="49">
        <f t="shared" si="706"/>
        <v>0</v>
      </c>
      <c r="BD993" s="49">
        <f t="shared" si="702"/>
        <v>0</v>
      </c>
      <c r="BE993" s="49">
        <f t="shared" si="707"/>
        <v>0</v>
      </c>
      <c r="BF993" s="49">
        <f t="shared" si="694"/>
        <v>0</v>
      </c>
      <c r="BG993" s="49">
        <f t="shared" si="695"/>
        <v>0</v>
      </c>
      <c r="BI993" s="134">
        <f t="shared" si="708"/>
        <v>0</v>
      </c>
      <c r="BJ993" s="134">
        <f t="shared" si="703"/>
        <v>0</v>
      </c>
      <c r="BK993" s="134">
        <f t="shared" si="709"/>
        <v>0</v>
      </c>
    </row>
    <row r="994" spans="1:63" hidden="1">
      <c r="A994" s="187"/>
      <c r="B994" s="2333"/>
      <c r="C994" s="2333"/>
      <c r="D994" s="2337" t="s">
        <v>45</v>
      </c>
      <c r="E994" s="2337"/>
      <c r="F994" s="2337"/>
      <c r="G994" s="2337"/>
      <c r="H994" s="2337"/>
      <c r="I994" s="2337"/>
      <c r="J994" s="2337"/>
      <c r="K994" s="2337"/>
      <c r="L994" s="2337"/>
      <c r="M994" s="2337"/>
      <c r="N994" s="2337"/>
      <c r="O994" s="2337"/>
      <c r="P994" s="2324"/>
      <c r="Q994" s="2324"/>
      <c r="R994" s="2325"/>
      <c r="S994" s="2324"/>
      <c r="T994" s="2324"/>
      <c r="U994" s="2326"/>
      <c r="V994" s="2327"/>
      <c r="W994" s="2327"/>
      <c r="X994" s="2327"/>
      <c r="Y994" s="2327"/>
      <c r="Z994" s="2327"/>
      <c r="AA994" s="2328"/>
      <c r="AB994" s="2329"/>
      <c r="AC994" s="2326"/>
      <c r="AD994" s="2330">
        <f t="shared" si="696"/>
        <v>0</v>
      </c>
      <c r="AE994" s="2330"/>
      <c r="AF994" s="2330"/>
      <c r="AG994" s="2330">
        <f t="shared" si="704"/>
        <v>0</v>
      </c>
      <c r="AH994" s="2330"/>
      <c r="AI994" s="2330"/>
      <c r="AJ994" s="2330">
        <f t="shared" si="697"/>
        <v>0</v>
      </c>
      <c r="AK994" s="2330"/>
      <c r="AL994" s="2330"/>
      <c r="AM994" s="2331">
        <f t="shared" si="698"/>
        <v>0</v>
      </c>
      <c r="AN994" s="2331"/>
      <c r="AO994" s="2331"/>
      <c r="AP994" s="2331"/>
      <c r="AQ994" s="2332">
        <f t="shared" si="699"/>
        <v>0</v>
      </c>
      <c r="AR994" s="2332"/>
      <c r="AS994" s="2332"/>
      <c r="AT994" s="2332">
        <f t="shared" si="700"/>
        <v>0</v>
      </c>
      <c r="AV994" s="151" t="str">
        <f t="shared" si="693"/>
        <v>PLUMBING</v>
      </c>
      <c r="AW994" s="681"/>
      <c r="AX994" s="230"/>
      <c r="AY994" s="230"/>
      <c r="AZ994" s="679"/>
      <c r="BA994" s="49">
        <f t="shared" si="701"/>
        <v>0</v>
      </c>
      <c r="BB994" s="49">
        <f t="shared" si="705"/>
        <v>0</v>
      </c>
      <c r="BC994" s="49">
        <f t="shared" si="706"/>
        <v>0</v>
      </c>
      <c r="BD994" s="49">
        <f t="shared" si="702"/>
        <v>0</v>
      </c>
      <c r="BE994" s="49">
        <f t="shared" si="707"/>
        <v>0</v>
      </c>
      <c r="BF994" s="49">
        <f t="shared" si="694"/>
        <v>0</v>
      </c>
      <c r="BG994" s="49">
        <f t="shared" si="695"/>
        <v>0</v>
      </c>
      <c r="BI994" s="134">
        <f t="shared" si="708"/>
        <v>0</v>
      </c>
      <c r="BJ994" s="134">
        <f t="shared" si="703"/>
        <v>0</v>
      </c>
      <c r="BK994" s="134">
        <f t="shared" si="709"/>
        <v>0</v>
      </c>
    </row>
    <row r="995" spans="1:63" hidden="1">
      <c r="A995" s="187"/>
      <c r="B995" s="2333"/>
      <c r="C995" s="2333"/>
      <c r="D995" s="2334" t="s">
        <v>243</v>
      </c>
      <c r="E995" s="2334"/>
      <c r="F995" s="2334"/>
      <c r="G995" s="2334"/>
      <c r="H995" s="2334"/>
      <c r="I995" s="2334"/>
      <c r="J995" s="2334"/>
      <c r="K995" s="2334"/>
      <c r="L995" s="2334"/>
      <c r="M995" s="2334"/>
      <c r="N995" s="2334"/>
      <c r="O995" s="2334"/>
      <c r="P995" s="2324"/>
      <c r="Q995" s="2324"/>
      <c r="R995" s="2325"/>
      <c r="S995" s="2324" t="s">
        <v>2</v>
      </c>
      <c r="T995" s="2324" t="s">
        <v>2</v>
      </c>
      <c r="U995" s="2326">
        <v>75</v>
      </c>
      <c r="V995" s="2327"/>
      <c r="W995" s="2327"/>
      <c r="X995" s="2327">
        <v>150</v>
      </c>
      <c r="Y995" s="2327"/>
      <c r="Z995" s="2327"/>
      <c r="AA995" s="2328"/>
      <c r="AB995" s="2329"/>
      <c r="AC995" s="2326"/>
      <c r="AD995" s="2330">
        <f t="shared" si="696"/>
        <v>0</v>
      </c>
      <c r="AE995" s="2330"/>
      <c r="AF995" s="2330"/>
      <c r="AG995" s="2330">
        <f t="shared" si="704"/>
        <v>0</v>
      </c>
      <c r="AH995" s="2330"/>
      <c r="AI995" s="2330"/>
      <c r="AJ995" s="2330">
        <f t="shared" si="697"/>
        <v>0</v>
      </c>
      <c r="AK995" s="2330"/>
      <c r="AL995" s="2330"/>
      <c r="AM995" s="2331">
        <f t="shared" si="698"/>
        <v>0</v>
      </c>
      <c r="AN995" s="2331"/>
      <c r="AO995" s="2331"/>
      <c r="AP995" s="2331"/>
      <c r="AQ995" s="2332">
        <f t="shared" si="699"/>
        <v>0</v>
      </c>
      <c r="AR995" s="2332"/>
      <c r="AS995" s="2332"/>
      <c r="AT995" s="2332">
        <f t="shared" si="700"/>
        <v>0</v>
      </c>
      <c r="AV995" s="151" t="str">
        <f t="shared" si="693"/>
        <v>PLUMBING</v>
      </c>
      <c r="AW995" s="681" t="s">
        <v>45</v>
      </c>
      <c r="AX995" s="230"/>
      <c r="AY995" s="230"/>
      <c r="AZ995" s="679"/>
      <c r="BA995" s="49">
        <f t="shared" si="701"/>
        <v>0</v>
      </c>
      <c r="BB995" s="49">
        <f t="shared" si="705"/>
        <v>0</v>
      </c>
      <c r="BC995" s="49">
        <f t="shared" si="706"/>
        <v>0</v>
      </c>
      <c r="BD995" s="49">
        <f t="shared" si="702"/>
        <v>0</v>
      </c>
      <c r="BE995" s="49">
        <f t="shared" si="707"/>
        <v>0</v>
      </c>
      <c r="BF995" s="49">
        <f t="shared" si="694"/>
        <v>0</v>
      </c>
      <c r="BG995" s="49">
        <f t="shared" si="695"/>
        <v>0</v>
      </c>
      <c r="BI995" s="134">
        <f t="shared" si="708"/>
        <v>0</v>
      </c>
      <c r="BJ995" s="134">
        <f t="shared" si="703"/>
        <v>0</v>
      </c>
      <c r="BK995" s="134">
        <f t="shared" si="709"/>
        <v>0</v>
      </c>
    </row>
    <row r="996" spans="1:63" hidden="1">
      <c r="A996" s="187"/>
      <c r="B996" s="2321"/>
      <c r="C996" s="2322"/>
      <c r="D996" s="2334" t="s">
        <v>841</v>
      </c>
      <c r="E996" s="2334"/>
      <c r="F996" s="2334"/>
      <c r="G996" s="2334"/>
      <c r="H996" s="2334"/>
      <c r="I996" s="2334"/>
      <c r="J996" s="2334"/>
      <c r="K996" s="2334"/>
      <c r="L996" s="2334"/>
      <c r="M996" s="2334"/>
      <c r="N996" s="2334"/>
      <c r="O996" s="2334"/>
      <c r="P996" s="2324"/>
      <c r="Q996" s="2324"/>
      <c r="R996" s="2325"/>
      <c r="S996" s="2324" t="s">
        <v>2</v>
      </c>
      <c r="T996" s="2324" t="s">
        <v>2</v>
      </c>
      <c r="U996" s="2326">
        <v>50</v>
      </c>
      <c r="V996" s="2327"/>
      <c r="W996" s="2327"/>
      <c r="X996" s="2327">
        <v>100</v>
      </c>
      <c r="Y996" s="2327"/>
      <c r="Z996" s="2327"/>
      <c r="AA996" s="2328"/>
      <c r="AB996" s="2329"/>
      <c r="AC996" s="2326"/>
      <c r="AD996" s="2330">
        <f t="shared" si="696"/>
        <v>0</v>
      </c>
      <c r="AE996" s="2330"/>
      <c r="AF996" s="2330"/>
      <c r="AG996" s="2330">
        <f t="shared" si="704"/>
        <v>0</v>
      </c>
      <c r="AH996" s="2330"/>
      <c r="AI996" s="2330"/>
      <c r="AJ996" s="2330">
        <f t="shared" si="697"/>
        <v>0</v>
      </c>
      <c r="AK996" s="2330"/>
      <c r="AL996" s="2330"/>
      <c r="AM996" s="2331">
        <f t="shared" si="698"/>
        <v>0</v>
      </c>
      <c r="AN996" s="2331"/>
      <c r="AO996" s="2331"/>
      <c r="AP996" s="2331"/>
      <c r="AQ996" s="2332">
        <f t="shared" si="699"/>
        <v>0</v>
      </c>
      <c r="AR996" s="2332"/>
      <c r="AS996" s="2332"/>
      <c r="AT996" s="2332">
        <f t="shared" si="700"/>
        <v>0</v>
      </c>
      <c r="AV996" s="151" t="str">
        <f t="shared" si="693"/>
        <v>PLUMBING</v>
      </c>
      <c r="AW996" s="681" t="s">
        <v>45</v>
      </c>
      <c r="AX996" s="230"/>
      <c r="AY996" s="230"/>
      <c r="AZ996" s="679"/>
      <c r="BA996" s="49">
        <f t="shared" si="701"/>
        <v>0</v>
      </c>
      <c r="BB996" s="49">
        <f t="shared" si="705"/>
        <v>0</v>
      </c>
      <c r="BC996" s="49">
        <f t="shared" si="706"/>
        <v>0</v>
      </c>
      <c r="BD996" s="49">
        <f t="shared" si="702"/>
        <v>0</v>
      </c>
      <c r="BE996" s="49">
        <f t="shared" si="707"/>
        <v>0</v>
      </c>
      <c r="BF996" s="49">
        <f t="shared" si="694"/>
        <v>0</v>
      </c>
      <c r="BG996" s="49">
        <f t="shared" si="695"/>
        <v>0</v>
      </c>
      <c r="BI996" s="134">
        <f t="shared" si="708"/>
        <v>0</v>
      </c>
      <c r="BJ996" s="134">
        <f t="shared" si="703"/>
        <v>0</v>
      </c>
      <c r="BK996" s="134">
        <f t="shared" si="709"/>
        <v>0</v>
      </c>
    </row>
    <row r="997" spans="1:63" hidden="1">
      <c r="A997" s="187"/>
      <c r="B997" s="2321"/>
      <c r="C997" s="2322"/>
      <c r="D997" s="2334" t="s">
        <v>244</v>
      </c>
      <c r="E997" s="2334"/>
      <c r="F997" s="2334"/>
      <c r="G997" s="2334"/>
      <c r="H997" s="2334"/>
      <c r="I997" s="2334"/>
      <c r="J997" s="2334"/>
      <c r="K997" s="2334"/>
      <c r="L997" s="2334"/>
      <c r="M997" s="2334"/>
      <c r="N997" s="2334"/>
      <c r="O997" s="2334"/>
      <c r="P997" s="2324"/>
      <c r="Q997" s="2324"/>
      <c r="R997" s="2325"/>
      <c r="S997" s="2324" t="s">
        <v>2</v>
      </c>
      <c r="T997" s="2324" t="s">
        <v>2</v>
      </c>
      <c r="U997" s="2326">
        <v>50</v>
      </c>
      <c r="V997" s="2327"/>
      <c r="W997" s="2327"/>
      <c r="X997" s="2327">
        <v>25</v>
      </c>
      <c r="Y997" s="2327"/>
      <c r="Z997" s="2327"/>
      <c r="AA997" s="2328"/>
      <c r="AB997" s="2329"/>
      <c r="AC997" s="2326"/>
      <c r="AD997" s="2330">
        <f t="shared" si="696"/>
        <v>0</v>
      </c>
      <c r="AE997" s="2330"/>
      <c r="AF997" s="2330"/>
      <c r="AG997" s="2330">
        <f t="shared" si="704"/>
        <v>0</v>
      </c>
      <c r="AH997" s="2330"/>
      <c r="AI997" s="2330"/>
      <c r="AJ997" s="2330">
        <f t="shared" si="697"/>
        <v>0</v>
      </c>
      <c r="AK997" s="2330"/>
      <c r="AL997" s="2330"/>
      <c r="AM997" s="2331">
        <f t="shared" si="698"/>
        <v>0</v>
      </c>
      <c r="AN997" s="2331"/>
      <c r="AO997" s="2331"/>
      <c r="AP997" s="2331"/>
      <c r="AQ997" s="2332">
        <f t="shared" si="699"/>
        <v>0</v>
      </c>
      <c r="AR997" s="2332"/>
      <c r="AS997" s="2332"/>
      <c r="AT997" s="2332">
        <f t="shared" si="700"/>
        <v>0</v>
      </c>
      <c r="AV997" s="151" t="str">
        <f t="shared" si="693"/>
        <v>PLUMBING</v>
      </c>
      <c r="AW997" s="681" t="s">
        <v>45</v>
      </c>
      <c r="AX997" s="230"/>
      <c r="AY997" s="230"/>
      <c r="AZ997" s="679"/>
      <c r="BA997" s="49">
        <f t="shared" si="701"/>
        <v>0</v>
      </c>
      <c r="BB997" s="49">
        <f t="shared" si="705"/>
        <v>0</v>
      </c>
      <c r="BC997" s="49">
        <f t="shared" si="706"/>
        <v>0</v>
      </c>
      <c r="BD997" s="49">
        <f t="shared" si="702"/>
        <v>0</v>
      </c>
      <c r="BE997" s="49">
        <f t="shared" si="707"/>
        <v>0</v>
      </c>
      <c r="BF997" s="49">
        <f t="shared" si="694"/>
        <v>0</v>
      </c>
      <c r="BG997" s="49">
        <f t="shared" si="695"/>
        <v>0</v>
      </c>
      <c r="BI997" s="134">
        <f t="shared" si="708"/>
        <v>0</v>
      </c>
      <c r="BJ997" s="134">
        <f t="shared" si="703"/>
        <v>0</v>
      </c>
      <c r="BK997" s="134">
        <f t="shared" si="709"/>
        <v>0</v>
      </c>
    </row>
    <row r="998" spans="1:63" hidden="1">
      <c r="A998" s="187"/>
      <c r="B998" s="2321"/>
      <c r="C998" s="2322"/>
      <c r="D998" s="2334" t="s">
        <v>245</v>
      </c>
      <c r="E998" s="2334"/>
      <c r="F998" s="2334"/>
      <c r="G998" s="2334"/>
      <c r="H998" s="2334"/>
      <c r="I998" s="2334"/>
      <c r="J998" s="2334"/>
      <c r="K998" s="2334"/>
      <c r="L998" s="2334"/>
      <c r="M998" s="2334"/>
      <c r="N998" s="2334"/>
      <c r="O998" s="2334"/>
      <c r="P998" s="2324"/>
      <c r="Q998" s="2324"/>
      <c r="R998" s="2325"/>
      <c r="S998" s="2324" t="s">
        <v>2</v>
      </c>
      <c r="T998" s="2324" t="s">
        <v>2</v>
      </c>
      <c r="U998" s="2326">
        <v>50</v>
      </c>
      <c r="V998" s="2327"/>
      <c r="W998" s="2327"/>
      <c r="X998" s="2327">
        <v>25</v>
      </c>
      <c r="Y998" s="2327"/>
      <c r="Z998" s="2327"/>
      <c r="AA998" s="2328"/>
      <c r="AB998" s="2329"/>
      <c r="AC998" s="2326"/>
      <c r="AD998" s="2330">
        <f t="shared" si="696"/>
        <v>0</v>
      </c>
      <c r="AE998" s="2330"/>
      <c r="AF998" s="2330"/>
      <c r="AG998" s="2330">
        <f t="shared" si="704"/>
        <v>0</v>
      </c>
      <c r="AH998" s="2330"/>
      <c r="AI998" s="2330"/>
      <c r="AJ998" s="2330">
        <f t="shared" si="697"/>
        <v>0</v>
      </c>
      <c r="AK998" s="2330"/>
      <c r="AL998" s="2330"/>
      <c r="AM998" s="2331">
        <f t="shared" si="698"/>
        <v>0</v>
      </c>
      <c r="AN998" s="2331"/>
      <c r="AO998" s="2331"/>
      <c r="AP998" s="2331"/>
      <c r="AQ998" s="2332">
        <f t="shared" si="699"/>
        <v>0</v>
      </c>
      <c r="AR998" s="2332"/>
      <c r="AS998" s="2332"/>
      <c r="AT998" s="2332">
        <f t="shared" si="700"/>
        <v>0</v>
      </c>
      <c r="AV998" s="151" t="str">
        <f t="shared" si="693"/>
        <v>PLUMBING</v>
      </c>
      <c r="AW998" s="681" t="s">
        <v>45</v>
      </c>
      <c r="AX998" s="230"/>
      <c r="AY998" s="230"/>
      <c r="AZ998" s="679"/>
      <c r="BA998" s="49">
        <f t="shared" si="701"/>
        <v>0</v>
      </c>
      <c r="BB998" s="49">
        <f t="shared" si="705"/>
        <v>0</v>
      </c>
      <c r="BC998" s="49">
        <f t="shared" si="706"/>
        <v>0</v>
      </c>
      <c r="BD998" s="49">
        <f t="shared" si="702"/>
        <v>0</v>
      </c>
      <c r="BE998" s="49">
        <f t="shared" si="707"/>
        <v>0</v>
      </c>
      <c r="BF998" s="49">
        <f t="shared" si="694"/>
        <v>0</v>
      </c>
      <c r="BG998" s="49">
        <f t="shared" si="695"/>
        <v>0</v>
      </c>
      <c r="BI998" s="134">
        <f t="shared" si="708"/>
        <v>0</v>
      </c>
      <c r="BJ998" s="134">
        <f t="shared" si="703"/>
        <v>0</v>
      </c>
      <c r="BK998" s="134">
        <f t="shared" si="709"/>
        <v>0</v>
      </c>
    </row>
    <row r="999" spans="1:63" hidden="1">
      <c r="A999" s="187"/>
      <c r="B999" s="2333"/>
      <c r="C999" s="2333"/>
      <c r="D999" s="2337" t="s">
        <v>46</v>
      </c>
      <c r="E999" s="2337"/>
      <c r="F999" s="2337"/>
      <c r="G999" s="2337"/>
      <c r="H999" s="2337"/>
      <c r="I999" s="2337"/>
      <c r="J999" s="2337"/>
      <c r="K999" s="2337"/>
      <c r="L999" s="2337"/>
      <c r="M999" s="2337"/>
      <c r="N999" s="2337"/>
      <c r="O999" s="2337"/>
      <c r="P999" s="2324"/>
      <c r="Q999" s="2324"/>
      <c r="R999" s="2325"/>
      <c r="S999" s="2324"/>
      <c r="T999" s="2324"/>
      <c r="U999" s="2326"/>
      <c r="V999" s="2327"/>
      <c r="W999" s="2327"/>
      <c r="X999" s="2327"/>
      <c r="Y999" s="2327"/>
      <c r="Z999" s="2327"/>
      <c r="AA999" s="2328"/>
      <c r="AB999" s="2329"/>
      <c r="AC999" s="2326"/>
      <c r="AD999" s="2330">
        <f t="shared" si="696"/>
        <v>0</v>
      </c>
      <c r="AE999" s="2330"/>
      <c r="AF999" s="2330"/>
      <c r="AG999" s="2330">
        <f t="shared" si="704"/>
        <v>0</v>
      </c>
      <c r="AH999" s="2330"/>
      <c r="AI999" s="2330"/>
      <c r="AJ999" s="2330">
        <f t="shared" si="697"/>
        <v>0</v>
      </c>
      <c r="AK999" s="2330"/>
      <c r="AL999" s="2330"/>
      <c r="AM999" s="2331">
        <f t="shared" si="698"/>
        <v>0</v>
      </c>
      <c r="AN999" s="2331"/>
      <c r="AO999" s="2331"/>
      <c r="AP999" s="2331"/>
      <c r="AQ999" s="2332">
        <f t="shared" si="699"/>
        <v>0</v>
      </c>
      <c r="AR999" s="2332"/>
      <c r="AS999" s="2332"/>
      <c r="AT999" s="2332">
        <f t="shared" si="700"/>
        <v>0</v>
      </c>
      <c r="AV999" s="151" t="str">
        <f t="shared" si="693"/>
        <v>PLUMBING</v>
      </c>
      <c r="AW999" s="681"/>
      <c r="AX999" s="230"/>
      <c r="AY999" s="230"/>
      <c r="AZ999" s="679"/>
      <c r="BA999" s="49">
        <f t="shared" si="701"/>
        <v>0</v>
      </c>
      <c r="BB999" s="49">
        <f t="shared" si="705"/>
        <v>0</v>
      </c>
      <c r="BC999" s="49">
        <f t="shared" si="706"/>
        <v>0</v>
      </c>
      <c r="BD999" s="49">
        <f t="shared" si="702"/>
        <v>0</v>
      </c>
      <c r="BE999" s="49">
        <f t="shared" si="707"/>
        <v>0</v>
      </c>
      <c r="BF999" s="49">
        <f t="shared" si="694"/>
        <v>0</v>
      </c>
      <c r="BG999" s="49">
        <f t="shared" si="695"/>
        <v>0</v>
      </c>
      <c r="BI999" s="134">
        <f t="shared" si="708"/>
        <v>0</v>
      </c>
      <c r="BJ999" s="134">
        <f t="shared" si="703"/>
        <v>0</v>
      </c>
      <c r="BK999" s="134">
        <f t="shared" si="709"/>
        <v>0</v>
      </c>
    </row>
    <row r="1000" spans="1:63" hidden="1">
      <c r="A1000" s="187"/>
      <c r="B1000" s="2321"/>
      <c r="C1000" s="2322"/>
      <c r="D1000" s="2334" t="s">
        <v>246</v>
      </c>
      <c r="E1000" s="2334"/>
      <c r="F1000" s="2334"/>
      <c r="G1000" s="2334"/>
      <c r="H1000" s="2334"/>
      <c r="I1000" s="2334"/>
      <c r="J1000" s="2334"/>
      <c r="K1000" s="2334"/>
      <c r="L1000" s="2334"/>
      <c r="M1000" s="2334"/>
      <c r="N1000" s="2334"/>
      <c r="O1000" s="2334"/>
      <c r="P1000" s="2324"/>
      <c r="Q1000" s="2324"/>
      <c r="R1000" s="2325"/>
      <c r="S1000" s="2324" t="s">
        <v>2</v>
      </c>
      <c r="T1000" s="2324" t="s">
        <v>2</v>
      </c>
      <c r="U1000" s="2326">
        <v>75</v>
      </c>
      <c r="V1000" s="2327"/>
      <c r="W1000" s="2327"/>
      <c r="X1000" s="2327">
        <v>125</v>
      </c>
      <c r="Y1000" s="2327"/>
      <c r="Z1000" s="2327">
        <v>125</v>
      </c>
      <c r="AA1000" s="2328"/>
      <c r="AB1000" s="2329"/>
      <c r="AC1000" s="2326"/>
      <c r="AD1000" s="2330">
        <f t="shared" si="696"/>
        <v>0</v>
      </c>
      <c r="AE1000" s="2330"/>
      <c r="AF1000" s="2330"/>
      <c r="AG1000" s="2330">
        <f t="shared" si="704"/>
        <v>0</v>
      </c>
      <c r="AH1000" s="2330"/>
      <c r="AI1000" s="2330"/>
      <c r="AJ1000" s="2330">
        <f t="shared" si="697"/>
        <v>0</v>
      </c>
      <c r="AK1000" s="2330"/>
      <c r="AL1000" s="2330"/>
      <c r="AM1000" s="2331">
        <f t="shared" si="698"/>
        <v>0</v>
      </c>
      <c r="AN1000" s="2331"/>
      <c r="AO1000" s="2331"/>
      <c r="AP1000" s="2331"/>
      <c r="AQ1000" s="2332">
        <f t="shared" si="699"/>
        <v>0</v>
      </c>
      <c r="AR1000" s="2332"/>
      <c r="AS1000" s="2332"/>
      <c r="AT1000" s="2332">
        <f t="shared" si="700"/>
        <v>0</v>
      </c>
      <c r="AV1000" s="151" t="str">
        <f t="shared" si="693"/>
        <v>PLUMBING</v>
      </c>
      <c r="AW1000" s="681" t="s">
        <v>46</v>
      </c>
      <c r="AX1000" s="230"/>
      <c r="AY1000" s="230"/>
      <c r="AZ1000" s="679"/>
      <c r="BA1000" s="49">
        <f t="shared" si="701"/>
        <v>0</v>
      </c>
      <c r="BB1000" s="49">
        <f t="shared" si="705"/>
        <v>0</v>
      </c>
      <c r="BC1000" s="49">
        <f t="shared" si="706"/>
        <v>0</v>
      </c>
      <c r="BD1000" s="49">
        <f t="shared" si="702"/>
        <v>0</v>
      </c>
      <c r="BE1000" s="49">
        <f t="shared" si="707"/>
        <v>0</v>
      </c>
      <c r="BF1000" s="49">
        <f t="shared" si="694"/>
        <v>0</v>
      </c>
      <c r="BG1000" s="49">
        <f t="shared" si="695"/>
        <v>0</v>
      </c>
      <c r="BI1000" s="134">
        <f t="shared" si="708"/>
        <v>0</v>
      </c>
      <c r="BJ1000" s="134">
        <f t="shared" si="703"/>
        <v>0</v>
      </c>
      <c r="BK1000" s="134">
        <f t="shared" si="709"/>
        <v>0</v>
      </c>
    </row>
    <row r="1001" spans="1:63" hidden="1">
      <c r="A1001" s="187"/>
      <c r="B1001" s="2321"/>
      <c r="C1001" s="2322"/>
      <c r="D1001" s="2334" t="s">
        <v>456</v>
      </c>
      <c r="E1001" s="2334"/>
      <c r="F1001" s="2334"/>
      <c r="G1001" s="2334"/>
      <c r="H1001" s="2334"/>
      <c r="I1001" s="2334"/>
      <c r="J1001" s="2334"/>
      <c r="K1001" s="2334"/>
      <c r="L1001" s="2334"/>
      <c r="M1001" s="2334"/>
      <c r="N1001" s="2334"/>
      <c r="O1001" s="2334"/>
      <c r="P1001" s="2324"/>
      <c r="Q1001" s="2324"/>
      <c r="R1001" s="2325"/>
      <c r="S1001" s="2324" t="s">
        <v>2</v>
      </c>
      <c r="T1001" s="2324" t="s">
        <v>2</v>
      </c>
      <c r="U1001" s="2326">
        <v>150</v>
      </c>
      <c r="V1001" s="2327"/>
      <c r="W1001" s="2327"/>
      <c r="X1001" s="2327">
        <v>300</v>
      </c>
      <c r="Y1001" s="2327"/>
      <c r="Z1001" s="2327">
        <v>250</v>
      </c>
      <c r="AA1001" s="2328"/>
      <c r="AB1001" s="2329"/>
      <c r="AC1001" s="2326"/>
      <c r="AD1001" s="2330">
        <f t="shared" si="696"/>
        <v>0</v>
      </c>
      <c r="AE1001" s="2330"/>
      <c r="AF1001" s="2330"/>
      <c r="AG1001" s="2330">
        <f t="shared" si="704"/>
        <v>0</v>
      </c>
      <c r="AH1001" s="2330"/>
      <c r="AI1001" s="2330"/>
      <c r="AJ1001" s="2330">
        <f t="shared" si="697"/>
        <v>0</v>
      </c>
      <c r="AK1001" s="2330"/>
      <c r="AL1001" s="2330"/>
      <c r="AM1001" s="2331">
        <f t="shared" si="698"/>
        <v>0</v>
      </c>
      <c r="AN1001" s="2331"/>
      <c r="AO1001" s="2331"/>
      <c r="AP1001" s="2331"/>
      <c r="AQ1001" s="2332">
        <f t="shared" si="699"/>
        <v>0</v>
      </c>
      <c r="AR1001" s="2332"/>
      <c r="AS1001" s="2332"/>
      <c r="AT1001" s="2332">
        <f t="shared" si="700"/>
        <v>0</v>
      </c>
      <c r="AV1001" s="151" t="str">
        <f t="shared" si="693"/>
        <v>PLUMBING</v>
      </c>
      <c r="AW1001" s="681" t="s">
        <v>46</v>
      </c>
      <c r="AX1001" s="230"/>
      <c r="AY1001" s="230"/>
      <c r="AZ1001" s="679"/>
      <c r="BA1001" s="49">
        <f t="shared" si="701"/>
        <v>0</v>
      </c>
      <c r="BB1001" s="49">
        <f t="shared" si="705"/>
        <v>0</v>
      </c>
      <c r="BC1001" s="49">
        <f t="shared" si="706"/>
        <v>0</v>
      </c>
      <c r="BD1001" s="49">
        <f t="shared" si="702"/>
        <v>0</v>
      </c>
      <c r="BE1001" s="49">
        <f t="shared" si="707"/>
        <v>0</v>
      </c>
      <c r="BF1001" s="49">
        <f t="shared" si="694"/>
        <v>0</v>
      </c>
      <c r="BG1001" s="49">
        <f t="shared" si="695"/>
        <v>0</v>
      </c>
      <c r="BI1001" s="134">
        <f t="shared" si="708"/>
        <v>0</v>
      </c>
      <c r="BJ1001" s="134">
        <f t="shared" si="703"/>
        <v>0</v>
      </c>
      <c r="BK1001" s="134">
        <f t="shared" si="709"/>
        <v>0</v>
      </c>
    </row>
    <row r="1002" spans="1:63" hidden="1">
      <c r="A1002" s="187"/>
      <c r="B1002" s="2321"/>
      <c r="C1002" s="2322"/>
      <c r="D1002" s="2334" t="s">
        <v>247</v>
      </c>
      <c r="E1002" s="2334"/>
      <c r="F1002" s="2334"/>
      <c r="G1002" s="2334"/>
      <c r="H1002" s="2334"/>
      <c r="I1002" s="2334"/>
      <c r="J1002" s="2334"/>
      <c r="K1002" s="2334"/>
      <c r="L1002" s="2334"/>
      <c r="M1002" s="2334"/>
      <c r="N1002" s="2334"/>
      <c r="O1002" s="2334"/>
      <c r="P1002" s="2324"/>
      <c r="Q1002" s="2324"/>
      <c r="R1002" s="2325"/>
      <c r="S1002" s="2324" t="s">
        <v>2</v>
      </c>
      <c r="T1002" s="2324" t="s">
        <v>2</v>
      </c>
      <c r="U1002" s="2326">
        <v>150</v>
      </c>
      <c r="V1002" s="2327"/>
      <c r="W1002" s="2327"/>
      <c r="X1002" s="2327">
        <v>300</v>
      </c>
      <c r="Y1002" s="2327"/>
      <c r="Z1002" s="2327">
        <v>185</v>
      </c>
      <c r="AA1002" s="2328"/>
      <c r="AB1002" s="2329"/>
      <c r="AC1002" s="2326"/>
      <c r="AD1002" s="2330">
        <f t="shared" si="696"/>
        <v>0</v>
      </c>
      <c r="AE1002" s="2330"/>
      <c r="AF1002" s="2330"/>
      <c r="AG1002" s="2330">
        <f t="shared" si="704"/>
        <v>0</v>
      </c>
      <c r="AH1002" s="2330"/>
      <c r="AI1002" s="2330"/>
      <c r="AJ1002" s="2330">
        <f t="shared" si="697"/>
        <v>0</v>
      </c>
      <c r="AK1002" s="2330"/>
      <c r="AL1002" s="2330"/>
      <c r="AM1002" s="2331">
        <f t="shared" si="698"/>
        <v>0</v>
      </c>
      <c r="AN1002" s="2331"/>
      <c r="AO1002" s="2331"/>
      <c r="AP1002" s="2331"/>
      <c r="AQ1002" s="2332">
        <f t="shared" si="699"/>
        <v>0</v>
      </c>
      <c r="AR1002" s="2332"/>
      <c r="AS1002" s="2332"/>
      <c r="AT1002" s="2332">
        <f t="shared" si="700"/>
        <v>0</v>
      </c>
      <c r="AV1002" s="151" t="str">
        <f t="shared" si="693"/>
        <v>PLUMBING</v>
      </c>
      <c r="AW1002" s="681" t="s">
        <v>46</v>
      </c>
      <c r="AX1002" s="230"/>
      <c r="AY1002" s="230"/>
      <c r="AZ1002" s="679"/>
      <c r="BA1002" s="49">
        <f t="shared" si="701"/>
        <v>0</v>
      </c>
      <c r="BB1002" s="49">
        <f t="shared" si="705"/>
        <v>0</v>
      </c>
      <c r="BC1002" s="49">
        <f t="shared" si="706"/>
        <v>0</v>
      </c>
      <c r="BD1002" s="49">
        <f t="shared" si="702"/>
        <v>0</v>
      </c>
      <c r="BE1002" s="49">
        <f t="shared" si="707"/>
        <v>0</v>
      </c>
      <c r="BF1002" s="49">
        <f t="shared" si="694"/>
        <v>0</v>
      </c>
      <c r="BG1002" s="49">
        <f t="shared" si="695"/>
        <v>0</v>
      </c>
      <c r="BI1002" s="134">
        <f t="shared" si="708"/>
        <v>0</v>
      </c>
      <c r="BJ1002" s="134">
        <f t="shared" si="703"/>
        <v>0</v>
      </c>
      <c r="BK1002" s="134">
        <f t="shared" si="709"/>
        <v>0</v>
      </c>
    </row>
    <row r="1003" spans="1:63" hidden="1">
      <c r="A1003" s="187"/>
      <c r="B1003" s="2321"/>
      <c r="C1003" s="2322"/>
      <c r="D1003" s="2334" t="s">
        <v>248</v>
      </c>
      <c r="E1003" s="2334"/>
      <c r="F1003" s="2334"/>
      <c r="G1003" s="2334"/>
      <c r="H1003" s="2334"/>
      <c r="I1003" s="2334"/>
      <c r="J1003" s="2334"/>
      <c r="K1003" s="2334"/>
      <c r="L1003" s="2334"/>
      <c r="M1003" s="2334"/>
      <c r="N1003" s="2334"/>
      <c r="O1003" s="2334"/>
      <c r="P1003" s="2324"/>
      <c r="Q1003" s="2324"/>
      <c r="R1003" s="2325"/>
      <c r="S1003" s="2324" t="s">
        <v>2</v>
      </c>
      <c r="T1003" s="2324" t="s">
        <v>2</v>
      </c>
      <c r="U1003" s="2326">
        <v>200</v>
      </c>
      <c r="V1003" s="2327"/>
      <c r="W1003" s="2327"/>
      <c r="X1003" s="2327">
        <v>400</v>
      </c>
      <c r="Y1003" s="2327"/>
      <c r="Z1003" s="2327">
        <v>300</v>
      </c>
      <c r="AA1003" s="2328"/>
      <c r="AB1003" s="2329"/>
      <c r="AC1003" s="2326"/>
      <c r="AD1003" s="2330">
        <f t="shared" si="696"/>
        <v>0</v>
      </c>
      <c r="AE1003" s="2330"/>
      <c r="AF1003" s="2330"/>
      <c r="AG1003" s="2330">
        <f t="shared" si="704"/>
        <v>0</v>
      </c>
      <c r="AH1003" s="2330"/>
      <c r="AI1003" s="2330"/>
      <c r="AJ1003" s="2330">
        <f t="shared" si="697"/>
        <v>0</v>
      </c>
      <c r="AK1003" s="2330"/>
      <c r="AL1003" s="2330"/>
      <c r="AM1003" s="2331">
        <f t="shared" si="698"/>
        <v>0</v>
      </c>
      <c r="AN1003" s="2331"/>
      <c r="AO1003" s="2331"/>
      <c r="AP1003" s="2331"/>
      <c r="AQ1003" s="2332">
        <f t="shared" si="699"/>
        <v>0</v>
      </c>
      <c r="AR1003" s="2332"/>
      <c r="AS1003" s="2332"/>
      <c r="AT1003" s="2332">
        <f t="shared" si="700"/>
        <v>0</v>
      </c>
      <c r="AV1003" s="151" t="str">
        <f t="shared" si="693"/>
        <v>PLUMBING</v>
      </c>
      <c r="AW1003" s="681" t="s">
        <v>46</v>
      </c>
      <c r="AX1003" s="230"/>
      <c r="AY1003" s="230"/>
      <c r="AZ1003" s="679"/>
      <c r="BA1003" s="49">
        <f t="shared" si="701"/>
        <v>0</v>
      </c>
      <c r="BB1003" s="49">
        <f t="shared" si="705"/>
        <v>0</v>
      </c>
      <c r="BC1003" s="49">
        <f t="shared" si="706"/>
        <v>0</v>
      </c>
      <c r="BD1003" s="49">
        <f t="shared" si="702"/>
        <v>0</v>
      </c>
      <c r="BE1003" s="49">
        <f t="shared" si="707"/>
        <v>0</v>
      </c>
      <c r="BF1003" s="49">
        <f t="shared" si="694"/>
        <v>0</v>
      </c>
      <c r="BG1003" s="49">
        <f t="shared" si="695"/>
        <v>0</v>
      </c>
      <c r="BI1003" s="134">
        <f t="shared" si="708"/>
        <v>0</v>
      </c>
      <c r="BJ1003" s="134">
        <f t="shared" si="703"/>
        <v>0</v>
      </c>
      <c r="BK1003" s="134">
        <f t="shared" si="709"/>
        <v>0</v>
      </c>
    </row>
    <row r="1004" spans="1:63" hidden="1">
      <c r="A1004" s="187"/>
      <c r="B1004" s="2333"/>
      <c r="C1004" s="2333"/>
      <c r="D1004" s="2334" t="s">
        <v>249</v>
      </c>
      <c r="E1004" s="2334"/>
      <c r="F1004" s="2334"/>
      <c r="G1004" s="2334"/>
      <c r="H1004" s="2334"/>
      <c r="I1004" s="2334"/>
      <c r="J1004" s="2334"/>
      <c r="K1004" s="2334"/>
      <c r="L1004" s="2334"/>
      <c r="M1004" s="2334"/>
      <c r="N1004" s="2334"/>
      <c r="O1004" s="2334"/>
      <c r="P1004" s="2324"/>
      <c r="Q1004" s="2324"/>
      <c r="R1004" s="2325"/>
      <c r="S1004" s="2324" t="s">
        <v>2</v>
      </c>
      <c r="T1004" s="2324" t="s">
        <v>2</v>
      </c>
      <c r="U1004" s="2326">
        <v>75</v>
      </c>
      <c r="V1004" s="2327"/>
      <c r="W1004" s="2327"/>
      <c r="X1004" s="2327">
        <v>150</v>
      </c>
      <c r="Y1004" s="2327"/>
      <c r="Z1004" s="2327">
        <v>135</v>
      </c>
      <c r="AA1004" s="2328"/>
      <c r="AB1004" s="2329"/>
      <c r="AC1004" s="2326"/>
      <c r="AD1004" s="2330">
        <f t="shared" si="696"/>
        <v>0</v>
      </c>
      <c r="AE1004" s="2330"/>
      <c r="AF1004" s="2330"/>
      <c r="AG1004" s="2330">
        <f t="shared" si="704"/>
        <v>0</v>
      </c>
      <c r="AH1004" s="2330"/>
      <c r="AI1004" s="2330"/>
      <c r="AJ1004" s="2330">
        <f t="shared" si="697"/>
        <v>0</v>
      </c>
      <c r="AK1004" s="2330"/>
      <c r="AL1004" s="2330"/>
      <c r="AM1004" s="2331">
        <f t="shared" si="698"/>
        <v>0</v>
      </c>
      <c r="AN1004" s="2331"/>
      <c r="AO1004" s="2331"/>
      <c r="AP1004" s="2331"/>
      <c r="AQ1004" s="2332">
        <f t="shared" si="699"/>
        <v>0</v>
      </c>
      <c r="AR1004" s="2332"/>
      <c r="AS1004" s="2332"/>
      <c r="AT1004" s="2332">
        <f t="shared" si="700"/>
        <v>0</v>
      </c>
      <c r="AV1004" s="151" t="str">
        <f t="shared" si="693"/>
        <v>PLUMBING</v>
      </c>
      <c r="AW1004" s="681" t="s">
        <v>46</v>
      </c>
      <c r="AX1004" s="230"/>
      <c r="AY1004" s="230"/>
      <c r="AZ1004" s="679"/>
      <c r="BA1004" s="49">
        <f t="shared" si="701"/>
        <v>0</v>
      </c>
      <c r="BB1004" s="49">
        <f t="shared" si="705"/>
        <v>0</v>
      </c>
      <c r="BC1004" s="49">
        <f t="shared" si="706"/>
        <v>0</v>
      </c>
      <c r="BD1004" s="49">
        <f t="shared" si="702"/>
        <v>0</v>
      </c>
      <c r="BE1004" s="49">
        <f t="shared" si="707"/>
        <v>0</v>
      </c>
      <c r="BF1004" s="49">
        <f t="shared" si="694"/>
        <v>0</v>
      </c>
      <c r="BG1004" s="49">
        <f t="shared" si="695"/>
        <v>0</v>
      </c>
      <c r="BI1004" s="134">
        <f t="shared" si="708"/>
        <v>0</v>
      </c>
      <c r="BJ1004" s="134">
        <f t="shared" si="703"/>
        <v>0</v>
      </c>
      <c r="BK1004" s="134">
        <f t="shared" si="709"/>
        <v>0</v>
      </c>
    </row>
    <row r="1005" spans="1:63" hidden="1">
      <c r="A1005" s="187"/>
      <c r="B1005" s="2333"/>
      <c r="C1005" s="2333"/>
      <c r="D1005" s="2334" t="s">
        <v>403</v>
      </c>
      <c r="E1005" s="2334"/>
      <c r="F1005" s="2334"/>
      <c r="G1005" s="2334"/>
      <c r="H1005" s="2334"/>
      <c r="I1005" s="2334"/>
      <c r="J1005" s="2334"/>
      <c r="K1005" s="2334"/>
      <c r="L1005" s="2334"/>
      <c r="M1005" s="2334"/>
      <c r="N1005" s="2334"/>
      <c r="O1005" s="2334"/>
      <c r="P1005" s="2324"/>
      <c r="Q1005" s="2324"/>
      <c r="R1005" s="2325"/>
      <c r="S1005" s="2324" t="s">
        <v>2</v>
      </c>
      <c r="T1005" s="2324" t="s">
        <v>2</v>
      </c>
      <c r="U1005" s="2326">
        <v>75</v>
      </c>
      <c r="V1005" s="2327"/>
      <c r="W1005" s="2327"/>
      <c r="X1005" s="2327">
        <v>125</v>
      </c>
      <c r="Y1005" s="2327"/>
      <c r="Z1005" s="2327">
        <v>125</v>
      </c>
      <c r="AA1005" s="2328"/>
      <c r="AB1005" s="2329"/>
      <c r="AC1005" s="2326"/>
      <c r="AD1005" s="2330">
        <f t="shared" si="696"/>
        <v>0</v>
      </c>
      <c r="AE1005" s="2330"/>
      <c r="AF1005" s="2330"/>
      <c r="AG1005" s="2330">
        <f t="shared" si="704"/>
        <v>0</v>
      </c>
      <c r="AH1005" s="2330"/>
      <c r="AI1005" s="2330"/>
      <c r="AJ1005" s="2330">
        <f t="shared" si="697"/>
        <v>0</v>
      </c>
      <c r="AK1005" s="2330"/>
      <c r="AL1005" s="2330"/>
      <c r="AM1005" s="2331">
        <f t="shared" si="698"/>
        <v>0</v>
      </c>
      <c r="AN1005" s="2331"/>
      <c r="AO1005" s="2331"/>
      <c r="AP1005" s="2331"/>
      <c r="AQ1005" s="2332">
        <f t="shared" si="699"/>
        <v>0</v>
      </c>
      <c r="AR1005" s="2332"/>
      <c r="AS1005" s="2332"/>
      <c r="AT1005" s="2332">
        <f t="shared" si="700"/>
        <v>0</v>
      </c>
      <c r="AV1005" s="151" t="str">
        <f t="shared" si="693"/>
        <v>PLUMBING</v>
      </c>
      <c r="AW1005" s="681" t="s">
        <v>46</v>
      </c>
      <c r="AX1005" s="230"/>
      <c r="AY1005" s="230"/>
      <c r="AZ1005" s="679"/>
      <c r="BA1005" s="49">
        <f t="shared" si="701"/>
        <v>0</v>
      </c>
      <c r="BB1005" s="49">
        <f t="shared" si="705"/>
        <v>0</v>
      </c>
      <c r="BC1005" s="49">
        <f t="shared" si="706"/>
        <v>0</v>
      </c>
      <c r="BD1005" s="49">
        <f t="shared" si="702"/>
        <v>0</v>
      </c>
      <c r="BE1005" s="49">
        <f t="shared" si="707"/>
        <v>0</v>
      </c>
      <c r="BF1005" s="49">
        <f t="shared" si="694"/>
        <v>0</v>
      </c>
      <c r="BG1005" s="49">
        <f t="shared" si="695"/>
        <v>0</v>
      </c>
      <c r="BI1005" s="134">
        <f t="shared" si="708"/>
        <v>0</v>
      </c>
      <c r="BJ1005" s="134">
        <f t="shared" si="703"/>
        <v>0</v>
      </c>
      <c r="BK1005" s="134">
        <f t="shared" si="709"/>
        <v>0</v>
      </c>
    </row>
    <row r="1006" spans="1:63" hidden="1">
      <c r="A1006" s="187"/>
      <c r="B1006" s="2321"/>
      <c r="C1006" s="2322"/>
      <c r="D1006" s="2334" t="s">
        <v>47</v>
      </c>
      <c r="E1006" s="2334"/>
      <c r="F1006" s="2334"/>
      <c r="G1006" s="2334"/>
      <c r="H1006" s="2334"/>
      <c r="I1006" s="2334"/>
      <c r="J1006" s="2334"/>
      <c r="K1006" s="2334"/>
      <c r="L1006" s="2334"/>
      <c r="M1006" s="2334"/>
      <c r="N1006" s="2334"/>
      <c r="O1006" s="2334"/>
      <c r="P1006" s="2324"/>
      <c r="Q1006" s="2324"/>
      <c r="R1006" s="2325"/>
      <c r="S1006" s="2324" t="s">
        <v>2</v>
      </c>
      <c r="T1006" s="2324" t="s">
        <v>2</v>
      </c>
      <c r="U1006" s="2326">
        <v>12</v>
      </c>
      <c r="V1006" s="2327"/>
      <c r="W1006" s="2327"/>
      <c r="X1006" s="2327">
        <v>20</v>
      </c>
      <c r="Y1006" s="2327"/>
      <c r="Z1006" s="2327">
        <v>20</v>
      </c>
      <c r="AA1006" s="2328"/>
      <c r="AB1006" s="2329"/>
      <c r="AC1006" s="2326"/>
      <c r="AD1006" s="2330">
        <f t="shared" si="696"/>
        <v>0</v>
      </c>
      <c r="AE1006" s="2330"/>
      <c r="AF1006" s="2330"/>
      <c r="AG1006" s="2330">
        <f t="shared" si="704"/>
        <v>0</v>
      </c>
      <c r="AH1006" s="2330"/>
      <c r="AI1006" s="2330"/>
      <c r="AJ1006" s="2330">
        <f t="shared" si="697"/>
        <v>0</v>
      </c>
      <c r="AK1006" s="2330"/>
      <c r="AL1006" s="2330"/>
      <c r="AM1006" s="2331">
        <f t="shared" si="698"/>
        <v>0</v>
      </c>
      <c r="AN1006" s="2331"/>
      <c r="AO1006" s="2331"/>
      <c r="AP1006" s="2331"/>
      <c r="AQ1006" s="2332">
        <f t="shared" si="699"/>
        <v>0</v>
      </c>
      <c r="AR1006" s="2332"/>
      <c r="AS1006" s="2332"/>
      <c r="AT1006" s="2332">
        <f t="shared" si="700"/>
        <v>0</v>
      </c>
      <c r="AV1006" s="151" t="str">
        <f t="shared" si="693"/>
        <v>PLUMBING</v>
      </c>
      <c r="AW1006" s="681" t="s">
        <v>46</v>
      </c>
      <c r="AX1006" s="230"/>
      <c r="AY1006" s="230"/>
      <c r="AZ1006" s="679"/>
      <c r="BA1006" s="49">
        <f t="shared" si="701"/>
        <v>0</v>
      </c>
      <c r="BB1006" s="49">
        <f t="shared" si="705"/>
        <v>0</v>
      </c>
      <c r="BC1006" s="49">
        <f t="shared" si="706"/>
        <v>0</v>
      </c>
      <c r="BD1006" s="49">
        <f t="shared" si="702"/>
        <v>0</v>
      </c>
      <c r="BE1006" s="49">
        <f>SUM(BA1006:BC1006)</f>
        <v>0</v>
      </c>
      <c r="BF1006" s="49">
        <f t="shared" si="694"/>
        <v>0</v>
      </c>
      <c r="BG1006" s="49">
        <f t="shared" si="695"/>
        <v>0</v>
      </c>
      <c r="BI1006" s="134">
        <f t="shared" si="708"/>
        <v>0</v>
      </c>
      <c r="BJ1006" s="134">
        <f t="shared" si="703"/>
        <v>0</v>
      </c>
      <c r="BK1006" s="134">
        <f t="shared" si="709"/>
        <v>0</v>
      </c>
    </row>
    <row r="1007" spans="1:63" hidden="1">
      <c r="A1007" s="187"/>
      <c r="B1007" s="2321"/>
      <c r="C1007" s="2322"/>
      <c r="D1007" s="2334" t="s">
        <v>41</v>
      </c>
      <c r="E1007" s="2334"/>
      <c r="F1007" s="2334"/>
      <c r="G1007" s="2334"/>
      <c r="H1007" s="2334"/>
      <c r="I1007" s="2334"/>
      <c r="J1007" s="2334"/>
      <c r="K1007" s="2334"/>
      <c r="L1007" s="2334"/>
      <c r="M1007" s="2334"/>
      <c r="N1007" s="2334"/>
      <c r="O1007" s="2334"/>
      <c r="P1007" s="2324"/>
      <c r="Q1007" s="2324"/>
      <c r="R1007" s="2325"/>
      <c r="S1007" s="2324" t="s">
        <v>2</v>
      </c>
      <c r="T1007" s="2324" t="s">
        <v>2</v>
      </c>
      <c r="U1007" s="2326">
        <v>100</v>
      </c>
      <c r="V1007" s="2327"/>
      <c r="W1007" s="2327"/>
      <c r="X1007" s="2327">
        <v>250</v>
      </c>
      <c r="Y1007" s="2327"/>
      <c r="Z1007" s="2327">
        <v>250</v>
      </c>
      <c r="AA1007" s="2328"/>
      <c r="AB1007" s="2329"/>
      <c r="AC1007" s="2326"/>
      <c r="AD1007" s="2330">
        <f t="shared" si="696"/>
        <v>0</v>
      </c>
      <c r="AE1007" s="2330"/>
      <c r="AF1007" s="2330"/>
      <c r="AG1007" s="2330">
        <f t="shared" si="704"/>
        <v>0</v>
      </c>
      <c r="AH1007" s="2330"/>
      <c r="AI1007" s="2330"/>
      <c r="AJ1007" s="2330">
        <f t="shared" si="697"/>
        <v>0</v>
      </c>
      <c r="AK1007" s="2330"/>
      <c r="AL1007" s="2330"/>
      <c r="AM1007" s="2331">
        <f t="shared" si="698"/>
        <v>0</v>
      </c>
      <c r="AN1007" s="2331"/>
      <c r="AO1007" s="2331"/>
      <c r="AP1007" s="2331"/>
      <c r="AQ1007" s="2332">
        <f t="shared" si="699"/>
        <v>0</v>
      </c>
      <c r="AR1007" s="2332"/>
      <c r="AS1007" s="2332"/>
      <c r="AT1007" s="2332">
        <f t="shared" si="700"/>
        <v>0</v>
      </c>
      <c r="AV1007" s="151" t="str">
        <f t="shared" si="693"/>
        <v>PLUMBING</v>
      </c>
      <c r="AW1007" s="681" t="s">
        <v>46</v>
      </c>
      <c r="AX1007" s="230"/>
      <c r="AY1007" s="230"/>
      <c r="AZ1007" s="679"/>
      <c r="BA1007" s="49">
        <f t="shared" si="701"/>
        <v>0</v>
      </c>
      <c r="BB1007" s="49">
        <f t="shared" si="705"/>
        <v>0</v>
      </c>
      <c r="BC1007" s="49">
        <f t="shared" si="706"/>
        <v>0</v>
      </c>
      <c r="BD1007" s="49">
        <f t="shared" si="702"/>
        <v>0</v>
      </c>
      <c r="BE1007" s="49">
        <f>SUM(BA1007:BC1007)</f>
        <v>0</v>
      </c>
      <c r="BF1007" s="49">
        <f t="shared" si="694"/>
        <v>0</v>
      </c>
      <c r="BG1007" s="49">
        <f t="shared" si="695"/>
        <v>0</v>
      </c>
      <c r="BI1007" s="134">
        <f t="shared" si="708"/>
        <v>0</v>
      </c>
      <c r="BJ1007" s="134">
        <f t="shared" si="703"/>
        <v>0</v>
      </c>
      <c r="BK1007" s="134">
        <f t="shared" si="709"/>
        <v>0</v>
      </c>
    </row>
    <row r="1008" spans="1:63" hidden="1">
      <c r="A1008" s="187"/>
      <c r="B1008" s="2321"/>
      <c r="C1008" s="2322"/>
      <c r="D1008" s="2334"/>
      <c r="E1008" s="2334"/>
      <c r="F1008" s="2334"/>
      <c r="G1008" s="2334"/>
      <c r="H1008" s="2334"/>
      <c r="I1008" s="2334"/>
      <c r="J1008" s="2334"/>
      <c r="K1008" s="2334"/>
      <c r="L1008" s="2334"/>
      <c r="M1008" s="2334"/>
      <c r="N1008" s="2334"/>
      <c r="O1008" s="2334"/>
      <c r="P1008" s="2324"/>
      <c r="Q1008" s="2324"/>
      <c r="R1008" s="2325"/>
      <c r="S1008" s="2324"/>
      <c r="T1008" s="2324"/>
      <c r="U1008" s="2326"/>
      <c r="V1008" s="2327"/>
      <c r="W1008" s="2327"/>
      <c r="X1008" s="2327"/>
      <c r="Y1008" s="2327"/>
      <c r="Z1008" s="2327"/>
      <c r="AA1008" s="2328"/>
      <c r="AB1008" s="2329"/>
      <c r="AC1008" s="2326"/>
      <c r="AD1008" s="2330">
        <f t="shared" ref="AD1008:AD1027" si="710">((P1008*U1008)-AM1008)</f>
        <v>0</v>
      </c>
      <c r="AE1008" s="2330"/>
      <c r="AF1008" s="2330"/>
      <c r="AG1008" s="2330">
        <f t="shared" si="704"/>
        <v>0</v>
      </c>
      <c r="AH1008" s="2330"/>
      <c r="AI1008" s="2330"/>
      <c r="AJ1008" s="2330">
        <f t="shared" ref="AJ1008:AJ1027" si="711">P1008*AA1008</f>
        <v>0</v>
      </c>
      <c r="AK1008" s="2330"/>
      <c r="AL1008" s="2330"/>
      <c r="AM1008" s="2331">
        <f t="shared" si="698"/>
        <v>0</v>
      </c>
      <c r="AN1008" s="2331"/>
      <c r="AO1008" s="2331"/>
      <c r="AP1008" s="2331"/>
      <c r="AQ1008" s="2332">
        <f t="shared" ref="AQ1008:AQ1027" si="712">SUM(AD1008:AL1008)</f>
        <v>0</v>
      </c>
      <c r="AR1008" s="2332"/>
      <c r="AS1008" s="2332"/>
      <c r="AT1008" s="2332">
        <f t="shared" ref="AT1008:AT1027" si="713">SUM(AD1008:AL1008)</f>
        <v>0</v>
      </c>
      <c r="AV1008" s="151" t="str">
        <f t="shared" si="693"/>
        <v>PLUMBING</v>
      </c>
      <c r="AW1008" s="681"/>
      <c r="AX1008" s="230"/>
      <c r="AY1008" s="230"/>
      <c r="AZ1008" s="679"/>
      <c r="BA1008" s="49">
        <f t="shared" ref="BA1008:BA1027" si="714">AD1008</f>
        <v>0</v>
      </c>
      <c r="BB1008" s="49">
        <f>AG1008</f>
        <v>0</v>
      </c>
      <c r="BC1008" s="49">
        <f>AJ1008</f>
        <v>0</v>
      </c>
      <c r="BD1008" s="49">
        <f t="shared" ref="BD1008:BD1027" si="715">IF(B1008="x",1,0)</f>
        <v>0</v>
      </c>
      <c r="BE1008" s="49">
        <f>SUM(BA1008:BC1008)</f>
        <v>0</v>
      </c>
      <c r="BF1008" s="49">
        <f t="shared" ref="BF1008:BF1027" si="716">AQ1008</f>
        <v>0</v>
      </c>
      <c r="BG1008" s="49">
        <f t="shared" ref="BG1008:BG1027" si="717">AM1008</f>
        <v>0</v>
      </c>
      <c r="BI1008" s="134">
        <f>AD1008</f>
        <v>0</v>
      </c>
      <c r="BJ1008" s="134">
        <f t="shared" ref="BJ1008:BJ1027" si="718">AM1008</f>
        <v>0</v>
      </c>
      <c r="BK1008" s="134">
        <f>BJ1008+BI1008</f>
        <v>0</v>
      </c>
    </row>
    <row r="1009" spans="1:63" hidden="1">
      <c r="A1009" s="187"/>
      <c r="B1009" s="2321"/>
      <c r="C1009" s="2322"/>
      <c r="D1009" s="2334"/>
      <c r="E1009" s="2334"/>
      <c r="F1009" s="2334"/>
      <c r="G1009" s="2334"/>
      <c r="H1009" s="2334"/>
      <c r="I1009" s="2334"/>
      <c r="J1009" s="2334"/>
      <c r="K1009" s="2334"/>
      <c r="L1009" s="2334"/>
      <c r="M1009" s="2334"/>
      <c r="N1009" s="2334"/>
      <c r="O1009" s="2334"/>
      <c r="P1009" s="2324"/>
      <c r="Q1009" s="2324"/>
      <c r="R1009" s="2325"/>
      <c r="S1009" s="2324"/>
      <c r="T1009" s="2324"/>
      <c r="U1009" s="2326"/>
      <c r="V1009" s="2327"/>
      <c r="W1009" s="2327"/>
      <c r="X1009" s="2327"/>
      <c r="Y1009" s="2327"/>
      <c r="Z1009" s="2327"/>
      <c r="AA1009" s="2328"/>
      <c r="AB1009" s="2329"/>
      <c r="AC1009" s="2326"/>
      <c r="AD1009" s="2330">
        <f t="shared" si="710"/>
        <v>0</v>
      </c>
      <c r="AE1009" s="2330"/>
      <c r="AF1009" s="2330"/>
      <c r="AG1009" s="2330">
        <f t="shared" si="704"/>
        <v>0</v>
      </c>
      <c r="AH1009" s="2330"/>
      <c r="AI1009" s="2330"/>
      <c r="AJ1009" s="2330">
        <f t="shared" si="711"/>
        <v>0</v>
      </c>
      <c r="AK1009" s="2330"/>
      <c r="AL1009" s="2330"/>
      <c r="AM1009" s="2331">
        <f t="shared" si="698"/>
        <v>0</v>
      </c>
      <c r="AN1009" s="2331"/>
      <c r="AO1009" s="2331"/>
      <c r="AP1009" s="2331"/>
      <c r="AQ1009" s="2332">
        <f t="shared" si="712"/>
        <v>0</v>
      </c>
      <c r="AR1009" s="2332"/>
      <c r="AS1009" s="2332"/>
      <c r="AT1009" s="2332">
        <f t="shared" si="713"/>
        <v>0</v>
      </c>
      <c r="AV1009" s="151" t="str">
        <f t="shared" si="693"/>
        <v>PLUMBING</v>
      </c>
      <c r="AW1009" s="681"/>
      <c r="AX1009" s="230"/>
      <c r="AY1009" s="230"/>
      <c r="AZ1009" s="679"/>
      <c r="BA1009" s="49">
        <f t="shared" si="714"/>
        <v>0</v>
      </c>
      <c r="BB1009" s="49">
        <f t="shared" ref="BB1009:BB1027" si="719">AG1009</f>
        <v>0</v>
      </c>
      <c r="BC1009" s="49">
        <f t="shared" ref="BC1009:BC1027" si="720">AJ1009</f>
        <v>0</v>
      </c>
      <c r="BD1009" s="49">
        <f t="shared" si="715"/>
        <v>0</v>
      </c>
      <c r="BE1009" s="49">
        <f t="shared" ref="BE1009:BE1025" si="721">SUM(BA1009:BC1009)</f>
        <v>0</v>
      </c>
      <c r="BF1009" s="49">
        <f t="shared" si="716"/>
        <v>0</v>
      </c>
      <c r="BG1009" s="49">
        <f t="shared" si="717"/>
        <v>0</v>
      </c>
      <c r="BI1009" s="134">
        <f t="shared" ref="BI1009:BI1027" si="722">AD1009</f>
        <v>0</v>
      </c>
      <c r="BJ1009" s="134">
        <f t="shared" si="718"/>
        <v>0</v>
      </c>
      <c r="BK1009" s="134">
        <f t="shared" ref="BK1009:BK1027" si="723">BJ1009+BI1009</f>
        <v>0</v>
      </c>
    </row>
    <row r="1010" spans="1:63" hidden="1">
      <c r="A1010" s="187"/>
      <c r="B1010" s="2333"/>
      <c r="C1010" s="2333"/>
      <c r="D1010" s="2334"/>
      <c r="E1010" s="2334"/>
      <c r="F1010" s="2334"/>
      <c r="G1010" s="2334"/>
      <c r="H1010" s="2334"/>
      <c r="I1010" s="2334"/>
      <c r="J1010" s="2334"/>
      <c r="K1010" s="2334"/>
      <c r="L1010" s="2334"/>
      <c r="M1010" s="2334"/>
      <c r="N1010" s="2334"/>
      <c r="O1010" s="2334"/>
      <c r="P1010" s="2324"/>
      <c r="Q1010" s="2324"/>
      <c r="R1010" s="2325"/>
      <c r="S1010" s="2324"/>
      <c r="T1010" s="2324"/>
      <c r="U1010" s="2326"/>
      <c r="V1010" s="2327"/>
      <c r="W1010" s="2327"/>
      <c r="X1010" s="2327"/>
      <c r="Y1010" s="2327"/>
      <c r="Z1010" s="2327"/>
      <c r="AA1010" s="2328"/>
      <c r="AB1010" s="2329"/>
      <c r="AC1010" s="2326"/>
      <c r="AD1010" s="2330">
        <f t="shared" si="710"/>
        <v>0</v>
      </c>
      <c r="AE1010" s="2330"/>
      <c r="AF1010" s="2330"/>
      <c r="AG1010" s="2330">
        <f t="shared" si="704"/>
        <v>0</v>
      </c>
      <c r="AH1010" s="2330"/>
      <c r="AI1010" s="2330"/>
      <c r="AJ1010" s="2330">
        <f t="shared" si="711"/>
        <v>0</v>
      </c>
      <c r="AK1010" s="2330"/>
      <c r="AL1010" s="2330"/>
      <c r="AM1010" s="2331">
        <f t="shared" si="698"/>
        <v>0</v>
      </c>
      <c r="AN1010" s="2331"/>
      <c r="AO1010" s="2331"/>
      <c r="AP1010" s="2331"/>
      <c r="AQ1010" s="2332">
        <f t="shared" si="712"/>
        <v>0</v>
      </c>
      <c r="AR1010" s="2332"/>
      <c r="AS1010" s="2332"/>
      <c r="AT1010" s="2332">
        <f t="shared" si="713"/>
        <v>0</v>
      </c>
      <c r="AV1010" s="151" t="str">
        <f t="shared" si="693"/>
        <v>PLUMBING</v>
      </c>
      <c r="AW1010" s="681"/>
      <c r="AX1010" s="230"/>
      <c r="AY1010" s="230"/>
      <c r="AZ1010" s="679"/>
      <c r="BA1010" s="49">
        <f t="shared" si="714"/>
        <v>0</v>
      </c>
      <c r="BB1010" s="49">
        <f t="shared" si="719"/>
        <v>0</v>
      </c>
      <c r="BC1010" s="49">
        <f t="shared" si="720"/>
        <v>0</v>
      </c>
      <c r="BD1010" s="49">
        <f t="shared" si="715"/>
        <v>0</v>
      </c>
      <c r="BE1010" s="49">
        <f t="shared" si="721"/>
        <v>0</v>
      </c>
      <c r="BF1010" s="49">
        <f t="shared" si="716"/>
        <v>0</v>
      </c>
      <c r="BG1010" s="49">
        <f t="shared" si="717"/>
        <v>0</v>
      </c>
      <c r="BI1010" s="134">
        <f t="shared" si="722"/>
        <v>0</v>
      </c>
      <c r="BJ1010" s="134">
        <f t="shared" si="718"/>
        <v>0</v>
      </c>
      <c r="BK1010" s="134">
        <f t="shared" si="723"/>
        <v>0</v>
      </c>
    </row>
    <row r="1011" spans="1:63" hidden="1">
      <c r="A1011" s="187"/>
      <c r="B1011" s="2333"/>
      <c r="C1011" s="2333"/>
      <c r="D1011" s="2334"/>
      <c r="E1011" s="2334"/>
      <c r="F1011" s="2334"/>
      <c r="G1011" s="2334"/>
      <c r="H1011" s="2334"/>
      <c r="I1011" s="2334"/>
      <c r="J1011" s="2334"/>
      <c r="K1011" s="2334"/>
      <c r="L1011" s="2334"/>
      <c r="M1011" s="2334"/>
      <c r="N1011" s="2334"/>
      <c r="O1011" s="2334"/>
      <c r="P1011" s="2324"/>
      <c r="Q1011" s="2324"/>
      <c r="R1011" s="2325"/>
      <c r="S1011" s="2324"/>
      <c r="T1011" s="2324"/>
      <c r="U1011" s="2326"/>
      <c r="V1011" s="2327"/>
      <c r="W1011" s="2327"/>
      <c r="X1011" s="2327"/>
      <c r="Y1011" s="2327"/>
      <c r="Z1011" s="2327"/>
      <c r="AA1011" s="2328"/>
      <c r="AB1011" s="2329"/>
      <c r="AC1011" s="2326"/>
      <c r="AD1011" s="2330">
        <f t="shared" si="710"/>
        <v>0</v>
      </c>
      <c r="AE1011" s="2330"/>
      <c r="AF1011" s="2330"/>
      <c r="AG1011" s="2330">
        <f t="shared" si="704"/>
        <v>0</v>
      </c>
      <c r="AH1011" s="2330"/>
      <c r="AI1011" s="2330"/>
      <c r="AJ1011" s="2330">
        <f t="shared" si="711"/>
        <v>0</v>
      </c>
      <c r="AK1011" s="2330"/>
      <c r="AL1011" s="2330"/>
      <c r="AM1011" s="2331">
        <f t="shared" si="698"/>
        <v>0</v>
      </c>
      <c r="AN1011" s="2331"/>
      <c r="AO1011" s="2331"/>
      <c r="AP1011" s="2331"/>
      <c r="AQ1011" s="2332">
        <f t="shared" si="712"/>
        <v>0</v>
      </c>
      <c r="AR1011" s="2332"/>
      <c r="AS1011" s="2332"/>
      <c r="AT1011" s="2332">
        <f t="shared" si="713"/>
        <v>0</v>
      </c>
      <c r="AV1011" s="151" t="str">
        <f t="shared" si="693"/>
        <v>PLUMBING</v>
      </c>
      <c r="AW1011" s="681"/>
      <c r="AX1011" s="230"/>
      <c r="AY1011" s="230"/>
      <c r="AZ1011" s="679"/>
      <c r="BA1011" s="49">
        <f t="shared" si="714"/>
        <v>0</v>
      </c>
      <c r="BB1011" s="49">
        <f t="shared" si="719"/>
        <v>0</v>
      </c>
      <c r="BC1011" s="49">
        <f t="shared" si="720"/>
        <v>0</v>
      </c>
      <c r="BD1011" s="49">
        <f t="shared" si="715"/>
        <v>0</v>
      </c>
      <c r="BE1011" s="49">
        <f t="shared" si="721"/>
        <v>0</v>
      </c>
      <c r="BF1011" s="49">
        <f t="shared" si="716"/>
        <v>0</v>
      </c>
      <c r="BG1011" s="49">
        <f t="shared" si="717"/>
        <v>0</v>
      </c>
      <c r="BI1011" s="134">
        <f t="shared" si="722"/>
        <v>0</v>
      </c>
      <c r="BJ1011" s="134">
        <f t="shared" si="718"/>
        <v>0</v>
      </c>
      <c r="BK1011" s="134">
        <f t="shared" si="723"/>
        <v>0</v>
      </c>
    </row>
    <row r="1012" spans="1:63" hidden="1">
      <c r="A1012" s="187"/>
      <c r="B1012" s="2321"/>
      <c r="C1012" s="2322"/>
      <c r="D1012" s="2334"/>
      <c r="E1012" s="2334"/>
      <c r="F1012" s="2334"/>
      <c r="G1012" s="2334"/>
      <c r="H1012" s="2334"/>
      <c r="I1012" s="2334"/>
      <c r="J1012" s="2334"/>
      <c r="K1012" s="2334"/>
      <c r="L1012" s="2334"/>
      <c r="M1012" s="2334"/>
      <c r="N1012" s="2334"/>
      <c r="O1012" s="2334"/>
      <c r="P1012" s="2324"/>
      <c r="Q1012" s="2324"/>
      <c r="R1012" s="2325"/>
      <c r="S1012" s="2324"/>
      <c r="T1012" s="2324"/>
      <c r="U1012" s="2326"/>
      <c r="V1012" s="2327"/>
      <c r="W1012" s="2327"/>
      <c r="X1012" s="2327"/>
      <c r="Y1012" s="2327"/>
      <c r="Z1012" s="2327"/>
      <c r="AA1012" s="2328"/>
      <c r="AB1012" s="2329"/>
      <c r="AC1012" s="2326"/>
      <c r="AD1012" s="2330">
        <f t="shared" si="710"/>
        <v>0</v>
      </c>
      <c r="AE1012" s="2330"/>
      <c r="AF1012" s="2330"/>
      <c r="AG1012" s="2330">
        <f t="shared" si="704"/>
        <v>0</v>
      </c>
      <c r="AH1012" s="2330"/>
      <c r="AI1012" s="2330"/>
      <c r="AJ1012" s="2330">
        <f t="shared" si="711"/>
        <v>0</v>
      </c>
      <c r="AK1012" s="2330"/>
      <c r="AL1012" s="2330"/>
      <c r="AM1012" s="2331">
        <f t="shared" si="698"/>
        <v>0</v>
      </c>
      <c r="AN1012" s="2331"/>
      <c r="AO1012" s="2331"/>
      <c r="AP1012" s="2331"/>
      <c r="AQ1012" s="2332">
        <f t="shared" si="712"/>
        <v>0</v>
      </c>
      <c r="AR1012" s="2332"/>
      <c r="AS1012" s="2332"/>
      <c r="AT1012" s="2332">
        <f t="shared" si="713"/>
        <v>0</v>
      </c>
      <c r="AV1012" s="151" t="str">
        <f t="shared" si="693"/>
        <v>PLUMBING</v>
      </c>
      <c r="AW1012" s="681"/>
      <c r="AX1012" s="230"/>
      <c r="AY1012" s="230"/>
      <c r="AZ1012" s="679"/>
      <c r="BA1012" s="49">
        <f t="shared" si="714"/>
        <v>0</v>
      </c>
      <c r="BB1012" s="49">
        <f t="shared" si="719"/>
        <v>0</v>
      </c>
      <c r="BC1012" s="49">
        <f t="shared" si="720"/>
        <v>0</v>
      </c>
      <c r="BD1012" s="49">
        <f t="shared" si="715"/>
        <v>0</v>
      </c>
      <c r="BE1012" s="49">
        <f t="shared" si="721"/>
        <v>0</v>
      </c>
      <c r="BF1012" s="49">
        <f t="shared" si="716"/>
        <v>0</v>
      </c>
      <c r="BG1012" s="49">
        <f t="shared" si="717"/>
        <v>0</v>
      </c>
      <c r="BI1012" s="134">
        <f t="shared" si="722"/>
        <v>0</v>
      </c>
      <c r="BJ1012" s="134">
        <f t="shared" si="718"/>
        <v>0</v>
      </c>
      <c r="BK1012" s="134">
        <f t="shared" si="723"/>
        <v>0</v>
      </c>
    </row>
    <row r="1013" spans="1:63" hidden="1">
      <c r="A1013" s="187"/>
      <c r="B1013" s="2321"/>
      <c r="C1013" s="2322"/>
      <c r="D1013" s="2334"/>
      <c r="E1013" s="2334"/>
      <c r="F1013" s="2334"/>
      <c r="G1013" s="2334"/>
      <c r="H1013" s="2334"/>
      <c r="I1013" s="2334"/>
      <c r="J1013" s="2334"/>
      <c r="K1013" s="2334"/>
      <c r="L1013" s="2334"/>
      <c r="M1013" s="2334"/>
      <c r="N1013" s="2334"/>
      <c r="O1013" s="2334"/>
      <c r="P1013" s="2324"/>
      <c r="Q1013" s="2324"/>
      <c r="R1013" s="2325"/>
      <c r="S1013" s="2324"/>
      <c r="T1013" s="2324"/>
      <c r="U1013" s="2326"/>
      <c r="V1013" s="2327"/>
      <c r="W1013" s="2327"/>
      <c r="X1013" s="2327"/>
      <c r="Y1013" s="2327"/>
      <c r="Z1013" s="2327"/>
      <c r="AA1013" s="2328"/>
      <c r="AB1013" s="2329"/>
      <c r="AC1013" s="2326"/>
      <c r="AD1013" s="2330">
        <f t="shared" si="710"/>
        <v>0</v>
      </c>
      <c r="AE1013" s="2330"/>
      <c r="AF1013" s="2330"/>
      <c r="AG1013" s="2330">
        <f t="shared" si="704"/>
        <v>0</v>
      </c>
      <c r="AH1013" s="2330"/>
      <c r="AI1013" s="2330"/>
      <c r="AJ1013" s="2330">
        <f t="shared" si="711"/>
        <v>0</v>
      </c>
      <c r="AK1013" s="2330"/>
      <c r="AL1013" s="2330"/>
      <c r="AM1013" s="2331">
        <f t="shared" si="698"/>
        <v>0</v>
      </c>
      <c r="AN1013" s="2331"/>
      <c r="AO1013" s="2331"/>
      <c r="AP1013" s="2331"/>
      <c r="AQ1013" s="2332">
        <f t="shared" si="712"/>
        <v>0</v>
      </c>
      <c r="AR1013" s="2332"/>
      <c r="AS1013" s="2332"/>
      <c r="AT1013" s="2332">
        <f t="shared" si="713"/>
        <v>0</v>
      </c>
      <c r="AV1013" s="151" t="str">
        <f t="shared" si="693"/>
        <v>PLUMBING</v>
      </c>
      <c r="AW1013" s="681"/>
      <c r="AX1013" s="230"/>
      <c r="AY1013" s="230"/>
      <c r="AZ1013" s="679"/>
      <c r="BA1013" s="49">
        <f t="shared" si="714"/>
        <v>0</v>
      </c>
      <c r="BB1013" s="49">
        <f t="shared" si="719"/>
        <v>0</v>
      </c>
      <c r="BC1013" s="49">
        <f t="shared" si="720"/>
        <v>0</v>
      </c>
      <c r="BD1013" s="49">
        <f t="shared" si="715"/>
        <v>0</v>
      </c>
      <c r="BE1013" s="49">
        <f t="shared" si="721"/>
        <v>0</v>
      </c>
      <c r="BF1013" s="49">
        <f t="shared" si="716"/>
        <v>0</v>
      </c>
      <c r="BG1013" s="49">
        <f t="shared" si="717"/>
        <v>0</v>
      </c>
      <c r="BI1013" s="134">
        <f t="shared" si="722"/>
        <v>0</v>
      </c>
      <c r="BJ1013" s="134">
        <f t="shared" si="718"/>
        <v>0</v>
      </c>
      <c r="BK1013" s="134">
        <f t="shared" si="723"/>
        <v>0</v>
      </c>
    </row>
    <row r="1014" spans="1:63" hidden="1">
      <c r="A1014" s="187"/>
      <c r="B1014" s="2333"/>
      <c r="C1014" s="2333"/>
      <c r="D1014" s="2334"/>
      <c r="E1014" s="2334"/>
      <c r="F1014" s="2334"/>
      <c r="G1014" s="2334"/>
      <c r="H1014" s="2334"/>
      <c r="I1014" s="2334"/>
      <c r="J1014" s="2334"/>
      <c r="K1014" s="2334"/>
      <c r="L1014" s="2334"/>
      <c r="M1014" s="2334"/>
      <c r="N1014" s="2334"/>
      <c r="O1014" s="2334"/>
      <c r="P1014" s="2324"/>
      <c r="Q1014" s="2324"/>
      <c r="R1014" s="2325"/>
      <c r="S1014" s="2324"/>
      <c r="T1014" s="2324"/>
      <c r="U1014" s="2326"/>
      <c r="V1014" s="2327"/>
      <c r="W1014" s="2327"/>
      <c r="X1014" s="2327"/>
      <c r="Y1014" s="2327"/>
      <c r="Z1014" s="2327"/>
      <c r="AA1014" s="2328"/>
      <c r="AB1014" s="2329"/>
      <c r="AC1014" s="2326"/>
      <c r="AD1014" s="2330">
        <f t="shared" si="710"/>
        <v>0</v>
      </c>
      <c r="AE1014" s="2330"/>
      <c r="AF1014" s="2330"/>
      <c r="AG1014" s="2330">
        <f t="shared" si="704"/>
        <v>0</v>
      </c>
      <c r="AH1014" s="2330"/>
      <c r="AI1014" s="2330"/>
      <c r="AJ1014" s="2330">
        <f t="shared" si="711"/>
        <v>0</v>
      </c>
      <c r="AK1014" s="2330"/>
      <c r="AL1014" s="2330"/>
      <c r="AM1014" s="2331">
        <f t="shared" si="698"/>
        <v>0</v>
      </c>
      <c r="AN1014" s="2331"/>
      <c r="AO1014" s="2331"/>
      <c r="AP1014" s="2331"/>
      <c r="AQ1014" s="2332">
        <f t="shared" si="712"/>
        <v>0</v>
      </c>
      <c r="AR1014" s="2332"/>
      <c r="AS1014" s="2332"/>
      <c r="AT1014" s="2332">
        <f t="shared" si="713"/>
        <v>0</v>
      </c>
      <c r="AV1014" s="151" t="str">
        <f t="shared" si="693"/>
        <v>PLUMBING</v>
      </c>
      <c r="AW1014" s="681"/>
      <c r="AX1014" s="230"/>
      <c r="AY1014" s="230"/>
      <c r="AZ1014" s="679"/>
      <c r="BA1014" s="49">
        <f t="shared" si="714"/>
        <v>0</v>
      </c>
      <c r="BB1014" s="49">
        <f t="shared" si="719"/>
        <v>0</v>
      </c>
      <c r="BC1014" s="49">
        <f t="shared" si="720"/>
        <v>0</v>
      </c>
      <c r="BD1014" s="49">
        <f t="shared" si="715"/>
        <v>0</v>
      </c>
      <c r="BE1014" s="49">
        <f t="shared" si="721"/>
        <v>0</v>
      </c>
      <c r="BF1014" s="49">
        <f t="shared" si="716"/>
        <v>0</v>
      </c>
      <c r="BG1014" s="49">
        <f t="shared" si="717"/>
        <v>0</v>
      </c>
      <c r="BI1014" s="134">
        <f t="shared" si="722"/>
        <v>0</v>
      </c>
      <c r="BJ1014" s="134">
        <f t="shared" si="718"/>
        <v>0</v>
      </c>
      <c r="BK1014" s="134">
        <f t="shared" si="723"/>
        <v>0</v>
      </c>
    </row>
    <row r="1015" spans="1:63" hidden="1">
      <c r="A1015" s="187"/>
      <c r="B1015" s="2333"/>
      <c r="C1015" s="2333"/>
      <c r="D1015" s="2334"/>
      <c r="E1015" s="2334"/>
      <c r="F1015" s="2334"/>
      <c r="G1015" s="2334"/>
      <c r="H1015" s="2334"/>
      <c r="I1015" s="2334"/>
      <c r="J1015" s="2334"/>
      <c r="K1015" s="2334"/>
      <c r="L1015" s="2334"/>
      <c r="M1015" s="2334"/>
      <c r="N1015" s="2334"/>
      <c r="O1015" s="2334"/>
      <c r="P1015" s="2324"/>
      <c r="Q1015" s="2324"/>
      <c r="R1015" s="2325"/>
      <c r="S1015" s="2324"/>
      <c r="T1015" s="2324"/>
      <c r="U1015" s="2326"/>
      <c r="V1015" s="2327"/>
      <c r="W1015" s="2327"/>
      <c r="X1015" s="2327"/>
      <c r="Y1015" s="2327"/>
      <c r="Z1015" s="2327"/>
      <c r="AA1015" s="2328"/>
      <c r="AB1015" s="2329"/>
      <c r="AC1015" s="2326"/>
      <c r="AD1015" s="2330">
        <f t="shared" si="710"/>
        <v>0</v>
      </c>
      <c r="AE1015" s="2330"/>
      <c r="AF1015" s="2330"/>
      <c r="AG1015" s="2330">
        <f t="shared" si="704"/>
        <v>0</v>
      </c>
      <c r="AH1015" s="2330"/>
      <c r="AI1015" s="2330"/>
      <c r="AJ1015" s="2330">
        <f t="shared" si="711"/>
        <v>0</v>
      </c>
      <c r="AK1015" s="2330"/>
      <c r="AL1015" s="2330"/>
      <c r="AM1015" s="2331">
        <f t="shared" si="698"/>
        <v>0</v>
      </c>
      <c r="AN1015" s="2331"/>
      <c r="AO1015" s="2331"/>
      <c r="AP1015" s="2331"/>
      <c r="AQ1015" s="2332">
        <f t="shared" si="712"/>
        <v>0</v>
      </c>
      <c r="AR1015" s="2332"/>
      <c r="AS1015" s="2332"/>
      <c r="AT1015" s="2332">
        <f t="shared" si="713"/>
        <v>0</v>
      </c>
      <c r="AV1015" s="151" t="str">
        <f t="shared" si="693"/>
        <v>PLUMBING</v>
      </c>
      <c r="AW1015" s="681"/>
      <c r="AX1015" s="230"/>
      <c r="AY1015" s="230"/>
      <c r="AZ1015" s="679"/>
      <c r="BA1015" s="49">
        <f t="shared" si="714"/>
        <v>0</v>
      </c>
      <c r="BB1015" s="49">
        <f t="shared" si="719"/>
        <v>0</v>
      </c>
      <c r="BC1015" s="49">
        <f t="shared" si="720"/>
        <v>0</v>
      </c>
      <c r="BD1015" s="49">
        <f t="shared" si="715"/>
        <v>0</v>
      </c>
      <c r="BE1015" s="49">
        <f t="shared" si="721"/>
        <v>0</v>
      </c>
      <c r="BF1015" s="49">
        <f t="shared" si="716"/>
        <v>0</v>
      </c>
      <c r="BG1015" s="49">
        <f t="shared" si="717"/>
        <v>0</v>
      </c>
      <c r="BI1015" s="134">
        <f t="shared" si="722"/>
        <v>0</v>
      </c>
      <c r="BJ1015" s="134">
        <f t="shared" si="718"/>
        <v>0</v>
      </c>
      <c r="BK1015" s="134">
        <f t="shared" si="723"/>
        <v>0</v>
      </c>
    </row>
    <row r="1016" spans="1:63" hidden="1">
      <c r="A1016" s="187"/>
      <c r="B1016" s="2321"/>
      <c r="C1016" s="2322"/>
      <c r="D1016" s="2334"/>
      <c r="E1016" s="2334"/>
      <c r="F1016" s="2334"/>
      <c r="G1016" s="2334"/>
      <c r="H1016" s="2334"/>
      <c r="I1016" s="2334"/>
      <c r="J1016" s="2334"/>
      <c r="K1016" s="2334"/>
      <c r="L1016" s="2334"/>
      <c r="M1016" s="2334"/>
      <c r="N1016" s="2334"/>
      <c r="O1016" s="2334"/>
      <c r="P1016" s="2324"/>
      <c r="Q1016" s="2324"/>
      <c r="R1016" s="2325"/>
      <c r="S1016" s="2324"/>
      <c r="T1016" s="2324"/>
      <c r="U1016" s="2326"/>
      <c r="V1016" s="2327"/>
      <c r="W1016" s="2327"/>
      <c r="X1016" s="2327"/>
      <c r="Y1016" s="2327"/>
      <c r="Z1016" s="2327"/>
      <c r="AA1016" s="2328"/>
      <c r="AB1016" s="2329"/>
      <c r="AC1016" s="2326"/>
      <c r="AD1016" s="2330">
        <f t="shared" si="710"/>
        <v>0</v>
      </c>
      <c r="AE1016" s="2330"/>
      <c r="AF1016" s="2330"/>
      <c r="AG1016" s="2330">
        <f t="shared" si="704"/>
        <v>0</v>
      </c>
      <c r="AH1016" s="2330"/>
      <c r="AI1016" s="2330"/>
      <c r="AJ1016" s="2330">
        <f t="shared" si="711"/>
        <v>0</v>
      </c>
      <c r="AK1016" s="2330"/>
      <c r="AL1016" s="2330"/>
      <c r="AM1016" s="2331">
        <f t="shared" si="698"/>
        <v>0</v>
      </c>
      <c r="AN1016" s="2331"/>
      <c r="AO1016" s="2331"/>
      <c r="AP1016" s="2331"/>
      <c r="AQ1016" s="2332">
        <f t="shared" si="712"/>
        <v>0</v>
      </c>
      <c r="AR1016" s="2332"/>
      <c r="AS1016" s="2332"/>
      <c r="AT1016" s="2332">
        <f t="shared" si="713"/>
        <v>0</v>
      </c>
      <c r="AV1016" s="151" t="str">
        <f t="shared" si="693"/>
        <v>PLUMBING</v>
      </c>
      <c r="AW1016" s="681"/>
      <c r="AX1016" s="230"/>
      <c r="AY1016" s="230"/>
      <c r="AZ1016" s="679"/>
      <c r="BA1016" s="49">
        <f t="shared" si="714"/>
        <v>0</v>
      </c>
      <c r="BB1016" s="49">
        <f t="shared" si="719"/>
        <v>0</v>
      </c>
      <c r="BC1016" s="49">
        <f t="shared" si="720"/>
        <v>0</v>
      </c>
      <c r="BD1016" s="49">
        <f t="shared" si="715"/>
        <v>0</v>
      </c>
      <c r="BE1016" s="49">
        <f t="shared" si="721"/>
        <v>0</v>
      </c>
      <c r="BF1016" s="49">
        <f t="shared" si="716"/>
        <v>0</v>
      </c>
      <c r="BG1016" s="49">
        <f t="shared" si="717"/>
        <v>0</v>
      </c>
      <c r="BI1016" s="134">
        <f t="shared" si="722"/>
        <v>0</v>
      </c>
      <c r="BJ1016" s="134">
        <f t="shared" si="718"/>
        <v>0</v>
      </c>
      <c r="BK1016" s="134">
        <f t="shared" si="723"/>
        <v>0</v>
      </c>
    </row>
    <row r="1017" spans="1:63" hidden="1">
      <c r="A1017" s="187"/>
      <c r="B1017" s="2321"/>
      <c r="C1017" s="2322"/>
      <c r="D1017" s="2334"/>
      <c r="E1017" s="2334"/>
      <c r="F1017" s="2334"/>
      <c r="G1017" s="2334"/>
      <c r="H1017" s="2334"/>
      <c r="I1017" s="2334"/>
      <c r="J1017" s="2334"/>
      <c r="K1017" s="2334"/>
      <c r="L1017" s="2334"/>
      <c r="M1017" s="2334"/>
      <c r="N1017" s="2334"/>
      <c r="O1017" s="2334"/>
      <c r="P1017" s="2324"/>
      <c r="Q1017" s="2324"/>
      <c r="R1017" s="2325"/>
      <c r="S1017" s="2324"/>
      <c r="T1017" s="2324"/>
      <c r="U1017" s="2326"/>
      <c r="V1017" s="2327"/>
      <c r="W1017" s="2327"/>
      <c r="X1017" s="2327"/>
      <c r="Y1017" s="2327"/>
      <c r="Z1017" s="2327"/>
      <c r="AA1017" s="2328"/>
      <c r="AB1017" s="2329"/>
      <c r="AC1017" s="2326"/>
      <c r="AD1017" s="2330">
        <f t="shared" si="710"/>
        <v>0</v>
      </c>
      <c r="AE1017" s="2330"/>
      <c r="AF1017" s="2330"/>
      <c r="AG1017" s="2330">
        <f t="shared" si="704"/>
        <v>0</v>
      </c>
      <c r="AH1017" s="2330"/>
      <c r="AI1017" s="2330"/>
      <c r="AJ1017" s="2330">
        <f t="shared" si="711"/>
        <v>0</v>
      </c>
      <c r="AK1017" s="2330"/>
      <c r="AL1017" s="2330"/>
      <c r="AM1017" s="2331">
        <f t="shared" si="698"/>
        <v>0</v>
      </c>
      <c r="AN1017" s="2331"/>
      <c r="AO1017" s="2331"/>
      <c r="AP1017" s="2331"/>
      <c r="AQ1017" s="2332">
        <f t="shared" si="712"/>
        <v>0</v>
      </c>
      <c r="AR1017" s="2332"/>
      <c r="AS1017" s="2332"/>
      <c r="AT1017" s="2332">
        <f t="shared" si="713"/>
        <v>0</v>
      </c>
      <c r="AV1017" s="151" t="str">
        <f t="shared" si="693"/>
        <v>PLUMBING</v>
      </c>
      <c r="AW1017" s="681"/>
      <c r="AX1017" s="230"/>
      <c r="AY1017" s="230"/>
      <c r="AZ1017" s="679"/>
      <c r="BA1017" s="49">
        <f t="shared" si="714"/>
        <v>0</v>
      </c>
      <c r="BB1017" s="49">
        <f t="shared" si="719"/>
        <v>0</v>
      </c>
      <c r="BC1017" s="49">
        <f t="shared" si="720"/>
        <v>0</v>
      </c>
      <c r="BD1017" s="49">
        <f t="shared" si="715"/>
        <v>0</v>
      </c>
      <c r="BE1017" s="49">
        <f t="shared" si="721"/>
        <v>0</v>
      </c>
      <c r="BF1017" s="49">
        <f t="shared" si="716"/>
        <v>0</v>
      </c>
      <c r="BG1017" s="49">
        <f t="shared" si="717"/>
        <v>0</v>
      </c>
      <c r="BI1017" s="134">
        <f t="shared" si="722"/>
        <v>0</v>
      </c>
      <c r="BJ1017" s="134">
        <f t="shared" si="718"/>
        <v>0</v>
      </c>
      <c r="BK1017" s="134">
        <f t="shared" si="723"/>
        <v>0</v>
      </c>
    </row>
    <row r="1018" spans="1:63" hidden="1">
      <c r="A1018" s="187"/>
      <c r="B1018" s="2321"/>
      <c r="C1018" s="2322"/>
      <c r="D1018" s="2334"/>
      <c r="E1018" s="2334"/>
      <c r="F1018" s="2334"/>
      <c r="G1018" s="2334"/>
      <c r="H1018" s="2334"/>
      <c r="I1018" s="2334"/>
      <c r="J1018" s="2334"/>
      <c r="K1018" s="2334"/>
      <c r="L1018" s="2334"/>
      <c r="M1018" s="2334"/>
      <c r="N1018" s="2334"/>
      <c r="O1018" s="2334"/>
      <c r="P1018" s="2324"/>
      <c r="Q1018" s="2324"/>
      <c r="R1018" s="2325"/>
      <c r="S1018" s="2324"/>
      <c r="T1018" s="2324"/>
      <c r="U1018" s="2326"/>
      <c r="V1018" s="2327"/>
      <c r="W1018" s="2327"/>
      <c r="X1018" s="2327"/>
      <c r="Y1018" s="2327"/>
      <c r="Z1018" s="2327"/>
      <c r="AA1018" s="2328"/>
      <c r="AB1018" s="2329"/>
      <c r="AC1018" s="2326"/>
      <c r="AD1018" s="2330">
        <f t="shared" si="710"/>
        <v>0</v>
      </c>
      <c r="AE1018" s="2330"/>
      <c r="AF1018" s="2330"/>
      <c r="AG1018" s="2330">
        <f t="shared" si="704"/>
        <v>0</v>
      </c>
      <c r="AH1018" s="2330"/>
      <c r="AI1018" s="2330"/>
      <c r="AJ1018" s="2330">
        <f t="shared" si="711"/>
        <v>0</v>
      </c>
      <c r="AK1018" s="2330"/>
      <c r="AL1018" s="2330"/>
      <c r="AM1018" s="2331">
        <f t="shared" si="698"/>
        <v>0</v>
      </c>
      <c r="AN1018" s="2331"/>
      <c r="AO1018" s="2331"/>
      <c r="AP1018" s="2331"/>
      <c r="AQ1018" s="2332">
        <f t="shared" si="712"/>
        <v>0</v>
      </c>
      <c r="AR1018" s="2332"/>
      <c r="AS1018" s="2332"/>
      <c r="AT1018" s="2332">
        <f t="shared" si="713"/>
        <v>0</v>
      </c>
      <c r="AV1018" s="151" t="str">
        <f t="shared" si="693"/>
        <v>PLUMBING</v>
      </c>
      <c r="AW1018" s="681"/>
      <c r="AX1018" s="230"/>
      <c r="AY1018" s="230"/>
      <c r="AZ1018" s="679"/>
      <c r="BA1018" s="49">
        <f t="shared" si="714"/>
        <v>0</v>
      </c>
      <c r="BB1018" s="49">
        <f t="shared" si="719"/>
        <v>0</v>
      </c>
      <c r="BC1018" s="49">
        <f t="shared" si="720"/>
        <v>0</v>
      </c>
      <c r="BD1018" s="49">
        <f t="shared" si="715"/>
        <v>0</v>
      </c>
      <c r="BE1018" s="49">
        <f t="shared" si="721"/>
        <v>0</v>
      </c>
      <c r="BF1018" s="49">
        <f t="shared" si="716"/>
        <v>0</v>
      </c>
      <c r="BG1018" s="49">
        <f t="shared" si="717"/>
        <v>0</v>
      </c>
      <c r="BI1018" s="134">
        <f t="shared" si="722"/>
        <v>0</v>
      </c>
      <c r="BJ1018" s="134">
        <f t="shared" si="718"/>
        <v>0</v>
      </c>
      <c r="BK1018" s="134">
        <f t="shared" si="723"/>
        <v>0</v>
      </c>
    </row>
    <row r="1019" spans="1:63" hidden="1">
      <c r="A1019" s="187"/>
      <c r="B1019" s="2333"/>
      <c r="C1019" s="2333"/>
      <c r="D1019" s="2334"/>
      <c r="E1019" s="2334"/>
      <c r="F1019" s="2334"/>
      <c r="G1019" s="2334"/>
      <c r="H1019" s="2334"/>
      <c r="I1019" s="2334"/>
      <c r="J1019" s="2334"/>
      <c r="K1019" s="2334"/>
      <c r="L1019" s="2334"/>
      <c r="M1019" s="2334"/>
      <c r="N1019" s="2334"/>
      <c r="O1019" s="2334"/>
      <c r="P1019" s="2324"/>
      <c r="Q1019" s="2324"/>
      <c r="R1019" s="2325"/>
      <c r="S1019" s="2324"/>
      <c r="T1019" s="2324"/>
      <c r="U1019" s="2326"/>
      <c r="V1019" s="2327"/>
      <c r="W1019" s="2327"/>
      <c r="X1019" s="2327"/>
      <c r="Y1019" s="2327"/>
      <c r="Z1019" s="2327"/>
      <c r="AA1019" s="2328"/>
      <c r="AB1019" s="2329"/>
      <c r="AC1019" s="2326"/>
      <c r="AD1019" s="2330">
        <f t="shared" si="710"/>
        <v>0</v>
      </c>
      <c r="AE1019" s="2330"/>
      <c r="AF1019" s="2330"/>
      <c r="AG1019" s="2330">
        <f t="shared" si="704"/>
        <v>0</v>
      </c>
      <c r="AH1019" s="2330"/>
      <c r="AI1019" s="2330"/>
      <c r="AJ1019" s="2330">
        <f t="shared" si="711"/>
        <v>0</v>
      </c>
      <c r="AK1019" s="2330"/>
      <c r="AL1019" s="2330"/>
      <c r="AM1019" s="2331">
        <f t="shared" si="698"/>
        <v>0</v>
      </c>
      <c r="AN1019" s="2331"/>
      <c r="AO1019" s="2331"/>
      <c r="AP1019" s="2331"/>
      <c r="AQ1019" s="2332">
        <f t="shared" si="712"/>
        <v>0</v>
      </c>
      <c r="AR1019" s="2332"/>
      <c r="AS1019" s="2332"/>
      <c r="AT1019" s="2332">
        <f t="shared" si="713"/>
        <v>0</v>
      </c>
      <c r="AV1019" s="151" t="str">
        <f t="shared" si="693"/>
        <v>PLUMBING</v>
      </c>
      <c r="AW1019" s="681"/>
      <c r="AX1019" s="230"/>
      <c r="AY1019" s="230"/>
      <c r="AZ1019" s="679"/>
      <c r="BA1019" s="49">
        <f t="shared" si="714"/>
        <v>0</v>
      </c>
      <c r="BB1019" s="49">
        <f t="shared" si="719"/>
        <v>0</v>
      </c>
      <c r="BC1019" s="49">
        <f t="shared" si="720"/>
        <v>0</v>
      </c>
      <c r="BD1019" s="49">
        <f t="shared" si="715"/>
        <v>0</v>
      </c>
      <c r="BE1019" s="49">
        <f t="shared" si="721"/>
        <v>0</v>
      </c>
      <c r="BF1019" s="49">
        <f t="shared" si="716"/>
        <v>0</v>
      </c>
      <c r="BG1019" s="49">
        <f t="shared" si="717"/>
        <v>0</v>
      </c>
      <c r="BI1019" s="134">
        <f t="shared" si="722"/>
        <v>0</v>
      </c>
      <c r="BJ1019" s="134">
        <f t="shared" si="718"/>
        <v>0</v>
      </c>
      <c r="BK1019" s="134">
        <f t="shared" si="723"/>
        <v>0</v>
      </c>
    </row>
    <row r="1020" spans="1:63" hidden="1">
      <c r="A1020" s="187"/>
      <c r="B1020" s="2321"/>
      <c r="C1020" s="2322"/>
      <c r="D1020" s="2334"/>
      <c r="E1020" s="2334"/>
      <c r="F1020" s="2334"/>
      <c r="G1020" s="2334"/>
      <c r="H1020" s="2334"/>
      <c r="I1020" s="2334"/>
      <c r="J1020" s="2334"/>
      <c r="K1020" s="2334"/>
      <c r="L1020" s="2334"/>
      <c r="M1020" s="2334"/>
      <c r="N1020" s="2334"/>
      <c r="O1020" s="2334"/>
      <c r="P1020" s="2324"/>
      <c r="Q1020" s="2324"/>
      <c r="R1020" s="2325"/>
      <c r="S1020" s="2324"/>
      <c r="T1020" s="2324"/>
      <c r="U1020" s="2326"/>
      <c r="V1020" s="2327"/>
      <c r="W1020" s="2327"/>
      <c r="X1020" s="2327"/>
      <c r="Y1020" s="2327"/>
      <c r="Z1020" s="2327"/>
      <c r="AA1020" s="2328"/>
      <c r="AB1020" s="2329"/>
      <c r="AC1020" s="2326"/>
      <c r="AD1020" s="2330">
        <f t="shared" si="710"/>
        <v>0</v>
      </c>
      <c r="AE1020" s="2330"/>
      <c r="AF1020" s="2330"/>
      <c r="AG1020" s="2330">
        <f t="shared" si="704"/>
        <v>0</v>
      </c>
      <c r="AH1020" s="2330"/>
      <c r="AI1020" s="2330"/>
      <c r="AJ1020" s="2330">
        <f t="shared" si="711"/>
        <v>0</v>
      </c>
      <c r="AK1020" s="2330"/>
      <c r="AL1020" s="2330"/>
      <c r="AM1020" s="2331">
        <f t="shared" si="698"/>
        <v>0</v>
      </c>
      <c r="AN1020" s="2331"/>
      <c r="AO1020" s="2331"/>
      <c r="AP1020" s="2331"/>
      <c r="AQ1020" s="2332">
        <f t="shared" si="712"/>
        <v>0</v>
      </c>
      <c r="AR1020" s="2332"/>
      <c r="AS1020" s="2332"/>
      <c r="AT1020" s="2332">
        <f t="shared" si="713"/>
        <v>0</v>
      </c>
      <c r="AV1020" s="151" t="str">
        <f t="shared" si="693"/>
        <v>PLUMBING</v>
      </c>
      <c r="AW1020" s="681"/>
      <c r="AX1020" s="230"/>
      <c r="AY1020" s="230"/>
      <c r="AZ1020" s="679"/>
      <c r="BA1020" s="49">
        <f t="shared" si="714"/>
        <v>0</v>
      </c>
      <c r="BB1020" s="49">
        <f t="shared" si="719"/>
        <v>0</v>
      </c>
      <c r="BC1020" s="49">
        <f t="shared" si="720"/>
        <v>0</v>
      </c>
      <c r="BD1020" s="49">
        <f t="shared" si="715"/>
        <v>0</v>
      </c>
      <c r="BE1020" s="49">
        <f t="shared" si="721"/>
        <v>0</v>
      </c>
      <c r="BF1020" s="49">
        <f t="shared" si="716"/>
        <v>0</v>
      </c>
      <c r="BG1020" s="49">
        <f t="shared" si="717"/>
        <v>0</v>
      </c>
      <c r="BI1020" s="134">
        <f t="shared" si="722"/>
        <v>0</v>
      </c>
      <c r="BJ1020" s="134">
        <f t="shared" si="718"/>
        <v>0</v>
      </c>
      <c r="BK1020" s="134">
        <f t="shared" si="723"/>
        <v>0</v>
      </c>
    </row>
    <row r="1021" spans="1:63" hidden="1">
      <c r="A1021" s="187"/>
      <c r="B1021" s="2321"/>
      <c r="C1021" s="2322"/>
      <c r="D1021" s="2334"/>
      <c r="E1021" s="2334"/>
      <c r="F1021" s="2334"/>
      <c r="G1021" s="2334"/>
      <c r="H1021" s="2334"/>
      <c r="I1021" s="2334"/>
      <c r="J1021" s="2334"/>
      <c r="K1021" s="2334"/>
      <c r="L1021" s="2334"/>
      <c r="M1021" s="2334"/>
      <c r="N1021" s="2334"/>
      <c r="O1021" s="2334"/>
      <c r="P1021" s="2324"/>
      <c r="Q1021" s="2324"/>
      <c r="R1021" s="2325"/>
      <c r="S1021" s="2324"/>
      <c r="T1021" s="2324"/>
      <c r="U1021" s="2326"/>
      <c r="V1021" s="2327"/>
      <c r="W1021" s="2327"/>
      <c r="X1021" s="2327"/>
      <c r="Y1021" s="2327"/>
      <c r="Z1021" s="2327"/>
      <c r="AA1021" s="2328"/>
      <c r="AB1021" s="2329"/>
      <c r="AC1021" s="2326"/>
      <c r="AD1021" s="2330">
        <f t="shared" si="710"/>
        <v>0</v>
      </c>
      <c r="AE1021" s="2330"/>
      <c r="AF1021" s="2330"/>
      <c r="AG1021" s="2330">
        <f t="shared" si="704"/>
        <v>0</v>
      </c>
      <c r="AH1021" s="2330"/>
      <c r="AI1021" s="2330"/>
      <c r="AJ1021" s="2330">
        <f t="shared" si="711"/>
        <v>0</v>
      </c>
      <c r="AK1021" s="2330"/>
      <c r="AL1021" s="2330"/>
      <c r="AM1021" s="2331">
        <f t="shared" si="698"/>
        <v>0</v>
      </c>
      <c r="AN1021" s="2331"/>
      <c r="AO1021" s="2331"/>
      <c r="AP1021" s="2331"/>
      <c r="AQ1021" s="2332">
        <f t="shared" si="712"/>
        <v>0</v>
      </c>
      <c r="AR1021" s="2332"/>
      <c r="AS1021" s="2332"/>
      <c r="AT1021" s="2332">
        <f t="shared" si="713"/>
        <v>0</v>
      </c>
      <c r="AV1021" s="151" t="str">
        <f t="shared" si="693"/>
        <v>PLUMBING</v>
      </c>
      <c r="AW1021" s="681"/>
      <c r="AX1021" s="230"/>
      <c r="AY1021" s="230"/>
      <c r="AZ1021" s="679"/>
      <c r="BA1021" s="49">
        <f t="shared" si="714"/>
        <v>0</v>
      </c>
      <c r="BB1021" s="49">
        <f t="shared" si="719"/>
        <v>0</v>
      </c>
      <c r="BC1021" s="49">
        <f t="shared" si="720"/>
        <v>0</v>
      </c>
      <c r="BD1021" s="49">
        <f t="shared" si="715"/>
        <v>0</v>
      </c>
      <c r="BE1021" s="49">
        <f t="shared" si="721"/>
        <v>0</v>
      </c>
      <c r="BF1021" s="49">
        <f t="shared" si="716"/>
        <v>0</v>
      </c>
      <c r="BG1021" s="49">
        <f t="shared" si="717"/>
        <v>0</v>
      </c>
      <c r="BI1021" s="134">
        <f t="shared" si="722"/>
        <v>0</v>
      </c>
      <c r="BJ1021" s="134">
        <f t="shared" si="718"/>
        <v>0</v>
      </c>
      <c r="BK1021" s="134">
        <f t="shared" si="723"/>
        <v>0</v>
      </c>
    </row>
    <row r="1022" spans="1:63" hidden="1">
      <c r="A1022" s="187"/>
      <c r="B1022" s="2321"/>
      <c r="C1022" s="2322"/>
      <c r="D1022" s="2334"/>
      <c r="E1022" s="2334"/>
      <c r="F1022" s="2334"/>
      <c r="G1022" s="2334"/>
      <c r="H1022" s="2334"/>
      <c r="I1022" s="2334"/>
      <c r="J1022" s="2334"/>
      <c r="K1022" s="2334"/>
      <c r="L1022" s="2334"/>
      <c r="M1022" s="2334"/>
      <c r="N1022" s="2334"/>
      <c r="O1022" s="2334"/>
      <c r="P1022" s="2324"/>
      <c r="Q1022" s="2324"/>
      <c r="R1022" s="2325"/>
      <c r="S1022" s="2324"/>
      <c r="T1022" s="2324"/>
      <c r="U1022" s="2326"/>
      <c r="V1022" s="2327"/>
      <c r="W1022" s="2327"/>
      <c r="X1022" s="2327"/>
      <c r="Y1022" s="2327"/>
      <c r="Z1022" s="2327"/>
      <c r="AA1022" s="2328"/>
      <c r="AB1022" s="2329"/>
      <c r="AC1022" s="2326"/>
      <c r="AD1022" s="2330">
        <f t="shared" si="710"/>
        <v>0</v>
      </c>
      <c r="AE1022" s="2330"/>
      <c r="AF1022" s="2330"/>
      <c r="AG1022" s="2330">
        <f t="shared" si="704"/>
        <v>0</v>
      </c>
      <c r="AH1022" s="2330"/>
      <c r="AI1022" s="2330"/>
      <c r="AJ1022" s="2330">
        <f t="shared" si="711"/>
        <v>0</v>
      </c>
      <c r="AK1022" s="2330"/>
      <c r="AL1022" s="2330"/>
      <c r="AM1022" s="2331">
        <f t="shared" si="698"/>
        <v>0</v>
      </c>
      <c r="AN1022" s="2331"/>
      <c r="AO1022" s="2331"/>
      <c r="AP1022" s="2331"/>
      <c r="AQ1022" s="2332">
        <f t="shared" si="712"/>
        <v>0</v>
      </c>
      <c r="AR1022" s="2332"/>
      <c r="AS1022" s="2332"/>
      <c r="AT1022" s="2332">
        <f t="shared" si="713"/>
        <v>0</v>
      </c>
      <c r="AV1022" s="151" t="str">
        <f t="shared" si="693"/>
        <v>PLUMBING</v>
      </c>
      <c r="AW1022" s="681"/>
      <c r="AX1022" s="230"/>
      <c r="AY1022" s="230"/>
      <c r="AZ1022" s="679"/>
      <c r="BA1022" s="49">
        <f t="shared" si="714"/>
        <v>0</v>
      </c>
      <c r="BB1022" s="49">
        <f t="shared" si="719"/>
        <v>0</v>
      </c>
      <c r="BC1022" s="49">
        <f t="shared" si="720"/>
        <v>0</v>
      </c>
      <c r="BD1022" s="49">
        <f t="shared" si="715"/>
        <v>0</v>
      </c>
      <c r="BE1022" s="49">
        <f t="shared" si="721"/>
        <v>0</v>
      </c>
      <c r="BF1022" s="49">
        <f t="shared" si="716"/>
        <v>0</v>
      </c>
      <c r="BG1022" s="49">
        <f t="shared" si="717"/>
        <v>0</v>
      </c>
      <c r="BI1022" s="134">
        <f t="shared" si="722"/>
        <v>0</v>
      </c>
      <c r="BJ1022" s="134">
        <f t="shared" si="718"/>
        <v>0</v>
      </c>
      <c r="BK1022" s="134">
        <f t="shared" si="723"/>
        <v>0</v>
      </c>
    </row>
    <row r="1023" spans="1:63" hidden="1">
      <c r="A1023" s="187"/>
      <c r="B1023" s="2321"/>
      <c r="C1023" s="2322"/>
      <c r="D1023" s="2334"/>
      <c r="E1023" s="2334"/>
      <c r="F1023" s="2334"/>
      <c r="G1023" s="2334"/>
      <c r="H1023" s="2334"/>
      <c r="I1023" s="2334"/>
      <c r="J1023" s="2334"/>
      <c r="K1023" s="2334"/>
      <c r="L1023" s="2334"/>
      <c r="M1023" s="2334"/>
      <c r="N1023" s="2334"/>
      <c r="O1023" s="2334"/>
      <c r="P1023" s="2324"/>
      <c r="Q1023" s="2324"/>
      <c r="R1023" s="2325"/>
      <c r="S1023" s="2324"/>
      <c r="T1023" s="2324"/>
      <c r="U1023" s="2326"/>
      <c r="V1023" s="2327"/>
      <c r="W1023" s="2327"/>
      <c r="X1023" s="2327"/>
      <c r="Y1023" s="2327"/>
      <c r="Z1023" s="2327"/>
      <c r="AA1023" s="2328"/>
      <c r="AB1023" s="2329"/>
      <c r="AC1023" s="2326"/>
      <c r="AD1023" s="2330">
        <f t="shared" si="710"/>
        <v>0</v>
      </c>
      <c r="AE1023" s="2330"/>
      <c r="AF1023" s="2330"/>
      <c r="AG1023" s="2330">
        <f t="shared" si="704"/>
        <v>0</v>
      </c>
      <c r="AH1023" s="2330"/>
      <c r="AI1023" s="2330"/>
      <c r="AJ1023" s="2330">
        <f t="shared" si="711"/>
        <v>0</v>
      </c>
      <c r="AK1023" s="2330"/>
      <c r="AL1023" s="2330"/>
      <c r="AM1023" s="2331">
        <f t="shared" si="698"/>
        <v>0</v>
      </c>
      <c r="AN1023" s="2331"/>
      <c r="AO1023" s="2331"/>
      <c r="AP1023" s="2331"/>
      <c r="AQ1023" s="2332">
        <f t="shared" si="712"/>
        <v>0</v>
      </c>
      <c r="AR1023" s="2332"/>
      <c r="AS1023" s="2332"/>
      <c r="AT1023" s="2332">
        <f t="shared" si="713"/>
        <v>0</v>
      </c>
      <c r="AV1023" s="151" t="str">
        <f t="shared" si="693"/>
        <v>PLUMBING</v>
      </c>
      <c r="AW1023" s="681"/>
      <c r="AX1023" s="230"/>
      <c r="AY1023" s="230"/>
      <c r="AZ1023" s="679"/>
      <c r="BA1023" s="49">
        <f t="shared" si="714"/>
        <v>0</v>
      </c>
      <c r="BB1023" s="49">
        <f t="shared" si="719"/>
        <v>0</v>
      </c>
      <c r="BC1023" s="49">
        <f t="shared" si="720"/>
        <v>0</v>
      </c>
      <c r="BD1023" s="49">
        <f t="shared" si="715"/>
        <v>0</v>
      </c>
      <c r="BE1023" s="49">
        <f t="shared" si="721"/>
        <v>0</v>
      </c>
      <c r="BF1023" s="49">
        <f t="shared" si="716"/>
        <v>0</v>
      </c>
      <c r="BG1023" s="49">
        <f t="shared" si="717"/>
        <v>0</v>
      </c>
      <c r="BI1023" s="134">
        <f t="shared" si="722"/>
        <v>0</v>
      </c>
      <c r="BJ1023" s="134">
        <f t="shared" si="718"/>
        <v>0</v>
      </c>
      <c r="BK1023" s="134">
        <f t="shared" si="723"/>
        <v>0</v>
      </c>
    </row>
    <row r="1024" spans="1:63" hidden="1">
      <c r="A1024" s="187"/>
      <c r="B1024" s="2333"/>
      <c r="C1024" s="2333"/>
      <c r="D1024" s="2334"/>
      <c r="E1024" s="2334"/>
      <c r="F1024" s="2334"/>
      <c r="G1024" s="2334"/>
      <c r="H1024" s="2334"/>
      <c r="I1024" s="2334"/>
      <c r="J1024" s="2334"/>
      <c r="K1024" s="2334"/>
      <c r="L1024" s="2334"/>
      <c r="M1024" s="2334"/>
      <c r="N1024" s="2334"/>
      <c r="O1024" s="2334"/>
      <c r="P1024" s="2324"/>
      <c r="Q1024" s="2324"/>
      <c r="R1024" s="2325"/>
      <c r="S1024" s="2324"/>
      <c r="T1024" s="2324"/>
      <c r="U1024" s="2326"/>
      <c r="V1024" s="2327"/>
      <c r="W1024" s="2327"/>
      <c r="X1024" s="2327"/>
      <c r="Y1024" s="2327"/>
      <c r="Z1024" s="2327"/>
      <c r="AA1024" s="2328"/>
      <c r="AB1024" s="2329"/>
      <c r="AC1024" s="2326"/>
      <c r="AD1024" s="2330">
        <f t="shared" si="710"/>
        <v>0</v>
      </c>
      <c r="AE1024" s="2330"/>
      <c r="AF1024" s="2330"/>
      <c r="AG1024" s="2330">
        <f t="shared" si="704"/>
        <v>0</v>
      </c>
      <c r="AH1024" s="2330"/>
      <c r="AI1024" s="2330"/>
      <c r="AJ1024" s="2330">
        <f t="shared" si="711"/>
        <v>0</v>
      </c>
      <c r="AK1024" s="2330"/>
      <c r="AL1024" s="2330"/>
      <c r="AM1024" s="2331">
        <f t="shared" si="698"/>
        <v>0</v>
      </c>
      <c r="AN1024" s="2331"/>
      <c r="AO1024" s="2331"/>
      <c r="AP1024" s="2331"/>
      <c r="AQ1024" s="2332">
        <f t="shared" si="712"/>
        <v>0</v>
      </c>
      <c r="AR1024" s="2332"/>
      <c r="AS1024" s="2332"/>
      <c r="AT1024" s="2332">
        <f t="shared" si="713"/>
        <v>0</v>
      </c>
      <c r="AV1024" s="151" t="str">
        <f t="shared" si="693"/>
        <v>PLUMBING</v>
      </c>
      <c r="AW1024" s="681"/>
      <c r="AX1024" s="230"/>
      <c r="AY1024" s="230"/>
      <c r="AZ1024" s="679"/>
      <c r="BA1024" s="49">
        <f t="shared" si="714"/>
        <v>0</v>
      </c>
      <c r="BB1024" s="49">
        <f t="shared" si="719"/>
        <v>0</v>
      </c>
      <c r="BC1024" s="49">
        <f t="shared" si="720"/>
        <v>0</v>
      </c>
      <c r="BD1024" s="49">
        <f t="shared" si="715"/>
        <v>0</v>
      </c>
      <c r="BE1024" s="49">
        <f t="shared" si="721"/>
        <v>0</v>
      </c>
      <c r="BF1024" s="49">
        <f t="shared" si="716"/>
        <v>0</v>
      </c>
      <c r="BG1024" s="49">
        <f t="shared" si="717"/>
        <v>0</v>
      </c>
      <c r="BI1024" s="134">
        <f t="shared" si="722"/>
        <v>0</v>
      </c>
      <c r="BJ1024" s="134">
        <f t="shared" si="718"/>
        <v>0</v>
      </c>
      <c r="BK1024" s="134">
        <f t="shared" si="723"/>
        <v>0</v>
      </c>
    </row>
    <row r="1025" spans="1:63" hidden="1">
      <c r="A1025" s="187"/>
      <c r="B1025" s="2333"/>
      <c r="C1025" s="2333"/>
      <c r="D1025" s="2334"/>
      <c r="E1025" s="2334"/>
      <c r="F1025" s="2334"/>
      <c r="G1025" s="2334"/>
      <c r="H1025" s="2334"/>
      <c r="I1025" s="2334"/>
      <c r="J1025" s="2334"/>
      <c r="K1025" s="2334"/>
      <c r="L1025" s="2334"/>
      <c r="M1025" s="2334"/>
      <c r="N1025" s="2334"/>
      <c r="O1025" s="2334"/>
      <c r="P1025" s="2324"/>
      <c r="Q1025" s="2324"/>
      <c r="R1025" s="2325"/>
      <c r="S1025" s="2324"/>
      <c r="T1025" s="2324"/>
      <c r="U1025" s="2326"/>
      <c r="V1025" s="2327"/>
      <c r="W1025" s="2327"/>
      <c r="X1025" s="2327"/>
      <c r="Y1025" s="2327"/>
      <c r="Z1025" s="2327"/>
      <c r="AA1025" s="2328"/>
      <c r="AB1025" s="2329"/>
      <c r="AC1025" s="2326"/>
      <c r="AD1025" s="2330">
        <f t="shared" si="710"/>
        <v>0</v>
      </c>
      <c r="AE1025" s="2330"/>
      <c r="AF1025" s="2330"/>
      <c r="AG1025" s="2330">
        <f t="shared" si="704"/>
        <v>0</v>
      </c>
      <c r="AH1025" s="2330"/>
      <c r="AI1025" s="2330"/>
      <c r="AJ1025" s="2330">
        <f t="shared" si="711"/>
        <v>0</v>
      </c>
      <c r="AK1025" s="2330"/>
      <c r="AL1025" s="2330"/>
      <c r="AM1025" s="2331">
        <f t="shared" si="698"/>
        <v>0</v>
      </c>
      <c r="AN1025" s="2331"/>
      <c r="AO1025" s="2331"/>
      <c r="AP1025" s="2331"/>
      <c r="AQ1025" s="2332">
        <f t="shared" si="712"/>
        <v>0</v>
      </c>
      <c r="AR1025" s="2332"/>
      <c r="AS1025" s="2332"/>
      <c r="AT1025" s="2332">
        <f t="shared" si="713"/>
        <v>0</v>
      </c>
      <c r="AV1025" s="151" t="str">
        <f t="shared" si="693"/>
        <v>PLUMBING</v>
      </c>
      <c r="AW1025" s="681"/>
      <c r="AX1025" s="230"/>
      <c r="AY1025" s="230"/>
      <c r="AZ1025" s="679"/>
      <c r="BA1025" s="49">
        <f t="shared" si="714"/>
        <v>0</v>
      </c>
      <c r="BB1025" s="49">
        <f t="shared" si="719"/>
        <v>0</v>
      </c>
      <c r="BC1025" s="49">
        <f t="shared" si="720"/>
        <v>0</v>
      </c>
      <c r="BD1025" s="49">
        <f t="shared" si="715"/>
        <v>0</v>
      </c>
      <c r="BE1025" s="49">
        <f t="shared" si="721"/>
        <v>0</v>
      </c>
      <c r="BF1025" s="49">
        <f t="shared" si="716"/>
        <v>0</v>
      </c>
      <c r="BG1025" s="49">
        <f t="shared" si="717"/>
        <v>0</v>
      </c>
      <c r="BI1025" s="134">
        <f t="shared" si="722"/>
        <v>0</v>
      </c>
      <c r="BJ1025" s="134">
        <f t="shared" si="718"/>
        <v>0</v>
      </c>
      <c r="BK1025" s="134">
        <f t="shared" si="723"/>
        <v>0</v>
      </c>
    </row>
    <row r="1026" spans="1:63" hidden="1">
      <c r="A1026" s="187"/>
      <c r="B1026" s="2321"/>
      <c r="C1026" s="2322"/>
      <c r="D1026" s="2334"/>
      <c r="E1026" s="2334"/>
      <c r="F1026" s="2334"/>
      <c r="G1026" s="2334"/>
      <c r="H1026" s="2334"/>
      <c r="I1026" s="2334"/>
      <c r="J1026" s="2334"/>
      <c r="K1026" s="2334"/>
      <c r="L1026" s="2334"/>
      <c r="M1026" s="2334"/>
      <c r="N1026" s="2334"/>
      <c r="O1026" s="2334"/>
      <c r="P1026" s="2324"/>
      <c r="Q1026" s="2324"/>
      <c r="R1026" s="2325"/>
      <c r="S1026" s="2324"/>
      <c r="T1026" s="2324"/>
      <c r="U1026" s="2326"/>
      <c r="V1026" s="2327"/>
      <c r="W1026" s="2327"/>
      <c r="X1026" s="2327"/>
      <c r="Y1026" s="2327"/>
      <c r="Z1026" s="2327"/>
      <c r="AA1026" s="2328"/>
      <c r="AB1026" s="2329"/>
      <c r="AC1026" s="2326"/>
      <c r="AD1026" s="2330">
        <f t="shared" si="710"/>
        <v>0</v>
      </c>
      <c r="AE1026" s="2330"/>
      <c r="AF1026" s="2330"/>
      <c r="AG1026" s="2330">
        <f t="shared" si="704"/>
        <v>0</v>
      </c>
      <c r="AH1026" s="2330"/>
      <c r="AI1026" s="2330"/>
      <c r="AJ1026" s="2330">
        <f t="shared" si="711"/>
        <v>0</v>
      </c>
      <c r="AK1026" s="2330"/>
      <c r="AL1026" s="2330"/>
      <c r="AM1026" s="2331">
        <f t="shared" si="698"/>
        <v>0</v>
      </c>
      <c r="AN1026" s="2331"/>
      <c r="AO1026" s="2331"/>
      <c r="AP1026" s="2331"/>
      <c r="AQ1026" s="2332">
        <f t="shared" si="712"/>
        <v>0</v>
      </c>
      <c r="AR1026" s="2332"/>
      <c r="AS1026" s="2332"/>
      <c r="AT1026" s="2332">
        <f t="shared" si="713"/>
        <v>0</v>
      </c>
      <c r="AV1026" s="151" t="str">
        <f t="shared" si="693"/>
        <v>PLUMBING</v>
      </c>
      <c r="AW1026" s="681"/>
      <c r="AX1026" s="230"/>
      <c r="AY1026" s="230"/>
      <c r="AZ1026" s="679"/>
      <c r="BA1026" s="49">
        <f t="shared" si="714"/>
        <v>0</v>
      </c>
      <c r="BB1026" s="49">
        <f t="shared" si="719"/>
        <v>0</v>
      </c>
      <c r="BC1026" s="49">
        <f t="shared" si="720"/>
        <v>0</v>
      </c>
      <c r="BD1026" s="49">
        <f t="shared" si="715"/>
        <v>0</v>
      </c>
      <c r="BE1026" s="49">
        <f>SUM(BA1026:BC1026)</f>
        <v>0</v>
      </c>
      <c r="BF1026" s="49">
        <f t="shared" si="716"/>
        <v>0</v>
      </c>
      <c r="BG1026" s="49">
        <f t="shared" si="717"/>
        <v>0</v>
      </c>
      <c r="BI1026" s="134">
        <f t="shared" si="722"/>
        <v>0</v>
      </c>
      <c r="BJ1026" s="134">
        <f t="shared" si="718"/>
        <v>0</v>
      </c>
      <c r="BK1026" s="134">
        <f t="shared" si="723"/>
        <v>0</v>
      </c>
    </row>
    <row r="1027" spans="1:63" hidden="1">
      <c r="A1027" s="187"/>
      <c r="B1027" s="2321"/>
      <c r="C1027" s="2322"/>
      <c r="D1027" s="2334"/>
      <c r="E1027" s="2334"/>
      <c r="F1027" s="2334"/>
      <c r="G1027" s="2334"/>
      <c r="H1027" s="2334"/>
      <c r="I1027" s="2334"/>
      <c r="J1027" s="2334"/>
      <c r="K1027" s="2334"/>
      <c r="L1027" s="2334"/>
      <c r="M1027" s="2334"/>
      <c r="N1027" s="2334"/>
      <c r="O1027" s="2334"/>
      <c r="P1027" s="2324"/>
      <c r="Q1027" s="2324"/>
      <c r="R1027" s="2325"/>
      <c r="S1027" s="2324"/>
      <c r="T1027" s="2324"/>
      <c r="U1027" s="2326"/>
      <c r="V1027" s="2327"/>
      <c r="W1027" s="2327"/>
      <c r="X1027" s="2327"/>
      <c r="Y1027" s="2327"/>
      <c r="Z1027" s="2327"/>
      <c r="AA1027" s="2328"/>
      <c r="AB1027" s="2329"/>
      <c r="AC1027" s="2326"/>
      <c r="AD1027" s="2330">
        <f t="shared" si="710"/>
        <v>0</v>
      </c>
      <c r="AE1027" s="2330"/>
      <c r="AF1027" s="2330"/>
      <c r="AG1027" s="2330">
        <f t="shared" si="704"/>
        <v>0</v>
      </c>
      <c r="AH1027" s="2330"/>
      <c r="AI1027" s="2330"/>
      <c r="AJ1027" s="2330">
        <f t="shared" si="711"/>
        <v>0</v>
      </c>
      <c r="AK1027" s="2330"/>
      <c r="AL1027" s="2330"/>
      <c r="AM1027" s="2331">
        <f t="shared" si="698"/>
        <v>0</v>
      </c>
      <c r="AN1027" s="2331"/>
      <c r="AO1027" s="2331"/>
      <c r="AP1027" s="2331"/>
      <c r="AQ1027" s="2332">
        <f t="shared" si="712"/>
        <v>0</v>
      </c>
      <c r="AR1027" s="2332"/>
      <c r="AS1027" s="2332"/>
      <c r="AT1027" s="2332">
        <f t="shared" si="713"/>
        <v>0</v>
      </c>
      <c r="AV1027" s="151" t="str">
        <f t="shared" si="693"/>
        <v>PLUMBING</v>
      </c>
      <c r="AW1027" s="681"/>
      <c r="AX1027" s="230"/>
      <c r="AY1027" s="230"/>
      <c r="AZ1027" s="679"/>
      <c r="BA1027" s="49">
        <f t="shared" si="714"/>
        <v>0</v>
      </c>
      <c r="BB1027" s="49">
        <f t="shared" si="719"/>
        <v>0</v>
      </c>
      <c r="BC1027" s="49">
        <f t="shared" si="720"/>
        <v>0</v>
      </c>
      <c r="BD1027" s="49">
        <f t="shared" si="715"/>
        <v>0</v>
      </c>
      <c r="BE1027" s="49">
        <f>SUM(BA1027:BC1027)</f>
        <v>0</v>
      </c>
      <c r="BF1027" s="49">
        <f t="shared" si="716"/>
        <v>0</v>
      </c>
      <c r="BG1027" s="49">
        <f t="shared" si="717"/>
        <v>0</v>
      </c>
      <c r="BI1027" s="134">
        <f t="shared" si="722"/>
        <v>0</v>
      </c>
      <c r="BJ1027" s="134">
        <f t="shared" si="718"/>
        <v>0</v>
      </c>
      <c r="BK1027" s="134">
        <f t="shared" si="723"/>
        <v>0</v>
      </c>
    </row>
    <row r="1028" spans="1:63" ht="5.0999999999999996" hidden="1" customHeight="1">
      <c r="A1028" s="187"/>
      <c r="B1028" s="64"/>
      <c r="C1028" s="64"/>
      <c r="D1028" s="885"/>
      <c r="E1028" s="885"/>
      <c r="F1028" s="885"/>
      <c r="G1028" s="885"/>
      <c r="H1028" s="885"/>
      <c r="I1028" s="885"/>
      <c r="J1028" s="885"/>
      <c r="K1028" s="885"/>
      <c r="L1028" s="885"/>
      <c r="M1028" s="885"/>
      <c r="N1028" s="885"/>
      <c r="O1028" s="885"/>
      <c r="P1028" s="66"/>
      <c r="Q1028" s="66"/>
      <c r="R1028" s="66"/>
      <c r="S1028" s="66"/>
      <c r="T1028" s="66"/>
      <c r="U1028" s="67"/>
      <c r="V1028" s="67"/>
      <c r="W1028" s="67"/>
      <c r="X1028" s="67"/>
      <c r="Y1028" s="67"/>
      <c r="Z1028" s="67"/>
      <c r="AA1028" s="67"/>
      <c r="AB1028" s="67"/>
      <c r="AC1028" s="67"/>
      <c r="AD1028" s="68"/>
      <c r="AE1028" s="68"/>
      <c r="AF1028" s="68"/>
      <c r="AG1028" s="68"/>
      <c r="AH1028" s="68"/>
      <c r="AI1028" s="68"/>
      <c r="AJ1028" s="68"/>
      <c r="AK1028" s="68"/>
      <c r="AL1028" s="68"/>
      <c r="AM1028" s="69"/>
      <c r="AN1028" s="69"/>
      <c r="AO1028" s="69"/>
      <c r="AP1028" s="69"/>
      <c r="AQ1028" s="661"/>
      <c r="AR1028" s="661"/>
      <c r="AS1028" s="661"/>
      <c r="AT1028" s="661"/>
      <c r="AV1028" s="369" t="str">
        <f t="shared" si="693"/>
        <v>PLUMBING</v>
      </c>
      <c r="AW1028" s="696"/>
      <c r="AX1028" s="696"/>
      <c r="AY1028" s="696"/>
      <c r="AZ1028" s="369"/>
      <c r="BA1028" s="75">
        <f>BA987</f>
        <v>0</v>
      </c>
      <c r="BB1028" s="75">
        <f>BB987</f>
        <v>0</v>
      </c>
      <c r="BC1028" s="75">
        <f>BC987</f>
        <v>0</v>
      </c>
      <c r="BD1028" s="75">
        <f>BD987</f>
        <v>0</v>
      </c>
      <c r="BE1028" s="75">
        <f>BE987</f>
        <v>0</v>
      </c>
      <c r="BF1028" s="75"/>
      <c r="BG1028" s="75"/>
      <c r="BI1028" s="75"/>
      <c r="BJ1028" s="75"/>
      <c r="BK1028" s="75"/>
    </row>
    <row r="1029" spans="1:63" ht="21.6" hidden="1" customHeight="1">
      <c r="A1029" s="187"/>
      <c r="B1029" s="2424"/>
      <c r="C1029" s="2424"/>
      <c r="D1029" s="886"/>
      <c r="E1029" s="886"/>
      <c r="F1029" s="886"/>
      <c r="G1029" s="886"/>
      <c r="H1029" s="886"/>
      <c r="I1029" s="886"/>
      <c r="J1029" s="886"/>
      <c r="K1029" s="886"/>
      <c r="L1029" s="886"/>
      <c r="M1029" s="886"/>
      <c r="N1029" s="886"/>
      <c r="O1029" s="886"/>
      <c r="P1029" s="37"/>
      <c r="Q1029" s="37"/>
      <c r="R1029" s="37"/>
      <c r="S1029" s="37"/>
      <c r="T1029" s="37"/>
      <c r="U1029" s="37"/>
      <c r="V1029" s="37"/>
      <c r="W1029" s="37"/>
      <c r="X1029" s="37"/>
      <c r="Y1029" s="37"/>
      <c r="Z1029" s="37"/>
      <c r="AA1029" s="37"/>
      <c r="AB1029" s="37"/>
      <c r="AC1029" s="370" t="str">
        <f>CONCATENATE(D987," ","TOTAL")</f>
        <v>PLUMBING TOTAL</v>
      </c>
      <c r="AD1029" s="2342">
        <f>SUBTOTAL(9,AD988:AD1028)</f>
        <v>0</v>
      </c>
      <c r="AE1029" s="2342"/>
      <c r="AF1029" s="2342"/>
      <c r="AG1029" s="2342">
        <f>SUBTOTAL(9,AG988:AG1028)</f>
        <v>0</v>
      </c>
      <c r="AH1029" s="2342"/>
      <c r="AI1029" s="2342"/>
      <c r="AJ1029" s="2342">
        <f>SUBTOTAL(9,AJ988:AJ1028)</f>
        <v>0</v>
      </c>
      <c r="AK1029" s="2342"/>
      <c r="AL1029" s="2342"/>
      <c r="AM1029" s="2342">
        <f>SUBTOTAL(9,AM988:AM1028)</f>
        <v>0</v>
      </c>
      <c r="AN1029" s="2342"/>
      <c r="AO1029" s="2342"/>
      <c r="AP1029" s="2342"/>
      <c r="AQ1029" s="2336">
        <f>SUBTOTAL(9,AQ988:AQ1028)</f>
        <v>0</v>
      </c>
      <c r="AR1029" s="2336"/>
      <c r="AS1029" s="2336"/>
      <c r="AT1029" s="2336" t="e">
        <f>SUM(AT985:AT1020)</f>
        <v>#REF!</v>
      </c>
      <c r="AV1029" s="151" t="str">
        <f t="shared" si="693"/>
        <v>PLUMBING</v>
      </c>
      <c r="AW1029" s="682"/>
      <c r="AX1029" s="695"/>
      <c r="AY1029" s="695"/>
      <c r="AZ1029" s="274"/>
      <c r="BA1029" s="74">
        <f>BA987</f>
        <v>0</v>
      </c>
      <c r="BB1029" s="74">
        <f>BB987</f>
        <v>0</v>
      </c>
      <c r="BC1029" s="74">
        <f>BC987</f>
        <v>0</v>
      </c>
      <c r="BD1029" s="74">
        <f>BD987</f>
        <v>0</v>
      </c>
      <c r="BE1029" s="74">
        <f>BE987</f>
        <v>0</v>
      </c>
      <c r="BF1029" s="74">
        <f>SUM(BF987:BF1028)</f>
        <v>0</v>
      </c>
      <c r="BG1029" s="49">
        <f>SUM(BG987:BG1028)</f>
        <v>0</v>
      </c>
      <c r="BI1029" s="74">
        <f>SUM(BI988:BI1028)</f>
        <v>0</v>
      </c>
      <c r="BJ1029" s="74">
        <f>SUM(BJ988:BJ1028)</f>
        <v>0</v>
      </c>
      <c r="BK1029" s="49">
        <f>SUM(BK988:BK1028)</f>
        <v>0</v>
      </c>
    </row>
    <row r="1030" spans="1:63" ht="5.0999999999999996" hidden="1" customHeight="1">
      <c r="A1030" s="187"/>
      <c r="B1030" s="64"/>
      <c r="C1030" s="64"/>
      <c r="D1030" s="885"/>
      <c r="E1030" s="885"/>
      <c r="F1030" s="885"/>
      <c r="G1030" s="885"/>
      <c r="H1030" s="885"/>
      <c r="I1030" s="885"/>
      <c r="J1030" s="885"/>
      <c r="K1030" s="885"/>
      <c r="L1030" s="885"/>
      <c r="M1030" s="885"/>
      <c r="N1030" s="885"/>
      <c r="O1030" s="885"/>
      <c r="P1030" s="66"/>
      <c r="Q1030" s="66"/>
      <c r="R1030" s="66"/>
      <c r="S1030" s="66"/>
      <c r="T1030" s="66"/>
      <c r="U1030" s="67"/>
      <c r="V1030" s="67"/>
      <c r="W1030" s="67"/>
      <c r="X1030" s="67"/>
      <c r="Y1030" s="67"/>
      <c r="Z1030" s="67"/>
      <c r="AA1030" s="67"/>
      <c r="AB1030" s="67"/>
      <c r="AC1030" s="67"/>
      <c r="AD1030" s="68"/>
      <c r="AE1030" s="68"/>
      <c r="AF1030" s="68"/>
      <c r="AG1030" s="68"/>
      <c r="AH1030" s="68"/>
      <c r="AI1030" s="68"/>
      <c r="AJ1030" s="68"/>
      <c r="AK1030" s="68"/>
      <c r="AL1030" s="68"/>
      <c r="AM1030" s="69"/>
      <c r="AN1030" s="69"/>
      <c r="AO1030" s="69"/>
      <c r="AP1030" s="69"/>
      <c r="AQ1030" s="661"/>
      <c r="AR1030" s="661"/>
      <c r="AS1030" s="661"/>
      <c r="AT1030" s="661"/>
      <c r="AV1030" s="369" t="str">
        <f t="shared" si="693"/>
        <v>PLUMBING</v>
      </c>
      <c r="AW1030" s="696"/>
      <c r="AX1030" s="696"/>
      <c r="AY1030" s="696"/>
      <c r="AZ1030" s="369"/>
      <c r="BA1030" s="75">
        <f>BA987</f>
        <v>0</v>
      </c>
      <c r="BB1030" s="75">
        <f>BB987</f>
        <v>0</v>
      </c>
      <c r="BC1030" s="75">
        <f>BC987</f>
        <v>0</v>
      </c>
      <c r="BD1030" s="75">
        <f>BD987</f>
        <v>0</v>
      </c>
      <c r="BE1030" s="75">
        <f>BE987</f>
        <v>0</v>
      </c>
      <c r="BF1030" s="75"/>
      <c r="BG1030" s="75"/>
      <c r="BI1030" s="75"/>
      <c r="BJ1030" s="75"/>
      <c r="BK1030" s="75"/>
    </row>
    <row r="1031" spans="1:63" ht="9.6" hidden="1" customHeight="1">
      <c r="A1031" s="187"/>
      <c r="B1031" s="71"/>
      <c r="C1031" s="71"/>
      <c r="D1031" s="887"/>
      <c r="E1031" s="887"/>
      <c r="F1031" s="887"/>
      <c r="G1031" s="887"/>
      <c r="H1031" s="887"/>
      <c r="I1031" s="887"/>
      <c r="J1031" s="887"/>
      <c r="K1031" s="887"/>
      <c r="L1031" s="887"/>
      <c r="M1031" s="887"/>
      <c r="N1031" s="887"/>
      <c r="O1031" s="887"/>
      <c r="P1031" s="72"/>
      <c r="Q1031" s="72"/>
      <c r="R1031" s="72"/>
      <c r="S1031" s="72"/>
      <c r="T1031" s="72"/>
      <c r="U1031" s="72"/>
      <c r="V1031" s="72"/>
      <c r="W1031" s="72"/>
      <c r="X1031" s="72"/>
      <c r="Y1031" s="72"/>
      <c r="Z1031" s="72"/>
      <c r="AA1031" s="72"/>
      <c r="AB1031" s="72"/>
      <c r="AC1031" s="73"/>
      <c r="AD1031" s="662"/>
      <c r="AE1031" s="662"/>
      <c r="AF1031" s="662"/>
      <c r="AG1031" s="662"/>
      <c r="AH1031" s="662"/>
      <c r="AI1031" s="662"/>
      <c r="AJ1031" s="662"/>
      <c r="AK1031" s="662"/>
      <c r="AL1031" s="662"/>
      <c r="AM1031" s="662"/>
      <c r="AN1031" s="662"/>
      <c r="AO1031" s="662"/>
      <c r="AP1031" s="662"/>
      <c r="AQ1031" s="663"/>
      <c r="AR1031" s="663"/>
      <c r="AS1031" s="663"/>
      <c r="AT1031" s="663"/>
      <c r="AV1031" s="371" t="str">
        <f t="shared" si="693"/>
        <v>PLUMBING</v>
      </c>
      <c r="AW1031" s="699"/>
      <c r="AX1031" s="801"/>
      <c r="AY1031" s="801"/>
      <c r="AZ1031" s="371"/>
      <c r="BA1031" s="125">
        <f>BA1029</f>
        <v>0</v>
      </c>
      <c r="BB1031" s="125">
        <f t="shared" ref="BB1031:BG1031" si="724">BB1029</f>
        <v>0</v>
      </c>
      <c r="BC1031" s="125">
        <f>BC1029</f>
        <v>0</v>
      </c>
      <c r="BD1031" s="125">
        <f t="shared" si="724"/>
        <v>0</v>
      </c>
      <c r="BE1031" s="125">
        <f t="shared" si="724"/>
        <v>0</v>
      </c>
      <c r="BF1031" s="125">
        <f t="shared" si="724"/>
        <v>0</v>
      </c>
      <c r="BG1031" s="125">
        <f t="shared" si="724"/>
        <v>0</v>
      </c>
      <c r="BI1031" s="125"/>
      <c r="BJ1031" s="125"/>
      <c r="BK1031" s="125"/>
    </row>
    <row r="1032" spans="1:63" ht="21.6" customHeight="1">
      <c r="A1032" s="186" t="s">
        <v>952</v>
      </c>
      <c r="B1032" s="2343"/>
      <c r="C1032" s="2344"/>
      <c r="D1032" s="2387" t="str">
        <f>T(AJ80)</f>
        <v>HVAC</v>
      </c>
      <c r="E1032" s="2388"/>
      <c r="F1032" s="2388"/>
      <c r="G1032" s="2388"/>
      <c r="H1032" s="2388"/>
      <c r="I1032" s="2388"/>
      <c r="J1032" s="2388"/>
      <c r="K1032" s="2388"/>
      <c r="L1032" s="2388"/>
      <c r="M1032" s="2388"/>
      <c r="N1032" s="2388"/>
      <c r="O1032" s="2389"/>
      <c r="P1032" s="2345"/>
      <c r="Q1032" s="2345"/>
      <c r="R1032" s="2345"/>
      <c r="S1032" s="2346"/>
      <c r="T1032" s="2347"/>
      <c r="U1032" s="2348"/>
      <c r="V1032" s="2348"/>
      <c r="W1032" s="2348"/>
      <c r="X1032" s="2348"/>
      <c r="Y1032" s="2348"/>
      <c r="Z1032" s="2348"/>
      <c r="AA1032" s="2348"/>
      <c r="AB1032" s="2348"/>
      <c r="AC1032" s="2348"/>
      <c r="AD1032" s="2342">
        <f>AD1074</f>
        <v>0</v>
      </c>
      <c r="AE1032" s="2342"/>
      <c r="AF1032" s="2342"/>
      <c r="AG1032" s="2342">
        <f>AG1074</f>
        <v>0</v>
      </c>
      <c r="AH1032" s="2342"/>
      <c r="AI1032" s="2342"/>
      <c r="AJ1032" s="2342">
        <f>AJ1074</f>
        <v>0</v>
      </c>
      <c r="AK1032" s="2342"/>
      <c r="AL1032" s="2342"/>
      <c r="AM1032" s="2342">
        <f>AM1074</f>
        <v>0</v>
      </c>
      <c r="AN1032" s="2342"/>
      <c r="AO1032" s="2342"/>
      <c r="AP1032" s="2342"/>
      <c r="AQ1032" s="2336">
        <f>AQ1074</f>
        <v>0</v>
      </c>
      <c r="AR1032" s="2336"/>
      <c r="AS1032" s="2336"/>
      <c r="AT1032" s="2336" t="e">
        <f>SUM(#REF!)</f>
        <v>#REF!</v>
      </c>
      <c r="AV1032" s="151" t="str">
        <f t="shared" ref="AV1032:AV1076" si="725">$D$1032</f>
        <v>HVAC</v>
      </c>
      <c r="AW1032" s="700"/>
      <c r="AX1032" s="700"/>
      <c r="AY1032" s="700"/>
      <c r="AZ1032" s="701"/>
      <c r="BA1032" s="49">
        <f>SUM(BA1033:BA1072)</f>
        <v>0</v>
      </c>
      <c r="BB1032" s="49">
        <f>SUM(BB1033:BB1072)</f>
        <v>0</v>
      </c>
      <c r="BC1032" s="49">
        <f>SUM(BC1033:BC1072)</f>
        <v>0</v>
      </c>
      <c r="BD1032" s="49">
        <f>SUM(BD1033:BD1072)</f>
        <v>0</v>
      </c>
      <c r="BE1032" s="49">
        <f>SUM(BE1033:BE1072)</f>
        <v>0</v>
      </c>
      <c r="BF1032" s="49">
        <f t="shared" ref="BF1032:BF1052" si="726">AQ1032</f>
        <v>0</v>
      </c>
      <c r="BG1032" s="49">
        <f t="shared" ref="BG1032:BG1052" si="727">AM1032</f>
        <v>0</v>
      </c>
      <c r="BI1032" s="134">
        <f>AD1032</f>
        <v>0</v>
      </c>
      <c r="BJ1032" s="134">
        <f>AM1032</f>
        <v>0</v>
      </c>
      <c r="BK1032" s="134">
        <f>BJ1032+BI1032</f>
        <v>0</v>
      </c>
    </row>
    <row r="1033" spans="1:63" hidden="1">
      <c r="A1033" s="187"/>
      <c r="B1033" s="2321"/>
      <c r="C1033" s="2322"/>
      <c r="D1033" s="2338" t="s">
        <v>64</v>
      </c>
      <c r="E1033" s="2338"/>
      <c r="F1033" s="2338"/>
      <c r="G1033" s="2338"/>
      <c r="H1033" s="2338"/>
      <c r="I1033" s="2338"/>
      <c r="J1033" s="2338"/>
      <c r="K1033" s="2338"/>
      <c r="L1033" s="2338"/>
      <c r="M1033" s="2338"/>
      <c r="N1033" s="2338"/>
      <c r="O1033" s="2338"/>
      <c r="P1033" s="2324"/>
      <c r="Q1033" s="2324"/>
      <c r="R1033" s="2325"/>
      <c r="S1033" s="2324" t="s">
        <v>3</v>
      </c>
      <c r="T1033" s="2324" t="s">
        <v>3</v>
      </c>
      <c r="U1033" s="2326"/>
      <c r="V1033" s="2327"/>
      <c r="W1033" s="2327"/>
      <c r="X1033" s="2327"/>
      <c r="Y1033" s="2327"/>
      <c r="Z1033" s="2327"/>
      <c r="AA1033" s="2328">
        <v>4000</v>
      </c>
      <c r="AB1033" s="2329"/>
      <c r="AC1033" s="2326"/>
      <c r="AD1033" s="2330">
        <f t="shared" ref="AD1033:AD1052" si="728">((P1033*U1033)-AM1033)</f>
        <v>0</v>
      </c>
      <c r="AE1033" s="2330"/>
      <c r="AF1033" s="2330"/>
      <c r="AG1033" s="2330">
        <f>P1033*X1033*(1+$Y$85)</f>
        <v>0</v>
      </c>
      <c r="AH1033" s="2330"/>
      <c r="AI1033" s="2330"/>
      <c r="AJ1033" s="2330">
        <f t="shared" ref="AJ1033:AJ1052" si="729">P1033*AA1033</f>
        <v>0</v>
      </c>
      <c r="AK1033" s="2330"/>
      <c r="AL1033" s="2330"/>
      <c r="AM1033" s="2331">
        <f t="shared" ref="AM1033:AM1072" si="730">IF($B1033="x",$P1033*$U1033,0)</f>
        <v>0</v>
      </c>
      <c r="AN1033" s="2331"/>
      <c r="AO1033" s="2331"/>
      <c r="AP1033" s="2331"/>
      <c r="AQ1033" s="2332">
        <f t="shared" ref="AQ1033:AQ1052" si="731">SUM(AD1033:AL1033)</f>
        <v>0</v>
      </c>
      <c r="AR1033" s="2332"/>
      <c r="AS1033" s="2332"/>
      <c r="AT1033" s="2332">
        <f t="shared" ref="AT1033:AT1052" si="732">SUM(AD1033:AL1033)</f>
        <v>0</v>
      </c>
      <c r="AV1033" s="151" t="str">
        <f t="shared" si="725"/>
        <v>HVAC</v>
      </c>
      <c r="AW1033" s="681"/>
      <c r="AX1033" s="230"/>
      <c r="AY1033" s="230"/>
      <c r="AZ1033" s="679"/>
      <c r="BA1033" s="49">
        <f t="shared" ref="BA1033:BA1052" si="733">AD1033</f>
        <v>0</v>
      </c>
      <c r="BB1033" s="49">
        <f>AG1033</f>
        <v>0</v>
      </c>
      <c r="BC1033" s="49">
        <f>AJ1033</f>
        <v>0</v>
      </c>
      <c r="BD1033" s="49">
        <f t="shared" ref="BD1033:BD1052" si="734">IF(B1033="x",1,0)</f>
        <v>0</v>
      </c>
      <c r="BE1033" s="49">
        <f>SUM(BA1033:BC1033)</f>
        <v>0</v>
      </c>
      <c r="BF1033" s="49">
        <f t="shared" si="726"/>
        <v>0</v>
      </c>
      <c r="BG1033" s="49">
        <f t="shared" si="727"/>
        <v>0</v>
      </c>
      <c r="BI1033" s="134">
        <f>AD1033</f>
        <v>0</v>
      </c>
      <c r="BJ1033" s="134">
        <f t="shared" ref="BJ1033:BJ1052" si="735">AM1033</f>
        <v>0</v>
      </c>
      <c r="BK1033" s="134">
        <f>BJ1033+BI1033</f>
        <v>0</v>
      </c>
    </row>
    <row r="1034" spans="1:63" hidden="1">
      <c r="A1034" s="187"/>
      <c r="B1034" s="2333"/>
      <c r="C1034" s="2333"/>
      <c r="D1034" s="2334" t="s">
        <v>277</v>
      </c>
      <c r="E1034" s="2334"/>
      <c r="F1034" s="2334"/>
      <c r="G1034" s="2334"/>
      <c r="H1034" s="2334"/>
      <c r="I1034" s="2334"/>
      <c r="J1034" s="2334"/>
      <c r="K1034" s="2334"/>
      <c r="L1034" s="2334"/>
      <c r="M1034" s="2334"/>
      <c r="N1034" s="2334"/>
      <c r="O1034" s="2334"/>
      <c r="P1034" s="2324"/>
      <c r="Q1034" s="2324"/>
      <c r="R1034" s="2325"/>
      <c r="S1034" s="2324" t="s">
        <v>18</v>
      </c>
      <c r="T1034" s="2324" t="s">
        <v>18</v>
      </c>
      <c r="U1034" s="2326"/>
      <c r="V1034" s="2327"/>
      <c r="W1034" s="2327"/>
      <c r="X1034" s="2327"/>
      <c r="Y1034" s="2327"/>
      <c r="Z1034" s="2327"/>
      <c r="AA1034" s="2328">
        <v>65</v>
      </c>
      <c r="AB1034" s="2329"/>
      <c r="AC1034" s="2326">
        <v>65</v>
      </c>
      <c r="AD1034" s="2330">
        <f t="shared" si="728"/>
        <v>0</v>
      </c>
      <c r="AE1034" s="2330"/>
      <c r="AF1034" s="2330"/>
      <c r="AG1034" s="2330">
        <f t="shared" ref="AG1034:AG1072" si="736">P1034*X1034*(1+$Y$85)</f>
        <v>0</v>
      </c>
      <c r="AH1034" s="2330"/>
      <c r="AI1034" s="2330"/>
      <c r="AJ1034" s="2330">
        <f t="shared" si="729"/>
        <v>0</v>
      </c>
      <c r="AK1034" s="2330"/>
      <c r="AL1034" s="2330"/>
      <c r="AM1034" s="2331">
        <f t="shared" si="730"/>
        <v>0</v>
      </c>
      <c r="AN1034" s="2331"/>
      <c r="AO1034" s="2331"/>
      <c r="AP1034" s="2331"/>
      <c r="AQ1034" s="2332">
        <f t="shared" si="731"/>
        <v>0</v>
      </c>
      <c r="AR1034" s="2332"/>
      <c r="AS1034" s="2332"/>
      <c r="AT1034" s="2332">
        <f t="shared" si="732"/>
        <v>0</v>
      </c>
      <c r="AV1034" s="151" t="str">
        <f t="shared" si="725"/>
        <v>HVAC</v>
      </c>
      <c r="AW1034" s="681"/>
      <c r="AX1034" s="230"/>
      <c r="AY1034" s="230"/>
      <c r="AZ1034" s="679"/>
      <c r="BA1034" s="49">
        <f t="shared" si="733"/>
        <v>0</v>
      </c>
      <c r="BB1034" s="49">
        <f t="shared" ref="BB1034:BB1052" si="737">AG1034</f>
        <v>0</v>
      </c>
      <c r="BC1034" s="49">
        <f t="shared" ref="BC1034:BC1052" si="738">AJ1034</f>
        <v>0</v>
      </c>
      <c r="BD1034" s="49">
        <f t="shared" si="734"/>
        <v>0</v>
      </c>
      <c r="BE1034" s="49">
        <f t="shared" ref="BE1034:BE1050" si="739">SUM(BA1034:BC1034)</f>
        <v>0</v>
      </c>
      <c r="BF1034" s="49">
        <f t="shared" si="726"/>
        <v>0</v>
      </c>
      <c r="BG1034" s="49">
        <f t="shared" si="727"/>
        <v>0</v>
      </c>
      <c r="BI1034" s="134">
        <f t="shared" ref="BI1034:BI1052" si="740">AD1034</f>
        <v>0</v>
      </c>
      <c r="BJ1034" s="134">
        <f t="shared" si="735"/>
        <v>0</v>
      </c>
      <c r="BK1034" s="134">
        <f t="shared" ref="BK1034:BK1052" si="741">BJ1034+BI1034</f>
        <v>0</v>
      </c>
    </row>
    <row r="1035" spans="1:63" hidden="1">
      <c r="A1035" s="187"/>
      <c r="B1035" s="2333"/>
      <c r="C1035" s="2333"/>
      <c r="D1035" s="2334" t="s">
        <v>278</v>
      </c>
      <c r="E1035" s="2334"/>
      <c r="F1035" s="2334"/>
      <c r="G1035" s="2334"/>
      <c r="H1035" s="2334"/>
      <c r="I1035" s="2334"/>
      <c r="J1035" s="2334"/>
      <c r="K1035" s="2334"/>
      <c r="L1035" s="2334"/>
      <c r="M1035" s="2334"/>
      <c r="N1035" s="2334"/>
      <c r="O1035" s="2334"/>
      <c r="P1035" s="2324"/>
      <c r="Q1035" s="2324"/>
      <c r="R1035" s="2325"/>
      <c r="S1035" s="2324" t="s">
        <v>18</v>
      </c>
      <c r="T1035" s="2324"/>
      <c r="U1035" s="2326"/>
      <c r="V1035" s="2327"/>
      <c r="W1035" s="2327"/>
      <c r="X1035" s="2327"/>
      <c r="Y1035" s="2327"/>
      <c r="Z1035" s="2327"/>
      <c r="AA1035" s="2328">
        <v>65</v>
      </c>
      <c r="AB1035" s="2329"/>
      <c r="AC1035" s="2326"/>
      <c r="AD1035" s="2330">
        <f t="shared" si="728"/>
        <v>0</v>
      </c>
      <c r="AE1035" s="2330"/>
      <c r="AF1035" s="2330"/>
      <c r="AG1035" s="2330">
        <f t="shared" si="736"/>
        <v>0</v>
      </c>
      <c r="AH1035" s="2330"/>
      <c r="AI1035" s="2330"/>
      <c r="AJ1035" s="2330">
        <f t="shared" si="729"/>
        <v>0</v>
      </c>
      <c r="AK1035" s="2330"/>
      <c r="AL1035" s="2330"/>
      <c r="AM1035" s="2331">
        <f t="shared" si="730"/>
        <v>0</v>
      </c>
      <c r="AN1035" s="2331"/>
      <c r="AO1035" s="2331"/>
      <c r="AP1035" s="2331"/>
      <c r="AQ1035" s="2332">
        <f t="shared" si="731"/>
        <v>0</v>
      </c>
      <c r="AR1035" s="2332"/>
      <c r="AS1035" s="2332"/>
      <c r="AT1035" s="2332">
        <f t="shared" si="732"/>
        <v>0</v>
      </c>
      <c r="AV1035" s="151" t="str">
        <f t="shared" si="725"/>
        <v>HVAC</v>
      </c>
      <c r="AW1035" s="681"/>
      <c r="AX1035" s="230"/>
      <c r="AY1035" s="230"/>
      <c r="AZ1035" s="679"/>
      <c r="BA1035" s="49">
        <f t="shared" si="733"/>
        <v>0</v>
      </c>
      <c r="BB1035" s="49">
        <f t="shared" si="737"/>
        <v>0</v>
      </c>
      <c r="BC1035" s="49">
        <f t="shared" si="738"/>
        <v>0</v>
      </c>
      <c r="BD1035" s="49">
        <f t="shared" si="734"/>
        <v>0</v>
      </c>
      <c r="BE1035" s="49">
        <f t="shared" si="739"/>
        <v>0</v>
      </c>
      <c r="BF1035" s="49">
        <f t="shared" si="726"/>
        <v>0</v>
      </c>
      <c r="BG1035" s="49">
        <f t="shared" si="727"/>
        <v>0</v>
      </c>
      <c r="BI1035" s="134">
        <f t="shared" si="740"/>
        <v>0</v>
      </c>
      <c r="BJ1035" s="134">
        <f t="shared" si="735"/>
        <v>0</v>
      </c>
      <c r="BK1035" s="134">
        <f t="shared" si="741"/>
        <v>0</v>
      </c>
    </row>
    <row r="1036" spans="1:63" hidden="1">
      <c r="A1036" s="187"/>
      <c r="B1036" s="2321"/>
      <c r="C1036" s="2322"/>
      <c r="D1036" s="2334" t="s">
        <v>827</v>
      </c>
      <c r="E1036" s="2334"/>
      <c r="F1036" s="2334"/>
      <c r="G1036" s="2334"/>
      <c r="H1036" s="2334"/>
      <c r="I1036" s="2334"/>
      <c r="J1036" s="2334"/>
      <c r="K1036" s="2334"/>
      <c r="L1036" s="2334"/>
      <c r="M1036" s="2334"/>
      <c r="N1036" s="2334"/>
      <c r="O1036" s="2334"/>
      <c r="P1036" s="2324"/>
      <c r="Q1036" s="2324"/>
      <c r="R1036" s="2325"/>
      <c r="S1036" s="2324" t="s">
        <v>2</v>
      </c>
      <c r="T1036" s="2324" t="s">
        <v>2</v>
      </c>
      <c r="U1036" s="2326"/>
      <c r="V1036" s="2327"/>
      <c r="W1036" s="2327"/>
      <c r="X1036" s="2327"/>
      <c r="Y1036" s="2327"/>
      <c r="Z1036" s="2327"/>
      <c r="AA1036" s="2328">
        <v>1650</v>
      </c>
      <c r="AB1036" s="2329"/>
      <c r="AC1036" s="2326">
        <v>1650</v>
      </c>
      <c r="AD1036" s="2330">
        <f t="shared" si="728"/>
        <v>0</v>
      </c>
      <c r="AE1036" s="2330"/>
      <c r="AF1036" s="2330"/>
      <c r="AG1036" s="2330">
        <f t="shared" si="736"/>
        <v>0</v>
      </c>
      <c r="AH1036" s="2330"/>
      <c r="AI1036" s="2330"/>
      <c r="AJ1036" s="2330">
        <f t="shared" si="729"/>
        <v>0</v>
      </c>
      <c r="AK1036" s="2330"/>
      <c r="AL1036" s="2330"/>
      <c r="AM1036" s="2331">
        <f t="shared" si="730"/>
        <v>0</v>
      </c>
      <c r="AN1036" s="2331"/>
      <c r="AO1036" s="2331"/>
      <c r="AP1036" s="2331"/>
      <c r="AQ1036" s="2332">
        <f t="shared" si="731"/>
        <v>0</v>
      </c>
      <c r="AR1036" s="2332"/>
      <c r="AS1036" s="2332"/>
      <c r="AT1036" s="2332">
        <f t="shared" si="732"/>
        <v>0</v>
      </c>
      <c r="AV1036" s="151" t="str">
        <f t="shared" si="725"/>
        <v>HVAC</v>
      </c>
      <c r="AW1036" s="681"/>
      <c r="AX1036" s="230"/>
      <c r="AY1036" s="230"/>
      <c r="AZ1036" s="679"/>
      <c r="BA1036" s="49">
        <f t="shared" si="733"/>
        <v>0</v>
      </c>
      <c r="BB1036" s="49">
        <f t="shared" si="737"/>
        <v>0</v>
      </c>
      <c r="BC1036" s="49">
        <f t="shared" si="738"/>
        <v>0</v>
      </c>
      <c r="BD1036" s="49">
        <f t="shared" si="734"/>
        <v>0</v>
      </c>
      <c r="BE1036" s="49">
        <f t="shared" si="739"/>
        <v>0</v>
      </c>
      <c r="BF1036" s="49">
        <f t="shared" si="726"/>
        <v>0</v>
      </c>
      <c r="BG1036" s="49">
        <f t="shared" si="727"/>
        <v>0</v>
      </c>
      <c r="BI1036" s="134">
        <f t="shared" si="740"/>
        <v>0</v>
      </c>
      <c r="BJ1036" s="134">
        <f t="shared" si="735"/>
        <v>0</v>
      </c>
      <c r="BK1036" s="134">
        <f t="shared" si="741"/>
        <v>0</v>
      </c>
    </row>
    <row r="1037" spans="1:63" hidden="1">
      <c r="A1037" s="187"/>
      <c r="B1037" s="2321"/>
      <c r="C1037" s="2322"/>
      <c r="D1037" s="2334" t="s">
        <v>826</v>
      </c>
      <c r="E1037" s="2334"/>
      <c r="F1037" s="2334"/>
      <c r="G1037" s="2334"/>
      <c r="H1037" s="2334"/>
      <c r="I1037" s="2334"/>
      <c r="J1037" s="2334"/>
      <c r="K1037" s="2334"/>
      <c r="L1037" s="2334"/>
      <c r="M1037" s="2334"/>
      <c r="N1037" s="2334"/>
      <c r="O1037" s="2334"/>
      <c r="P1037" s="2324"/>
      <c r="Q1037" s="2324"/>
      <c r="R1037" s="2325"/>
      <c r="S1037" s="2324" t="s">
        <v>2</v>
      </c>
      <c r="T1037" s="2324"/>
      <c r="U1037" s="2326"/>
      <c r="V1037" s="2327"/>
      <c r="W1037" s="2327"/>
      <c r="X1037" s="2327"/>
      <c r="Y1037" s="2327"/>
      <c r="Z1037" s="2327"/>
      <c r="AA1037" s="2328">
        <v>2300</v>
      </c>
      <c r="AB1037" s="2329"/>
      <c r="AC1037" s="2326"/>
      <c r="AD1037" s="2330">
        <f t="shared" si="728"/>
        <v>0</v>
      </c>
      <c r="AE1037" s="2330"/>
      <c r="AF1037" s="2330"/>
      <c r="AG1037" s="2330">
        <f t="shared" si="736"/>
        <v>0</v>
      </c>
      <c r="AH1037" s="2330"/>
      <c r="AI1037" s="2330"/>
      <c r="AJ1037" s="2330">
        <f t="shared" si="729"/>
        <v>0</v>
      </c>
      <c r="AK1037" s="2330"/>
      <c r="AL1037" s="2330"/>
      <c r="AM1037" s="2331">
        <f t="shared" si="730"/>
        <v>0</v>
      </c>
      <c r="AN1037" s="2331"/>
      <c r="AO1037" s="2331"/>
      <c r="AP1037" s="2331"/>
      <c r="AQ1037" s="2332">
        <f t="shared" si="731"/>
        <v>0</v>
      </c>
      <c r="AR1037" s="2332"/>
      <c r="AS1037" s="2332"/>
      <c r="AT1037" s="2332">
        <f t="shared" si="732"/>
        <v>0</v>
      </c>
      <c r="AV1037" s="151" t="str">
        <f t="shared" si="725"/>
        <v>HVAC</v>
      </c>
      <c r="AW1037" s="681"/>
      <c r="AX1037" s="230"/>
      <c r="AY1037" s="230"/>
      <c r="AZ1037" s="679"/>
      <c r="BA1037" s="49">
        <f t="shared" si="733"/>
        <v>0</v>
      </c>
      <c r="BB1037" s="49">
        <f t="shared" si="737"/>
        <v>0</v>
      </c>
      <c r="BC1037" s="49">
        <f t="shared" si="738"/>
        <v>0</v>
      </c>
      <c r="BD1037" s="49">
        <f t="shared" si="734"/>
        <v>0</v>
      </c>
      <c r="BE1037" s="49">
        <f t="shared" si="739"/>
        <v>0</v>
      </c>
      <c r="BF1037" s="49">
        <f t="shared" si="726"/>
        <v>0</v>
      </c>
      <c r="BG1037" s="49">
        <f t="shared" si="727"/>
        <v>0</v>
      </c>
      <c r="BI1037" s="134">
        <f t="shared" si="740"/>
        <v>0</v>
      </c>
      <c r="BJ1037" s="134">
        <f t="shared" si="735"/>
        <v>0</v>
      </c>
      <c r="BK1037" s="134">
        <f t="shared" si="741"/>
        <v>0</v>
      </c>
    </row>
    <row r="1038" spans="1:63" hidden="1">
      <c r="A1038" s="187"/>
      <c r="B1038" s="2321"/>
      <c r="C1038" s="2322"/>
      <c r="D1038" s="2334" t="s">
        <v>825</v>
      </c>
      <c r="E1038" s="2334"/>
      <c r="F1038" s="2334"/>
      <c r="G1038" s="2334"/>
      <c r="H1038" s="2334"/>
      <c r="I1038" s="2334"/>
      <c r="J1038" s="2334"/>
      <c r="K1038" s="2334"/>
      <c r="L1038" s="2334"/>
      <c r="M1038" s="2334"/>
      <c r="N1038" s="2334"/>
      <c r="O1038" s="2334"/>
      <c r="P1038" s="2324"/>
      <c r="Q1038" s="2324"/>
      <c r="R1038" s="2325"/>
      <c r="S1038" s="2324" t="s">
        <v>2</v>
      </c>
      <c r="T1038" s="2324"/>
      <c r="U1038" s="2326"/>
      <c r="V1038" s="2327"/>
      <c r="W1038" s="2327"/>
      <c r="X1038" s="2327"/>
      <c r="Y1038" s="2327"/>
      <c r="Z1038" s="2327"/>
      <c r="AA1038" s="2328">
        <v>2750</v>
      </c>
      <c r="AB1038" s="2329"/>
      <c r="AC1038" s="2326"/>
      <c r="AD1038" s="2330">
        <f t="shared" si="728"/>
        <v>0</v>
      </c>
      <c r="AE1038" s="2330"/>
      <c r="AF1038" s="2330"/>
      <c r="AG1038" s="2330">
        <f t="shared" si="736"/>
        <v>0</v>
      </c>
      <c r="AH1038" s="2330"/>
      <c r="AI1038" s="2330"/>
      <c r="AJ1038" s="2330">
        <f t="shared" si="729"/>
        <v>0</v>
      </c>
      <c r="AK1038" s="2330"/>
      <c r="AL1038" s="2330"/>
      <c r="AM1038" s="2331">
        <f t="shared" si="730"/>
        <v>0</v>
      </c>
      <c r="AN1038" s="2331"/>
      <c r="AO1038" s="2331"/>
      <c r="AP1038" s="2331"/>
      <c r="AQ1038" s="2332">
        <f t="shared" si="731"/>
        <v>0</v>
      </c>
      <c r="AR1038" s="2332"/>
      <c r="AS1038" s="2332"/>
      <c r="AT1038" s="2332">
        <f t="shared" si="732"/>
        <v>0</v>
      </c>
      <c r="AV1038" s="151" t="str">
        <f t="shared" si="725"/>
        <v>HVAC</v>
      </c>
      <c r="AW1038" s="681"/>
      <c r="AX1038" s="230"/>
      <c r="AY1038" s="230"/>
      <c r="AZ1038" s="679"/>
      <c r="BA1038" s="49">
        <f t="shared" si="733"/>
        <v>0</v>
      </c>
      <c r="BB1038" s="49">
        <f t="shared" si="737"/>
        <v>0</v>
      </c>
      <c r="BC1038" s="49">
        <f t="shared" si="738"/>
        <v>0</v>
      </c>
      <c r="BD1038" s="49">
        <f t="shared" si="734"/>
        <v>0</v>
      </c>
      <c r="BE1038" s="49">
        <f t="shared" si="739"/>
        <v>0</v>
      </c>
      <c r="BF1038" s="49">
        <f t="shared" si="726"/>
        <v>0</v>
      </c>
      <c r="BG1038" s="49">
        <f t="shared" si="727"/>
        <v>0</v>
      </c>
      <c r="BI1038" s="134">
        <f t="shared" si="740"/>
        <v>0</v>
      </c>
      <c r="BJ1038" s="134">
        <f t="shared" si="735"/>
        <v>0</v>
      </c>
      <c r="BK1038" s="134">
        <f t="shared" si="741"/>
        <v>0</v>
      </c>
    </row>
    <row r="1039" spans="1:63" hidden="1">
      <c r="A1039" s="187"/>
      <c r="B1039" s="2321"/>
      <c r="C1039" s="2322"/>
      <c r="D1039" s="2334" t="s">
        <v>824</v>
      </c>
      <c r="E1039" s="2334"/>
      <c r="F1039" s="2334"/>
      <c r="G1039" s="2334"/>
      <c r="H1039" s="2334"/>
      <c r="I1039" s="2334"/>
      <c r="J1039" s="2334"/>
      <c r="K1039" s="2334"/>
      <c r="L1039" s="2334"/>
      <c r="M1039" s="2334"/>
      <c r="N1039" s="2334"/>
      <c r="O1039" s="2334"/>
      <c r="P1039" s="2324"/>
      <c r="Q1039" s="2324"/>
      <c r="R1039" s="2325"/>
      <c r="S1039" s="2324" t="s">
        <v>2</v>
      </c>
      <c r="T1039" s="2324"/>
      <c r="U1039" s="2326"/>
      <c r="V1039" s="2327"/>
      <c r="W1039" s="2327"/>
      <c r="X1039" s="2327"/>
      <c r="Y1039" s="2327"/>
      <c r="Z1039" s="2327"/>
      <c r="AA1039" s="2328">
        <v>1850</v>
      </c>
      <c r="AB1039" s="2329"/>
      <c r="AC1039" s="2326"/>
      <c r="AD1039" s="2330">
        <f t="shared" si="728"/>
        <v>0</v>
      </c>
      <c r="AE1039" s="2330"/>
      <c r="AF1039" s="2330"/>
      <c r="AG1039" s="2330">
        <f t="shared" si="736"/>
        <v>0</v>
      </c>
      <c r="AH1039" s="2330"/>
      <c r="AI1039" s="2330"/>
      <c r="AJ1039" s="2330">
        <f t="shared" si="729"/>
        <v>0</v>
      </c>
      <c r="AK1039" s="2330"/>
      <c r="AL1039" s="2330"/>
      <c r="AM1039" s="2331">
        <f t="shared" si="730"/>
        <v>0</v>
      </c>
      <c r="AN1039" s="2331"/>
      <c r="AO1039" s="2331"/>
      <c r="AP1039" s="2331"/>
      <c r="AQ1039" s="2332">
        <f t="shared" si="731"/>
        <v>0</v>
      </c>
      <c r="AR1039" s="2332"/>
      <c r="AS1039" s="2332"/>
      <c r="AT1039" s="2332">
        <f t="shared" si="732"/>
        <v>0</v>
      </c>
      <c r="AV1039" s="151" t="str">
        <f t="shared" si="725"/>
        <v>HVAC</v>
      </c>
      <c r="AW1039" s="681"/>
      <c r="AX1039" s="230"/>
      <c r="AY1039" s="230"/>
      <c r="AZ1039" s="679"/>
      <c r="BA1039" s="49">
        <f t="shared" si="733"/>
        <v>0</v>
      </c>
      <c r="BB1039" s="49">
        <f t="shared" si="737"/>
        <v>0</v>
      </c>
      <c r="BC1039" s="49">
        <f t="shared" si="738"/>
        <v>0</v>
      </c>
      <c r="BD1039" s="49">
        <f t="shared" si="734"/>
        <v>0</v>
      </c>
      <c r="BE1039" s="49">
        <f t="shared" si="739"/>
        <v>0</v>
      </c>
      <c r="BF1039" s="49">
        <f t="shared" si="726"/>
        <v>0</v>
      </c>
      <c r="BG1039" s="49">
        <f t="shared" si="727"/>
        <v>0</v>
      </c>
      <c r="BI1039" s="134">
        <f t="shared" si="740"/>
        <v>0</v>
      </c>
      <c r="BJ1039" s="134">
        <f t="shared" si="735"/>
        <v>0</v>
      </c>
      <c r="BK1039" s="134">
        <f t="shared" si="741"/>
        <v>0</v>
      </c>
    </row>
    <row r="1040" spans="1:63" hidden="1">
      <c r="A1040" s="187"/>
      <c r="B1040" s="2333"/>
      <c r="C1040" s="2333"/>
      <c r="D1040" s="2334" t="s">
        <v>829</v>
      </c>
      <c r="E1040" s="2334"/>
      <c r="F1040" s="2334"/>
      <c r="G1040" s="2334"/>
      <c r="H1040" s="2334"/>
      <c r="I1040" s="2334"/>
      <c r="J1040" s="2334"/>
      <c r="K1040" s="2334"/>
      <c r="L1040" s="2334"/>
      <c r="M1040" s="2334"/>
      <c r="N1040" s="2334"/>
      <c r="O1040" s="2334"/>
      <c r="P1040" s="2324"/>
      <c r="Q1040" s="2324"/>
      <c r="R1040" s="2325"/>
      <c r="S1040" s="2324" t="s">
        <v>2</v>
      </c>
      <c r="T1040" s="2324"/>
      <c r="U1040" s="2326"/>
      <c r="V1040" s="2327"/>
      <c r="W1040" s="2327"/>
      <c r="X1040" s="2327"/>
      <c r="Y1040" s="2327"/>
      <c r="Z1040" s="2327"/>
      <c r="AA1040" s="2328">
        <v>2850</v>
      </c>
      <c r="AB1040" s="2329"/>
      <c r="AC1040" s="2326"/>
      <c r="AD1040" s="2330">
        <f t="shared" si="728"/>
        <v>0</v>
      </c>
      <c r="AE1040" s="2330"/>
      <c r="AF1040" s="2330"/>
      <c r="AG1040" s="2330">
        <f t="shared" si="736"/>
        <v>0</v>
      </c>
      <c r="AH1040" s="2330"/>
      <c r="AI1040" s="2330"/>
      <c r="AJ1040" s="2330">
        <f t="shared" si="729"/>
        <v>0</v>
      </c>
      <c r="AK1040" s="2330"/>
      <c r="AL1040" s="2330"/>
      <c r="AM1040" s="2331">
        <f t="shared" si="730"/>
        <v>0</v>
      </c>
      <c r="AN1040" s="2331"/>
      <c r="AO1040" s="2331"/>
      <c r="AP1040" s="2331"/>
      <c r="AQ1040" s="2332">
        <f t="shared" si="731"/>
        <v>0</v>
      </c>
      <c r="AR1040" s="2332"/>
      <c r="AS1040" s="2332"/>
      <c r="AT1040" s="2332">
        <f t="shared" si="732"/>
        <v>0</v>
      </c>
      <c r="AV1040" s="151" t="str">
        <f t="shared" si="725"/>
        <v>HVAC</v>
      </c>
      <c r="AW1040" s="681"/>
      <c r="AX1040" s="230"/>
      <c r="AY1040" s="230"/>
      <c r="AZ1040" s="679"/>
      <c r="BA1040" s="49">
        <f t="shared" si="733"/>
        <v>0</v>
      </c>
      <c r="BB1040" s="49">
        <f t="shared" si="737"/>
        <v>0</v>
      </c>
      <c r="BC1040" s="49">
        <f t="shared" si="738"/>
        <v>0</v>
      </c>
      <c r="BD1040" s="49">
        <f t="shared" si="734"/>
        <v>0</v>
      </c>
      <c r="BE1040" s="49">
        <f t="shared" si="739"/>
        <v>0</v>
      </c>
      <c r="BF1040" s="49">
        <f t="shared" si="726"/>
        <v>0</v>
      </c>
      <c r="BG1040" s="49">
        <f t="shared" si="727"/>
        <v>0</v>
      </c>
      <c r="BI1040" s="134">
        <f t="shared" si="740"/>
        <v>0</v>
      </c>
      <c r="BJ1040" s="134">
        <f t="shared" si="735"/>
        <v>0</v>
      </c>
      <c r="BK1040" s="134">
        <f t="shared" si="741"/>
        <v>0</v>
      </c>
    </row>
    <row r="1041" spans="1:63" hidden="1">
      <c r="A1041" s="187"/>
      <c r="B1041" s="2333"/>
      <c r="C1041" s="2333"/>
      <c r="D1041" s="2334" t="s">
        <v>828</v>
      </c>
      <c r="E1041" s="2334"/>
      <c r="F1041" s="2334"/>
      <c r="G1041" s="2334"/>
      <c r="H1041" s="2334"/>
      <c r="I1041" s="2334"/>
      <c r="J1041" s="2334"/>
      <c r="K1041" s="2334"/>
      <c r="L1041" s="2334"/>
      <c r="M1041" s="2334"/>
      <c r="N1041" s="2334"/>
      <c r="O1041" s="2334"/>
      <c r="P1041" s="2324"/>
      <c r="Q1041" s="2324"/>
      <c r="R1041" s="2325"/>
      <c r="S1041" s="2324" t="s">
        <v>2</v>
      </c>
      <c r="T1041" s="2324"/>
      <c r="U1041" s="2326"/>
      <c r="V1041" s="2327"/>
      <c r="W1041" s="2327"/>
      <c r="X1041" s="2327"/>
      <c r="Y1041" s="2327"/>
      <c r="Z1041" s="2327"/>
      <c r="AA1041" s="2328">
        <v>3250</v>
      </c>
      <c r="AB1041" s="2329"/>
      <c r="AC1041" s="2326"/>
      <c r="AD1041" s="2330">
        <f t="shared" si="728"/>
        <v>0</v>
      </c>
      <c r="AE1041" s="2330"/>
      <c r="AF1041" s="2330"/>
      <c r="AG1041" s="2330">
        <f t="shared" si="736"/>
        <v>0</v>
      </c>
      <c r="AH1041" s="2330"/>
      <c r="AI1041" s="2330"/>
      <c r="AJ1041" s="2330">
        <f t="shared" si="729"/>
        <v>0</v>
      </c>
      <c r="AK1041" s="2330"/>
      <c r="AL1041" s="2330"/>
      <c r="AM1041" s="2331">
        <f t="shared" si="730"/>
        <v>0</v>
      </c>
      <c r="AN1041" s="2331"/>
      <c r="AO1041" s="2331"/>
      <c r="AP1041" s="2331"/>
      <c r="AQ1041" s="2332">
        <f t="shared" si="731"/>
        <v>0</v>
      </c>
      <c r="AR1041" s="2332"/>
      <c r="AS1041" s="2332"/>
      <c r="AT1041" s="2332">
        <f t="shared" si="732"/>
        <v>0</v>
      </c>
      <c r="AV1041" s="151" t="str">
        <f t="shared" si="725"/>
        <v>HVAC</v>
      </c>
      <c r="AW1041" s="681"/>
      <c r="AX1041" s="230"/>
      <c r="AY1041" s="230"/>
      <c r="AZ1041" s="679"/>
      <c r="BA1041" s="49">
        <f t="shared" si="733"/>
        <v>0</v>
      </c>
      <c r="BB1041" s="49">
        <f t="shared" si="737"/>
        <v>0</v>
      </c>
      <c r="BC1041" s="49">
        <f t="shared" si="738"/>
        <v>0</v>
      </c>
      <c r="BD1041" s="49">
        <f t="shared" si="734"/>
        <v>0</v>
      </c>
      <c r="BE1041" s="49">
        <f t="shared" si="739"/>
        <v>0</v>
      </c>
      <c r="BF1041" s="49">
        <f t="shared" si="726"/>
        <v>0</v>
      </c>
      <c r="BG1041" s="49">
        <f t="shared" si="727"/>
        <v>0</v>
      </c>
      <c r="BI1041" s="134">
        <f t="shared" si="740"/>
        <v>0</v>
      </c>
      <c r="BJ1041" s="134">
        <f t="shared" si="735"/>
        <v>0</v>
      </c>
      <c r="BK1041" s="134">
        <f t="shared" si="741"/>
        <v>0</v>
      </c>
    </row>
    <row r="1042" spans="1:63" hidden="1">
      <c r="A1042" s="187"/>
      <c r="B1042" s="2321"/>
      <c r="C1042" s="2322"/>
      <c r="D1042" s="2334" t="s">
        <v>765</v>
      </c>
      <c r="E1042" s="2334"/>
      <c r="F1042" s="2334"/>
      <c r="G1042" s="2334"/>
      <c r="H1042" s="2334"/>
      <c r="I1042" s="2334"/>
      <c r="J1042" s="2334"/>
      <c r="K1042" s="2334"/>
      <c r="L1042" s="2334"/>
      <c r="M1042" s="2334"/>
      <c r="N1042" s="2334"/>
      <c r="O1042" s="2334"/>
      <c r="P1042" s="2324"/>
      <c r="Q1042" s="2324"/>
      <c r="R1042" s="2325"/>
      <c r="S1042" s="2324" t="s">
        <v>2</v>
      </c>
      <c r="T1042" s="2324"/>
      <c r="U1042" s="2326"/>
      <c r="V1042" s="2327"/>
      <c r="W1042" s="2327"/>
      <c r="X1042" s="2327"/>
      <c r="Y1042" s="2327"/>
      <c r="Z1042" s="2327"/>
      <c r="AA1042" s="2328">
        <v>1200</v>
      </c>
      <c r="AB1042" s="2329"/>
      <c r="AC1042" s="2326"/>
      <c r="AD1042" s="2330">
        <f t="shared" si="728"/>
        <v>0</v>
      </c>
      <c r="AE1042" s="2330"/>
      <c r="AF1042" s="2330"/>
      <c r="AG1042" s="2330">
        <f t="shared" si="736"/>
        <v>0</v>
      </c>
      <c r="AH1042" s="2330"/>
      <c r="AI1042" s="2330"/>
      <c r="AJ1042" s="2330">
        <f t="shared" si="729"/>
        <v>0</v>
      </c>
      <c r="AK1042" s="2330"/>
      <c r="AL1042" s="2330"/>
      <c r="AM1042" s="2331">
        <f t="shared" si="730"/>
        <v>0</v>
      </c>
      <c r="AN1042" s="2331"/>
      <c r="AO1042" s="2331"/>
      <c r="AP1042" s="2331"/>
      <c r="AQ1042" s="2332">
        <f t="shared" si="731"/>
        <v>0</v>
      </c>
      <c r="AR1042" s="2332"/>
      <c r="AS1042" s="2332"/>
      <c r="AT1042" s="2332">
        <f t="shared" si="732"/>
        <v>0</v>
      </c>
      <c r="AV1042" s="151" t="str">
        <f t="shared" si="725"/>
        <v>HVAC</v>
      </c>
      <c r="AW1042" s="681"/>
      <c r="AX1042" s="230"/>
      <c r="AY1042" s="230"/>
      <c r="AZ1042" s="679"/>
      <c r="BA1042" s="49">
        <f t="shared" si="733"/>
        <v>0</v>
      </c>
      <c r="BB1042" s="49">
        <f t="shared" si="737"/>
        <v>0</v>
      </c>
      <c r="BC1042" s="49">
        <f t="shared" si="738"/>
        <v>0</v>
      </c>
      <c r="BD1042" s="49">
        <f t="shared" si="734"/>
        <v>0</v>
      </c>
      <c r="BE1042" s="49">
        <f t="shared" si="739"/>
        <v>0</v>
      </c>
      <c r="BF1042" s="49">
        <f t="shared" si="726"/>
        <v>0</v>
      </c>
      <c r="BG1042" s="49">
        <f t="shared" si="727"/>
        <v>0</v>
      </c>
      <c r="BI1042" s="134">
        <f t="shared" si="740"/>
        <v>0</v>
      </c>
      <c r="BJ1042" s="134">
        <f t="shared" si="735"/>
        <v>0</v>
      </c>
      <c r="BK1042" s="134">
        <f t="shared" si="741"/>
        <v>0</v>
      </c>
    </row>
    <row r="1043" spans="1:63" hidden="1">
      <c r="A1043" s="187"/>
      <c r="B1043" s="2321"/>
      <c r="C1043" s="2322"/>
      <c r="D1043" s="2334" t="s">
        <v>767</v>
      </c>
      <c r="E1043" s="2334"/>
      <c r="F1043" s="2334"/>
      <c r="G1043" s="2334"/>
      <c r="H1043" s="2334"/>
      <c r="I1043" s="2334"/>
      <c r="J1043" s="2334"/>
      <c r="K1043" s="2334"/>
      <c r="L1043" s="2334"/>
      <c r="M1043" s="2334"/>
      <c r="N1043" s="2334"/>
      <c r="O1043" s="2334"/>
      <c r="P1043" s="2324"/>
      <c r="Q1043" s="2324"/>
      <c r="R1043" s="2325"/>
      <c r="S1043" s="2324" t="s">
        <v>2</v>
      </c>
      <c r="T1043" s="2324"/>
      <c r="U1043" s="2326"/>
      <c r="V1043" s="2327"/>
      <c r="W1043" s="2327"/>
      <c r="X1043" s="2327"/>
      <c r="Y1043" s="2327"/>
      <c r="Z1043" s="2327"/>
      <c r="AA1043" s="2328">
        <v>400</v>
      </c>
      <c r="AB1043" s="2329"/>
      <c r="AC1043" s="2326"/>
      <c r="AD1043" s="2330">
        <f t="shared" si="728"/>
        <v>0</v>
      </c>
      <c r="AE1043" s="2330"/>
      <c r="AF1043" s="2330"/>
      <c r="AG1043" s="2330">
        <f t="shared" si="736"/>
        <v>0</v>
      </c>
      <c r="AH1043" s="2330"/>
      <c r="AI1043" s="2330"/>
      <c r="AJ1043" s="2330">
        <f t="shared" si="729"/>
        <v>0</v>
      </c>
      <c r="AK1043" s="2330"/>
      <c r="AL1043" s="2330"/>
      <c r="AM1043" s="2331">
        <f t="shared" si="730"/>
        <v>0</v>
      </c>
      <c r="AN1043" s="2331"/>
      <c r="AO1043" s="2331"/>
      <c r="AP1043" s="2331"/>
      <c r="AQ1043" s="2332">
        <f t="shared" si="731"/>
        <v>0</v>
      </c>
      <c r="AR1043" s="2332"/>
      <c r="AS1043" s="2332"/>
      <c r="AT1043" s="2332">
        <f t="shared" si="732"/>
        <v>0</v>
      </c>
      <c r="AV1043" s="151" t="str">
        <f t="shared" si="725"/>
        <v>HVAC</v>
      </c>
      <c r="AW1043" s="681"/>
      <c r="AX1043" s="230"/>
      <c r="AY1043" s="230"/>
      <c r="AZ1043" s="679"/>
      <c r="BA1043" s="49">
        <f t="shared" si="733"/>
        <v>0</v>
      </c>
      <c r="BB1043" s="49">
        <f t="shared" si="737"/>
        <v>0</v>
      </c>
      <c r="BC1043" s="49">
        <f t="shared" si="738"/>
        <v>0</v>
      </c>
      <c r="BD1043" s="49">
        <f t="shared" si="734"/>
        <v>0</v>
      </c>
      <c r="BE1043" s="49">
        <f t="shared" si="739"/>
        <v>0</v>
      </c>
      <c r="BF1043" s="49">
        <f t="shared" si="726"/>
        <v>0</v>
      </c>
      <c r="BG1043" s="49">
        <f t="shared" si="727"/>
        <v>0</v>
      </c>
      <c r="BI1043" s="134">
        <f t="shared" si="740"/>
        <v>0</v>
      </c>
      <c r="BJ1043" s="134">
        <f t="shared" si="735"/>
        <v>0</v>
      </c>
      <c r="BK1043" s="134">
        <f t="shared" si="741"/>
        <v>0</v>
      </c>
    </row>
    <row r="1044" spans="1:63" hidden="1">
      <c r="A1044" s="187"/>
      <c r="B1044" s="2321"/>
      <c r="C1044" s="2322"/>
      <c r="D1044" s="2334" t="s">
        <v>766</v>
      </c>
      <c r="E1044" s="2334"/>
      <c r="F1044" s="2334"/>
      <c r="G1044" s="2334"/>
      <c r="H1044" s="2334"/>
      <c r="I1044" s="2334"/>
      <c r="J1044" s="2334"/>
      <c r="K1044" s="2334"/>
      <c r="L1044" s="2334"/>
      <c r="M1044" s="2334"/>
      <c r="N1044" s="2334"/>
      <c r="O1044" s="2334"/>
      <c r="P1044" s="2324"/>
      <c r="Q1044" s="2324"/>
      <c r="R1044" s="2325"/>
      <c r="S1044" s="2324" t="s">
        <v>2</v>
      </c>
      <c r="T1044" s="2324"/>
      <c r="U1044" s="2326"/>
      <c r="V1044" s="2327"/>
      <c r="W1044" s="2327"/>
      <c r="X1044" s="2327"/>
      <c r="Y1044" s="2327"/>
      <c r="Z1044" s="2327"/>
      <c r="AA1044" s="2328">
        <v>250</v>
      </c>
      <c r="AB1044" s="2329"/>
      <c r="AC1044" s="2326"/>
      <c r="AD1044" s="2330">
        <f t="shared" si="728"/>
        <v>0</v>
      </c>
      <c r="AE1044" s="2330"/>
      <c r="AF1044" s="2330"/>
      <c r="AG1044" s="2330">
        <f t="shared" si="736"/>
        <v>0</v>
      </c>
      <c r="AH1044" s="2330"/>
      <c r="AI1044" s="2330"/>
      <c r="AJ1044" s="2330">
        <f t="shared" si="729"/>
        <v>0</v>
      </c>
      <c r="AK1044" s="2330"/>
      <c r="AL1044" s="2330"/>
      <c r="AM1044" s="2331">
        <f t="shared" si="730"/>
        <v>0</v>
      </c>
      <c r="AN1044" s="2331"/>
      <c r="AO1044" s="2331"/>
      <c r="AP1044" s="2331"/>
      <c r="AQ1044" s="2332">
        <f t="shared" si="731"/>
        <v>0</v>
      </c>
      <c r="AR1044" s="2332"/>
      <c r="AS1044" s="2332"/>
      <c r="AT1044" s="2332">
        <f t="shared" si="732"/>
        <v>0</v>
      </c>
      <c r="AV1044" s="151" t="str">
        <f t="shared" si="725"/>
        <v>HVAC</v>
      </c>
      <c r="AW1044" s="681"/>
      <c r="AX1044" s="230"/>
      <c r="AY1044" s="230"/>
      <c r="AZ1044" s="679"/>
      <c r="BA1044" s="49">
        <f t="shared" si="733"/>
        <v>0</v>
      </c>
      <c r="BB1044" s="49">
        <f t="shared" si="737"/>
        <v>0</v>
      </c>
      <c r="BC1044" s="49">
        <f t="shared" si="738"/>
        <v>0</v>
      </c>
      <c r="BD1044" s="49">
        <f t="shared" si="734"/>
        <v>0</v>
      </c>
      <c r="BE1044" s="49">
        <f t="shared" si="739"/>
        <v>0</v>
      </c>
      <c r="BF1044" s="49">
        <f t="shared" si="726"/>
        <v>0</v>
      </c>
      <c r="BG1044" s="49">
        <f t="shared" si="727"/>
        <v>0</v>
      </c>
      <c r="BI1044" s="134">
        <f t="shared" si="740"/>
        <v>0</v>
      </c>
      <c r="BJ1044" s="134">
        <f t="shared" si="735"/>
        <v>0</v>
      </c>
      <c r="BK1044" s="134">
        <f t="shared" si="741"/>
        <v>0</v>
      </c>
    </row>
    <row r="1045" spans="1:63" hidden="1">
      <c r="A1045" s="187"/>
      <c r="B1045" s="2333"/>
      <c r="C1045" s="2333"/>
      <c r="D1045" s="2334" t="s">
        <v>30</v>
      </c>
      <c r="E1045" s="2334"/>
      <c r="F1045" s="2334"/>
      <c r="G1045" s="2334"/>
      <c r="H1045" s="2334"/>
      <c r="I1045" s="2334"/>
      <c r="J1045" s="2334"/>
      <c r="K1045" s="2334"/>
      <c r="L1045" s="2334"/>
      <c r="M1045" s="2334"/>
      <c r="N1045" s="2334"/>
      <c r="O1045" s="2334"/>
      <c r="P1045" s="2324"/>
      <c r="Q1045" s="2324"/>
      <c r="R1045" s="2325"/>
      <c r="S1045" s="2324" t="s">
        <v>2</v>
      </c>
      <c r="T1045" s="2324" t="s">
        <v>2</v>
      </c>
      <c r="U1045" s="2326">
        <v>50</v>
      </c>
      <c r="V1045" s="2327"/>
      <c r="W1045" s="2327"/>
      <c r="X1045" s="2327">
        <v>75</v>
      </c>
      <c r="Y1045" s="2327"/>
      <c r="Z1045" s="2327">
        <v>50</v>
      </c>
      <c r="AA1045" s="2328"/>
      <c r="AB1045" s="2329"/>
      <c r="AC1045" s="2326"/>
      <c r="AD1045" s="2330">
        <f t="shared" si="728"/>
        <v>0</v>
      </c>
      <c r="AE1045" s="2330"/>
      <c r="AF1045" s="2330"/>
      <c r="AG1045" s="2330">
        <f t="shared" si="736"/>
        <v>0</v>
      </c>
      <c r="AH1045" s="2330"/>
      <c r="AI1045" s="2330"/>
      <c r="AJ1045" s="2330">
        <f t="shared" si="729"/>
        <v>0</v>
      </c>
      <c r="AK1045" s="2330"/>
      <c r="AL1045" s="2330"/>
      <c r="AM1045" s="2331">
        <f t="shared" si="730"/>
        <v>0</v>
      </c>
      <c r="AN1045" s="2331"/>
      <c r="AO1045" s="2331"/>
      <c r="AP1045" s="2331"/>
      <c r="AQ1045" s="2332">
        <f t="shared" si="731"/>
        <v>0</v>
      </c>
      <c r="AR1045" s="2332"/>
      <c r="AS1045" s="2332"/>
      <c r="AT1045" s="2332">
        <f t="shared" si="732"/>
        <v>0</v>
      </c>
      <c r="AV1045" s="151" t="str">
        <f t="shared" si="725"/>
        <v>HVAC</v>
      </c>
      <c r="AW1045" s="681"/>
      <c r="AX1045" s="230"/>
      <c r="AY1045" s="230"/>
      <c r="AZ1045" s="679"/>
      <c r="BA1045" s="49">
        <f t="shared" si="733"/>
        <v>0</v>
      </c>
      <c r="BB1045" s="49">
        <f t="shared" si="737"/>
        <v>0</v>
      </c>
      <c r="BC1045" s="49">
        <f t="shared" si="738"/>
        <v>0</v>
      </c>
      <c r="BD1045" s="49">
        <f t="shared" si="734"/>
        <v>0</v>
      </c>
      <c r="BE1045" s="49">
        <f t="shared" si="739"/>
        <v>0</v>
      </c>
      <c r="BF1045" s="49">
        <f t="shared" si="726"/>
        <v>0</v>
      </c>
      <c r="BG1045" s="49">
        <f t="shared" si="727"/>
        <v>0</v>
      </c>
      <c r="BI1045" s="134">
        <f t="shared" si="740"/>
        <v>0</v>
      </c>
      <c r="BJ1045" s="134">
        <f t="shared" si="735"/>
        <v>0</v>
      </c>
      <c r="BK1045" s="134">
        <f t="shared" si="741"/>
        <v>0</v>
      </c>
    </row>
    <row r="1046" spans="1:63" hidden="1">
      <c r="A1046" s="187"/>
      <c r="B1046" s="2321"/>
      <c r="C1046" s="2322"/>
      <c r="D1046" s="2334" t="s">
        <v>31</v>
      </c>
      <c r="E1046" s="2334"/>
      <c r="F1046" s="2334"/>
      <c r="G1046" s="2334"/>
      <c r="H1046" s="2334"/>
      <c r="I1046" s="2334"/>
      <c r="J1046" s="2334"/>
      <c r="K1046" s="2334"/>
      <c r="L1046" s="2334"/>
      <c r="M1046" s="2334"/>
      <c r="N1046" s="2334"/>
      <c r="O1046" s="2334"/>
      <c r="P1046" s="2324"/>
      <c r="Q1046" s="2324"/>
      <c r="R1046" s="2325"/>
      <c r="S1046" s="2324" t="s">
        <v>2</v>
      </c>
      <c r="T1046" s="2324" t="s">
        <v>2</v>
      </c>
      <c r="U1046" s="2326">
        <v>7.5</v>
      </c>
      <c r="V1046" s="2327"/>
      <c r="W1046" s="2327"/>
      <c r="X1046" s="2327">
        <v>15</v>
      </c>
      <c r="Y1046" s="2327"/>
      <c r="Z1046" s="2327"/>
      <c r="AA1046" s="2328"/>
      <c r="AB1046" s="2329"/>
      <c r="AC1046" s="2326"/>
      <c r="AD1046" s="2330">
        <f t="shared" si="728"/>
        <v>0</v>
      </c>
      <c r="AE1046" s="2330"/>
      <c r="AF1046" s="2330"/>
      <c r="AG1046" s="2330">
        <f t="shared" si="736"/>
        <v>0</v>
      </c>
      <c r="AH1046" s="2330"/>
      <c r="AI1046" s="2330"/>
      <c r="AJ1046" s="2330">
        <f t="shared" si="729"/>
        <v>0</v>
      </c>
      <c r="AK1046" s="2330"/>
      <c r="AL1046" s="2330"/>
      <c r="AM1046" s="2331">
        <f t="shared" si="730"/>
        <v>0</v>
      </c>
      <c r="AN1046" s="2331"/>
      <c r="AO1046" s="2331"/>
      <c r="AP1046" s="2331"/>
      <c r="AQ1046" s="2332">
        <f t="shared" si="731"/>
        <v>0</v>
      </c>
      <c r="AR1046" s="2332"/>
      <c r="AS1046" s="2332"/>
      <c r="AT1046" s="2332">
        <f t="shared" si="732"/>
        <v>0</v>
      </c>
      <c r="AV1046" s="151" t="str">
        <f t="shared" si="725"/>
        <v>HVAC</v>
      </c>
      <c r="AW1046" s="681"/>
      <c r="AX1046" s="230"/>
      <c r="AY1046" s="230"/>
      <c r="AZ1046" s="679"/>
      <c r="BA1046" s="49">
        <f t="shared" si="733"/>
        <v>0</v>
      </c>
      <c r="BB1046" s="49">
        <f t="shared" si="737"/>
        <v>0</v>
      </c>
      <c r="BC1046" s="49">
        <f t="shared" si="738"/>
        <v>0</v>
      </c>
      <c r="BD1046" s="49">
        <f t="shared" si="734"/>
        <v>0</v>
      </c>
      <c r="BE1046" s="49">
        <f t="shared" si="739"/>
        <v>0</v>
      </c>
      <c r="BF1046" s="49">
        <f t="shared" si="726"/>
        <v>0</v>
      </c>
      <c r="BG1046" s="49">
        <f t="shared" si="727"/>
        <v>0</v>
      </c>
      <c r="BI1046" s="134">
        <f t="shared" si="740"/>
        <v>0</v>
      </c>
      <c r="BJ1046" s="134">
        <f t="shared" si="735"/>
        <v>0</v>
      </c>
      <c r="BK1046" s="134">
        <f t="shared" si="741"/>
        <v>0</v>
      </c>
    </row>
    <row r="1047" spans="1:63" hidden="1">
      <c r="A1047" s="187"/>
      <c r="B1047" s="2321"/>
      <c r="C1047" s="2322"/>
      <c r="D1047" s="2334" t="s">
        <v>32</v>
      </c>
      <c r="E1047" s="2334"/>
      <c r="F1047" s="2334"/>
      <c r="G1047" s="2334"/>
      <c r="H1047" s="2334"/>
      <c r="I1047" s="2334"/>
      <c r="J1047" s="2334"/>
      <c r="K1047" s="2334"/>
      <c r="L1047" s="2334"/>
      <c r="M1047" s="2334"/>
      <c r="N1047" s="2334"/>
      <c r="O1047" s="2334"/>
      <c r="P1047" s="2324"/>
      <c r="Q1047" s="2324"/>
      <c r="R1047" s="2325"/>
      <c r="S1047" s="2324" t="s">
        <v>3</v>
      </c>
      <c r="T1047" s="2324" t="s">
        <v>2</v>
      </c>
      <c r="U1047" s="2326"/>
      <c r="V1047" s="2327"/>
      <c r="W1047" s="2327"/>
      <c r="X1047" s="2327"/>
      <c r="Y1047" s="2327"/>
      <c r="Z1047" s="2327"/>
      <c r="AA1047" s="2328">
        <v>250</v>
      </c>
      <c r="AB1047" s="2329"/>
      <c r="AC1047" s="2326">
        <v>1850</v>
      </c>
      <c r="AD1047" s="2330">
        <f t="shared" si="728"/>
        <v>0</v>
      </c>
      <c r="AE1047" s="2330"/>
      <c r="AF1047" s="2330"/>
      <c r="AG1047" s="2330">
        <f t="shared" si="736"/>
        <v>0</v>
      </c>
      <c r="AH1047" s="2330"/>
      <c r="AI1047" s="2330"/>
      <c r="AJ1047" s="2330">
        <f t="shared" si="729"/>
        <v>0</v>
      </c>
      <c r="AK1047" s="2330"/>
      <c r="AL1047" s="2330"/>
      <c r="AM1047" s="2331">
        <f t="shared" si="730"/>
        <v>0</v>
      </c>
      <c r="AN1047" s="2331"/>
      <c r="AO1047" s="2331"/>
      <c r="AP1047" s="2331"/>
      <c r="AQ1047" s="2332">
        <f t="shared" si="731"/>
        <v>0</v>
      </c>
      <c r="AR1047" s="2332"/>
      <c r="AS1047" s="2332"/>
      <c r="AT1047" s="2332">
        <f t="shared" si="732"/>
        <v>0</v>
      </c>
      <c r="AV1047" s="151" t="str">
        <f t="shared" si="725"/>
        <v>HVAC</v>
      </c>
      <c r="AW1047" s="681"/>
      <c r="AX1047" s="230"/>
      <c r="AY1047" s="230"/>
      <c r="AZ1047" s="679"/>
      <c r="BA1047" s="49">
        <f t="shared" si="733"/>
        <v>0</v>
      </c>
      <c r="BB1047" s="49">
        <f t="shared" si="737"/>
        <v>0</v>
      </c>
      <c r="BC1047" s="49">
        <f t="shared" si="738"/>
        <v>0</v>
      </c>
      <c r="BD1047" s="49">
        <f t="shared" si="734"/>
        <v>0</v>
      </c>
      <c r="BE1047" s="49">
        <f t="shared" si="739"/>
        <v>0</v>
      </c>
      <c r="BF1047" s="49">
        <f t="shared" si="726"/>
        <v>0</v>
      </c>
      <c r="BG1047" s="49">
        <f t="shared" si="727"/>
        <v>0</v>
      </c>
      <c r="BI1047" s="134">
        <f t="shared" si="740"/>
        <v>0</v>
      </c>
      <c r="BJ1047" s="134">
        <f t="shared" si="735"/>
        <v>0</v>
      </c>
      <c r="BK1047" s="134">
        <f t="shared" si="741"/>
        <v>0</v>
      </c>
    </row>
    <row r="1048" spans="1:63" hidden="1">
      <c r="A1048" s="187"/>
      <c r="B1048" s="2321"/>
      <c r="C1048" s="2322"/>
      <c r="D1048" s="2334"/>
      <c r="E1048" s="2334"/>
      <c r="F1048" s="2334"/>
      <c r="G1048" s="2334"/>
      <c r="H1048" s="2334"/>
      <c r="I1048" s="2334"/>
      <c r="J1048" s="2334"/>
      <c r="K1048" s="2334"/>
      <c r="L1048" s="2334"/>
      <c r="M1048" s="2334"/>
      <c r="N1048" s="2334"/>
      <c r="O1048" s="2334"/>
      <c r="P1048" s="2324"/>
      <c r="Q1048" s="2324"/>
      <c r="R1048" s="2325"/>
      <c r="S1048" s="2324"/>
      <c r="T1048" s="2324"/>
      <c r="U1048" s="2326"/>
      <c r="V1048" s="2327"/>
      <c r="W1048" s="2327"/>
      <c r="X1048" s="2327"/>
      <c r="Y1048" s="2327"/>
      <c r="Z1048" s="2327"/>
      <c r="AA1048" s="2328"/>
      <c r="AB1048" s="2329"/>
      <c r="AC1048" s="2326"/>
      <c r="AD1048" s="2330">
        <f t="shared" si="728"/>
        <v>0</v>
      </c>
      <c r="AE1048" s="2330"/>
      <c r="AF1048" s="2330"/>
      <c r="AG1048" s="2330">
        <f t="shared" si="736"/>
        <v>0</v>
      </c>
      <c r="AH1048" s="2330"/>
      <c r="AI1048" s="2330"/>
      <c r="AJ1048" s="2330">
        <f t="shared" si="729"/>
        <v>0</v>
      </c>
      <c r="AK1048" s="2330"/>
      <c r="AL1048" s="2330"/>
      <c r="AM1048" s="2331">
        <f t="shared" si="730"/>
        <v>0</v>
      </c>
      <c r="AN1048" s="2331"/>
      <c r="AO1048" s="2331"/>
      <c r="AP1048" s="2331"/>
      <c r="AQ1048" s="2332">
        <f t="shared" si="731"/>
        <v>0</v>
      </c>
      <c r="AR1048" s="2332"/>
      <c r="AS1048" s="2332"/>
      <c r="AT1048" s="2332">
        <f t="shared" si="732"/>
        <v>0</v>
      </c>
      <c r="AV1048" s="151" t="str">
        <f t="shared" si="725"/>
        <v>HVAC</v>
      </c>
      <c r="AW1048" s="681"/>
      <c r="AX1048" s="230"/>
      <c r="AY1048" s="230"/>
      <c r="AZ1048" s="679"/>
      <c r="BA1048" s="49">
        <f t="shared" si="733"/>
        <v>0</v>
      </c>
      <c r="BB1048" s="49">
        <f t="shared" si="737"/>
        <v>0</v>
      </c>
      <c r="BC1048" s="49">
        <f t="shared" si="738"/>
        <v>0</v>
      </c>
      <c r="BD1048" s="49">
        <f t="shared" si="734"/>
        <v>0</v>
      </c>
      <c r="BE1048" s="49">
        <f t="shared" si="739"/>
        <v>0</v>
      </c>
      <c r="BF1048" s="49">
        <f t="shared" si="726"/>
        <v>0</v>
      </c>
      <c r="BG1048" s="49">
        <f t="shared" si="727"/>
        <v>0</v>
      </c>
      <c r="BI1048" s="134">
        <f t="shared" si="740"/>
        <v>0</v>
      </c>
      <c r="BJ1048" s="134">
        <f t="shared" si="735"/>
        <v>0</v>
      </c>
      <c r="BK1048" s="134">
        <f t="shared" si="741"/>
        <v>0</v>
      </c>
    </row>
    <row r="1049" spans="1:63" hidden="1">
      <c r="A1049" s="187"/>
      <c r="B1049" s="2333"/>
      <c r="C1049" s="2333"/>
      <c r="D1049" s="2334"/>
      <c r="E1049" s="2334"/>
      <c r="F1049" s="2334"/>
      <c r="G1049" s="2334"/>
      <c r="H1049" s="2334"/>
      <c r="I1049" s="2334"/>
      <c r="J1049" s="2334"/>
      <c r="K1049" s="2334"/>
      <c r="L1049" s="2334"/>
      <c r="M1049" s="2334"/>
      <c r="N1049" s="2334"/>
      <c r="O1049" s="2334"/>
      <c r="P1049" s="2324"/>
      <c r="Q1049" s="2324"/>
      <c r="R1049" s="2325"/>
      <c r="S1049" s="2324"/>
      <c r="T1049" s="2324"/>
      <c r="U1049" s="2326"/>
      <c r="V1049" s="2327"/>
      <c r="W1049" s="2327"/>
      <c r="X1049" s="2327"/>
      <c r="Y1049" s="2327"/>
      <c r="Z1049" s="2327"/>
      <c r="AA1049" s="2328"/>
      <c r="AB1049" s="2329"/>
      <c r="AC1049" s="2326"/>
      <c r="AD1049" s="2330">
        <f t="shared" si="728"/>
        <v>0</v>
      </c>
      <c r="AE1049" s="2330"/>
      <c r="AF1049" s="2330"/>
      <c r="AG1049" s="2330">
        <f t="shared" si="736"/>
        <v>0</v>
      </c>
      <c r="AH1049" s="2330"/>
      <c r="AI1049" s="2330"/>
      <c r="AJ1049" s="2330">
        <f t="shared" si="729"/>
        <v>0</v>
      </c>
      <c r="AK1049" s="2330"/>
      <c r="AL1049" s="2330"/>
      <c r="AM1049" s="2331">
        <f t="shared" si="730"/>
        <v>0</v>
      </c>
      <c r="AN1049" s="2331"/>
      <c r="AO1049" s="2331"/>
      <c r="AP1049" s="2331"/>
      <c r="AQ1049" s="2332">
        <f t="shared" si="731"/>
        <v>0</v>
      </c>
      <c r="AR1049" s="2332"/>
      <c r="AS1049" s="2332"/>
      <c r="AT1049" s="2332">
        <f t="shared" si="732"/>
        <v>0</v>
      </c>
      <c r="AV1049" s="151" t="str">
        <f t="shared" si="725"/>
        <v>HVAC</v>
      </c>
      <c r="AW1049" s="681"/>
      <c r="AX1049" s="230"/>
      <c r="AY1049" s="230"/>
      <c r="AZ1049" s="679"/>
      <c r="BA1049" s="49">
        <f t="shared" si="733"/>
        <v>0</v>
      </c>
      <c r="BB1049" s="49">
        <f t="shared" si="737"/>
        <v>0</v>
      </c>
      <c r="BC1049" s="49">
        <f t="shared" si="738"/>
        <v>0</v>
      </c>
      <c r="BD1049" s="49">
        <f t="shared" si="734"/>
        <v>0</v>
      </c>
      <c r="BE1049" s="49">
        <f t="shared" si="739"/>
        <v>0</v>
      </c>
      <c r="BF1049" s="49">
        <f t="shared" si="726"/>
        <v>0</v>
      </c>
      <c r="BG1049" s="49">
        <f t="shared" si="727"/>
        <v>0</v>
      </c>
      <c r="BI1049" s="134">
        <f t="shared" si="740"/>
        <v>0</v>
      </c>
      <c r="BJ1049" s="134">
        <f t="shared" si="735"/>
        <v>0</v>
      </c>
      <c r="BK1049" s="134">
        <f t="shared" si="741"/>
        <v>0</v>
      </c>
    </row>
    <row r="1050" spans="1:63" hidden="1">
      <c r="A1050" s="187"/>
      <c r="B1050" s="2321"/>
      <c r="C1050" s="2322"/>
      <c r="D1050" s="2334"/>
      <c r="E1050" s="2334"/>
      <c r="F1050" s="2334"/>
      <c r="G1050" s="2334"/>
      <c r="H1050" s="2334"/>
      <c r="I1050" s="2334"/>
      <c r="J1050" s="2334"/>
      <c r="K1050" s="2334"/>
      <c r="L1050" s="2334"/>
      <c r="M1050" s="2334"/>
      <c r="N1050" s="2334"/>
      <c r="O1050" s="2334"/>
      <c r="P1050" s="2324"/>
      <c r="Q1050" s="2324"/>
      <c r="R1050" s="2325"/>
      <c r="S1050" s="2324"/>
      <c r="T1050" s="2324"/>
      <c r="U1050" s="2326"/>
      <c r="V1050" s="2327"/>
      <c r="W1050" s="2327"/>
      <c r="X1050" s="2327"/>
      <c r="Y1050" s="2327"/>
      <c r="Z1050" s="2327"/>
      <c r="AA1050" s="2328"/>
      <c r="AB1050" s="2329"/>
      <c r="AC1050" s="2326"/>
      <c r="AD1050" s="2330">
        <f t="shared" si="728"/>
        <v>0</v>
      </c>
      <c r="AE1050" s="2330"/>
      <c r="AF1050" s="2330"/>
      <c r="AG1050" s="2330">
        <f t="shared" si="736"/>
        <v>0</v>
      </c>
      <c r="AH1050" s="2330"/>
      <c r="AI1050" s="2330"/>
      <c r="AJ1050" s="2330">
        <f t="shared" si="729"/>
        <v>0</v>
      </c>
      <c r="AK1050" s="2330"/>
      <c r="AL1050" s="2330"/>
      <c r="AM1050" s="2331">
        <f t="shared" si="730"/>
        <v>0</v>
      </c>
      <c r="AN1050" s="2331"/>
      <c r="AO1050" s="2331"/>
      <c r="AP1050" s="2331"/>
      <c r="AQ1050" s="2332">
        <f t="shared" si="731"/>
        <v>0</v>
      </c>
      <c r="AR1050" s="2332"/>
      <c r="AS1050" s="2332"/>
      <c r="AT1050" s="2332">
        <f t="shared" si="732"/>
        <v>0</v>
      </c>
      <c r="AV1050" s="151" t="str">
        <f t="shared" si="725"/>
        <v>HVAC</v>
      </c>
      <c r="AW1050" s="681"/>
      <c r="AX1050" s="230"/>
      <c r="AY1050" s="230"/>
      <c r="AZ1050" s="679"/>
      <c r="BA1050" s="49">
        <f t="shared" si="733"/>
        <v>0</v>
      </c>
      <c r="BB1050" s="49">
        <f t="shared" si="737"/>
        <v>0</v>
      </c>
      <c r="BC1050" s="49">
        <f t="shared" si="738"/>
        <v>0</v>
      </c>
      <c r="BD1050" s="49">
        <f t="shared" si="734"/>
        <v>0</v>
      </c>
      <c r="BE1050" s="49">
        <f t="shared" si="739"/>
        <v>0</v>
      </c>
      <c r="BF1050" s="49">
        <f t="shared" si="726"/>
        <v>0</v>
      </c>
      <c r="BG1050" s="49">
        <f t="shared" si="727"/>
        <v>0</v>
      </c>
      <c r="BI1050" s="134">
        <f t="shared" si="740"/>
        <v>0</v>
      </c>
      <c r="BJ1050" s="134">
        <f t="shared" si="735"/>
        <v>0</v>
      </c>
      <c r="BK1050" s="134">
        <f t="shared" si="741"/>
        <v>0</v>
      </c>
    </row>
    <row r="1051" spans="1:63" hidden="1">
      <c r="A1051" s="187"/>
      <c r="B1051" s="2321"/>
      <c r="C1051" s="2322"/>
      <c r="D1051" s="2334"/>
      <c r="E1051" s="2334"/>
      <c r="F1051" s="2334"/>
      <c r="G1051" s="2334"/>
      <c r="H1051" s="2334"/>
      <c r="I1051" s="2334"/>
      <c r="J1051" s="2334"/>
      <c r="K1051" s="2334"/>
      <c r="L1051" s="2334"/>
      <c r="M1051" s="2334"/>
      <c r="N1051" s="2334"/>
      <c r="O1051" s="2334"/>
      <c r="P1051" s="2324"/>
      <c r="Q1051" s="2324"/>
      <c r="R1051" s="2325"/>
      <c r="S1051" s="2324"/>
      <c r="T1051" s="2324"/>
      <c r="U1051" s="2326"/>
      <c r="V1051" s="2327"/>
      <c r="W1051" s="2327"/>
      <c r="X1051" s="2327"/>
      <c r="Y1051" s="2327"/>
      <c r="Z1051" s="2327"/>
      <c r="AA1051" s="2328"/>
      <c r="AB1051" s="2329"/>
      <c r="AC1051" s="2326"/>
      <c r="AD1051" s="2330">
        <f t="shared" si="728"/>
        <v>0</v>
      </c>
      <c r="AE1051" s="2330"/>
      <c r="AF1051" s="2330"/>
      <c r="AG1051" s="2330">
        <f t="shared" si="736"/>
        <v>0</v>
      </c>
      <c r="AH1051" s="2330"/>
      <c r="AI1051" s="2330"/>
      <c r="AJ1051" s="2330">
        <f t="shared" si="729"/>
        <v>0</v>
      </c>
      <c r="AK1051" s="2330"/>
      <c r="AL1051" s="2330"/>
      <c r="AM1051" s="2331">
        <f t="shared" si="730"/>
        <v>0</v>
      </c>
      <c r="AN1051" s="2331"/>
      <c r="AO1051" s="2331"/>
      <c r="AP1051" s="2331"/>
      <c r="AQ1051" s="2332">
        <f t="shared" si="731"/>
        <v>0</v>
      </c>
      <c r="AR1051" s="2332"/>
      <c r="AS1051" s="2332"/>
      <c r="AT1051" s="2332">
        <f t="shared" si="732"/>
        <v>0</v>
      </c>
      <c r="AV1051" s="151" t="str">
        <f t="shared" si="725"/>
        <v>HVAC</v>
      </c>
      <c r="AW1051" s="681"/>
      <c r="AX1051" s="230"/>
      <c r="AY1051" s="230"/>
      <c r="AZ1051" s="679"/>
      <c r="BA1051" s="49">
        <f t="shared" si="733"/>
        <v>0</v>
      </c>
      <c r="BB1051" s="49">
        <f t="shared" si="737"/>
        <v>0</v>
      </c>
      <c r="BC1051" s="49">
        <f t="shared" si="738"/>
        <v>0</v>
      </c>
      <c r="BD1051" s="49">
        <f t="shared" si="734"/>
        <v>0</v>
      </c>
      <c r="BE1051" s="49">
        <f>SUM(BA1051:BC1051)</f>
        <v>0</v>
      </c>
      <c r="BF1051" s="49">
        <f t="shared" si="726"/>
        <v>0</v>
      </c>
      <c r="BG1051" s="49">
        <f t="shared" si="727"/>
        <v>0</v>
      </c>
      <c r="BI1051" s="134">
        <f t="shared" si="740"/>
        <v>0</v>
      </c>
      <c r="BJ1051" s="134">
        <f t="shared" si="735"/>
        <v>0</v>
      </c>
      <c r="BK1051" s="134">
        <f t="shared" si="741"/>
        <v>0</v>
      </c>
    </row>
    <row r="1052" spans="1:63" hidden="1">
      <c r="A1052" s="187"/>
      <c r="B1052" s="2321"/>
      <c r="C1052" s="2322"/>
      <c r="D1052" s="2334"/>
      <c r="E1052" s="2334"/>
      <c r="F1052" s="2334"/>
      <c r="G1052" s="2334"/>
      <c r="H1052" s="2334"/>
      <c r="I1052" s="2334"/>
      <c r="J1052" s="2334"/>
      <c r="K1052" s="2334"/>
      <c r="L1052" s="2334"/>
      <c r="M1052" s="2334"/>
      <c r="N1052" s="2334"/>
      <c r="O1052" s="2334"/>
      <c r="P1052" s="2324"/>
      <c r="Q1052" s="2324"/>
      <c r="R1052" s="2325"/>
      <c r="S1052" s="2324"/>
      <c r="T1052" s="2324"/>
      <c r="U1052" s="2326"/>
      <c r="V1052" s="2327"/>
      <c r="W1052" s="2327"/>
      <c r="X1052" s="2327"/>
      <c r="Y1052" s="2327"/>
      <c r="Z1052" s="2327"/>
      <c r="AA1052" s="2328"/>
      <c r="AB1052" s="2329"/>
      <c r="AC1052" s="2326"/>
      <c r="AD1052" s="2330">
        <f t="shared" si="728"/>
        <v>0</v>
      </c>
      <c r="AE1052" s="2330"/>
      <c r="AF1052" s="2330"/>
      <c r="AG1052" s="2330">
        <f t="shared" si="736"/>
        <v>0</v>
      </c>
      <c r="AH1052" s="2330"/>
      <c r="AI1052" s="2330"/>
      <c r="AJ1052" s="2330">
        <f t="shared" si="729"/>
        <v>0</v>
      </c>
      <c r="AK1052" s="2330"/>
      <c r="AL1052" s="2330"/>
      <c r="AM1052" s="2331">
        <f t="shared" si="730"/>
        <v>0</v>
      </c>
      <c r="AN1052" s="2331"/>
      <c r="AO1052" s="2331"/>
      <c r="AP1052" s="2331"/>
      <c r="AQ1052" s="2332">
        <f t="shared" si="731"/>
        <v>0</v>
      </c>
      <c r="AR1052" s="2332"/>
      <c r="AS1052" s="2332"/>
      <c r="AT1052" s="2332">
        <f t="shared" si="732"/>
        <v>0</v>
      </c>
      <c r="AV1052" s="151" t="str">
        <f t="shared" si="725"/>
        <v>HVAC</v>
      </c>
      <c r="AW1052" s="681"/>
      <c r="AX1052" s="230"/>
      <c r="AY1052" s="230"/>
      <c r="AZ1052" s="679"/>
      <c r="BA1052" s="49">
        <f t="shared" si="733"/>
        <v>0</v>
      </c>
      <c r="BB1052" s="49">
        <f t="shared" si="737"/>
        <v>0</v>
      </c>
      <c r="BC1052" s="49">
        <f t="shared" si="738"/>
        <v>0</v>
      </c>
      <c r="BD1052" s="49">
        <f t="shared" si="734"/>
        <v>0</v>
      </c>
      <c r="BE1052" s="49">
        <f>SUM(BA1052:BC1052)</f>
        <v>0</v>
      </c>
      <c r="BF1052" s="49">
        <f t="shared" si="726"/>
        <v>0</v>
      </c>
      <c r="BG1052" s="49">
        <f t="shared" si="727"/>
        <v>0</v>
      </c>
      <c r="BI1052" s="134">
        <f t="shared" si="740"/>
        <v>0</v>
      </c>
      <c r="BJ1052" s="134">
        <f t="shared" si="735"/>
        <v>0</v>
      </c>
      <c r="BK1052" s="134">
        <f t="shared" si="741"/>
        <v>0</v>
      </c>
    </row>
    <row r="1053" spans="1:63" hidden="1">
      <c r="A1053" s="187"/>
      <c r="B1053" s="2321"/>
      <c r="C1053" s="2322"/>
      <c r="D1053" s="2334"/>
      <c r="E1053" s="2334"/>
      <c r="F1053" s="2334"/>
      <c r="G1053" s="2334"/>
      <c r="H1053" s="2334"/>
      <c r="I1053" s="2334"/>
      <c r="J1053" s="2334"/>
      <c r="K1053" s="2334"/>
      <c r="L1053" s="2334"/>
      <c r="M1053" s="2334"/>
      <c r="N1053" s="2334"/>
      <c r="O1053" s="2334"/>
      <c r="P1053" s="2324"/>
      <c r="Q1053" s="2324"/>
      <c r="R1053" s="2325"/>
      <c r="S1053" s="2324"/>
      <c r="T1053" s="2324"/>
      <c r="U1053" s="2326"/>
      <c r="V1053" s="2327"/>
      <c r="W1053" s="2327"/>
      <c r="X1053" s="2327"/>
      <c r="Y1053" s="2327"/>
      <c r="Z1053" s="2327"/>
      <c r="AA1053" s="2328"/>
      <c r="AB1053" s="2329"/>
      <c r="AC1053" s="2326"/>
      <c r="AD1053" s="2330">
        <f t="shared" ref="AD1053:AD1072" si="742">((P1053*U1053)-AM1053)</f>
        <v>0</v>
      </c>
      <c r="AE1053" s="2330"/>
      <c r="AF1053" s="2330"/>
      <c r="AG1053" s="2330">
        <f t="shared" si="736"/>
        <v>0</v>
      </c>
      <c r="AH1053" s="2330"/>
      <c r="AI1053" s="2330"/>
      <c r="AJ1053" s="2330">
        <f t="shared" ref="AJ1053:AJ1072" si="743">P1053*AA1053</f>
        <v>0</v>
      </c>
      <c r="AK1053" s="2330"/>
      <c r="AL1053" s="2330"/>
      <c r="AM1053" s="2331">
        <f t="shared" si="730"/>
        <v>0</v>
      </c>
      <c r="AN1053" s="2331"/>
      <c r="AO1053" s="2331"/>
      <c r="AP1053" s="2331"/>
      <c r="AQ1053" s="2332">
        <f t="shared" ref="AQ1053:AQ1072" si="744">SUM(AD1053:AL1053)</f>
        <v>0</v>
      </c>
      <c r="AR1053" s="2332"/>
      <c r="AS1053" s="2332"/>
      <c r="AT1053" s="2332">
        <f t="shared" ref="AT1053:AT1072" si="745">SUM(AD1053:AL1053)</f>
        <v>0</v>
      </c>
      <c r="AV1053" s="151" t="str">
        <f t="shared" si="725"/>
        <v>HVAC</v>
      </c>
      <c r="AW1053" s="681"/>
      <c r="AX1053" s="230"/>
      <c r="AY1053" s="230"/>
      <c r="AZ1053" s="679"/>
      <c r="BA1053" s="49">
        <f t="shared" ref="BA1053:BA1072" si="746">AD1053</f>
        <v>0</v>
      </c>
      <c r="BB1053" s="49">
        <f>AG1053</f>
        <v>0</v>
      </c>
      <c r="BC1053" s="49">
        <f>AJ1053</f>
        <v>0</v>
      </c>
      <c r="BD1053" s="49">
        <f t="shared" ref="BD1053:BD1072" si="747">IF(B1053="x",1,0)</f>
        <v>0</v>
      </c>
      <c r="BE1053" s="49">
        <f>SUM(BA1053:BC1053)</f>
        <v>0</v>
      </c>
      <c r="BF1053" s="49">
        <f t="shared" ref="BF1053:BF1072" si="748">AQ1053</f>
        <v>0</v>
      </c>
      <c r="BG1053" s="49">
        <f t="shared" ref="BG1053:BG1072" si="749">AM1053</f>
        <v>0</v>
      </c>
      <c r="BI1053" s="134">
        <f>AD1053</f>
        <v>0</v>
      </c>
      <c r="BJ1053" s="134">
        <f t="shared" ref="BJ1053:BJ1072" si="750">AM1053</f>
        <v>0</v>
      </c>
      <c r="BK1053" s="134">
        <f>BJ1053+BI1053</f>
        <v>0</v>
      </c>
    </row>
    <row r="1054" spans="1:63" hidden="1">
      <c r="A1054" s="187"/>
      <c r="B1054" s="2333"/>
      <c r="C1054" s="2333"/>
      <c r="D1054" s="2334"/>
      <c r="E1054" s="2334"/>
      <c r="F1054" s="2334"/>
      <c r="G1054" s="2334"/>
      <c r="H1054" s="2334"/>
      <c r="I1054" s="2334"/>
      <c r="J1054" s="2334"/>
      <c r="K1054" s="2334"/>
      <c r="L1054" s="2334"/>
      <c r="M1054" s="2334"/>
      <c r="N1054" s="2334"/>
      <c r="O1054" s="2334"/>
      <c r="P1054" s="2324"/>
      <c r="Q1054" s="2324"/>
      <c r="R1054" s="2325"/>
      <c r="S1054" s="2324"/>
      <c r="T1054" s="2324"/>
      <c r="U1054" s="2326"/>
      <c r="V1054" s="2327"/>
      <c r="W1054" s="2327"/>
      <c r="X1054" s="2327"/>
      <c r="Y1054" s="2327"/>
      <c r="Z1054" s="2327"/>
      <c r="AA1054" s="2328"/>
      <c r="AB1054" s="2329"/>
      <c r="AC1054" s="2326"/>
      <c r="AD1054" s="2330">
        <f t="shared" si="742"/>
        <v>0</v>
      </c>
      <c r="AE1054" s="2330"/>
      <c r="AF1054" s="2330"/>
      <c r="AG1054" s="2330">
        <f t="shared" si="736"/>
        <v>0</v>
      </c>
      <c r="AH1054" s="2330"/>
      <c r="AI1054" s="2330"/>
      <c r="AJ1054" s="2330">
        <f t="shared" si="743"/>
        <v>0</v>
      </c>
      <c r="AK1054" s="2330"/>
      <c r="AL1054" s="2330"/>
      <c r="AM1054" s="2331">
        <f t="shared" si="730"/>
        <v>0</v>
      </c>
      <c r="AN1054" s="2331"/>
      <c r="AO1054" s="2331"/>
      <c r="AP1054" s="2331"/>
      <c r="AQ1054" s="2332">
        <f t="shared" si="744"/>
        <v>0</v>
      </c>
      <c r="AR1054" s="2332"/>
      <c r="AS1054" s="2332"/>
      <c r="AT1054" s="2332">
        <f t="shared" si="745"/>
        <v>0</v>
      </c>
      <c r="AV1054" s="151" t="str">
        <f t="shared" si="725"/>
        <v>HVAC</v>
      </c>
      <c r="AW1054" s="681"/>
      <c r="AX1054" s="230"/>
      <c r="AY1054" s="230"/>
      <c r="AZ1054" s="679"/>
      <c r="BA1054" s="49">
        <f t="shared" si="746"/>
        <v>0</v>
      </c>
      <c r="BB1054" s="49">
        <f t="shared" ref="BB1054:BB1072" si="751">AG1054</f>
        <v>0</v>
      </c>
      <c r="BC1054" s="49">
        <f t="shared" ref="BC1054:BC1072" si="752">AJ1054</f>
        <v>0</v>
      </c>
      <c r="BD1054" s="49">
        <f t="shared" si="747"/>
        <v>0</v>
      </c>
      <c r="BE1054" s="49">
        <f t="shared" ref="BE1054:BE1070" si="753">SUM(BA1054:BC1054)</f>
        <v>0</v>
      </c>
      <c r="BF1054" s="49">
        <f t="shared" si="748"/>
        <v>0</v>
      </c>
      <c r="BG1054" s="49">
        <f t="shared" si="749"/>
        <v>0</v>
      </c>
      <c r="BI1054" s="134">
        <f t="shared" ref="BI1054:BI1072" si="754">AD1054</f>
        <v>0</v>
      </c>
      <c r="BJ1054" s="134">
        <f t="shared" si="750"/>
        <v>0</v>
      </c>
      <c r="BK1054" s="134">
        <f t="shared" ref="BK1054:BK1072" si="755">BJ1054+BI1054</f>
        <v>0</v>
      </c>
    </row>
    <row r="1055" spans="1:63" hidden="1">
      <c r="A1055" s="187"/>
      <c r="B1055" s="2333"/>
      <c r="C1055" s="2333"/>
      <c r="D1055" s="2334"/>
      <c r="E1055" s="2334"/>
      <c r="F1055" s="2334"/>
      <c r="G1055" s="2334"/>
      <c r="H1055" s="2334"/>
      <c r="I1055" s="2334"/>
      <c r="J1055" s="2334"/>
      <c r="K1055" s="2334"/>
      <c r="L1055" s="2334"/>
      <c r="M1055" s="2334"/>
      <c r="N1055" s="2334"/>
      <c r="O1055" s="2334"/>
      <c r="P1055" s="2324"/>
      <c r="Q1055" s="2324"/>
      <c r="R1055" s="2325"/>
      <c r="S1055" s="2324"/>
      <c r="T1055" s="2324"/>
      <c r="U1055" s="2326"/>
      <c r="V1055" s="2327"/>
      <c r="W1055" s="2327"/>
      <c r="X1055" s="2327"/>
      <c r="Y1055" s="2327"/>
      <c r="Z1055" s="2327"/>
      <c r="AA1055" s="2328"/>
      <c r="AB1055" s="2329"/>
      <c r="AC1055" s="2326"/>
      <c r="AD1055" s="2330">
        <f t="shared" si="742"/>
        <v>0</v>
      </c>
      <c r="AE1055" s="2330"/>
      <c r="AF1055" s="2330"/>
      <c r="AG1055" s="2330">
        <f t="shared" si="736"/>
        <v>0</v>
      </c>
      <c r="AH1055" s="2330"/>
      <c r="AI1055" s="2330"/>
      <c r="AJ1055" s="2330">
        <f t="shared" si="743"/>
        <v>0</v>
      </c>
      <c r="AK1055" s="2330"/>
      <c r="AL1055" s="2330"/>
      <c r="AM1055" s="2331">
        <f t="shared" si="730"/>
        <v>0</v>
      </c>
      <c r="AN1055" s="2331"/>
      <c r="AO1055" s="2331"/>
      <c r="AP1055" s="2331"/>
      <c r="AQ1055" s="2332">
        <f t="shared" si="744"/>
        <v>0</v>
      </c>
      <c r="AR1055" s="2332"/>
      <c r="AS1055" s="2332"/>
      <c r="AT1055" s="2332">
        <f t="shared" si="745"/>
        <v>0</v>
      </c>
      <c r="AV1055" s="151" t="str">
        <f t="shared" si="725"/>
        <v>HVAC</v>
      </c>
      <c r="AW1055" s="681"/>
      <c r="AX1055" s="230"/>
      <c r="AY1055" s="230"/>
      <c r="AZ1055" s="679"/>
      <c r="BA1055" s="49">
        <f t="shared" si="746"/>
        <v>0</v>
      </c>
      <c r="BB1055" s="49">
        <f t="shared" si="751"/>
        <v>0</v>
      </c>
      <c r="BC1055" s="49">
        <f t="shared" si="752"/>
        <v>0</v>
      </c>
      <c r="BD1055" s="49">
        <f t="shared" si="747"/>
        <v>0</v>
      </c>
      <c r="BE1055" s="49">
        <f t="shared" si="753"/>
        <v>0</v>
      </c>
      <c r="BF1055" s="49">
        <f t="shared" si="748"/>
        <v>0</v>
      </c>
      <c r="BG1055" s="49">
        <f t="shared" si="749"/>
        <v>0</v>
      </c>
      <c r="BI1055" s="134">
        <f t="shared" si="754"/>
        <v>0</v>
      </c>
      <c r="BJ1055" s="134">
        <f t="shared" si="750"/>
        <v>0</v>
      </c>
      <c r="BK1055" s="134">
        <f t="shared" si="755"/>
        <v>0</v>
      </c>
    </row>
    <row r="1056" spans="1:63" hidden="1">
      <c r="A1056" s="187"/>
      <c r="B1056" s="2321"/>
      <c r="C1056" s="2322"/>
      <c r="D1056" s="2334"/>
      <c r="E1056" s="2334"/>
      <c r="F1056" s="2334"/>
      <c r="G1056" s="2334"/>
      <c r="H1056" s="2334"/>
      <c r="I1056" s="2334"/>
      <c r="J1056" s="2334"/>
      <c r="K1056" s="2334"/>
      <c r="L1056" s="2334"/>
      <c r="M1056" s="2334"/>
      <c r="N1056" s="2334"/>
      <c r="O1056" s="2334"/>
      <c r="P1056" s="2324"/>
      <c r="Q1056" s="2324"/>
      <c r="R1056" s="2325"/>
      <c r="S1056" s="2324"/>
      <c r="T1056" s="2324"/>
      <c r="U1056" s="2326"/>
      <c r="V1056" s="2327"/>
      <c r="W1056" s="2327"/>
      <c r="X1056" s="2327"/>
      <c r="Y1056" s="2327"/>
      <c r="Z1056" s="2327"/>
      <c r="AA1056" s="2328"/>
      <c r="AB1056" s="2329"/>
      <c r="AC1056" s="2326"/>
      <c r="AD1056" s="2330">
        <f t="shared" si="742"/>
        <v>0</v>
      </c>
      <c r="AE1056" s="2330"/>
      <c r="AF1056" s="2330"/>
      <c r="AG1056" s="2330">
        <f t="shared" si="736"/>
        <v>0</v>
      </c>
      <c r="AH1056" s="2330"/>
      <c r="AI1056" s="2330"/>
      <c r="AJ1056" s="2330">
        <f t="shared" si="743"/>
        <v>0</v>
      </c>
      <c r="AK1056" s="2330"/>
      <c r="AL1056" s="2330"/>
      <c r="AM1056" s="2331">
        <f t="shared" si="730"/>
        <v>0</v>
      </c>
      <c r="AN1056" s="2331"/>
      <c r="AO1056" s="2331"/>
      <c r="AP1056" s="2331"/>
      <c r="AQ1056" s="2332">
        <f t="shared" si="744"/>
        <v>0</v>
      </c>
      <c r="AR1056" s="2332"/>
      <c r="AS1056" s="2332"/>
      <c r="AT1056" s="2332">
        <f t="shared" si="745"/>
        <v>0</v>
      </c>
      <c r="AV1056" s="151" t="str">
        <f t="shared" si="725"/>
        <v>HVAC</v>
      </c>
      <c r="AW1056" s="681"/>
      <c r="AX1056" s="230"/>
      <c r="AY1056" s="230"/>
      <c r="AZ1056" s="679"/>
      <c r="BA1056" s="49">
        <f t="shared" si="746"/>
        <v>0</v>
      </c>
      <c r="BB1056" s="49">
        <f t="shared" si="751"/>
        <v>0</v>
      </c>
      <c r="BC1056" s="49">
        <f t="shared" si="752"/>
        <v>0</v>
      </c>
      <c r="BD1056" s="49">
        <f t="shared" si="747"/>
        <v>0</v>
      </c>
      <c r="BE1056" s="49">
        <f t="shared" si="753"/>
        <v>0</v>
      </c>
      <c r="BF1056" s="49">
        <f t="shared" si="748"/>
        <v>0</v>
      </c>
      <c r="BG1056" s="49">
        <f t="shared" si="749"/>
        <v>0</v>
      </c>
      <c r="BI1056" s="134">
        <f t="shared" si="754"/>
        <v>0</v>
      </c>
      <c r="BJ1056" s="134">
        <f t="shared" si="750"/>
        <v>0</v>
      </c>
      <c r="BK1056" s="134">
        <f t="shared" si="755"/>
        <v>0</v>
      </c>
    </row>
    <row r="1057" spans="1:63" hidden="1">
      <c r="A1057" s="187"/>
      <c r="B1057" s="2321"/>
      <c r="C1057" s="2322"/>
      <c r="D1057" s="2334"/>
      <c r="E1057" s="2334"/>
      <c r="F1057" s="2334"/>
      <c r="G1057" s="2334"/>
      <c r="H1057" s="2334"/>
      <c r="I1057" s="2334"/>
      <c r="J1057" s="2334"/>
      <c r="K1057" s="2334"/>
      <c r="L1057" s="2334"/>
      <c r="M1057" s="2334"/>
      <c r="N1057" s="2334"/>
      <c r="O1057" s="2334"/>
      <c r="P1057" s="2324"/>
      <c r="Q1057" s="2324"/>
      <c r="R1057" s="2325"/>
      <c r="S1057" s="2324"/>
      <c r="T1057" s="2324"/>
      <c r="U1057" s="2326"/>
      <c r="V1057" s="2327"/>
      <c r="W1057" s="2327"/>
      <c r="X1057" s="2327"/>
      <c r="Y1057" s="2327"/>
      <c r="Z1057" s="2327"/>
      <c r="AA1057" s="2328"/>
      <c r="AB1057" s="2329"/>
      <c r="AC1057" s="2326"/>
      <c r="AD1057" s="2330">
        <f t="shared" si="742"/>
        <v>0</v>
      </c>
      <c r="AE1057" s="2330"/>
      <c r="AF1057" s="2330"/>
      <c r="AG1057" s="2330">
        <f t="shared" si="736"/>
        <v>0</v>
      </c>
      <c r="AH1057" s="2330"/>
      <c r="AI1057" s="2330"/>
      <c r="AJ1057" s="2330">
        <f t="shared" si="743"/>
        <v>0</v>
      </c>
      <c r="AK1057" s="2330"/>
      <c r="AL1057" s="2330"/>
      <c r="AM1057" s="2331">
        <f t="shared" si="730"/>
        <v>0</v>
      </c>
      <c r="AN1057" s="2331"/>
      <c r="AO1057" s="2331"/>
      <c r="AP1057" s="2331"/>
      <c r="AQ1057" s="2332">
        <f t="shared" si="744"/>
        <v>0</v>
      </c>
      <c r="AR1057" s="2332"/>
      <c r="AS1057" s="2332"/>
      <c r="AT1057" s="2332">
        <f t="shared" si="745"/>
        <v>0</v>
      </c>
      <c r="AV1057" s="151" t="str">
        <f t="shared" si="725"/>
        <v>HVAC</v>
      </c>
      <c r="AW1057" s="681"/>
      <c r="AX1057" s="230"/>
      <c r="AY1057" s="230"/>
      <c r="AZ1057" s="679"/>
      <c r="BA1057" s="49">
        <f t="shared" si="746"/>
        <v>0</v>
      </c>
      <c r="BB1057" s="49">
        <f t="shared" si="751"/>
        <v>0</v>
      </c>
      <c r="BC1057" s="49">
        <f t="shared" si="752"/>
        <v>0</v>
      </c>
      <c r="BD1057" s="49">
        <f t="shared" si="747"/>
        <v>0</v>
      </c>
      <c r="BE1057" s="49">
        <f t="shared" si="753"/>
        <v>0</v>
      </c>
      <c r="BF1057" s="49">
        <f t="shared" si="748"/>
        <v>0</v>
      </c>
      <c r="BG1057" s="49">
        <f t="shared" si="749"/>
        <v>0</v>
      </c>
      <c r="BI1057" s="134">
        <f t="shared" si="754"/>
        <v>0</v>
      </c>
      <c r="BJ1057" s="134">
        <f t="shared" si="750"/>
        <v>0</v>
      </c>
      <c r="BK1057" s="134">
        <f t="shared" si="755"/>
        <v>0</v>
      </c>
    </row>
    <row r="1058" spans="1:63" hidden="1">
      <c r="A1058" s="187"/>
      <c r="B1058" s="2321"/>
      <c r="C1058" s="2322"/>
      <c r="D1058" s="2334"/>
      <c r="E1058" s="2334"/>
      <c r="F1058" s="2334"/>
      <c r="G1058" s="2334"/>
      <c r="H1058" s="2334"/>
      <c r="I1058" s="2334"/>
      <c r="J1058" s="2334"/>
      <c r="K1058" s="2334"/>
      <c r="L1058" s="2334"/>
      <c r="M1058" s="2334"/>
      <c r="N1058" s="2334"/>
      <c r="O1058" s="2334"/>
      <c r="P1058" s="2324"/>
      <c r="Q1058" s="2324"/>
      <c r="R1058" s="2325"/>
      <c r="S1058" s="2324"/>
      <c r="T1058" s="2324"/>
      <c r="U1058" s="2326"/>
      <c r="V1058" s="2327"/>
      <c r="W1058" s="2327"/>
      <c r="X1058" s="2327"/>
      <c r="Y1058" s="2327"/>
      <c r="Z1058" s="2327"/>
      <c r="AA1058" s="2328"/>
      <c r="AB1058" s="2329"/>
      <c r="AC1058" s="2326"/>
      <c r="AD1058" s="2330">
        <f t="shared" si="742"/>
        <v>0</v>
      </c>
      <c r="AE1058" s="2330"/>
      <c r="AF1058" s="2330"/>
      <c r="AG1058" s="2330">
        <f t="shared" si="736"/>
        <v>0</v>
      </c>
      <c r="AH1058" s="2330"/>
      <c r="AI1058" s="2330"/>
      <c r="AJ1058" s="2330">
        <f t="shared" si="743"/>
        <v>0</v>
      </c>
      <c r="AK1058" s="2330"/>
      <c r="AL1058" s="2330"/>
      <c r="AM1058" s="2331">
        <f t="shared" si="730"/>
        <v>0</v>
      </c>
      <c r="AN1058" s="2331"/>
      <c r="AO1058" s="2331"/>
      <c r="AP1058" s="2331"/>
      <c r="AQ1058" s="2332">
        <f t="shared" si="744"/>
        <v>0</v>
      </c>
      <c r="AR1058" s="2332"/>
      <c r="AS1058" s="2332"/>
      <c r="AT1058" s="2332">
        <f t="shared" si="745"/>
        <v>0</v>
      </c>
      <c r="AV1058" s="151" t="str">
        <f t="shared" si="725"/>
        <v>HVAC</v>
      </c>
      <c r="AW1058" s="681"/>
      <c r="AX1058" s="230"/>
      <c r="AY1058" s="230"/>
      <c r="AZ1058" s="679"/>
      <c r="BA1058" s="49">
        <f t="shared" si="746"/>
        <v>0</v>
      </c>
      <c r="BB1058" s="49">
        <f t="shared" si="751"/>
        <v>0</v>
      </c>
      <c r="BC1058" s="49">
        <f t="shared" si="752"/>
        <v>0</v>
      </c>
      <c r="BD1058" s="49">
        <f t="shared" si="747"/>
        <v>0</v>
      </c>
      <c r="BE1058" s="49">
        <f t="shared" si="753"/>
        <v>0</v>
      </c>
      <c r="BF1058" s="49">
        <f t="shared" si="748"/>
        <v>0</v>
      </c>
      <c r="BG1058" s="49">
        <f t="shared" si="749"/>
        <v>0</v>
      </c>
      <c r="BI1058" s="134">
        <f t="shared" si="754"/>
        <v>0</v>
      </c>
      <c r="BJ1058" s="134">
        <f t="shared" si="750"/>
        <v>0</v>
      </c>
      <c r="BK1058" s="134">
        <f t="shared" si="755"/>
        <v>0</v>
      </c>
    </row>
    <row r="1059" spans="1:63" hidden="1">
      <c r="A1059" s="187"/>
      <c r="B1059" s="2321"/>
      <c r="C1059" s="2322"/>
      <c r="D1059" s="2334"/>
      <c r="E1059" s="2334"/>
      <c r="F1059" s="2334"/>
      <c r="G1059" s="2334"/>
      <c r="H1059" s="2334"/>
      <c r="I1059" s="2334"/>
      <c r="J1059" s="2334"/>
      <c r="K1059" s="2334"/>
      <c r="L1059" s="2334"/>
      <c r="M1059" s="2334"/>
      <c r="N1059" s="2334"/>
      <c r="O1059" s="2334"/>
      <c r="P1059" s="2324"/>
      <c r="Q1059" s="2324"/>
      <c r="R1059" s="2325"/>
      <c r="S1059" s="2324"/>
      <c r="T1059" s="2324"/>
      <c r="U1059" s="2326"/>
      <c r="V1059" s="2327"/>
      <c r="W1059" s="2327"/>
      <c r="X1059" s="2327"/>
      <c r="Y1059" s="2327"/>
      <c r="Z1059" s="2327"/>
      <c r="AA1059" s="2328"/>
      <c r="AB1059" s="2329"/>
      <c r="AC1059" s="2326"/>
      <c r="AD1059" s="2330">
        <f t="shared" si="742"/>
        <v>0</v>
      </c>
      <c r="AE1059" s="2330"/>
      <c r="AF1059" s="2330"/>
      <c r="AG1059" s="2330">
        <f t="shared" si="736"/>
        <v>0</v>
      </c>
      <c r="AH1059" s="2330"/>
      <c r="AI1059" s="2330"/>
      <c r="AJ1059" s="2330">
        <f t="shared" si="743"/>
        <v>0</v>
      </c>
      <c r="AK1059" s="2330"/>
      <c r="AL1059" s="2330"/>
      <c r="AM1059" s="2331">
        <f t="shared" si="730"/>
        <v>0</v>
      </c>
      <c r="AN1059" s="2331"/>
      <c r="AO1059" s="2331"/>
      <c r="AP1059" s="2331"/>
      <c r="AQ1059" s="2332">
        <f t="shared" si="744"/>
        <v>0</v>
      </c>
      <c r="AR1059" s="2332"/>
      <c r="AS1059" s="2332"/>
      <c r="AT1059" s="2332">
        <f t="shared" si="745"/>
        <v>0</v>
      </c>
      <c r="AV1059" s="151" t="str">
        <f t="shared" si="725"/>
        <v>HVAC</v>
      </c>
      <c r="AW1059" s="681"/>
      <c r="AX1059" s="230"/>
      <c r="AY1059" s="230"/>
      <c r="AZ1059" s="679"/>
      <c r="BA1059" s="49">
        <f t="shared" si="746"/>
        <v>0</v>
      </c>
      <c r="BB1059" s="49">
        <f t="shared" si="751"/>
        <v>0</v>
      </c>
      <c r="BC1059" s="49">
        <f t="shared" si="752"/>
        <v>0</v>
      </c>
      <c r="BD1059" s="49">
        <f t="shared" si="747"/>
        <v>0</v>
      </c>
      <c r="BE1059" s="49">
        <f t="shared" si="753"/>
        <v>0</v>
      </c>
      <c r="BF1059" s="49">
        <f t="shared" si="748"/>
        <v>0</v>
      </c>
      <c r="BG1059" s="49">
        <f t="shared" si="749"/>
        <v>0</v>
      </c>
      <c r="BI1059" s="134">
        <f t="shared" si="754"/>
        <v>0</v>
      </c>
      <c r="BJ1059" s="134">
        <f t="shared" si="750"/>
        <v>0</v>
      </c>
      <c r="BK1059" s="134">
        <f t="shared" si="755"/>
        <v>0</v>
      </c>
    </row>
    <row r="1060" spans="1:63" hidden="1">
      <c r="A1060" s="187"/>
      <c r="B1060" s="2333"/>
      <c r="C1060" s="2333"/>
      <c r="D1060" s="2334"/>
      <c r="E1060" s="2334"/>
      <c r="F1060" s="2334"/>
      <c r="G1060" s="2334"/>
      <c r="H1060" s="2334"/>
      <c r="I1060" s="2334"/>
      <c r="J1060" s="2334"/>
      <c r="K1060" s="2334"/>
      <c r="L1060" s="2334"/>
      <c r="M1060" s="2334"/>
      <c r="N1060" s="2334"/>
      <c r="O1060" s="2334"/>
      <c r="P1060" s="2324"/>
      <c r="Q1060" s="2324"/>
      <c r="R1060" s="2325"/>
      <c r="S1060" s="2324"/>
      <c r="T1060" s="2324"/>
      <c r="U1060" s="2326"/>
      <c r="V1060" s="2327"/>
      <c r="W1060" s="2327"/>
      <c r="X1060" s="2327"/>
      <c r="Y1060" s="2327"/>
      <c r="Z1060" s="2327"/>
      <c r="AA1060" s="2328"/>
      <c r="AB1060" s="2329"/>
      <c r="AC1060" s="2326"/>
      <c r="AD1060" s="2330">
        <f t="shared" si="742"/>
        <v>0</v>
      </c>
      <c r="AE1060" s="2330"/>
      <c r="AF1060" s="2330"/>
      <c r="AG1060" s="2330">
        <f t="shared" si="736"/>
        <v>0</v>
      </c>
      <c r="AH1060" s="2330"/>
      <c r="AI1060" s="2330"/>
      <c r="AJ1060" s="2330">
        <f t="shared" si="743"/>
        <v>0</v>
      </c>
      <c r="AK1060" s="2330"/>
      <c r="AL1060" s="2330"/>
      <c r="AM1060" s="2331">
        <f t="shared" si="730"/>
        <v>0</v>
      </c>
      <c r="AN1060" s="2331"/>
      <c r="AO1060" s="2331"/>
      <c r="AP1060" s="2331"/>
      <c r="AQ1060" s="2332">
        <f t="shared" si="744"/>
        <v>0</v>
      </c>
      <c r="AR1060" s="2332"/>
      <c r="AS1060" s="2332"/>
      <c r="AT1060" s="2332">
        <f t="shared" si="745"/>
        <v>0</v>
      </c>
      <c r="AV1060" s="151" t="str">
        <f t="shared" si="725"/>
        <v>HVAC</v>
      </c>
      <c r="AW1060" s="681"/>
      <c r="AX1060" s="230"/>
      <c r="AY1060" s="230"/>
      <c r="AZ1060" s="679"/>
      <c r="BA1060" s="49">
        <f t="shared" si="746"/>
        <v>0</v>
      </c>
      <c r="BB1060" s="49">
        <f t="shared" si="751"/>
        <v>0</v>
      </c>
      <c r="BC1060" s="49">
        <f t="shared" si="752"/>
        <v>0</v>
      </c>
      <c r="BD1060" s="49">
        <f t="shared" si="747"/>
        <v>0</v>
      </c>
      <c r="BE1060" s="49">
        <f t="shared" si="753"/>
        <v>0</v>
      </c>
      <c r="BF1060" s="49">
        <f t="shared" si="748"/>
        <v>0</v>
      </c>
      <c r="BG1060" s="49">
        <f t="shared" si="749"/>
        <v>0</v>
      </c>
      <c r="BI1060" s="134">
        <f t="shared" si="754"/>
        <v>0</v>
      </c>
      <c r="BJ1060" s="134">
        <f t="shared" si="750"/>
        <v>0</v>
      </c>
      <c r="BK1060" s="134">
        <f t="shared" si="755"/>
        <v>0</v>
      </c>
    </row>
    <row r="1061" spans="1:63" hidden="1">
      <c r="A1061" s="187"/>
      <c r="B1061" s="2333"/>
      <c r="C1061" s="2333"/>
      <c r="D1061" s="2334"/>
      <c r="E1061" s="2334"/>
      <c r="F1061" s="2334"/>
      <c r="G1061" s="2334"/>
      <c r="H1061" s="2334"/>
      <c r="I1061" s="2334"/>
      <c r="J1061" s="2334"/>
      <c r="K1061" s="2334"/>
      <c r="L1061" s="2334"/>
      <c r="M1061" s="2334"/>
      <c r="N1061" s="2334"/>
      <c r="O1061" s="2334"/>
      <c r="P1061" s="2324"/>
      <c r="Q1061" s="2324"/>
      <c r="R1061" s="2325"/>
      <c r="S1061" s="2324"/>
      <c r="T1061" s="2324"/>
      <c r="U1061" s="2326"/>
      <c r="V1061" s="2327"/>
      <c r="W1061" s="2327"/>
      <c r="X1061" s="2327"/>
      <c r="Y1061" s="2327"/>
      <c r="Z1061" s="2327"/>
      <c r="AA1061" s="2328"/>
      <c r="AB1061" s="2329"/>
      <c r="AC1061" s="2326"/>
      <c r="AD1061" s="2330">
        <f t="shared" si="742"/>
        <v>0</v>
      </c>
      <c r="AE1061" s="2330"/>
      <c r="AF1061" s="2330"/>
      <c r="AG1061" s="2330">
        <f t="shared" si="736"/>
        <v>0</v>
      </c>
      <c r="AH1061" s="2330"/>
      <c r="AI1061" s="2330"/>
      <c r="AJ1061" s="2330">
        <f t="shared" si="743"/>
        <v>0</v>
      </c>
      <c r="AK1061" s="2330"/>
      <c r="AL1061" s="2330"/>
      <c r="AM1061" s="2331">
        <f t="shared" si="730"/>
        <v>0</v>
      </c>
      <c r="AN1061" s="2331"/>
      <c r="AO1061" s="2331"/>
      <c r="AP1061" s="2331"/>
      <c r="AQ1061" s="2332">
        <f t="shared" si="744"/>
        <v>0</v>
      </c>
      <c r="AR1061" s="2332"/>
      <c r="AS1061" s="2332"/>
      <c r="AT1061" s="2332">
        <f t="shared" si="745"/>
        <v>0</v>
      </c>
      <c r="AV1061" s="151" t="str">
        <f t="shared" si="725"/>
        <v>HVAC</v>
      </c>
      <c r="AW1061" s="681"/>
      <c r="AX1061" s="230"/>
      <c r="AY1061" s="230"/>
      <c r="AZ1061" s="679"/>
      <c r="BA1061" s="49">
        <f t="shared" si="746"/>
        <v>0</v>
      </c>
      <c r="BB1061" s="49">
        <f t="shared" si="751"/>
        <v>0</v>
      </c>
      <c r="BC1061" s="49">
        <f t="shared" si="752"/>
        <v>0</v>
      </c>
      <c r="BD1061" s="49">
        <f t="shared" si="747"/>
        <v>0</v>
      </c>
      <c r="BE1061" s="49">
        <f t="shared" si="753"/>
        <v>0</v>
      </c>
      <c r="BF1061" s="49">
        <f t="shared" si="748"/>
        <v>0</v>
      </c>
      <c r="BG1061" s="49">
        <f t="shared" si="749"/>
        <v>0</v>
      </c>
      <c r="BI1061" s="134">
        <f t="shared" si="754"/>
        <v>0</v>
      </c>
      <c r="BJ1061" s="134">
        <f t="shared" si="750"/>
        <v>0</v>
      </c>
      <c r="BK1061" s="134">
        <f t="shared" si="755"/>
        <v>0</v>
      </c>
    </row>
    <row r="1062" spans="1:63" hidden="1">
      <c r="A1062" s="187"/>
      <c r="B1062" s="2321"/>
      <c r="C1062" s="2322"/>
      <c r="D1062" s="2334"/>
      <c r="E1062" s="2334"/>
      <c r="F1062" s="2334"/>
      <c r="G1062" s="2334"/>
      <c r="H1062" s="2334"/>
      <c r="I1062" s="2334"/>
      <c r="J1062" s="2334"/>
      <c r="K1062" s="2334"/>
      <c r="L1062" s="2334"/>
      <c r="M1062" s="2334"/>
      <c r="N1062" s="2334"/>
      <c r="O1062" s="2334"/>
      <c r="P1062" s="2324"/>
      <c r="Q1062" s="2324"/>
      <c r="R1062" s="2325"/>
      <c r="S1062" s="2324"/>
      <c r="T1062" s="2324"/>
      <c r="U1062" s="2326"/>
      <c r="V1062" s="2327"/>
      <c r="W1062" s="2327"/>
      <c r="X1062" s="2327"/>
      <c r="Y1062" s="2327"/>
      <c r="Z1062" s="2327"/>
      <c r="AA1062" s="2328"/>
      <c r="AB1062" s="2329"/>
      <c r="AC1062" s="2326"/>
      <c r="AD1062" s="2330">
        <f t="shared" si="742"/>
        <v>0</v>
      </c>
      <c r="AE1062" s="2330"/>
      <c r="AF1062" s="2330"/>
      <c r="AG1062" s="2330">
        <f t="shared" si="736"/>
        <v>0</v>
      </c>
      <c r="AH1062" s="2330"/>
      <c r="AI1062" s="2330"/>
      <c r="AJ1062" s="2330">
        <f t="shared" si="743"/>
        <v>0</v>
      </c>
      <c r="AK1062" s="2330"/>
      <c r="AL1062" s="2330"/>
      <c r="AM1062" s="2331">
        <f t="shared" si="730"/>
        <v>0</v>
      </c>
      <c r="AN1062" s="2331"/>
      <c r="AO1062" s="2331"/>
      <c r="AP1062" s="2331"/>
      <c r="AQ1062" s="2332">
        <f t="shared" si="744"/>
        <v>0</v>
      </c>
      <c r="AR1062" s="2332"/>
      <c r="AS1062" s="2332"/>
      <c r="AT1062" s="2332">
        <f t="shared" si="745"/>
        <v>0</v>
      </c>
      <c r="AV1062" s="151" t="str">
        <f t="shared" si="725"/>
        <v>HVAC</v>
      </c>
      <c r="AW1062" s="681"/>
      <c r="AX1062" s="230"/>
      <c r="AY1062" s="230"/>
      <c r="AZ1062" s="679"/>
      <c r="BA1062" s="49">
        <f t="shared" si="746"/>
        <v>0</v>
      </c>
      <c r="BB1062" s="49">
        <f t="shared" si="751"/>
        <v>0</v>
      </c>
      <c r="BC1062" s="49">
        <f t="shared" si="752"/>
        <v>0</v>
      </c>
      <c r="BD1062" s="49">
        <f t="shared" si="747"/>
        <v>0</v>
      </c>
      <c r="BE1062" s="49">
        <f t="shared" si="753"/>
        <v>0</v>
      </c>
      <c r="BF1062" s="49">
        <f t="shared" si="748"/>
        <v>0</v>
      </c>
      <c r="BG1062" s="49">
        <f t="shared" si="749"/>
        <v>0</v>
      </c>
      <c r="BI1062" s="134">
        <f t="shared" si="754"/>
        <v>0</v>
      </c>
      <c r="BJ1062" s="134">
        <f t="shared" si="750"/>
        <v>0</v>
      </c>
      <c r="BK1062" s="134">
        <f t="shared" si="755"/>
        <v>0</v>
      </c>
    </row>
    <row r="1063" spans="1:63" hidden="1">
      <c r="A1063" s="187"/>
      <c r="B1063" s="2321"/>
      <c r="C1063" s="2322"/>
      <c r="D1063" s="2334"/>
      <c r="E1063" s="2334"/>
      <c r="F1063" s="2334"/>
      <c r="G1063" s="2334"/>
      <c r="H1063" s="2334"/>
      <c r="I1063" s="2334"/>
      <c r="J1063" s="2334"/>
      <c r="K1063" s="2334"/>
      <c r="L1063" s="2334"/>
      <c r="M1063" s="2334"/>
      <c r="N1063" s="2334"/>
      <c r="O1063" s="2334"/>
      <c r="P1063" s="2324"/>
      <c r="Q1063" s="2324"/>
      <c r="R1063" s="2325"/>
      <c r="S1063" s="2324"/>
      <c r="T1063" s="2324"/>
      <c r="U1063" s="2326"/>
      <c r="V1063" s="2327"/>
      <c r="W1063" s="2327"/>
      <c r="X1063" s="2327"/>
      <c r="Y1063" s="2327"/>
      <c r="Z1063" s="2327"/>
      <c r="AA1063" s="2328"/>
      <c r="AB1063" s="2329"/>
      <c r="AC1063" s="2326"/>
      <c r="AD1063" s="2330">
        <f t="shared" si="742"/>
        <v>0</v>
      </c>
      <c r="AE1063" s="2330"/>
      <c r="AF1063" s="2330"/>
      <c r="AG1063" s="2330">
        <f t="shared" si="736"/>
        <v>0</v>
      </c>
      <c r="AH1063" s="2330"/>
      <c r="AI1063" s="2330"/>
      <c r="AJ1063" s="2330">
        <f t="shared" si="743"/>
        <v>0</v>
      </c>
      <c r="AK1063" s="2330"/>
      <c r="AL1063" s="2330"/>
      <c r="AM1063" s="2331">
        <f t="shared" si="730"/>
        <v>0</v>
      </c>
      <c r="AN1063" s="2331"/>
      <c r="AO1063" s="2331"/>
      <c r="AP1063" s="2331"/>
      <c r="AQ1063" s="2332">
        <f t="shared" si="744"/>
        <v>0</v>
      </c>
      <c r="AR1063" s="2332"/>
      <c r="AS1063" s="2332"/>
      <c r="AT1063" s="2332">
        <f t="shared" si="745"/>
        <v>0</v>
      </c>
      <c r="AV1063" s="151" t="str">
        <f t="shared" si="725"/>
        <v>HVAC</v>
      </c>
      <c r="AW1063" s="681"/>
      <c r="AX1063" s="230"/>
      <c r="AY1063" s="230"/>
      <c r="AZ1063" s="679"/>
      <c r="BA1063" s="49">
        <f t="shared" si="746"/>
        <v>0</v>
      </c>
      <c r="BB1063" s="49">
        <f t="shared" si="751"/>
        <v>0</v>
      </c>
      <c r="BC1063" s="49">
        <f t="shared" si="752"/>
        <v>0</v>
      </c>
      <c r="BD1063" s="49">
        <f t="shared" si="747"/>
        <v>0</v>
      </c>
      <c r="BE1063" s="49">
        <f t="shared" si="753"/>
        <v>0</v>
      </c>
      <c r="BF1063" s="49">
        <f t="shared" si="748"/>
        <v>0</v>
      </c>
      <c r="BG1063" s="49">
        <f t="shared" si="749"/>
        <v>0</v>
      </c>
      <c r="BI1063" s="134">
        <f t="shared" si="754"/>
        <v>0</v>
      </c>
      <c r="BJ1063" s="134">
        <f t="shared" si="750"/>
        <v>0</v>
      </c>
      <c r="BK1063" s="134">
        <f t="shared" si="755"/>
        <v>0</v>
      </c>
    </row>
    <row r="1064" spans="1:63" hidden="1">
      <c r="A1064" s="187"/>
      <c r="B1064" s="2321"/>
      <c r="C1064" s="2322"/>
      <c r="D1064" s="2334"/>
      <c r="E1064" s="2334"/>
      <c r="F1064" s="2334"/>
      <c r="G1064" s="2334"/>
      <c r="H1064" s="2334"/>
      <c r="I1064" s="2334"/>
      <c r="J1064" s="2334"/>
      <c r="K1064" s="2334"/>
      <c r="L1064" s="2334"/>
      <c r="M1064" s="2334"/>
      <c r="N1064" s="2334"/>
      <c r="O1064" s="2334"/>
      <c r="P1064" s="2324"/>
      <c r="Q1064" s="2324"/>
      <c r="R1064" s="2325"/>
      <c r="S1064" s="2324"/>
      <c r="T1064" s="2324"/>
      <c r="U1064" s="2326"/>
      <c r="V1064" s="2327"/>
      <c r="W1064" s="2327"/>
      <c r="X1064" s="2327"/>
      <c r="Y1064" s="2327"/>
      <c r="Z1064" s="2327"/>
      <c r="AA1064" s="2328"/>
      <c r="AB1064" s="2329"/>
      <c r="AC1064" s="2326"/>
      <c r="AD1064" s="2330">
        <f t="shared" si="742"/>
        <v>0</v>
      </c>
      <c r="AE1064" s="2330"/>
      <c r="AF1064" s="2330"/>
      <c r="AG1064" s="2330">
        <f t="shared" si="736"/>
        <v>0</v>
      </c>
      <c r="AH1064" s="2330"/>
      <c r="AI1064" s="2330"/>
      <c r="AJ1064" s="2330">
        <f t="shared" si="743"/>
        <v>0</v>
      </c>
      <c r="AK1064" s="2330"/>
      <c r="AL1064" s="2330"/>
      <c r="AM1064" s="2331">
        <f t="shared" si="730"/>
        <v>0</v>
      </c>
      <c r="AN1064" s="2331"/>
      <c r="AO1064" s="2331"/>
      <c r="AP1064" s="2331"/>
      <c r="AQ1064" s="2332">
        <f t="shared" si="744"/>
        <v>0</v>
      </c>
      <c r="AR1064" s="2332"/>
      <c r="AS1064" s="2332"/>
      <c r="AT1064" s="2332">
        <f t="shared" si="745"/>
        <v>0</v>
      </c>
      <c r="AV1064" s="151" t="str">
        <f t="shared" si="725"/>
        <v>HVAC</v>
      </c>
      <c r="AW1064" s="681"/>
      <c r="AX1064" s="230"/>
      <c r="AY1064" s="230"/>
      <c r="AZ1064" s="679"/>
      <c r="BA1064" s="49">
        <f t="shared" si="746"/>
        <v>0</v>
      </c>
      <c r="BB1064" s="49">
        <f t="shared" si="751"/>
        <v>0</v>
      </c>
      <c r="BC1064" s="49">
        <f t="shared" si="752"/>
        <v>0</v>
      </c>
      <c r="BD1064" s="49">
        <f t="shared" si="747"/>
        <v>0</v>
      </c>
      <c r="BE1064" s="49">
        <f t="shared" si="753"/>
        <v>0</v>
      </c>
      <c r="BF1064" s="49">
        <f t="shared" si="748"/>
        <v>0</v>
      </c>
      <c r="BG1064" s="49">
        <f t="shared" si="749"/>
        <v>0</v>
      </c>
      <c r="BI1064" s="134">
        <f t="shared" si="754"/>
        <v>0</v>
      </c>
      <c r="BJ1064" s="134">
        <f t="shared" si="750"/>
        <v>0</v>
      </c>
      <c r="BK1064" s="134">
        <f t="shared" si="755"/>
        <v>0</v>
      </c>
    </row>
    <row r="1065" spans="1:63" hidden="1">
      <c r="A1065" s="187"/>
      <c r="B1065" s="2333"/>
      <c r="C1065" s="2333"/>
      <c r="D1065" s="2334"/>
      <c r="E1065" s="2334"/>
      <c r="F1065" s="2334"/>
      <c r="G1065" s="2334"/>
      <c r="H1065" s="2334"/>
      <c r="I1065" s="2334"/>
      <c r="J1065" s="2334"/>
      <c r="K1065" s="2334"/>
      <c r="L1065" s="2334"/>
      <c r="M1065" s="2334"/>
      <c r="N1065" s="2334"/>
      <c r="O1065" s="2334"/>
      <c r="P1065" s="2324"/>
      <c r="Q1065" s="2324"/>
      <c r="R1065" s="2325"/>
      <c r="S1065" s="2324"/>
      <c r="T1065" s="2324"/>
      <c r="U1065" s="2326"/>
      <c r="V1065" s="2327"/>
      <c r="W1065" s="2327"/>
      <c r="X1065" s="2327"/>
      <c r="Y1065" s="2327"/>
      <c r="Z1065" s="2327"/>
      <c r="AA1065" s="2328"/>
      <c r="AB1065" s="2329"/>
      <c r="AC1065" s="2326"/>
      <c r="AD1065" s="2330">
        <f t="shared" si="742"/>
        <v>0</v>
      </c>
      <c r="AE1065" s="2330"/>
      <c r="AF1065" s="2330"/>
      <c r="AG1065" s="2330">
        <f t="shared" si="736"/>
        <v>0</v>
      </c>
      <c r="AH1065" s="2330"/>
      <c r="AI1065" s="2330"/>
      <c r="AJ1065" s="2330">
        <f t="shared" si="743"/>
        <v>0</v>
      </c>
      <c r="AK1065" s="2330"/>
      <c r="AL1065" s="2330"/>
      <c r="AM1065" s="2331">
        <f t="shared" si="730"/>
        <v>0</v>
      </c>
      <c r="AN1065" s="2331"/>
      <c r="AO1065" s="2331"/>
      <c r="AP1065" s="2331"/>
      <c r="AQ1065" s="2332">
        <f t="shared" si="744"/>
        <v>0</v>
      </c>
      <c r="AR1065" s="2332"/>
      <c r="AS1065" s="2332"/>
      <c r="AT1065" s="2332">
        <f t="shared" si="745"/>
        <v>0</v>
      </c>
      <c r="AV1065" s="151" t="str">
        <f t="shared" si="725"/>
        <v>HVAC</v>
      </c>
      <c r="AW1065" s="681"/>
      <c r="AX1065" s="230"/>
      <c r="AY1065" s="230"/>
      <c r="AZ1065" s="679"/>
      <c r="BA1065" s="49">
        <f t="shared" si="746"/>
        <v>0</v>
      </c>
      <c r="BB1065" s="49">
        <f t="shared" si="751"/>
        <v>0</v>
      </c>
      <c r="BC1065" s="49">
        <f t="shared" si="752"/>
        <v>0</v>
      </c>
      <c r="BD1065" s="49">
        <f t="shared" si="747"/>
        <v>0</v>
      </c>
      <c r="BE1065" s="49">
        <f t="shared" si="753"/>
        <v>0</v>
      </c>
      <c r="BF1065" s="49">
        <f t="shared" si="748"/>
        <v>0</v>
      </c>
      <c r="BG1065" s="49">
        <f t="shared" si="749"/>
        <v>0</v>
      </c>
      <c r="BI1065" s="134">
        <f t="shared" si="754"/>
        <v>0</v>
      </c>
      <c r="BJ1065" s="134">
        <f t="shared" si="750"/>
        <v>0</v>
      </c>
      <c r="BK1065" s="134">
        <f t="shared" si="755"/>
        <v>0</v>
      </c>
    </row>
    <row r="1066" spans="1:63" hidden="1">
      <c r="A1066" s="187"/>
      <c r="B1066" s="2321"/>
      <c r="C1066" s="2322"/>
      <c r="D1066" s="2334"/>
      <c r="E1066" s="2334"/>
      <c r="F1066" s="2334"/>
      <c r="G1066" s="2334"/>
      <c r="H1066" s="2334"/>
      <c r="I1066" s="2334"/>
      <c r="J1066" s="2334"/>
      <c r="K1066" s="2334"/>
      <c r="L1066" s="2334"/>
      <c r="M1066" s="2334"/>
      <c r="N1066" s="2334"/>
      <c r="O1066" s="2334"/>
      <c r="P1066" s="2324"/>
      <c r="Q1066" s="2324"/>
      <c r="R1066" s="2325"/>
      <c r="S1066" s="2324"/>
      <c r="T1066" s="2324"/>
      <c r="U1066" s="2326"/>
      <c r="V1066" s="2327"/>
      <c r="W1066" s="2327"/>
      <c r="X1066" s="2327"/>
      <c r="Y1066" s="2327"/>
      <c r="Z1066" s="2327"/>
      <c r="AA1066" s="2328"/>
      <c r="AB1066" s="2329"/>
      <c r="AC1066" s="2326"/>
      <c r="AD1066" s="2330">
        <f t="shared" si="742"/>
        <v>0</v>
      </c>
      <c r="AE1066" s="2330"/>
      <c r="AF1066" s="2330"/>
      <c r="AG1066" s="2330">
        <f t="shared" si="736"/>
        <v>0</v>
      </c>
      <c r="AH1066" s="2330"/>
      <c r="AI1066" s="2330"/>
      <c r="AJ1066" s="2330">
        <f t="shared" si="743"/>
        <v>0</v>
      </c>
      <c r="AK1066" s="2330"/>
      <c r="AL1066" s="2330"/>
      <c r="AM1066" s="2331">
        <f t="shared" si="730"/>
        <v>0</v>
      </c>
      <c r="AN1066" s="2331"/>
      <c r="AO1066" s="2331"/>
      <c r="AP1066" s="2331"/>
      <c r="AQ1066" s="2332">
        <f t="shared" si="744"/>
        <v>0</v>
      </c>
      <c r="AR1066" s="2332"/>
      <c r="AS1066" s="2332"/>
      <c r="AT1066" s="2332">
        <f t="shared" si="745"/>
        <v>0</v>
      </c>
      <c r="AV1066" s="151" t="str">
        <f t="shared" si="725"/>
        <v>HVAC</v>
      </c>
      <c r="AW1066" s="681"/>
      <c r="AX1066" s="230"/>
      <c r="AY1066" s="230"/>
      <c r="AZ1066" s="679"/>
      <c r="BA1066" s="49">
        <f t="shared" si="746"/>
        <v>0</v>
      </c>
      <c r="BB1066" s="49">
        <f t="shared" si="751"/>
        <v>0</v>
      </c>
      <c r="BC1066" s="49">
        <f t="shared" si="752"/>
        <v>0</v>
      </c>
      <c r="BD1066" s="49">
        <f t="shared" si="747"/>
        <v>0</v>
      </c>
      <c r="BE1066" s="49">
        <f t="shared" si="753"/>
        <v>0</v>
      </c>
      <c r="BF1066" s="49">
        <f t="shared" si="748"/>
        <v>0</v>
      </c>
      <c r="BG1066" s="49">
        <f t="shared" si="749"/>
        <v>0</v>
      </c>
      <c r="BI1066" s="134">
        <f t="shared" si="754"/>
        <v>0</v>
      </c>
      <c r="BJ1066" s="134">
        <f t="shared" si="750"/>
        <v>0</v>
      </c>
      <c r="BK1066" s="134">
        <f t="shared" si="755"/>
        <v>0</v>
      </c>
    </row>
    <row r="1067" spans="1:63" hidden="1">
      <c r="A1067" s="187"/>
      <c r="B1067" s="2321"/>
      <c r="C1067" s="2322"/>
      <c r="D1067" s="2334"/>
      <c r="E1067" s="2334"/>
      <c r="F1067" s="2334"/>
      <c r="G1067" s="2334"/>
      <c r="H1067" s="2334"/>
      <c r="I1067" s="2334"/>
      <c r="J1067" s="2334"/>
      <c r="K1067" s="2334"/>
      <c r="L1067" s="2334"/>
      <c r="M1067" s="2334"/>
      <c r="N1067" s="2334"/>
      <c r="O1067" s="2334"/>
      <c r="P1067" s="2324"/>
      <c r="Q1067" s="2324"/>
      <c r="R1067" s="2325"/>
      <c r="S1067" s="2324"/>
      <c r="T1067" s="2324"/>
      <c r="U1067" s="2326"/>
      <c r="V1067" s="2327"/>
      <c r="W1067" s="2327"/>
      <c r="X1067" s="2327"/>
      <c r="Y1067" s="2327"/>
      <c r="Z1067" s="2327"/>
      <c r="AA1067" s="2328"/>
      <c r="AB1067" s="2329"/>
      <c r="AC1067" s="2326"/>
      <c r="AD1067" s="2330">
        <f t="shared" si="742"/>
        <v>0</v>
      </c>
      <c r="AE1067" s="2330"/>
      <c r="AF1067" s="2330"/>
      <c r="AG1067" s="2330">
        <f t="shared" si="736"/>
        <v>0</v>
      </c>
      <c r="AH1067" s="2330"/>
      <c r="AI1067" s="2330"/>
      <c r="AJ1067" s="2330">
        <f t="shared" si="743"/>
        <v>0</v>
      </c>
      <c r="AK1067" s="2330"/>
      <c r="AL1067" s="2330"/>
      <c r="AM1067" s="2331">
        <f t="shared" si="730"/>
        <v>0</v>
      </c>
      <c r="AN1067" s="2331"/>
      <c r="AO1067" s="2331"/>
      <c r="AP1067" s="2331"/>
      <c r="AQ1067" s="2332">
        <f t="shared" si="744"/>
        <v>0</v>
      </c>
      <c r="AR1067" s="2332"/>
      <c r="AS1067" s="2332"/>
      <c r="AT1067" s="2332">
        <f t="shared" si="745"/>
        <v>0</v>
      </c>
      <c r="AV1067" s="151" t="str">
        <f t="shared" si="725"/>
        <v>HVAC</v>
      </c>
      <c r="AW1067" s="681"/>
      <c r="AX1067" s="230"/>
      <c r="AY1067" s="230"/>
      <c r="AZ1067" s="679"/>
      <c r="BA1067" s="49">
        <f t="shared" si="746"/>
        <v>0</v>
      </c>
      <c r="BB1067" s="49">
        <f t="shared" si="751"/>
        <v>0</v>
      </c>
      <c r="BC1067" s="49">
        <f t="shared" si="752"/>
        <v>0</v>
      </c>
      <c r="BD1067" s="49">
        <f t="shared" si="747"/>
        <v>0</v>
      </c>
      <c r="BE1067" s="49">
        <f t="shared" si="753"/>
        <v>0</v>
      </c>
      <c r="BF1067" s="49">
        <f t="shared" si="748"/>
        <v>0</v>
      </c>
      <c r="BG1067" s="49">
        <f t="shared" si="749"/>
        <v>0</v>
      </c>
      <c r="BI1067" s="134">
        <f t="shared" si="754"/>
        <v>0</v>
      </c>
      <c r="BJ1067" s="134">
        <f t="shared" si="750"/>
        <v>0</v>
      </c>
      <c r="BK1067" s="134">
        <f t="shared" si="755"/>
        <v>0</v>
      </c>
    </row>
    <row r="1068" spans="1:63" hidden="1">
      <c r="A1068" s="187"/>
      <c r="B1068" s="2321"/>
      <c r="C1068" s="2322"/>
      <c r="D1068" s="2334"/>
      <c r="E1068" s="2334"/>
      <c r="F1068" s="2334"/>
      <c r="G1068" s="2334"/>
      <c r="H1068" s="2334"/>
      <c r="I1068" s="2334"/>
      <c r="J1068" s="2334"/>
      <c r="K1068" s="2334"/>
      <c r="L1068" s="2334"/>
      <c r="M1068" s="2334"/>
      <c r="N1068" s="2334"/>
      <c r="O1068" s="2334"/>
      <c r="P1068" s="2324"/>
      <c r="Q1068" s="2324"/>
      <c r="R1068" s="2325"/>
      <c r="S1068" s="2324"/>
      <c r="T1068" s="2324"/>
      <c r="U1068" s="2326"/>
      <c r="V1068" s="2327"/>
      <c r="W1068" s="2327"/>
      <c r="X1068" s="2327"/>
      <c r="Y1068" s="2327"/>
      <c r="Z1068" s="2327"/>
      <c r="AA1068" s="2328"/>
      <c r="AB1068" s="2329"/>
      <c r="AC1068" s="2326"/>
      <c r="AD1068" s="2330">
        <f t="shared" si="742"/>
        <v>0</v>
      </c>
      <c r="AE1068" s="2330"/>
      <c r="AF1068" s="2330"/>
      <c r="AG1068" s="2330">
        <f t="shared" si="736"/>
        <v>0</v>
      </c>
      <c r="AH1068" s="2330"/>
      <c r="AI1068" s="2330"/>
      <c r="AJ1068" s="2330">
        <f t="shared" si="743"/>
        <v>0</v>
      </c>
      <c r="AK1068" s="2330"/>
      <c r="AL1068" s="2330"/>
      <c r="AM1068" s="2331">
        <f t="shared" si="730"/>
        <v>0</v>
      </c>
      <c r="AN1068" s="2331"/>
      <c r="AO1068" s="2331"/>
      <c r="AP1068" s="2331"/>
      <c r="AQ1068" s="2332">
        <f t="shared" si="744"/>
        <v>0</v>
      </c>
      <c r="AR1068" s="2332"/>
      <c r="AS1068" s="2332"/>
      <c r="AT1068" s="2332">
        <f t="shared" si="745"/>
        <v>0</v>
      </c>
      <c r="AV1068" s="151" t="str">
        <f t="shared" si="725"/>
        <v>HVAC</v>
      </c>
      <c r="AW1068" s="681"/>
      <c r="AX1068" s="230"/>
      <c r="AY1068" s="230"/>
      <c r="AZ1068" s="679"/>
      <c r="BA1068" s="49">
        <f t="shared" si="746"/>
        <v>0</v>
      </c>
      <c r="BB1068" s="49">
        <f t="shared" si="751"/>
        <v>0</v>
      </c>
      <c r="BC1068" s="49">
        <f t="shared" si="752"/>
        <v>0</v>
      </c>
      <c r="BD1068" s="49">
        <f t="shared" si="747"/>
        <v>0</v>
      </c>
      <c r="BE1068" s="49">
        <f t="shared" si="753"/>
        <v>0</v>
      </c>
      <c r="BF1068" s="49">
        <f t="shared" si="748"/>
        <v>0</v>
      </c>
      <c r="BG1068" s="49">
        <f t="shared" si="749"/>
        <v>0</v>
      </c>
      <c r="BI1068" s="134">
        <f t="shared" si="754"/>
        <v>0</v>
      </c>
      <c r="BJ1068" s="134">
        <f t="shared" si="750"/>
        <v>0</v>
      </c>
      <c r="BK1068" s="134">
        <f t="shared" si="755"/>
        <v>0</v>
      </c>
    </row>
    <row r="1069" spans="1:63" hidden="1">
      <c r="A1069" s="187"/>
      <c r="B1069" s="2333"/>
      <c r="C1069" s="2333"/>
      <c r="D1069" s="2334"/>
      <c r="E1069" s="2334"/>
      <c r="F1069" s="2334"/>
      <c r="G1069" s="2334"/>
      <c r="H1069" s="2334"/>
      <c r="I1069" s="2334"/>
      <c r="J1069" s="2334"/>
      <c r="K1069" s="2334"/>
      <c r="L1069" s="2334"/>
      <c r="M1069" s="2334"/>
      <c r="N1069" s="2334"/>
      <c r="O1069" s="2334"/>
      <c r="P1069" s="2324"/>
      <c r="Q1069" s="2324"/>
      <c r="R1069" s="2325"/>
      <c r="S1069" s="2324"/>
      <c r="T1069" s="2324"/>
      <c r="U1069" s="2326"/>
      <c r="V1069" s="2327"/>
      <c r="W1069" s="2327"/>
      <c r="X1069" s="2327"/>
      <c r="Y1069" s="2327"/>
      <c r="Z1069" s="2327"/>
      <c r="AA1069" s="2328"/>
      <c r="AB1069" s="2329"/>
      <c r="AC1069" s="2326"/>
      <c r="AD1069" s="2330">
        <f t="shared" si="742"/>
        <v>0</v>
      </c>
      <c r="AE1069" s="2330"/>
      <c r="AF1069" s="2330"/>
      <c r="AG1069" s="2330">
        <f t="shared" si="736"/>
        <v>0</v>
      </c>
      <c r="AH1069" s="2330"/>
      <c r="AI1069" s="2330"/>
      <c r="AJ1069" s="2330">
        <f t="shared" si="743"/>
        <v>0</v>
      </c>
      <c r="AK1069" s="2330"/>
      <c r="AL1069" s="2330"/>
      <c r="AM1069" s="2331">
        <f t="shared" si="730"/>
        <v>0</v>
      </c>
      <c r="AN1069" s="2331"/>
      <c r="AO1069" s="2331"/>
      <c r="AP1069" s="2331"/>
      <c r="AQ1069" s="2332">
        <f t="shared" si="744"/>
        <v>0</v>
      </c>
      <c r="AR1069" s="2332"/>
      <c r="AS1069" s="2332"/>
      <c r="AT1069" s="2332">
        <f t="shared" si="745"/>
        <v>0</v>
      </c>
      <c r="AV1069" s="151" t="str">
        <f t="shared" si="725"/>
        <v>HVAC</v>
      </c>
      <c r="AW1069" s="681"/>
      <c r="AX1069" s="230"/>
      <c r="AY1069" s="230"/>
      <c r="AZ1069" s="679"/>
      <c r="BA1069" s="49">
        <f t="shared" si="746"/>
        <v>0</v>
      </c>
      <c r="BB1069" s="49">
        <f t="shared" si="751"/>
        <v>0</v>
      </c>
      <c r="BC1069" s="49">
        <f t="shared" si="752"/>
        <v>0</v>
      </c>
      <c r="BD1069" s="49">
        <f t="shared" si="747"/>
        <v>0</v>
      </c>
      <c r="BE1069" s="49">
        <f t="shared" si="753"/>
        <v>0</v>
      </c>
      <c r="BF1069" s="49">
        <f t="shared" si="748"/>
        <v>0</v>
      </c>
      <c r="BG1069" s="49">
        <f t="shared" si="749"/>
        <v>0</v>
      </c>
      <c r="BI1069" s="134">
        <f t="shared" si="754"/>
        <v>0</v>
      </c>
      <c r="BJ1069" s="134">
        <f t="shared" si="750"/>
        <v>0</v>
      </c>
      <c r="BK1069" s="134">
        <f t="shared" si="755"/>
        <v>0</v>
      </c>
    </row>
    <row r="1070" spans="1:63" hidden="1">
      <c r="A1070" s="187"/>
      <c r="B1070" s="2321"/>
      <c r="C1070" s="2322"/>
      <c r="D1070" s="2334"/>
      <c r="E1070" s="2334"/>
      <c r="F1070" s="2334"/>
      <c r="G1070" s="2334"/>
      <c r="H1070" s="2334"/>
      <c r="I1070" s="2334"/>
      <c r="J1070" s="2334"/>
      <c r="K1070" s="2334"/>
      <c r="L1070" s="2334"/>
      <c r="M1070" s="2334"/>
      <c r="N1070" s="2334"/>
      <c r="O1070" s="2334"/>
      <c r="P1070" s="2324"/>
      <c r="Q1070" s="2324"/>
      <c r="R1070" s="2325"/>
      <c r="S1070" s="2324"/>
      <c r="T1070" s="2324"/>
      <c r="U1070" s="2326"/>
      <c r="V1070" s="2327"/>
      <c r="W1070" s="2327"/>
      <c r="X1070" s="2327"/>
      <c r="Y1070" s="2327"/>
      <c r="Z1070" s="2327"/>
      <c r="AA1070" s="2328"/>
      <c r="AB1070" s="2329"/>
      <c r="AC1070" s="2326"/>
      <c r="AD1070" s="2330">
        <f t="shared" si="742"/>
        <v>0</v>
      </c>
      <c r="AE1070" s="2330"/>
      <c r="AF1070" s="2330"/>
      <c r="AG1070" s="2330">
        <f t="shared" si="736"/>
        <v>0</v>
      </c>
      <c r="AH1070" s="2330"/>
      <c r="AI1070" s="2330"/>
      <c r="AJ1070" s="2330">
        <f t="shared" si="743"/>
        <v>0</v>
      </c>
      <c r="AK1070" s="2330"/>
      <c r="AL1070" s="2330"/>
      <c r="AM1070" s="2331">
        <f t="shared" si="730"/>
        <v>0</v>
      </c>
      <c r="AN1070" s="2331"/>
      <c r="AO1070" s="2331"/>
      <c r="AP1070" s="2331"/>
      <c r="AQ1070" s="2332">
        <f t="shared" si="744"/>
        <v>0</v>
      </c>
      <c r="AR1070" s="2332"/>
      <c r="AS1070" s="2332"/>
      <c r="AT1070" s="2332">
        <f t="shared" si="745"/>
        <v>0</v>
      </c>
      <c r="AV1070" s="151" t="str">
        <f t="shared" si="725"/>
        <v>HVAC</v>
      </c>
      <c r="AW1070" s="681"/>
      <c r="AX1070" s="230"/>
      <c r="AY1070" s="230"/>
      <c r="AZ1070" s="679"/>
      <c r="BA1070" s="49">
        <f t="shared" si="746"/>
        <v>0</v>
      </c>
      <c r="BB1070" s="49">
        <f t="shared" si="751"/>
        <v>0</v>
      </c>
      <c r="BC1070" s="49">
        <f t="shared" si="752"/>
        <v>0</v>
      </c>
      <c r="BD1070" s="49">
        <f t="shared" si="747"/>
        <v>0</v>
      </c>
      <c r="BE1070" s="49">
        <f t="shared" si="753"/>
        <v>0</v>
      </c>
      <c r="BF1070" s="49">
        <f t="shared" si="748"/>
        <v>0</v>
      </c>
      <c r="BG1070" s="49">
        <f t="shared" si="749"/>
        <v>0</v>
      </c>
      <c r="BI1070" s="134">
        <f t="shared" si="754"/>
        <v>0</v>
      </c>
      <c r="BJ1070" s="134">
        <f t="shared" si="750"/>
        <v>0</v>
      </c>
      <c r="BK1070" s="134">
        <f t="shared" si="755"/>
        <v>0</v>
      </c>
    </row>
    <row r="1071" spans="1:63" hidden="1">
      <c r="A1071" s="187"/>
      <c r="B1071" s="2321"/>
      <c r="C1071" s="2322"/>
      <c r="D1071" s="2334"/>
      <c r="E1071" s="2334"/>
      <c r="F1071" s="2334"/>
      <c r="G1071" s="2334"/>
      <c r="H1071" s="2334"/>
      <c r="I1071" s="2334"/>
      <c r="J1071" s="2334"/>
      <c r="K1071" s="2334"/>
      <c r="L1071" s="2334"/>
      <c r="M1071" s="2334"/>
      <c r="N1071" s="2334"/>
      <c r="O1071" s="2334"/>
      <c r="P1071" s="2324"/>
      <c r="Q1071" s="2324"/>
      <c r="R1071" s="2325"/>
      <c r="S1071" s="2324"/>
      <c r="T1071" s="2324"/>
      <c r="U1071" s="2326"/>
      <c r="V1071" s="2327"/>
      <c r="W1071" s="2327"/>
      <c r="X1071" s="2327"/>
      <c r="Y1071" s="2327"/>
      <c r="Z1071" s="2327"/>
      <c r="AA1071" s="2328"/>
      <c r="AB1071" s="2329"/>
      <c r="AC1071" s="2326"/>
      <c r="AD1071" s="2330">
        <f t="shared" si="742"/>
        <v>0</v>
      </c>
      <c r="AE1071" s="2330"/>
      <c r="AF1071" s="2330"/>
      <c r="AG1071" s="2330">
        <f t="shared" si="736"/>
        <v>0</v>
      </c>
      <c r="AH1071" s="2330"/>
      <c r="AI1071" s="2330"/>
      <c r="AJ1071" s="2330">
        <f t="shared" si="743"/>
        <v>0</v>
      </c>
      <c r="AK1071" s="2330"/>
      <c r="AL1071" s="2330"/>
      <c r="AM1071" s="2331">
        <f t="shared" si="730"/>
        <v>0</v>
      </c>
      <c r="AN1071" s="2331"/>
      <c r="AO1071" s="2331"/>
      <c r="AP1071" s="2331"/>
      <c r="AQ1071" s="2332">
        <f t="shared" si="744"/>
        <v>0</v>
      </c>
      <c r="AR1071" s="2332"/>
      <c r="AS1071" s="2332"/>
      <c r="AT1071" s="2332">
        <f t="shared" si="745"/>
        <v>0</v>
      </c>
      <c r="AV1071" s="151" t="str">
        <f t="shared" si="725"/>
        <v>HVAC</v>
      </c>
      <c r="AW1071" s="681"/>
      <c r="AX1071" s="230"/>
      <c r="AY1071" s="230"/>
      <c r="AZ1071" s="679"/>
      <c r="BA1071" s="49">
        <f t="shared" si="746"/>
        <v>0</v>
      </c>
      <c r="BB1071" s="49">
        <f t="shared" si="751"/>
        <v>0</v>
      </c>
      <c r="BC1071" s="49">
        <f t="shared" si="752"/>
        <v>0</v>
      </c>
      <c r="BD1071" s="49">
        <f t="shared" si="747"/>
        <v>0</v>
      </c>
      <c r="BE1071" s="49">
        <f>SUM(BA1071:BC1071)</f>
        <v>0</v>
      </c>
      <c r="BF1071" s="49">
        <f t="shared" si="748"/>
        <v>0</v>
      </c>
      <c r="BG1071" s="49">
        <f t="shared" si="749"/>
        <v>0</v>
      </c>
      <c r="BI1071" s="134">
        <f t="shared" si="754"/>
        <v>0</v>
      </c>
      <c r="BJ1071" s="134">
        <f t="shared" si="750"/>
        <v>0</v>
      </c>
      <c r="BK1071" s="134">
        <f t="shared" si="755"/>
        <v>0</v>
      </c>
    </row>
    <row r="1072" spans="1:63" hidden="1">
      <c r="A1072" s="187"/>
      <c r="B1072" s="2321"/>
      <c r="C1072" s="2322"/>
      <c r="D1072" s="2334"/>
      <c r="E1072" s="2334"/>
      <c r="F1072" s="2334"/>
      <c r="G1072" s="2334"/>
      <c r="H1072" s="2334"/>
      <c r="I1072" s="2334"/>
      <c r="J1072" s="2334"/>
      <c r="K1072" s="2334"/>
      <c r="L1072" s="2334"/>
      <c r="M1072" s="2334"/>
      <c r="N1072" s="2334"/>
      <c r="O1072" s="2334"/>
      <c r="P1072" s="2324"/>
      <c r="Q1072" s="2324"/>
      <c r="R1072" s="2325"/>
      <c r="S1072" s="2324"/>
      <c r="T1072" s="2324"/>
      <c r="U1072" s="2326"/>
      <c r="V1072" s="2327"/>
      <c r="W1072" s="2327"/>
      <c r="X1072" s="2327"/>
      <c r="Y1072" s="2327"/>
      <c r="Z1072" s="2327"/>
      <c r="AA1072" s="2328"/>
      <c r="AB1072" s="2329"/>
      <c r="AC1072" s="2326"/>
      <c r="AD1072" s="2330">
        <f t="shared" si="742"/>
        <v>0</v>
      </c>
      <c r="AE1072" s="2330"/>
      <c r="AF1072" s="2330"/>
      <c r="AG1072" s="2330">
        <f t="shared" si="736"/>
        <v>0</v>
      </c>
      <c r="AH1072" s="2330"/>
      <c r="AI1072" s="2330"/>
      <c r="AJ1072" s="2330">
        <f t="shared" si="743"/>
        <v>0</v>
      </c>
      <c r="AK1072" s="2330"/>
      <c r="AL1072" s="2330"/>
      <c r="AM1072" s="2331">
        <f t="shared" si="730"/>
        <v>0</v>
      </c>
      <c r="AN1072" s="2331"/>
      <c r="AO1072" s="2331"/>
      <c r="AP1072" s="2331"/>
      <c r="AQ1072" s="2332">
        <f t="shared" si="744"/>
        <v>0</v>
      </c>
      <c r="AR1072" s="2332"/>
      <c r="AS1072" s="2332"/>
      <c r="AT1072" s="2332">
        <f t="shared" si="745"/>
        <v>0</v>
      </c>
      <c r="AV1072" s="151" t="str">
        <f t="shared" si="725"/>
        <v>HVAC</v>
      </c>
      <c r="AW1072" s="681"/>
      <c r="AX1072" s="230"/>
      <c r="AY1072" s="230"/>
      <c r="AZ1072" s="679"/>
      <c r="BA1072" s="49">
        <f t="shared" si="746"/>
        <v>0</v>
      </c>
      <c r="BB1072" s="49">
        <f t="shared" si="751"/>
        <v>0</v>
      </c>
      <c r="BC1072" s="49">
        <f t="shared" si="752"/>
        <v>0</v>
      </c>
      <c r="BD1072" s="49">
        <f t="shared" si="747"/>
        <v>0</v>
      </c>
      <c r="BE1072" s="49">
        <f>SUM(BA1072:BC1072)</f>
        <v>0</v>
      </c>
      <c r="BF1072" s="49">
        <f t="shared" si="748"/>
        <v>0</v>
      </c>
      <c r="BG1072" s="49">
        <f t="shared" si="749"/>
        <v>0</v>
      </c>
      <c r="BI1072" s="134">
        <f t="shared" si="754"/>
        <v>0</v>
      </c>
      <c r="BJ1072" s="134">
        <f t="shared" si="750"/>
        <v>0</v>
      </c>
      <c r="BK1072" s="134">
        <f t="shared" si="755"/>
        <v>0</v>
      </c>
    </row>
    <row r="1073" spans="1:63" ht="5.0999999999999996" hidden="1" customHeight="1">
      <c r="A1073" s="187"/>
      <c r="B1073" s="64"/>
      <c r="C1073" s="64"/>
      <c r="D1073" s="885"/>
      <c r="E1073" s="885"/>
      <c r="F1073" s="885"/>
      <c r="G1073" s="885"/>
      <c r="H1073" s="885"/>
      <c r="I1073" s="885"/>
      <c r="J1073" s="885"/>
      <c r="K1073" s="885"/>
      <c r="L1073" s="885"/>
      <c r="M1073" s="885"/>
      <c r="N1073" s="885"/>
      <c r="O1073" s="885"/>
      <c r="P1073" s="66"/>
      <c r="Q1073" s="66"/>
      <c r="R1073" s="66"/>
      <c r="S1073" s="66"/>
      <c r="T1073" s="66"/>
      <c r="U1073" s="67"/>
      <c r="V1073" s="67"/>
      <c r="W1073" s="67"/>
      <c r="X1073" s="67"/>
      <c r="Y1073" s="67"/>
      <c r="Z1073" s="67"/>
      <c r="AA1073" s="67"/>
      <c r="AB1073" s="67"/>
      <c r="AC1073" s="67"/>
      <c r="AD1073" s="68"/>
      <c r="AE1073" s="68"/>
      <c r="AF1073" s="68"/>
      <c r="AG1073" s="68"/>
      <c r="AH1073" s="68"/>
      <c r="AI1073" s="68"/>
      <c r="AJ1073" s="68"/>
      <c r="AK1073" s="68"/>
      <c r="AL1073" s="68"/>
      <c r="AM1073" s="69"/>
      <c r="AN1073" s="69"/>
      <c r="AO1073" s="69"/>
      <c r="AP1073" s="69"/>
      <c r="AQ1073" s="661"/>
      <c r="AR1073" s="661"/>
      <c r="AS1073" s="661"/>
      <c r="AT1073" s="661"/>
      <c r="AV1073" s="369" t="str">
        <f t="shared" si="725"/>
        <v>HVAC</v>
      </c>
      <c r="AW1073" s="696"/>
      <c r="AX1073" s="696"/>
      <c r="AY1073" s="696"/>
      <c r="AZ1073" s="369"/>
      <c r="BA1073" s="75">
        <f>BA1032</f>
        <v>0</v>
      </c>
      <c r="BB1073" s="75">
        <f>BB1032</f>
        <v>0</v>
      </c>
      <c r="BC1073" s="75">
        <f>BC1032</f>
        <v>0</v>
      </c>
      <c r="BD1073" s="75">
        <f>BD1032</f>
        <v>0</v>
      </c>
      <c r="BE1073" s="75">
        <f>BE1032</f>
        <v>0</v>
      </c>
      <c r="BF1073" s="75"/>
      <c r="BG1073" s="75"/>
      <c r="BI1073" s="75"/>
      <c r="BJ1073" s="75"/>
      <c r="BK1073" s="75"/>
    </row>
    <row r="1074" spans="1:63" ht="21.6" hidden="1" customHeight="1">
      <c r="A1074" s="187"/>
      <c r="B1074" s="2424"/>
      <c r="C1074" s="2424"/>
      <c r="D1074" s="886"/>
      <c r="E1074" s="886"/>
      <c r="F1074" s="886"/>
      <c r="G1074" s="886"/>
      <c r="H1074" s="886"/>
      <c r="I1074" s="886"/>
      <c r="J1074" s="886"/>
      <c r="K1074" s="886"/>
      <c r="L1074" s="886"/>
      <c r="M1074" s="886"/>
      <c r="N1074" s="886"/>
      <c r="O1074" s="886"/>
      <c r="P1074" s="37"/>
      <c r="Q1074" s="37"/>
      <c r="R1074" s="37"/>
      <c r="S1074" s="37"/>
      <c r="T1074" s="37"/>
      <c r="U1074" s="37"/>
      <c r="V1074" s="37"/>
      <c r="W1074" s="37"/>
      <c r="X1074" s="37"/>
      <c r="Y1074" s="37"/>
      <c r="Z1074" s="37"/>
      <c r="AA1074" s="37"/>
      <c r="AB1074" s="37"/>
      <c r="AC1074" s="370" t="str">
        <f>CONCATENATE(D1032," ","TOTAL")</f>
        <v>HVAC TOTAL</v>
      </c>
      <c r="AD1074" s="2342">
        <f>SUBTOTAL(9,AD1033:AD1073)</f>
        <v>0</v>
      </c>
      <c r="AE1074" s="2342"/>
      <c r="AF1074" s="2342"/>
      <c r="AG1074" s="2342">
        <f>SUBTOTAL(9,AG1033:AG1073)</f>
        <v>0</v>
      </c>
      <c r="AH1074" s="2342"/>
      <c r="AI1074" s="2342"/>
      <c r="AJ1074" s="2342">
        <f>SUBTOTAL(9,AJ1033:AJ1073)</f>
        <v>0</v>
      </c>
      <c r="AK1074" s="2342"/>
      <c r="AL1074" s="2342"/>
      <c r="AM1074" s="2342">
        <f>SUBTOTAL(9,AM1033:AM1073)</f>
        <v>0</v>
      </c>
      <c r="AN1074" s="2342"/>
      <c r="AO1074" s="2342"/>
      <c r="AP1074" s="2342"/>
      <c r="AQ1074" s="2336">
        <f>SUBTOTAL(9,AQ1033:AQ1073)</f>
        <v>0</v>
      </c>
      <c r="AR1074" s="2336"/>
      <c r="AS1074" s="2336"/>
      <c r="AT1074" s="2336" t="e">
        <f>SUM(AT1030:AT1065)</f>
        <v>#REF!</v>
      </c>
      <c r="AV1074" s="151" t="str">
        <f t="shared" si="725"/>
        <v>HVAC</v>
      </c>
      <c r="AW1074" s="682"/>
      <c r="AX1074" s="695"/>
      <c r="AY1074" s="695"/>
      <c r="AZ1074" s="274"/>
      <c r="BA1074" s="74">
        <f>BA1032</f>
        <v>0</v>
      </c>
      <c r="BB1074" s="74">
        <f>BB1032</f>
        <v>0</v>
      </c>
      <c r="BC1074" s="74">
        <f>BC1032</f>
        <v>0</v>
      </c>
      <c r="BD1074" s="74">
        <f>BD1032</f>
        <v>0</v>
      </c>
      <c r="BE1074" s="74">
        <f>BE1032</f>
        <v>0</v>
      </c>
      <c r="BF1074" s="74">
        <f>SUM(BF1032:BF1073)</f>
        <v>0</v>
      </c>
      <c r="BG1074" s="49">
        <f>SUM(BG1032:BG1073)</f>
        <v>0</v>
      </c>
      <c r="BI1074" s="74">
        <f>SUM(BI1033:BI1073)</f>
        <v>0</v>
      </c>
      <c r="BJ1074" s="74">
        <f>SUM(BJ1033:BJ1073)</f>
        <v>0</v>
      </c>
      <c r="BK1074" s="49">
        <f>SUM(BK1033:BK1073)</f>
        <v>0</v>
      </c>
    </row>
    <row r="1075" spans="1:63" ht="5.0999999999999996" hidden="1" customHeight="1">
      <c r="A1075" s="187"/>
      <c r="B1075" s="64"/>
      <c r="C1075" s="64"/>
      <c r="D1075" s="885"/>
      <c r="E1075" s="885"/>
      <c r="F1075" s="885"/>
      <c r="G1075" s="885"/>
      <c r="H1075" s="885"/>
      <c r="I1075" s="885"/>
      <c r="J1075" s="885"/>
      <c r="K1075" s="885"/>
      <c r="L1075" s="885"/>
      <c r="M1075" s="885"/>
      <c r="N1075" s="885"/>
      <c r="O1075" s="885"/>
      <c r="P1075" s="66"/>
      <c r="Q1075" s="66"/>
      <c r="R1075" s="66"/>
      <c r="S1075" s="66"/>
      <c r="T1075" s="66"/>
      <c r="U1075" s="67"/>
      <c r="V1075" s="67"/>
      <c r="W1075" s="67"/>
      <c r="X1075" s="67"/>
      <c r="Y1075" s="67"/>
      <c r="Z1075" s="67"/>
      <c r="AA1075" s="67"/>
      <c r="AB1075" s="67"/>
      <c r="AC1075" s="67"/>
      <c r="AD1075" s="68"/>
      <c r="AE1075" s="68"/>
      <c r="AF1075" s="68"/>
      <c r="AG1075" s="68"/>
      <c r="AH1075" s="68"/>
      <c r="AI1075" s="68"/>
      <c r="AJ1075" s="68"/>
      <c r="AK1075" s="68"/>
      <c r="AL1075" s="68"/>
      <c r="AM1075" s="69"/>
      <c r="AN1075" s="69"/>
      <c r="AO1075" s="69"/>
      <c r="AP1075" s="69"/>
      <c r="AQ1075" s="661"/>
      <c r="AR1075" s="661"/>
      <c r="AS1075" s="661"/>
      <c r="AT1075" s="661"/>
      <c r="AV1075" s="369" t="str">
        <f t="shared" si="725"/>
        <v>HVAC</v>
      </c>
      <c r="AW1075" s="696"/>
      <c r="AX1075" s="696"/>
      <c r="AY1075" s="696"/>
      <c r="AZ1075" s="369"/>
      <c r="BA1075" s="75">
        <f>BA1032</f>
        <v>0</v>
      </c>
      <c r="BB1075" s="75">
        <f>BB1032</f>
        <v>0</v>
      </c>
      <c r="BC1075" s="75">
        <f>BC1032</f>
        <v>0</v>
      </c>
      <c r="BD1075" s="75">
        <f>BD1032</f>
        <v>0</v>
      </c>
      <c r="BE1075" s="75">
        <f>BE1032</f>
        <v>0</v>
      </c>
      <c r="BF1075" s="75"/>
      <c r="BG1075" s="75"/>
      <c r="BI1075" s="75"/>
      <c r="BJ1075" s="75"/>
      <c r="BK1075" s="75"/>
    </row>
    <row r="1076" spans="1:63" ht="9.6" hidden="1" customHeight="1">
      <c r="A1076" s="187"/>
      <c r="B1076" s="71"/>
      <c r="C1076" s="71"/>
      <c r="D1076" s="887"/>
      <c r="E1076" s="887"/>
      <c r="F1076" s="887"/>
      <c r="G1076" s="887"/>
      <c r="H1076" s="887"/>
      <c r="I1076" s="887"/>
      <c r="J1076" s="887"/>
      <c r="K1076" s="887"/>
      <c r="L1076" s="887"/>
      <c r="M1076" s="887"/>
      <c r="N1076" s="887"/>
      <c r="O1076" s="887"/>
      <c r="P1076" s="72"/>
      <c r="Q1076" s="72"/>
      <c r="R1076" s="72"/>
      <c r="S1076" s="72"/>
      <c r="T1076" s="72"/>
      <c r="U1076" s="72"/>
      <c r="V1076" s="72"/>
      <c r="W1076" s="72"/>
      <c r="X1076" s="72"/>
      <c r="Y1076" s="72"/>
      <c r="Z1076" s="72"/>
      <c r="AA1076" s="72"/>
      <c r="AB1076" s="72"/>
      <c r="AC1076" s="73"/>
      <c r="AD1076" s="662"/>
      <c r="AE1076" s="662"/>
      <c r="AF1076" s="662"/>
      <c r="AG1076" s="662"/>
      <c r="AH1076" s="662"/>
      <c r="AI1076" s="662"/>
      <c r="AJ1076" s="662"/>
      <c r="AK1076" s="662"/>
      <c r="AL1076" s="662"/>
      <c r="AM1076" s="662"/>
      <c r="AN1076" s="662"/>
      <c r="AO1076" s="662"/>
      <c r="AP1076" s="662"/>
      <c r="AQ1076" s="663"/>
      <c r="AR1076" s="663"/>
      <c r="AS1076" s="663"/>
      <c r="AT1076" s="663"/>
      <c r="AV1076" s="371" t="str">
        <f t="shared" si="725"/>
        <v>HVAC</v>
      </c>
      <c r="AW1076" s="699"/>
      <c r="AX1076" s="801"/>
      <c r="AY1076" s="801"/>
      <c r="AZ1076" s="371"/>
      <c r="BA1076" s="125">
        <f>BA1074</f>
        <v>0</v>
      </c>
      <c r="BB1076" s="125">
        <f t="shared" ref="BB1076:BG1076" si="756">BB1074</f>
        <v>0</v>
      </c>
      <c r="BC1076" s="125">
        <f>BC1074</f>
        <v>0</v>
      </c>
      <c r="BD1076" s="125">
        <f t="shared" si="756"/>
        <v>0</v>
      </c>
      <c r="BE1076" s="125">
        <f t="shared" si="756"/>
        <v>0</v>
      </c>
      <c r="BF1076" s="125">
        <f t="shared" si="756"/>
        <v>0</v>
      </c>
      <c r="BG1076" s="125">
        <f t="shared" si="756"/>
        <v>0</v>
      </c>
      <c r="BI1076" s="125"/>
      <c r="BJ1076" s="125"/>
      <c r="BK1076" s="125"/>
    </row>
    <row r="1077" spans="1:63" ht="21" customHeight="1">
      <c r="A1077" s="186" t="s">
        <v>952</v>
      </c>
      <c r="B1077" s="2343"/>
      <c r="C1077" s="2344"/>
      <c r="D1077" s="2387" t="str">
        <f>T(AJ81)</f>
        <v>ELECTRICAL</v>
      </c>
      <c r="E1077" s="2388"/>
      <c r="F1077" s="2388"/>
      <c r="G1077" s="2388"/>
      <c r="H1077" s="2388"/>
      <c r="I1077" s="2388"/>
      <c r="J1077" s="2388"/>
      <c r="K1077" s="2388"/>
      <c r="L1077" s="2388"/>
      <c r="M1077" s="2388"/>
      <c r="N1077" s="2388"/>
      <c r="O1077" s="2389"/>
      <c r="P1077" s="2345"/>
      <c r="Q1077" s="2345"/>
      <c r="R1077" s="2345"/>
      <c r="S1077" s="2346"/>
      <c r="T1077" s="2347"/>
      <c r="U1077" s="2348"/>
      <c r="V1077" s="2348"/>
      <c r="W1077" s="2348"/>
      <c r="X1077" s="2348"/>
      <c r="Y1077" s="2348"/>
      <c r="Z1077" s="2348"/>
      <c r="AA1077" s="2348"/>
      <c r="AB1077" s="2348"/>
      <c r="AC1077" s="2348"/>
      <c r="AD1077" s="2342">
        <f>AD1119</f>
        <v>0</v>
      </c>
      <c r="AE1077" s="2342"/>
      <c r="AF1077" s="2342"/>
      <c r="AG1077" s="2342">
        <f>AG1119</f>
        <v>0</v>
      </c>
      <c r="AH1077" s="2342"/>
      <c r="AI1077" s="2342"/>
      <c r="AJ1077" s="2342">
        <f>AJ1119</f>
        <v>0</v>
      </c>
      <c r="AK1077" s="2342"/>
      <c r="AL1077" s="2342"/>
      <c r="AM1077" s="2342">
        <f>AM1119</f>
        <v>0</v>
      </c>
      <c r="AN1077" s="2342"/>
      <c r="AO1077" s="2342"/>
      <c r="AP1077" s="2342"/>
      <c r="AQ1077" s="2336">
        <f>AQ1119</f>
        <v>0</v>
      </c>
      <c r="AR1077" s="2336"/>
      <c r="AS1077" s="2336"/>
      <c r="AT1077" s="2336" t="e">
        <f>SUM(#REF!)</f>
        <v>#REF!</v>
      </c>
      <c r="AV1077" s="151" t="str">
        <f t="shared" ref="AV1077:AV1121" si="757">$D$1077</f>
        <v>ELECTRICAL</v>
      </c>
      <c r="AW1077" s="700"/>
      <c r="AX1077" s="700"/>
      <c r="AY1077" s="700"/>
      <c r="AZ1077" s="701"/>
      <c r="BA1077" s="49">
        <f>SUM(BA1078:BA1117)</f>
        <v>0</v>
      </c>
      <c r="BB1077" s="49">
        <f>SUM(BB1078:BB1117)</f>
        <v>0</v>
      </c>
      <c r="BC1077" s="49">
        <f>SUM(BC1078:BC1117)</f>
        <v>0</v>
      </c>
      <c r="BD1077" s="49">
        <f>SUM(BD1078:BD1117)</f>
        <v>0</v>
      </c>
      <c r="BE1077" s="49">
        <f>SUM(BE1078:BE1117)</f>
        <v>0</v>
      </c>
      <c r="BF1077" s="49">
        <f t="shared" ref="BF1077:BF1097" si="758">AQ1077</f>
        <v>0</v>
      </c>
      <c r="BG1077" s="49">
        <f t="shared" ref="BG1077:BG1097" si="759">AM1077</f>
        <v>0</v>
      </c>
      <c r="BI1077" s="134">
        <f>AD1077</f>
        <v>0</v>
      </c>
      <c r="BJ1077" s="134">
        <f>AM1077</f>
        <v>0</v>
      </c>
      <c r="BK1077" s="134">
        <f>BJ1077+BI1077</f>
        <v>0</v>
      </c>
    </row>
    <row r="1078" spans="1:63" hidden="1">
      <c r="A1078" s="187"/>
      <c r="B1078" s="2321"/>
      <c r="C1078" s="2322"/>
      <c r="D1078" s="2338" t="s">
        <v>250</v>
      </c>
      <c r="E1078" s="2338"/>
      <c r="F1078" s="2338"/>
      <c r="G1078" s="2338"/>
      <c r="H1078" s="2338"/>
      <c r="I1078" s="2338"/>
      <c r="J1078" s="2338"/>
      <c r="K1078" s="2338"/>
      <c r="L1078" s="2338"/>
      <c r="M1078" s="2338"/>
      <c r="N1078" s="2338"/>
      <c r="O1078" s="2338"/>
      <c r="P1078" s="2324"/>
      <c r="Q1078" s="2324"/>
      <c r="R1078" s="2325"/>
      <c r="S1078" s="2324" t="s">
        <v>3</v>
      </c>
      <c r="T1078" s="2324" t="s">
        <v>3</v>
      </c>
      <c r="U1078" s="2326"/>
      <c r="V1078" s="2327"/>
      <c r="W1078" s="2327"/>
      <c r="X1078" s="2327"/>
      <c r="Y1078" s="2327"/>
      <c r="Z1078" s="2327"/>
      <c r="AA1078" s="2328"/>
      <c r="AB1078" s="2329"/>
      <c r="AC1078" s="2326"/>
      <c r="AD1078" s="2330">
        <f t="shared" ref="AD1078:AD1097" si="760">((P1078*U1078)-AM1078)</f>
        <v>0</v>
      </c>
      <c r="AE1078" s="2330"/>
      <c r="AF1078" s="2330"/>
      <c r="AG1078" s="2330">
        <f>P1078*X1078*(1+$Y$85)</f>
        <v>0</v>
      </c>
      <c r="AH1078" s="2330"/>
      <c r="AI1078" s="2330"/>
      <c r="AJ1078" s="2330">
        <f t="shared" ref="AJ1078:AJ1097" si="761">P1078*AA1078</f>
        <v>0</v>
      </c>
      <c r="AK1078" s="2330"/>
      <c r="AL1078" s="2330"/>
      <c r="AM1078" s="2331">
        <f t="shared" ref="AM1078:AM1117" si="762">IF($B1078="x",$P1078*$U1078,0)</f>
        <v>0</v>
      </c>
      <c r="AN1078" s="2331"/>
      <c r="AO1078" s="2331"/>
      <c r="AP1078" s="2331"/>
      <c r="AQ1078" s="2332">
        <f t="shared" ref="AQ1078:AQ1097" si="763">SUM(AD1078:AL1078)</f>
        <v>0</v>
      </c>
      <c r="AR1078" s="2332"/>
      <c r="AS1078" s="2332"/>
      <c r="AT1078" s="2332">
        <f t="shared" ref="AT1078:AT1097" si="764">SUM(AD1078:AL1078)</f>
        <v>0</v>
      </c>
      <c r="AV1078" s="151" t="str">
        <f t="shared" si="757"/>
        <v>ELECTRICAL</v>
      </c>
      <c r="AW1078" s="681"/>
      <c r="AX1078" s="230"/>
      <c r="AY1078" s="230"/>
      <c r="AZ1078" s="679"/>
      <c r="BA1078" s="49">
        <f t="shared" ref="BA1078:BA1097" si="765">AD1078</f>
        <v>0</v>
      </c>
      <c r="BB1078" s="49">
        <f>AG1078</f>
        <v>0</v>
      </c>
      <c r="BC1078" s="49">
        <f>AJ1078</f>
        <v>0</v>
      </c>
      <c r="BD1078" s="49">
        <f t="shared" ref="BD1078:BD1097" si="766">IF(B1078="x",1,0)</f>
        <v>0</v>
      </c>
      <c r="BE1078" s="49">
        <f>SUM(BA1078:BC1078)</f>
        <v>0</v>
      </c>
      <c r="BF1078" s="49">
        <f t="shared" si="758"/>
        <v>0</v>
      </c>
      <c r="BG1078" s="49">
        <f t="shared" si="759"/>
        <v>0</v>
      </c>
      <c r="BI1078" s="134">
        <f>AD1078</f>
        <v>0</v>
      </c>
      <c r="BJ1078" s="134">
        <f t="shared" ref="BJ1078:BJ1097" si="767">AM1078</f>
        <v>0</v>
      </c>
      <c r="BK1078" s="134">
        <f>BJ1078+BI1078</f>
        <v>0</v>
      </c>
    </row>
    <row r="1079" spans="1:63" hidden="1">
      <c r="A1079" s="187"/>
      <c r="B1079" s="2333"/>
      <c r="C1079" s="2333"/>
      <c r="D1079" s="2337" t="s">
        <v>309</v>
      </c>
      <c r="E1079" s="2337"/>
      <c r="F1079" s="2337"/>
      <c r="G1079" s="2337"/>
      <c r="H1079" s="2337"/>
      <c r="I1079" s="2337"/>
      <c r="J1079" s="2337"/>
      <c r="K1079" s="2337"/>
      <c r="L1079" s="2337"/>
      <c r="M1079" s="2337"/>
      <c r="N1079" s="2337"/>
      <c r="O1079" s="2337"/>
      <c r="P1079" s="2324"/>
      <c r="Q1079" s="2324"/>
      <c r="R1079" s="2325"/>
      <c r="S1079" s="2324"/>
      <c r="T1079" s="2324"/>
      <c r="U1079" s="2326"/>
      <c r="V1079" s="2327"/>
      <c r="W1079" s="2327"/>
      <c r="X1079" s="2327"/>
      <c r="Y1079" s="2327"/>
      <c r="Z1079" s="2327"/>
      <c r="AA1079" s="2328"/>
      <c r="AB1079" s="2329"/>
      <c r="AC1079" s="2326"/>
      <c r="AD1079" s="2330">
        <f t="shared" si="760"/>
        <v>0</v>
      </c>
      <c r="AE1079" s="2330"/>
      <c r="AF1079" s="2330"/>
      <c r="AG1079" s="2330">
        <f t="shared" ref="AG1079:AG1117" si="768">P1079*X1079*(1+$Y$85)</f>
        <v>0</v>
      </c>
      <c r="AH1079" s="2330"/>
      <c r="AI1079" s="2330"/>
      <c r="AJ1079" s="2330">
        <f t="shared" si="761"/>
        <v>0</v>
      </c>
      <c r="AK1079" s="2330"/>
      <c r="AL1079" s="2330"/>
      <c r="AM1079" s="2331">
        <f t="shared" si="762"/>
        <v>0</v>
      </c>
      <c r="AN1079" s="2331"/>
      <c r="AO1079" s="2331"/>
      <c r="AP1079" s="2331"/>
      <c r="AQ1079" s="2332">
        <f t="shared" si="763"/>
        <v>0</v>
      </c>
      <c r="AR1079" s="2332"/>
      <c r="AS1079" s="2332"/>
      <c r="AT1079" s="2332">
        <f t="shared" si="764"/>
        <v>0</v>
      </c>
      <c r="AV1079" s="151" t="str">
        <f t="shared" si="757"/>
        <v>ELECTRICAL</v>
      </c>
      <c r="AW1079" s="681"/>
      <c r="AX1079" s="230"/>
      <c r="AY1079" s="230"/>
      <c r="AZ1079" s="679"/>
      <c r="BA1079" s="49">
        <f t="shared" si="765"/>
        <v>0</v>
      </c>
      <c r="BB1079" s="49">
        <f t="shared" ref="BB1079:BB1097" si="769">AG1079</f>
        <v>0</v>
      </c>
      <c r="BC1079" s="49">
        <f t="shared" ref="BC1079:BC1097" si="770">AJ1079</f>
        <v>0</v>
      </c>
      <c r="BD1079" s="49">
        <f t="shared" si="766"/>
        <v>0</v>
      </c>
      <c r="BE1079" s="49">
        <f t="shared" ref="BE1079:BE1095" si="771">SUM(BA1079:BC1079)</f>
        <v>0</v>
      </c>
      <c r="BF1079" s="49">
        <f t="shared" si="758"/>
        <v>0</v>
      </c>
      <c r="BG1079" s="49">
        <f t="shared" si="759"/>
        <v>0</v>
      </c>
      <c r="BI1079" s="134">
        <f t="shared" ref="BI1079:BI1097" si="772">AD1079</f>
        <v>0</v>
      </c>
      <c r="BJ1079" s="134">
        <f t="shared" si="767"/>
        <v>0</v>
      </c>
      <c r="BK1079" s="134">
        <f t="shared" ref="BK1079:BK1097" si="773">BJ1079+BI1079</f>
        <v>0</v>
      </c>
    </row>
    <row r="1080" spans="1:63" hidden="1">
      <c r="A1080" s="187"/>
      <c r="B1080" s="2333"/>
      <c r="C1080" s="2333"/>
      <c r="D1080" s="2334" t="s">
        <v>279</v>
      </c>
      <c r="E1080" s="2334"/>
      <c r="F1080" s="2334"/>
      <c r="G1080" s="2334"/>
      <c r="H1080" s="2334"/>
      <c r="I1080" s="2334"/>
      <c r="J1080" s="2334"/>
      <c r="K1080" s="2334"/>
      <c r="L1080" s="2334"/>
      <c r="M1080" s="2334"/>
      <c r="N1080" s="2334"/>
      <c r="O1080" s="2334"/>
      <c r="P1080" s="2324"/>
      <c r="Q1080" s="2324"/>
      <c r="R1080" s="2325"/>
      <c r="S1080" s="2324" t="s">
        <v>18</v>
      </c>
      <c r="T1080" s="2324" t="s">
        <v>18</v>
      </c>
      <c r="U1080" s="2326"/>
      <c r="V1080" s="2327"/>
      <c r="W1080" s="2327"/>
      <c r="X1080" s="2327"/>
      <c r="Y1080" s="2327"/>
      <c r="Z1080" s="2327"/>
      <c r="AA1080" s="2328">
        <v>60</v>
      </c>
      <c r="AB1080" s="2329"/>
      <c r="AC1080" s="2326"/>
      <c r="AD1080" s="2330">
        <f t="shared" si="760"/>
        <v>0</v>
      </c>
      <c r="AE1080" s="2330"/>
      <c r="AF1080" s="2330"/>
      <c r="AG1080" s="2330">
        <f t="shared" si="768"/>
        <v>0</v>
      </c>
      <c r="AH1080" s="2330"/>
      <c r="AI1080" s="2330"/>
      <c r="AJ1080" s="2330">
        <f t="shared" si="761"/>
        <v>0</v>
      </c>
      <c r="AK1080" s="2330"/>
      <c r="AL1080" s="2330"/>
      <c r="AM1080" s="2331">
        <f t="shared" si="762"/>
        <v>0</v>
      </c>
      <c r="AN1080" s="2331"/>
      <c r="AO1080" s="2331"/>
      <c r="AP1080" s="2331"/>
      <c r="AQ1080" s="2332">
        <f t="shared" si="763"/>
        <v>0</v>
      </c>
      <c r="AR1080" s="2332"/>
      <c r="AS1080" s="2332"/>
      <c r="AT1080" s="2332">
        <f t="shared" si="764"/>
        <v>0</v>
      </c>
      <c r="AV1080" s="151" t="str">
        <f t="shared" si="757"/>
        <v>ELECTRICAL</v>
      </c>
      <c r="AW1080" s="681"/>
      <c r="AX1080" s="230"/>
      <c r="AY1080" s="230"/>
      <c r="AZ1080" s="679"/>
      <c r="BA1080" s="49">
        <f t="shared" si="765"/>
        <v>0</v>
      </c>
      <c r="BB1080" s="49">
        <f t="shared" si="769"/>
        <v>0</v>
      </c>
      <c r="BC1080" s="49">
        <f t="shared" si="770"/>
        <v>0</v>
      </c>
      <c r="BD1080" s="49">
        <f t="shared" si="766"/>
        <v>0</v>
      </c>
      <c r="BE1080" s="49">
        <f t="shared" si="771"/>
        <v>0</v>
      </c>
      <c r="BF1080" s="49">
        <f t="shared" si="758"/>
        <v>0</v>
      </c>
      <c r="BG1080" s="49">
        <f t="shared" si="759"/>
        <v>0</v>
      </c>
      <c r="BI1080" s="134">
        <f t="shared" si="772"/>
        <v>0</v>
      </c>
      <c r="BJ1080" s="134">
        <f t="shared" si="767"/>
        <v>0</v>
      </c>
      <c r="BK1080" s="134">
        <f t="shared" si="773"/>
        <v>0</v>
      </c>
    </row>
    <row r="1081" spans="1:63" hidden="1">
      <c r="A1081" s="187"/>
      <c r="B1081" s="2321"/>
      <c r="C1081" s="2322"/>
      <c r="D1081" s="2334" t="s">
        <v>455</v>
      </c>
      <c r="E1081" s="2334"/>
      <c r="F1081" s="2334"/>
      <c r="G1081" s="2334"/>
      <c r="H1081" s="2334"/>
      <c r="I1081" s="2334"/>
      <c r="J1081" s="2334"/>
      <c r="K1081" s="2334"/>
      <c r="L1081" s="2334"/>
      <c r="M1081" s="2334"/>
      <c r="N1081" s="2334"/>
      <c r="O1081" s="2334"/>
      <c r="P1081" s="2324"/>
      <c r="Q1081" s="2324"/>
      <c r="R1081" s="2325"/>
      <c r="S1081" s="2324" t="s">
        <v>18</v>
      </c>
      <c r="T1081" s="2324" t="s">
        <v>18</v>
      </c>
      <c r="U1081" s="2326"/>
      <c r="V1081" s="2327"/>
      <c r="W1081" s="2327"/>
      <c r="X1081" s="2327"/>
      <c r="Y1081" s="2327"/>
      <c r="Z1081" s="2327"/>
      <c r="AA1081" s="2328">
        <v>60</v>
      </c>
      <c r="AB1081" s="2329"/>
      <c r="AC1081" s="2326"/>
      <c r="AD1081" s="2330">
        <f t="shared" si="760"/>
        <v>0</v>
      </c>
      <c r="AE1081" s="2330"/>
      <c r="AF1081" s="2330"/>
      <c r="AG1081" s="2330">
        <f t="shared" si="768"/>
        <v>0</v>
      </c>
      <c r="AH1081" s="2330"/>
      <c r="AI1081" s="2330"/>
      <c r="AJ1081" s="2330">
        <f t="shared" si="761"/>
        <v>0</v>
      </c>
      <c r="AK1081" s="2330"/>
      <c r="AL1081" s="2330"/>
      <c r="AM1081" s="2331">
        <f t="shared" si="762"/>
        <v>0</v>
      </c>
      <c r="AN1081" s="2331"/>
      <c r="AO1081" s="2331"/>
      <c r="AP1081" s="2331"/>
      <c r="AQ1081" s="2332">
        <f t="shared" si="763"/>
        <v>0</v>
      </c>
      <c r="AR1081" s="2332"/>
      <c r="AS1081" s="2332"/>
      <c r="AT1081" s="2332">
        <f t="shared" si="764"/>
        <v>0</v>
      </c>
      <c r="AV1081" s="151" t="str">
        <f t="shared" si="757"/>
        <v>ELECTRICAL</v>
      </c>
      <c r="AW1081" s="681"/>
      <c r="AX1081" s="230"/>
      <c r="AY1081" s="230"/>
      <c r="AZ1081" s="679"/>
      <c r="BA1081" s="49">
        <f t="shared" si="765"/>
        <v>0</v>
      </c>
      <c r="BB1081" s="49">
        <f t="shared" si="769"/>
        <v>0</v>
      </c>
      <c r="BC1081" s="49">
        <f t="shared" si="770"/>
        <v>0</v>
      </c>
      <c r="BD1081" s="49">
        <f t="shared" si="766"/>
        <v>0</v>
      </c>
      <c r="BE1081" s="49">
        <f t="shared" si="771"/>
        <v>0</v>
      </c>
      <c r="BF1081" s="49">
        <f t="shared" si="758"/>
        <v>0</v>
      </c>
      <c r="BG1081" s="49">
        <f t="shared" si="759"/>
        <v>0</v>
      </c>
      <c r="BI1081" s="134">
        <f t="shared" si="772"/>
        <v>0</v>
      </c>
      <c r="BJ1081" s="134">
        <f t="shared" si="767"/>
        <v>0</v>
      </c>
      <c r="BK1081" s="134">
        <f t="shared" si="773"/>
        <v>0</v>
      </c>
    </row>
    <row r="1082" spans="1:63" hidden="1">
      <c r="A1082" s="187"/>
      <c r="B1082" s="2321"/>
      <c r="C1082" s="2322"/>
      <c r="D1082" s="2334" t="s">
        <v>280</v>
      </c>
      <c r="E1082" s="2334"/>
      <c r="F1082" s="2334"/>
      <c r="G1082" s="2334"/>
      <c r="H1082" s="2334"/>
      <c r="I1082" s="2334"/>
      <c r="J1082" s="2334"/>
      <c r="K1082" s="2334"/>
      <c r="L1082" s="2334"/>
      <c r="M1082" s="2334"/>
      <c r="N1082" s="2334"/>
      <c r="O1082" s="2334"/>
      <c r="P1082" s="2324"/>
      <c r="Q1082" s="2324"/>
      <c r="R1082" s="2325"/>
      <c r="S1082" s="2324" t="s">
        <v>18</v>
      </c>
      <c r="T1082" s="2324" t="s">
        <v>18</v>
      </c>
      <c r="U1082" s="2326"/>
      <c r="V1082" s="2327"/>
      <c r="W1082" s="2327"/>
      <c r="X1082" s="2327"/>
      <c r="Y1082" s="2327"/>
      <c r="Z1082" s="2327"/>
      <c r="AA1082" s="2328">
        <v>60</v>
      </c>
      <c r="AB1082" s="2329"/>
      <c r="AC1082" s="2326"/>
      <c r="AD1082" s="2330">
        <f t="shared" si="760"/>
        <v>0</v>
      </c>
      <c r="AE1082" s="2330"/>
      <c r="AF1082" s="2330"/>
      <c r="AG1082" s="2330">
        <f t="shared" si="768"/>
        <v>0</v>
      </c>
      <c r="AH1082" s="2330"/>
      <c r="AI1082" s="2330"/>
      <c r="AJ1082" s="2330">
        <f t="shared" si="761"/>
        <v>0</v>
      </c>
      <c r="AK1082" s="2330"/>
      <c r="AL1082" s="2330"/>
      <c r="AM1082" s="2331">
        <f t="shared" si="762"/>
        <v>0</v>
      </c>
      <c r="AN1082" s="2331"/>
      <c r="AO1082" s="2331"/>
      <c r="AP1082" s="2331"/>
      <c r="AQ1082" s="2332">
        <f t="shared" si="763"/>
        <v>0</v>
      </c>
      <c r="AR1082" s="2332"/>
      <c r="AS1082" s="2332"/>
      <c r="AT1082" s="2332">
        <f t="shared" si="764"/>
        <v>0</v>
      </c>
      <c r="AV1082" s="151" t="str">
        <f t="shared" si="757"/>
        <v>ELECTRICAL</v>
      </c>
      <c r="AW1082" s="681"/>
      <c r="AX1082" s="230"/>
      <c r="AY1082" s="230"/>
      <c r="AZ1082" s="679"/>
      <c r="BA1082" s="49">
        <f t="shared" si="765"/>
        <v>0</v>
      </c>
      <c r="BB1082" s="49">
        <f t="shared" si="769"/>
        <v>0</v>
      </c>
      <c r="BC1082" s="49">
        <f t="shared" si="770"/>
        <v>0</v>
      </c>
      <c r="BD1082" s="49">
        <f t="shared" si="766"/>
        <v>0</v>
      </c>
      <c r="BE1082" s="49">
        <f t="shared" si="771"/>
        <v>0</v>
      </c>
      <c r="BF1082" s="49">
        <f t="shared" si="758"/>
        <v>0</v>
      </c>
      <c r="BG1082" s="49">
        <f t="shared" si="759"/>
        <v>0</v>
      </c>
      <c r="BI1082" s="134">
        <f t="shared" si="772"/>
        <v>0</v>
      </c>
      <c r="BJ1082" s="134">
        <f t="shared" si="767"/>
        <v>0</v>
      </c>
      <c r="BK1082" s="134">
        <f t="shared" si="773"/>
        <v>0</v>
      </c>
    </row>
    <row r="1083" spans="1:63" hidden="1">
      <c r="A1083" s="187"/>
      <c r="B1083" s="2321"/>
      <c r="C1083" s="2322"/>
      <c r="D1083" s="2334" t="s">
        <v>769</v>
      </c>
      <c r="E1083" s="2334"/>
      <c r="F1083" s="2334"/>
      <c r="G1083" s="2334"/>
      <c r="H1083" s="2334"/>
      <c r="I1083" s="2334"/>
      <c r="J1083" s="2334"/>
      <c r="K1083" s="2334"/>
      <c r="L1083" s="2334"/>
      <c r="M1083" s="2334"/>
      <c r="N1083" s="2334"/>
      <c r="O1083" s="2334"/>
      <c r="P1083" s="2324"/>
      <c r="Q1083" s="2324"/>
      <c r="R1083" s="2325"/>
      <c r="S1083" s="2324" t="s">
        <v>2</v>
      </c>
      <c r="T1083" s="2324" t="s">
        <v>2</v>
      </c>
      <c r="U1083" s="2326"/>
      <c r="V1083" s="2327"/>
      <c r="W1083" s="2327"/>
      <c r="X1083" s="2327"/>
      <c r="Y1083" s="2327"/>
      <c r="Z1083" s="2327"/>
      <c r="AA1083" s="2328">
        <v>975</v>
      </c>
      <c r="AB1083" s="2329"/>
      <c r="AC1083" s="2326"/>
      <c r="AD1083" s="2330">
        <f t="shared" si="760"/>
        <v>0</v>
      </c>
      <c r="AE1083" s="2330"/>
      <c r="AF1083" s="2330"/>
      <c r="AG1083" s="2330">
        <f t="shared" si="768"/>
        <v>0</v>
      </c>
      <c r="AH1083" s="2330"/>
      <c r="AI1083" s="2330"/>
      <c r="AJ1083" s="2330">
        <f t="shared" si="761"/>
        <v>0</v>
      </c>
      <c r="AK1083" s="2330"/>
      <c r="AL1083" s="2330"/>
      <c r="AM1083" s="2331">
        <f t="shared" si="762"/>
        <v>0</v>
      </c>
      <c r="AN1083" s="2331"/>
      <c r="AO1083" s="2331"/>
      <c r="AP1083" s="2331"/>
      <c r="AQ1083" s="2332">
        <f t="shared" si="763"/>
        <v>0</v>
      </c>
      <c r="AR1083" s="2332"/>
      <c r="AS1083" s="2332"/>
      <c r="AT1083" s="2332">
        <f t="shared" si="764"/>
        <v>0</v>
      </c>
      <c r="AV1083" s="151" t="str">
        <f t="shared" si="757"/>
        <v>ELECTRICAL</v>
      </c>
      <c r="AW1083" s="681"/>
      <c r="AX1083" s="230"/>
      <c r="AY1083" s="230"/>
      <c r="AZ1083" s="679"/>
      <c r="BA1083" s="49">
        <f t="shared" si="765"/>
        <v>0</v>
      </c>
      <c r="BB1083" s="49">
        <f t="shared" si="769"/>
        <v>0</v>
      </c>
      <c r="BC1083" s="49">
        <f t="shared" si="770"/>
        <v>0</v>
      </c>
      <c r="BD1083" s="49">
        <f t="shared" si="766"/>
        <v>0</v>
      </c>
      <c r="BE1083" s="49">
        <f t="shared" si="771"/>
        <v>0</v>
      </c>
      <c r="BF1083" s="49">
        <f t="shared" si="758"/>
        <v>0</v>
      </c>
      <c r="BG1083" s="49">
        <f t="shared" si="759"/>
        <v>0</v>
      </c>
      <c r="BI1083" s="134">
        <f t="shared" si="772"/>
        <v>0</v>
      </c>
      <c r="BJ1083" s="134">
        <f t="shared" si="767"/>
        <v>0</v>
      </c>
      <c r="BK1083" s="134">
        <f t="shared" si="773"/>
        <v>0</v>
      </c>
    </row>
    <row r="1084" spans="1:63" hidden="1">
      <c r="A1084" s="187"/>
      <c r="B1084" s="2321"/>
      <c r="C1084" s="2322"/>
      <c r="D1084" s="2334" t="s">
        <v>768</v>
      </c>
      <c r="E1084" s="2334"/>
      <c r="F1084" s="2334"/>
      <c r="G1084" s="2334"/>
      <c r="H1084" s="2334"/>
      <c r="I1084" s="2334"/>
      <c r="J1084" s="2334"/>
      <c r="K1084" s="2334"/>
      <c r="L1084" s="2334"/>
      <c r="M1084" s="2334"/>
      <c r="N1084" s="2334"/>
      <c r="O1084" s="2334"/>
      <c r="P1084" s="2324"/>
      <c r="Q1084" s="2324"/>
      <c r="R1084" s="2325"/>
      <c r="S1084" s="2324" t="s">
        <v>2</v>
      </c>
      <c r="T1084" s="2324" t="s">
        <v>2</v>
      </c>
      <c r="U1084" s="2326"/>
      <c r="V1084" s="2327"/>
      <c r="W1084" s="2327"/>
      <c r="X1084" s="2327"/>
      <c r="Y1084" s="2327"/>
      <c r="Z1084" s="2327"/>
      <c r="AA1084" s="2326">
        <v>1250</v>
      </c>
      <c r="AB1084" s="2327"/>
      <c r="AC1084" s="2327"/>
      <c r="AD1084" s="2330">
        <f t="shared" si="760"/>
        <v>0</v>
      </c>
      <c r="AE1084" s="2330"/>
      <c r="AF1084" s="2330"/>
      <c r="AG1084" s="2330">
        <f t="shared" si="768"/>
        <v>0</v>
      </c>
      <c r="AH1084" s="2330"/>
      <c r="AI1084" s="2330"/>
      <c r="AJ1084" s="2330">
        <f t="shared" si="761"/>
        <v>0</v>
      </c>
      <c r="AK1084" s="2330"/>
      <c r="AL1084" s="2330"/>
      <c r="AM1084" s="2331">
        <f t="shared" si="762"/>
        <v>0</v>
      </c>
      <c r="AN1084" s="2331"/>
      <c r="AO1084" s="2331"/>
      <c r="AP1084" s="2331"/>
      <c r="AQ1084" s="2332">
        <f t="shared" si="763"/>
        <v>0</v>
      </c>
      <c r="AR1084" s="2332"/>
      <c r="AS1084" s="2332"/>
      <c r="AT1084" s="2332">
        <f t="shared" si="764"/>
        <v>0</v>
      </c>
      <c r="AV1084" s="151" t="str">
        <f t="shared" si="757"/>
        <v>ELECTRICAL</v>
      </c>
      <c r="AW1084" s="681"/>
      <c r="AX1084" s="230"/>
      <c r="AY1084" s="230"/>
      <c r="AZ1084" s="679"/>
      <c r="BA1084" s="49">
        <f t="shared" si="765"/>
        <v>0</v>
      </c>
      <c r="BB1084" s="49">
        <f t="shared" si="769"/>
        <v>0</v>
      </c>
      <c r="BC1084" s="49">
        <f t="shared" si="770"/>
        <v>0</v>
      </c>
      <c r="BD1084" s="49">
        <f t="shared" si="766"/>
        <v>0</v>
      </c>
      <c r="BE1084" s="49">
        <f t="shared" si="771"/>
        <v>0</v>
      </c>
      <c r="BF1084" s="49">
        <f t="shared" si="758"/>
        <v>0</v>
      </c>
      <c r="BG1084" s="49">
        <f t="shared" si="759"/>
        <v>0</v>
      </c>
      <c r="BI1084" s="134">
        <f t="shared" si="772"/>
        <v>0</v>
      </c>
      <c r="BJ1084" s="134">
        <f t="shared" si="767"/>
        <v>0</v>
      </c>
      <c r="BK1084" s="134">
        <f t="shared" si="773"/>
        <v>0</v>
      </c>
    </row>
    <row r="1085" spans="1:63" hidden="1">
      <c r="A1085" s="187"/>
      <c r="B1085" s="2333"/>
      <c r="C1085" s="2333"/>
      <c r="D1085" s="2334" t="s">
        <v>770</v>
      </c>
      <c r="E1085" s="2334"/>
      <c r="F1085" s="2334"/>
      <c r="G1085" s="2334"/>
      <c r="H1085" s="2334"/>
      <c r="I1085" s="2334"/>
      <c r="J1085" s="2334"/>
      <c r="K1085" s="2334"/>
      <c r="L1085" s="2334"/>
      <c r="M1085" s="2334"/>
      <c r="N1085" s="2334"/>
      <c r="O1085" s="2334"/>
      <c r="P1085" s="2324"/>
      <c r="Q1085" s="2324"/>
      <c r="R1085" s="2325"/>
      <c r="S1085" s="2324" t="s">
        <v>2</v>
      </c>
      <c r="T1085" s="2324" t="s">
        <v>2</v>
      </c>
      <c r="U1085" s="2326"/>
      <c r="V1085" s="2327"/>
      <c r="W1085" s="2327"/>
      <c r="X1085" s="2327"/>
      <c r="Y1085" s="2327"/>
      <c r="Z1085" s="2327"/>
      <c r="AA1085" s="2326">
        <v>10</v>
      </c>
      <c r="AB1085" s="2327"/>
      <c r="AC1085" s="2327"/>
      <c r="AD1085" s="2330">
        <f t="shared" si="760"/>
        <v>0</v>
      </c>
      <c r="AE1085" s="2330"/>
      <c r="AF1085" s="2330"/>
      <c r="AG1085" s="2330">
        <f t="shared" si="768"/>
        <v>0</v>
      </c>
      <c r="AH1085" s="2330"/>
      <c r="AI1085" s="2330"/>
      <c r="AJ1085" s="2330">
        <f t="shared" si="761"/>
        <v>0</v>
      </c>
      <c r="AK1085" s="2330"/>
      <c r="AL1085" s="2330"/>
      <c r="AM1085" s="2331">
        <f t="shared" si="762"/>
        <v>0</v>
      </c>
      <c r="AN1085" s="2331"/>
      <c r="AO1085" s="2331"/>
      <c r="AP1085" s="2331"/>
      <c r="AQ1085" s="2332">
        <f t="shared" si="763"/>
        <v>0</v>
      </c>
      <c r="AR1085" s="2332"/>
      <c r="AS1085" s="2332"/>
      <c r="AT1085" s="2332">
        <f t="shared" si="764"/>
        <v>0</v>
      </c>
      <c r="AV1085" s="151" t="str">
        <f t="shared" si="757"/>
        <v>ELECTRICAL</v>
      </c>
      <c r="AW1085" s="681"/>
      <c r="AX1085" s="230"/>
      <c r="AY1085" s="230"/>
      <c r="AZ1085" s="679"/>
      <c r="BA1085" s="49">
        <f t="shared" si="765"/>
        <v>0</v>
      </c>
      <c r="BB1085" s="49">
        <f t="shared" si="769"/>
        <v>0</v>
      </c>
      <c r="BC1085" s="49">
        <f t="shared" si="770"/>
        <v>0</v>
      </c>
      <c r="BD1085" s="49">
        <f t="shared" si="766"/>
        <v>0</v>
      </c>
      <c r="BE1085" s="49">
        <f t="shared" si="771"/>
        <v>0</v>
      </c>
      <c r="BF1085" s="49">
        <f t="shared" si="758"/>
        <v>0</v>
      </c>
      <c r="BG1085" s="49">
        <f t="shared" si="759"/>
        <v>0</v>
      </c>
      <c r="BI1085" s="134">
        <f t="shared" si="772"/>
        <v>0</v>
      </c>
      <c r="BJ1085" s="134">
        <f t="shared" si="767"/>
        <v>0</v>
      </c>
      <c r="BK1085" s="134">
        <f t="shared" si="773"/>
        <v>0</v>
      </c>
    </row>
    <row r="1086" spans="1:63" hidden="1">
      <c r="A1086" s="187"/>
      <c r="B1086" s="2333"/>
      <c r="C1086" s="2333"/>
      <c r="D1086" s="2334" t="s">
        <v>454</v>
      </c>
      <c r="E1086" s="2334"/>
      <c r="F1086" s="2334"/>
      <c r="G1086" s="2334"/>
      <c r="H1086" s="2334"/>
      <c r="I1086" s="2334"/>
      <c r="J1086" s="2334"/>
      <c r="K1086" s="2334"/>
      <c r="L1086" s="2334"/>
      <c r="M1086" s="2334"/>
      <c r="N1086" s="2334"/>
      <c r="O1086" s="2334"/>
      <c r="P1086" s="2324"/>
      <c r="Q1086" s="2324"/>
      <c r="R1086" s="2325"/>
      <c r="S1086" s="2324" t="s">
        <v>2</v>
      </c>
      <c r="T1086" s="2324" t="s">
        <v>2</v>
      </c>
      <c r="U1086" s="2326"/>
      <c r="V1086" s="2327"/>
      <c r="W1086" s="2327"/>
      <c r="X1086" s="2327"/>
      <c r="Y1086" s="2327"/>
      <c r="Z1086" s="2327"/>
      <c r="AA1086" s="2326">
        <v>75</v>
      </c>
      <c r="AB1086" s="2327"/>
      <c r="AC1086" s="2327"/>
      <c r="AD1086" s="2330">
        <f t="shared" si="760"/>
        <v>0</v>
      </c>
      <c r="AE1086" s="2330"/>
      <c r="AF1086" s="2330"/>
      <c r="AG1086" s="2330">
        <f t="shared" si="768"/>
        <v>0</v>
      </c>
      <c r="AH1086" s="2330"/>
      <c r="AI1086" s="2330"/>
      <c r="AJ1086" s="2330">
        <f t="shared" si="761"/>
        <v>0</v>
      </c>
      <c r="AK1086" s="2330"/>
      <c r="AL1086" s="2330"/>
      <c r="AM1086" s="2331">
        <f t="shared" si="762"/>
        <v>0</v>
      </c>
      <c r="AN1086" s="2331"/>
      <c r="AO1086" s="2331"/>
      <c r="AP1086" s="2331"/>
      <c r="AQ1086" s="2332">
        <f t="shared" si="763"/>
        <v>0</v>
      </c>
      <c r="AR1086" s="2332"/>
      <c r="AS1086" s="2332"/>
      <c r="AT1086" s="2332">
        <f t="shared" si="764"/>
        <v>0</v>
      </c>
      <c r="AV1086" s="151" t="str">
        <f t="shared" si="757"/>
        <v>ELECTRICAL</v>
      </c>
      <c r="AW1086" s="681"/>
      <c r="AX1086" s="230"/>
      <c r="AY1086" s="230"/>
      <c r="AZ1086" s="679"/>
      <c r="BA1086" s="49">
        <f t="shared" si="765"/>
        <v>0</v>
      </c>
      <c r="BB1086" s="49">
        <f t="shared" si="769"/>
        <v>0</v>
      </c>
      <c r="BC1086" s="49">
        <f t="shared" si="770"/>
        <v>0</v>
      </c>
      <c r="BD1086" s="49">
        <f t="shared" si="766"/>
        <v>0</v>
      </c>
      <c r="BE1086" s="49">
        <f t="shared" si="771"/>
        <v>0</v>
      </c>
      <c r="BF1086" s="49">
        <f t="shared" si="758"/>
        <v>0</v>
      </c>
      <c r="BG1086" s="49">
        <f t="shared" si="759"/>
        <v>0</v>
      </c>
      <c r="BI1086" s="134">
        <f t="shared" si="772"/>
        <v>0</v>
      </c>
      <c r="BJ1086" s="134">
        <f t="shared" si="767"/>
        <v>0</v>
      </c>
      <c r="BK1086" s="134">
        <f t="shared" si="773"/>
        <v>0</v>
      </c>
    </row>
    <row r="1087" spans="1:63" hidden="1">
      <c r="A1087" s="187"/>
      <c r="B1087" s="2321"/>
      <c r="C1087" s="2322"/>
      <c r="D1087" s="2334" t="s">
        <v>86</v>
      </c>
      <c r="E1087" s="2334"/>
      <c r="F1087" s="2334"/>
      <c r="G1087" s="2334"/>
      <c r="H1087" s="2334"/>
      <c r="I1087" s="2334"/>
      <c r="J1087" s="2334"/>
      <c r="K1087" s="2334"/>
      <c r="L1087" s="2334"/>
      <c r="M1087" s="2334"/>
      <c r="N1087" s="2334"/>
      <c r="O1087" s="2334"/>
      <c r="P1087" s="2324"/>
      <c r="Q1087" s="2324"/>
      <c r="R1087" s="2325"/>
      <c r="S1087" s="2324" t="s">
        <v>2</v>
      </c>
      <c r="T1087" s="2324" t="s">
        <v>2</v>
      </c>
      <c r="U1087" s="2326"/>
      <c r="V1087" s="2327"/>
      <c r="W1087" s="2327"/>
      <c r="X1087" s="2327">
        <v>40</v>
      </c>
      <c r="Y1087" s="2327"/>
      <c r="Z1087" s="2327">
        <v>40</v>
      </c>
      <c r="AA1087" s="2326">
        <v>85</v>
      </c>
      <c r="AB1087" s="2327"/>
      <c r="AC1087" s="2327"/>
      <c r="AD1087" s="2330">
        <f t="shared" si="760"/>
        <v>0</v>
      </c>
      <c r="AE1087" s="2330"/>
      <c r="AF1087" s="2330"/>
      <c r="AG1087" s="2330">
        <f t="shared" si="768"/>
        <v>0</v>
      </c>
      <c r="AH1087" s="2330"/>
      <c r="AI1087" s="2330"/>
      <c r="AJ1087" s="2330">
        <f t="shared" si="761"/>
        <v>0</v>
      </c>
      <c r="AK1087" s="2330"/>
      <c r="AL1087" s="2330"/>
      <c r="AM1087" s="2331">
        <f t="shared" si="762"/>
        <v>0</v>
      </c>
      <c r="AN1087" s="2331"/>
      <c r="AO1087" s="2331"/>
      <c r="AP1087" s="2331"/>
      <c r="AQ1087" s="2332">
        <f t="shared" si="763"/>
        <v>0</v>
      </c>
      <c r="AR1087" s="2332"/>
      <c r="AS1087" s="2332"/>
      <c r="AT1087" s="2332">
        <f t="shared" si="764"/>
        <v>0</v>
      </c>
      <c r="AV1087" s="151" t="str">
        <f t="shared" si="757"/>
        <v>ELECTRICAL</v>
      </c>
      <c r="AW1087" s="681"/>
      <c r="AX1087" s="230"/>
      <c r="AY1087" s="230"/>
      <c r="AZ1087" s="679"/>
      <c r="BA1087" s="49">
        <f t="shared" si="765"/>
        <v>0</v>
      </c>
      <c r="BB1087" s="49">
        <f t="shared" si="769"/>
        <v>0</v>
      </c>
      <c r="BC1087" s="49">
        <f t="shared" si="770"/>
        <v>0</v>
      </c>
      <c r="BD1087" s="49">
        <f t="shared" si="766"/>
        <v>0</v>
      </c>
      <c r="BE1087" s="49">
        <f t="shared" si="771"/>
        <v>0</v>
      </c>
      <c r="BF1087" s="49">
        <f t="shared" si="758"/>
        <v>0</v>
      </c>
      <c r="BG1087" s="49">
        <f t="shared" si="759"/>
        <v>0</v>
      </c>
      <c r="BI1087" s="134">
        <f t="shared" si="772"/>
        <v>0</v>
      </c>
      <c r="BJ1087" s="134">
        <f t="shared" si="767"/>
        <v>0</v>
      </c>
      <c r="BK1087" s="134">
        <f t="shared" si="773"/>
        <v>0</v>
      </c>
    </row>
    <row r="1088" spans="1:63" hidden="1">
      <c r="A1088" s="187"/>
      <c r="B1088" s="2321"/>
      <c r="C1088" s="2322"/>
      <c r="D1088" s="2334" t="s">
        <v>251</v>
      </c>
      <c r="E1088" s="2334"/>
      <c r="F1088" s="2334"/>
      <c r="G1088" s="2334"/>
      <c r="H1088" s="2334"/>
      <c r="I1088" s="2334"/>
      <c r="J1088" s="2334"/>
      <c r="K1088" s="2334"/>
      <c r="L1088" s="2334"/>
      <c r="M1088" s="2334"/>
      <c r="N1088" s="2334"/>
      <c r="O1088" s="2334"/>
      <c r="P1088" s="2324"/>
      <c r="Q1088" s="2324"/>
      <c r="R1088" s="2325"/>
      <c r="S1088" s="2324" t="s">
        <v>2</v>
      </c>
      <c r="T1088" s="2324" t="s">
        <v>2</v>
      </c>
      <c r="U1088" s="2326"/>
      <c r="V1088" s="2327"/>
      <c r="W1088" s="2327"/>
      <c r="X1088" s="2327">
        <v>15</v>
      </c>
      <c r="Y1088" s="2327"/>
      <c r="Z1088" s="2327">
        <v>15</v>
      </c>
      <c r="AA1088" s="2326">
        <v>25</v>
      </c>
      <c r="AB1088" s="2327"/>
      <c r="AC1088" s="2327"/>
      <c r="AD1088" s="2330">
        <f t="shared" si="760"/>
        <v>0</v>
      </c>
      <c r="AE1088" s="2330"/>
      <c r="AF1088" s="2330"/>
      <c r="AG1088" s="2330">
        <f t="shared" si="768"/>
        <v>0</v>
      </c>
      <c r="AH1088" s="2330"/>
      <c r="AI1088" s="2330"/>
      <c r="AJ1088" s="2330">
        <f t="shared" si="761"/>
        <v>0</v>
      </c>
      <c r="AK1088" s="2330"/>
      <c r="AL1088" s="2330"/>
      <c r="AM1088" s="2331">
        <f t="shared" si="762"/>
        <v>0</v>
      </c>
      <c r="AN1088" s="2331"/>
      <c r="AO1088" s="2331"/>
      <c r="AP1088" s="2331"/>
      <c r="AQ1088" s="2332">
        <f t="shared" si="763"/>
        <v>0</v>
      </c>
      <c r="AR1088" s="2332"/>
      <c r="AS1088" s="2332"/>
      <c r="AT1088" s="2332">
        <f t="shared" si="764"/>
        <v>0</v>
      </c>
      <c r="AV1088" s="151" t="str">
        <f t="shared" si="757"/>
        <v>ELECTRICAL</v>
      </c>
      <c r="AW1088" s="681"/>
      <c r="AX1088" s="230"/>
      <c r="AY1088" s="230"/>
      <c r="AZ1088" s="679"/>
      <c r="BA1088" s="49">
        <f t="shared" si="765"/>
        <v>0</v>
      </c>
      <c r="BB1088" s="49">
        <f t="shared" si="769"/>
        <v>0</v>
      </c>
      <c r="BC1088" s="49">
        <f t="shared" si="770"/>
        <v>0</v>
      </c>
      <c r="BD1088" s="49">
        <f t="shared" si="766"/>
        <v>0</v>
      </c>
      <c r="BE1088" s="49">
        <f t="shared" si="771"/>
        <v>0</v>
      </c>
      <c r="BF1088" s="49">
        <f t="shared" si="758"/>
        <v>0</v>
      </c>
      <c r="BG1088" s="49">
        <f t="shared" si="759"/>
        <v>0</v>
      </c>
      <c r="BI1088" s="134">
        <f t="shared" si="772"/>
        <v>0</v>
      </c>
      <c r="BJ1088" s="134">
        <f t="shared" si="767"/>
        <v>0</v>
      </c>
      <c r="BK1088" s="134">
        <f t="shared" si="773"/>
        <v>0</v>
      </c>
    </row>
    <row r="1089" spans="1:63" hidden="1">
      <c r="A1089" s="187"/>
      <c r="B1089" s="2321"/>
      <c r="C1089" s="2322"/>
      <c r="D1089" s="2334" t="s">
        <v>252</v>
      </c>
      <c r="E1089" s="2334"/>
      <c r="F1089" s="2334"/>
      <c r="G1089" s="2334"/>
      <c r="H1089" s="2334"/>
      <c r="I1089" s="2334"/>
      <c r="J1089" s="2334"/>
      <c r="K1089" s="2334"/>
      <c r="L1089" s="2334"/>
      <c r="M1089" s="2334"/>
      <c r="N1089" s="2334"/>
      <c r="O1089" s="2334"/>
      <c r="P1089" s="2324"/>
      <c r="Q1089" s="2324"/>
      <c r="R1089" s="2325"/>
      <c r="S1089" s="2324" t="s">
        <v>2</v>
      </c>
      <c r="T1089" s="2324" t="s">
        <v>2</v>
      </c>
      <c r="U1089" s="2326"/>
      <c r="V1089" s="2327"/>
      <c r="W1089" s="2327"/>
      <c r="X1089" s="2327">
        <v>20</v>
      </c>
      <c r="Y1089" s="2327"/>
      <c r="Z1089" s="2327">
        <v>20</v>
      </c>
      <c r="AA1089" s="2326">
        <v>25</v>
      </c>
      <c r="AB1089" s="2327"/>
      <c r="AC1089" s="2327"/>
      <c r="AD1089" s="2330">
        <f t="shared" si="760"/>
        <v>0</v>
      </c>
      <c r="AE1089" s="2330"/>
      <c r="AF1089" s="2330"/>
      <c r="AG1089" s="2330">
        <f t="shared" si="768"/>
        <v>0</v>
      </c>
      <c r="AH1089" s="2330"/>
      <c r="AI1089" s="2330"/>
      <c r="AJ1089" s="2330">
        <f t="shared" si="761"/>
        <v>0</v>
      </c>
      <c r="AK1089" s="2330"/>
      <c r="AL1089" s="2330"/>
      <c r="AM1089" s="2331">
        <f t="shared" si="762"/>
        <v>0</v>
      </c>
      <c r="AN1089" s="2331"/>
      <c r="AO1089" s="2331"/>
      <c r="AP1089" s="2331"/>
      <c r="AQ1089" s="2332">
        <f t="shared" si="763"/>
        <v>0</v>
      </c>
      <c r="AR1089" s="2332"/>
      <c r="AS1089" s="2332"/>
      <c r="AT1089" s="2332">
        <f t="shared" si="764"/>
        <v>0</v>
      </c>
      <c r="AV1089" s="151" t="str">
        <f t="shared" si="757"/>
        <v>ELECTRICAL</v>
      </c>
      <c r="AW1089" s="681"/>
      <c r="AX1089" s="230"/>
      <c r="AY1089" s="230"/>
      <c r="AZ1089" s="679"/>
      <c r="BA1089" s="49">
        <f t="shared" si="765"/>
        <v>0</v>
      </c>
      <c r="BB1089" s="49">
        <f t="shared" si="769"/>
        <v>0</v>
      </c>
      <c r="BC1089" s="49">
        <f t="shared" si="770"/>
        <v>0</v>
      </c>
      <c r="BD1089" s="49">
        <f t="shared" si="766"/>
        <v>0</v>
      </c>
      <c r="BE1089" s="49">
        <f t="shared" si="771"/>
        <v>0</v>
      </c>
      <c r="BF1089" s="49">
        <f t="shared" si="758"/>
        <v>0</v>
      </c>
      <c r="BG1089" s="49">
        <f t="shared" si="759"/>
        <v>0</v>
      </c>
      <c r="BI1089" s="134">
        <f t="shared" si="772"/>
        <v>0</v>
      </c>
      <c r="BJ1089" s="134">
        <f t="shared" si="767"/>
        <v>0</v>
      </c>
      <c r="BK1089" s="134">
        <f t="shared" si="773"/>
        <v>0</v>
      </c>
    </row>
    <row r="1090" spans="1:63" hidden="1">
      <c r="A1090" s="187"/>
      <c r="B1090" s="2333"/>
      <c r="C1090" s="2333"/>
      <c r="D1090" s="2337" t="s">
        <v>253</v>
      </c>
      <c r="E1090" s="2337"/>
      <c r="F1090" s="2337"/>
      <c r="G1090" s="2337"/>
      <c r="H1090" s="2337"/>
      <c r="I1090" s="2337"/>
      <c r="J1090" s="2337"/>
      <c r="K1090" s="2337"/>
      <c r="L1090" s="2337"/>
      <c r="M1090" s="2337"/>
      <c r="N1090" s="2337"/>
      <c r="O1090" s="2337"/>
      <c r="P1090" s="2324"/>
      <c r="Q1090" s="2324"/>
      <c r="R1090" s="2325"/>
      <c r="S1090" s="2324"/>
      <c r="T1090" s="2324" t="s">
        <v>2</v>
      </c>
      <c r="U1090" s="2326"/>
      <c r="V1090" s="2327"/>
      <c r="W1090" s="2327"/>
      <c r="X1090" s="2327">
        <v>35</v>
      </c>
      <c r="Y1090" s="2327"/>
      <c r="Z1090" s="2327">
        <v>35</v>
      </c>
      <c r="AA1090" s="2326">
        <v>25</v>
      </c>
      <c r="AB1090" s="2327"/>
      <c r="AC1090" s="2327"/>
      <c r="AD1090" s="2330">
        <f t="shared" si="760"/>
        <v>0</v>
      </c>
      <c r="AE1090" s="2330"/>
      <c r="AF1090" s="2330"/>
      <c r="AG1090" s="2330">
        <f t="shared" si="768"/>
        <v>0</v>
      </c>
      <c r="AH1090" s="2330"/>
      <c r="AI1090" s="2330"/>
      <c r="AJ1090" s="2330">
        <f t="shared" si="761"/>
        <v>0</v>
      </c>
      <c r="AK1090" s="2330"/>
      <c r="AL1090" s="2330"/>
      <c r="AM1090" s="2331">
        <f t="shared" si="762"/>
        <v>0</v>
      </c>
      <c r="AN1090" s="2331"/>
      <c r="AO1090" s="2331"/>
      <c r="AP1090" s="2331"/>
      <c r="AQ1090" s="2332">
        <f t="shared" si="763"/>
        <v>0</v>
      </c>
      <c r="AR1090" s="2332"/>
      <c r="AS1090" s="2332"/>
      <c r="AT1090" s="2332">
        <f t="shared" si="764"/>
        <v>0</v>
      </c>
      <c r="AV1090" s="151" t="str">
        <f t="shared" si="757"/>
        <v>ELECTRICAL</v>
      </c>
      <c r="AW1090" s="681"/>
      <c r="AX1090" s="230"/>
      <c r="AY1090" s="230"/>
      <c r="AZ1090" s="679"/>
      <c r="BA1090" s="49">
        <f t="shared" si="765"/>
        <v>0</v>
      </c>
      <c r="BB1090" s="49">
        <f t="shared" si="769"/>
        <v>0</v>
      </c>
      <c r="BC1090" s="49">
        <f t="shared" si="770"/>
        <v>0</v>
      </c>
      <c r="BD1090" s="49">
        <f t="shared" si="766"/>
        <v>0</v>
      </c>
      <c r="BE1090" s="49">
        <f t="shared" si="771"/>
        <v>0</v>
      </c>
      <c r="BF1090" s="49">
        <f t="shared" si="758"/>
        <v>0</v>
      </c>
      <c r="BG1090" s="49">
        <f t="shared" si="759"/>
        <v>0</v>
      </c>
      <c r="BI1090" s="134">
        <f t="shared" si="772"/>
        <v>0</v>
      </c>
      <c r="BJ1090" s="134">
        <f t="shared" si="767"/>
        <v>0</v>
      </c>
      <c r="BK1090" s="134">
        <f t="shared" si="773"/>
        <v>0</v>
      </c>
    </row>
    <row r="1091" spans="1:63" hidden="1">
      <c r="A1091" s="187"/>
      <c r="B1091" s="2321"/>
      <c r="C1091" s="2322"/>
      <c r="D1091" s="2334" t="s">
        <v>410</v>
      </c>
      <c r="E1091" s="2334"/>
      <c r="F1091" s="2334"/>
      <c r="G1091" s="2334"/>
      <c r="H1091" s="2334"/>
      <c r="I1091" s="2334"/>
      <c r="J1091" s="2334"/>
      <c r="K1091" s="2334"/>
      <c r="L1091" s="2334"/>
      <c r="M1091" s="2334"/>
      <c r="N1091" s="2334"/>
      <c r="O1091" s="2334"/>
      <c r="P1091" s="2324"/>
      <c r="Q1091" s="2324"/>
      <c r="R1091" s="2325"/>
      <c r="S1091" s="2324" t="s">
        <v>2</v>
      </c>
      <c r="T1091" s="2324" t="s">
        <v>2</v>
      </c>
      <c r="U1091" s="2326"/>
      <c r="V1091" s="2327"/>
      <c r="W1091" s="2327"/>
      <c r="X1091" s="2327">
        <v>100</v>
      </c>
      <c r="Y1091" s="2327"/>
      <c r="Z1091" s="2327">
        <v>100</v>
      </c>
      <c r="AA1091" s="2326">
        <v>50</v>
      </c>
      <c r="AB1091" s="2327"/>
      <c r="AC1091" s="2327"/>
      <c r="AD1091" s="2330">
        <f t="shared" si="760"/>
        <v>0</v>
      </c>
      <c r="AE1091" s="2330"/>
      <c r="AF1091" s="2330"/>
      <c r="AG1091" s="2330">
        <f t="shared" si="768"/>
        <v>0</v>
      </c>
      <c r="AH1091" s="2330"/>
      <c r="AI1091" s="2330"/>
      <c r="AJ1091" s="2330">
        <f t="shared" si="761"/>
        <v>0</v>
      </c>
      <c r="AK1091" s="2330"/>
      <c r="AL1091" s="2330"/>
      <c r="AM1091" s="2331">
        <f t="shared" si="762"/>
        <v>0</v>
      </c>
      <c r="AN1091" s="2331"/>
      <c r="AO1091" s="2331"/>
      <c r="AP1091" s="2331"/>
      <c r="AQ1091" s="2332">
        <f t="shared" si="763"/>
        <v>0</v>
      </c>
      <c r="AR1091" s="2332"/>
      <c r="AS1091" s="2332"/>
      <c r="AT1091" s="2332">
        <f t="shared" si="764"/>
        <v>0</v>
      </c>
      <c r="AV1091" s="151" t="str">
        <f t="shared" si="757"/>
        <v>ELECTRICAL</v>
      </c>
      <c r="AW1091" s="681"/>
      <c r="AX1091" s="230"/>
      <c r="AY1091" s="230"/>
      <c r="AZ1091" s="679"/>
      <c r="BA1091" s="49">
        <f t="shared" si="765"/>
        <v>0</v>
      </c>
      <c r="BB1091" s="49">
        <f t="shared" si="769"/>
        <v>0</v>
      </c>
      <c r="BC1091" s="49">
        <f t="shared" si="770"/>
        <v>0</v>
      </c>
      <c r="BD1091" s="49">
        <f t="shared" si="766"/>
        <v>0</v>
      </c>
      <c r="BE1091" s="49">
        <f t="shared" si="771"/>
        <v>0</v>
      </c>
      <c r="BF1091" s="49">
        <f t="shared" si="758"/>
        <v>0</v>
      </c>
      <c r="BG1091" s="49">
        <f t="shared" si="759"/>
        <v>0</v>
      </c>
      <c r="BI1091" s="134">
        <f t="shared" si="772"/>
        <v>0</v>
      </c>
      <c r="BJ1091" s="134">
        <f t="shared" si="767"/>
        <v>0</v>
      </c>
      <c r="BK1091" s="134">
        <f t="shared" si="773"/>
        <v>0</v>
      </c>
    </row>
    <row r="1092" spans="1:63" hidden="1">
      <c r="A1092" s="187"/>
      <c r="B1092" s="2321"/>
      <c r="C1092" s="2322"/>
      <c r="D1092" s="2334" t="s">
        <v>496</v>
      </c>
      <c r="E1092" s="2334"/>
      <c r="F1092" s="2334"/>
      <c r="G1092" s="2334"/>
      <c r="H1092" s="2334"/>
      <c r="I1092" s="2334"/>
      <c r="J1092" s="2334"/>
      <c r="K1092" s="2334"/>
      <c r="L1092" s="2334"/>
      <c r="M1092" s="2334"/>
      <c r="N1092" s="2334"/>
      <c r="O1092" s="2334"/>
      <c r="P1092" s="2324"/>
      <c r="Q1092" s="2324"/>
      <c r="R1092" s="2325"/>
      <c r="S1092" s="2324" t="s">
        <v>2</v>
      </c>
      <c r="T1092" s="2324" t="s">
        <v>2</v>
      </c>
      <c r="U1092" s="2326"/>
      <c r="V1092" s="2327"/>
      <c r="W1092" s="2327"/>
      <c r="X1092" s="2327">
        <v>175</v>
      </c>
      <c r="Y1092" s="2327"/>
      <c r="Z1092" s="2327">
        <v>150</v>
      </c>
      <c r="AA1092" s="2326">
        <v>100</v>
      </c>
      <c r="AB1092" s="2327"/>
      <c r="AC1092" s="2327"/>
      <c r="AD1092" s="2330">
        <f t="shared" si="760"/>
        <v>0</v>
      </c>
      <c r="AE1092" s="2330"/>
      <c r="AF1092" s="2330"/>
      <c r="AG1092" s="2330">
        <f t="shared" si="768"/>
        <v>0</v>
      </c>
      <c r="AH1092" s="2330"/>
      <c r="AI1092" s="2330"/>
      <c r="AJ1092" s="2330">
        <f t="shared" si="761"/>
        <v>0</v>
      </c>
      <c r="AK1092" s="2330"/>
      <c r="AL1092" s="2330"/>
      <c r="AM1092" s="2331">
        <f t="shared" si="762"/>
        <v>0</v>
      </c>
      <c r="AN1092" s="2331"/>
      <c r="AO1092" s="2331"/>
      <c r="AP1092" s="2331"/>
      <c r="AQ1092" s="2332">
        <f t="shared" si="763"/>
        <v>0</v>
      </c>
      <c r="AR1092" s="2332"/>
      <c r="AS1092" s="2332"/>
      <c r="AT1092" s="2332">
        <f t="shared" si="764"/>
        <v>0</v>
      </c>
      <c r="AV1092" s="151" t="str">
        <f t="shared" si="757"/>
        <v>ELECTRICAL</v>
      </c>
      <c r="AW1092" s="681"/>
      <c r="AX1092" s="230"/>
      <c r="AY1092" s="230"/>
      <c r="AZ1092" s="679"/>
      <c r="BA1092" s="49">
        <f t="shared" si="765"/>
        <v>0</v>
      </c>
      <c r="BB1092" s="49">
        <f t="shared" si="769"/>
        <v>0</v>
      </c>
      <c r="BC1092" s="49">
        <f t="shared" si="770"/>
        <v>0</v>
      </c>
      <c r="BD1092" s="49">
        <f t="shared" si="766"/>
        <v>0</v>
      </c>
      <c r="BE1092" s="49">
        <f t="shared" si="771"/>
        <v>0</v>
      </c>
      <c r="BF1092" s="49">
        <f t="shared" si="758"/>
        <v>0</v>
      </c>
      <c r="BG1092" s="49">
        <f t="shared" si="759"/>
        <v>0</v>
      </c>
      <c r="BI1092" s="134">
        <f t="shared" si="772"/>
        <v>0</v>
      </c>
      <c r="BJ1092" s="134">
        <f t="shared" si="767"/>
        <v>0</v>
      </c>
      <c r="BK1092" s="134">
        <f t="shared" si="773"/>
        <v>0</v>
      </c>
    </row>
    <row r="1093" spans="1:63" hidden="1">
      <c r="A1093" s="187"/>
      <c r="B1093" s="2321"/>
      <c r="C1093" s="2322"/>
      <c r="D1093" s="2334" t="s">
        <v>254</v>
      </c>
      <c r="E1093" s="2334"/>
      <c r="F1093" s="2334"/>
      <c r="G1093" s="2334"/>
      <c r="H1093" s="2334"/>
      <c r="I1093" s="2334"/>
      <c r="J1093" s="2334"/>
      <c r="K1093" s="2334"/>
      <c r="L1093" s="2334"/>
      <c r="M1093" s="2334"/>
      <c r="N1093" s="2334"/>
      <c r="O1093" s="2334"/>
      <c r="P1093" s="2324"/>
      <c r="Q1093" s="2324"/>
      <c r="R1093" s="2325"/>
      <c r="S1093" s="2324" t="s">
        <v>2</v>
      </c>
      <c r="T1093" s="2324" t="s">
        <v>2</v>
      </c>
      <c r="U1093" s="2326"/>
      <c r="V1093" s="2327"/>
      <c r="W1093" s="2327"/>
      <c r="X1093" s="2327">
        <v>35</v>
      </c>
      <c r="Y1093" s="2327"/>
      <c r="Z1093" s="2327">
        <v>35</v>
      </c>
      <c r="AA1093" s="2326">
        <v>25</v>
      </c>
      <c r="AB1093" s="2327"/>
      <c r="AC1093" s="2327"/>
      <c r="AD1093" s="2330">
        <f t="shared" si="760"/>
        <v>0</v>
      </c>
      <c r="AE1093" s="2330"/>
      <c r="AF1093" s="2330"/>
      <c r="AG1093" s="2330">
        <f t="shared" si="768"/>
        <v>0</v>
      </c>
      <c r="AH1093" s="2330"/>
      <c r="AI1093" s="2330"/>
      <c r="AJ1093" s="2330">
        <f t="shared" si="761"/>
        <v>0</v>
      </c>
      <c r="AK1093" s="2330"/>
      <c r="AL1093" s="2330"/>
      <c r="AM1093" s="2331">
        <f t="shared" si="762"/>
        <v>0</v>
      </c>
      <c r="AN1093" s="2331"/>
      <c r="AO1093" s="2331"/>
      <c r="AP1093" s="2331"/>
      <c r="AQ1093" s="2332">
        <f t="shared" si="763"/>
        <v>0</v>
      </c>
      <c r="AR1093" s="2332"/>
      <c r="AS1093" s="2332"/>
      <c r="AT1093" s="2332">
        <f t="shared" si="764"/>
        <v>0</v>
      </c>
      <c r="AV1093" s="151" t="str">
        <f t="shared" si="757"/>
        <v>ELECTRICAL</v>
      </c>
      <c r="AW1093" s="681"/>
      <c r="AX1093" s="230"/>
      <c r="AY1093" s="230"/>
      <c r="AZ1093" s="679"/>
      <c r="BA1093" s="49">
        <f t="shared" si="765"/>
        <v>0</v>
      </c>
      <c r="BB1093" s="49">
        <f t="shared" si="769"/>
        <v>0</v>
      </c>
      <c r="BC1093" s="49">
        <f t="shared" si="770"/>
        <v>0</v>
      </c>
      <c r="BD1093" s="49">
        <f t="shared" si="766"/>
        <v>0</v>
      </c>
      <c r="BE1093" s="49">
        <f t="shared" si="771"/>
        <v>0</v>
      </c>
      <c r="BF1093" s="49">
        <f t="shared" si="758"/>
        <v>0</v>
      </c>
      <c r="BG1093" s="49">
        <f t="shared" si="759"/>
        <v>0</v>
      </c>
      <c r="BI1093" s="134">
        <f t="shared" si="772"/>
        <v>0</v>
      </c>
      <c r="BJ1093" s="134">
        <f t="shared" si="767"/>
        <v>0</v>
      </c>
      <c r="BK1093" s="134">
        <f t="shared" si="773"/>
        <v>0</v>
      </c>
    </row>
    <row r="1094" spans="1:63" hidden="1">
      <c r="A1094" s="187"/>
      <c r="B1094" s="2321"/>
      <c r="C1094" s="2322"/>
      <c r="D1094" s="2334" t="s">
        <v>255</v>
      </c>
      <c r="E1094" s="2334"/>
      <c r="F1094" s="2334"/>
      <c r="G1094" s="2334"/>
      <c r="H1094" s="2334"/>
      <c r="I1094" s="2334"/>
      <c r="J1094" s="2334"/>
      <c r="K1094" s="2334"/>
      <c r="L1094" s="2334"/>
      <c r="M1094" s="2334"/>
      <c r="N1094" s="2334"/>
      <c r="O1094" s="2334"/>
      <c r="P1094" s="2324"/>
      <c r="Q1094" s="2324"/>
      <c r="R1094" s="2325"/>
      <c r="S1094" s="2324" t="s">
        <v>2</v>
      </c>
      <c r="T1094" s="2324" t="s">
        <v>2</v>
      </c>
      <c r="U1094" s="2326"/>
      <c r="V1094" s="2327"/>
      <c r="W1094" s="2327"/>
      <c r="X1094" s="2327">
        <v>115</v>
      </c>
      <c r="Y1094" s="2327"/>
      <c r="Z1094" s="2327">
        <v>115</v>
      </c>
      <c r="AA1094" s="2326">
        <v>75</v>
      </c>
      <c r="AB1094" s="2327"/>
      <c r="AC1094" s="2327"/>
      <c r="AD1094" s="2330">
        <f t="shared" si="760"/>
        <v>0</v>
      </c>
      <c r="AE1094" s="2330"/>
      <c r="AF1094" s="2330"/>
      <c r="AG1094" s="2330">
        <f t="shared" si="768"/>
        <v>0</v>
      </c>
      <c r="AH1094" s="2330"/>
      <c r="AI1094" s="2330"/>
      <c r="AJ1094" s="2330">
        <f t="shared" si="761"/>
        <v>0</v>
      </c>
      <c r="AK1094" s="2330"/>
      <c r="AL1094" s="2330"/>
      <c r="AM1094" s="2331">
        <f t="shared" si="762"/>
        <v>0</v>
      </c>
      <c r="AN1094" s="2331"/>
      <c r="AO1094" s="2331"/>
      <c r="AP1094" s="2331"/>
      <c r="AQ1094" s="2332">
        <f t="shared" si="763"/>
        <v>0</v>
      </c>
      <c r="AR1094" s="2332"/>
      <c r="AS1094" s="2332"/>
      <c r="AT1094" s="2332">
        <f t="shared" si="764"/>
        <v>0</v>
      </c>
      <c r="AV1094" s="151" t="str">
        <f t="shared" si="757"/>
        <v>ELECTRICAL</v>
      </c>
      <c r="AW1094" s="681"/>
      <c r="AX1094" s="230"/>
      <c r="AY1094" s="230"/>
      <c r="AZ1094" s="679"/>
      <c r="BA1094" s="49">
        <f t="shared" si="765"/>
        <v>0</v>
      </c>
      <c r="BB1094" s="49">
        <f t="shared" si="769"/>
        <v>0</v>
      </c>
      <c r="BC1094" s="49">
        <f t="shared" si="770"/>
        <v>0</v>
      </c>
      <c r="BD1094" s="49">
        <f t="shared" si="766"/>
        <v>0</v>
      </c>
      <c r="BE1094" s="49">
        <f t="shared" si="771"/>
        <v>0</v>
      </c>
      <c r="BF1094" s="49">
        <f t="shared" si="758"/>
        <v>0</v>
      </c>
      <c r="BG1094" s="49">
        <f t="shared" si="759"/>
        <v>0</v>
      </c>
      <c r="BI1094" s="134">
        <f t="shared" si="772"/>
        <v>0</v>
      </c>
      <c r="BJ1094" s="134">
        <f t="shared" si="767"/>
        <v>0</v>
      </c>
      <c r="BK1094" s="134">
        <f t="shared" si="773"/>
        <v>0</v>
      </c>
    </row>
    <row r="1095" spans="1:63" hidden="1">
      <c r="A1095" s="187"/>
      <c r="B1095" s="2333"/>
      <c r="C1095" s="2333"/>
      <c r="D1095" s="2334" t="s">
        <v>256</v>
      </c>
      <c r="E1095" s="2334"/>
      <c r="F1095" s="2334"/>
      <c r="G1095" s="2334"/>
      <c r="H1095" s="2334"/>
      <c r="I1095" s="2334"/>
      <c r="J1095" s="2334"/>
      <c r="K1095" s="2334"/>
      <c r="L1095" s="2334"/>
      <c r="M1095" s="2334"/>
      <c r="N1095" s="2334"/>
      <c r="O1095" s="2334"/>
      <c r="P1095" s="2324"/>
      <c r="Q1095" s="2324"/>
      <c r="R1095" s="2325"/>
      <c r="S1095" s="2324" t="s">
        <v>2</v>
      </c>
      <c r="T1095" s="2324" t="s">
        <v>2</v>
      </c>
      <c r="U1095" s="2326"/>
      <c r="V1095" s="2327"/>
      <c r="W1095" s="2327"/>
      <c r="X1095" s="2327">
        <v>85</v>
      </c>
      <c r="Y1095" s="2327"/>
      <c r="Z1095" s="2327">
        <v>85</v>
      </c>
      <c r="AA1095" s="2326">
        <v>50</v>
      </c>
      <c r="AB1095" s="2327"/>
      <c r="AC1095" s="2327"/>
      <c r="AD1095" s="2330">
        <f t="shared" si="760"/>
        <v>0</v>
      </c>
      <c r="AE1095" s="2330"/>
      <c r="AF1095" s="2330"/>
      <c r="AG1095" s="2330">
        <f t="shared" si="768"/>
        <v>0</v>
      </c>
      <c r="AH1095" s="2330"/>
      <c r="AI1095" s="2330"/>
      <c r="AJ1095" s="2330">
        <f t="shared" si="761"/>
        <v>0</v>
      </c>
      <c r="AK1095" s="2330"/>
      <c r="AL1095" s="2330"/>
      <c r="AM1095" s="2331">
        <f t="shared" si="762"/>
        <v>0</v>
      </c>
      <c r="AN1095" s="2331"/>
      <c r="AO1095" s="2331"/>
      <c r="AP1095" s="2331"/>
      <c r="AQ1095" s="2332">
        <f t="shared" si="763"/>
        <v>0</v>
      </c>
      <c r="AR1095" s="2332"/>
      <c r="AS1095" s="2332"/>
      <c r="AT1095" s="2332">
        <f t="shared" si="764"/>
        <v>0</v>
      </c>
      <c r="AV1095" s="151" t="str">
        <f t="shared" si="757"/>
        <v>ELECTRICAL</v>
      </c>
      <c r="AW1095" s="681" t="s">
        <v>46</v>
      </c>
      <c r="AX1095" s="230"/>
      <c r="AY1095" s="230"/>
      <c r="AZ1095" s="679"/>
      <c r="BA1095" s="49">
        <f t="shared" si="765"/>
        <v>0</v>
      </c>
      <c r="BB1095" s="49">
        <f t="shared" si="769"/>
        <v>0</v>
      </c>
      <c r="BC1095" s="49">
        <f t="shared" si="770"/>
        <v>0</v>
      </c>
      <c r="BD1095" s="49">
        <f t="shared" si="766"/>
        <v>0</v>
      </c>
      <c r="BE1095" s="49">
        <f t="shared" si="771"/>
        <v>0</v>
      </c>
      <c r="BF1095" s="49">
        <f t="shared" si="758"/>
        <v>0</v>
      </c>
      <c r="BG1095" s="49">
        <f t="shared" si="759"/>
        <v>0</v>
      </c>
      <c r="BI1095" s="134">
        <f t="shared" si="772"/>
        <v>0</v>
      </c>
      <c r="BJ1095" s="134">
        <f t="shared" si="767"/>
        <v>0</v>
      </c>
      <c r="BK1095" s="134">
        <f t="shared" si="773"/>
        <v>0</v>
      </c>
    </row>
    <row r="1096" spans="1:63" hidden="1">
      <c r="A1096" s="187"/>
      <c r="B1096" s="2333"/>
      <c r="C1096" s="2333"/>
      <c r="D1096" s="2334" t="s">
        <v>28</v>
      </c>
      <c r="E1096" s="2334"/>
      <c r="F1096" s="2334"/>
      <c r="G1096" s="2334"/>
      <c r="H1096" s="2334"/>
      <c r="I1096" s="2334"/>
      <c r="J1096" s="2334"/>
      <c r="K1096" s="2334"/>
      <c r="L1096" s="2334"/>
      <c r="M1096" s="2334"/>
      <c r="N1096" s="2334"/>
      <c r="O1096" s="2334"/>
      <c r="P1096" s="2324"/>
      <c r="Q1096" s="2324"/>
      <c r="R1096" s="2325"/>
      <c r="S1096" s="2324" t="s">
        <v>2</v>
      </c>
      <c r="T1096" s="2324" t="s">
        <v>2</v>
      </c>
      <c r="U1096" s="2326"/>
      <c r="V1096" s="2327"/>
      <c r="W1096" s="2327"/>
      <c r="X1096" s="2327">
        <v>25</v>
      </c>
      <c r="Y1096" s="2327"/>
      <c r="Z1096" s="2327">
        <v>21.5</v>
      </c>
      <c r="AA1096" s="2326">
        <v>125</v>
      </c>
      <c r="AB1096" s="2327"/>
      <c r="AC1096" s="2327"/>
      <c r="AD1096" s="2330">
        <f t="shared" si="760"/>
        <v>0</v>
      </c>
      <c r="AE1096" s="2330"/>
      <c r="AF1096" s="2330"/>
      <c r="AG1096" s="2330">
        <f t="shared" si="768"/>
        <v>0</v>
      </c>
      <c r="AH1096" s="2330"/>
      <c r="AI1096" s="2330"/>
      <c r="AJ1096" s="2330">
        <f t="shared" si="761"/>
        <v>0</v>
      </c>
      <c r="AK1096" s="2330"/>
      <c r="AL1096" s="2330"/>
      <c r="AM1096" s="2331">
        <f t="shared" si="762"/>
        <v>0</v>
      </c>
      <c r="AN1096" s="2331"/>
      <c r="AO1096" s="2331"/>
      <c r="AP1096" s="2331"/>
      <c r="AQ1096" s="2332">
        <f t="shared" si="763"/>
        <v>0</v>
      </c>
      <c r="AR1096" s="2332"/>
      <c r="AS1096" s="2332"/>
      <c r="AT1096" s="2332">
        <f t="shared" si="764"/>
        <v>0</v>
      </c>
      <c r="AV1096" s="151" t="str">
        <f t="shared" si="757"/>
        <v>ELECTRICAL</v>
      </c>
      <c r="AW1096" s="681"/>
      <c r="AX1096" s="230"/>
      <c r="AY1096" s="230"/>
      <c r="AZ1096" s="679"/>
      <c r="BA1096" s="49">
        <f t="shared" si="765"/>
        <v>0</v>
      </c>
      <c r="BB1096" s="49">
        <f t="shared" si="769"/>
        <v>0</v>
      </c>
      <c r="BC1096" s="49">
        <f t="shared" si="770"/>
        <v>0</v>
      </c>
      <c r="BD1096" s="49">
        <f t="shared" si="766"/>
        <v>0</v>
      </c>
      <c r="BE1096" s="49">
        <f>SUM(BA1096:BC1096)</f>
        <v>0</v>
      </c>
      <c r="BF1096" s="49">
        <f t="shared" si="758"/>
        <v>0</v>
      </c>
      <c r="BG1096" s="49">
        <f t="shared" si="759"/>
        <v>0</v>
      </c>
      <c r="BI1096" s="134">
        <f t="shared" si="772"/>
        <v>0</v>
      </c>
      <c r="BJ1096" s="134">
        <f t="shared" si="767"/>
        <v>0</v>
      </c>
      <c r="BK1096" s="134">
        <f t="shared" si="773"/>
        <v>0</v>
      </c>
    </row>
    <row r="1097" spans="1:63" hidden="1">
      <c r="A1097" s="187"/>
      <c r="B1097" s="2321"/>
      <c r="C1097" s="2322"/>
      <c r="D1097" s="2334" t="s">
        <v>48</v>
      </c>
      <c r="E1097" s="2334"/>
      <c r="F1097" s="2334"/>
      <c r="G1097" s="2334"/>
      <c r="H1097" s="2334"/>
      <c r="I1097" s="2334"/>
      <c r="J1097" s="2334"/>
      <c r="K1097" s="2334"/>
      <c r="L1097" s="2334"/>
      <c r="M1097" s="2334"/>
      <c r="N1097" s="2334"/>
      <c r="O1097" s="2334"/>
      <c r="P1097" s="2324"/>
      <c r="Q1097" s="2324"/>
      <c r="R1097" s="2325"/>
      <c r="S1097" s="2324" t="s">
        <v>2</v>
      </c>
      <c r="T1097" s="2324" t="s">
        <v>2</v>
      </c>
      <c r="U1097" s="2326"/>
      <c r="V1097" s="2327"/>
      <c r="W1097" s="2327"/>
      <c r="X1097" s="2327">
        <v>75</v>
      </c>
      <c r="Y1097" s="2327"/>
      <c r="Z1097" s="2327">
        <v>75</v>
      </c>
      <c r="AA1097" s="2326">
        <v>50</v>
      </c>
      <c r="AB1097" s="2327"/>
      <c r="AC1097" s="2327"/>
      <c r="AD1097" s="2330">
        <f t="shared" si="760"/>
        <v>0</v>
      </c>
      <c r="AE1097" s="2330"/>
      <c r="AF1097" s="2330"/>
      <c r="AG1097" s="2330">
        <f t="shared" si="768"/>
        <v>0</v>
      </c>
      <c r="AH1097" s="2330"/>
      <c r="AI1097" s="2330"/>
      <c r="AJ1097" s="2330">
        <f t="shared" si="761"/>
        <v>0</v>
      </c>
      <c r="AK1097" s="2330"/>
      <c r="AL1097" s="2330"/>
      <c r="AM1097" s="2331">
        <f t="shared" si="762"/>
        <v>0</v>
      </c>
      <c r="AN1097" s="2331"/>
      <c r="AO1097" s="2331"/>
      <c r="AP1097" s="2331"/>
      <c r="AQ1097" s="2332">
        <f t="shared" si="763"/>
        <v>0</v>
      </c>
      <c r="AR1097" s="2332"/>
      <c r="AS1097" s="2332"/>
      <c r="AT1097" s="2332">
        <f t="shared" si="764"/>
        <v>0</v>
      </c>
      <c r="AV1097" s="151" t="str">
        <f t="shared" si="757"/>
        <v>ELECTRICAL</v>
      </c>
      <c r="AW1097" s="681"/>
      <c r="AX1097" s="230"/>
      <c r="AY1097" s="230"/>
      <c r="AZ1097" s="679"/>
      <c r="BA1097" s="49">
        <f t="shared" si="765"/>
        <v>0</v>
      </c>
      <c r="BB1097" s="49">
        <f t="shared" si="769"/>
        <v>0</v>
      </c>
      <c r="BC1097" s="49">
        <f t="shared" si="770"/>
        <v>0</v>
      </c>
      <c r="BD1097" s="49">
        <f t="shared" si="766"/>
        <v>0</v>
      </c>
      <c r="BE1097" s="49">
        <f>SUM(BA1097:BC1097)</f>
        <v>0</v>
      </c>
      <c r="BF1097" s="49">
        <f t="shared" si="758"/>
        <v>0</v>
      </c>
      <c r="BG1097" s="49">
        <f t="shared" si="759"/>
        <v>0</v>
      </c>
      <c r="BI1097" s="134">
        <f t="shared" si="772"/>
        <v>0</v>
      </c>
      <c r="BJ1097" s="134">
        <f t="shared" si="767"/>
        <v>0</v>
      </c>
      <c r="BK1097" s="134">
        <f t="shared" si="773"/>
        <v>0</v>
      </c>
    </row>
    <row r="1098" spans="1:63" hidden="1">
      <c r="A1098" s="187"/>
      <c r="B1098" s="2321"/>
      <c r="C1098" s="2322"/>
      <c r="D1098" s="2334"/>
      <c r="E1098" s="2334"/>
      <c r="F1098" s="2334"/>
      <c r="G1098" s="2334"/>
      <c r="H1098" s="2334"/>
      <c r="I1098" s="2334"/>
      <c r="J1098" s="2334"/>
      <c r="K1098" s="2334"/>
      <c r="L1098" s="2334"/>
      <c r="M1098" s="2334"/>
      <c r="N1098" s="2334"/>
      <c r="O1098" s="2334"/>
      <c r="P1098" s="2324"/>
      <c r="Q1098" s="2324"/>
      <c r="R1098" s="2325"/>
      <c r="S1098" s="2324"/>
      <c r="T1098" s="2324"/>
      <c r="U1098" s="2326"/>
      <c r="V1098" s="2327"/>
      <c r="W1098" s="2327"/>
      <c r="X1098" s="2327"/>
      <c r="Y1098" s="2327"/>
      <c r="Z1098" s="2327"/>
      <c r="AA1098" s="2328"/>
      <c r="AB1098" s="2329"/>
      <c r="AC1098" s="2326"/>
      <c r="AD1098" s="2330">
        <f t="shared" ref="AD1098:AD1117" si="774">((P1098*U1098)-AM1098)</f>
        <v>0</v>
      </c>
      <c r="AE1098" s="2330"/>
      <c r="AF1098" s="2330"/>
      <c r="AG1098" s="2330">
        <f t="shared" si="768"/>
        <v>0</v>
      </c>
      <c r="AH1098" s="2330"/>
      <c r="AI1098" s="2330"/>
      <c r="AJ1098" s="2330">
        <f t="shared" ref="AJ1098:AJ1117" si="775">P1098*AA1098</f>
        <v>0</v>
      </c>
      <c r="AK1098" s="2330"/>
      <c r="AL1098" s="2330"/>
      <c r="AM1098" s="2331">
        <f t="shared" si="762"/>
        <v>0</v>
      </c>
      <c r="AN1098" s="2331"/>
      <c r="AO1098" s="2331"/>
      <c r="AP1098" s="2331"/>
      <c r="AQ1098" s="2332">
        <f t="shared" ref="AQ1098:AQ1117" si="776">SUM(AD1098:AL1098)</f>
        <v>0</v>
      </c>
      <c r="AR1098" s="2332"/>
      <c r="AS1098" s="2332"/>
      <c r="AT1098" s="2332">
        <f t="shared" ref="AT1098:AT1117" si="777">SUM(AD1098:AL1098)</f>
        <v>0</v>
      </c>
      <c r="AV1098" s="151" t="str">
        <f t="shared" si="757"/>
        <v>ELECTRICAL</v>
      </c>
      <c r="AW1098" s="681"/>
      <c r="AX1098" s="230"/>
      <c r="AY1098" s="230"/>
      <c r="AZ1098" s="679"/>
      <c r="BA1098" s="49">
        <f t="shared" ref="BA1098:BA1117" si="778">AD1098</f>
        <v>0</v>
      </c>
      <c r="BB1098" s="49">
        <f>AG1098</f>
        <v>0</v>
      </c>
      <c r="BC1098" s="49">
        <f>AJ1098</f>
        <v>0</v>
      </c>
      <c r="BD1098" s="49">
        <f t="shared" ref="BD1098:BD1117" si="779">IF(B1098="x",1,0)</f>
        <v>0</v>
      </c>
      <c r="BE1098" s="49">
        <f>SUM(BA1098:BC1098)</f>
        <v>0</v>
      </c>
      <c r="BF1098" s="49">
        <f t="shared" ref="BF1098:BF1117" si="780">AQ1098</f>
        <v>0</v>
      </c>
      <c r="BG1098" s="49">
        <f t="shared" ref="BG1098:BG1117" si="781">AM1098</f>
        <v>0</v>
      </c>
      <c r="BI1098" s="134">
        <f>AD1098</f>
        <v>0</v>
      </c>
      <c r="BJ1098" s="134">
        <f t="shared" ref="BJ1098:BJ1117" si="782">AM1098</f>
        <v>0</v>
      </c>
      <c r="BK1098" s="134">
        <f>BJ1098+BI1098</f>
        <v>0</v>
      </c>
    </row>
    <row r="1099" spans="1:63" hidden="1">
      <c r="A1099" s="187"/>
      <c r="B1099" s="2333"/>
      <c r="C1099" s="2333"/>
      <c r="D1099" s="2334"/>
      <c r="E1099" s="2334"/>
      <c r="F1099" s="2334"/>
      <c r="G1099" s="2334"/>
      <c r="H1099" s="2334"/>
      <c r="I1099" s="2334"/>
      <c r="J1099" s="2334"/>
      <c r="K1099" s="2334"/>
      <c r="L1099" s="2334"/>
      <c r="M1099" s="2334"/>
      <c r="N1099" s="2334"/>
      <c r="O1099" s="2334"/>
      <c r="P1099" s="2324"/>
      <c r="Q1099" s="2324"/>
      <c r="R1099" s="2325"/>
      <c r="S1099" s="2324"/>
      <c r="T1099" s="2324"/>
      <c r="U1099" s="2326"/>
      <c r="V1099" s="2327"/>
      <c r="W1099" s="2327"/>
      <c r="X1099" s="2327"/>
      <c r="Y1099" s="2327"/>
      <c r="Z1099" s="2327"/>
      <c r="AA1099" s="2328"/>
      <c r="AB1099" s="2329"/>
      <c r="AC1099" s="2326"/>
      <c r="AD1099" s="2330">
        <f t="shared" si="774"/>
        <v>0</v>
      </c>
      <c r="AE1099" s="2330"/>
      <c r="AF1099" s="2330"/>
      <c r="AG1099" s="2330">
        <f t="shared" si="768"/>
        <v>0</v>
      </c>
      <c r="AH1099" s="2330"/>
      <c r="AI1099" s="2330"/>
      <c r="AJ1099" s="2330">
        <f t="shared" si="775"/>
        <v>0</v>
      </c>
      <c r="AK1099" s="2330"/>
      <c r="AL1099" s="2330"/>
      <c r="AM1099" s="2331">
        <f t="shared" si="762"/>
        <v>0</v>
      </c>
      <c r="AN1099" s="2331"/>
      <c r="AO1099" s="2331"/>
      <c r="AP1099" s="2331"/>
      <c r="AQ1099" s="2332">
        <f t="shared" si="776"/>
        <v>0</v>
      </c>
      <c r="AR1099" s="2332"/>
      <c r="AS1099" s="2332"/>
      <c r="AT1099" s="2332">
        <f t="shared" si="777"/>
        <v>0</v>
      </c>
      <c r="AV1099" s="151" t="str">
        <f t="shared" si="757"/>
        <v>ELECTRICAL</v>
      </c>
      <c r="AW1099" s="681"/>
      <c r="AX1099" s="230"/>
      <c r="AY1099" s="230"/>
      <c r="AZ1099" s="679"/>
      <c r="BA1099" s="49">
        <f t="shared" si="778"/>
        <v>0</v>
      </c>
      <c r="BB1099" s="49">
        <f t="shared" ref="BB1099:BB1117" si="783">AG1099</f>
        <v>0</v>
      </c>
      <c r="BC1099" s="49">
        <f t="shared" ref="BC1099:BC1117" si="784">AJ1099</f>
        <v>0</v>
      </c>
      <c r="BD1099" s="49">
        <f t="shared" si="779"/>
        <v>0</v>
      </c>
      <c r="BE1099" s="49">
        <f t="shared" ref="BE1099:BE1115" si="785">SUM(BA1099:BC1099)</f>
        <v>0</v>
      </c>
      <c r="BF1099" s="49">
        <f t="shared" si="780"/>
        <v>0</v>
      </c>
      <c r="BG1099" s="49">
        <f t="shared" si="781"/>
        <v>0</v>
      </c>
      <c r="BI1099" s="134">
        <f t="shared" ref="BI1099:BI1117" si="786">AD1099</f>
        <v>0</v>
      </c>
      <c r="BJ1099" s="134">
        <f t="shared" si="782"/>
        <v>0</v>
      </c>
      <c r="BK1099" s="134">
        <f t="shared" ref="BK1099:BK1117" si="787">BJ1099+BI1099</f>
        <v>0</v>
      </c>
    </row>
    <row r="1100" spans="1:63" hidden="1">
      <c r="A1100" s="187"/>
      <c r="B1100" s="2333"/>
      <c r="C1100" s="2333"/>
      <c r="D1100" s="2334"/>
      <c r="E1100" s="2334"/>
      <c r="F1100" s="2334"/>
      <c r="G1100" s="2334"/>
      <c r="H1100" s="2334"/>
      <c r="I1100" s="2334"/>
      <c r="J1100" s="2334"/>
      <c r="K1100" s="2334"/>
      <c r="L1100" s="2334"/>
      <c r="M1100" s="2334"/>
      <c r="N1100" s="2334"/>
      <c r="O1100" s="2334"/>
      <c r="P1100" s="2324"/>
      <c r="Q1100" s="2324"/>
      <c r="R1100" s="2325"/>
      <c r="S1100" s="2324"/>
      <c r="T1100" s="2324"/>
      <c r="U1100" s="2326"/>
      <c r="V1100" s="2327"/>
      <c r="W1100" s="2327"/>
      <c r="X1100" s="2327"/>
      <c r="Y1100" s="2327"/>
      <c r="Z1100" s="2327"/>
      <c r="AA1100" s="2328"/>
      <c r="AB1100" s="2329"/>
      <c r="AC1100" s="2326"/>
      <c r="AD1100" s="2330">
        <f t="shared" si="774"/>
        <v>0</v>
      </c>
      <c r="AE1100" s="2330"/>
      <c r="AF1100" s="2330"/>
      <c r="AG1100" s="2330">
        <f t="shared" si="768"/>
        <v>0</v>
      </c>
      <c r="AH1100" s="2330"/>
      <c r="AI1100" s="2330"/>
      <c r="AJ1100" s="2330">
        <f t="shared" si="775"/>
        <v>0</v>
      </c>
      <c r="AK1100" s="2330"/>
      <c r="AL1100" s="2330"/>
      <c r="AM1100" s="2331">
        <f t="shared" si="762"/>
        <v>0</v>
      </c>
      <c r="AN1100" s="2331"/>
      <c r="AO1100" s="2331"/>
      <c r="AP1100" s="2331"/>
      <c r="AQ1100" s="2332">
        <f t="shared" si="776"/>
        <v>0</v>
      </c>
      <c r="AR1100" s="2332"/>
      <c r="AS1100" s="2332"/>
      <c r="AT1100" s="2332">
        <f t="shared" si="777"/>
        <v>0</v>
      </c>
      <c r="AV1100" s="151" t="str">
        <f t="shared" si="757"/>
        <v>ELECTRICAL</v>
      </c>
      <c r="AW1100" s="681"/>
      <c r="AX1100" s="230"/>
      <c r="AY1100" s="230"/>
      <c r="AZ1100" s="679"/>
      <c r="BA1100" s="49">
        <f t="shared" si="778"/>
        <v>0</v>
      </c>
      <c r="BB1100" s="49">
        <f t="shared" si="783"/>
        <v>0</v>
      </c>
      <c r="BC1100" s="49">
        <f t="shared" si="784"/>
        <v>0</v>
      </c>
      <c r="BD1100" s="49">
        <f t="shared" si="779"/>
        <v>0</v>
      </c>
      <c r="BE1100" s="49">
        <f t="shared" si="785"/>
        <v>0</v>
      </c>
      <c r="BF1100" s="49">
        <f t="shared" si="780"/>
        <v>0</v>
      </c>
      <c r="BG1100" s="49">
        <f t="shared" si="781"/>
        <v>0</v>
      </c>
      <c r="BI1100" s="134">
        <f t="shared" si="786"/>
        <v>0</v>
      </c>
      <c r="BJ1100" s="134">
        <f t="shared" si="782"/>
        <v>0</v>
      </c>
      <c r="BK1100" s="134">
        <f t="shared" si="787"/>
        <v>0</v>
      </c>
    </row>
    <row r="1101" spans="1:63" hidden="1">
      <c r="A1101" s="187"/>
      <c r="B1101" s="2321"/>
      <c r="C1101" s="2322"/>
      <c r="D1101" s="2334"/>
      <c r="E1101" s="2334"/>
      <c r="F1101" s="2334"/>
      <c r="G1101" s="2334"/>
      <c r="H1101" s="2334"/>
      <c r="I1101" s="2334"/>
      <c r="J1101" s="2334"/>
      <c r="K1101" s="2334"/>
      <c r="L1101" s="2334"/>
      <c r="M1101" s="2334"/>
      <c r="N1101" s="2334"/>
      <c r="O1101" s="2334"/>
      <c r="P1101" s="2324"/>
      <c r="Q1101" s="2324"/>
      <c r="R1101" s="2325"/>
      <c r="S1101" s="2324"/>
      <c r="T1101" s="2324"/>
      <c r="U1101" s="2326"/>
      <c r="V1101" s="2327"/>
      <c r="W1101" s="2327"/>
      <c r="X1101" s="2327"/>
      <c r="Y1101" s="2327"/>
      <c r="Z1101" s="2327"/>
      <c r="AA1101" s="2328"/>
      <c r="AB1101" s="2329"/>
      <c r="AC1101" s="2326"/>
      <c r="AD1101" s="2330">
        <f t="shared" si="774"/>
        <v>0</v>
      </c>
      <c r="AE1101" s="2330"/>
      <c r="AF1101" s="2330"/>
      <c r="AG1101" s="2330">
        <f t="shared" si="768"/>
        <v>0</v>
      </c>
      <c r="AH1101" s="2330"/>
      <c r="AI1101" s="2330"/>
      <c r="AJ1101" s="2330">
        <f t="shared" si="775"/>
        <v>0</v>
      </c>
      <c r="AK1101" s="2330"/>
      <c r="AL1101" s="2330"/>
      <c r="AM1101" s="2331">
        <f t="shared" si="762"/>
        <v>0</v>
      </c>
      <c r="AN1101" s="2331"/>
      <c r="AO1101" s="2331"/>
      <c r="AP1101" s="2331"/>
      <c r="AQ1101" s="2332">
        <f t="shared" si="776"/>
        <v>0</v>
      </c>
      <c r="AR1101" s="2332"/>
      <c r="AS1101" s="2332"/>
      <c r="AT1101" s="2332">
        <f t="shared" si="777"/>
        <v>0</v>
      </c>
      <c r="AV1101" s="151" t="str">
        <f t="shared" si="757"/>
        <v>ELECTRICAL</v>
      </c>
      <c r="AW1101" s="681"/>
      <c r="AX1101" s="230"/>
      <c r="AY1101" s="230"/>
      <c r="AZ1101" s="679"/>
      <c r="BA1101" s="49">
        <f t="shared" si="778"/>
        <v>0</v>
      </c>
      <c r="BB1101" s="49">
        <f t="shared" si="783"/>
        <v>0</v>
      </c>
      <c r="BC1101" s="49">
        <f t="shared" si="784"/>
        <v>0</v>
      </c>
      <c r="BD1101" s="49">
        <f t="shared" si="779"/>
        <v>0</v>
      </c>
      <c r="BE1101" s="49">
        <f t="shared" si="785"/>
        <v>0</v>
      </c>
      <c r="BF1101" s="49">
        <f t="shared" si="780"/>
        <v>0</v>
      </c>
      <c r="BG1101" s="49">
        <f t="shared" si="781"/>
        <v>0</v>
      </c>
      <c r="BI1101" s="134">
        <f t="shared" si="786"/>
        <v>0</v>
      </c>
      <c r="BJ1101" s="134">
        <f t="shared" si="782"/>
        <v>0</v>
      </c>
      <c r="BK1101" s="134">
        <f t="shared" si="787"/>
        <v>0</v>
      </c>
    </row>
    <row r="1102" spans="1:63" hidden="1">
      <c r="A1102" s="187"/>
      <c r="B1102" s="2321"/>
      <c r="C1102" s="2322"/>
      <c r="D1102" s="2334"/>
      <c r="E1102" s="2334"/>
      <c r="F1102" s="2334"/>
      <c r="G1102" s="2334"/>
      <c r="H1102" s="2334"/>
      <c r="I1102" s="2334"/>
      <c r="J1102" s="2334"/>
      <c r="K1102" s="2334"/>
      <c r="L1102" s="2334"/>
      <c r="M1102" s="2334"/>
      <c r="N1102" s="2334"/>
      <c r="O1102" s="2334"/>
      <c r="P1102" s="2324"/>
      <c r="Q1102" s="2324"/>
      <c r="R1102" s="2325"/>
      <c r="S1102" s="2324"/>
      <c r="T1102" s="2324"/>
      <c r="U1102" s="2326"/>
      <c r="V1102" s="2327"/>
      <c r="W1102" s="2327"/>
      <c r="X1102" s="2327"/>
      <c r="Y1102" s="2327"/>
      <c r="Z1102" s="2327"/>
      <c r="AA1102" s="2328"/>
      <c r="AB1102" s="2329"/>
      <c r="AC1102" s="2326"/>
      <c r="AD1102" s="2330">
        <f t="shared" si="774"/>
        <v>0</v>
      </c>
      <c r="AE1102" s="2330"/>
      <c r="AF1102" s="2330"/>
      <c r="AG1102" s="2330">
        <f t="shared" si="768"/>
        <v>0</v>
      </c>
      <c r="AH1102" s="2330"/>
      <c r="AI1102" s="2330"/>
      <c r="AJ1102" s="2330">
        <f t="shared" si="775"/>
        <v>0</v>
      </c>
      <c r="AK1102" s="2330"/>
      <c r="AL1102" s="2330"/>
      <c r="AM1102" s="2331">
        <f t="shared" si="762"/>
        <v>0</v>
      </c>
      <c r="AN1102" s="2331"/>
      <c r="AO1102" s="2331"/>
      <c r="AP1102" s="2331"/>
      <c r="AQ1102" s="2332">
        <f t="shared" si="776"/>
        <v>0</v>
      </c>
      <c r="AR1102" s="2332"/>
      <c r="AS1102" s="2332"/>
      <c r="AT1102" s="2332">
        <f t="shared" si="777"/>
        <v>0</v>
      </c>
      <c r="AV1102" s="151" t="str">
        <f t="shared" si="757"/>
        <v>ELECTRICAL</v>
      </c>
      <c r="AW1102" s="681"/>
      <c r="AX1102" s="230"/>
      <c r="AY1102" s="230"/>
      <c r="AZ1102" s="679"/>
      <c r="BA1102" s="49">
        <f t="shared" si="778"/>
        <v>0</v>
      </c>
      <c r="BB1102" s="49">
        <f t="shared" si="783"/>
        <v>0</v>
      </c>
      <c r="BC1102" s="49">
        <f t="shared" si="784"/>
        <v>0</v>
      </c>
      <c r="BD1102" s="49">
        <f t="shared" si="779"/>
        <v>0</v>
      </c>
      <c r="BE1102" s="49">
        <f t="shared" si="785"/>
        <v>0</v>
      </c>
      <c r="BF1102" s="49">
        <f t="shared" si="780"/>
        <v>0</v>
      </c>
      <c r="BG1102" s="49">
        <f t="shared" si="781"/>
        <v>0</v>
      </c>
      <c r="BI1102" s="134">
        <f t="shared" si="786"/>
        <v>0</v>
      </c>
      <c r="BJ1102" s="134">
        <f t="shared" si="782"/>
        <v>0</v>
      </c>
      <c r="BK1102" s="134">
        <f t="shared" si="787"/>
        <v>0</v>
      </c>
    </row>
    <row r="1103" spans="1:63" hidden="1">
      <c r="A1103" s="187"/>
      <c r="B1103" s="2321"/>
      <c r="C1103" s="2322"/>
      <c r="D1103" s="2334"/>
      <c r="E1103" s="2334"/>
      <c r="F1103" s="2334"/>
      <c r="G1103" s="2334"/>
      <c r="H1103" s="2334"/>
      <c r="I1103" s="2334"/>
      <c r="J1103" s="2334"/>
      <c r="K1103" s="2334"/>
      <c r="L1103" s="2334"/>
      <c r="M1103" s="2334"/>
      <c r="N1103" s="2334"/>
      <c r="O1103" s="2334"/>
      <c r="P1103" s="2324"/>
      <c r="Q1103" s="2324"/>
      <c r="R1103" s="2325"/>
      <c r="S1103" s="2324"/>
      <c r="T1103" s="2324"/>
      <c r="U1103" s="2326"/>
      <c r="V1103" s="2327"/>
      <c r="W1103" s="2327"/>
      <c r="X1103" s="2327"/>
      <c r="Y1103" s="2327"/>
      <c r="Z1103" s="2327"/>
      <c r="AA1103" s="2328"/>
      <c r="AB1103" s="2329"/>
      <c r="AC1103" s="2326"/>
      <c r="AD1103" s="2330">
        <f t="shared" si="774"/>
        <v>0</v>
      </c>
      <c r="AE1103" s="2330"/>
      <c r="AF1103" s="2330"/>
      <c r="AG1103" s="2330">
        <f t="shared" si="768"/>
        <v>0</v>
      </c>
      <c r="AH1103" s="2330"/>
      <c r="AI1103" s="2330"/>
      <c r="AJ1103" s="2330">
        <f t="shared" si="775"/>
        <v>0</v>
      </c>
      <c r="AK1103" s="2330"/>
      <c r="AL1103" s="2330"/>
      <c r="AM1103" s="2331">
        <f t="shared" si="762"/>
        <v>0</v>
      </c>
      <c r="AN1103" s="2331"/>
      <c r="AO1103" s="2331"/>
      <c r="AP1103" s="2331"/>
      <c r="AQ1103" s="2332">
        <f t="shared" si="776"/>
        <v>0</v>
      </c>
      <c r="AR1103" s="2332"/>
      <c r="AS1103" s="2332"/>
      <c r="AT1103" s="2332">
        <f t="shared" si="777"/>
        <v>0</v>
      </c>
      <c r="AV1103" s="151" t="str">
        <f t="shared" si="757"/>
        <v>ELECTRICAL</v>
      </c>
      <c r="AW1103" s="681"/>
      <c r="AX1103" s="230"/>
      <c r="AY1103" s="230"/>
      <c r="AZ1103" s="679"/>
      <c r="BA1103" s="49">
        <f t="shared" si="778"/>
        <v>0</v>
      </c>
      <c r="BB1103" s="49">
        <f t="shared" si="783"/>
        <v>0</v>
      </c>
      <c r="BC1103" s="49">
        <f t="shared" si="784"/>
        <v>0</v>
      </c>
      <c r="BD1103" s="49">
        <f t="shared" si="779"/>
        <v>0</v>
      </c>
      <c r="BE1103" s="49">
        <f t="shared" si="785"/>
        <v>0</v>
      </c>
      <c r="BF1103" s="49">
        <f t="shared" si="780"/>
        <v>0</v>
      </c>
      <c r="BG1103" s="49">
        <f t="shared" si="781"/>
        <v>0</v>
      </c>
      <c r="BI1103" s="134">
        <f t="shared" si="786"/>
        <v>0</v>
      </c>
      <c r="BJ1103" s="134">
        <f t="shared" si="782"/>
        <v>0</v>
      </c>
      <c r="BK1103" s="134">
        <f t="shared" si="787"/>
        <v>0</v>
      </c>
    </row>
    <row r="1104" spans="1:63" hidden="1">
      <c r="A1104" s="187"/>
      <c r="B1104" s="2321"/>
      <c r="C1104" s="2322"/>
      <c r="D1104" s="2334"/>
      <c r="E1104" s="2334"/>
      <c r="F1104" s="2334"/>
      <c r="G1104" s="2334"/>
      <c r="H1104" s="2334"/>
      <c r="I1104" s="2334"/>
      <c r="J1104" s="2334"/>
      <c r="K1104" s="2334"/>
      <c r="L1104" s="2334"/>
      <c r="M1104" s="2334"/>
      <c r="N1104" s="2334"/>
      <c r="O1104" s="2334"/>
      <c r="P1104" s="2324"/>
      <c r="Q1104" s="2324"/>
      <c r="R1104" s="2325"/>
      <c r="S1104" s="2324"/>
      <c r="T1104" s="2324"/>
      <c r="U1104" s="2326"/>
      <c r="V1104" s="2327"/>
      <c r="W1104" s="2327"/>
      <c r="X1104" s="2327"/>
      <c r="Y1104" s="2327"/>
      <c r="Z1104" s="2327"/>
      <c r="AA1104" s="2326"/>
      <c r="AB1104" s="2327"/>
      <c r="AC1104" s="2327"/>
      <c r="AD1104" s="2330">
        <f t="shared" si="774"/>
        <v>0</v>
      </c>
      <c r="AE1104" s="2330"/>
      <c r="AF1104" s="2330"/>
      <c r="AG1104" s="2330">
        <f t="shared" si="768"/>
        <v>0</v>
      </c>
      <c r="AH1104" s="2330"/>
      <c r="AI1104" s="2330"/>
      <c r="AJ1104" s="2330">
        <f t="shared" si="775"/>
        <v>0</v>
      </c>
      <c r="AK1104" s="2330"/>
      <c r="AL1104" s="2330"/>
      <c r="AM1104" s="2331">
        <f t="shared" si="762"/>
        <v>0</v>
      </c>
      <c r="AN1104" s="2331"/>
      <c r="AO1104" s="2331"/>
      <c r="AP1104" s="2331"/>
      <c r="AQ1104" s="2332">
        <f t="shared" si="776"/>
        <v>0</v>
      </c>
      <c r="AR1104" s="2332"/>
      <c r="AS1104" s="2332"/>
      <c r="AT1104" s="2332">
        <f t="shared" si="777"/>
        <v>0</v>
      </c>
      <c r="AV1104" s="151" t="str">
        <f t="shared" si="757"/>
        <v>ELECTRICAL</v>
      </c>
      <c r="AW1104" s="681"/>
      <c r="AX1104" s="230"/>
      <c r="AY1104" s="230"/>
      <c r="AZ1104" s="679"/>
      <c r="BA1104" s="49">
        <f t="shared" si="778"/>
        <v>0</v>
      </c>
      <c r="BB1104" s="49">
        <f t="shared" si="783"/>
        <v>0</v>
      </c>
      <c r="BC1104" s="49">
        <f t="shared" si="784"/>
        <v>0</v>
      </c>
      <c r="BD1104" s="49">
        <f t="shared" si="779"/>
        <v>0</v>
      </c>
      <c r="BE1104" s="49">
        <f t="shared" si="785"/>
        <v>0</v>
      </c>
      <c r="BF1104" s="49">
        <f t="shared" si="780"/>
        <v>0</v>
      </c>
      <c r="BG1104" s="49">
        <f t="shared" si="781"/>
        <v>0</v>
      </c>
      <c r="BI1104" s="134">
        <f t="shared" si="786"/>
        <v>0</v>
      </c>
      <c r="BJ1104" s="134">
        <f t="shared" si="782"/>
        <v>0</v>
      </c>
      <c r="BK1104" s="134">
        <f t="shared" si="787"/>
        <v>0</v>
      </c>
    </row>
    <row r="1105" spans="1:63" hidden="1">
      <c r="A1105" s="187"/>
      <c r="B1105" s="2333"/>
      <c r="C1105" s="2333"/>
      <c r="D1105" s="2334"/>
      <c r="E1105" s="2334"/>
      <c r="F1105" s="2334"/>
      <c r="G1105" s="2334"/>
      <c r="H1105" s="2334"/>
      <c r="I1105" s="2334"/>
      <c r="J1105" s="2334"/>
      <c r="K1105" s="2334"/>
      <c r="L1105" s="2334"/>
      <c r="M1105" s="2334"/>
      <c r="N1105" s="2334"/>
      <c r="O1105" s="2334"/>
      <c r="P1105" s="2324"/>
      <c r="Q1105" s="2324"/>
      <c r="R1105" s="2325"/>
      <c r="S1105" s="2324"/>
      <c r="T1105" s="2324"/>
      <c r="U1105" s="2326"/>
      <c r="V1105" s="2327"/>
      <c r="W1105" s="2327"/>
      <c r="X1105" s="2327"/>
      <c r="Y1105" s="2327"/>
      <c r="Z1105" s="2327"/>
      <c r="AA1105" s="2326"/>
      <c r="AB1105" s="2327"/>
      <c r="AC1105" s="2327"/>
      <c r="AD1105" s="2330">
        <f t="shared" si="774"/>
        <v>0</v>
      </c>
      <c r="AE1105" s="2330"/>
      <c r="AF1105" s="2330"/>
      <c r="AG1105" s="2330">
        <f t="shared" si="768"/>
        <v>0</v>
      </c>
      <c r="AH1105" s="2330"/>
      <c r="AI1105" s="2330"/>
      <c r="AJ1105" s="2330">
        <f t="shared" si="775"/>
        <v>0</v>
      </c>
      <c r="AK1105" s="2330"/>
      <c r="AL1105" s="2330"/>
      <c r="AM1105" s="2331">
        <f t="shared" si="762"/>
        <v>0</v>
      </c>
      <c r="AN1105" s="2331"/>
      <c r="AO1105" s="2331"/>
      <c r="AP1105" s="2331"/>
      <c r="AQ1105" s="2332">
        <f t="shared" si="776"/>
        <v>0</v>
      </c>
      <c r="AR1105" s="2332"/>
      <c r="AS1105" s="2332"/>
      <c r="AT1105" s="2332">
        <f t="shared" si="777"/>
        <v>0</v>
      </c>
      <c r="AV1105" s="151" t="str">
        <f t="shared" si="757"/>
        <v>ELECTRICAL</v>
      </c>
      <c r="AW1105" s="681"/>
      <c r="AX1105" s="230"/>
      <c r="AY1105" s="230"/>
      <c r="AZ1105" s="679"/>
      <c r="BA1105" s="49">
        <f t="shared" si="778"/>
        <v>0</v>
      </c>
      <c r="BB1105" s="49">
        <f t="shared" si="783"/>
        <v>0</v>
      </c>
      <c r="BC1105" s="49">
        <f t="shared" si="784"/>
        <v>0</v>
      </c>
      <c r="BD1105" s="49">
        <f t="shared" si="779"/>
        <v>0</v>
      </c>
      <c r="BE1105" s="49">
        <f t="shared" si="785"/>
        <v>0</v>
      </c>
      <c r="BF1105" s="49">
        <f t="shared" si="780"/>
        <v>0</v>
      </c>
      <c r="BG1105" s="49">
        <f t="shared" si="781"/>
        <v>0</v>
      </c>
      <c r="BI1105" s="134">
        <f t="shared" si="786"/>
        <v>0</v>
      </c>
      <c r="BJ1105" s="134">
        <f t="shared" si="782"/>
        <v>0</v>
      </c>
      <c r="BK1105" s="134">
        <f t="shared" si="787"/>
        <v>0</v>
      </c>
    </row>
    <row r="1106" spans="1:63" hidden="1">
      <c r="A1106" s="187"/>
      <c r="B1106" s="2333"/>
      <c r="C1106" s="2333"/>
      <c r="D1106" s="2334"/>
      <c r="E1106" s="2334"/>
      <c r="F1106" s="2334"/>
      <c r="G1106" s="2334"/>
      <c r="H1106" s="2334"/>
      <c r="I1106" s="2334"/>
      <c r="J1106" s="2334"/>
      <c r="K1106" s="2334"/>
      <c r="L1106" s="2334"/>
      <c r="M1106" s="2334"/>
      <c r="N1106" s="2334"/>
      <c r="O1106" s="2334"/>
      <c r="P1106" s="2324"/>
      <c r="Q1106" s="2324"/>
      <c r="R1106" s="2325"/>
      <c r="S1106" s="2324"/>
      <c r="T1106" s="2324"/>
      <c r="U1106" s="2326"/>
      <c r="V1106" s="2327"/>
      <c r="W1106" s="2327"/>
      <c r="X1106" s="2327"/>
      <c r="Y1106" s="2327"/>
      <c r="Z1106" s="2327"/>
      <c r="AA1106" s="2326"/>
      <c r="AB1106" s="2327"/>
      <c r="AC1106" s="2327"/>
      <c r="AD1106" s="2330">
        <f t="shared" si="774"/>
        <v>0</v>
      </c>
      <c r="AE1106" s="2330"/>
      <c r="AF1106" s="2330"/>
      <c r="AG1106" s="2330">
        <f t="shared" si="768"/>
        <v>0</v>
      </c>
      <c r="AH1106" s="2330"/>
      <c r="AI1106" s="2330"/>
      <c r="AJ1106" s="2330">
        <f t="shared" si="775"/>
        <v>0</v>
      </c>
      <c r="AK1106" s="2330"/>
      <c r="AL1106" s="2330"/>
      <c r="AM1106" s="2331">
        <f t="shared" si="762"/>
        <v>0</v>
      </c>
      <c r="AN1106" s="2331"/>
      <c r="AO1106" s="2331"/>
      <c r="AP1106" s="2331"/>
      <c r="AQ1106" s="2332">
        <f t="shared" si="776"/>
        <v>0</v>
      </c>
      <c r="AR1106" s="2332"/>
      <c r="AS1106" s="2332"/>
      <c r="AT1106" s="2332">
        <f t="shared" si="777"/>
        <v>0</v>
      </c>
      <c r="AV1106" s="151" t="str">
        <f t="shared" si="757"/>
        <v>ELECTRICAL</v>
      </c>
      <c r="AW1106" s="681"/>
      <c r="AX1106" s="230"/>
      <c r="AY1106" s="230"/>
      <c r="AZ1106" s="679"/>
      <c r="BA1106" s="49">
        <f t="shared" si="778"/>
        <v>0</v>
      </c>
      <c r="BB1106" s="49">
        <f t="shared" si="783"/>
        <v>0</v>
      </c>
      <c r="BC1106" s="49">
        <f t="shared" si="784"/>
        <v>0</v>
      </c>
      <c r="BD1106" s="49">
        <f t="shared" si="779"/>
        <v>0</v>
      </c>
      <c r="BE1106" s="49">
        <f t="shared" si="785"/>
        <v>0</v>
      </c>
      <c r="BF1106" s="49">
        <f t="shared" si="780"/>
        <v>0</v>
      </c>
      <c r="BG1106" s="49">
        <f t="shared" si="781"/>
        <v>0</v>
      </c>
      <c r="BI1106" s="134">
        <f t="shared" si="786"/>
        <v>0</v>
      </c>
      <c r="BJ1106" s="134">
        <f t="shared" si="782"/>
        <v>0</v>
      </c>
      <c r="BK1106" s="134">
        <f t="shared" si="787"/>
        <v>0</v>
      </c>
    </row>
    <row r="1107" spans="1:63" hidden="1">
      <c r="A1107" s="187"/>
      <c r="B1107" s="2321"/>
      <c r="C1107" s="2322"/>
      <c r="D1107" s="2334"/>
      <c r="E1107" s="2334"/>
      <c r="F1107" s="2334"/>
      <c r="G1107" s="2334"/>
      <c r="H1107" s="2334"/>
      <c r="I1107" s="2334"/>
      <c r="J1107" s="2334"/>
      <c r="K1107" s="2334"/>
      <c r="L1107" s="2334"/>
      <c r="M1107" s="2334"/>
      <c r="N1107" s="2334"/>
      <c r="O1107" s="2334"/>
      <c r="P1107" s="2324"/>
      <c r="Q1107" s="2324"/>
      <c r="R1107" s="2325"/>
      <c r="S1107" s="2324"/>
      <c r="T1107" s="2324"/>
      <c r="U1107" s="2326"/>
      <c r="V1107" s="2327"/>
      <c r="W1107" s="2327"/>
      <c r="X1107" s="2327"/>
      <c r="Y1107" s="2327"/>
      <c r="Z1107" s="2327"/>
      <c r="AA1107" s="2326"/>
      <c r="AB1107" s="2327"/>
      <c r="AC1107" s="2327"/>
      <c r="AD1107" s="2330">
        <f t="shared" si="774"/>
        <v>0</v>
      </c>
      <c r="AE1107" s="2330"/>
      <c r="AF1107" s="2330"/>
      <c r="AG1107" s="2330">
        <f t="shared" si="768"/>
        <v>0</v>
      </c>
      <c r="AH1107" s="2330"/>
      <c r="AI1107" s="2330"/>
      <c r="AJ1107" s="2330">
        <f t="shared" si="775"/>
        <v>0</v>
      </c>
      <c r="AK1107" s="2330"/>
      <c r="AL1107" s="2330"/>
      <c r="AM1107" s="2331">
        <f t="shared" si="762"/>
        <v>0</v>
      </c>
      <c r="AN1107" s="2331"/>
      <c r="AO1107" s="2331"/>
      <c r="AP1107" s="2331"/>
      <c r="AQ1107" s="2332">
        <f t="shared" si="776"/>
        <v>0</v>
      </c>
      <c r="AR1107" s="2332"/>
      <c r="AS1107" s="2332"/>
      <c r="AT1107" s="2332">
        <f t="shared" si="777"/>
        <v>0</v>
      </c>
      <c r="AV1107" s="151" t="str">
        <f t="shared" si="757"/>
        <v>ELECTRICAL</v>
      </c>
      <c r="AW1107" s="681"/>
      <c r="AX1107" s="230"/>
      <c r="AY1107" s="230"/>
      <c r="AZ1107" s="679"/>
      <c r="BA1107" s="49">
        <f t="shared" si="778"/>
        <v>0</v>
      </c>
      <c r="BB1107" s="49">
        <f t="shared" si="783"/>
        <v>0</v>
      </c>
      <c r="BC1107" s="49">
        <f t="shared" si="784"/>
        <v>0</v>
      </c>
      <c r="BD1107" s="49">
        <f t="shared" si="779"/>
        <v>0</v>
      </c>
      <c r="BE1107" s="49">
        <f t="shared" si="785"/>
        <v>0</v>
      </c>
      <c r="BF1107" s="49">
        <f t="shared" si="780"/>
        <v>0</v>
      </c>
      <c r="BG1107" s="49">
        <f t="shared" si="781"/>
        <v>0</v>
      </c>
      <c r="BI1107" s="134">
        <f t="shared" si="786"/>
        <v>0</v>
      </c>
      <c r="BJ1107" s="134">
        <f t="shared" si="782"/>
        <v>0</v>
      </c>
      <c r="BK1107" s="134">
        <f t="shared" si="787"/>
        <v>0</v>
      </c>
    </row>
    <row r="1108" spans="1:63" hidden="1">
      <c r="A1108" s="187"/>
      <c r="B1108" s="2321"/>
      <c r="C1108" s="2322"/>
      <c r="D1108" s="2334"/>
      <c r="E1108" s="2334"/>
      <c r="F1108" s="2334"/>
      <c r="G1108" s="2334"/>
      <c r="H1108" s="2334"/>
      <c r="I1108" s="2334"/>
      <c r="J1108" s="2334"/>
      <c r="K1108" s="2334"/>
      <c r="L1108" s="2334"/>
      <c r="M1108" s="2334"/>
      <c r="N1108" s="2334"/>
      <c r="O1108" s="2334"/>
      <c r="P1108" s="2324"/>
      <c r="Q1108" s="2324"/>
      <c r="R1108" s="2325"/>
      <c r="S1108" s="2324"/>
      <c r="T1108" s="2324"/>
      <c r="U1108" s="2326"/>
      <c r="V1108" s="2327"/>
      <c r="W1108" s="2327"/>
      <c r="X1108" s="2327"/>
      <c r="Y1108" s="2327"/>
      <c r="Z1108" s="2327"/>
      <c r="AA1108" s="2326"/>
      <c r="AB1108" s="2327"/>
      <c r="AC1108" s="2327"/>
      <c r="AD1108" s="2330">
        <f t="shared" si="774"/>
        <v>0</v>
      </c>
      <c r="AE1108" s="2330"/>
      <c r="AF1108" s="2330"/>
      <c r="AG1108" s="2330">
        <f t="shared" si="768"/>
        <v>0</v>
      </c>
      <c r="AH1108" s="2330"/>
      <c r="AI1108" s="2330"/>
      <c r="AJ1108" s="2330">
        <f t="shared" si="775"/>
        <v>0</v>
      </c>
      <c r="AK1108" s="2330"/>
      <c r="AL1108" s="2330"/>
      <c r="AM1108" s="2331">
        <f t="shared" si="762"/>
        <v>0</v>
      </c>
      <c r="AN1108" s="2331"/>
      <c r="AO1108" s="2331"/>
      <c r="AP1108" s="2331"/>
      <c r="AQ1108" s="2332">
        <f t="shared" si="776"/>
        <v>0</v>
      </c>
      <c r="AR1108" s="2332"/>
      <c r="AS1108" s="2332"/>
      <c r="AT1108" s="2332">
        <f t="shared" si="777"/>
        <v>0</v>
      </c>
      <c r="AV1108" s="151" t="str">
        <f t="shared" si="757"/>
        <v>ELECTRICAL</v>
      </c>
      <c r="AW1108" s="681"/>
      <c r="AX1108" s="230"/>
      <c r="AY1108" s="230"/>
      <c r="AZ1108" s="679"/>
      <c r="BA1108" s="49">
        <f t="shared" si="778"/>
        <v>0</v>
      </c>
      <c r="BB1108" s="49">
        <f t="shared" si="783"/>
        <v>0</v>
      </c>
      <c r="BC1108" s="49">
        <f t="shared" si="784"/>
        <v>0</v>
      </c>
      <c r="BD1108" s="49">
        <f t="shared" si="779"/>
        <v>0</v>
      </c>
      <c r="BE1108" s="49">
        <f t="shared" si="785"/>
        <v>0</v>
      </c>
      <c r="BF1108" s="49">
        <f t="shared" si="780"/>
        <v>0</v>
      </c>
      <c r="BG1108" s="49">
        <f t="shared" si="781"/>
        <v>0</v>
      </c>
      <c r="BI1108" s="134">
        <f t="shared" si="786"/>
        <v>0</v>
      </c>
      <c r="BJ1108" s="134">
        <f t="shared" si="782"/>
        <v>0</v>
      </c>
      <c r="BK1108" s="134">
        <f t="shared" si="787"/>
        <v>0</v>
      </c>
    </row>
    <row r="1109" spans="1:63" hidden="1">
      <c r="A1109" s="187"/>
      <c r="B1109" s="2321"/>
      <c r="C1109" s="2322"/>
      <c r="D1109" s="2334"/>
      <c r="E1109" s="2334"/>
      <c r="F1109" s="2334"/>
      <c r="G1109" s="2334"/>
      <c r="H1109" s="2334"/>
      <c r="I1109" s="2334"/>
      <c r="J1109" s="2334"/>
      <c r="K1109" s="2334"/>
      <c r="L1109" s="2334"/>
      <c r="M1109" s="2334"/>
      <c r="N1109" s="2334"/>
      <c r="O1109" s="2334"/>
      <c r="P1109" s="2324"/>
      <c r="Q1109" s="2324"/>
      <c r="R1109" s="2325"/>
      <c r="S1109" s="2324"/>
      <c r="T1109" s="2324"/>
      <c r="U1109" s="2326"/>
      <c r="V1109" s="2327"/>
      <c r="W1109" s="2327"/>
      <c r="X1109" s="2327"/>
      <c r="Y1109" s="2327"/>
      <c r="Z1109" s="2327"/>
      <c r="AA1109" s="2326"/>
      <c r="AB1109" s="2327"/>
      <c r="AC1109" s="2327"/>
      <c r="AD1109" s="2330">
        <f t="shared" si="774"/>
        <v>0</v>
      </c>
      <c r="AE1109" s="2330"/>
      <c r="AF1109" s="2330"/>
      <c r="AG1109" s="2330">
        <f t="shared" si="768"/>
        <v>0</v>
      </c>
      <c r="AH1109" s="2330"/>
      <c r="AI1109" s="2330"/>
      <c r="AJ1109" s="2330">
        <f t="shared" si="775"/>
        <v>0</v>
      </c>
      <c r="AK1109" s="2330"/>
      <c r="AL1109" s="2330"/>
      <c r="AM1109" s="2331">
        <f t="shared" si="762"/>
        <v>0</v>
      </c>
      <c r="AN1109" s="2331"/>
      <c r="AO1109" s="2331"/>
      <c r="AP1109" s="2331"/>
      <c r="AQ1109" s="2332">
        <f t="shared" si="776"/>
        <v>0</v>
      </c>
      <c r="AR1109" s="2332"/>
      <c r="AS1109" s="2332"/>
      <c r="AT1109" s="2332">
        <f t="shared" si="777"/>
        <v>0</v>
      </c>
      <c r="AV1109" s="151" t="str">
        <f t="shared" si="757"/>
        <v>ELECTRICAL</v>
      </c>
      <c r="AW1109" s="681"/>
      <c r="AX1109" s="230"/>
      <c r="AY1109" s="230"/>
      <c r="AZ1109" s="679"/>
      <c r="BA1109" s="49">
        <f t="shared" si="778"/>
        <v>0</v>
      </c>
      <c r="BB1109" s="49">
        <f t="shared" si="783"/>
        <v>0</v>
      </c>
      <c r="BC1109" s="49">
        <f t="shared" si="784"/>
        <v>0</v>
      </c>
      <c r="BD1109" s="49">
        <f t="shared" si="779"/>
        <v>0</v>
      </c>
      <c r="BE1109" s="49">
        <f t="shared" si="785"/>
        <v>0</v>
      </c>
      <c r="BF1109" s="49">
        <f t="shared" si="780"/>
        <v>0</v>
      </c>
      <c r="BG1109" s="49">
        <f t="shared" si="781"/>
        <v>0</v>
      </c>
      <c r="BI1109" s="134">
        <f t="shared" si="786"/>
        <v>0</v>
      </c>
      <c r="BJ1109" s="134">
        <f t="shared" si="782"/>
        <v>0</v>
      </c>
      <c r="BK1109" s="134">
        <f t="shared" si="787"/>
        <v>0</v>
      </c>
    </row>
    <row r="1110" spans="1:63" hidden="1">
      <c r="A1110" s="187"/>
      <c r="B1110" s="2333"/>
      <c r="C1110" s="2333"/>
      <c r="D1110" s="2334"/>
      <c r="E1110" s="2334"/>
      <c r="F1110" s="2334"/>
      <c r="G1110" s="2334"/>
      <c r="H1110" s="2334"/>
      <c r="I1110" s="2334"/>
      <c r="J1110" s="2334"/>
      <c r="K1110" s="2334"/>
      <c r="L1110" s="2334"/>
      <c r="M1110" s="2334"/>
      <c r="N1110" s="2334"/>
      <c r="O1110" s="2334"/>
      <c r="P1110" s="2324"/>
      <c r="Q1110" s="2324"/>
      <c r="R1110" s="2325"/>
      <c r="S1110" s="2324"/>
      <c r="T1110" s="2324"/>
      <c r="U1110" s="2326"/>
      <c r="V1110" s="2327"/>
      <c r="W1110" s="2327"/>
      <c r="X1110" s="2327"/>
      <c r="Y1110" s="2327"/>
      <c r="Z1110" s="2327"/>
      <c r="AA1110" s="2326"/>
      <c r="AB1110" s="2327"/>
      <c r="AC1110" s="2327"/>
      <c r="AD1110" s="2330">
        <f t="shared" si="774"/>
        <v>0</v>
      </c>
      <c r="AE1110" s="2330"/>
      <c r="AF1110" s="2330"/>
      <c r="AG1110" s="2330">
        <f t="shared" si="768"/>
        <v>0</v>
      </c>
      <c r="AH1110" s="2330"/>
      <c r="AI1110" s="2330"/>
      <c r="AJ1110" s="2330">
        <f t="shared" si="775"/>
        <v>0</v>
      </c>
      <c r="AK1110" s="2330"/>
      <c r="AL1110" s="2330"/>
      <c r="AM1110" s="2331">
        <f t="shared" si="762"/>
        <v>0</v>
      </c>
      <c r="AN1110" s="2331"/>
      <c r="AO1110" s="2331"/>
      <c r="AP1110" s="2331"/>
      <c r="AQ1110" s="2332">
        <f t="shared" si="776"/>
        <v>0</v>
      </c>
      <c r="AR1110" s="2332"/>
      <c r="AS1110" s="2332"/>
      <c r="AT1110" s="2332">
        <f t="shared" si="777"/>
        <v>0</v>
      </c>
      <c r="AV1110" s="151" t="str">
        <f t="shared" si="757"/>
        <v>ELECTRICAL</v>
      </c>
      <c r="AW1110" s="681"/>
      <c r="AX1110" s="230"/>
      <c r="AY1110" s="230"/>
      <c r="AZ1110" s="679"/>
      <c r="BA1110" s="49">
        <f t="shared" si="778"/>
        <v>0</v>
      </c>
      <c r="BB1110" s="49">
        <f t="shared" si="783"/>
        <v>0</v>
      </c>
      <c r="BC1110" s="49">
        <f t="shared" si="784"/>
        <v>0</v>
      </c>
      <c r="BD1110" s="49">
        <f t="shared" si="779"/>
        <v>0</v>
      </c>
      <c r="BE1110" s="49">
        <f t="shared" si="785"/>
        <v>0</v>
      </c>
      <c r="BF1110" s="49">
        <f t="shared" si="780"/>
        <v>0</v>
      </c>
      <c r="BG1110" s="49">
        <f t="shared" si="781"/>
        <v>0</v>
      </c>
      <c r="BI1110" s="134">
        <f t="shared" si="786"/>
        <v>0</v>
      </c>
      <c r="BJ1110" s="134">
        <f t="shared" si="782"/>
        <v>0</v>
      </c>
      <c r="BK1110" s="134">
        <f t="shared" si="787"/>
        <v>0</v>
      </c>
    </row>
    <row r="1111" spans="1:63" hidden="1">
      <c r="A1111" s="187"/>
      <c r="B1111" s="2321"/>
      <c r="C1111" s="2322"/>
      <c r="D1111" s="2334"/>
      <c r="E1111" s="2334"/>
      <c r="F1111" s="2334"/>
      <c r="G1111" s="2334"/>
      <c r="H1111" s="2334"/>
      <c r="I1111" s="2334"/>
      <c r="J1111" s="2334"/>
      <c r="K1111" s="2334"/>
      <c r="L1111" s="2334"/>
      <c r="M1111" s="2334"/>
      <c r="N1111" s="2334"/>
      <c r="O1111" s="2334"/>
      <c r="P1111" s="2324"/>
      <c r="Q1111" s="2324"/>
      <c r="R1111" s="2325"/>
      <c r="S1111" s="2324"/>
      <c r="T1111" s="2324"/>
      <c r="U1111" s="2326"/>
      <c r="V1111" s="2327"/>
      <c r="W1111" s="2327"/>
      <c r="X1111" s="2327"/>
      <c r="Y1111" s="2327"/>
      <c r="Z1111" s="2327"/>
      <c r="AA1111" s="2326"/>
      <c r="AB1111" s="2327"/>
      <c r="AC1111" s="2327"/>
      <c r="AD1111" s="2330">
        <f t="shared" si="774"/>
        <v>0</v>
      </c>
      <c r="AE1111" s="2330"/>
      <c r="AF1111" s="2330"/>
      <c r="AG1111" s="2330">
        <f t="shared" si="768"/>
        <v>0</v>
      </c>
      <c r="AH1111" s="2330"/>
      <c r="AI1111" s="2330"/>
      <c r="AJ1111" s="2330">
        <f t="shared" si="775"/>
        <v>0</v>
      </c>
      <c r="AK1111" s="2330"/>
      <c r="AL1111" s="2330"/>
      <c r="AM1111" s="2331">
        <f t="shared" si="762"/>
        <v>0</v>
      </c>
      <c r="AN1111" s="2331"/>
      <c r="AO1111" s="2331"/>
      <c r="AP1111" s="2331"/>
      <c r="AQ1111" s="2332">
        <f t="shared" si="776"/>
        <v>0</v>
      </c>
      <c r="AR1111" s="2332"/>
      <c r="AS1111" s="2332"/>
      <c r="AT1111" s="2332">
        <f t="shared" si="777"/>
        <v>0</v>
      </c>
      <c r="AV1111" s="151" t="str">
        <f t="shared" si="757"/>
        <v>ELECTRICAL</v>
      </c>
      <c r="AW1111" s="681"/>
      <c r="AX1111" s="230"/>
      <c r="AY1111" s="230"/>
      <c r="AZ1111" s="679"/>
      <c r="BA1111" s="49">
        <f t="shared" si="778"/>
        <v>0</v>
      </c>
      <c r="BB1111" s="49">
        <f t="shared" si="783"/>
        <v>0</v>
      </c>
      <c r="BC1111" s="49">
        <f t="shared" si="784"/>
        <v>0</v>
      </c>
      <c r="BD1111" s="49">
        <f t="shared" si="779"/>
        <v>0</v>
      </c>
      <c r="BE1111" s="49">
        <f t="shared" si="785"/>
        <v>0</v>
      </c>
      <c r="BF1111" s="49">
        <f t="shared" si="780"/>
        <v>0</v>
      </c>
      <c r="BG1111" s="49">
        <f t="shared" si="781"/>
        <v>0</v>
      </c>
      <c r="BI1111" s="134">
        <f t="shared" si="786"/>
        <v>0</v>
      </c>
      <c r="BJ1111" s="134">
        <f t="shared" si="782"/>
        <v>0</v>
      </c>
      <c r="BK1111" s="134">
        <f t="shared" si="787"/>
        <v>0</v>
      </c>
    </row>
    <row r="1112" spans="1:63" hidden="1">
      <c r="A1112" s="187"/>
      <c r="B1112" s="2321"/>
      <c r="C1112" s="2322"/>
      <c r="D1112" s="2334"/>
      <c r="E1112" s="2334"/>
      <c r="F1112" s="2334"/>
      <c r="G1112" s="2334"/>
      <c r="H1112" s="2334"/>
      <c r="I1112" s="2334"/>
      <c r="J1112" s="2334"/>
      <c r="K1112" s="2334"/>
      <c r="L1112" s="2334"/>
      <c r="M1112" s="2334"/>
      <c r="N1112" s="2334"/>
      <c r="O1112" s="2334"/>
      <c r="P1112" s="2324"/>
      <c r="Q1112" s="2324"/>
      <c r="R1112" s="2325"/>
      <c r="S1112" s="2324"/>
      <c r="T1112" s="2324"/>
      <c r="U1112" s="2326"/>
      <c r="V1112" s="2327"/>
      <c r="W1112" s="2327"/>
      <c r="X1112" s="2327"/>
      <c r="Y1112" s="2327"/>
      <c r="Z1112" s="2327"/>
      <c r="AA1112" s="2326"/>
      <c r="AB1112" s="2327"/>
      <c r="AC1112" s="2327"/>
      <c r="AD1112" s="2330">
        <f t="shared" si="774"/>
        <v>0</v>
      </c>
      <c r="AE1112" s="2330"/>
      <c r="AF1112" s="2330"/>
      <c r="AG1112" s="2330">
        <f t="shared" si="768"/>
        <v>0</v>
      </c>
      <c r="AH1112" s="2330"/>
      <c r="AI1112" s="2330"/>
      <c r="AJ1112" s="2330">
        <f t="shared" si="775"/>
        <v>0</v>
      </c>
      <c r="AK1112" s="2330"/>
      <c r="AL1112" s="2330"/>
      <c r="AM1112" s="2331">
        <f t="shared" si="762"/>
        <v>0</v>
      </c>
      <c r="AN1112" s="2331"/>
      <c r="AO1112" s="2331"/>
      <c r="AP1112" s="2331"/>
      <c r="AQ1112" s="2332">
        <f t="shared" si="776"/>
        <v>0</v>
      </c>
      <c r="AR1112" s="2332"/>
      <c r="AS1112" s="2332"/>
      <c r="AT1112" s="2332">
        <f t="shared" si="777"/>
        <v>0</v>
      </c>
      <c r="AV1112" s="151" t="str">
        <f t="shared" si="757"/>
        <v>ELECTRICAL</v>
      </c>
      <c r="AW1112" s="681"/>
      <c r="AX1112" s="230"/>
      <c r="AY1112" s="230"/>
      <c r="AZ1112" s="679"/>
      <c r="BA1112" s="49">
        <f t="shared" si="778"/>
        <v>0</v>
      </c>
      <c r="BB1112" s="49">
        <f t="shared" si="783"/>
        <v>0</v>
      </c>
      <c r="BC1112" s="49">
        <f t="shared" si="784"/>
        <v>0</v>
      </c>
      <c r="BD1112" s="49">
        <f t="shared" si="779"/>
        <v>0</v>
      </c>
      <c r="BE1112" s="49">
        <f t="shared" si="785"/>
        <v>0</v>
      </c>
      <c r="BF1112" s="49">
        <f t="shared" si="780"/>
        <v>0</v>
      </c>
      <c r="BG1112" s="49">
        <f t="shared" si="781"/>
        <v>0</v>
      </c>
      <c r="BI1112" s="134">
        <f t="shared" si="786"/>
        <v>0</v>
      </c>
      <c r="BJ1112" s="134">
        <f t="shared" si="782"/>
        <v>0</v>
      </c>
      <c r="BK1112" s="134">
        <f t="shared" si="787"/>
        <v>0</v>
      </c>
    </row>
    <row r="1113" spans="1:63" hidden="1">
      <c r="A1113" s="187"/>
      <c r="B1113" s="2321"/>
      <c r="C1113" s="2322"/>
      <c r="D1113" s="2334"/>
      <c r="E1113" s="2334"/>
      <c r="F1113" s="2334"/>
      <c r="G1113" s="2334"/>
      <c r="H1113" s="2334"/>
      <c r="I1113" s="2334"/>
      <c r="J1113" s="2334"/>
      <c r="K1113" s="2334"/>
      <c r="L1113" s="2334"/>
      <c r="M1113" s="2334"/>
      <c r="N1113" s="2334"/>
      <c r="O1113" s="2334"/>
      <c r="P1113" s="2324"/>
      <c r="Q1113" s="2324"/>
      <c r="R1113" s="2325"/>
      <c r="S1113" s="2324"/>
      <c r="T1113" s="2324"/>
      <c r="U1113" s="2326"/>
      <c r="V1113" s="2327"/>
      <c r="W1113" s="2327"/>
      <c r="X1113" s="2327"/>
      <c r="Y1113" s="2327"/>
      <c r="Z1113" s="2327"/>
      <c r="AA1113" s="2326"/>
      <c r="AB1113" s="2327"/>
      <c r="AC1113" s="2327"/>
      <c r="AD1113" s="2330">
        <f t="shared" si="774"/>
        <v>0</v>
      </c>
      <c r="AE1113" s="2330"/>
      <c r="AF1113" s="2330"/>
      <c r="AG1113" s="2330">
        <f t="shared" si="768"/>
        <v>0</v>
      </c>
      <c r="AH1113" s="2330"/>
      <c r="AI1113" s="2330"/>
      <c r="AJ1113" s="2330">
        <f t="shared" si="775"/>
        <v>0</v>
      </c>
      <c r="AK1113" s="2330"/>
      <c r="AL1113" s="2330"/>
      <c r="AM1113" s="2331">
        <f t="shared" si="762"/>
        <v>0</v>
      </c>
      <c r="AN1113" s="2331"/>
      <c r="AO1113" s="2331"/>
      <c r="AP1113" s="2331"/>
      <c r="AQ1113" s="2332">
        <f t="shared" si="776"/>
        <v>0</v>
      </c>
      <c r="AR1113" s="2332"/>
      <c r="AS1113" s="2332"/>
      <c r="AT1113" s="2332">
        <f t="shared" si="777"/>
        <v>0</v>
      </c>
      <c r="AV1113" s="151" t="str">
        <f t="shared" si="757"/>
        <v>ELECTRICAL</v>
      </c>
      <c r="AW1113" s="681"/>
      <c r="AX1113" s="230"/>
      <c r="AY1113" s="230"/>
      <c r="AZ1113" s="679"/>
      <c r="BA1113" s="49">
        <f t="shared" si="778"/>
        <v>0</v>
      </c>
      <c r="BB1113" s="49">
        <f t="shared" si="783"/>
        <v>0</v>
      </c>
      <c r="BC1113" s="49">
        <f t="shared" si="784"/>
        <v>0</v>
      </c>
      <c r="BD1113" s="49">
        <f t="shared" si="779"/>
        <v>0</v>
      </c>
      <c r="BE1113" s="49">
        <f t="shared" si="785"/>
        <v>0</v>
      </c>
      <c r="BF1113" s="49">
        <f t="shared" si="780"/>
        <v>0</v>
      </c>
      <c r="BG1113" s="49">
        <f t="shared" si="781"/>
        <v>0</v>
      </c>
      <c r="BI1113" s="134">
        <f t="shared" si="786"/>
        <v>0</v>
      </c>
      <c r="BJ1113" s="134">
        <f t="shared" si="782"/>
        <v>0</v>
      </c>
      <c r="BK1113" s="134">
        <f t="shared" si="787"/>
        <v>0</v>
      </c>
    </row>
    <row r="1114" spans="1:63" hidden="1">
      <c r="A1114" s="187"/>
      <c r="B1114" s="2321"/>
      <c r="C1114" s="2322"/>
      <c r="D1114" s="2334"/>
      <c r="E1114" s="2334"/>
      <c r="F1114" s="2334"/>
      <c r="G1114" s="2334"/>
      <c r="H1114" s="2334"/>
      <c r="I1114" s="2334"/>
      <c r="J1114" s="2334"/>
      <c r="K1114" s="2334"/>
      <c r="L1114" s="2334"/>
      <c r="M1114" s="2334"/>
      <c r="N1114" s="2334"/>
      <c r="O1114" s="2334"/>
      <c r="P1114" s="2324"/>
      <c r="Q1114" s="2324"/>
      <c r="R1114" s="2325"/>
      <c r="S1114" s="2324"/>
      <c r="T1114" s="2324"/>
      <c r="U1114" s="2326"/>
      <c r="V1114" s="2327"/>
      <c r="W1114" s="2327"/>
      <c r="X1114" s="2327"/>
      <c r="Y1114" s="2327"/>
      <c r="Z1114" s="2327"/>
      <c r="AA1114" s="2326"/>
      <c r="AB1114" s="2327"/>
      <c r="AC1114" s="2327"/>
      <c r="AD1114" s="2330">
        <f t="shared" si="774"/>
        <v>0</v>
      </c>
      <c r="AE1114" s="2330"/>
      <c r="AF1114" s="2330"/>
      <c r="AG1114" s="2330">
        <f t="shared" si="768"/>
        <v>0</v>
      </c>
      <c r="AH1114" s="2330"/>
      <c r="AI1114" s="2330"/>
      <c r="AJ1114" s="2330">
        <f t="shared" si="775"/>
        <v>0</v>
      </c>
      <c r="AK1114" s="2330"/>
      <c r="AL1114" s="2330"/>
      <c r="AM1114" s="2331">
        <f t="shared" si="762"/>
        <v>0</v>
      </c>
      <c r="AN1114" s="2331"/>
      <c r="AO1114" s="2331"/>
      <c r="AP1114" s="2331"/>
      <c r="AQ1114" s="2332">
        <f t="shared" si="776"/>
        <v>0</v>
      </c>
      <c r="AR1114" s="2332"/>
      <c r="AS1114" s="2332"/>
      <c r="AT1114" s="2332">
        <f t="shared" si="777"/>
        <v>0</v>
      </c>
      <c r="AV1114" s="151" t="str">
        <f t="shared" si="757"/>
        <v>ELECTRICAL</v>
      </c>
      <c r="AW1114" s="681"/>
      <c r="AX1114" s="230"/>
      <c r="AY1114" s="230"/>
      <c r="AZ1114" s="679"/>
      <c r="BA1114" s="49">
        <f t="shared" si="778"/>
        <v>0</v>
      </c>
      <c r="BB1114" s="49">
        <f t="shared" si="783"/>
        <v>0</v>
      </c>
      <c r="BC1114" s="49">
        <f t="shared" si="784"/>
        <v>0</v>
      </c>
      <c r="BD1114" s="49">
        <f t="shared" si="779"/>
        <v>0</v>
      </c>
      <c r="BE1114" s="49">
        <f t="shared" si="785"/>
        <v>0</v>
      </c>
      <c r="BF1114" s="49">
        <f t="shared" si="780"/>
        <v>0</v>
      </c>
      <c r="BG1114" s="49">
        <f t="shared" si="781"/>
        <v>0</v>
      </c>
      <c r="BI1114" s="134">
        <f t="shared" si="786"/>
        <v>0</v>
      </c>
      <c r="BJ1114" s="134">
        <f t="shared" si="782"/>
        <v>0</v>
      </c>
      <c r="BK1114" s="134">
        <f t="shared" si="787"/>
        <v>0</v>
      </c>
    </row>
    <row r="1115" spans="1:63" hidden="1">
      <c r="A1115" s="187"/>
      <c r="B1115" s="2333"/>
      <c r="C1115" s="2333"/>
      <c r="D1115" s="2334"/>
      <c r="E1115" s="2334"/>
      <c r="F1115" s="2334"/>
      <c r="G1115" s="2334"/>
      <c r="H1115" s="2334"/>
      <c r="I1115" s="2334"/>
      <c r="J1115" s="2334"/>
      <c r="K1115" s="2334"/>
      <c r="L1115" s="2334"/>
      <c r="M1115" s="2334"/>
      <c r="N1115" s="2334"/>
      <c r="O1115" s="2334"/>
      <c r="P1115" s="2324"/>
      <c r="Q1115" s="2324"/>
      <c r="R1115" s="2325"/>
      <c r="S1115" s="2324"/>
      <c r="T1115" s="2324"/>
      <c r="U1115" s="2326"/>
      <c r="V1115" s="2327"/>
      <c r="W1115" s="2327"/>
      <c r="X1115" s="2327"/>
      <c r="Y1115" s="2327"/>
      <c r="Z1115" s="2327"/>
      <c r="AA1115" s="2326"/>
      <c r="AB1115" s="2327"/>
      <c r="AC1115" s="2327"/>
      <c r="AD1115" s="2330">
        <f t="shared" si="774"/>
        <v>0</v>
      </c>
      <c r="AE1115" s="2330"/>
      <c r="AF1115" s="2330"/>
      <c r="AG1115" s="2330">
        <f t="shared" si="768"/>
        <v>0</v>
      </c>
      <c r="AH1115" s="2330"/>
      <c r="AI1115" s="2330"/>
      <c r="AJ1115" s="2330">
        <f t="shared" si="775"/>
        <v>0</v>
      </c>
      <c r="AK1115" s="2330"/>
      <c r="AL1115" s="2330"/>
      <c r="AM1115" s="2331">
        <f t="shared" si="762"/>
        <v>0</v>
      </c>
      <c r="AN1115" s="2331"/>
      <c r="AO1115" s="2331"/>
      <c r="AP1115" s="2331"/>
      <c r="AQ1115" s="2332">
        <f t="shared" si="776"/>
        <v>0</v>
      </c>
      <c r="AR1115" s="2332"/>
      <c r="AS1115" s="2332"/>
      <c r="AT1115" s="2332">
        <f t="shared" si="777"/>
        <v>0</v>
      </c>
      <c r="AV1115" s="151" t="str">
        <f t="shared" si="757"/>
        <v>ELECTRICAL</v>
      </c>
      <c r="AW1115" s="681"/>
      <c r="AX1115" s="230"/>
      <c r="AY1115" s="230"/>
      <c r="AZ1115" s="679"/>
      <c r="BA1115" s="49">
        <f t="shared" si="778"/>
        <v>0</v>
      </c>
      <c r="BB1115" s="49">
        <f t="shared" si="783"/>
        <v>0</v>
      </c>
      <c r="BC1115" s="49">
        <f t="shared" si="784"/>
        <v>0</v>
      </c>
      <c r="BD1115" s="49">
        <f t="shared" si="779"/>
        <v>0</v>
      </c>
      <c r="BE1115" s="49">
        <f t="shared" si="785"/>
        <v>0</v>
      </c>
      <c r="BF1115" s="49">
        <f t="shared" si="780"/>
        <v>0</v>
      </c>
      <c r="BG1115" s="49">
        <f t="shared" si="781"/>
        <v>0</v>
      </c>
      <c r="BI1115" s="134">
        <f t="shared" si="786"/>
        <v>0</v>
      </c>
      <c r="BJ1115" s="134">
        <f t="shared" si="782"/>
        <v>0</v>
      </c>
      <c r="BK1115" s="134">
        <f t="shared" si="787"/>
        <v>0</v>
      </c>
    </row>
    <row r="1116" spans="1:63" hidden="1">
      <c r="A1116" s="187"/>
      <c r="B1116" s="2333"/>
      <c r="C1116" s="2333"/>
      <c r="D1116" s="2334"/>
      <c r="E1116" s="2334"/>
      <c r="F1116" s="2334"/>
      <c r="G1116" s="2334"/>
      <c r="H1116" s="2334"/>
      <c r="I1116" s="2334"/>
      <c r="J1116" s="2334"/>
      <c r="K1116" s="2334"/>
      <c r="L1116" s="2334"/>
      <c r="M1116" s="2334"/>
      <c r="N1116" s="2334"/>
      <c r="O1116" s="2334"/>
      <c r="P1116" s="2324"/>
      <c r="Q1116" s="2324"/>
      <c r="R1116" s="2325"/>
      <c r="S1116" s="2324"/>
      <c r="T1116" s="2324"/>
      <c r="U1116" s="2326"/>
      <c r="V1116" s="2327"/>
      <c r="W1116" s="2327"/>
      <c r="X1116" s="2327"/>
      <c r="Y1116" s="2327"/>
      <c r="Z1116" s="2327"/>
      <c r="AA1116" s="2326"/>
      <c r="AB1116" s="2327"/>
      <c r="AC1116" s="2327"/>
      <c r="AD1116" s="2330">
        <f t="shared" si="774"/>
        <v>0</v>
      </c>
      <c r="AE1116" s="2330"/>
      <c r="AF1116" s="2330"/>
      <c r="AG1116" s="2330">
        <f t="shared" si="768"/>
        <v>0</v>
      </c>
      <c r="AH1116" s="2330"/>
      <c r="AI1116" s="2330"/>
      <c r="AJ1116" s="2330">
        <f t="shared" si="775"/>
        <v>0</v>
      </c>
      <c r="AK1116" s="2330"/>
      <c r="AL1116" s="2330"/>
      <c r="AM1116" s="2331">
        <f t="shared" si="762"/>
        <v>0</v>
      </c>
      <c r="AN1116" s="2331"/>
      <c r="AO1116" s="2331"/>
      <c r="AP1116" s="2331"/>
      <c r="AQ1116" s="2332">
        <f t="shared" si="776"/>
        <v>0</v>
      </c>
      <c r="AR1116" s="2332"/>
      <c r="AS1116" s="2332"/>
      <c r="AT1116" s="2332">
        <f t="shared" si="777"/>
        <v>0</v>
      </c>
      <c r="AV1116" s="151" t="str">
        <f t="shared" si="757"/>
        <v>ELECTRICAL</v>
      </c>
      <c r="AW1116" s="681"/>
      <c r="AX1116" s="230"/>
      <c r="AY1116" s="230"/>
      <c r="AZ1116" s="679"/>
      <c r="BA1116" s="49">
        <f t="shared" si="778"/>
        <v>0</v>
      </c>
      <c r="BB1116" s="49">
        <f t="shared" si="783"/>
        <v>0</v>
      </c>
      <c r="BC1116" s="49">
        <f t="shared" si="784"/>
        <v>0</v>
      </c>
      <c r="BD1116" s="49">
        <f t="shared" si="779"/>
        <v>0</v>
      </c>
      <c r="BE1116" s="49">
        <f>SUM(BA1116:BC1116)</f>
        <v>0</v>
      </c>
      <c r="BF1116" s="49">
        <f t="shared" si="780"/>
        <v>0</v>
      </c>
      <c r="BG1116" s="49">
        <f t="shared" si="781"/>
        <v>0</v>
      </c>
      <c r="BI1116" s="134">
        <f t="shared" si="786"/>
        <v>0</v>
      </c>
      <c r="BJ1116" s="134">
        <f t="shared" si="782"/>
        <v>0</v>
      </c>
      <c r="BK1116" s="134">
        <f t="shared" si="787"/>
        <v>0</v>
      </c>
    </row>
    <row r="1117" spans="1:63" hidden="1">
      <c r="A1117" s="187"/>
      <c r="B1117" s="2321"/>
      <c r="C1117" s="2322"/>
      <c r="D1117" s="2334"/>
      <c r="E1117" s="2334"/>
      <c r="F1117" s="2334"/>
      <c r="G1117" s="2334"/>
      <c r="H1117" s="2334"/>
      <c r="I1117" s="2334"/>
      <c r="J1117" s="2334"/>
      <c r="K1117" s="2334"/>
      <c r="L1117" s="2334"/>
      <c r="M1117" s="2334"/>
      <c r="N1117" s="2334"/>
      <c r="O1117" s="2334"/>
      <c r="P1117" s="2324"/>
      <c r="Q1117" s="2324"/>
      <c r="R1117" s="2325"/>
      <c r="S1117" s="2324"/>
      <c r="T1117" s="2324"/>
      <c r="U1117" s="2326"/>
      <c r="V1117" s="2327"/>
      <c r="W1117" s="2327"/>
      <c r="X1117" s="2327"/>
      <c r="Y1117" s="2327"/>
      <c r="Z1117" s="2327"/>
      <c r="AA1117" s="2326"/>
      <c r="AB1117" s="2327"/>
      <c r="AC1117" s="2327"/>
      <c r="AD1117" s="2330">
        <f t="shared" si="774"/>
        <v>0</v>
      </c>
      <c r="AE1117" s="2330"/>
      <c r="AF1117" s="2330"/>
      <c r="AG1117" s="2330">
        <f t="shared" si="768"/>
        <v>0</v>
      </c>
      <c r="AH1117" s="2330"/>
      <c r="AI1117" s="2330"/>
      <c r="AJ1117" s="2330">
        <f t="shared" si="775"/>
        <v>0</v>
      </c>
      <c r="AK1117" s="2330"/>
      <c r="AL1117" s="2330"/>
      <c r="AM1117" s="2331">
        <f t="shared" si="762"/>
        <v>0</v>
      </c>
      <c r="AN1117" s="2331"/>
      <c r="AO1117" s="2331"/>
      <c r="AP1117" s="2331"/>
      <c r="AQ1117" s="2332">
        <f t="shared" si="776"/>
        <v>0</v>
      </c>
      <c r="AR1117" s="2332"/>
      <c r="AS1117" s="2332"/>
      <c r="AT1117" s="2332">
        <f t="shared" si="777"/>
        <v>0</v>
      </c>
      <c r="AV1117" s="151" t="str">
        <f t="shared" si="757"/>
        <v>ELECTRICAL</v>
      </c>
      <c r="AW1117" s="681"/>
      <c r="AX1117" s="230"/>
      <c r="AY1117" s="230"/>
      <c r="AZ1117" s="679"/>
      <c r="BA1117" s="49">
        <f t="shared" si="778"/>
        <v>0</v>
      </c>
      <c r="BB1117" s="49">
        <f t="shared" si="783"/>
        <v>0</v>
      </c>
      <c r="BC1117" s="49">
        <f t="shared" si="784"/>
        <v>0</v>
      </c>
      <c r="BD1117" s="49">
        <f t="shared" si="779"/>
        <v>0</v>
      </c>
      <c r="BE1117" s="49">
        <f>SUM(BA1117:BC1117)</f>
        <v>0</v>
      </c>
      <c r="BF1117" s="49">
        <f t="shared" si="780"/>
        <v>0</v>
      </c>
      <c r="BG1117" s="49">
        <f t="shared" si="781"/>
        <v>0</v>
      </c>
      <c r="BI1117" s="134">
        <f t="shared" si="786"/>
        <v>0</v>
      </c>
      <c r="BJ1117" s="134">
        <f t="shared" si="782"/>
        <v>0</v>
      </c>
      <c r="BK1117" s="134">
        <f t="shared" si="787"/>
        <v>0</v>
      </c>
    </row>
    <row r="1118" spans="1:63" ht="5.0999999999999996" hidden="1" customHeight="1">
      <c r="A1118" s="187"/>
      <c r="B1118" s="64"/>
      <c r="C1118" s="64"/>
      <c r="D1118" s="885"/>
      <c r="E1118" s="885"/>
      <c r="F1118" s="885"/>
      <c r="G1118" s="885"/>
      <c r="H1118" s="885"/>
      <c r="I1118" s="885"/>
      <c r="J1118" s="885"/>
      <c r="K1118" s="885"/>
      <c r="L1118" s="885"/>
      <c r="M1118" s="885"/>
      <c r="N1118" s="885"/>
      <c r="O1118" s="885"/>
      <c r="P1118" s="66"/>
      <c r="Q1118" s="66"/>
      <c r="R1118" s="66"/>
      <c r="S1118" s="66"/>
      <c r="T1118" s="66"/>
      <c r="U1118" s="67"/>
      <c r="V1118" s="67"/>
      <c r="W1118" s="67"/>
      <c r="X1118" s="67"/>
      <c r="Y1118" s="67"/>
      <c r="Z1118" s="67"/>
      <c r="AA1118" s="67"/>
      <c r="AB1118" s="67"/>
      <c r="AC1118" s="67"/>
      <c r="AD1118" s="68"/>
      <c r="AE1118" s="68"/>
      <c r="AF1118" s="68"/>
      <c r="AG1118" s="68"/>
      <c r="AH1118" s="68"/>
      <c r="AI1118" s="68"/>
      <c r="AJ1118" s="68"/>
      <c r="AK1118" s="68"/>
      <c r="AL1118" s="68"/>
      <c r="AM1118" s="69"/>
      <c r="AN1118" s="69"/>
      <c r="AO1118" s="69"/>
      <c r="AP1118" s="69"/>
      <c r="AQ1118" s="661"/>
      <c r="AR1118" s="661"/>
      <c r="AS1118" s="661"/>
      <c r="AT1118" s="661"/>
      <c r="AV1118" s="369" t="str">
        <f t="shared" si="757"/>
        <v>ELECTRICAL</v>
      </c>
      <c r="AW1118" s="696"/>
      <c r="AX1118" s="696"/>
      <c r="AY1118" s="696"/>
      <c r="AZ1118" s="369"/>
      <c r="BA1118" s="75">
        <f>BA1077</f>
        <v>0</v>
      </c>
      <c r="BB1118" s="75">
        <f>BB1077</f>
        <v>0</v>
      </c>
      <c r="BC1118" s="75">
        <f>BC1077</f>
        <v>0</v>
      </c>
      <c r="BD1118" s="75">
        <f>BD1077</f>
        <v>0</v>
      </c>
      <c r="BE1118" s="75">
        <f>BE1077</f>
        <v>0</v>
      </c>
      <c r="BF1118" s="75"/>
      <c r="BG1118" s="75"/>
      <c r="BI1118" s="75"/>
      <c r="BJ1118" s="75"/>
      <c r="BK1118" s="75"/>
    </row>
    <row r="1119" spans="1:63" ht="21.6" hidden="1" customHeight="1">
      <c r="A1119" s="187"/>
      <c r="B1119" s="2424"/>
      <c r="C1119" s="2424"/>
      <c r="D1119" s="886"/>
      <c r="E1119" s="886"/>
      <c r="F1119" s="886"/>
      <c r="G1119" s="886"/>
      <c r="H1119" s="886"/>
      <c r="I1119" s="886"/>
      <c r="J1119" s="886"/>
      <c r="K1119" s="886"/>
      <c r="L1119" s="886"/>
      <c r="M1119" s="886"/>
      <c r="N1119" s="886"/>
      <c r="O1119" s="886"/>
      <c r="P1119" s="37"/>
      <c r="Q1119" s="37"/>
      <c r="R1119" s="37"/>
      <c r="S1119" s="37"/>
      <c r="T1119" s="37"/>
      <c r="U1119" s="37"/>
      <c r="V1119" s="37"/>
      <c r="W1119" s="37"/>
      <c r="X1119" s="37"/>
      <c r="Y1119" s="37"/>
      <c r="Z1119" s="37"/>
      <c r="AA1119" s="37"/>
      <c r="AB1119" s="37"/>
      <c r="AC1119" s="370" t="str">
        <f>CONCATENATE(D1077," ","TOTAL")</f>
        <v>ELECTRICAL TOTAL</v>
      </c>
      <c r="AD1119" s="2342">
        <f>SUBTOTAL(9,AD1078:AD1118)</f>
        <v>0</v>
      </c>
      <c r="AE1119" s="2342"/>
      <c r="AF1119" s="2342"/>
      <c r="AG1119" s="2342">
        <f>SUBTOTAL(9,AG1078:AG1118)</f>
        <v>0</v>
      </c>
      <c r="AH1119" s="2342"/>
      <c r="AI1119" s="2342"/>
      <c r="AJ1119" s="2342">
        <f>SUBTOTAL(9,AJ1078:AJ1118)</f>
        <v>0</v>
      </c>
      <c r="AK1119" s="2342"/>
      <c r="AL1119" s="2342"/>
      <c r="AM1119" s="2342">
        <f>SUBTOTAL(9,AM1078:AM1118)</f>
        <v>0</v>
      </c>
      <c r="AN1119" s="2342"/>
      <c r="AO1119" s="2342"/>
      <c r="AP1119" s="2342"/>
      <c r="AQ1119" s="2336">
        <f>SUBTOTAL(9,AQ1078:AQ1118)</f>
        <v>0</v>
      </c>
      <c r="AR1119" s="2336"/>
      <c r="AS1119" s="2336"/>
      <c r="AT1119" s="2336" t="e">
        <f>SUM(AT1075:AT1110)</f>
        <v>#REF!</v>
      </c>
      <c r="AV1119" s="151" t="str">
        <f t="shared" si="757"/>
        <v>ELECTRICAL</v>
      </c>
      <c r="AW1119" s="682"/>
      <c r="AX1119" s="695"/>
      <c r="AY1119" s="695"/>
      <c r="AZ1119" s="274"/>
      <c r="BA1119" s="74">
        <f>BA1077</f>
        <v>0</v>
      </c>
      <c r="BB1119" s="74">
        <f>BB1077</f>
        <v>0</v>
      </c>
      <c r="BC1119" s="74">
        <f>BC1077</f>
        <v>0</v>
      </c>
      <c r="BD1119" s="74">
        <f>BD1077</f>
        <v>0</v>
      </c>
      <c r="BE1119" s="74">
        <f>BE1077</f>
        <v>0</v>
      </c>
      <c r="BF1119" s="74">
        <f>SUM(BF1077:BF1118)</f>
        <v>0</v>
      </c>
      <c r="BG1119" s="49">
        <f>SUM(BG1077:BG1118)</f>
        <v>0</v>
      </c>
      <c r="BI1119" s="74">
        <f>SUM(BI1078:BI1118)</f>
        <v>0</v>
      </c>
      <c r="BJ1119" s="74">
        <f>SUM(BJ1078:BJ1118)</f>
        <v>0</v>
      </c>
      <c r="BK1119" s="49">
        <f>SUM(BK1078:BK1118)</f>
        <v>0</v>
      </c>
    </row>
    <row r="1120" spans="1:63" ht="5.0999999999999996" hidden="1" customHeight="1">
      <c r="A1120" s="187"/>
      <c r="B1120" s="64"/>
      <c r="C1120" s="64"/>
      <c r="D1120" s="885"/>
      <c r="E1120" s="885"/>
      <c r="F1120" s="885"/>
      <c r="G1120" s="885"/>
      <c r="H1120" s="885"/>
      <c r="I1120" s="885"/>
      <c r="J1120" s="885"/>
      <c r="K1120" s="885"/>
      <c r="L1120" s="885"/>
      <c r="M1120" s="885"/>
      <c r="N1120" s="885"/>
      <c r="O1120" s="885"/>
      <c r="P1120" s="66"/>
      <c r="Q1120" s="66"/>
      <c r="R1120" s="66"/>
      <c r="S1120" s="66"/>
      <c r="T1120" s="66"/>
      <c r="U1120" s="67"/>
      <c r="V1120" s="67"/>
      <c r="W1120" s="67"/>
      <c r="X1120" s="67"/>
      <c r="Y1120" s="67"/>
      <c r="Z1120" s="67"/>
      <c r="AA1120" s="67"/>
      <c r="AB1120" s="67"/>
      <c r="AC1120" s="67"/>
      <c r="AD1120" s="68"/>
      <c r="AE1120" s="68"/>
      <c r="AF1120" s="68"/>
      <c r="AG1120" s="68"/>
      <c r="AH1120" s="68"/>
      <c r="AI1120" s="68"/>
      <c r="AJ1120" s="68"/>
      <c r="AK1120" s="68"/>
      <c r="AL1120" s="68"/>
      <c r="AM1120" s="69"/>
      <c r="AN1120" s="69"/>
      <c r="AO1120" s="69"/>
      <c r="AP1120" s="69"/>
      <c r="AQ1120" s="661"/>
      <c r="AR1120" s="661"/>
      <c r="AS1120" s="661"/>
      <c r="AT1120" s="661"/>
      <c r="AV1120" s="369" t="str">
        <f t="shared" si="757"/>
        <v>ELECTRICAL</v>
      </c>
      <c r="AW1120" s="696"/>
      <c r="AX1120" s="696"/>
      <c r="AY1120" s="696"/>
      <c r="AZ1120" s="369"/>
      <c r="BA1120" s="75">
        <f>BA1077</f>
        <v>0</v>
      </c>
      <c r="BB1120" s="75">
        <f>BB1077</f>
        <v>0</v>
      </c>
      <c r="BC1120" s="75">
        <f>BC1077</f>
        <v>0</v>
      </c>
      <c r="BD1120" s="75">
        <f>BD1077</f>
        <v>0</v>
      </c>
      <c r="BE1120" s="75">
        <f>BE1077</f>
        <v>0</v>
      </c>
      <c r="BF1120" s="75"/>
      <c r="BG1120" s="75"/>
      <c r="BI1120" s="75"/>
      <c r="BJ1120" s="75"/>
      <c r="BK1120" s="75"/>
    </row>
    <row r="1121" spans="1:63" ht="9.6" hidden="1" customHeight="1">
      <c r="A1121" s="187"/>
      <c r="B1121" s="71"/>
      <c r="C1121" s="71"/>
      <c r="D1121" s="887"/>
      <c r="E1121" s="887"/>
      <c r="F1121" s="887"/>
      <c r="G1121" s="887"/>
      <c r="H1121" s="887"/>
      <c r="I1121" s="887"/>
      <c r="J1121" s="887"/>
      <c r="K1121" s="887"/>
      <c r="L1121" s="887"/>
      <c r="M1121" s="887"/>
      <c r="N1121" s="887"/>
      <c r="O1121" s="887"/>
      <c r="P1121" s="72"/>
      <c r="Q1121" s="72"/>
      <c r="R1121" s="72"/>
      <c r="S1121" s="72"/>
      <c r="T1121" s="72"/>
      <c r="U1121" s="72"/>
      <c r="V1121" s="72"/>
      <c r="W1121" s="72"/>
      <c r="X1121" s="72"/>
      <c r="Y1121" s="72"/>
      <c r="Z1121" s="72"/>
      <c r="AA1121" s="72"/>
      <c r="AB1121" s="72"/>
      <c r="AC1121" s="73"/>
      <c r="AD1121" s="662"/>
      <c r="AE1121" s="662"/>
      <c r="AF1121" s="662"/>
      <c r="AG1121" s="662"/>
      <c r="AH1121" s="662"/>
      <c r="AI1121" s="662"/>
      <c r="AJ1121" s="662"/>
      <c r="AK1121" s="662"/>
      <c r="AL1121" s="662"/>
      <c r="AM1121" s="662"/>
      <c r="AN1121" s="662"/>
      <c r="AO1121" s="662"/>
      <c r="AP1121" s="662"/>
      <c r="AQ1121" s="663"/>
      <c r="AR1121" s="663"/>
      <c r="AS1121" s="663"/>
      <c r="AT1121" s="663"/>
      <c r="AV1121" s="371" t="str">
        <f t="shared" si="757"/>
        <v>ELECTRICAL</v>
      </c>
      <c r="AW1121" s="699"/>
      <c r="AX1121" s="801"/>
      <c r="AY1121" s="801"/>
      <c r="AZ1121" s="371"/>
      <c r="BA1121" s="125">
        <f>BA1119</f>
        <v>0</v>
      </c>
      <c r="BB1121" s="125">
        <f t="shared" ref="BB1121:BG1121" si="788">BB1119</f>
        <v>0</v>
      </c>
      <c r="BC1121" s="125">
        <f>BC1119</f>
        <v>0</v>
      </c>
      <c r="BD1121" s="125">
        <f t="shared" si="788"/>
        <v>0</v>
      </c>
      <c r="BE1121" s="125">
        <f t="shared" si="788"/>
        <v>0</v>
      </c>
      <c r="BF1121" s="125">
        <f t="shared" si="788"/>
        <v>0</v>
      </c>
      <c r="BG1121" s="125">
        <f t="shared" si="788"/>
        <v>0</v>
      </c>
      <c r="BI1121" s="125"/>
      <c r="BJ1121" s="125"/>
      <c r="BK1121" s="125"/>
    </row>
    <row r="1122" spans="1:63" ht="23.1" customHeight="1" thickBot="1">
      <c r="A1122" s="186" t="s">
        <v>952</v>
      </c>
      <c r="B1122" s="2343"/>
      <c r="C1122" s="2344"/>
      <c r="D1122" s="2387" t="str">
        <f>T(AJ82)</f>
        <v>MISCELLANEOUS</v>
      </c>
      <c r="E1122" s="2388"/>
      <c r="F1122" s="2388"/>
      <c r="G1122" s="2388"/>
      <c r="H1122" s="2388"/>
      <c r="I1122" s="2388"/>
      <c r="J1122" s="2388"/>
      <c r="K1122" s="2388"/>
      <c r="L1122" s="2388"/>
      <c r="M1122" s="2388"/>
      <c r="N1122" s="2388"/>
      <c r="O1122" s="2389"/>
      <c r="P1122" s="2345"/>
      <c r="Q1122" s="2345"/>
      <c r="R1122" s="2345"/>
      <c r="S1122" s="2346"/>
      <c r="T1122" s="2347"/>
      <c r="U1122" s="2348"/>
      <c r="V1122" s="2348"/>
      <c r="W1122" s="2348"/>
      <c r="X1122" s="2348"/>
      <c r="Y1122" s="2348"/>
      <c r="Z1122" s="2348"/>
      <c r="AA1122" s="2348"/>
      <c r="AB1122" s="2348"/>
      <c r="AC1122" s="2348"/>
      <c r="AD1122" s="2342">
        <f>AD1164</f>
        <v>0</v>
      </c>
      <c r="AE1122" s="2342"/>
      <c r="AF1122" s="2342"/>
      <c r="AG1122" s="2342">
        <f>AG1164</f>
        <v>0</v>
      </c>
      <c r="AH1122" s="2342"/>
      <c r="AI1122" s="2342"/>
      <c r="AJ1122" s="2342">
        <f>AJ1164</f>
        <v>0</v>
      </c>
      <c r="AK1122" s="2342"/>
      <c r="AL1122" s="2342"/>
      <c r="AM1122" s="2342">
        <f>AM1164</f>
        <v>0</v>
      </c>
      <c r="AN1122" s="2342"/>
      <c r="AO1122" s="2342"/>
      <c r="AP1122" s="2342"/>
      <c r="AQ1122" s="2336">
        <f>AQ1164</f>
        <v>0</v>
      </c>
      <c r="AR1122" s="2336"/>
      <c r="AS1122" s="2336"/>
      <c r="AT1122" s="2336" t="e">
        <f>SUM(#REF!)</f>
        <v>#REF!</v>
      </c>
      <c r="AV1122" s="151" t="str">
        <f t="shared" ref="AV1122:AV1165" si="789">$D$1122</f>
        <v>MISCELLANEOUS</v>
      </c>
      <c r="AW1122" s="700"/>
      <c r="AX1122" s="700"/>
      <c r="AY1122" s="700"/>
      <c r="AZ1122" s="701"/>
      <c r="BA1122" s="49">
        <f>SUM(BA1123:BA1162)</f>
        <v>0</v>
      </c>
      <c r="BB1122" s="49">
        <f>SUM(BB1123:BB1162)</f>
        <v>0</v>
      </c>
      <c r="BC1122" s="49">
        <f>SUM(BC1123:BC1162)</f>
        <v>0</v>
      </c>
      <c r="BD1122" s="49">
        <f>SUM(BD1123:BD1162)</f>
        <v>0</v>
      </c>
      <c r="BE1122" s="49">
        <f>SUM(BE1123:BE1162)</f>
        <v>0</v>
      </c>
      <c r="BF1122" s="49">
        <f t="shared" ref="BF1122:BF1142" si="790">AQ1122</f>
        <v>0</v>
      </c>
      <c r="BG1122" s="49">
        <f t="shared" ref="BG1122:BG1142" si="791">AM1122</f>
        <v>0</v>
      </c>
      <c r="BI1122" s="134">
        <f>AD1122</f>
        <v>0</v>
      </c>
      <c r="BJ1122" s="134">
        <f>AM1122</f>
        <v>0</v>
      </c>
      <c r="BK1122" s="134">
        <f>BJ1122+BI1122</f>
        <v>0</v>
      </c>
    </row>
    <row r="1123" spans="1:63" hidden="1">
      <c r="A1123" s="11"/>
      <c r="B1123" s="2321"/>
      <c r="C1123" s="2322"/>
      <c r="D1123" s="2323" t="s">
        <v>42</v>
      </c>
      <c r="E1123" s="2323"/>
      <c r="F1123" s="2323"/>
      <c r="G1123" s="2323"/>
      <c r="H1123" s="2323"/>
      <c r="I1123" s="2323"/>
      <c r="J1123" s="2323"/>
      <c r="K1123" s="2323"/>
      <c r="L1123" s="2323"/>
      <c r="M1123" s="2323"/>
      <c r="N1123" s="2323"/>
      <c r="O1123" s="2323"/>
      <c r="P1123" s="2324"/>
      <c r="Q1123" s="2324"/>
      <c r="R1123" s="2325"/>
      <c r="S1123" s="2324" t="s">
        <v>2</v>
      </c>
      <c r="T1123" s="2324" t="s">
        <v>2</v>
      </c>
      <c r="U1123" s="2326">
        <v>50</v>
      </c>
      <c r="V1123" s="2327"/>
      <c r="W1123" s="2327"/>
      <c r="X1123" s="2327">
        <v>50</v>
      </c>
      <c r="Y1123" s="2327"/>
      <c r="Z1123" s="2327">
        <v>50</v>
      </c>
      <c r="AA1123" s="2328"/>
      <c r="AB1123" s="2329"/>
      <c r="AC1123" s="2326"/>
      <c r="AD1123" s="2330">
        <f t="shared" ref="AD1123:AD1142" si="792">((P1123*U1123)-AM1123)</f>
        <v>0</v>
      </c>
      <c r="AE1123" s="2330"/>
      <c r="AF1123" s="2330"/>
      <c r="AG1123" s="2330">
        <f>P1123*X1123*(1+$Y$85)</f>
        <v>0</v>
      </c>
      <c r="AH1123" s="2330"/>
      <c r="AI1123" s="2330"/>
      <c r="AJ1123" s="2330">
        <f t="shared" ref="AJ1123:AJ1142" si="793">P1123*AA1123</f>
        <v>0</v>
      </c>
      <c r="AK1123" s="2330"/>
      <c r="AL1123" s="2330"/>
      <c r="AM1123" s="2331">
        <f t="shared" ref="AM1123:AM1162" si="794">IF($B1123="x",$P1123*$U1123,0)</f>
        <v>0</v>
      </c>
      <c r="AN1123" s="2331"/>
      <c r="AO1123" s="2331"/>
      <c r="AP1123" s="2331"/>
      <c r="AQ1123" s="2332">
        <f t="shared" ref="AQ1123:AQ1142" si="795">SUM(AD1123:AL1123)</f>
        <v>0</v>
      </c>
      <c r="AR1123" s="2332"/>
      <c r="AS1123" s="2332"/>
      <c r="AT1123" s="2332">
        <f t="shared" ref="AT1123:AT1142" si="796">SUM(AD1123:AL1123)</f>
        <v>0</v>
      </c>
      <c r="AV1123" s="151" t="str">
        <f t="shared" si="789"/>
        <v>MISCELLANEOUS</v>
      </c>
      <c r="AW1123" s="681" t="s">
        <v>46</v>
      </c>
      <c r="AX1123" s="230"/>
      <c r="AY1123" s="230"/>
      <c r="AZ1123" s="679"/>
      <c r="BA1123" s="49">
        <f t="shared" ref="BA1123:BA1142" si="797">AD1123</f>
        <v>0</v>
      </c>
      <c r="BB1123" s="49">
        <f>AG1123</f>
        <v>0</v>
      </c>
      <c r="BC1123" s="49">
        <f>AJ1123</f>
        <v>0</v>
      </c>
      <c r="BD1123" s="49">
        <f t="shared" ref="BD1123:BD1142" si="798">IF(B1123="x",1,0)</f>
        <v>0</v>
      </c>
      <c r="BE1123" s="49">
        <f>SUM(BA1123:BC1123)</f>
        <v>0</v>
      </c>
      <c r="BF1123" s="49">
        <f t="shared" si="790"/>
        <v>0</v>
      </c>
      <c r="BG1123" s="49">
        <f t="shared" si="791"/>
        <v>0</v>
      </c>
      <c r="BI1123" s="134">
        <f>AD1123</f>
        <v>0</v>
      </c>
      <c r="BJ1123" s="134">
        <f t="shared" ref="BJ1123:BJ1142" si="799">AM1123</f>
        <v>0</v>
      </c>
      <c r="BK1123" s="134">
        <f>BJ1123+BI1123</f>
        <v>0</v>
      </c>
    </row>
    <row r="1124" spans="1:63" hidden="1">
      <c r="A1124" s="11"/>
      <c r="B1124" s="2333"/>
      <c r="C1124" s="2333"/>
      <c r="D1124" s="2323" t="s">
        <v>402</v>
      </c>
      <c r="E1124" s="2323"/>
      <c r="F1124" s="2323"/>
      <c r="G1124" s="2323"/>
      <c r="H1124" s="2323"/>
      <c r="I1124" s="2323"/>
      <c r="J1124" s="2323"/>
      <c r="K1124" s="2323"/>
      <c r="L1124" s="2323"/>
      <c r="M1124" s="2323"/>
      <c r="N1124" s="2323"/>
      <c r="O1124" s="2323"/>
      <c r="P1124" s="2324"/>
      <c r="Q1124" s="2324"/>
      <c r="R1124" s="2325"/>
      <c r="S1124" s="2324" t="s">
        <v>2</v>
      </c>
      <c r="T1124" s="2324" t="s">
        <v>2</v>
      </c>
      <c r="U1124" s="2326">
        <v>25</v>
      </c>
      <c r="V1124" s="2327"/>
      <c r="W1124" s="2327"/>
      <c r="X1124" s="2327">
        <v>70</v>
      </c>
      <c r="Y1124" s="2327"/>
      <c r="Z1124" s="2327">
        <v>70</v>
      </c>
      <c r="AA1124" s="2328"/>
      <c r="AB1124" s="2329"/>
      <c r="AC1124" s="2326"/>
      <c r="AD1124" s="2330">
        <f t="shared" si="792"/>
        <v>0</v>
      </c>
      <c r="AE1124" s="2330"/>
      <c r="AF1124" s="2330"/>
      <c r="AG1124" s="2330">
        <f t="shared" ref="AG1124:AG1162" si="800">P1124*X1124*(1+$Y$85)</f>
        <v>0</v>
      </c>
      <c r="AH1124" s="2330"/>
      <c r="AI1124" s="2330"/>
      <c r="AJ1124" s="2330">
        <f t="shared" si="793"/>
        <v>0</v>
      </c>
      <c r="AK1124" s="2330"/>
      <c r="AL1124" s="2330"/>
      <c r="AM1124" s="2331">
        <f t="shared" si="794"/>
        <v>0</v>
      </c>
      <c r="AN1124" s="2331"/>
      <c r="AO1124" s="2331"/>
      <c r="AP1124" s="2331"/>
      <c r="AQ1124" s="2332">
        <f t="shared" si="795"/>
        <v>0</v>
      </c>
      <c r="AR1124" s="2332"/>
      <c r="AS1124" s="2332"/>
      <c r="AT1124" s="2332">
        <f t="shared" si="796"/>
        <v>0</v>
      </c>
      <c r="AV1124" s="151" t="str">
        <f t="shared" si="789"/>
        <v>MISCELLANEOUS</v>
      </c>
      <c r="AW1124" s="681" t="s">
        <v>46</v>
      </c>
      <c r="AX1124" s="230"/>
      <c r="AY1124" s="230"/>
      <c r="AZ1124" s="679"/>
      <c r="BA1124" s="49">
        <f t="shared" si="797"/>
        <v>0</v>
      </c>
      <c r="BB1124" s="49">
        <f t="shared" ref="BB1124:BB1142" si="801">AG1124</f>
        <v>0</v>
      </c>
      <c r="BC1124" s="49">
        <f t="shared" ref="BC1124:BC1142" si="802">AJ1124</f>
        <v>0</v>
      </c>
      <c r="BD1124" s="49">
        <f t="shared" si="798"/>
        <v>0</v>
      </c>
      <c r="BE1124" s="49">
        <f t="shared" ref="BE1124:BE1140" si="803">SUM(BA1124:BC1124)</f>
        <v>0</v>
      </c>
      <c r="BF1124" s="49">
        <f t="shared" si="790"/>
        <v>0</v>
      </c>
      <c r="BG1124" s="49">
        <f t="shared" si="791"/>
        <v>0</v>
      </c>
      <c r="BI1124" s="134">
        <f t="shared" ref="BI1124:BI1142" si="804">AD1124</f>
        <v>0</v>
      </c>
      <c r="BJ1124" s="134">
        <f t="shared" si="799"/>
        <v>0</v>
      </c>
      <c r="BK1124" s="134">
        <f t="shared" ref="BK1124:BK1142" si="805">BJ1124+BI1124</f>
        <v>0</v>
      </c>
    </row>
    <row r="1125" spans="1:63" hidden="1">
      <c r="A1125" s="11"/>
      <c r="B1125" s="2333"/>
      <c r="C1125" s="2333"/>
      <c r="D1125" s="2323" t="s">
        <v>831</v>
      </c>
      <c r="E1125" s="2323"/>
      <c r="F1125" s="2323"/>
      <c r="G1125" s="2323"/>
      <c r="H1125" s="2323"/>
      <c r="I1125" s="2323"/>
      <c r="J1125" s="2323"/>
      <c r="K1125" s="2323"/>
      <c r="L1125" s="2323"/>
      <c r="M1125" s="2323"/>
      <c r="N1125" s="2323"/>
      <c r="O1125" s="2323"/>
      <c r="P1125" s="2324"/>
      <c r="Q1125" s="2324"/>
      <c r="R1125" s="2325"/>
      <c r="S1125" s="2324" t="s">
        <v>2</v>
      </c>
      <c r="T1125" s="2324" t="s">
        <v>2</v>
      </c>
      <c r="U1125" s="2326">
        <v>25</v>
      </c>
      <c r="V1125" s="2327"/>
      <c r="W1125" s="2327"/>
      <c r="X1125" s="2327">
        <v>50</v>
      </c>
      <c r="Y1125" s="2327"/>
      <c r="Z1125" s="2327">
        <v>50</v>
      </c>
      <c r="AA1125" s="2328"/>
      <c r="AB1125" s="2329"/>
      <c r="AC1125" s="2326"/>
      <c r="AD1125" s="2330">
        <f t="shared" si="792"/>
        <v>0</v>
      </c>
      <c r="AE1125" s="2330"/>
      <c r="AF1125" s="2330"/>
      <c r="AG1125" s="2330">
        <f t="shared" si="800"/>
        <v>0</v>
      </c>
      <c r="AH1125" s="2330"/>
      <c r="AI1125" s="2330"/>
      <c r="AJ1125" s="2330">
        <f t="shared" si="793"/>
        <v>0</v>
      </c>
      <c r="AK1125" s="2330"/>
      <c r="AL1125" s="2330"/>
      <c r="AM1125" s="2331">
        <f t="shared" si="794"/>
        <v>0</v>
      </c>
      <c r="AN1125" s="2331"/>
      <c r="AO1125" s="2331"/>
      <c r="AP1125" s="2331"/>
      <c r="AQ1125" s="2332">
        <f t="shared" si="795"/>
        <v>0</v>
      </c>
      <c r="AR1125" s="2332"/>
      <c r="AS1125" s="2332"/>
      <c r="AT1125" s="2332">
        <f t="shared" si="796"/>
        <v>0</v>
      </c>
      <c r="AV1125" s="151" t="str">
        <f t="shared" si="789"/>
        <v>MISCELLANEOUS</v>
      </c>
      <c r="AW1125" s="681"/>
      <c r="AX1125" s="230"/>
      <c r="AY1125" s="230"/>
      <c r="AZ1125" s="679"/>
      <c r="BA1125" s="49">
        <f t="shared" si="797"/>
        <v>0</v>
      </c>
      <c r="BB1125" s="49">
        <f t="shared" si="801"/>
        <v>0</v>
      </c>
      <c r="BC1125" s="49">
        <f t="shared" si="802"/>
        <v>0</v>
      </c>
      <c r="BD1125" s="49">
        <f t="shared" si="798"/>
        <v>0</v>
      </c>
      <c r="BE1125" s="49">
        <f t="shared" si="803"/>
        <v>0</v>
      </c>
      <c r="BF1125" s="49">
        <f t="shared" si="790"/>
        <v>0</v>
      </c>
      <c r="BG1125" s="49">
        <f t="shared" si="791"/>
        <v>0</v>
      </c>
      <c r="BI1125" s="134">
        <f t="shared" si="804"/>
        <v>0</v>
      </c>
      <c r="BJ1125" s="134">
        <f t="shared" si="799"/>
        <v>0</v>
      </c>
      <c r="BK1125" s="134">
        <f t="shared" si="805"/>
        <v>0</v>
      </c>
    </row>
    <row r="1126" spans="1:63" hidden="1">
      <c r="A1126" s="11"/>
      <c r="B1126" s="2321"/>
      <c r="C1126" s="2322"/>
      <c r="D1126" s="2335"/>
      <c r="E1126" s="2335"/>
      <c r="F1126" s="2335"/>
      <c r="G1126" s="2335"/>
      <c r="H1126" s="2335"/>
      <c r="I1126" s="2335"/>
      <c r="J1126" s="2335"/>
      <c r="K1126" s="2335"/>
      <c r="L1126" s="2335"/>
      <c r="M1126" s="2335"/>
      <c r="N1126" s="2335"/>
      <c r="O1126" s="2335"/>
      <c r="P1126" s="2324"/>
      <c r="Q1126" s="2324"/>
      <c r="R1126" s="2325"/>
      <c r="S1126" s="2324"/>
      <c r="T1126" s="2324"/>
      <c r="U1126" s="2326"/>
      <c r="V1126" s="2327"/>
      <c r="W1126" s="2327"/>
      <c r="X1126" s="2327"/>
      <c r="Y1126" s="2327"/>
      <c r="Z1126" s="2327"/>
      <c r="AA1126" s="2328"/>
      <c r="AB1126" s="2329"/>
      <c r="AC1126" s="2326"/>
      <c r="AD1126" s="2330">
        <f t="shared" si="792"/>
        <v>0</v>
      </c>
      <c r="AE1126" s="2330"/>
      <c r="AF1126" s="2330"/>
      <c r="AG1126" s="2330">
        <f t="shared" si="800"/>
        <v>0</v>
      </c>
      <c r="AH1126" s="2330"/>
      <c r="AI1126" s="2330"/>
      <c r="AJ1126" s="2330">
        <f t="shared" si="793"/>
        <v>0</v>
      </c>
      <c r="AK1126" s="2330"/>
      <c r="AL1126" s="2330"/>
      <c r="AM1126" s="2331">
        <f t="shared" si="794"/>
        <v>0</v>
      </c>
      <c r="AN1126" s="2331"/>
      <c r="AO1126" s="2331"/>
      <c r="AP1126" s="2331"/>
      <c r="AQ1126" s="2332">
        <f t="shared" si="795"/>
        <v>0</v>
      </c>
      <c r="AR1126" s="2332"/>
      <c r="AS1126" s="2332"/>
      <c r="AT1126" s="2332">
        <f t="shared" si="796"/>
        <v>0</v>
      </c>
      <c r="AV1126" s="151" t="str">
        <f t="shared" si="789"/>
        <v>MISCELLANEOUS</v>
      </c>
      <c r="AW1126" s="681"/>
      <c r="AX1126" s="230"/>
      <c r="AY1126" s="230"/>
      <c r="AZ1126" s="679"/>
      <c r="BA1126" s="49">
        <f t="shared" si="797"/>
        <v>0</v>
      </c>
      <c r="BB1126" s="49">
        <f t="shared" si="801"/>
        <v>0</v>
      </c>
      <c r="BC1126" s="49">
        <f t="shared" si="802"/>
        <v>0</v>
      </c>
      <c r="BD1126" s="49">
        <f t="shared" si="798"/>
        <v>0</v>
      </c>
      <c r="BE1126" s="49">
        <f t="shared" si="803"/>
        <v>0</v>
      </c>
      <c r="BF1126" s="49">
        <f t="shared" si="790"/>
        <v>0</v>
      </c>
      <c r="BG1126" s="49">
        <f t="shared" si="791"/>
        <v>0</v>
      </c>
      <c r="BI1126" s="134">
        <f t="shared" si="804"/>
        <v>0</v>
      </c>
      <c r="BJ1126" s="134">
        <f t="shared" si="799"/>
        <v>0</v>
      </c>
      <c r="BK1126" s="134">
        <f t="shared" si="805"/>
        <v>0</v>
      </c>
    </row>
    <row r="1127" spans="1:63" hidden="1">
      <c r="A1127" s="11"/>
      <c r="B1127" s="2321"/>
      <c r="C1127" s="2322"/>
      <c r="D1127" s="2335"/>
      <c r="E1127" s="2335"/>
      <c r="F1127" s="2335"/>
      <c r="G1127" s="2335"/>
      <c r="H1127" s="2335"/>
      <c r="I1127" s="2335"/>
      <c r="J1127" s="2335"/>
      <c r="K1127" s="2335"/>
      <c r="L1127" s="2335"/>
      <c r="M1127" s="2335"/>
      <c r="N1127" s="2335"/>
      <c r="O1127" s="2335"/>
      <c r="P1127" s="2324"/>
      <c r="Q1127" s="2324"/>
      <c r="R1127" s="2325"/>
      <c r="S1127" s="2324"/>
      <c r="T1127" s="2324"/>
      <c r="U1127" s="2326"/>
      <c r="V1127" s="2327"/>
      <c r="W1127" s="2327"/>
      <c r="X1127" s="2327"/>
      <c r="Y1127" s="2327"/>
      <c r="Z1127" s="2327"/>
      <c r="AA1127" s="2328"/>
      <c r="AB1127" s="2329"/>
      <c r="AC1127" s="2326"/>
      <c r="AD1127" s="2330">
        <f t="shared" si="792"/>
        <v>0</v>
      </c>
      <c r="AE1127" s="2330"/>
      <c r="AF1127" s="2330"/>
      <c r="AG1127" s="2330">
        <f t="shared" si="800"/>
        <v>0</v>
      </c>
      <c r="AH1127" s="2330"/>
      <c r="AI1127" s="2330"/>
      <c r="AJ1127" s="2330">
        <f t="shared" si="793"/>
        <v>0</v>
      </c>
      <c r="AK1127" s="2330"/>
      <c r="AL1127" s="2330"/>
      <c r="AM1127" s="2331">
        <f t="shared" si="794"/>
        <v>0</v>
      </c>
      <c r="AN1127" s="2331"/>
      <c r="AO1127" s="2331"/>
      <c r="AP1127" s="2331"/>
      <c r="AQ1127" s="2332">
        <f t="shared" si="795"/>
        <v>0</v>
      </c>
      <c r="AR1127" s="2332"/>
      <c r="AS1127" s="2332"/>
      <c r="AT1127" s="2332">
        <f t="shared" si="796"/>
        <v>0</v>
      </c>
      <c r="AV1127" s="151" t="str">
        <f t="shared" si="789"/>
        <v>MISCELLANEOUS</v>
      </c>
      <c r="AW1127" s="681"/>
      <c r="AX1127" s="230"/>
      <c r="AY1127" s="230"/>
      <c r="AZ1127" s="679"/>
      <c r="BA1127" s="49">
        <f t="shared" si="797"/>
        <v>0</v>
      </c>
      <c r="BB1127" s="49">
        <f t="shared" si="801"/>
        <v>0</v>
      </c>
      <c r="BC1127" s="49">
        <f t="shared" si="802"/>
        <v>0</v>
      </c>
      <c r="BD1127" s="49">
        <f t="shared" si="798"/>
        <v>0</v>
      </c>
      <c r="BE1127" s="49">
        <f t="shared" si="803"/>
        <v>0</v>
      </c>
      <c r="BF1127" s="49">
        <f t="shared" si="790"/>
        <v>0</v>
      </c>
      <c r="BG1127" s="49">
        <f t="shared" si="791"/>
        <v>0</v>
      </c>
      <c r="BI1127" s="134">
        <f t="shared" si="804"/>
        <v>0</v>
      </c>
      <c r="BJ1127" s="134">
        <f t="shared" si="799"/>
        <v>0</v>
      </c>
      <c r="BK1127" s="134">
        <f t="shared" si="805"/>
        <v>0</v>
      </c>
    </row>
    <row r="1128" spans="1:63" hidden="1">
      <c r="A1128" s="11"/>
      <c r="B1128" s="2321"/>
      <c r="C1128" s="2322"/>
      <c r="D1128" s="2335"/>
      <c r="E1128" s="2335"/>
      <c r="F1128" s="2335"/>
      <c r="G1128" s="2335"/>
      <c r="H1128" s="2335"/>
      <c r="I1128" s="2335"/>
      <c r="J1128" s="2335"/>
      <c r="K1128" s="2335"/>
      <c r="L1128" s="2335"/>
      <c r="M1128" s="2335"/>
      <c r="N1128" s="2335"/>
      <c r="O1128" s="2335"/>
      <c r="P1128" s="2324"/>
      <c r="Q1128" s="2324"/>
      <c r="R1128" s="2325"/>
      <c r="S1128" s="2324"/>
      <c r="T1128" s="2324"/>
      <c r="U1128" s="2326"/>
      <c r="V1128" s="2327"/>
      <c r="W1128" s="2327"/>
      <c r="X1128" s="2327"/>
      <c r="Y1128" s="2327"/>
      <c r="Z1128" s="2327"/>
      <c r="AA1128" s="2328"/>
      <c r="AB1128" s="2329"/>
      <c r="AC1128" s="2326"/>
      <c r="AD1128" s="2330">
        <f t="shared" si="792"/>
        <v>0</v>
      </c>
      <c r="AE1128" s="2330"/>
      <c r="AF1128" s="2330"/>
      <c r="AG1128" s="2330">
        <f t="shared" si="800"/>
        <v>0</v>
      </c>
      <c r="AH1128" s="2330"/>
      <c r="AI1128" s="2330"/>
      <c r="AJ1128" s="2330">
        <f t="shared" si="793"/>
        <v>0</v>
      </c>
      <c r="AK1128" s="2330"/>
      <c r="AL1128" s="2330"/>
      <c r="AM1128" s="2331">
        <f t="shared" si="794"/>
        <v>0</v>
      </c>
      <c r="AN1128" s="2331"/>
      <c r="AO1128" s="2331"/>
      <c r="AP1128" s="2331"/>
      <c r="AQ1128" s="2332">
        <f t="shared" si="795"/>
        <v>0</v>
      </c>
      <c r="AR1128" s="2332"/>
      <c r="AS1128" s="2332"/>
      <c r="AT1128" s="2332">
        <f t="shared" si="796"/>
        <v>0</v>
      </c>
      <c r="AV1128" s="151" t="str">
        <f t="shared" si="789"/>
        <v>MISCELLANEOUS</v>
      </c>
      <c r="AW1128" s="681"/>
      <c r="AX1128" s="230"/>
      <c r="AY1128" s="230"/>
      <c r="AZ1128" s="679"/>
      <c r="BA1128" s="49">
        <f t="shared" si="797"/>
        <v>0</v>
      </c>
      <c r="BB1128" s="49">
        <f t="shared" si="801"/>
        <v>0</v>
      </c>
      <c r="BC1128" s="49">
        <f t="shared" si="802"/>
        <v>0</v>
      </c>
      <c r="BD1128" s="49">
        <f t="shared" si="798"/>
        <v>0</v>
      </c>
      <c r="BE1128" s="49">
        <f t="shared" si="803"/>
        <v>0</v>
      </c>
      <c r="BF1128" s="49">
        <f t="shared" si="790"/>
        <v>0</v>
      </c>
      <c r="BG1128" s="49">
        <f t="shared" si="791"/>
        <v>0</v>
      </c>
      <c r="BI1128" s="134">
        <f t="shared" si="804"/>
        <v>0</v>
      </c>
      <c r="BJ1128" s="134">
        <f t="shared" si="799"/>
        <v>0</v>
      </c>
      <c r="BK1128" s="134">
        <f t="shared" si="805"/>
        <v>0</v>
      </c>
    </row>
    <row r="1129" spans="1:63" hidden="1">
      <c r="A1129" s="11"/>
      <c r="B1129" s="2321"/>
      <c r="C1129" s="2322"/>
      <c r="D1129" s="2335"/>
      <c r="E1129" s="2335"/>
      <c r="F1129" s="2335"/>
      <c r="G1129" s="2335"/>
      <c r="H1129" s="2335"/>
      <c r="I1129" s="2335"/>
      <c r="J1129" s="2335"/>
      <c r="K1129" s="2335"/>
      <c r="L1129" s="2335"/>
      <c r="M1129" s="2335"/>
      <c r="N1129" s="2335"/>
      <c r="O1129" s="2335"/>
      <c r="P1129" s="2324"/>
      <c r="Q1129" s="2324"/>
      <c r="R1129" s="2325"/>
      <c r="S1129" s="2324"/>
      <c r="T1129" s="2324"/>
      <c r="U1129" s="2326"/>
      <c r="V1129" s="2327"/>
      <c r="W1129" s="2327"/>
      <c r="X1129" s="2327"/>
      <c r="Y1129" s="2327"/>
      <c r="Z1129" s="2327"/>
      <c r="AA1129" s="2328"/>
      <c r="AB1129" s="2329"/>
      <c r="AC1129" s="2326"/>
      <c r="AD1129" s="2330">
        <f t="shared" si="792"/>
        <v>0</v>
      </c>
      <c r="AE1129" s="2330"/>
      <c r="AF1129" s="2330"/>
      <c r="AG1129" s="2330">
        <f t="shared" si="800"/>
        <v>0</v>
      </c>
      <c r="AH1129" s="2330"/>
      <c r="AI1129" s="2330"/>
      <c r="AJ1129" s="2330">
        <f t="shared" si="793"/>
        <v>0</v>
      </c>
      <c r="AK1129" s="2330"/>
      <c r="AL1129" s="2330"/>
      <c r="AM1129" s="2331">
        <f t="shared" si="794"/>
        <v>0</v>
      </c>
      <c r="AN1129" s="2331"/>
      <c r="AO1129" s="2331"/>
      <c r="AP1129" s="2331"/>
      <c r="AQ1129" s="2332">
        <f t="shared" si="795"/>
        <v>0</v>
      </c>
      <c r="AR1129" s="2332"/>
      <c r="AS1129" s="2332"/>
      <c r="AT1129" s="2332">
        <f t="shared" si="796"/>
        <v>0</v>
      </c>
      <c r="AV1129" s="151" t="str">
        <f t="shared" si="789"/>
        <v>MISCELLANEOUS</v>
      </c>
      <c r="AW1129" s="681"/>
      <c r="AX1129" s="230"/>
      <c r="AY1129" s="230"/>
      <c r="AZ1129" s="679"/>
      <c r="BA1129" s="49">
        <f t="shared" si="797"/>
        <v>0</v>
      </c>
      <c r="BB1129" s="49">
        <f t="shared" si="801"/>
        <v>0</v>
      </c>
      <c r="BC1129" s="49">
        <f t="shared" si="802"/>
        <v>0</v>
      </c>
      <c r="BD1129" s="49">
        <f t="shared" si="798"/>
        <v>0</v>
      </c>
      <c r="BE1129" s="49">
        <f t="shared" si="803"/>
        <v>0</v>
      </c>
      <c r="BF1129" s="49">
        <f t="shared" si="790"/>
        <v>0</v>
      </c>
      <c r="BG1129" s="49">
        <f t="shared" si="791"/>
        <v>0</v>
      </c>
      <c r="BI1129" s="134">
        <f t="shared" si="804"/>
        <v>0</v>
      </c>
      <c r="BJ1129" s="134">
        <f t="shared" si="799"/>
        <v>0</v>
      </c>
      <c r="BK1129" s="134">
        <f t="shared" si="805"/>
        <v>0</v>
      </c>
    </row>
    <row r="1130" spans="1:63" hidden="1">
      <c r="A1130" s="11"/>
      <c r="B1130" s="2321"/>
      <c r="C1130" s="2322"/>
      <c r="D1130" s="2335"/>
      <c r="E1130" s="2335"/>
      <c r="F1130" s="2335"/>
      <c r="G1130" s="2335"/>
      <c r="H1130" s="2335"/>
      <c r="I1130" s="2335"/>
      <c r="J1130" s="2335"/>
      <c r="K1130" s="2335"/>
      <c r="L1130" s="2335"/>
      <c r="M1130" s="2335"/>
      <c r="N1130" s="2335"/>
      <c r="O1130" s="2335"/>
      <c r="P1130" s="2324"/>
      <c r="Q1130" s="2324"/>
      <c r="R1130" s="2325"/>
      <c r="S1130" s="2324"/>
      <c r="T1130" s="2324"/>
      <c r="U1130" s="2326"/>
      <c r="V1130" s="2327"/>
      <c r="W1130" s="2327"/>
      <c r="X1130" s="2327"/>
      <c r="Y1130" s="2327"/>
      <c r="Z1130" s="2327"/>
      <c r="AA1130" s="2328"/>
      <c r="AB1130" s="2329"/>
      <c r="AC1130" s="2326"/>
      <c r="AD1130" s="2330">
        <f t="shared" si="792"/>
        <v>0</v>
      </c>
      <c r="AE1130" s="2330"/>
      <c r="AF1130" s="2330"/>
      <c r="AG1130" s="2330">
        <f t="shared" si="800"/>
        <v>0</v>
      </c>
      <c r="AH1130" s="2330"/>
      <c r="AI1130" s="2330"/>
      <c r="AJ1130" s="2330">
        <f t="shared" si="793"/>
        <v>0</v>
      </c>
      <c r="AK1130" s="2330"/>
      <c r="AL1130" s="2330"/>
      <c r="AM1130" s="2331">
        <f t="shared" si="794"/>
        <v>0</v>
      </c>
      <c r="AN1130" s="2331"/>
      <c r="AO1130" s="2331"/>
      <c r="AP1130" s="2331"/>
      <c r="AQ1130" s="2332">
        <f t="shared" si="795"/>
        <v>0</v>
      </c>
      <c r="AR1130" s="2332"/>
      <c r="AS1130" s="2332"/>
      <c r="AT1130" s="2332">
        <f t="shared" si="796"/>
        <v>0</v>
      </c>
      <c r="AV1130" s="151" t="str">
        <f t="shared" si="789"/>
        <v>MISCELLANEOUS</v>
      </c>
      <c r="AW1130" s="681"/>
      <c r="AX1130" s="230"/>
      <c r="AY1130" s="230"/>
      <c r="AZ1130" s="679"/>
      <c r="BA1130" s="49">
        <f t="shared" si="797"/>
        <v>0</v>
      </c>
      <c r="BB1130" s="49">
        <f t="shared" si="801"/>
        <v>0</v>
      </c>
      <c r="BC1130" s="49">
        <f t="shared" si="802"/>
        <v>0</v>
      </c>
      <c r="BD1130" s="49">
        <f t="shared" si="798"/>
        <v>0</v>
      </c>
      <c r="BE1130" s="49">
        <f t="shared" si="803"/>
        <v>0</v>
      </c>
      <c r="BF1130" s="49">
        <f t="shared" si="790"/>
        <v>0</v>
      </c>
      <c r="BG1130" s="49">
        <f t="shared" si="791"/>
        <v>0</v>
      </c>
      <c r="BI1130" s="134">
        <f t="shared" si="804"/>
        <v>0</v>
      </c>
      <c r="BJ1130" s="134">
        <f t="shared" si="799"/>
        <v>0</v>
      </c>
      <c r="BK1130" s="134">
        <f t="shared" si="805"/>
        <v>0</v>
      </c>
    </row>
    <row r="1131" spans="1:63" hidden="1">
      <c r="A1131" s="11"/>
      <c r="B1131" s="2321"/>
      <c r="C1131" s="2322"/>
      <c r="D1131" s="2335"/>
      <c r="E1131" s="2335"/>
      <c r="F1131" s="2335"/>
      <c r="G1131" s="2335"/>
      <c r="H1131" s="2335"/>
      <c r="I1131" s="2335"/>
      <c r="J1131" s="2335"/>
      <c r="K1131" s="2335"/>
      <c r="L1131" s="2335"/>
      <c r="M1131" s="2335"/>
      <c r="N1131" s="2335"/>
      <c r="O1131" s="2335"/>
      <c r="P1131" s="2324"/>
      <c r="Q1131" s="2324"/>
      <c r="R1131" s="2325"/>
      <c r="S1131" s="2324"/>
      <c r="T1131" s="2324"/>
      <c r="U1131" s="2326"/>
      <c r="V1131" s="2327"/>
      <c r="W1131" s="2327"/>
      <c r="X1131" s="2327"/>
      <c r="Y1131" s="2327"/>
      <c r="Z1131" s="2327"/>
      <c r="AA1131" s="2328"/>
      <c r="AB1131" s="2329"/>
      <c r="AC1131" s="2326"/>
      <c r="AD1131" s="2330">
        <f t="shared" si="792"/>
        <v>0</v>
      </c>
      <c r="AE1131" s="2330"/>
      <c r="AF1131" s="2330"/>
      <c r="AG1131" s="2330">
        <f t="shared" si="800"/>
        <v>0</v>
      </c>
      <c r="AH1131" s="2330"/>
      <c r="AI1131" s="2330"/>
      <c r="AJ1131" s="2330">
        <f t="shared" si="793"/>
        <v>0</v>
      </c>
      <c r="AK1131" s="2330"/>
      <c r="AL1131" s="2330"/>
      <c r="AM1131" s="2331">
        <f t="shared" si="794"/>
        <v>0</v>
      </c>
      <c r="AN1131" s="2331"/>
      <c r="AO1131" s="2331"/>
      <c r="AP1131" s="2331"/>
      <c r="AQ1131" s="2332">
        <f t="shared" si="795"/>
        <v>0</v>
      </c>
      <c r="AR1131" s="2332"/>
      <c r="AS1131" s="2332"/>
      <c r="AT1131" s="2332">
        <f t="shared" si="796"/>
        <v>0</v>
      </c>
      <c r="AV1131" s="151" t="str">
        <f t="shared" si="789"/>
        <v>MISCELLANEOUS</v>
      </c>
      <c r="AW1131" s="681"/>
      <c r="AX1131" s="230"/>
      <c r="AY1131" s="230"/>
      <c r="AZ1131" s="679"/>
      <c r="BA1131" s="49">
        <f t="shared" si="797"/>
        <v>0</v>
      </c>
      <c r="BB1131" s="49">
        <f t="shared" si="801"/>
        <v>0</v>
      </c>
      <c r="BC1131" s="49">
        <f t="shared" si="802"/>
        <v>0</v>
      </c>
      <c r="BD1131" s="49">
        <f t="shared" si="798"/>
        <v>0</v>
      </c>
      <c r="BE1131" s="49">
        <f t="shared" si="803"/>
        <v>0</v>
      </c>
      <c r="BF1131" s="49">
        <f t="shared" si="790"/>
        <v>0</v>
      </c>
      <c r="BG1131" s="49">
        <f t="shared" si="791"/>
        <v>0</v>
      </c>
      <c r="BI1131" s="134">
        <f t="shared" si="804"/>
        <v>0</v>
      </c>
      <c r="BJ1131" s="134">
        <f t="shared" si="799"/>
        <v>0</v>
      </c>
      <c r="BK1131" s="134">
        <f t="shared" si="805"/>
        <v>0</v>
      </c>
    </row>
    <row r="1132" spans="1:63" hidden="1">
      <c r="A1132" s="11"/>
      <c r="B1132" s="2321"/>
      <c r="C1132" s="2322"/>
      <c r="D1132" s="2335"/>
      <c r="E1132" s="2335"/>
      <c r="F1132" s="2335"/>
      <c r="G1132" s="2335"/>
      <c r="H1132" s="2335"/>
      <c r="I1132" s="2335"/>
      <c r="J1132" s="2335"/>
      <c r="K1132" s="2335"/>
      <c r="L1132" s="2335"/>
      <c r="M1132" s="2335"/>
      <c r="N1132" s="2335"/>
      <c r="O1132" s="2335"/>
      <c r="P1132" s="2324"/>
      <c r="Q1132" s="2324"/>
      <c r="R1132" s="2325"/>
      <c r="S1132" s="2324"/>
      <c r="T1132" s="2324"/>
      <c r="U1132" s="2326"/>
      <c r="V1132" s="2327"/>
      <c r="W1132" s="2327"/>
      <c r="X1132" s="2327"/>
      <c r="Y1132" s="2327"/>
      <c r="Z1132" s="2327"/>
      <c r="AA1132" s="2328"/>
      <c r="AB1132" s="2329"/>
      <c r="AC1132" s="2326"/>
      <c r="AD1132" s="2330">
        <f t="shared" si="792"/>
        <v>0</v>
      </c>
      <c r="AE1132" s="2330"/>
      <c r="AF1132" s="2330"/>
      <c r="AG1132" s="2330">
        <f t="shared" si="800"/>
        <v>0</v>
      </c>
      <c r="AH1132" s="2330"/>
      <c r="AI1132" s="2330"/>
      <c r="AJ1132" s="2330">
        <f t="shared" si="793"/>
        <v>0</v>
      </c>
      <c r="AK1132" s="2330"/>
      <c r="AL1132" s="2330"/>
      <c r="AM1132" s="2331">
        <f t="shared" si="794"/>
        <v>0</v>
      </c>
      <c r="AN1132" s="2331"/>
      <c r="AO1132" s="2331"/>
      <c r="AP1132" s="2331"/>
      <c r="AQ1132" s="2332">
        <f t="shared" si="795"/>
        <v>0</v>
      </c>
      <c r="AR1132" s="2332"/>
      <c r="AS1132" s="2332"/>
      <c r="AT1132" s="2332">
        <f t="shared" si="796"/>
        <v>0</v>
      </c>
      <c r="AV1132" s="151" t="str">
        <f t="shared" si="789"/>
        <v>MISCELLANEOUS</v>
      </c>
      <c r="AW1132" s="681"/>
      <c r="AX1132" s="230"/>
      <c r="AY1132" s="230"/>
      <c r="AZ1132" s="679"/>
      <c r="BA1132" s="49">
        <f t="shared" si="797"/>
        <v>0</v>
      </c>
      <c r="BB1132" s="49">
        <f t="shared" si="801"/>
        <v>0</v>
      </c>
      <c r="BC1132" s="49">
        <f t="shared" si="802"/>
        <v>0</v>
      </c>
      <c r="BD1132" s="49">
        <f t="shared" si="798"/>
        <v>0</v>
      </c>
      <c r="BE1132" s="49">
        <f t="shared" si="803"/>
        <v>0</v>
      </c>
      <c r="BF1132" s="49">
        <f t="shared" si="790"/>
        <v>0</v>
      </c>
      <c r="BG1132" s="49">
        <f t="shared" si="791"/>
        <v>0</v>
      </c>
      <c r="BI1132" s="134">
        <f t="shared" si="804"/>
        <v>0</v>
      </c>
      <c r="BJ1132" s="134">
        <f t="shared" si="799"/>
        <v>0</v>
      </c>
      <c r="BK1132" s="134">
        <f t="shared" si="805"/>
        <v>0</v>
      </c>
    </row>
    <row r="1133" spans="1:63" hidden="1">
      <c r="A1133" s="11"/>
      <c r="B1133" s="2321"/>
      <c r="C1133" s="2322"/>
      <c r="D1133" s="2335"/>
      <c r="E1133" s="2335"/>
      <c r="F1133" s="2335"/>
      <c r="G1133" s="2335"/>
      <c r="H1133" s="2335"/>
      <c r="I1133" s="2335"/>
      <c r="J1133" s="2335"/>
      <c r="K1133" s="2335"/>
      <c r="L1133" s="2335"/>
      <c r="M1133" s="2335"/>
      <c r="N1133" s="2335"/>
      <c r="O1133" s="2335"/>
      <c r="P1133" s="2324"/>
      <c r="Q1133" s="2324"/>
      <c r="R1133" s="2325"/>
      <c r="S1133" s="2324"/>
      <c r="T1133" s="2324"/>
      <c r="U1133" s="2326"/>
      <c r="V1133" s="2327"/>
      <c r="W1133" s="2327"/>
      <c r="X1133" s="2327"/>
      <c r="Y1133" s="2327"/>
      <c r="Z1133" s="2327"/>
      <c r="AA1133" s="2328"/>
      <c r="AB1133" s="2329"/>
      <c r="AC1133" s="2326"/>
      <c r="AD1133" s="2330">
        <f t="shared" si="792"/>
        <v>0</v>
      </c>
      <c r="AE1133" s="2330"/>
      <c r="AF1133" s="2330"/>
      <c r="AG1133" s="2330">
        <f t="shared" si="800"/>
        <v>0</v>
      </c>
      <c r="AH1133" s="2330"/>
      <c r="AI1133" s="2330"/>
      <c r="AJ1133" s="2330">
        <f t="shared" si="793"/>
        <v>0</v>
      </c>
      <c r="AK1133" s="2330"/>
      <c r="AL1133" s="2330"/>
      <c r="AM1133" s="2331">
        <f t="shared" si="794"/>
        <v>0</v>
      </c>
      <c r="AN1133" s="2331"/>
      <c r="AO1133" s="2331"/>
      <c r="AP1133" s="2331"/>
      <c r="AQ1133" s="2332">
        <f t="shared" si="795"/>
        <v>0</v>
      </c>
      <c r="AR1133" s="2332"/>
      <c r="AS1133" s="2332"/>
      <c r="AT1133" s="2332">
        <f t="shared" si="796"/>
        <v>0</v>
      </c>
      <c r="AV1133" s="151" t="str">
        <f t="shared" si="789"/>
        <v>MISCELLANEOUS</v>
      </c>
      <c r="AW1133" s="681"/>
      <c r="AX1133" s="230"/>
      <c r="AY1133" s="230"/>
      <c r="AZ1133" s="679"/>
      <c r="BA1133" s="49">
        <f t="shared" si="797"/>
        <v>0</v>
      </c>
      <c r="BB1133" s="49">
        <f t="shared" si="801"/>
        <v>0</v>
      </c>
      <c r="BC1133" s="49">
        <f t="shared" si="802"/>
        <v>0</v>
      </c>
      <c r="BD1133" s="49">
        <f t="shared" si="798"/>
        <v>0</v>
      </c>
      <c r="BE1133" s="49">
        <f t="shared" si="803"/>
        <v>0</v>
      </c>
      <c r="BF1133" s="49">
        <f t="shared" si="790"/>
        <v>0</v>
      </c>
      <c r="BG1133" s="49">
        <f t="shared" si="791"/>
        <v>0</v>
      </c>
      <c r="BI1133" s="134">
        <f t="shared" si="804"/>
        <v>0</v>
      </c>
      <c r="BJ1133" s="134">
        <f t="shared" si="799"/>
        <v>0</v>
      </c>
      <c r="BK1133" s="134">
        <f t="shared" si="805"/>
        <v>0</v>
      </c>
    </row>
    <row r="1134" spans="1:63" hidden="1">
      <c r="A1134" s="11"/>
      <c r="B1134" s="2321"/>
      <c r="C1134" s="2322"/>
      <c r="D1134" s="2335"/>
      <c r="E1134" s="2335"/>
      <c r="F1134" s="2335"/>
      <c r="G1134" s="2335"/>
      <c r="H1134" s="2335"/>
      <c r="I1134" s="2335"/>
      <c r="J1134" s="2335"/>
      <c r="K1134" s="2335"/>
      <c r="L1134" s="2335"/>
      <c r="M1134" s="2335"/>
      <c r="N1134" s="2335"/>
      <c r="O1134" s="2335"/>
      <c r="P1134" s="2324"/>
      <c r="Q1134" s="2324"/>
      <c r="R1134" s="2325"/>
      <c r="S1134" s="2324"/>
      <c r="T1134" s="2324"/>
      <c r="U1134" s="2326"/>
      <c r="V1134" s="2327"/>
      <c r="W1134" s="2327"/>
      <c r="X1134" s="2327"/>
      <c r="Y1134" s="2327"/>
      <c r="Z1134" s="2327"/>
      <c r="AA1134" s="2328"/>
      <c r="AB1134" s="2329"/>
      <c r="AC1134" s="2326"/>
      <c r="AD1134" s="2330">
        <f t="shared" si="792"/>
        <v>0</v>
      </c>
      <c r="AE1134" s="2330"/>
      <c r="AF1134" s="2330"/>
      <c r="AG1134" s="2330">
        <f t="shared" si="800"/>
        <v>0</v>
      </c>
      <c r="AH1134" s="2330"/>
      <c r="AI1134" s="2330"/>
      <c r="AJ1134" s="2330">
        <f t="shared" si="793"/>
        <v>0</v>
      </c>
      <c r="AK1134" s="2330"/>
      <c r="AL1134" s="2330"/>
      <c r="AM1134" s="2331">
        <f t="shared" si="794"/>
        <v>0</v>
      </c>
      <c r="AN1134" s="2331"/>
      <c r="AO1134" s="2331"/>
      <c r="AP1134" s="2331"/>
      <c r="AQ1134" s="2332">
        <f t="shared" si="795"/>
        <v>0</v>
      </c>
      <c r="AR1134" s="2332"/>
      <c r="AS1134" s="2332"/>
      <c r="AT1134" s="2332">
        <f t="shared" si="796"/>
        <v>0</v>
      </c>
      <c r="AV1134" s="151" t="str">
        <f t="shared" si="789"/>
        <v>MISCELLANEOUS</v>
      </c>
      <c r="AW1134" s="681"/>
      <c r="AX1134" s="230"/>
      <c r="AY1134" s="230"/>
      <c r="AZ1134" s="679"/>
      <c r="BA1134" s="49">
        <f t="shared" si="797"/>
        <v>0</v>
      </c>
      <c r="BB1134" s="49">
        <f t="shared" si="801"/>
        <v>0</v>
      </c>
      <c r="BC1134" s="49">
        <f t="shared" si="802"/>
        <v>0</v>
      </c>
      <c r="BD1134" s="49">
        <f t="shared" si="798"/>
        <v>0</v>
      </c>
      <c r="BE1134" s="49">
        <f t="shared" si="803"/>
        <v>0</v>
      </c>
      <c r="BF1134" s="49">
        <f t="shared" si="790"/>
        <v>0</v>
      </c>
      <c r="BG1134" s="49">
        <f t="shared" si="791"/>
        <v>0</v>
      </c>
      <c r="BI1134" s="134">
        <f t="shared" si="804"/>
        <v>0</v>
      </c>
      <c r="BJ1134" s="134">
        <f t="shared" si="799"/>
        <v>0</v>
      </c>
      <c r="BK1134" s="134">
        <f t="shared" si="805"/>
        <v>0</v>
      </c>
    </row>
    <row r="1135" spans="1:63" hidden="1">
      <c r="A1135" s="11"/>
      <c r="B1135" s="2321"/>
      <c r="C1135" s="2322"/>
      <c r="D1135" s="2335"/>
      <c r="E1135" s="2335"/>
      <c r="F1135" s="2335"/>
      <c r="G1135" s="2335"/>
      <c r="H1135" s="2335"/>
      <c r="I1135" s="2335"/>
      <c r="J1135" s="2335"/>
      <c r="K1135" s="2335"/>
      <c r="L1135" s="2335"/>
      <c r="M1135" s="2335"/>
      <c r="N1135" s="2335"/>
      <c r="O1135" s="2335"/>
      <c r="P1135" s="2324"/>
      <c r="Q1135" s="2324"/>
      <c r="R1135" s="2325"/>
      <c r="S1135" s="2324"/>
      <c r="T1135" s="2324"/>
      <c r="U1135" s="2326"/>
      <c r="V1135" s="2327"/>
      <c r="W1135" s="2327"/>
      <c r="X1135" s="2327"/>
      <c r="Y1135" s="2327"/>
      <c r="Z1135" s="2327"/>
      <c r="AA1135" s="2328"/>
      <c r="AB1135" s="2329"/>
      <c r="AC1135" s="2326"/>
      <c r="AD1135" s="2330">
        <f t="shared" si="792"/>
        <v>0</v>
      </c>
      <c r="AE1135" s="2330"/>
      <c r="AF1135" s="2330"/>
      <c r="AG1135" s="2330">
        <f t="shared" si="800"/>
        <v>0</v>
      </c>
      <c r="AH1135" s="2330"/>
      <c r="AI1135" s="2330"/>
      <c r="AJ1135" s="2330">
        <f t="shared" si="793"/>
        <v>0</v>
      </c>
      <c r="AK1135" s="2330"/>
      <c r="AL1135" s="2330"/>
      <c r="AM1135" s="2331">
        <f t="shared" si="794"/>
        <v>0</v>
      </c>
      <c r="AN1135" s="2331"/>
      <c r="AO1135" s="2331"/>
      <c r="AP1135" s="2331"/>
      <c r="AQ1135" s="2332">
        <f t="shared" si="795"/>
        <v>0</v>
      </c>
      <c r="AR1135" s="2332"/>
      <c r="AS1135" s="2332"/>
      <c r="AT1135" s="2332">
        <f t="shared" si="796"/>
        <v>0</v>
      </c>
      <c r="AV1135" s="151" t="str">
        <f t="shared" si="789"/>
        <v>MISCELLANEOUS</v>
      </c>
      <c r="AW1135" s="681"/>
      <c r="AX1135" s="230"/>
      <c r="AY1135" s="230"/>
      <c r="AZ1135" s="679"/>
      <c r="BA1135" s="49">
        <f t="shared" si="797"/>
        <v>0</v>
      </c>
      <c r="BB1135" s="49">
        <f t="shared" si="801"/>
        <v>0</v>
      </c>
      <c r="BC1135" s="49">
        <f t="shared" si="802"/>
        <v>0</v>
      </c>
      <c r="BD1135" s="49">
        <f t="shared" si="798"/>
        <v>0</v>
      </c>
      <c r="BE1135" s="49">
        <f t="shared" si="803"/>
        <v>0</v>
      </c>
      <c r="BF1135" s="49">
        <f t="shared" si="790"/>
        <v>0</v>
      </c>
      <c r="BG1135" s="49">
        <f t="shared" si="791"/>
        <v>0</v>
      </c>
      <c r="BI1135" s="134">
        <f t="shared" si="804"/>
        <v>0</v>
      </c>
      <c r="BJ1135" s="134">
        <f t="shared" si="799"/>
        <v>0</v>
      </c>
      <c r="BK1135" s="134">
        <f t="shared" si="805"/>
        <v>0</v>
      </c>
    </row>
    <row r="1136" spans="1:63" hidden="1">
      <c r="A1136" s="11"/>
      <c r="B1136" s="2321"/>
      <c r="C1136" s="2322"/>
      <c r="D1136" s="2335"/>
      <c r="E1136" s="2335"/>
      <c r="F1136" s="2335"/>
      <c r="G1136" s="2335"/>
      <c r="H1136" s="2335"/>
      <c r="I1136" s="2335"/>
      <c r="J1136" s="2335"/>
      <c r="K1136" s="2335"/>
      <c r="L1136" s="2335"/>
      <c r="M1136" s="2335"/>
      <c r="N1136" s="2335"/>
      <c r="O1136" s="2335"/>
      <c r="P1136" s="2324"/>
      <c r="Q1136" s="2324"/>
      <c r="R1136" s="2325"/>
      <c r="S1136" s="2324"/>
      <c r="T1136" s="2324"/>
      <c r="U1136" s="2326"/>
      <c r="V1136" s="2327"/>
      <c r="W1136" s="2327"/>
      <c r="X1136" s="2327"/>
      <c r="Y1136" s="2327"/>
      <c r="Z1136" s="2327"/>
      <c r="AA1136" s="2328"/>
      <c r="AB1136" s="2329"/>
      <c r="AC1136" s="2326"/>
      <c r="AD1136" s="2330">
        <f t="shared" si="792"/>
        <v>0</v>
      </c>
      <c r="AE1136" s="2330"/>
      <c r="AF1136" s="2330"/>
      <c r="AG1136" s="2330">
        <f t="shared" si="800"/>
        <v>0</v>
      </c>
      <c r="AH1136" s="2330"/>
      <c r="AI1136" s="2330"/>
      <c r="AJ1136" s="2330">
        <f t="shared" si="793"/>
        <v>0</v>
      </c>
      <c r="AK1136" s="2330"/>
      <c r="AL1136" s="2330"/>
      <c r="AM1136" s="2331">
        <f t="shared" si="794"/>
        <v>0</v>
      </c>
      <c r="AN1136" s="2331"/>
      <c r="AO1136" s="2331"/>
      <c r="AP1136" s="2331"/>
      <c r="AQ1136" s="2332">
        <f t="shared" si="795"/>
        <v>0</v>
      </c>
      <c r="AR1136" s="2332"/>
      <c r="AS1136" s="2332"/>
      <c r="AT1136" s="2332">
        <f t="shared" si="796"/>
        <v>0</v>
      </c>
      <c r="AV1136" s="151" t="str">
        <f t="shared" si="789"/>
        <v>MISCELLANEOUS</v>
      </c>
      <c r="AW1136" s="681"/>
      <c r="AX1136" s="230"/>
      <c r="AY1136" s="230"/>
      <c r="AZ1136" s="679"/>
      <c r="BA1136" s="49">
        <f t="shared" si="797"/>
        <v>0</v>
      </c>
      <c r="BB1136" s="49">
        <f t="shared" si="801"/>
        <v>0</v>
      </c>
      <c r="BC1136" s="49">
        <f t="shared" si="802"/>
        <v>0</v>
      </c>
      <c r="BD1136" s="49">
        <f t="shared" si="798"/>
        <v>0</v>
      </c>
      <c r="BE1136" s="49">
        <f t="shared" si="803"/>
        <v>0</v>
      </c>
      <c r="BF1136" s="49">
        <f t="shared" si="790"/>
        <v>0</v>
      </c>
      <c r="BG1136" s="49">
        <f t="shared" si="791"/>
        <v>0</v>
      </c>
      <c r="BI1136" s="134">
        <f t="shared" si="804"/>
        <v>0</v>
      </c>
      <c r="BJ1136" s="134">
        <f t="shared" si="799"/>
        <v>0</v>
      </c>
      <c r="BK1136" s="134">
        <f t="shared" si="805"/>
        <v>0</v>
      </c>
    </row>
    <row r="1137" spans="1:63" hidden="1">
      <c r="A1137" s="11"/>
      <c r="B1137" s="2321"/>
      <c r="C1137" s="2322"/>
      <c r="D1137" s="2335"/>
      <c r="E1137" s="2335"/>
      <c r="F1137" s="2335"/>
      <c r="G1137" s="2335"/>
      <c r="H1137" s="2335"/>
      <c r="I1137" s="2335"/>
      <c r="J1137" s="2335"/>
      <c r="K1137" s="2335"/>
      <c r="L1137" s="2335"/>
      <c r="M1137" s="2335"/>
      <c r="N1137" s="2335"/>
      <c r="O1137" s="2335"/>
      <c r="P1137" s="2324"/>
      <c r="Q1137" s="2324"/>
      <c r="R1137" s="2325"/>
      <c r="S1137" s="2324"/>
      <c r="T1137" s="2324"/>
      <c r="U1137" s="2326"/>
      <c r="V1137" s="2327"/>
      <c r="W1137" s="2327"/>
      <c r="X1137" s="2327"/>
      <c r="Y1137" s="2327"/>
      <c r="Z1137" s="2327"/>
      <c r="AA1137" s="2328"/>
      <c r="AB1137" s="2329"/>
      <c r="AC1137" s="2326"/>
      <c r="AD1137" s="2330">
        <f t="shared" si="792"/>
        <v>0</v>
      </c>
      <c r="AE1137" s="2330"/>
      <c r="AF1137" s="2330"/>
      <c r="AG1137" s="2330">
        <f t="shared" si="800"/>
        <v>0</v>
      </c>
      <c r="AH1137" s="2330"/>
      <c r="AI1137" s="2330"/>
      <c r="AJ1137" s="2330">
        <f t="shared" si="793"/>
        <v>0</v>
      </c>
      <c r="AK1137" s="2330"/>
      <c r="AL1137" s="2330"/>
      <c r="AM1137" s="2331">
        <f t="shared" si="794"/>
        <v>0</v>
      </c>
      <c r="AN1137" s="2331"/>
      <c r="AO1137" s="2331"/>
      <c r="AP1137" s="2331"/>
      <c r="AQ1137" s="2332">
        <f t="shared" si="795"/>
        <v>0</v>
      </c>
      <c r="AR1137" s="2332"/>
      <c r="AS1137" s="2332"/>
      <c r="AT1137" s="2332">
        <f t="shared" si="796"/>
        <v>0</v>
      </c>
      <c r="AV1137" s="151" t="str">
        <f t="shared" si="789"/>
        <v>MISCELLANEOUS</v>
      </c>
      <c r="AW1137" s="681"/>
      <c r="AX1137" s="230"/>
      <c r="AY1137" s="230"/>
      <c r="AZ1137" s="679"/>
      <c r="BA1137" s="49">
        <f t="shared" si="797"/>
        <v>0</v>
      </c>
      <c r="BB1137" s="49">
        <f t="shared" si="801"/>
        <v>0</v>
      </c>
      <c r="BC1137" s="49">
        <f t="shared" si="802"/>
        <v>0</v>
      </c>
      <c r="BD1137" s="49">
        <f t="shared" si="798"/>
        <v>0</v>
      </c>
      <c r="BE1137" s="49">
        <f t="shared" si="803"/>
        <v>0</v>
      </c>
      <c r="BF1137" s="49">
        <f t="shared" si="790"/>
        <v>0</v>
      </c>
      <c r="BG1137" s="49">
        <f t="shared" si="791"/>
        <v>0</v>
      </c>
      <c r="BI1137" s="134">
        <f t="shared" si="804"/>
        <v>0</v>
      </c>
      <c r="BJ1137" s="134">
        <f t="shared" si="799"/>
        <v>0</v>
      </c>
      <c r="BK1137" s="134">
        <f t="shared" si="805"/>
        <v>0</v>
      </c>
    </row>
    <row r="1138" spans="1:63" hidden="1">
      <c r="A1138" s="11"/>
      <c r="B1138" s="2321"/>
      <c r="C1138" s="2322"/>
      <c r="D1138" s="2335"/>
      <c r="E1138" s="2335"/>
      <c r="F1138" s="2335"/>
      <c r="G1138" s="2335"/>
      <c r="H1138" s="2335"/>
      <c r="I1138" s="2335"/>
      <c r="J1138" s="2335"/>
      <c r="K1138" s="2335"/>
      <c r="L1138" s="2335"/>
      <c r="M1138" s="2335"/>
      <c r="N1138" s="2335"/>
      <c r="O1138" s="2335"/>
      <c r="P1138" s="2324"/>
      <c r="Q1138" s="2324"/>
      <c r="R1138" s="2325"/>
      <c r="S1138" s="2324"/>
      <c r="T1138" s="2324"/>
      <c r="U1138" s="2326"/>
      <c r="V1138" s="2327"/>
      <c r="W1138" s="2327"/>
      <c r="X1138" s="2327"/>
      <c r="Y1138" s="2327"/>
      <c r="Z1138" s="2327"/>
      <c r="AA1138" s="2328"/>
      <c r="AB1138" s="2329"/>
      <c r="AC1138" s="2326"/>
      <c r="AD1138" s="2330">
        <f t="shared" si="792"/>
        <v>0</v>
      </c>
      <c r="AE1138" s="2330"/>
      <c r="AF1138" s="2330"/>
      <c r="AG1138" s="2330">
        <f t="shared" si="800"/>
        <v>0</v>
      </c>
      <c r="AH1138" s="2330"/>
      <c r="AI1138" s="2330"/>
      <c r="AJ1138" s="2330">
        <f t="shared" si="793"/>
        <v>0</v>
      </c>
      <c r="AK1138" s="2330"/>
      <c r="AL1138" s="2330"/>
      <c r="AM1138" s="2331">
        <f t="shared" si="794"/>
        <v>0</v>
      </c>
      <c r="AN1138" s="2331"/>
      <c r="AO1138" s="2331"/>
      <c r="AP1138" s="2331"/>
      <c r="AQ1138" s="2332">
        <f t="shared" si="795"/>
        <v>0</v>
      </c>
      <c r="AR1138" s="2332"/>
      <c r="AS1138" s="2332"/>
      <c r="AT1138" s="2332">
        <f t="shared" si="796"/>
        <v>0</v>
      </c>
      <c r="AV1138" s="151" t="str">
        <f t="shared" si="789"/>
        <v>MISCELLANEOUS</v>
      </c>
      <c r="AW1138" s="681"/>
      <c r="AX1138" s="230"/>
      <c r="AY1138" s="230"/>
      <c r="AZ1138" s="679"/>
      <c r="BA1138" s="49">
        <f t="shared" si="797"/>
        <v>0</v>
      </c>
      <c r="BB1138" s="49">
        <f t="shared" si="801"/>
        <v>0</v>
      </c>
      <c r="BC1138" s="49">
        <f t="shared" si="802"/>
        <v>0</v>
      </c>
      <c r="BD1138" s="49">
        <f t="shared" si="798"/>
        <v>0</v>
      </c>
      <c r="BE1138" s="49">
        <f t="shared" si="803"/>
        <v>0</v>
      </c>
      <c r="BF1138" s="49">
        <f t="shared" si="790"/>
        <v>0</v>
      </c>
      <c r="BG1138" s="49">
        <f t="shared" si="791"/>
        <v>0</v>
      </c>
      <c r="BI1138" s="134">
        <f t="shared" si="804"/>
        <v>0</v>
      </c>
      <c r="BJ1138" s="134">
        <f t="shared" si="799"/>
        <v>0</v>
      </c>
      <c r="BK1138" s="134">
        <f t="shared" si="805"/>
        <v>0</v>
      </c>
    </row>
    <row r="1139" spans="1:63" hidden="1">
      <c r="A1139" s="11"/>
      <c r="B1139" s="2321"/>
      <c r="C1139" s="2322"/>
      <c r="D1139" s="2335"/>
      <c r="E1139" s="2335"/>
      <c r="F1139" s="2335"/>
      <c r="G1139" s="2335"/>
      <c r="H1139" s="2335"/>
      <c r="I1139" s="2335"/>
      <c r="J1139" s="2335"/>
      <c r="K1139" s="2335"/>
      <c r="L1139" s="2335"/>
      <c r="M1139" s="2335"/>
      <c r="N1139" s="2335"/>
      <c r="O1139" s="2335"/>
      <c r="P1139" s="2324"/>
      <c r="Q1139" s="2324"/>
      <c r="R1139" s="2325"/>
      <c r="S1139" s="2324"/>
      <c r="T1139" s="2324"/>
      <c r="U1139" s="2326"/>
      <c r="V1139" s="2327"/>
      <c r="W1139" s="2327"/>
      <c r="X1139" s="2327"/>
      <c r="Y1139" s="2327"/>
      <c r="Z1139" s="2327"/>
      <c r="AA1139" s="2328"/>
      <c r="AB1139" s="2329"/>
      <c r="AC1139" s="2326"/>
      <c r="AD1139" s="2330">
        <f t="shared" si="792"/>
        <v>0</v>
      </c>
      <c r="AE1139" s="2330"/>
      <c r="AF1139" s="2330"/>
      <c r="AG1139" s="2330">
        <f t="shared" si="800"/>
        <v>0</v>
      </c>
      <c r="AH1139" s="2330"/>
      <c r="AI1139" s="2330"/>
      <c r="AJ1139" s="2330">
        <f t="shared" si="793"/>
        <v>0</v>
      </c>
      <c r="AK1139" s="2330"/>
      <c r="AL1139" s="2330"/>
      <c r="AM1139" s="2331">
        <f t="shared" si="794"/>
        <v>0</v>
      </c>
      <c r="AN1139" s="2331"/>
      <c r="AO1139" s="2331"/>
      <c r="AP1139" s="2331"/>
      <c r="AQ1139" s="2332">
        <f t="shared" si="795"/>
        <v>0</v>
      </c>
      <c r="AR1139" s="2332"/>
      <c r="AS1139" s="2332"/>
      <c r="AT1139" s="2332">
        <f t="shared" si="796"/>
        <v>0</v>
      </c>
      <c r="AV1139" s="151" t="str">
        <f t="shared" si="789"/>
        <v>MISCELLANEOUS</v>
      </c>
      <c r="AW1139" s="681"/>
      <c r="AX1139" s="230"/>
      <c r="AY1139" s="230"/>
      <c r="AZ1139" s="679"/>
      <c r="BA1139" s="49">
        <f t="shared" si="797"/>
        <v>0</v>
      </c>
      <c r="BB1139" s="49">
        <f t="shared" si="801"/>
        <v>0</v>
      </c>
      <c r="BC1139" s="49">
        <f t="shared" si="802"/>
        <v>0</v>
      </c>
      <c r="BD1139" s="49">
        <f t="shared" si="798"/>
        <v>0</v>
      </c>
      <c r="BE1139" s="49">
        <f t="shared" si="803"/>
        <v>0</v>
      </c>
      <c r="BF1139" s="49">
        <f t="shared" si="790"/>
        <v>0</v>
      </c>
      <c r="BG1139" s="49">
        <f t="shared" si="791"/>
        <v>0</v>
      </c>
      <c r="BI1139" s="134">
        <f t="shared" si="804"/>
        <v>0</v>
      </c>
      <c r="BJ1139" s="134">
        <f t="shared" si="799"/>
        <v>0</v>
      </c>
      <c r="BK1139" s="134">
        <f t="shared" si="805"/>
        <v>0</v>
      </c>
    </row>
    <row r="1140" spans="1:63" hidden="1">
      <c r="A1140" s="11"/>
      <c r="B1140" s="2321"/>
      <c r="C1140" s="2322"/>
      <c r="D1140" s="2335"/>
      <c r="E1140" s="2335"/>
      <c r="F1140" s="2335"/>
      <c r="G1140" s="2335"/>
      <c r="H1140" s="2335"/>
      <c r="I1140" s="2335"/>
      <c r="J1140" s="2335"/>
      <c r="K1140" s="2335"/>
      <c r="L1140" s="2335"/>
      <c r="M1140" s="2335"/>
      <c r="N1140" s="2335"/>
      <c r="O1140" s="2335"/>
      <c r="P1140" s="2324"/>
      <c r="Q1140" s="2324"/>
      <c r="R1140" s="2325"/>
      <c r="S1140" s="2324"/>
      <c r="T1140" s="2324"/>
      <c r="U1140" s="2326"/>
      <c r="V1140" s="2327"/>
      <c r="W1140" s="2327"/>
      <c r="X1140" s="2327"/>
      <c r="Y1140" s="2327"/>
      <c r="Z1140" s="2327"/>
      <c r="AA1140" s="2328"/>
      <c r="AB1140" s="2329"/>
      <c r="AC1140" s="2326"/>
      <c r="AD1140" s="2330">
        <f t="shared" si="792"/>
        <v>0</v>
      </c>
      <c r="AE1140" s="2330"/>
      <c r="AF1140" s="2330"/>
      <c r="AG1140" s="2330">
        <f t="shared" si="800"/>
        <v>0</v>
      </c>
      <c r="AH1140" s="2330"/>
      <c r="AI1140" s="2330"/>
      <c r="AJ1140" s="2330">
        <f t="shared" si="793"/>
        <v>0</v>
      </c>
      <c r="AK1140" s="2330"/>
      <c r="AL1140" s="2330"/>
      <c r="AM1140" s="2331">
        <f t="shared" si="794"/>
        <v>0</v>
      </c>
      <c r="AN1140" s="2331"/>
      <c r="AO1140" s="2331"/>
      <c r="AP1140" s="2331"/>
      <c r="AQ1140" s="2332">
        <f t="shared" si="795"/>
        <v>0</v>
      </c>
      <c r="AR1140" s="2332"/>
      <c r="AS1140" s="2332"/>
      <c r="AT1140" s="2332">
        <f t="shared" si="796"/>
        <v>0</v>
      </c>
      <c r="AV1140" s="151" t="str">
        <f t="shared" si="789"/>
        <v>MISCELLANEOUS</v>
      </c>
      <c r="AW1140" s="681"/>
      <c r="AX1140" s="230"/>
      <c r="AY1140" s="230"/>
      <c r="AZ1140" s="679"/>
      <c r="BA1140" s="49">
        <f t="shared" si="797"/>
        <v>0</v>
      </c>
      <c r="BB1140" s="49">
        <f t="shared" si="801"/>
        <v>0</v>
      </c>
      <c r="BC1140" s="49">
        <f t="shared" si="802"/>
        <v>0</v>
      </c>
      <c r="BD1140" s="49">
        <f t="shared" si="798"/>
        <v>0</v>
      </c>
      <c r="BE1140" s="49">
        <f t="shared" si="803"/>
        <v>0</v>
      </c>
      <c r="BF1140" s="49">
        <f t="shared" si="790"/>
        <v>0</v>
      </c>
      <c r="BG1140" s="49">
        <f t="shared" si="791"/>
        <v>0</v>
      </c>
      <c r="BI1140" s="134">
        <f t="shared" si="804"/>
        <v>0</v>
      </c>
      <c r="BJ1140" s="134">
        <f t="shared" si="799"/>
        <v>0</v>
      </c>
      <c r="BK1140" s="134">
        <f t="shared" si="805"/>
        <v>0</v>
      </c>
    </row>
    <row r="1141" spans="1:63" hidden="1">
      <c r="A1141" s="11"/>
      <c r="B1141" s="2321"/>
      <c r="C1141" s="2322"/>
      <c r="D1141" s="2335"/>
      <c r="E1141" s="2335"/>
      <c r="F1141" s="2335"/>
      <c r="G1141" s="2335"/>
      <c r="H1141" s="2335"/>
      <c r="I1141" s="2335"/>
      <c r="J1141" s="2335"/>
      <c r="K1141" s="2335"/>
      <c r="L1141" s="2335"/>
      <c r="M1141" s="2335"/>
      <c r="N1141" s="2335"/>
      <c r="O1141" s="2335"/>
      <c r="P1141" s="2324"/>
      <c r="Q1141" s="2324"/>
      <c r="R1141" s="2325"/>
      <c r="S1141" s="2324"/>
      <c r="T1141" s="2324"/>
      <c r="U1141" s="2326"/>
      <c r="V1141" s="2327"/>
      <c r="W1141" s="2327"/>
      <c r="X1141" s="2327"/>
      <c r="Y1141" s="2327"/>
      <c r="Z1141" s="2327"/>
      <c r="AA1141" s="2328"/>
      <c r="AB1141" s="2329"/>
      <c r="AC1141" s="2326"/>
      <c r="AD1141" s="2330">
        <f t="shared" si="792"/>
        <v>0</v>
      </c>
      <c r="AE1141" s="2330"/>
      <c r="AF1141" s="2330"/>
      <c r="AG1141" s="2330">
        <f t="shared" si="800"/>
        <v>0</v>
      </c>
      <c r="AH1141" s="2330"/>
      <c r="AI1141" s="2330"/>
      <c r="AJ1141" s="2330">
        <f t="shared" si="793"/>
        <v>0</v>
      </c>
      <c r="AK1141" s="2330"/>
      <c r="AL1141" s="2330"/>
      <c r="AM1141" s="2331">
        <f t="shared" si="794"/>
        <v>0</v>
      </c>
      <c r="AN1141" s="2331"/>
      <c r="AO1141" s="2331"/>
      <c r="AP1141" s="2331"/>
      <c r="AQ1141" s="2332">
        <f t="shared" si="795"/>
        <v>0</v>
      </c>
      <c r="AR1141" s="2332"/>
      <c r="AS1141" s="2332"/>
      <c r="AT1141" s="2332">
        <f t="shared" si="796"/>
        <v>0</v>
      </c>
      <c r="AV1141" s="151" t="str">
        <f t="shared" si="789"/>
        <v>MISCELLANEOUS</v>
      </c>
      <c r="AW1141" s="681"/>
      <c r="AX1141" s="230"/>
      <c r="AY1141" s="230"/>
      <c r="AZ1141" s="679"/>
      <c r="BA1141" s="49">
        <f t="shared" si="797"/>
        <v>0</v>
      </c>
      <c r="BB1141" s="49">
        <f t="shared" si="801"/>
        <v>0</v>
      </c>
      <c r="BC1141" s="49">
        <f t="shared" si="802"/>
        <v>0</v>
      </c>
      <c r="BD1141" s="49">
        <f t="shared" si="798"/>
        <v>0</v>
      </c>
      <c r="BE1141" s="49">
        <f>SUM(BA1141:BC1141)</f>
        <v>0</v>
      </c>
      <c r="BF1141" s="49">
        <f t="shared" si="790"/>
        <v>0</v>
      </c>
      <c r="BG1141" s="49">
        <f t="shared" si="791"/>
        <v>0</v>
      </c>
      <c r="BI1141" s="134">
        <f t="shared" si="804"/>
        <v>0</v>
      </c>
      <c r="BJ1141" s="134">
        <f t="shared" si="799"/>
        <v>0</v>
      </c>
      <c r="BK1141" s="134">
        <f t="shared" si="805"/>
        <v>0</v>
      </c>
    </row>
    <row r="1142" spans="1:63" hidden="1">
      <c r="A1142" s="11"/>
      <c r="B1142" s="2321"/>
      <c r="C1142" s="2322"/>
      <c r="D1142" s="2335"/>
      <c r="E1142" s="2335"/>
      <c r="F1142" s="2335"/>
      <c r="G1142" s="2335"/>
      <c r="H1142" s="2335"/>
      <c r="I1142" s="2335"/>
      <c r="J1142" s="2335"/>
      <c r="K1142" s="2335"/>
      <c r="L1142" s="2335"/>
      <c r="M1142" s="2335"/>
      <c r="N1142" s="2335"/>
      <c r="O1142" s="2335"/>
      <c r="P1142" s="2324"/>
      <c r="Q1142" s="2324"/>
      <c r="R1142" s="2325"/>
      <c r="S1142" s="2324"/>
      <c r="T1142" s="2324"/>
      <c r="U1142" s="2326"/>
      <c r="V1142" s="2327"/>
      <c r="W1142" s="2327"/>
      <c r="X1142" s="2327"/>
      <c r="Y1142" s="2327"/>
      <c r="Z1142" s="2327"/>
      <c r="AA1142" s="2328"/>
      <c r="AB1142" s="2329"/>
      <c r="AC1142" s="2326"/>
      <c r="AD1142" s="2330">
        <f t="shared" si="792"/>
        <v>0</v>
      </c>
      <c r="AE1142" s="2330"/>
      <c r="AF1142" s="2330"/>
      <c r="AG1142" s="2330">
        <f t="shared" si="800"/>
        <v>0</v>
      </c>
      <c r="AH1142" s="2330"/>
      <c r="AI1142" s="2330"/>
      <c r="AJ1142" s="2330">
        <f t="shared" si="793"/>
        <v>0</v>
      </c>
      <c r="AK1142" s="2330"/>
      <c r="AL1142" s="2330"/>
      <c r="AM1142" s="2331">
        <f t="shared" si="794"/>
        <v>0</v>
      </c>
      <c r="AN1142" s="2331"/>
      <c r="AO1142" s="2331"/>
      <c r="AP1142" s="2331"/>
      <c r="AQ1142" s="2332">
        <f t="shared" si="795"/>
        <v>0</v>
      </c>
      <c r="AR1142" s="2332"/>
      <c r="AS1142" s="2332"/>
      <c r="AT1142" s="2332">
        <f t="shared" si="796"/>
        <v>0</v>
      </c>
      <c r="AV1142" s="151" t="str">
        <f t="shared" si="789"/>
        <v>MISCELLANEOUS</v>
      </c>
      <c r="AW1142" s="681"/>
      <c r="AX1142" s="230"/>
      <c r="AY1142" s="230"/>
      <c r="AZ1142" s="679"/>
      <c r="BA1142" s="49">
        <f t="shared" si="797"/>
        <v>0</v>
      </c>
      <c r="BB1142" s="49">
        <f t="shared" si="801"/>
        <v>0</v>
      </c>
      <c r="BC1142" s="49">
        <f t="shared" si="802"/>
        <v>0</v>
      </c>
      <c r="BD1142" s="49">
        <f t="shared" si="798"/>
        <v>0</v>
      </c>
      <c r="BE1142" s="49">
        <f>SUM(BA1142:BC1142)</f>
        <v>0</v>
      </c>
      <c r="BF1142" s="49">
        <f t="shared" si="790"/>
        <v>0</v>
      </c>
      <c r="BG1142" s="49">
        <f t="shared" si="791"/>
        <v>0</v>
      </c>
      <c r="BI1142" s="134">
        <f t="shared" si="804"/>
        <v>0</v>
      </c>
      <c r="BJ1142" s="134">
        <f t="shared" si="799"/>
        <v>0</v>
      </c>
      <c r="BK1142" s="134">
        <f t="shared" si="805"/>
        <v>0</v>
      </c>
    </row>
    <row r="1143" spans="1:63" hidden="1">
      <c r="A1143" s="11"/>
      <c r="B1143" s="2321"/>
      <c r="C1143" s="2322"/>
      <c r="D1143" s="2323"/>
      <c r="E1143" s="2323"/>
      <c r="F1143" s="2323"/>
      <c r="G1143" s="2323"/>
      <c r="H1143" s="2323"/>
      <c r="I1143" s="2323"/>
      <c r="J1143" s="2323"/>
      <c r="K1143" s="2323"/>
      <c r="L1143" s="2323"/>
      <c r="M1143" s="2323"/>
      <c r="N1143" s="2323"/>
      <c r="O1143" s="2323"/>
      <c r="P1143" s="2324"/>
      <c r="Q1143" s="2324"/>
      <c r="R1143" s="2325"/>
      <c r="S1143" s="2324"/>
      <c r="T1143" s="2324"/>
      <c r="U1143" s="2326"/>
      <c r="V1143" s="2327"/>
      <c r="W1143" s="2327"/>
      <c r="X1143" s="2327"/>
      <c r="Y1143" s="2327"/>
      <c r="Z1143" s="2327"/>
      <c r="AA1143" s="2328"/>
      <c r="AB1143" s="2329"/>
      <c r="AC1143" s="2326"/>
      <c r="AD1143" s="2330">
        <f t="shared" ref="AD1143:AD1162" si="806">((P1143*U1143)-AM1143)</f>
        <v>0</v>
      </c>
      <c r="AE1143" s="2330"/>
      <c r="AF1143" s="2330"/>
      <c r="AG1143" s="2330">
        <f t="shared" si="800"/>
        <v>0</v>
      </c>
      <c r="AH1143" s="2330"/>
      <c r="AI1143" s="2330"/>
      <c r="AJ1143" s="2330">
        <f t="shared" ref="AJ1143:AJ1162" si="807">P1143*AA1143</f>
        <v>0</v>
      </c>
      <c r="AK1143" s="2330"/>
      <c r="AL1143" s="2330"/>
      <c r="AM1143" s="2331">
        <f t="shared" si="794"/>
        <v>0</v>
      </c>
      <c r="AN1143" s="2331"/>
      <c r="AO1143" s="2331"/>
      <c r="AP1143" s="2331"/>
      <c r="AQ1143" s="2332">
        <f t="shared" ref="AQ1143:AQ1162" si="808">SUM(AD1143:AL1143)</f>
        <v>0</v>
      </c>
      <c r="AR1143" s="2332"/>
      <c r="AS1143" s="2332"/>
      <c r="AT1143" s="2332">
        <f t="shared" ref="AT1143:AT1162" si="809">SUM(AD1143:AL1143)</f>
        <v>0</v>
      </c>
      <c r="AV1143" s="151" t="str">
        <f t="shared" si="789"/>
        <v>MISCELLANEOUS</v>
      </c>
      <c r="AW1143" s="681"/>
      <c r="AX1143" s="230"/>
      <c r="AY1143" s="230"/>
      <c r="AZ1143" s="679"/>
      <c r="BA1143" s="49">
        <f t="shared" ref="BA1143:BA1162" si="810">AD1143</f>
        <v>0</v>
      </c>
      <c r="BB1143" s="49">
        <f>AG1143</f>
        <v>0</v>
      </c>
      <c r="BC1143" s="49">
        <f>AJ1143</f>
        <v>0</v>
      </c>
      <c r="BD1143" s="49">
        <f t="shared" ref="BD1143:BD1162" si="811">IF(B1143="x",1,0)</f>
        <v>0</v>
      </c>
      <c r="BE1143" s="49">
        <f>SUM(BA1143:BC1143)</f>
        <v>0</v>
      </c>
      <c r="BF1143" s="49">
        <f t="shared" ref="BF1143:BF1162" si="812">AQ1143</f>
        <v>0</v>
      </c>
      <c r="BG1143" s="49">
        <f t="shared" ref="BG1143:BG1162" si="813">AM1143</f>
        <v>0</v>
      </c>
      <c r="BI1143" s="134">
        <f>AD1143</f>
        <v>0</v>
      </c>
      <c r="BJ1143" s="134">
        <f t="shared" ref="BJ1143:BJ1162" si="814">AM1143</f>
        <v>0</v>
      </c>
      <c r="BK1143" s="134">
        <f>BJ1143+BI1143</f>
        <v>0</v>
      </c>
    </row>
    <row r="1144" spans="1:63" hidden="1">
      <c r="A1144" s="11"/>
      <c r="B1144" s="2333"/>
      <c r="C1144" s="2333"/>
      <c r="D1144" s="2323"/>
      <c r="E1144" s="2323"/>
      <c r="F1144" s="2323"/>
      <c r="G1144" s="2323"/>
      <c r="H1144" s="2323"/>
      <c r="I1144" s="2323"/>
      <c r="J1144" s="2323"/>
      <c r="K1144" s="2323"/>
      <c r="L1144" s="2323"/>
      <c r="M1144" s="2323"/>
      <c r="N1144" s="2323"/>
      <c r="O1144" s="2323"/>
      <c r="P1144" s="2324"/>
      <c r="Q1144" s="2324"/>
      <c r="R1144" s="2325"/>
      <c r="S1144" s="2324"/>
      <c r="T1144" s="2324"/>
      <c r="U1144" s="2326"/>
      <c r="V1144" s="2327"/>
      <c r="W1144" s="2327"/>
      <c r="X1144" s="2327"/>
      <c r="Y1144" s="2327"/>
      <c r="Z1144" s="2327"/>
      <c r="AA1144" s="2328"/>
      <c r="AB1144" s="2329"/>
      <c r="AC1144" s="2326"/>
      <c r="AD1144" s="2330">
        <f t="shared" si="806"/>
        <v>0</v>
      </c>
      <c r="AE1144" s="2330"/>
      <c r="AF1144" s="2330"/>
      <c r="AG1144" s="2330">
        <f t="shared" si="800"/>
        <v>0</v>
      </c>
      <c r="AH1144" s="2330"/>
      <c r="AI1144" s="2330"/>
      <c r="AJ1144" s="2330">
        <f t="shared" si="807"/>
        <v>0</v>
      </c>
      <c r="AK1144" s="2330"/>
      <c r="AL1144" s="2330"/>
      <c r="AM1144" s="2331">
        <f t="shared" si="794"/>
        <v>0</v>
      </c>
      <c r="AN1144" s="2331"/>
      <c r="AO1144" s="2331"/>
      <c r="AP1144" s="2331"/>
      <c r="AQ1144" s="2332">
        <f t="shared" si="808"/>
        <v>0</v>
      </c>
      <c r="AR1144" s="2332"/>
      <c r="AS1144" s="2332"/>
      <c r="AT1144" s="2332">
        <f t="shared" si="809"/>
        <v>0</v>
      </c>
      <c r="AV1144" s="151" t="str">
        <f t="shared" si="789"/>
        <v>MISCELLANEOUS</v>
      </c>
      <c r="AW1144" s="681"/>
      <c r="AX1144" s="230"/>
      <c r="AY1144" s="230"/>
      <c r="AZ1144" s="679"/>
      <c r="BA1144" s="49">
        <f t="shared" si="810"/>
        <v>0</v>
      </c>
      <c r="BB1144" s="49">
        <f t="shared" ref="BB1144:BB1162" si="815">AG1144</f>
        <v>0</v>
      </c>
      <c r="BC1144" s="49">
        <f t="shared" ref="BC1144:BC1162" si="816">AJ1144</f>
        <v>0</v>
      </c>
      <c r="BD1144" s="49">
        <f t="shared" si="811"/>
        <v>0</v>
      </c>
      <c r="BE1144" s="49">
        <f t="shared" ref="BE1144:BE1160" si="817">SUM(BA1144:BC1144)</f>
        <v>0</v>
      </c>
      <c r="BF1144" s="49">
        <f t="shared" si="812"/>
        <v>0</v>
      </c>
      <c r="BG1144" s="49">
        <f t="shared" si="813"/>
        <v>0</v>
      </c>
      <c r="BI1144" s="134">
        <f t="shared" ref="BI1144:BI1162" si="818">AD1144</f>
        <v>0</v>
      </c>
      <c r="BJ1144" s="134">
        <f t="shared" si="814"/>
        <v>0</v>
      </c>
      <c r="BK1144" s="134">
        <f t="shared" ref="BK1144:BK1162" si="819">BJ1144+BI1144</f>
        <v>0</v>
      </c>
    </row>
    <row r="1145" spans="1:63" hidden="1">
      <c r="A1145" s="11"/>
      <c r="B1145" s="2333"/>
      <c r="C1145" s="2333"/>
      <c r="D1145" s="2323"/>
      <c r="E1145" s="2323"/>
      <c r="F1145" s="2323"/>
      <c r="G1145" s="2323"/>
      <c r="H1145" s="2323"/>
      <c r="I1145" s="2323"/>
      <c r="J1145" s="2323"/>
      <c r="K1145" s="2323"/>
      <c r="L1145" s="2323"/>
      <c r="M1145" s="2323"/>
      <c r="N1145" s="2323"/>
      <c r="O1145" s="2323"/>
      <c r="P1145" s="2324"/>
      <c r="Q1145" s="2324"/>
      <c r="R1145" s="2325"/>
      <c r="S1145" s="2324"/>
      <c r="T1145" s="2324"/>
      <c r="U1145" s="2326"/>
      <c r="V1145" s="2327"/>
      <c r="W1145" s="2327"/>
      <c r="X1145" s="2327"/>
      <c r="Y1145" s="2327"/>
      <c r="Z1145" s="2327"/>
      <c r="AA1145" s="2328"/>
      <c r="AB1145" s="2329"/>
      <c r="AC1145" s="2326"/>
      <c r="AD1145" s="2330">
        <f t="shared" si="806"/>
        <v>0</v>
      </c>
      <c r="AE1145" s="2330"/>
      <c r="AF1145" s="2330"/>
      <c r="AG1145" s="2330">
        <f t="shared" si="800"/>
        <v>0</v>
      </c>
      <c r="AH1145" s="2330"/>
      <c r="AI1145" s="2330"/>
      <c r="AJ1145" s="2330">
        <f t="shared" si="807"/>
        <v>0</v>
      </c>
      <c r="AK1145" s="2330"/>
      <c r="AL1145" s="2330"/>
      <c r="AM1145" s="2331">
        <f t="shared" si="794"/>
        <v>0</v>
      </c>
      <c r="AN1145" s="2331"/>
      <c r="AO1145" s="2331"/>
      <c r="AP1145" s="2331"/>
      <c r="AQ1145" s="2332">
        <f t="shared" si="808"/>
        <v>0</v>
      </c>
      <c r="AR1145" s="2332"/>
      <c r="AS1145" s="2332"/>
      <c r="AT1145" s="2332">
        <f t="shared" si="809"/>
        <v>0</v>
      </c>
      <c r="AV1145" s="151" t="str">
        <f t="shared" si="789"/>
        <v>MISCELLANEOUS</v>
      </c>
      <c r="AW1145" s="681"/>
      <c r="AX1145" s="230"/>
      <c r="AY1145" s="230"/>
      <c r="AZ1145" s="679"/>
      <c r="BA1145" s="49">
        <f t="shared" si="810"/>
        <v>0</v>
      </c>
      <c r="BB1145" s="49">
        <f t="shared" si="815"/>
        <v>0</v>
      </c>
      <c r="BC1145" s="49">
        <f t="shared" si="816"/>
        <v>0</v>
      </c>
      <c r="BD1145" s="49">
        <f t="shared" si="811"/>
        <v>0</v>
      </c>
      <c r="BE1145" s="49">
        <f t="shared" si="817"/>
        <v>0</v>
      </c>
      <c r="BF1145" s="49">
        <f t="shared" si="812"/>
        <v>0</v>
      </c>
      <c r="BG1145" s="49">
        <f t="shared" si="813"/>
        <v>0</v>
      </c>
      <c r="BI1145" s="134">
        <f t="shared" si="818"/>
        <v>0</v>
      </c>
      <c r="BJ1145" s="134">
        <f t="shared" si="814"/>
        <v>0</v>
      </c>
      <c r="BK1145" s="134">
        <f t="shared" si="819"/>
        <v>0</v>
      </c>
    </row>
    <row r="1146" spans="1:63" hidden="1">
      <c r="A1146" s="11"/>
      <c r="B1146" s="2321"/>
      <c r="C1146" s="2322"/>
      <c r="D1146" s="2323"/>
      <c r="E1146" s="2323"/>
      <c r="F1146" s="2323"/>
      <c r="G1146" s="2323"/>
      <c r="H1146" s="2323"/>
      <c r="I1146" s="2323"/>
      <c r="J1146" s="2323"/>
      <c r="K1146" s="2323"/>
      <c r="L1146" s="2323"/>
      <c r="M1146" s="2323"/>
      <c r="N1146" s="2323"/>
      <c r="O1146" s="2323"/>
      <c r="P1146" s="2324"/>
      <c r="Q1146" s="2324"/>
      <c r="R1146" s="2325"/>
      <c r="S1146" s="2324"/>
      <c r="T1146" s="2324"/>
      <c r="U1146" s="2326"/>
      <c r="V1146" s="2327"/>
      <c r="W1146" s="2327"/>
      <c r="X1146" s="2327"/>
      <c r="Y1146" s="2327"/>
      <c r="Z1146" s="2327"/>
      <c r="AA1146" s="2328"/>
      <c r="AB1146" s="2329"/>
      <c r="AC1146" s="2326"/>
      <c r="AD1146" s="2330">
        <f t="shared" si="806"/>
        <v>0</v>
      </c>
      <c r="AE1146" s="2330"/>
      <c r="AF1146" s="2330"/>
      <c r="AG1146" s="2330">
        <f t="shared" si="800"/>
        <v>0</v>
      </c>
      <c r="AH1146" s="2330"/>
      <c r="AI1146" s="2330"/>
      <c r="AJ1146" s="2330">
        <f t="shared" si="807"/>
        <v>0</v>
      </c>
      <c r="AK1146" s="2330"/>
      <c r="AL1146" s="2330"/>
      <c r="AM1146" s="2331">
        <f t="shared" si="794"/>
        <v>0</v>
      </c>
      <c r="AN1146" s="2331"/>
      <c r="AO1146" s="2331"/>
      <c r="AP1146" s="2331"/>
      <c r="AQ1146" s="2332">
        <f t="shared" si="808"/>
        <v>0</v>
      </c>
      <c r="AR1146" s="2332"/>
      <c r="AS1146" s="2332"/>
      <c r="AT1146" s="2332">
        <f t="shared" si="809"/>
        <v>0</v>
      </c>
      <c r="AV1146" s="151" t="str">
        <f t="shared" si="789"/>
        <v>MISCELLANEOUS</v>
      </c>
      <c r="AW1146" s="681"/>
      <c r="AX1146" s="230"/>
      <c r="AY1146" s="230"/>
      <c r="AZ1146" s="679"/>
      <c r="BA1146" s="49">
        <f t="shared" si="810"/>
        <v>0</v>
      </c>
      <c r="BB1146" s="49">
        <f t="shared" si="815"/>
        <v>0</v>
      </c>
      <c r="BC1146" s="49">
        <f t="shared" si="816"/>
        <v>0</v>
      </c>
      <c r="BD1146" s="49">
        <f t="shared" si="811"/>
        <v>0</v>
      </c>
      <c r="BE1146" s="49">
        <f t="shared" si="817"/>
        <v>0</v>
      </c>
      <c r="BF1146" s="49">
        <f t="shared" si="812"/>
        <v>0</v>
      </c>
      <c r="BG1146" s="49">
        <f t="shared" si="813"/>
        <v>0</v>
      </c>
      <c r="BI1146" s="134">
        <f t="shared" si="818"/>
        <v>0</v>
      </c>
      <c r="BJ1146" s="134">
        <f t="shared" si="814"/>
        <v>0</v>
      </c>
      <c r="BK1146" s="134">
        <f t="shared" si="819"/>
        <v>0</v>
      </c>
    </row>
    <row r="1147" spans="1:63" hidden="1">
      <c r="A1147" s="11"/>
      <c r="B1147" s="2321"/>
      <c r="C1147" s="2322"/>
      <c r="D1147" s="2323"/>
      <c r="E1147" s="2323"/>
      <c r="F1147" s="2323"/>
      <c r="G1147" s="2323"/>
      <c r="H1147" s="2323"/>
      <c r="I1147" s="2323"/>
      <c r="J1147" s="2323"/>
      <c r="K1147" s="2323"/>
      <c r="L1147" s="2323"/>
      <c r="M1147" s="2323"/>
      <c r="N1147" s="2323"/>
      <c r="O1147" s="2323"/>
      <c r="P1147" s="2324"/>
      <c r="Q1147" s="2324"/>
      <c r="R1147" s="2325"/>
      <c r="S1147" s="2324"/>
      <c r="T1147" s="2324"/>
      <c r="U1147" s="2326"/>
      <c r="V1147" s="2327"/>
      <c r="W1147" s="2327"/>
      <c r="X1147" s="2327"/>
      <c r="Y1147" s="2327"/>
      <c r="Z1147" s="2327"/>
      <c r="AA1147" s="2328"/>
      <c r="AB1147" s="2329"/>
      <c r="AC1147" s="2326"/>
      <c r="AD1147" s="2330">
        <f t="shared" si="806"/>
        <v>0</v>
      </c>
      <c r="AE1147" s="2330"/>
      <c r="AF1147" s="2330"/>
      <c r="AG1147" s="2330">
        <f t="shared" si="800"/>
        <v>0</v>
      </c>
      <c r="AH1147" s="2330"/>
      <c r="AI1147" s="2330"/>
      <c r="AJ1147" s="2330">
        <f t="shared" si="807"/>
        <v>0</v>
      </c>
      <c r="AK1147" s="2330"/>
      <c r="AL1147" s="2330"/>
      <c r="AM1147" s="2331">
        <f t="shared" si="794"/>
        <v>0</v>
      </c>
      <c r="AN1147" s="2331"/>
      <c r="AO1147" s="2331"/>
      <c r="AP1147" s="2331"/>
      <c r="AQ1147" s="2332">
        <f t="shared" si="808"/>
        <v>0</v>
      </c>
      <c r="AR1147" s="2332"/>
      <c r="AS1147" s="2332"/>
      <c r="AT1147" s="2332">
        <f t="shared" si="809"/>
        <v>0</v>
      </c>
      <c r="AV1147" s="151" t="str">
        <f t="shared" si="789"/>
        <v>MISCELLANEOUS</v>
      </c>
      <c r="AW1147" s="681"/>
      <c r="AX1147" s="230"/>
      <c r="AY1147" s="230"/>
      <c r="AZ1147" s="679"/>
      <c r="BA1147" s="49">
        <f t="shared" si="810"/>
        <v>0</v>
      </c>
      <c r="BB1147" s="49">
        <f t="shared" si="815"/>
        <v>0</v>
      </c>
      <c r="BC1147" s="49">
        <f t="shared" si="816"/>
        <v>0</v>
      </c>
      <c r="BD1147" s="49">
        <f t="shared" si="811"/>
        <v>0</v>
      </c>
      <c r="BE1147" s="49">
        <f t="shared" si="817"/>
        <v>0</v>
      </c>
      <c r="BF1147" s="49">
        <f t="shared" si="812"/>
        <v>0</v>
      </c>
      <c r="BG1147" s="49">
        <f t="shared" si="813"/>
        <v>0</v>
      </c>
      <c r="BI1147" s="134">
        <f t="shared" si="818"/>
        <v>0</v>
      </c>
      <c r="BJ1147" s="134">
        <f t="shared" si="814"/>
        <v>0</v>
      </c>
      <c r="BK1147" s="134">
        <f t="shared" si="819"/>
        <v>0</v>
      </c>
    </row>
    <row r="1148" spans="1:63" hidden="1">
      <c r="A1148" s="11"/>
      <c r="B1148" s="2321"/>
      <c r="C1148" s="2322"/>
      <c r="D1148" s="2323"/>
      <c r="E1148" s="2323"/>
      <c r="F1148" s="2323"/>
      <c r="G1148" s="2323"/>
      <c r="H1148" s="2323"/>
      <c r="I1148" s="2323"/>
      <c r="J1148" s="2323"/>
      <c r="K1148" s="2323"/>
      <c r="L1148" s="2323"/>
      <c r="M1148" s="2323"/>
      <c r="N1148" s="2323"/>
      <c r="O1148" s="2323"/>
      <c r="P1148" s="2324"/>
      <c r="Q1148" s="2324"/>
      <c r="R1148" s="2325"/>
      <c r="S1148" s="2324"/>
      <c r="T1148" s="2324"/>
      <c r="U1148" s="2326"/>
      <c r="V1148" s="2327"/>
      <c r="W1148" s="2327"/>
      <c r="X1148" s="2327"/>
      <c r="Y1148" s="2327"/>
      <c r="Z1148" s="2327"/>
      <c r="AA1148" s="2328"/>
      <c r="AB1148" s="2329"/>
      <c r="AC1148" s="2326"/>
      <c r="AD1148" s="2330">
        <f t="shared" si="806"/>
        <v>0</v>
      </c>
      <c r="AE1148" s="2330"/>
      <c r="AF1148" s="2330"/>
      <c r="AG1148" s="2330">
        <f t="shared" si="800"/>
        <v>0</v>
      </c>
      <c r="AH1148" s="2330"/>
      <c r="AI1148" s="2330"/>
      <c r="AJ1148" s="2330">
        <f t="shared" si="807"/>
        <v>0</v>
      </c>
      <c r="AK1148" s="2330"/>
      <c r="AL1148" s="2330"/>
      <c r="AM1148" s="2331">
        <f t="shared" si="794"/>
        <v>0</v>
      </c>
      <c r="AN1148" s="2331"/>
      <c r="AO1148" s="2331"/>
      <c r="AP1148" s="2331"/>
      <c r="AQ1148" s="2332">
        <f t="shared" si="808"/>
        <v>0</v>
      </c>
      <c r="AR1148" s="2332"/>
      <c r="AS1148" s="2332"/>
      <c r="AT1148" s="2332">
        <f t="shared" si="809"/>
        <v>0</v>
      </c>
      <c r="AV1148" s="151" t="str">
        <f t="shared" si="789"/>
        <v>MISCELLANEOUS</v>
      </c>
      <c r="AW1148" s="681"/>
      <c r="AX1148" s="230"/>
      <c r="AY1148" s="230"/>
      <c r="AZ1148" s="679"/>
      <c r="BA1148" s="49">
        <f t="shared" si="810"/>
        <v>0</v>
      </c>
      <c r="BB1148" s="49">
        <f t="shared" si="815"/>
        <v>0</v>
      </c>
      <c r="BC1148" s="49">
        <f t="shared" si="816"/>
        <v>0</v>
      </c>
      <c r="BD1148" s="49">
        <f t="shared" si="811"/>
        <v>0</v>
      </c>
      <c r="BE1148" s="49">
        <f t="shared" si="817"/>
        <v>0</v>
      </c>
      <c r="BF1148" s="49">
        <f t="shared" si="812"/>
        <v>0</v>
      </c>
      <c r="BG1148" s="49">
        <f t="shared" si="813"/>
        <v>0</v>
      </c>
      <c r="BI1148" s="134">
        <f t="shared" si="818"/>
        <v>0</v>
      </c>
      <c r="BJ1148" s="134">
        <f t="shared" si="814"/>
        <v>0</v>
      </c>
      <c r="BK1148" s="134">
        <f t="shared" si="819"/>
        <v>0</v>
      </c>
    </row>
    <row r="1149" spans="1:63" hidden="1">
      <c r="A1149" s="11"/>
      <c r="B1149" s="2321"/>
      <c r="C1149" s="2322"/>
      <c r="D1149" s="2323"/>
      <c r="E1149" s="2323"/>
      <c r="F1149" s="2323"/>
      <c r="G1149" s="2323"/>
      <c r="H1149" s="2323"/>
      <c r="I1149" s="2323"/>
      <c r="J1149" s="2323"/>
      <c r="K1149" s="2323"/>
      <c r="L1149" s="2323"/>
      <c r="M1149" s="2323"/>
      <c r="N1149" s="2323"/>
      <c r="O1149" s="2323"/>
      <c r="P1149" s="2324"/>
      <c r="Q1149" s="2324"/>
      <c r="R1149" s="2325"/>
      <c r="S1149" s="2324"/>
      <c r="T1149" s="2324"/>
      <c r="U1149" s="2326"/>
      <c r="V1149" s="2327"/>
      <c r="W1149" s="2327"/>
      <c r="X1149" s="2327"/>
      <c r="Y1149" s="2327"/>
      <c r="Z1149" s="2327"/>
      <c r="AA1149" s="2328"/>
      <c r="AB1149" s="2329"/>
      <c r="AC1149" s="2326"/>
      <c r="AD1149" s="2330">
        <f t="shared" si="806"/>
        <v>0</v>
      </c>
      <c r="AE1149" s="2330"/>
      <c r="AF1149" s="2330"/>
      <c r="AG1149" s="2330">
        <f t="shared" si="800"/>
        <v>0</v>
      </c>
      <c r="AH1149" s="2330"/>
      <c r="AI1149" s="2330"/>
      <c r="AJ1149" s="2330">
        <f t="shared" si="807"/>
        <v>0</v>
      </c>
      <c r="AK1149" s="2330"/>
      <c r="AL1149" s="2330"/>
      <c r="AM1149" s="2331">
        <f t="shared" si="794"/>
        <v>0</v>
      </c>
      <c r="AN1149" s="2331"/>
      <c r="AO1149" s="2331"/>
      <c r="AP1149" s="2331"/>
      <c r="AQ1149" s="2332">
        <f t="shared" si="808"/>
        <v>0</v>
      </c>
      <c r="AR1149" s="2332"/>
      <c r="AS1149" s="2332"/>
      <c r="AT1149" s="2332">
        <f t="shared" si="809"/>
        <v>0</v>
      </c>
      <c r="AV1149" s="151" t="str">
        <f t="shared" si="789"/>
        <v>MISCELLANEOUS</v>
      </c>
      <c r="AW1149" s="681"/>
      <c r="AX1149" s="230"/>
      <c r="AY1149" s="230"/>
      <c r="AZ1149" s="679"/>
      <c r="BA1149" s="49">
        <f t="shared" si="810"/>
        <v>0</v>
      </c>
      <c r="BB1149" s="49">
        <f t="shared" si="815"/>
        <v>0</v>
      </c>
      <c r="BC1149" s="49">
        <f t="shared" si="816"/>
        <v>0</v>
      </c>
      <c r="BD1149" s="49">
        <f t="shared" si="811"/>
        <v>0</v>
      </c>
      <c r="BE1149" s="49">
        <f t="shared" si="817"/>
        <v>0</v>
      </c>
      <c r="BF1149" s="49">
        <f t="shared" si="812"/>
        <v>0</v>
      </c>
      <c r="BG1149" s="49">
        <f t="shared" si="813"/>
        <v>0</v>
      </c>
      <c r="BI1149" s="134">
        <f t="shared" si="818"/>
        <v>0</v>
      </c>
      <c r="BJ1149" s="134">
        <f t="shared" si="814"/>
        <v>0</v>
      </c>
      <c r="BK1149" s="134">
        <f t="shared" si="819"/>
        <v>0</v>
      </c>
    </row>
    <row r="1150" spans="1:63" hidden="1">
      <c r="A1150" s="11"/>
      <c r="B1150" s="2321"/>
      <c r="C1150" s="2322"/>
      <c r="D1150" s="2323"/>
      <c r="E1150" s="2323"/>
      <c r="F1150" s="2323"/>
      <c r="G1150" s="2323"/>
      <c r="H1150" s="2323"/>
      <c r="I1150" s="2323"/>
      <c r="J1150" s="2323"/>
      <c r="K1150" s="2323"/>
      <c r="L1150" s="2323"/>
      <c r="M1150" s="2323"/>
      <c r="N1150" s="2323"/>
      <c r="O1150" s="2323"/>
      <c r="P1150" s="2324"/>
      <c r="Q1150" s="2324"/>
      <c r="R1150" s="2325"/>
      <c r="S1150" s="2324"/>
      <c r="T1150" s="2324"/>
      <c r="U1150" s="2326"/>
      <c r="V1150" s="2327"/>
      <c r="W1150" s="2327"/>
      <c r="X1150" s="2327"/>
      <c r="Y1150" s="2327"/>
      <c r="Z1150" s="2327"/>
      <c r="AA1150" s="2328"/>
      <c r="AB1150" s="2329"/>
      <c r="AC1150" s="2326"/>
      <c r="AD1150" s="2330">
        <f t="shared" si="806"/>
        <v>0</v>
      </c>
      <c r="AE1150" s="2330"/>
      <c r="AF1150" s="2330"/>
      <c r="AG1150" s="2330">
        <f t="shared" si="800"/>
        <v>0</v>
      </c>
      <c r="AH1150" s="2330"/>
      <c r="AI1150" s="2330"/>
      <c r="AJ1150" s="2330">
        <f t="shared" si="807"/>
        <v>0</v>
      </c>
      <c r="AK1150" s="2330"/>
      <c r="AL1150" s="2330"/>
      <c r="AM1150" s="2331">
        <f t="shared" si="794"/>
        <v>0</v>
      </c>
      <c r="AN1150" s="2331"/>
      <c r="AO1150" s="2331"/>
      <c r="AP1150" s="2331"/>
      <c r="AQ1150" s="2332">
        <f t="shared" si="808"/>
        <v>0</v>
      </c>
      <c r="AR1150" s="2332"/>
      <c r="AS1150" s="2332"/>
      <c r="AT1150" s="2332">
        <f t="shared" si="809"/>
        <v>0</v>
      </c>
      <c r="AV1150" s="151" t="str">
        <f t="shared" si="789"/>
        <v>MISCELLANEOUS</v>
      </c>
      <c r="AW1150" s="681"/>
      <c r="AX1150" s="230"/>
      <c r="AY1150" s="230"/>
      <c r="AZ1150" s="679"/>
      <c r="BA1150" s="49">
        <f t="shared" si="810"/>
        <v>0</v>
      </c>
      <c r="BB1150" s="49">
        <f t="shared" si="815"/>
        <v>0</v>
      </c>
      <c r="BC1150" s="49">
        <f t="shared" si="816"/>
        <v>0</v>
      </c>
      <c r="BD1150" s="49">
        <f t="shared" si="811"/>
        <v>0</v>
      </c>
      <c r="BE1150" s="49">
        <f t="shared" si="817"/>
        <v>0</v>
      </c>
      <c r="BF1150" s="49">
        <f t="shared" si="812"/>
        <v>0</v>
      </c>
      <c r="BG1150" s="49">
        <f t="shared" si="813"/>
        <v>0</v>
      </c>
      <c r="BI1150" s="134">
        <f t="shared" si="818"/>
        <v>0</v>
      </c>
      <c r="BJ1150" s="134">
        <f t="shared" si="814"/>
        <v>0</v>
      </c>
      <c r="BK1150" s="134">
        <f t="shared" si="819"/>
        <v>0</v>
      </c>
    </row>
    <row r="1151" spans="1:63" hidden="1">
      <c r="A1151" s="11"/>
      <c r="B1151" s="2321"/>
      <c r="C1151" s="2322"/>
      <c r="D1151" s="2323"/>
      <c r="E1151" s="2323"/>
      <c r="F1151" s="2323"/>
      <c r="G1151" s="2323"/>
      <c r="H1151" s="2323"/>
      <c r="I1151" s="2323"/>
      <c r="J1151" s="2323"/>
      <c r="K1151" s="2323"/>
      <c r="L1151" s="2323"/>
      <c r="M1151" s="2323"/>
      <c r="N1151" s="2323"/>
      <c r="O1151" s="2323"/>
      <c r="P1151" s="2324"/>
      <c r="Q1151" s="2324"/>
      <c r="R1151" s="2325"/>
      <c r="S1151" s="2324"/>
      <c r="T1151" s="2324"/>
      <c r="U1151" s="2326"/>
      <c r="V1151" s="2327"/>
      <c r="W1151" s="2327"/>
      <c r="X1151" s="2327"/>
      <c r="Y1151" s="2327"/>
      <c r="Z1151" s="2327"/>
      <c r="AA1151" s="2328"/>
      <c r="AB1151" s="2329"/>
      <c r="AC1151" s="2326"/>
      <c r="AD1151" s="2330">
        <f t="shared" si="806"/>
        <v>0</v>
      </c>
      <c r="AE1151" s="2330"/>
      <c r="AF1151" s="2330"/>
      <c r="AG1151" s="2330">
        <f t="shared" si="800"/>
        <v>0</v>
      </c>
      <c r="AH1151" s="2330"/>
      <c r="AI1151" s="2330"/>
      <c r="AJ1151" s="2330">
        <f t="shared" si="807"/>
        <v>0</v>
      </c>
      <c r="AK1151" s="2330"/>
      <c r="AL1151" s="2330"/>
      <c r="AM1151" s="2331">
        <f t="shared" si="794"/>
        <v>0</v>
      </c>
      <c r="AN1151" s="2331"/>
      <c r="AO1151" s="2331"/>
      <c r="AP1151" s="2331"/>
      <c r="AQ1151" s="2332">
        <f t="shared" si="808"/>
        <v>0</v>
      </c>
      <c r="AR1151" s="2332"/>
      <c r="AS1151" s="2332"/>
      <c r="AT1151" s="2332">
        <f t="shared" si="809"/>
        <v>0</v>
      </c>
      <c r="AV1151" s="151" t="str">
        <f t="shared" si="789"/>
        <v>MISCELLANEOUS</v>
      </c>
      <c r="AW1151" s="681"/>
      <c r="AX1151" s="230"/>
      <c r="AY1151" s="230"/>
      <c r="AZ1151" s="679"/>
      <c r="BA1151" s="49">
        <f t="shared" si="810"/>
        <v>0</v>
      </c>
      <c r="BB1151" s="49">
        <f t="shared" si="815"/>
        <v>0</v>
      </c>
      <c r="BC1151" s="49">
        <f t="shared" si="816"/>
        <v>0</v>
      </c>
      <c r="BD1151" s="49">
        <f t="shared" si="811"/>
        <v>0</v>
      </c>
      <c r="BE1151" s="49">
        <f t="shared" si="817"/>
        <v>0</v>
      </c>
      <c r="BF1151" s="49">
        <f t="shared" si="812"/>
        <v>0</v>
      </c>
      <c r="BG1151" s="49">
        <f t="shared" si="813"/>
        <v>0</v>
      </c>
      <c r="BI1151" s="134">
        <f t="shared" si="818"/>
        <v>0</v>
      </c>
      <c r="BJ1151" s="134">
        <f t="shared" si="814"/>
        <v>0</v>
      </c>
      <c r="BK1151" s="134">
        <f t="shared" si="819"/>
        <v>0</v>
      </c>
    </row>
    <row r="1152" spans="1:63" hidden="1">
      <c r="A1152" s="11"/>
      <c r="B1152" s="2321"/>
      <c r="C1152" s="2322"/>
      <c r="D1152" s="2323"/>
      <c r="E1152" s="2323"/>
      <c r="F1152" s="2323"/>
      <c r="G1152" s="2323"/>
      <c r="H1152" s="2323"/>
      <c r="I1152" s="2323"/>
      <c r="J1152" s="2323"/>
      <c r="K1152" s="2323"/>
      <c r="L1152" s="2323"/>
      <c r="M1152" s="2323"/>
      <c r="N1152" s="2323"/>
      <c r="O1152" s="2323"/>
      <c r="P1152" s="2324"/>
      <c r="Q1152" s="2324"/>
      <c r="R1152" s="2325"/>
      <c r="S1152" s="2324"/>
      <c r="T1152" s="2324"/>
      <c r="U1152" s="2326"/>
      <c r="V1152" s="2327"/>
      <c r="W1152" s="2327"/>
      <c r="X1152" s="2327"/>
      <c r="Y1152" s="2327"/>
      <c r="Z1152" s="2327"/>
      <c r="AA1152" s="2328"/>
      <c r="AB1152" s="2329"/>
      <c r="AC1152" s="2326"/>
      <c r="AD1152" s="2330">
        <f t="shared" si="806"/>
        <v>0</v>
      </c>
      <c r="AE1152" s="2330"/>
      <c r="AF1152" s="2330"/>
      <c r="AG1152" s="2330">
        <f t="shared" si="800"/>
        <v>0</v>
      </c>
      <c r="AH1152" s="2330"/>
      <c r="AI1152" s="2330"/>
      <c r="AJ1152" s="2330">
        <f t="shared" si="807"/>
        <v>0</v>
      </c>
      <c r="AK1152" s="2330"/>
      <c r="AL1152" s="2330"/>
      <c r="AM1152" s="2331">
        <f t="shared" si="794"/>
        <v>0</v>
      </c>
      <c r="AN1152" s="2331"/>
      <c r="AO1152" s="2331"/>
      <c r="AP1152" s="2331"/>
      <c r="AQ1152" s="2332">
        <f t="shared" si="808"/>
        <v>0</v>
      </c>
      <c r="AR1152" s="2332"/>
      <c r="AS1152" s="2332"/>
      <c r="AT1152" s="2332">
        <f t="shared" si="809"/>
        <v>0</v>
      </c>
      <c r="AV1152" s="151" t="str">
        <f t="shared" si="789"/>
        <v>MISCELLANEOUS</v>
      </c>
      <c r="AW1152" s="681"/>
      <c r="AX1152" s="230"/>
      <c r="AY1152" s="230"/>
      <c r="AZ1152" s="679"/>
      <c r="BA1152" s="49">
        <f t="shared" si="810"/>
        <v>0</v>
      </c>
      <c r="BB1152" s="49">
        <f t="shared" si="815"/>
        <v>0</v>
      </c>
      <c r="BC1152" s="49">
        <f t="shared" si="816"/>
        <v>0</v>
      </c>
      <c r="BD1152" s="49">
        <f t="shared" si="811"/>
        <v>0</v>
      </c>
      <c r="BE1152" s="49">
        <f t="shared" si="817"/>
        <v>0</v>
      </c>
      <c r="BF1152" s="49">
        <f t="shared" si="812"/>
        <v>0</v>
      </c>
      <c r="BG1152" s="49">
        <f t="shared" si="813"/>
        <v>0</v>
      </c>
      <c r="BI1152" s="134">
        <f t="shared" si="818"/>
        <v>0</v>
      </c>
      <c r="BJ1152" s="134">
        <f t="shared" si="814"/>
        <v>0</v>
      </c>
      <c r="BK1152" s="134">
        <f t="shared" si="819"/>
        <v>0</v>
      </c>
    </row>
    <row r="1153" spans="1:64" hidden="1">
      <c r="A1153" s="11"/>
      <c r="B1153" s="2321"/>
      <c r="C1153" s="2322"/>
      <c r="D1153" s="2323"/>
      <c r="E1153" s="2323"/>
      <c r="F1153" s="2323"/>
      <c r="G1153" s="2323"/>
      <c r="H1153" s="2323"/>
      <c r="I1153" s="2323"/>
      <c r="J1153" s="2323"/>
      <c r="K1153" s="2323"/>
      <c r="L1153" s="2323"/>
      <c r="M1153" s="2323"/>
      <c r="N1153" s="2323"/>
      <c r="O1153" s="2323"/>
      <c r="P1153" s="2324"/>
      <c r="Q1153" s="2324"/>
      <c r="R1153" s="2325"/>
      <c r="S1153" s="2324"/>
      <c r="T1153" s="2324"/>
      <c r="U1153" s="2326"/>
      <c r="V1153" s="2327"/>
      <c r="W1153" s="2327"/>
      <c r="X1153" s="2327"/>
      <c r="Y1153" s="2327"/>
      <c r="Z1153" s="2327"/>
      <c r="AA1153" s="2328"/>
      <c r="AB1153" s="2329"/>
      <c r="AC1153" s="2326"/>
      <c r="AD1153" s="2330">
        <f t="shared" si="806"/>
        <v>0</v>
      </c>
      <c r="AE1153" s="2330"/>
      <c r="AF1153" s="2330"/>
      <c r="AG1153" s="2330">
        <f t="shared" si="800"/>
        <v>0</v>
      </c>
      <c r="AH1153" s="2330"/>
      <c r="AI1153" s="2330"/>
      <c r="AJ1153" s="2330">
        <f t="shared" si="807"/>
        <v>0</v>
      </c>
      <c r="AK1153" s="2330"/>
      <c r="AL1153" s="2330"/>
      <c r="AM1153" s="2331">
        <f t="shared" si="794"/>
        <v>0</v>
      </c>
      <c r="AN1153" s="2331"/>
      <c r="AO1153" s="2331"/>
      <c r="AP1153" s="2331"/>
      <c r="AQ1153" s="2332">
        <f t="shared" si="808"/>
        <v>0</v>
      </c>
      <c r="AR1153" s="2332"/>
      <c r="AS1153" s="2332"/>
      <c r="AT1153" s="2332">
        <f t="shared" si="809"/>
        <v>0</v>
      </c>
      <c r="AV1153" s="151" t="str">
        <f t="shared" si="789"/>
        <v>MISCELLANEOUS</v>
      </c>
      <c r="AW1153" s="681"/>
      <c r="AX1153" s="230"/>
      <c r="AY1153" s="230"/>
      <c r="AZ1153" s="679"/>
      <c r="BA1153" s="49">
        <f t="shared" si="810"/>
        <v>0</v>
      </c>
      <c r="BB1153" s="49">
        <f t="shared" si="815"/>
        <v>0</v>
      </c>
      <c r="BC1153" s="49">
        <f t="shared" si="816"/>
        <v>0</v>
      </c>
      <c r="BD1153" s="49">
        <f t="shared" si="811"/>
        <v>0</v>
      </c>
      <c r="BE1153" s="49">
        <f t="shared" si="817"/>
        <v>0</v>
      </c>
      <c r="BF1153" s="49">
        <f t="shared" si="812"/>
        <v>0</v>
      </c>
      <c r="BG1153" s="49">
        <f t="shared" si="813"/>
        <v>0</v>
      </c>
      <c r="BI1153" s="134">
        <f t="shared" si="818"/>
        <v>0</v>
      </c>
      <c r="BJ1153" s="134">
        <f t="shared" si="814"/>
        <v>0</v>
      </c>
      <c r="BK1153" s="134">
        <f t="shared" si="819"/>
        <v>0</v>
      </c>
    </row>
    <row r="1154" spans="1:64" hidden="1">
      <c r="A1154" s="11"/>
      <c r="B1154" s="2321"/>
      <c r="C1154" s="2322"/>
      <c r="D1154" s="2323"/>
      <c r="E1154" s="2323"/>
      <c r="F1154" s="2323"/>
      <c r="G1154" s="2323"/>
      <c r="H1154" s="2323"/>
      <c r="I1154" s="2323"/>
      <c r="J1154" s="2323"/>
      <c r="K1154" s="2323"/>
      <c r="L1154" s="2323"/>
      <c r="M1154" s="2323"/>
      <c r="N1154" s="2323"/>
      <c r="O1154" s="2323"/>
      <c r="P1154" s="2324"/>
      <c r="Q1154" s="2324"/>
      <c r="R1154" s="2325"/>
      <c r="S1154" s="2324"/>
      <c r="T1154" s="2324"/>
      <c r="U1154" s="2326"/>
      <c r="V1154" s="2327"/>
      <c r="W1154" s="2327"/>
      <c r="X1154" s="2327"/>
      <c r="Y1154" s="2327"/>
      <c r="Z1154" s="2327"/>
      <c r="AA1154" s="2328"/>
      <c r="AB1154" s="2329"/>
      <c r="AC1154" s="2326"/>
      <c r="AD1154" s="2330">
        <f t="shared" si="806"/>
        <v>0</v>
      </c>
      <c r="AE1154" s="2330"/>
      <c r="AF1154" s="2330"/>
      <c r="AG1154" s="2330">
        <f t="shared" si="800"/>
        <v>0</v>
      </c>
      <c r="AH1154" s="2330"/>
      <c r="AI1154" s="2330"/>
      <c r="AJ1154" s="2330">
        <f t="shared" si="807"/>
        <v>0</v>
      </c>
      <c r="AK1154" s="2330"/>
      <c r="AL1154" s="2330"/>
      <c r="AM1154" s="2331">
        <f t="shared" si="794"/>
        <v>0</v>
      </c>
      <c r="AN1154" s="2331"/>
      <c r="AO1154" s="2331"/>
      <c r="AP1154" s="2331"/>
      <c r="AQ1154" s="2332">
        <f t="shared" si="808"/>
        <v>0</v>
      </c>
      <c r="AR1154" s="2332"/>
      <c r="AS1154" s="2332"/>
      <c r="AT1154" s="2332">
        <f t="shared" si="809"/>
        <v>0</v>
      </c>
      <c r="AV1154" s="151" t="str">
        <f t="shared" si="789"/>
        <v>MISCELLANEOUS</v>
      </c>
      <c r="AW1154" s="681"/>
      <c r="AX1154" s="230"/>
      <c r="AY1154" s="230"/>
      <c r="AZ1154" s="679"/>
      <c r="BA1154" s="49">
        <f t="shared" si="810"/>
        <v>0</v>
      </c>
      <c r="BB1154" s="49">
        <f t="shared" si="815"/>
        <v>0</v>
      </c>
      <c r="BC1154" s="49">
        <f t="shared" si="816"/>
        <v>0</v>
      </c>
      <c r="BD1154" s="49">
        <f t="shared" si="811"/>
        <v>0</v>
      </c>
      <c r="BE1154" s="49">
        <f t="shared" si="817"/>
        <v>0</v>
      </c>
      <c r="BF1154" s="49">
        <f t="shared" si="812"/>
        <v>0</v>
      </c>
      <c r="BG1154" s="49">
        <f t="shared" si="813"/>
        <v>0</v>
      </c>
      <c r="BI1154" s="134">
        <f t="shared" si="818"/>
        <v>0</v>
      </c>
      <c r="BJ1154" s="134">
        <f t="shared" si="814"/>
        <v>0</v>
      </c>
      <c r="BK1154" s="134">
        <f t="shared" si="819"/>
        <v>0</v>
      </c>
    </row>
    <row r="1155" spans="1:64" hidden="1">
      <c r="A1155" s="11"/>
      <c r="B1155" s="2321"/>
      <c r="C1155" s="2322"/>
      <c r="D1155" s="2323"/>
      <c r="E1155" s="2323"/>
      <c r="F1155" s="2323"/>
      <c r="G1155" s="2323"/>
      <c r="H1155" s="2323"/>
      <c r="I1155" s="2323"/>
      <c r="J1155" s="2323"/>
      <c r="K1155" s="2323"/>
      <c r="L1155" s="2323"/>
      <c r="M1155" s="2323"/>
      <c r="N1155" s="2323"/>
      <c r="O1155" s="2323"/>
      <c r="P1155" s="2324"/>
      <c r="Q1155" s="2324"/>
      <c r="R1155" s="2325"/>
      <c r="S1155" s="2324"/>
      <c r="T1155" s="2324"/>
      <c r="U1155" s="2326"/>
      <c r="V1155" s="2327"/>
      <c r="W1155" s="2327"/>
      <c r="X1155" s="2327"/>
      <c r="Y1155" s="2327"/>
      <c r="Z1155" s="2327"/>
      <c r="AA1155" s="2328"/>
      <c r="AB1155" s="2329"/>
      <c r="AC1155" s="2326"/>
      <c r="AD1155" s="2330">
        <f t="shared" si="806"/>
        <v>0</v>
      </c>
      <c r="AE1155" s="2330"/>
      <c r="AF1155" s="2330"/>
      <c r="AG1155" s="2330">
        <f t="shared" si="800"/>
        <v>0</v>
      </c>
      <c r="AH1155" s="2330"/>
      <c r="AI1155" s="2330"/>
      <c r="AJ1155" s="2330">
        <f t="shared" si="807"/>
        <v>0</v>
      </c>
      <c r="AK1155" s="2330"/>
      <c r="AL1155" s="2330"/>
      <c r="AM1155" s="2331">
        <f t="shared" si="794"/>
        <v>0</v>
      </c>
      <c r="AN1155" s="2331"/>
      <c r="AO1155" s="2331"/>
      <c r="AP1155" s="2331"/>
      <c r="AQ1155" s="2332">
        <f t="shared" si="808"/>
        <v>0</v>
      </c>
      <c r="AR1155" s="2332"/>
      <c r="AS1155" s="2332"/>
      <c r="AT1155" s="2332">
        <f t="shared" si="809"/>
        <v>0</v>
      </c>
      <c r="AV1155" s="151" t="str">
        <f t="shared" si="789"/>
        <v>MISCELLANEOUS</v>
      </c>
      <c r="AW1155" s="681"/>
      <c r="AX1155" s="230"/>
      <c r="AY1155" s="230"/>
      <c r="AZ1155" s="679"/>
      <c r="BA1155" s="49">
        <f t="shared" si="810"/>
        <v>0</v>
      </c>
      <c r="BB1155" s="49">
        <f t="shared" si="815"/>
        <v>0</v>
      </c>
      <c r="BC1155" s="49">
        <f t="shared" si="816"/>
        <v>0</v>
      </c>
      <c r="BD1155" s="49">
        <f t="shared" si="811"/>
        <v>0</v>
      </c>
      <c r="BE1155" s="49">
        <f t="shared" si="817"/>
        <v>0</v>
      </c>
      <c r="BF1155" s="49">
        <f t="shared" si="812"/>
        <v>0</v>
      </c>
      <c r="BG1155" s="49">
        <f t="shared" si="813"/>
        <v>0</v>
      </c>
      <c r="BI1155" s="134">
        <f t="shared" si="818"/>
        <v>0</v>
      </c>
      <c r="BJ1155" s="134">
        <f t="shared" si="814"/>
        <v>0</v>
      </c>
      <c r="BK1155" s="134">
        <f t="shared" si="819"/>
        <v>0</v>
      </c>
    </row>
    <row r="1156" spans="1:64" hidden="1">
      <c r="A1156" s="11"/>
      <c r="B1156" s="2321"/>
      <c r="C1156" s="2322"/>
      <c r="D1156" s="2323"/>
      <c r="E1156" s="2323"/>
      <c r="F1156" s="2323"/>
      <c r="G1156" s="2323"/>
      <c r="H1156" s="2323"/>
      <c r="I1156" s="2323"/>
      <c r="J1156" s="2323"/>
      <c r="K1156" s="2323"/>
      <c r="L1156" s="2323"/>
      <c r="M1156" s="2323"/>
      <c r="N1156" s="2323"/>
      <c r="O1156" s="2323"/>
      <c r="P1156" s="2324"/>
      <c r="Q1156" s="2324"/>
      <c r="R1156" s="2325"/>
      <c r="S1156" s="2324"/>
      <c r="T1156" s="2324"/>
      <c r="U1156" s="2326"/>
      <c r="V1156" s="2327"/>
      <c r="W1156" s="2327"/>
      <c r="X1156" s="2327"/>
      <c r="Y1156" s="2327"/>
      <c r="Z1156" s="2327"/>
      <c r="AA1156" s="2328"/>
      <c r="AB1156" s="2329"/>
      <c r="AC1156" s="2326"/>
      <c r="AD1156" s="2330">
        <f t="shared" si="806"/>
        <v>0</v>
      </c>
      <c r="AE1156" s="2330"/>
      <c r="AF1156" s="2330"/>
      <c r="AG1156" s="2330">
        <f t="shared" si="800"/>
        <v>0</v>
      </c>
      <c r="AH1156" s="2330"/>
      <c r="AI1156" s="2330"/>
      <c r="AJ1156" s="2330">
        <f t="shared" si="807"/>
        <v>0</v>
      </c>
      <c r="AK1156" s="2330"/>
      <c r="AL1156" s="2330"/>
      <c r="AM1156" s="2331">
        <f t="shared" si="794"/>
        <v>0</v>
      </c>
      <c r="AN1156" s="2331"/>
      <c r="AO1156" s="2331"/>
      <c r="AP1156" s="2331"/>
      <c r="AQ1156" s="2332">
        <f t="shared" si="808"/>
        <v>0</v>
      </c>
      <c r="AR1156" s="2332"/>
      <c r="AS1156" s="2332"/>
      <c r="AT1156" s="2332">
        <f t="shared" si="809"/>
        <v>0</v>
      </c>
      <c r="AV1156" s="151" t="str">
        <f t="shared" si="789"/>
        <v>MISCELLANEOUS</v>
      </c>
      <c r="AW1156" s="681"/>
      <c r="AX1156" s="230"/>
      <c r="AY1156" s="230"/>
      <c r="AZ1156" s="679"/>
      <c r="BA1156" s="49">
        <f t="shared" si="810"/>
        <v>0</v>
      </c>
      <c r="BB1156" s="49">
        <f t="shared" si="815"/>
        <v>0</v>
      </c>
      <c r="BC1156" s="49">
        <f t="shared" si="816"/>
        <v>0</v>
      </c>
      <c r="BD1156" s="49">
        <f t="shared" si="811"/>
        <v>0</v>
      </c>
      <c r="BE1156" s="49">
        <f t="shared" si="817"/>
        <v>0</v>
      </c>
      <c r="BF1156" s="49">
        <f t="shared" si="812"/>
        <v>0</v>
      </c>
      <c r="BG1156" s="49">
        <f t="shared" si="813"/>
        <v>0</v>
      </c>
      <c r="BI1156" s="134">
        <f t="shared" si="818"/>
        <v>0</v>
      </c>
      <c r="BJ1156" s="134">
        <f t="shared" si="814"/>
        <v>0</v>
      </c>
      <c r="BK1156" s="134">
        <f t="shared" si="819"/>
        <v>0</v>
      </c>
    </row>
    <row r="1157" spans="1:64" hidden="1">
      <c r="A1157" s="11"/>
      <c r="B1157" s="2321"/>
      <c r="C1157" s="2322"/>
      <c r="D1157" s="2323"/>
      <c r="E1157" s="2323"/>
      <c r="F1157" s="2323"/>
      <c r="G1157" s="2323"/>
      <c r="H1157" s="2323"/>
      <c r="I1157" s="2323"/>
      <c r="J1157" s="2323"/>
      <c r="K1157" s="2323"/>
      <c r="L1157" s="2323"/>
      <c r="M1157" s="2323"/>
      <c r="N1157" s="2323"/>
      <c r="O1157" s="2323"/>
      <c r="P1157" s="2324"/>
      <c r="Q1157" s="2324"/>
      <c r="R1157" s="2325"/>
      <c r="S1157" s="2324"/>
      <c r="T1157" s="2324"/>
      <c r="U1157" s="2326"/>
      <c r="V1157" s="2327"/>
      <c r="W1157" s="2327"/>
      <c r="X1157" s="2327"/>
      <c r="Y1157" s="2327"/>
      <c r="Z1157" s="2327"/>
      <c r="AA1157" s="2328"/>
      <c r="AB1157" s="2329"/>
      <c r="AC1157" s="2326"/>
      <c r="AD1157" s="2330">
        <f t="shared" si="806"/>
        <v>0</v>
      </c>
      <c r="AE1157" s="2330"/>
      <c r="AF1157" s="2330"/>
      <c r="AG1157" s="2330">
        <f t="shared" si="800"/>
        <v>0</v>
      </c>
      <c r="AH1157" s="2330"/>
      <c r="AI1157" s="2330"/>
      <c r="AJ1157" s="2330">
        <f t="shared" si="807"/>
        <v>0</v>
      </c>
      <c r="AK1157" s="2330"/>
      <c r="AL1157" s="2330"/>
      <c r="AM1157" s="2331">
        <f t="shared" si="794"/>
        <v>0</v>
      </c>
      <c r="AN1157" s="2331"/>
      <c r="AO1157" s="2331"/>
      <c r="AP1157" s="2331"/>
      <c r="AQ1157" s="2332">
        <f t="shared" si="808"/>
        <v>0</v>
      </c>
      <c r="AR1157" s="2332"/>
      <c r="AS1157" s="2332"/>
      <c r="AT1157" s="2332">
        <f t="shared" si="809"/>
        <v>0</v>
      </c>
      <c r="AV1157" s="151" t="str">
        <f t="shared" si="789"/>
        <v>MISCELLANEOUS</v>
      </c>
      <c r="AW1157" s="681"/>
      <c r="AX1157" s="230"/>
      <c r="AY1157" s="230"/>
      <c r="AZ1157" s="679"/>
      <c r="BA1157" s="49">
        <f t="shared" si="810"/>
        <v>0</v>
      </c>
      <c r="BB1157" s="49">
        <f t="shared" si="815"/>
        <v>0</v>
      </c>
      <c r="BC1157" s="49">
        <f t="shared" si="816"/>
        <v>0</v>
      </c>
      <c r="BD1157" s="49">
        <f t="shared" si="811"/>
        <v>0</v>
      </c>
      <c r="BE1157" s="49">
        <f t="shared" si="817"/>
        <v>0</v>
      </c>
      <c r="BF1157" s="49">
        <f t="shared" si="812"/>
        <v>0</v>
      </c>
      <c r="BG1157" s="49">
        <f t="shared" si="813"/>
        <v>0</v>
      </c>
      <c r="BI1157" s="134">
        <f t="shared" si="818"/>
        <v>0</v>
      </c>
      <c r="BJ1157" s="134">
        <f t="shared" si="814"/>
        <v>0</v>
      </c>
      <c r="BK1157" s="134">
        <f t="shared" si="819"/>
        <v>0</v>
      </c>
    </row>
    <row r="1158" spans="1:64" hidden="1">
      <c r="A1158" s="11"/>
      <c r="B1158" s="2321"/>
      <c r="C1158" s="2322"/>
      <c r="D1158" s="2323"/>
      <c r="E1158" s="2323"/>
      <c r="F1158" s="2323"/>
      <c r="G1158" s="2323"/>
      <c r="H1158" s="2323"/>
      <c r="I1158" s="2323"/>
      <c r="J1158" s="2323"/>
      <c r="K1158" s="2323"/>
      <c r="L1158" s="2323"/>
      <c r="M1158" s="2323"/>
      <c r="N1158" s="2323"/>
      <c r="O1158" s="2323"/>
      <c r="P1158" s="2324"/>
      <c r="Q1158" s="2324"/>
      <c r="R1158" s="2325"/>
      <c r="S1158" s="2324"/>
      <c r="T1158" s="2324"/>
      <c r="U1158" s="2326"/>
      <c r="V1158" s="2327"/>
      <c r="W1158" s="2327"/>
      <c r="X1158" s="2327"/>
      <c r="Y1158" s="2327"/>
      <c r="Z1158" s="2327"/>
      <c r="AA1158" s="2328"/>
      <c r="AB1158" s="2329"/>
      <c r="AC1158" s="2326"/>
      <c r="AD1158" s="2330">
        <f t="shared" si="806"/>
        <v>0</v>
      </c>
      <c r="AE1158" s="2330"/>
      <c r="AF1158" s="2330"/>
      <c r="AG1158" s="2330">
        <f t="shared" si="800"/>
        <v>0</v>
      </c>
      <c r="AH1158" s="2330"/>
      <c r="AI1158" s="2330"/>
      <c r="AJ1158" s="2330">
        <f t="shared" si="807"/>
        <v>0</v>
      </c>
      <c r="AK1158" s="2330"/>
      <c r="AL1158" s="2330"/>
      <c r="AM1158" s="2331">
        <f t="shared" si="794"/>
        <v>0</v>
      </c>
      <c r="AN1158" s="2331"/>
      <c r="AO1158" s="2331"/>
      <c r="AP1158" s="2331"/>
      <c r="AQ1158" s="2332">
        <f t="shared" si="808"/>
        <v>0</v>
      </c>
      <c r="AR1158" s="2332"/>
      <c r="AS1158" s="2332"/>
      <c r="AT1158" s="2332">
        <f t="shared" si="809"/>
        <v>0</v>
      </c>
      <c r="AV1158" s="151" t="str">
        <f t="shared" si="789"/>
        <v>MISCELLANEOUS</v>
      </c>
      <c r="AW1158" s="681"/>
      <c r="AX1158" s="230"/>
      <c r="AY1158" s="230"/>
      <c r="AZ1158" s="679"/>
      <c r="BA1158" s="49">
        <f t="shared" si="810"/>
        <v>0</v>
      </c>
      <c r="BB1158" s="49">
        <f t="shared" si="815"/>
        <v>0</v>
      </c>
      <c r="BC1158" s="49">
        <f t="shared" si="816"/>
        <v>0</v>
      </c>
      <c r="BD1158" s="49">
        <f t="shared" si="811"/>
        <v>0</v>
      </c>
      <c r="BE1158" s="49">
        <f t="shared" si="817"/>
        <v>0</v>
      </c>
      <c r="BF1158" s="49">
        <f t="shared" si="812"/>
        <v>0</v>
      </c>
      <c r="BG1158" s="49">
        <f t="shared" si="813"/>
        <v>0</v>
      </c>
      <c r="BI1158" s="134">
        <f t="shared" si="818"/>
        <v>0</v>
      </c>
      <c r="BJ1158" s="134">
        <f t="shared" si="814"/>
        <v>0</v>
      </c>
      <c r="BK1158" s="134">
        <f t="shared" si="819"/>
        <v>0</v>
      </c>
    </row>
    <row r="1159" spans="1:64" hidden="1">
      <c r="A1159" s="11"/>
      <c r="B1159" s="2321"/>
      <c r="C1159" s="2322"/>
      <c r="D1159" s="2323"/>
      <c r="E1159" s="2323"/>
      <c r="F1159" s="2323"/>
      <c r="G1159" s="2323"/>
      <c r="H1159" s="2323"/>
      <c r="I1159" s="2323"/>
      <c r="J1159" s="2323"/>
      <c r="K1159" s="2323"/>
      <c r="L1159" s="2323"/>
      <c r="M1159" s="2323"/>
      <c r="N1159" s="2323"/>
      <c r="O1159" s="2323"/>
      <c r="P1159" s="2324"/>
      <c r="Q1159" s="2324"/>
      <c r="R1159" s="2325"/>
      <c r="S1159" s="2324"/>
      <c r="T1159" s="2324"/>
      <c r="U1159" s="2326"/>
      <c r="V1159" s="2327"/>
      <c r="W1159" s="2327"/>
      <c r="X1159" s="2327"/>
      <c r="Y1159" s="2327"/>
      <c r="Z1159" s="2327"/>
      <c r="AA1159" s="2328"/>
      <c r="AB1159" s="2329"/>
      <c r="AC1159" s="2326"/>
      <c r="AD1159" s="2330">
        <f t="shared" si="806"/>
        <v>0</v>
      </c>
      <c r="AE1159" s="2330"/>
      <c r="AF1159" s="2330"/>
      <c r="AG1159" s="2330">
        <f t="shared" si="800"/>
        <v>0</v>
      </c>
      <c r="AH1159" s="2330"/>
      <c r="AI1159" s="2330"/>
      <c r="AJ1159" s="2330">
        <f t="shared" si="807"/>
        <v>0</v>
      </c>
      <c r="AK1159" s="2330"/>
      <c r="AL1159" s="2330"/>
      <c r="AM1159" s="2331">
        <f t="shared" si="794"/>
        <v>0</v>
      </c>
      <c r="AN1159" s="2331"/>
      <c r="AO1159" s="2331"/>
      <c r="AP1159" s="2331"/>
      <c r="AQ1159" s="2332">
        <f t="shared" si="808"/>
        <v>0</v>
      </c>
      <c r="AR1159" s="2332"/>
      <c r="AS1159" s="2332"/>
      <c r="AT1159" s="2332">
        <f t="shared" si="809"/>
        <v>0</v>
      </c>
      <c r="AV1159" s="151" t="str">
        <f t="shared" si="789"/>
        <v>MISCELLANEOUS</v>
      </c>
      <c r="AW1159" s="681"/>
      <c r="AX1159" s="230"/>
      <c r="AY1159" s="230"/>
      <c r="AZ1159" s="679"/>
      <c r="BA1159" s="49">
        <f t="shared" si="810"/>
        <v>0</v>
      </c>
      <c r="BB1159" s="49">
        <f t="shared" si="815"/>
        <v>0</v>
      </c>
      <c r="BC1159" s="49">
        <f t="shared" si="816"/>
        <v>0</v>
      </c>
      <c r="BD1159" s="49">
        <f t="shared" si="811"/>
        <v>0</v>
      </c>
      <c r="BE1159" s="49">
        <f t="shared" si="817"/>
        <v>0</v>
      </c>
      <c r="BF1159" s="49">
        <f t="shared" si="812"/>
        <v>0</v>
      </c>
      <c r="BG1159" s="49">
        <f t="shared" si="813"/>
        <v>0</v>
      </c>
      <c r="BI1159" s="134">
        <f t="shared" si="818"/>
        <v>0</v>
      </c>
      <c r="BJ1159" s="134">
        <f t="shared" si="814"/>
        <v>0</v>
      </c>
      <c r="BK1159" s="134">
        <f t="shared" si="819"/>
        <v>0</v>
      </c>
    </row>
    <row r="1160" spans="1:64" hidden="1">
      <c r="A1160" s="11"/>
      <c r="B1160" s="2321"/>
      <c r="C1160" s="2322"/>
      <c r="D1160" s="2323"/>
      <c r="E1160" s="2323"/>
      <c r="F1160" s="2323"/>
      <c r="G1160" s="2323"/>
      <c r="H1160" s="2323"/>
      <c r="I1160" s="2323"/>
      <c r="J1160" s="2323"/>
      <c r="K1160" s="2323"/>
      <c r="L1160" s="2323"/>
      <c r="M1160" s="2323"/>
      <c r="N1160" s="2323"/>
      <c r="O1160" s="2323"/>
      <c r="P1160" s="2324"/>
      <c r="Q1160" s="2324"/>
      <c r="R1160" s="2325"/>
      <c r="S1160" s="2324"/>
      <c r="T1160" s="2324"/>
      <c r="U1160" s="2326"/>
      <c r="V1160" s="2327"/>
      <c r="W1160" s="2327"/>
      <c r="X1160" s="2327"/>
      <c r="Y1160" s="2327"/>
      <c r="Z1160" s="2327"/>
      <c r="AA1160" s="2328"/>
      <c r="AB1160" s="2329"/>
      <c r="AC1160" s="2326"/>
      <c r="AD1160" s="2330">
        <f t="shared" si="806"/>
        <v>0</v>
      </c>
      <c r="AE1160" s="2330"/>
      <c r="AF1160" s="2330"/>
      <c r="AG1160" s="2330">
        <f t="shared" si="800"/>
        <v>0</v>
      </c>
      <c r="AH1160" s="2330"/>
      <c r="AI1160" s="2330"/>
      <c r="AJ1160" s="2330">
        <f t="shared" si="807"/>
        <v>0</v>
      </c>
      <c r="AK1160" s="2330"/>
      <c r="AL1160" s="2330"/>
      <c r="AM1160" s="2331">
        <f t="shared" si="794"/>
        <v>0</v>
      </c>
      <c r="AN1160" s="2331"/>
      <c r="AO1160" s="2331"/>
      <c r="AP1160" s="2331"/>
      <c r="AQ1160" s="2332">
        <f t="shared" si="808"/>
        <v>0</v>
      </c>
      <c r="AR1160" s="2332"/>
      <c r="AS1160" s="2332"/>
      <c r="AT1160" s="2332">
        <f t="shared" si="809"/>
        <v>0</v>
      </c>
      <c r="AV1160" s="151" t="str">
        <f t="shared" si="789"/>
        <v>MISCELLANEOUS</v>
      </c>
      <c r="AW1160" s="681"/>
      <c r="AX1160" s="230"/>
      <c r="AY1160" s="230"/>
      <c r="AZ1160" s="679"/>
      <c r="BA1160" s="49">
        <f t="shared" si="810"/>
        <v>0</v>
      </c>
      <c r="BB1160" s="49">
        <f t="shared" si="815"/>
        <v>0</v>
      </c>
      <c r="BC1160" s="49">
        <f t="shared" si="816"/>
        <v>0</v>
      </c>
      <c r="BD1160" s="49">
        <f t="shared" si="811"/>
        <v>0</v>
      </c>
      <c r="BE1160" s="49">
        <f t="shared" si="817"/>
        <v>0</v>
      </c>
      <c r="BF1160" s="49">
        <f t="shared" si="812"/>
        <v>0</v>
      </c>
      <c r="BG1160" s="49">
        <f t="shared" si="813"/>
        <v>0</v>
      </c>
      <c r="BI1160" s="134">
        <f t="shared" si="818"/>
        <v>0</v>
      </c>
      <c r="BJ1160" s="134">
        <f t="shared" si="814"/>
        <v>0</v>
      </c>
      <c r="BK1160" s="134">
        <f t="shared" si="819"/>
        <v>0</v>
      </c>
    </row>
    <row r="1161" spans="1:64" hidden="1">
      <c r="A1161" s="11"/>
      <c r="B1161" s="2321"/>
      <c r="C1161" s="2322"/>
      <c r="D1161" s="2323"/>
      <c r="E1161" s="2323"/>
      <c r="F1161" s="2323"/>
      <c r="G1161" s="2323"/>
      <c r="H1161" s="2323"/>
      <c r="I1161" s="2323"/>
      <c r="J1161" s="2323"/>
      <c r="K1161" s="2323"/>
      <c r="L1161" s="2323"/>
      <c r="M1161" s="2323"/>
      <c r="N1161" s="2323"/>
      <c r="O1161" s="2323"/>
      <c r="P1161" s="2324"/>
      <c r="Q1161" s="2324"/>
      <c r="R1161" s="2325"/>
      <c r="S1161" s="2324"/>
      <c r="T1161" s="2324"/>
      <c r="U1161" s="2326"/>
      <c r="V1161" s="2327"/>
      <c r="W1161" s="2327"/>
      <c r="X1161" s="2327"/>
      <c r="Y1161" s="2327"/>
      <c r="Z1161" s="2327"/>
      <c r="AA1161" s="2328"/>
      <c r="AB1161" s="2329"/>
      <c r="AC1161" s="2326"/>
      <c r="AD1161" s="2330">
        <f t="shared" si="806"/>
        <v>0</v>
      </c>
      <c r="AE1161" s="2330"/>
      <c r="AF1161" s="2330"/>
      <c r="AG1161" s="2330">
        <f t="shared" si="800"/>
        <v>0</v>
      </c>
      <c r="AH1161" s="2330"/>
      <c r="AI1161" s="2330"/>
      <c r="AJ1161" s="2330">
        <f t="shared" si="807"/>
        <v>0</v>
      </c>
      <c r="AK1161" s="2330"/>
      <c r="AL1161" s="2330"/>
      <c r="AM1161" s="2331">
        <f t="shared" si="794"/>
        <v>0</v>
      </c>
      <c r="AN1161" s="2331"/>
      <c r="AO1161" s="2331"/>
      <c r="AP1161" s="2331"/>
      <c r="AQ1161" s="2332">
        <f t="shared" si="808"/>
        <v>0</v>
      </c>
      <c r="AR1161" s="2332"/>
      <c r="AS1161" s="2332"/>
      <c r="AT1161" s="2332">
        <f t="shared" si="809"/>
        <v>0</v>
      </c>
      <c r="AV1161" s="151" t="str">
        <f t="shared" si="789"/>
        <v>MISCELLANEOUS</v>
      </c>
      <c r="AW1161" s="681"/>
      <c r="AX1161" s="230"/>
      <c r="AY1161" s="230"/>
      <c r="AZ1161" s="679"/>
      <c r="BA1161" s="49">
        <f t="shared" si="810"/>
        <v>0</v>
      </c>
      <c r="BB1161" s="49">
        <f t="shared" si="815"/>
        <v>0</v>
      </c>
      <c r="BC1161" s="49">
        <f t="shared" si="816"/>
        <v>0</v>
      </c>
      <c r="BD1161" s="49">
        <f t="shared" si="811"/>
        <v>0</v>
      </c>
      <c r="BE1161" s="49">
        <f>SUM(BA1161:BC1161)</f>
        <v>0</v>
      </c>
      <c r="BF1161" s="49">
        <f t="shared" si="812"/>
        <v>0</v>
      </c>
      <c r="BG1161" s="49">
        <f t="shared" si="813"/>
        <v>0</v>
      </c>
      <c r="BI1161" s="134">
        <f t="shared" si="818"/>
        <v>0</v>
      </c>
      <c r="BJ1161" s="134">
        <f t="shared" si="814"/>
        <v>0</v>
      </c>
      <c r="BK1161" s="134">
        <f t="shared" si="819"/>
        <v>0</v>
      </c>
    </row>
    <row r="1162" spans="1:64" hidden="1">
      <c r="A1162" s="11"/>
      <c r="B1162" s="2321"/>
      <c r="C1162" s="2322"/>
      <c r="D1162" s="2323"/>
      <c r="E1162" s="2323"/>
      <c r="F1162" s="2323"/>
      <c r="G1162" s="2323"/>
      <c r="H1162" s="2323"/>
      <c r="I1162" s="2323"/>
      <c r="J1162" s="2323"/>
      <c r="K1162" s="2323"/>
      <c r="L1162" s="2323"/>
      <c r="M1162" s="2323"/>
      <c r="N1162" s="2323"/>
      <c r="O1162" s="2323"/>
      <c r="P1162" s="2324"/>
      <c r="Q1162" s="2324"/>
      <c r="R1162" s="2325"/>
      <c r="S1162" s="2324"/>
      <c r="T1162" s="2324"/>
      <c r="U1162" s="2326"/>
      <c r="V1162" s="2327"/>
      <c r="W1162" s="2327"/>
      <c r="X1162" s="2327"/>
      <c r="Y1162" s="2327"/>
      <c r="Z1162" s="2327"/>
      <c r="AA1162" s="2328"/>
      <c r="AB1162" s="2329"/>
      <c r="AC1162" s="2326"/>
      <c r="AD1162" s="2330">
        <f t="shared" si="806"/>
        <v>0</v>
      </c>
      <c r="AE1162" s="2330"/>
      <c r="AF1162" s="2330"/>
      <c r="AG1162" s="2330">
        <f t="shared" si="800"/>
        <v>0</v>
      </c>
      <c r="AH1162" s="2330"/>
      <c r="AI1162" s="2330"/>
      <c r="AJ1162" s="2330">
        <f t="shared" si="807"/>
        <v>0</v>
      </c>
      <c r="AK1162" s="2330"/>
      <c r="AL1162" s="2330"/>
      <c r="AM1162" s="2331">
        <f t="shared" si="794"/>
        <v>0</v>
      </c>
      <c r="AN1162" s="2331"/>
      <c r="AO1162" s="2331"/>
      <c r="AP1162" s="2331"/>
      <c r="AQ1162" s="2332">
        <f t="shared" si="808"/>
        <v>0</v>
      </c>
      <c r="AR1162" s="2332"/>
      <c r="AS1162" s="2332"/>
      <c r="AT1162" s="2332">
        <f t="shared" si="809"/>
        <v>0</v>
      </c>
      <c r="AV1162" s="151" t="str">
        <f t="shared" si="789"/>
        <v>MISCELLANEOUS</v>
      </c>
      <c r="AW1162" s="681"/>
      <c r="AX1162" s="230"/>
      <c r="AY1162" s="230"/>
      <c r="AZ1162" s="679"/>
      <c r="BA1162" s="49">
        <f t="shared" si="810"/>
        <v>0</v>
      </c>
      <c r="BB1162" s="49">
        <f t="shared" si="815"/>
        <v>0</v>
      </c>
      <c r="BC1162" s="49">
        <f t="shared" si="816"/>
        <v>0</v>
      </c>
      <c r="BD1162" s="49">
        <f t="shared" si="811"/>
        <v>0</v>
      </c>
      <c r="BE1162" s="49">
        <f>SUM(BA1162:BC1162)</f>
        <v>0</v>
      </c>
      <c r="BF1162" s="49">
        <f t="shared" si="812"/>
        <v>0</v>
      </c>
      <c r="BG1162" s="49">
        <f t="shared" si="813"/>
        <v>0</v>
      </c>
      <c r="BI1162" s="134">
        <f t="shared" si="818"/>
        <v>0</v>
      </c>
      <c r="BJ1162" s="134">
        <f t="shared" si="814"/>
        <v>0</v>
      </c>
      <c r="BK1162" s="134">
        <f t="shared" si="819"/>
        <v>0</v>
      </c>
    </row>
    <row r="1163" spans="1:64" ht="5.0999999999999996" hidden="1" customHeight="1">
      <c r="A1163" s="11"/>
      <c r="B1163" s="64"/>
      <c r="C1163" s="64"/>
      <c r="D1163" s="65"/>
      <c r="E1163" s="65"/>
      <c r="F1163" s="65"/>
      <c r="G1163" s="65"/>
      <c r="H1163" s="65"/>
      <c r="I1163" s="65"/>
      <c r="J1163" s="65"/>
      <c r="K1163" s="65"/>
      <c r="L1163" s="65"/>
      <c r="M1163" s="65"/>
      <c r="N1163" s="65"/>
      <c r="O1163" s="65"/>
      <c r="P1163" s="66"/>
      <c r="Q1163" s="66"/>
      <c r="R1163" s="66"/>
      <c r="S1163" s="66"/>
      <c r="T1163" s="66"/>
      <c r="U1163" s="67"/>
      <c r="V1163" s="67"/>
      <c r="W1163" s="67"/>
      <c r="X1163" s="67"/>
      <c r="Y1163" s="67"/>
      <c r="Z1163" s="67"/>
      <c r="AA1163" s="67"/>
      <c r="AB1163" s="67"/>
      <c r="AC1163" s="67"/>
      <c r="AD1163" s="68"/>
      <c r="AE1163" s="68"/>
      <c r="AF1163" s="68"/>
      <c r="AG1163" s="68"/>
      <c r="AH1163" s="68"/>
      <c r="AI1163" s="68"/>
      <c r="AJ1163" s="68"/>
      <c r="AK1163" s="68"/>
      <c r="AL1163" s="68"/>
      <c r="AM1163" s="69"/>
      <c r="AN1163" s="69"/>
      <c r="AO1163" s="69"/>
      <c r="AP1163" s="69"/>
      <c r="AQ1163" s="70"/>
      <c r="AR1163" s="70"/>
      <c r="AS1163" s="70"/>
      <c r="AT1163" s="70"/>
      <c r="AV1163" s="369" t="str">
        <f t="shared" si="789"/>
        <v>MISCELLANEOUS</v>
      </c>
      <c r="AW1163" s="696"/>
      <c r="AX1163" s="369"/>
      <c r="AY1163" s="369"/>
      <c r="AZ1163" s="369"/>
      <c r="BA1163" s="75">
        <f>BA1122</f>
        <v>0</v>
      </c>
      <c r="BB1163" s="75">
        <f>BB1122</f>
        <v>0</v>
      </c>
      <c r="BC1163" s="75">
        <f>BC1122</f>
        <v>0</v>
      </c>
      <c r="BD1163" s="75">
        <f>BD1122</f>
        <v>0</v>
      </c>
      <c r="BE1163" s="75">
        <f>BE1122</f>
        <v>0</v>
      </c>
      <c r="BF1163" s="75"/>
      <c r="BG1163" s="75"/>
      <c r="BI1163" s="75"/>
      <c r="BJ1163" s="75"/>
      <c r="BK1163" s="75"/>
    </row>
    <row r="1164" spans="1:64" ht="21.6" hidden="1" customHeight="1">
      <c r="A1164" s="11"/>
      <c r="B1164" s="2424"/>
      <c r="C1164" s="2424"/>
      <c r="D1164" s="36"/>
      <c r="E1164" s="36"/>
      <c r="F1164" s="36"/>
      <c r="G1164" s="36"/>
      <c r="H1164" s="36"/>
      <c r="I1164" s="36"/>
      <c r="J1164" s="36"/>
      <c r="K1164" s="36"/>
      <c r="L1164" s="36"/>
      <c r="M1164" s="36"/>
      <c r="N1164" s="36"/>
      <c r="O1164" s="36"/>
      <c r="P1164" s="37"/>
      <c r="Q1164" s="37"/>
      <c r="R1164" s="37"/>
      <c r="S1164" s="37"/>
      <c r="T1164" s="37"/>
      <c r="U1164" s="37"/>
      <c r="V1164" s="37"/>
      <c r="W1164" s="37"/>
      <c r="X1164" s="37"/>
      <c r="Y1164" s="37"/>
      <c r="Z1164" s="37"/>
      <c r="AA1164" s="37"/>
      <c r="AB1164" s="37"/>
      <c r="AC1164" s="370" t="str">
        <f>CONCATENATE(D1122," ","TOTAL")</f>
        <v>MISCELLANEOUS TOTAL</v>
      </c>
      <c r="AD1164" s="2342">
        <f>SUBTOTAL(9,AD1123:AD1163)</f>
        <v>0</v>
      </c>
      <c r="AE1164" s="2342"/>
      <c r="AF1164" s="2342"/>
      <c r="AG1164" s="2342">
        <f>SUBTOTAL(9,AG1123:AG1163)</f>
        <v>0</v>
      </c>
      <c r="AH1164" s="2342"/>
      <c r="AI1164" s="2342"/>
      <c r="AJ1164" s="2342">
        <f>SUBTOTAL(9,AJ1123:AJ1163)</f>
        <v>0</v>
      </c>
      <c r="AK1164" s="2342"/>
      <c r="AL1164" s="2342"/>
      <c r="AM1164" s="2342">
        <f>SUBTOTAL(9,AM1123:AM1163)</f>
        <v>0</v>
      </c>
      <c r="AN1164" s="2342"/>
      <c r="AO1164" s="2342"/>
      <c r="AP1164" s="2342"/>
      <c r="AQ1164" s="2336">
        <f>SUBTOTAL(9,AQ1123:AQ1163)</f>
        <v>0</v>
      </c>
      <c r="AR1164" s="2336"/>
      <c r="AS1164" s="2336"/>
      <c r="AT1164" s="2336" t="e">
        <f>SUM(AT1120:AT1155)</f>
        <v>#REF!</v>
      </c>
      <c r="AV1164" s="151" t="str">
        <f t="shared" si="789"/>
        <v>MISCELLANEOUS</v>
      </c>
      <c r="AW1164" s="695"/>
      <c r="AX1164" s="274"/>
      <c r="AY1164" s="274"/>
      <c r="AZ1164" s="274"/>
      <c r="BA1164" s="74">
        <f>BA1122</f>
        <v>0</v>
      </c>
      <c r="BB1164" s="74">
        <f>BB1122</f>
        <v>0</v>
      </c>
      <c r="BC1164" s="74">
        <f>BC1122</f>
        <v>0</v>
      </c>
      <c r="BD1164" s="74">
        <f>BD1122</f>
        <v>0</v>
      </c>
      <c r="BE1164" s="74">
        <f>BE1122</f>
        <v>0</v>
      </c>
      <c r="BF1164" s="74">
        <f>SUM(BF1122:BF1163)</f>
        <v>0</v>
      </c>
      <c r="BG1164" s="49">
        <f>SUM(BG1122:BG1163)</f>
        <v>0</v>
      </c>
      <c r="BI1164" s="74">
        <f>SUM(BI1123:BI1163)</f>
        <v>0</v>
      </c>
      <c r="BJ1164" s="74">
        <f>SUM(BJ1123:BJ1163)</f>
        <v>0</v>
      </c>
      <c r="BK1164" s="49">
        <f>SUM(BK1123:BK1163)</f>
        <v>0</v>
      </c>
    </row>
    <row r="1165" spans="1:64" ht="8.85" hidden="1" customHeight="1" thickBot="1">
      <c r="A1165" s="11"/>
      <c r="B1165" s="64"/>
      <c r="C1165" s="64"/>
      <c r="D1165" s="65"/>
      <c r="E1165" s="65"/>
      <c r="F1165" s="65"/>
      <c r="G1165" s="65"/>
      <c r="H1165" s="65"/>
      <c r="I1165" s="65"/>
      <c r="J1165" s="65"/>
      <c r="K1165" s="65"/>
      <c r="L1165" s="65"/>
      <c r="M1165" s="65"/>
      <c r="N1165" s="65"/>
      <c r="O1165" s="65"/>
      <c r="P1165" s="66"/>
      <c r="Q1165" s="66"/>
      <c r="R1165" s="66"/>
      <c r="S1165" s="66"/>
      <c r="T1165" s="66"/>
      <c r="U1165" s="67"/>
      <c r="V1165" s="67"/>
      <c r="W1165" s="67"/>
      <c r="X1165" s="67"/>
      <c r="Y1165" s="67"/>
      <c r="Z1165" s="67"/>
      <c r="AA1165" s="67"/>
      <c r="AB1165" s="67"/>
      <c r="AC1165" s="67"/>
      <c r="AD1165" s="366"/>
      <c r="AE1165" s="366"/>
      <c r="AF1165" s="366"/>
      <c r="AG1165" s="366"/>
      <c r="AH1165" s="366"/>
      <c r="AI1165" s="366"/>
      <c r="AJ1165" s="366"/>
      <c r="AK1165" s="366"/>
      <c r="AL1165" s="366"/>
      <c r="AM1165" s="367"/>
      <c r="AN1165" s="367"/>
      <c r="AO1165" s="367"/>
      <c r="AP1165" s="367"/>
      <c r="AQ1165" s="368"/>
      <c r="AR1165" s="368"/>
      <c r="AS1165" s="368"/>
      <c r="AT1165" s="368"/>
      <c r="AV1165" s="369" t="str">
        <f t="shared" si="789"/>
        <v>MISCELLANEOUS</v>
      </c>
      <c r="AW1165" s="696"/>
      <c r="AX1165" s="369"/>
      <c r="AY1165" s="369"/>
      <c r="AZ1165" s="369"/>
      <c r="BA1165" s="75">
        <f>BA1122</f>
        <v>0</v>
      </c>
      <c r="BB1165" s="75">
        <f>BB1122</f>
        <v>0</v>
      </c>
      <c r="BC1165" s="75">
        <f>BC1122</f>
        <v>0</v>
      </c>
      <c r="BD1165" s="75">
        <f>BD1122</f>
        <v>0</v>
      </c>
      <c r="BE1165" s="75">
        <f>BE1122</f>
        <v>0</v>
      </c>
      <c r="BF1165" s="75"/>
      <c r="BG1165" s="75"/>
      <c r="BI1165" s="75"/>
      <c r="BJ1165" s="75"/>
      <c r="BK1165" s="75"/>
    </row>
    <row r="1166" spans="1:64" ht="22.5" customHeight="1" thickBot="1">
      <c r="A1166" s="11"/>
      <c r="B1166" s="2249" t="s">
        <v>955</v>
      </c>
      <c r="C1166" s="2249"/>
      <c r="D1166" s="2249"/>
      <c r="E1166" s="2249"/>
      <c r="F1166" s="2249"/>
      <c r="G1166" s="2249"/>
      <c r="H1166" s="2249"/>
      <c r="I1166" s="2249"/>
      <c r="J1166" s="2249"/>
      <c r="K1166" s="2249"/>
      <c r="L1166" s="2249"/>
      <c r="M1166" s="2249"/>
      <c r="N1166" s="2249"/>
      <c r="O1166" s="2249"/>
      <c r="P1166" s="2249"/>
      <c r="Q1166" s="2249"/>
      <c r="R1166" s="2249"/>
      <c r="S1166" s="2249"/>
      <c r="T1166" s="2249"/>
      <c r="U1166" s="2249"/>
      <c r="V1166" s="2249"/>
      <c r="W1166" s="2249"/>
      <c r="X1166" s="2249"/>
      <c r="Y1166" s="2249"/>
      <c r="Z1166" s="2249"/>
      <c r="AA1166" s="2249"/>
      <c r="AB1166" s="2249"/>
      <c r="AC1166" s="2249"/>
      <c r="AD1166" s="2249"/>
      <c r="AE1166" s="2249"/>
      <c r="AF1166" s="2249"/>
      <c r="AG1166" s="2249"/>
      <c r="AH1166" s="2249"/>
      <c r="AI1166" s="2249"/>
      <c r="AJ1166" s="2249"/>
      <c r="AK1166" s="2249"/>
      <c r="AL1166" s="2249"/>
      <c r="AM1166" s="2249"/>
      <c r="AN1166" s="2249"/>
      <c r="AO1166" s="2249"/>
      <c r="AP1166" s="2249"/>
      <c r="AQ1166" s="2249"/>
      <c r="AR1166" s="2249"/>
      <c r="AS1166" s="2249"/>
      <c r="AT1166" s="2249"/>
      <c r="AU1166" s="373"/>
      <c r="AV1166" s="373"/>
      <c r="AW1166" s="697"/>
      <c r="AX1166" s="373"/>
      <c r="AY1166" s="373"/>
      <c r="AZ1166" s="373"/>
      <c r="BA1166" s="51"/>
      <c r="BB1166" s="51"/>
      <c r="BC1166" s="51"/>
      <c r="BD1166" s="51"/>
      <c r="BE1166" s="51"/>
      <c r="BF1166" s="51"/>
      <c r="BG1166" s="51"/>
      <c r="BI1166" s="31">
        <f>SUM(BI129+BI174+BI219+BI264+BI309+BI354+BI399+BI444+BI489+BI534+BI579+BI624+BI669+BI714+BI759+BI849+BI804+BI894+BI939+BI984+BI1029+BI1074+BI1119+BI1164)</f>
        <v>0</v>
      </c>
      <c r="BJ1166" s="31">
        <f>SUM(BJ129+BJ174+BJ219+BJ264+BJ309+BJ354+BJ399+BJ444+BJ489+BJ534+BJ579+BJ624+BJ669+BJ714+BJ759+BJ849+BJ804+BJ894+BJ939+BJ984+BJ1029+BJ1074+BJ1119+BJ1164)</f>
        <v>0</v>
      </c>
      <c r="BK1166" s="31">
        <f>SUM(BK129+BK174+BK219+BK264+BK309+BK354+BK399+BK444+BK489+BK534+BK579+BK624+BK669+BK714+BK759+BK849+BK804+BK894+BK939+BK984+BK1029+BK1074+BK1119+BK1164)</f>
        <v>0</v>
      </c>
      <c r="BL1166" s="137"/>
    </row>
    <row r="1167" spans="1:64" ht="21" thickBot="1">
      <c r="A1167" s="11"/>
      <c r="B1167" s="374"/>
      <c r="C1167" s="374"/>
      <c r="D1167" s="374"/>
      <c r="E1167" s="375"/>
      <c r="F1167" s="375"/>
      <c r="G1167" s="376"/>
      <c r="H1167" s="376"/>
      <c r="I1167" s="376"/>
      <c r="J1167" s="376"/>
      <c r="K1167" s="376"/>
      <c r="L1167" s="376"/>
      <c r="M1167" s="376"/>
      <c r="N1167" s="376"/>
      <c r="O1167" s="376"/>
      <c r="P1167" s="376"/>
      <c r="Q1167" s="376"/>
      <c r="R1167" s="376"/>
      <c r="S1167" s="376"/>
      <c r="T1167" s="377"/>
      <c r="U1167" s="377"/>
      <c r="V1167" s="377"/>
      <c r="W1167" s="377"/>
      <c r="X1167" s="377"/>
      <c r="Y1167" s="377"/>
      <c r="Z1167" s="377"/>
      <c r="AA1167" s="377"/>
      <c r="AB1167" s="377"/>
      <c r="AC1167" s="377"/>
      <c r="AD1167" s="378"/>
      <c r="AE1167" s="378"/>
      <c r="AF1167" s="378"/>
      <c r="AG1167" s="378"/>
      <c r="AH1167" s="378"/>
      <c r="AI1167" s="378"/>
      <c r="AJ1167" s="378"/>
      <c r="AK1167" s="378"/>
      <c r="AL1167" s="378"/>
      <c r="AM1167" s="378"/>
      <c r="AN1167" s="378"/>
      <c r="AO1167" s="378"/>
      <c r="AP1167" s="378"/>
      <c r="AQ1167" s="378"/>
      <c r="AR1167" s="378"/>
      <c r="AS1167" s="378"/>
      <c r="AT1167" s="378"/>
      <c r="AU1167" s="373"/>
      <c r="AV1167" s="379" t="s">
        <v>382</v>
      </c>
      <c r="AW1167" s="698"/>
      <c r="AX1167" s="19"/>
      <c r="AY1167" s="19"/>
      <c r="AZ1167" s="19"/>
      <c r="BB1167" s="41"/>
      <c r="BC1167" s="41"/>
      <c r="BD1167" s="40"/>
      <c r="BE1167" s="51"/>
      <c r="BF1167" s="51"/>
      <c r="BG1167" s="51"/>
      <c r="BH1167" s="51"/>
      <c r="BI1167" s="108"/>
      <c r="BJ1167" s="108"/>
      <c r="BK1167" s="108"/>
    </row>
    <row r="1168" spans="1:64" ht="12" customHeight="1">
      <c r="A1168" s="11"/>
      <c r="B1168" s="380"/>
      <c r="C1168" s="381"/>
      <c r="D1168" s="381"/>
      <c r="E1168" s="382"/>
      <c r="F1168" s="382"/>
      <c r="G1168" s="383"/>
      <c r="H1168" s="383"/>
      <c r="I1168" s="383"/>
      <c r="J1168" s="383"/>
      <c r="K1168" s="383"/>
      <c r="L1168" s="383"/>
      <c r="M1168" s="383"/>
      <c r="N1168" s="383"/>
      <c r="O1168" s="383"/>
      <c r="P1168" s="383"/>
      <c r="Q1168" s="383"/>
      <c r="R1168" s="383"/>
      <c r="S1168" s="383"/>
      <c r="T1168" s="384"/>
      <c r="U1168" s="384"/>
      <c r="V1168" s="384"/>
      <c r="W1168" s="384"/>
      <c r="X1168" s="384"/>
      <c r="Y1168" s="384"/>
      <c r="Z1168" s="384"/>
      <c r="AA1168" s="384"/>
      <c r="AB1168" s="384"/>
      <c r="AC1168" s="384"/>
      <c r="AD1168" s="385"/>
      <c r="AE1168" s="385"/>
      <c r="AF1168" s="385"/>
      <c r="AG1168" s="385"/>
      <c r="AH1168" s="385"/>
      <c r="AI1168" s="385"/>
      <c r="AJ1168" s="385"/>
      <c r="AK1168" s="385"/>
      <c r="AL1168" s="385"/>
      <c r="AM1168" s="385"/>
      <c r="AN1168" s="385"/>
      <c r="AO1168" s="385"/>
      <c r="AP1168" s="385"/>
      <c r="AQ1168" s="385"/>
      <c r="AR1168" s="385"/>
      <c r="AS1168" s="385"/>
      <c r="AT1168" s="386"/>
      <c r="AU1168" s="373"/>
      <c r="AV1168" s="379"/>
      <c r="AW1168" s="698"/>
      <c r="AX1168" s="19"/>
      <c r="AY1168" s="19"/>
      <c r="AZ1168" s="19"/>
      <c r="BB1168" s="41"/>
      <c r="BC1168" s="41"/>
      <c r="BD1168" s="40"/>
      <c r="BE1168" s="51"/>
      <c r="BF1168" s="51"/>
      <c r="BG1168" s="51"/>
      <c r="BH1168" s="51"/>
      <c r="BI1168" s="360"/>
      <c r="BJ1168" s="360"/>
      <c r="BK1168" s="360"/>
    </row>
    <row r="1169" spans="1:60" ht="29.25" customHeight="1">
      <c r="A1169" s="11"/>
      <c r="B1169" s="338"/>
      <c r="C1169" s="2480" t="s">
        <v>1116</v>
      </c>
      <c r="D1169" s="2480"/>
      <c r="E1169" s="2480"/>
      <c r="F1169" s="2480"/>
      <c r="G1169" s="2480"/>
      <c r="H1169" s="2480"/>
      <c r="I1169" s="2480"/>
      <c r="J1169" s="2480"/>
      <c r="K1169" s="2480"/>
      <c r="L1169" s="2480"/>
      <c r="M1169" s="2480"/>
      <c r="N1169" s="2480"/>
      <c r="O1169" s="2480"/>
      <c r="P1169" s="2480"/>
      <c r="Q1169" s="2480"/>
      <c r="R1169" s="2480"/>
      <c r="S1169" s="2480"/>
      <c r="T1169" s="2480"/>
      <c r="U1169" s="2480"/>
      <c r="V1169" s="2480"/>
      <c r="W1169" s="2480"/>
      <c r="X1169" s="2480"/>
      <c r="Y1169" s="2480"/>
      <c r="Z1169" s="2480"/>
      <c r="AA1169" s="2480"/>
      <c r="AB1169" s="2480"/>
      <c r="AC1169" s="2480"/>
      <c r="AD1169" s="2480"/>
      <c r="AE1169" s="2480"/>
      <c r="AF1169" s="2480"/>
      <c r="AG1169" s="2480"/>
      <c r="AH1169" s="2480"/>
      <c r="AI1169" s="2480"/>
      <c r="AJ1169" s="2480"/>
      <c r="AK1169" s="2480"/>
      <c r="AL1169" s="2480"/>
      <c r="AM1169" s="2480"/>
      <c r="AN1169" s="2480"/>
      <c r="AO1169" s="2480"/>
      <c r="AP1169" s="2480"/>
      <c r="AQ1169" s="2480"/>
      <c r="AR1169" s="2480"/>
      <c r="AS1169" s="2480"/>
      <c r="AT1169" s="359"/>
      <c r="AV1169" s="387" t="s">
        <v>383</v>
      </c>
      <c r="AW1169" s="698"/>
      <c r="AX1169" s="19"/>
      <c r="AY1169" s="19"/>
      <c r="AZ1169" s="19"/>
      <c r="BB1169" s="2"/>
      <c r="BC1169" s="2"/>
      <c r="BD1169" s="40"/>
      <c r="BE1169" s="39"/>
      <c r="BH1169" s="39"/>
    </row>
    <row r="1170" spans="1:60" ht="22.5" customHeight="1">
      <c r="A1170" s="11"/>
      <c r="B1170" s="312"/>
      <c r="C1170" s="347"/>
      <c r="D1170" s="347"/>
      <c r="E1170" s="347"/>
      <c r="F1170" s="347"/>
      <c r="G1170" s="347"/>
      <c r="H1170" s="347"/>
      <c r="I1170" s="942"/>
      <c r="J1170" s="347"/>
      <c r="K1170" s="347"/>
      <c r="L1170" s="347"/>
      <c r="M1170" s="347"/>
      <c r="N1170" s="347"/>
      <c r="O1170" s="347"/>
      <c r="P1170" s="942"/>
      <c r="Q1170" s="347"/>
      <c r="R1170" s="347"/>
      <c r="S1170" s="347"/>
      <c r="T1170" s="347"/>
      <c r="U1170" s="347"/>
      <c r="V1170" s="347"/>
      <c r="W1170" s="942"/>
      <c r="X1170" s="347"/>
      <c r="Y1170" s="347"/>
      <c r="Z1170" s="347"/>
      <c r="AA1170" s="347"/>
      <c r="AB1170" s="347"/>
      <c r="AC1170" s="347"/>
      <c r="AD1170" s="942"/>
      <c r="AE1170" s="942"/>
      <c r="AF1170" s="942"/>
      <c r="AG1170" s="942"/>
      <c r="AH1170" s="942"/>
      <c r="AI1170" s="942"/>
      <c r="AJ1170" s="942"/>
      <c r="AK1170" s="942"/>
      <c r="AL1170" s="942"/>
      <c r="AM1170" s="942"/>
      <c r="AN1170" s="942"/>
      <c r="AO1170" s="942"/>
      <c r="AP1170" s="942"/>
      <c r="AQ1170" s="942"/>
      <c r="AR1170" s="942"/>
      <c r="AS1170" s="942"/>
      <c r="AT1170" s="313"/>
      <c r="AV1170" s="387"/>
      <c r="AW1170" s="698"/>
    </row>
    <row r="1171" spans="1:60" ht="22.5" customHeight="1">
      <c r="A1171" s="11"/>
      <c r="B1171" s="312"/>
      <c r="C1171" s="347"/>
      <c r="D1171" s="342"/>
      <c r="E1171" s="2250" t="s">
        <v>1125</v>
      </c>
      <c r="F1171" s="2251"/>
      <c r="G1171" s="2251"/>
      <c r="H1171" s="2251"/>
      <c r="I1171" s="2251"/>
      <c r="J1171" s="2251"/>
      <c r="K1171" s="2251"/>
      <c r="L1171" s="2251"/>
      <c r="M1171" s="2251"/>
      <c r="N1171" s="2251"/>
      <c r="O1171" s="2251"/>
      <c r="P1171" s="2251"/>
      <c r="Q1171" s="2251"/>
      <c r="R1171" s="2251"/>
      <c r="S1171" s="2251"/>
      <c r="T1171" s="2251"/>
      <c r="U1171" s="2251"/>
      <c r="V1171" s="2251"/>
      <c r="W1171" s="2251"/>
      <c r="X1171" s="2251"/>
      <c r="Y1171" s="2251"/>
      <c r="Z1171" s="2251"/>
      <c r="AA1171" s="2251"/>
      <c r="AB1171" s="2251"/>
      <c r="AC1171" s="2251"/>
      <c r="AD1171" s="2251"/>
      <c r="AE1171" s="2251"/>
      <c r="AF1171" s="2251"/>
      <c r="AG1171" s="2251"/>
      <c r="AH1171" s="2251"/>
      <c r="AI1171" s="2251"/>
      <c r="AJ1171" s="2251"/>
      <c r="AK1171" s="2251"/>
      <c r="AL1171" s="2251"/>
      <c r="AM1171" s="2251"/>
      <c r="AN1171" s="2251"/>
      <c r="AO1171" s="2251"/>
      <c r="AP1171" s="2251"/>
      <c r="AQ1171" s="2251"/>
      <c r="AR1171" s="942"/>
      <c r="AS1171" s="942"/>
      <c r="AT1171" s="313"/>
      <c r="AV1171" s="388" t="s">
        <v>3</v>
      </c>
      <c r="AW1171" s="698"/>
      <c r="AX1171" s="19"/>
      <c r="AY1171" s="19"/>
      <c r="AZ1171" s="19"/>
      <c r="BB1171" s="2"/>
      <c r="BC1171" s="2"/>
      <c r="BD1171" s="40"/>
    </row>
    <row r="1172" spans="1:60" ht="15" customHeight="1">
      <c r="A1172" s="11"/>
      <c r="B1172" s="312"/>
      <c r="C1172" s="347"/>
      <c r="D1172" s="358"/>
      <c r="E1172" s="348"/>
      <c r="F1172" s="348"/>
      <c r="G1172" s="348"/>
      <c r="H1172" s="348"/>
      <c r="I1172" s="348"/>
      <c r="J1172" s="348"/>
      <c r="K1172" s="348"/>
      <c r="L1172" s="348"/>
      <c r="M1172" s="348"/>
      <c r="N1172" s="348"/>
      <c r="O1172" s="348"/>
      <c r="P1172" s="348"/>
      <c r="Q1172" s="348"/>
      <c r="R1172" s="348"/>
      <c r="S1172" s="348"/>
      <c r="T1172" s="348"/>
      <c r="U1172" s="348"/>
      <c r="V1172" s="348"/>
      <c r="W1172" s="348"/>
      <c r="X1172" s="348"/>
      <c r="Y1172" s="348"/>
      <c r="Z1172" s="348"/>
      <c r="AA1172" s="348"/>
      <c r="AB1172" s="348"/>
      <c r="AC1172" s="348"/>
      <c r="AD1172" s="343"/>
      <c r="AE1172" s="343"/>
      <c r="AF1172" s="343"/>
      <c r="AG1172" s="343"/>
      <c r="AH1172" s="942"/>
      <c r="AI1172" s="942"/>
      <c r="AJ1172" s="942"/>
      <c r="AK1172" s="942"/>
      <c r="AL1172" s="942"/>
      <c r="AM1172" s="942"/>
      <c r="AN1172" s="942"/>
      <c r="AO1172" s="942"/>
      <c r="AP1172" s="942"/>
      <c r="AQ1172" s="942"/>
      <c r="AR1172" s="942"/>
      <c r="AS1172" s="942"/>
      <c r="AT1172" s="313"/>
      <c r="AV1172" s="388"/>
      <c r="AW1172" s="698"/>
      <c r="AX1172" s="19"/>
      <c r="AY1172" s="19"/>
      <c r="AZ1172" s="19"/>
      <c r="BB1172" s="2"/>
      <c r="BC1172" s="2"/>
      <c r="BD1172" s="40"/>
    </row>
    <row r="1173" spans="1:60" ht="22.5" customHeight="1">
      <c r="A1173" s="11"/>
      <c r="B1173" s="312"/>
      <c r="C1173" s="347"/>
      <c r="D1173" s="342"/>
      <c r="E1173" s="2250" t="s">
        <v>1078</v>
      </c>
      <c r="F1173" s="2251"/>
      <c r="G1173" s="2251"/>
      <c r="H1173" s="2251"/>
      <c r="I1173" s="2251"/>
      <c r="J1173" s="2251"/>
      <c r="K1173" s="2251"/>
      <c r="L1173" s="2251"/>
      <c r="M1173" s="2251"/>
      <c r="N1173" s="2251"/>
      <c r="O1173" s="2251"/>
      <c r="P1173" s="2251"/>
      <c r="Q1173" s="2251"/>
      <c r="R1173" s="2251"/>
      <c r="S1173" s="2251"/>
      <c r="T1173" s="2251"/>
      <c r="U1173" s="2251"/>
      <c r="V1173" s="2251"/>
      <c r="W1173" s="2251"/>
      <c r="X1173" s="2251"/>
      <c r="Y1173" s="2251"/>
      <c r="Z1173" s="2251"/>
      <c r="AA1173" s="2251"/>
      <c r="AB1173" s="2251"/>
      <c r="AC1173" s="2251"/>
      <c r="AD1173" s="2251"/>
      <c r="AE1173" s="2251"/>
      <c r="AF1173" s="2251"/>
      <c r="AG1173" s="2251"/>
      <c r="AH1173" s="2251"/>
      <c r="AI1173" s="2251"/>
      <c r="AJ1173" s="2251"/>
      <c r="AK1173" s="2251"/>
      <c r="AL1173" s="2251"/>
      <c r="AM1173" s="2251"/>
      <c r="AN1173" s="2251"/>
      <c r="AO1173" s="2251"/>
      <c r="AP1173" s="2251"/>
      <c r="AQ1173" s="2251"/>
      <c r="AR1173" s="942"/>
      <c r="AS1173" s="942"/>
      <c r="AT1173" s="313"/>
      <c r="AV1173" s="388" t="s">
        <v>2</v>
      </c>
    </row>
    <row r="1174" spans="1:60" ht="15" customHeight="1">
      <c r="A1174" s="11"/>
      <c r="B1174" s="312"/>
      <c r="C1174" s="347"/>
      <c r="D1174" s="358"/>
      <c r="E1174" s="348"/>
      <c r="F1174" s="348"/>
      <c r="G1174" s="348"/>
      <c r="H1174" s="348"/>
      <c r="I1174" s="348"/>
      <c r="J1174" s="348"/>
      <c r="K1174" s="348"/>
      <c r="L1174" s="348"/>
      <c r="M1174" s="348"/>
      <c r="N1174" s="348"/>
      <c r="O1174" s="348"/>
      <c r="P1174" s="348"/>
      <c r="Q1174" s="348"/>
      <c r="R1174" s="348"/>
      <c r="S1174" s="348"/>
      <c r="T1174" s="348"/>
      <c r="U1174" s="348"/>
      <c r="V1174" s="348"/>
      <c r="W1174" s="348"/>
      <c r="X1174" s="348"/>
      <c r="Y1174" s="348"/>
      <c r="Z1174" s="348"/>
      <c r="AA1174" s="348"/>
      <c r="AB1174" s="348"/>
      <c r="AC1174" s="348"/>
      <c r="AD1174" s="343"/>
      <c r="AE1174" s="343"/>
      <c r="AF1174" s="343"/>
      <c r="AG1174" s="343"/>
      <c r="AH1174" s="942"/>
      <c r="AI1174" s="942"/>
      <c r="AJ1174" s="942"/>
      <c r="AK1174" s="942"/>
      <c r="AL1174" s="942"/>
      <c r="AM1174" s="942"/>
      <c r="AN1174" s="942"/>
      <c r="AO1174" s="942"/>
      <c r="AP1174" s="942"/>
      <c r="AQ1174" s="942"/>
      <c r="AR1174" s="942"/>
      <c r="AS1174" s="942"/>
      <c r="AT1174" s="313"/>
      <c r="AV1174" s="388"/>
    </row>
    <row r="1175" spans="1:60" ht="22.5" customHeight="1">
      <c r="A1175" s="11"/>
      <c r="B1175" s="312"/>
      <c r="C1175" s="347"/>
      <c r="D1175" s="342"/>
      <c r="E1175" s="2250" t="s">
        <v>1077</v>
      </c>
      <c r="F1175" s="2251"/>
      <c r="G1175" s="2251"/>
      <c r="H1175" s="2251"/>
      <c r="I1175" s="2251"/>
      <c r="J1175" s="2251"/>
      <c r="K1175" s="2251"/>
      <c r="L1175" s="2251"/>
      <c r="M1175" s="2251"/>
      <c r="N1175" s="2251"/>
      <c r="O1175" s="2251"/>
      <c r="P1175" s="2251"/>
      <c r="Q1175" s="2251"/>
      <c r="R1175" s="2251"/>
      <c r="S1175" s="2251"/>
      <c r="T1175" s="2251"/>
      <c r="U1175" s="2251"/>
      <c r="V1175" s="2251"/>
      <c r="W1175" s="2251"/>
      <c r="X1175" s="2251"/>
      <c r="Y1175" s="2251"/>
      <c r="Z1175" s="2251"/>
      <c r="AA1175" s="2251"/>
      <c r="AB1175" s="2251"/>
      <c r="AC1175" s="2251"/>
      <c r="AD1175" s="2251"/>
      <c r="AE1175" s="2251"/>
      <c r="AF1175" s="2251"/>
      <c r="AG1175" s="2251"/>
      <c r="AH1175" s="2251"/>
      <c r="AI1175" s="2251"/>
      <c r="AJ1175" s="2251"/>
      <c r="AK1175" s="2251"/>
      <c r="AL1175" s="2251"/>
      <c r="AM1175" s="2251"/>
      <c r="AN1175" s="2251"/>
      <c r="AO1175" s="2251"/>
      <c r="AP1175" s="2251"/>
      <c r="AQ1175" s="2251"/>
      <c r="AR1175" s="942"/>
      <c r="AS1175" s="942"/>
      <c r="AT1175" s="313"/>
      <c r="AV1175" s="388" t="s">
        <v>12</v>
      </c>
    </row>
    <row r="1176" spans="1:60" ht="15" customHeight="1">
      <c r="A1176" s="11"/>
      <c r="B1176" s="312"/>
      <c r="C1176" s="347"/>
      <c r="D1176" s="358"/>
      <c r="E1176" s="348"/>
      <c r="F1176" s="348"/>
      <c r="G1176" s="348"/>
      <c r="H1176" s="348"/>
      <c r="I1176" s="348"/>
      <c r="J1176" s="348"/>
      <c r="K1176" s="348"/>
      <c r="L1176" s="348"/>
      <c r="M1176" s="348"/>
      <c r="N1176" s="348"/>
      <c r="O1176" s="348"/>
      <c r="P1176" s="348"/>
      <c r="Q1176" s="348"/>
      <c r="R1176" s="348"/>
      <c r="S1176" s="348"/>
      <c r="T1176" s="348"/>
      <c r="U1176" s="348"/>
      <c r="V1176" s="348"/>
      <c r="W1176" s="348"/>
      <c r="X1176" s="348"/>
      <c r="Y1176" s="348"/>
      <c r="Z1176" s="348"/>
      <c r="AA1176" s="348"/>
      <c r="AB1176" s="348"/>
      <c r="AC1176" s="348"/>
      <c r="AD1176" s="343"/>
      <c r="AE1176" s="343"/>
      <c r="AF1176" s="343"/>
      <c r="AG1176" s="343"/>
      <c r="AH1176" s="942"/>
      <c r="AI1176" s="942"/>
      <c r="AJ1176" s="942"/>
      <c r="AK1176" s="942"/>
      <c r="AL1176" s="942"/>
      <c r="AM1176" s="942"/>
      <c r="AN1176" s="942"/>
      <c r="AO1176" s="942"/>
      <c r="AP1176" s="942"/>
      <c r="AQ1176" s="942"/>
      <c r="AR1176" s="942"/>
      <c r="AS1176" s="942"/>
      <c r="AT1176" s="313"/>
      <c r="AV1176" s="388"/>
      <c r="AW1176" s="698"/>
      <c r="AX1176" s="19"/>
      <c r="AY1176" s="19"/>
      <c r="AZ1176" s="19"/>
      <c r="BB1176" s="2"/>
      <c r="BC1176" s="2"/>
      <c r="BD1176" s="40"/>
      <c r="BE1176" s="39"/>
      <c r="BH1176" s="39"/>
    </row>
    <row r="1177" spans="1:60" ht="22.5" customHeight="1">
      <c r="A1177" s="11"/>
      <c r="B1177" s="312"/>
      <c r="C1177" s="347"/>
      <c r="D1177" s="342"/>
      <c r="E1177" s="2250" t="s">
        <v>1087</v>
      </c>
      <c r="F1177" s="2251"/>
      <c r="G1177" s="2251"/>
      <c r="H1177" s="2251"/>
      <c r="I1177" s="2251"/>
      <c r="J1177" s="2251"/>
      <c r="K1177" s="2251"/>
      <c r="L1177" s="2251"/>
      <c r="M1177" s="2251"/>
      <c r="N1177" s="2251"/>
      <c r="O1177" s="2251"/>
      <c r="P1177" s="2251"/>
      <c r="Q1177" s="2251"/>
      <c r="R1177" s="2251"/>
      <c r="S1177" s="2251"/>
      <c r="T1177" s="2251"/>
      <c r="U1177" s="2251"/>
      <c r="V1177" s="2251"/>
      <c r="W1177" s="2251"/>
      <c r="X1177" s="2251"/>
      <c r="Y1177" s="2251"/>
      <c r="Z1177" s="2251"/>
      <c r="AA1177" s="2251"/>
      <c r="AB1177" s="2251"/>
      <c r="AC1177" s="2251"/>
      <c r="AD1177" s="2251"/>
      <c r="AE1177" s="2251"/>
      <c r="AF1177" s="2251"/>
      <c r="AG1177" s="2251"/>
      <c r="AH1177" s="2251"/>
      <c r="AI1177" s="2251"/>
      <c r="AJ1177" s="2251"/>
      <c r="AK1177" s="2251"/>
      <c r="AL1177" s="2251"/>
      <c r="AM1177" s="2251"/>
      <c r="AN1177" s="2251"/>
      <c r="AO1177" s="2251"/>
      <c r="AP1177" s="2251"/>
      <c r="AQ1177" s="2251"/>
      <c r="AR1177" s="942"/>
      <c r="AS1177" s="942"/>
      <c r="AT1177" s="313"/>
      <c r="AV1177" s="388" t="s">
        <v>11</v>
      </c>
      <c r="AW1177" s="698"/>
      <c r="AX1177" s="19"/>
      <c r="AY1177" s="19"/>
      <c r="AZ1177" s="19"/>
      <c r="BB1177" s="41"/>
      <c r="BC1177" s="41"/>
      <c r="BD1177" s="40"/>
      <c r="BE1177" s="39"/>
      <c r="BH1177" s="39"/>
    </row>
    <row r="1178" spans="1:60" ht="15" customHeight="1">
      <c r="A1178" s="11"/>
      <c r="B1178" s="312"/>
      <c r="C1178" s="347"/>
      <c r="D1178" s="358"/>
      <c r="E1178" s="348"/>
      <c r="F1178" s="348"/>
      <c r="G1178" s="348"/>
      <c r="H1178" s="348"/>
      <c r="I1178" s="348"/>
      <c r="J1178" s="348"/>
      <c r="K1178" s="348"/>
      <c r="L1178" s="348"/>
      <c r="M1178" s="348"/>
      <c r="N1178" s="348"/>
      <c r="O1178" s="348"/>
      <c r="P1178" s="348"/>
      <c r="Q1178" s="348"/>
      <c r="R1178" s="348"/>
      <c r="S1178" s="348"/>
      <c r="T1178" s="348"/>
      <c r="U1178" s="348"/>
      <c r="V1178" s="348"/>
      <c r="W1178" s="348"/>
      <c r="X1178" s="348"/>
      <c r="Y1178" s="348"/>
      <c r="Z1178" s="348"/>
      <c r="AA1178" s="348"/>
      <c r="AB1178" s="348"/>
      <c r="AC1178" s="348"/>
      <c r="AD1178" s="343"/>
      <c r="AE1178" s="343"/>
      <c r="AF1178" s="343"/>
      <c r="AG1178" s="343"/>
      <c r="AH1178" s="942"/>
      <c r="AI1178" s="942"/>
      <c r="AJ1178" s="942"/>
      <c r="AK1178" s="942"/>
      <c r="AL1178" s="942"/>
      <c r="AM1178" s="942"/>
      <c r="AN1178" s="942"/>
      <c r="AO1178" s="942"/>
      <c r="AP1178" s="942"/>
      <c r="AQ1178" s="942"/>
      <c r="AR1178" s="942"/>
      <c r="AS1178" s="942"/>
      <c r="AT1178" s="313"/>
      <c r="AV1178" s="388"/>
      <c r="AW1178" s="698"/>
      <c r="AX1178" s="19"/>
      <c r="AY1178" s="19"/>
      <c r="AZ1178" s="19"/>
      <c r="BB1178" s="41"/>
      <c r="BC1178" s="41"/>
      <c r="BD1178" s="40"/>
      <c r="BE1178" s="39"/>
      <c r="BH1178" s="39"/>
    </row>
    <row r="1179" spans="1:60" ht="22.5" customHeight="1">
      <c r="A1179" s="11"/>
      <c r="B1179" s="312"/>
      <c r="C1179" s="347"/>
      <c r="D1179" s="342"/>
      <c r="E1179" s="2250" t="s">
        <v>1118</v>
      </c>
      <c r="F1179" s="2251"/>
      <c r="G1179" s="2251"/>
      <c r="H1179" s="2251"/>
      <c r="I1179" s="2251"/>
      <c r="J1179" s="2251"/>
      <c r="K1179" s="2251"/>
      <c r="L1179" s="2251"/>
      <c r="M1179" s="2251"/>
      <c r="N1179" s="2251"/>
      <c r="O1179" s="2251"/>
      <c r="P1179" s="2251"/>
      <c r="Q1179" s="2251"/>
      <c r="R1179" s="2251"/>
      <c r="S1179" s="2251"/>
      <c r="T1179" s="2251"/>
      <c r="U1179" s="2251"/>
      <c r="V1179" s="2251"/>
      <c r="W1179" s="2251"/>
      <c r="X1179" s="2251"/>
      <c r="Y1179" s="2251"/>
      <c r="Z1179" s="2251"/>
      <c r="AA1179" s="2251"/>
      <c r="AB1179" s="2251"/>
      <c r="AC1179" s="2251"/>
      <c r="AD1179" s="2251"/>
      <c r="AE1179" s="2251"/>
      <c r="AF1179" s="2251"/>
      <c r="AG1179" s="2251"/>
      <c r="AH1179" s="2251"/>
      <c r="AI1179" s="2251"/>
      <c r="AJ1179" s="2251"/>
      <c r="AK1179" s="2251"/>
      <c r="AL1179" s="2251"/>
      <c r="AM1179" s="2251"/>
      <c r="AN1179" s="2251"/>
      <c r="AO1179" s="2251"/>
      <c r="AP1179" s="2251"/>
      <c r="AQ1179" s="2251"/>
      <c r="AR1179" s="942"/>
      <c r="AS1179" s="942"/>
      <c r="AT1179" s="313"/>
      <c r="AV1179" s="388" t="s">
        <v>24</v>
      </c>
      <c r="AW1179" s="698"/>
      <c r="AX1179" s="19"/>
      <c r="AY1179" s="19"/>
      <c r="AZ1179" s="19"/>
      <c r="BB1179" s="2"/>
      <c r="BC1179" s="2"/>
      <c r="BD1179" s="40"/>
      <c r="BE1179" s="39"/>
      <c r="BH1179" s="39"/>
    </row>
    <row r="1180" spans="1:60" ht="15" customHeight="1">
      <c r="A1180" s="11"/>
      <c r="B1180" s="312"/>
      <c r="C1180" s="347"/>
      <c r="D1180" s="358"/>
      <c r="E1180" s="348"/>
      <c r="F1180" s="348"/>
      <c r="G1180" s="348"/>
      <c r="H1180" s="348"/>
      <c r="I1180" s="348"/>
      <c r="J1180" s="348"/>
      <c r="K1180" s="348"/>
      <c r="L1180" s="348"/>
      <c r="M1180" s="348"/>
      <c r="N1180" s="348"/>
      <c r="O1180" s="348"/>
      <c r="P1180" s="348"/>
      <c r="Q1180" s="348"/>
      <c r="R1180" s="348"/>
      <c r="S1180" s="348"/>
      <c r="T1180" s="348"/>
      <c r="U1180" s="348"/>
      <c r="V1180" s="348"/>
      <c r="W1180" s="348"/>
      <c r="X1180" s="348"/>
      <c r="Y1180" s="348"/>
      <c r="Z1180" s="348"/>
      <c r="AA1180" s="348"/>
      <c r="AB1180" s="348"/>
      <c r="AC1180" s="348"/>
      <c r="AD1180" s="343"/>
      <c r="AE1180" s="343"/>
      <c r="AF1180" s="343"/>
      <c r="AG1180" s="343"/>
      <c r="AH1180" s="942"/>
      <c r="AI1180" s="942"/>
      <c r="AJ1180" s="942"/>
      <c r="AK1180" s="942"/>
      <c r="AL1180" s="942"/>
      <c r="AM1180" s="942"/>
      <c r="AN1180" s="942"/>
      <c r="AO1180" s="942"/>
      <c r="AP1180" s="942"/>
      <c r="AQ1180" s="942"/>
      <c r="AR1180" s="942"/>
      <c r="AS1180" s="942"/>
      <c r="AT1180" s="313"/>
      <c r="AV1180" s="388"/>
      <c r="AW1180" s="698"/>
      <c r="AX1180" s="19"/>
      <c r="AY1180" s="19"/>
      <c r="AZ1180" s="19"/>
      <c r="BB1180" s="2"/>
      <c r="BC1180" s="2"/>
      <c r="BD1180" s="40"/>
      <c r="BE1180" s="39"/>
      <c r="BH1180" s="39"/>
    </row>
    <row r="1181" spans="1:60" ht="22.5" customHeight="1">
      <c r="A1181" s="11"/>
      <c r="B1181" s="312"/>
      <c r="C1181" s="347"/>
      <c r="D1181" s="342"/>
      <c r="E1181" s="2250" t="s">
        <v>1119</v>
      </c>
      <c r="F1181" s="2251"/>
      <c r="G1181" s="2251"/>
      <c r="H1181" s="2251"/>
      <c r="I1181" s="2251"/>
      <c r="J1181" s="2251"/>
      <c r="K1181" s="2251"/>
      <c r="L1181" s="2251"/>
      <c r="M1181" s="2251"/>
      <c r="N1181" s="2251"/>
      <c r="O1181" s="2251"/>
      <c r="P1181" s="2251"/>
      <c r="Q1181" s="2251"/>
      <c r="R1181" s="2251"/>
      <c r="S1181" s="2251"/>
      <c r="T1181" s="2251"/>
      <c r="U1181" s="2251"/>
      <c r="V1181" s="2251"/>
      <c r="W1181" s="2251"/>
      <c r="X1181" s="2251"/>
      <c r="Y1181" s="2251"/>
      <c r="Z1181" s="2251"/>
      <c r="AA1181" s="2251"/>
      <c r="AB1181" s="2251"/>
      <c r="AC1181" s="2251"/>
      <c r="AD1181" s="2251"/>
      <c r="AE1181" s="2251"/>
      <c r="AF1181" s="2251"/>
      <c r="AG1181" s="2251"/>
      <c r="AH1181" s="2251"/>
      <c r="AI1181" s="2251"/>
      <c r="AJ1181" s="2251"/>
      <c r="AK1181" s="2251"/>
      <c r="AL1181" s="2251"/>
      <c r="AM1181" s="2251"/>
      <c r="AN1181" s="2251"/>
      <c r="AO1181" s="2251"/>
      <c r="AP1181" s="2251"/>
      <c r="AQ1181" s="2251"/>
      <c r="AR1181" s="942"/>
      <c r="AS1181" s="942"/>
      <c r="AT1181" s="313"/>
      <c r="AV1181" s="388" t="s">
        <v>9</v>
      </c>
      <c r="AW1181" s="698"/>
      <c r="AX1181" s="19"/>
      <c r="AY1181" s="19"/>
      <c r="AZ1181" s="19"/>
      <c r="BB1181" s="2"/>
      <c r="BC1181" s="2"/>
      <c r="BD1181" s="40"/>
      <c r="BE1181" s="39"/>
      <c r="BH1181" s="39"/>
    </row>
    <row r="1182" spans="1:60" ht="15" customHeight="1">
      <c r="A1182" s="11"/>
      <c r="B1182" s="312"/>
      <c r="C1182" s="347"/>
      <c r="D1182" s="358"/>
      <c r="E1182" s="348"/>
      <c r="F1182" s="348"/>
      <c r="G1182" s="348"/>
      <c r="H1182" s="348"/>
      <c r="I1182" s="348"/>
      <c r="J1182" s="348"/>
      <c r="K1182" s="348"/>
      <c r="L1182" s="348"/>
      <c r="M1182" s="348"/>
      <c r="N1182" s="348"/>
      <c r="O1182" s="348"/>
      <c r="P1182" s="348"/>
      <c r="Q1182" s="348"/>
      <c r="R1182" s="348"/>
      <c r="S1182" s="348"/>
      <c r="T1182" s="348"/>
      <c r="U1182" s="348"/>
      <c r="V1182" s="348"/>
      <c r="W1182" s="348"/>
      <c r="X1182" s="348"/>
      <c r="Y1182" s="348"/>
      <c r="Z1182" s="348"/>
      <c r="AA1182" s="348"/>
      <c r="AB1182" s="348"/>
      <c r="AC1182" s="348"/>
      <c r="AD1182" s="343"/>
      <c r="AE1182" s="343"/>
      <c r="AF1182" s="343"/>
      <c r="AG1182" s="343"/>
      <c r="AH1182" s="942"/>
      <c r="AI1182" s="942"/>
      <c r="AJ1182" s="942"/>
      <c r="AK1182" s="942"/>
      <c r="AL1182" s="942"/>
      <c r="AM1182" s="942"/>
      <c r="AN1182" s="942"/>
      <c r="AO1182" s="942"/>
      <c r="AP1182" s="942"/>
      <c r="AQ1182" s="942"/>
      <c r="AR1182" s="942"/>
      <c r="AS1182" s="942"/>
      <c r="AT1182" s="313"/>
      <c r="AV1182" s="388"/>
      <c r="AW1182" s="698"/>
      <c r="AX1182" s="19"/>
      <c r="AY1182" s="19"/>
      <c r="AZ1182" s="19"/>
      <c r="BB1182" s="2"/>
      <c r="BC1182" s="2"/>
      <c r="BD1182" s="40"/>
      <c r="BE1182" s="39"/>
      <c r="BH1182" s="39"/>
    </row>
    <row r="1183" spans="1:60" ht="22.5" customHeight="1">
      <c r="A1183" s="11"/>
      <c r="B1183" s="312"/>
      <c r="C1183" s="347"/>
      <c r="D1183" s="342"/>
      <c r="E1183" s="2250" t="s">
        <v>1117</v>
      </c>
      <c r="F1183" s="2251"/>
      <c r="G1183" s="2251"/>
      <c r="H1183" s="2251"/>
      <c r="I1183" s="2251"/>
      <c r="J1183" s="2251"/>
      <c r="K1183" s="2251"/>
      <c r="L1183" s="2251"/>
      <c r="M1183" s="2251"/>
      <c r="N1183" s="2251"/>
      <c r="O1183" s="2251"/>
      <c r="P1183" s="2251"/>
      <c r="Q1183" s="2251"/>
      <c r="R1183" s="2251"/>
      <c r="S1183" s="2251"/>
      <c r="T1183" s="2251"/>
      <c r="U1183" s="2251"/>
      <c r="V1183" s="2251"/>
      <c r="W1183" s="2251"/>
      <c r="X1183" s="2251"/>
      <c r="Y1183" s="2251"/>
      <c r="Z1183" s="2251"/>
      <c r="AA1183" s="2251"/>
      <c r="AB1183" s="2251"/>
      <c r="AC1183" s="2251"/>
      <c r="AD1183" s="2251"/>
      <c r="AE1183" s="2251"/>
      <c r="AF1183" s="2251"/>
      <c r="AG1183" s="2251"/>
      <c r="AH1183" s="2251"/>
      <c r="AI1183" s="2251"/>
      <c r="AJ1183" s="2251"/>
      <c r="AK1183" s="2251"/>
      <c r="AL1183" s="2251"/>
      <c r="AM1183" s="2251"/>
      <c r="AN1183" s="2251"/>
      <c r="AO1183" s="2251"/>
      <c r="AP1183" s="2251"/>
      <c r="AQ1183" s="2251"/>
      <c r="AR1183" s="942"/>
      <c r="AS1183" s="942"/>
      <c r="AT1183" s="313"/>
      <c r="AV1183" s="388" t="s">
        <v>9</v>
      </c>
      <c r="AW1183" s="698"/>
      <c r="AX1183" s="19"/>
      <c r="AY1183" s="19"/>
      <c r="AZ1183" s="19"/>
      <c r="BB1183" s="2"/>
      <c r="BC1183" s="2"/>
      <c r="BD1183" s="40"/>
      <c r="BE1183" s="39"/>
      <c r="BH1183" s="39"/>
    </row>
    <row r="1184" spans="1:60" ht="15" customHeight="1">
      <c r="A1184" s="11"/>
      <c r="B1184" s="312"/>
      <c r="C1184" s="347"/>
      <c r="D1184" s="358"/>
      <c r="E1184" s="348"/>
      <c r="F1184" s="348"/>
      <c r="G1184" s="348"/>
      <c r="H1184" s="348"/>
      <c r="I1184" s="348"/>
      <c r="J1184" s="348"/>
      <c r="K1184" s="348"/>
      <c r="L1184" s="348"/>
      <c r="M1184" s="348"/>
      <c r="N1184" s="348"/>
      <c r="O1184" s="348"/>
      <c r="P1184" s="348"/>
      <c r="Q1184" s="348"/>
      <c r="R1184" s="348"/>
      <c r="S1184" s="348"/>
      <c r="T1184" s="348"/>
      <c r="U1184" s="348"/>
      <c r="V1184" s="348"/>
      <c r="W1184" s="348"/>
      <c r="X1184" s="348"/>
      <c r="Y1184" s="348"/>
      <c r="Z1184" s="348"/>
      <c r="AA1184" s="348"/>
      <c r="AB1184" s="348"/>
      <c r="AC1184" s="348"/>
      <c r="AD1184" s="343"/>
      <c r="AE1184" s="343"/>
      <c r="AF1184" s="343"/>
      <c r="AG1184" s="343"/>
      <c r="AH1184" s="942"/>
      <c r="AI1184" s="942"/>
      <c r="AJ1184" s="942"/>
      <c r="AK1184" s="942"/>
      <c r="AL1184" s="942"/>
      <c r="AM1184" s="942"/>
      <c r="AN1184" s="942"/>
      <c r="AO1184" s="942"/>
      <c r="AP1184" s="942"/>
      <c r="AQ1184" s="942"/>
      <c r="AR1184" s="942"/>
      <c r="AS1184" s="942"/>
      <c r="AT1184" s="313"/>
      <c r="AV1184" s="388"/>
      <c r="AW1184" s="698"/>
      <c r="AX1184" s="19"/>
      <c r="AY1184" s="19"/>
      <c r="AZ1184" s="19"/>
      <c r="BB1184" s="2"/>
      <c r="BC1184" s="2"/>
      <c r="BD1184" s="40"/>
      <c r="BE1184" s="39"/>
      <c r="BH1184" s="39"/>
    </row>
    <row r="1185" spans="1:66" ht="22.5" customHeight="1">
      <c r="A1185" s="11"/>
      <c r="B1185" s="312"/>
      <c r="C1185" s="347"/>
      <c r="D1185" s="342"/>
      <c r="E1185" s="2438" t="s">
        <v>1123</v>
      </c>
      <c r="F1185" s="2438"/>
      <c r="G1185" s="2438"/>
      <c r="H1185" s="2438"/>
      <c r="I1185" s="2438"/>
      <c r="J1185" s="2438"/>
      <c r="K1185" s="2438"/>
      <c r="L1185" s="2438"/>
      <c r="M1185" s="2438"/>
      <c r="N1185" s="2438"/>
      <c r="O1185" s="2438"/>
      <c r="P1185" s="2438"/>
      <c r="Q1185" s="2438"/>
      <c r="R1185" s="2438"/>
      <c r="S1185" s="2438"/>
      <c r="T1185" s="2438"/>
      <c r="U1185" s="2438"/>
      <c r="V1185" s="2438"/>
      <c r="W1185" s="2438"/>
      <c r="X1185" s="2438"/>
      <c r="Y1185" s="2438"/>
      <c r="Z1185" s="2438"/>
      <c r="AA1185" s="2438"/>
      <c r="AB1185" s="2438"/>
      <c r="AC1185" s="2438"/>
      <c r="AD1185" s="2438"/>
      <c r="AE1185" s="2438"/>
      <c r="AF1185" s="2438"/>
      <c r="AG1185" s="2438"/>
      <c r="AH1185" s="2438"/>
      <c r="AI1185" s="2438"/>
      <c r="AJ1185" s="2438"/>
      <c r="AK1185" s="2438"/>
      <c r="AL1185" s="2438"/>
      <c r="AM1185" s="2438"/>
      <c r="AN1185" s="2438"/>
      <c r="AO1185" s="2438"/>
      <c r="AP1185" s="2438"/>
      <c r="AQ1185" s="2438"/>
      <c r="AR1185" s="942"/>
      <c r="AS1185" s="942"/>
      <c r="AT1185" s="313"/>
      <c r="AV1185" s="388" t="s">
        <v>9</v>
      </c>
      <c r="AW1185" s="698"/>
      <c r="AX1185" s="19"/>
      <c r="AY1185" s="19"/>
      <c r="AZ1185" s="19"/>
      <c r="BB1185" s="2"/>
      <c r="BC1185" s="2"/>
      <c r="BD1185" s="40"/>
      <c r="BE1185" s="39"/>
      <c r="BH1185" s="39"/>
    </row>
    <row r="1186" spans="1:66" ht="22.5" customHeight="1">
      <c r="A1186" s="11"/>
      <c r="B1186" s="312"/>
      <c r="C1186" s="347"/>
      <c r="D1186" s="347"/>
      <c r="E1186" s="2438"/>
      <c r="F1186" s="2438"/>
      <c r="G1186" s="2438"/>
      <c r="H1186" s="2438"/>
      <c r="I1186" s="2438"/>
      <c r="J1186" s="2438"/>
      <c r="K1186" s="2438"/>
      <c r="L1186" s="2438"/>
      <c r="M1186" s="2438"/>
      <c r="N1186" s="2438"/>
      <c r="O1186" s="2438"/>
      <c r="P1186" s="2438"/>
      <c r="Q1186" s="2438"/>
      <c r="R1186" s="2438"/>
      <c r="S1186" s="2438"/>
      <c r="T1186" s="2438"/>
      <c r="U1186" s="2438"/>
      <c r="V1186" s="2438"/>
      <c r="W1186" s="2438"/>
      <c r="X1186" s="2438"/>
      <c r="Y1186" s="2438"/>
      <c r="Z1186" s="2438"/>
      <c r="AA1186" s="2438"/>
      <c r="AB1186" s="2438"/>
      <c r="AC1186" s="2438"/>
      <c r="AD1186" s="2438"/>
      <c r="AE1186" s="2438"/>
      <c r="AF1186" s="2438"/>
      <c r="AG1186" s="2438"/>
      <c r="AH1186" s="2438"/>
      <c r="AI1186" s="2438"/>
      <c r="AJ1186" s="2438"/>
      <c r="AK1186" s="2438"/>
      <c r="AL1186" s="2438"/>
      <c r="AM1186" s="2438"/>
      <c r="AN1186" s="2438"/>
      <c r="AO1186" s="2438"/>
      <c r="AP1186" s="2438"/>
      <c r="AQ1186" s="2438"/>
      <c r="AR1186" s="942"/>
      <c r="AS1186" s="942"/>
      <c r="AT1186" s="313"/>
      <c r="AV1186" s="388"/>
      <c r="AW1186" s="698"/>
      <c r="AX1186" s="19"/>
      <c r="AY1186" s="19"/>
      <c r="AZ1186" s="19"/>
      <c r="BB1186" s="2"/>
      <c r="BC1186" s="2"/>
      <c r="BD1186" s="40"/>
      <c r="BE1186" s="39"/>
      <c r="BH1186" s="39"/>
    </row>
    <row r="1187" spans="1:66" ht="16" thickBot="1">
      <c r="A1187" s="11"/>
      <c r="B1187" s="339"/>
      <c r="C1187" s="332"/>
      <c r="D1187" s="332"/>
      <c r="E1187" s="389"/>
      <c r="F1187" s="389"/>
      <c r="G1187" s="336"/>
      <c r="H1187" s="336"/>
      <c r="I1187" s="336"/>
      <c r="J1187" s="336"/>
      <c r="K1187" s="336"/>
      <c r="L1187" s="336"/>
      <c r="M1187" s="336"/>
      <c r="N1187" s="336"/>
      <c r="O1187" s="336"/>
      <c r="P1187" s="336"/>
      <c r="Q1187" s="336"/>
      <c r="R1187" s="336"/>
      <c r="S1187" s="336"/>
      <c r="T1187" s="390"/>
      <c r="U1187" s="390"/>
      <c r="V1187" s="390"/>
      <c r="W1187" s="390"/>
      <c r="X1187" s="390"/>
      <c r="Y1187" s="390"/>
      <c r="Z1187" s="390"/>
      <c r="AA1187" s="390"/>
      <c r="AB1187" s="390"/>
      <c r="AC1187" s="390"/>
      <c r="AD1187" s="391"/>
      <c r="AE1187" s="391"/>
      <c r="AF1187" s="391"/>
      <c r="AG1187" s="391"/>
      <c r="AH1187" s="391"/>
      <c r="AI1187" s="391"/>
      <c r="AJ1187" s="391"/>
      <c r="AK1187" s="391"/>
      <c r="AL1187" s="391"/>
      <c r="AM1187" s="391"/>
      <c r="AN1187" s="391"/>
      <c r="AO1187" s="391"/>
      <c r="AP1187" s="391"/>
      <c r="AQ1187" s="391"/>
      <c r="AR1187" s="391"/>
      <c r="AS1187" s="391"/>
      <c r="AT1187" s="392"/>
      <c r="AV1187" s="388" t="s">
        <v>18</v>
      </c>
      <c r="AW1187" s="698"/>
      <c r="AX1187" s="19"/>
      <c r="AY1187" s="19"/>
      <c r="AZ1187" s="19"/>
      <c r="BB1187" s="2"/>
      <c r="BC1187" s="2"/>
      <c r="BD1187" s="40"/>
      <c r="BE1187" s="39"/>
      <c r="BH1187" s="39"/>
    </row>
    <row r="1188" spans="1:66">
      <c r="A1188" s="11"/>
      <c r="AV1188" s="388" t="s">
        <v>65</v>
      </c>
      <c r="AW1188" s="698"/>
      <c r="AX1188" s="19"/>
      <c r="AY1188" s="19"/>
      <c r="AZ1188" s="19"/>
      <c r="BB1188" s="2"/>
      <c r="BC1188" s="2"/>
      <c r="BD1188" s="40"/>
      <c r="BE1188" s="39"/>
      <c r="BH1188" s="39"/>
    </row>
    <row r="1189" spans="1:66" hidden="1">
      <c r="A1189" s="11"/>
      <c r="AV1189" s="388" t="s">
        <v>7</v>
      </c>
      <c r="AW1189" s="698"/>
      <c r="AX1189" s="19"/>
      <c r="AY1189" s="19"/>
      <c r="AZ1189" s="19"/>
      <c r="BB1189" s="2"/>
      <c r="BC1189" s="2"/>
      <c r="BD1189" s="40"/>
      <c r="BE1189" s="39"/>
      <c r="BH1189" s="39"/>
    </row>
    <row r="1190" spans="1:66" hidden="1">
      <c r="A1190" s="11"/>
      <c r="AV1190" s="388" t="s">
        <v>215</v>
      </c>
      <c r="AW1190" s="698"/>
      <c r="AX1190" s="19"/>
      <c r="AY1190" s="19"/>
      <c r="AZ1190" s="19"/>
      <c r="BB1190" s="2"/>
      <c r="BC1190" s="2"/>
      <c r="BD1190" s="40"/>
      <c r="BE1190" s="39"/>
      <c r="BH1190" s="39"/>
    </row>
    <row r="1191" spans="1:66" hidden="1">
      <c r="A1191" s="11"/>
      <c r="E1191" s="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V1191" s="388" t="s">
        <v>448</v>
      </c>
      <c r="AW1191" s="698"/>
      <c r="AX1191" s="19"/>
      <c r="AY1191" s="19"/>
      <c r="AZ1191" s="19"/>
      <c r="BB1191" s="2"/>
      <c r="BC1191" s="2"/>
      <c r="BD1191" s="40"/>
      <c r="BE1191" s="39"/>
      <c r="BH1191" s="39"/>
    </row>
    <row r="1192" spans="1:66" hidden="1">
      <c r="A1192" s="11"/>
      <c r="B1192" s="946" t="s">
        <v>3</v>
      </c>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V1192" s="19"/>
      <c r="AW1192" s="698"/>
      <c r="AX1192" s="19"/>
      <c r="AY1192" s="19"/>
      <c r="AZ1192" s="19"/>
      <c r="BA1192" s="18"/>
      <c r="BB1192" s="18"/>
      <c r="BC1192" s="18"/>
      <c r="BD1192" s="18"/>
      <c r="BE1192" s="18"/>
      <c r="BH1192" s="39"/>
    </row>
    <row r="1193" spans="1:66" hidden="1">
      <c r="A1193" s="11"/>
      <c r="B1193" s="946" t="s">
        <v>2</v>
      </c>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V1193" s="19"/>
      <c r="AW1193" s="698"/>
      <c r="AX1193" s="19"/>
      <c r="AY1193" s="19"/>
      <c r="AZ1193" s="19"/>
      <c r="BA1193" s="18"/>
      <c r="BB1193" s="18"/>
      <c r="BC1193" s="18"/>
      <c r="BD1193" s="18"/>
      <c r="BE1193" s="18"/>
      <c r="BH1193" s="39"/>
    </row>
    <row r="1194" spans="1:66" hidden="1">
      <c r="A1194" s="11"/>
      <c r="B1194" s="946" t="s">
        <v>12</v>
      </c>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V1194" s="19"/>
      <c r="AW1194" s="698"/>
      <c r="AX1194" s="19"/>
      <c r="AY1194" s="19"/>
      <c r="AZ1194" s="19"/>
      <c r="BA1194" s="18"/>
      <c r="BB1194" s="18"/>
      <c r="BC1194" s="18"/>
      <c r="BD1194" s="18"/>
      <c r="BE1194" s="18"/>
      <c r="BH1194" s="39"/>
    </row>
    <row r="1195" spans="1:66" hidden="1">
      <c r="A1195" s="11"/>
      <c r="B1195" s="946" t="s">
        <v>11</v>
      </c>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V1195" s="19"/>
      <c r="AW1195" s="698"/>
      <c r="AX1195" s="19"/>
      <c r="AY1195" s="19"/>
      <c r="AZ1195" s="19"/>
      <c r="BA1195" s="18"/>
      <c r="BB1195" s="18"/>
      <c r="BC1195" s="18"/>
      <c r="BD1195" s="18"/>
      <c r="BE1195" s="18"/>
      <c r="BH1195" s="39"/>
    </row>
    <row r="1196" spans="1:66" hidden="1">
      <c r="A1196" s="11"/>
      <c r="B1196" s="946" t="s">
        <v>24</v>
      </c>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V1196" s="19"/>
      <c r="AW1196" s="698"/>
      <c r="AX1196" s="19"/>
      <c r="AY1196" s="19"/>
      <c r="AZ1196" s="19"/>
      <c r="BA1196" s="18"/>
      <c r="BB1196" s="18"/>
      <c r="BC1196" s="18"/>
      <c r="BD1196" s="18"/>
      <c r="BE1196" s="18"/>
      <c r="BH1196" s="39"/>
    </row>
    <row r="1197" spans="1:66" hidden="1">
      <c r="A1197" s="11"/>
      <c r="B1197" s="946" t="s">
        <v>625</v>
      </c>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V1197" s="19"/>
      <c r="AW1197" s="698"/>
      <c r="AX1197" s="19"/>
      <c r="AY1197" s="19"/>
      <c r="AZ1197" s="19"/>
      <c r="BA1197" s="18"/>
      <c r="BB1197" s="18"/>
      <c r="BC1197" s="18"/>
      <c r="BD1197" s="18"/>
      <c r="BE1197" s="18"/>
      <c r="BH1197" s="39"/>
      <c r="BL1197" s="135"/>
      <c r="BM1197" s="136" t="s">
        <v>468</v>
      </c>
      <c r="BN1197" s="136" t="s">
        <v>467</v>
      </c>
    </row>
    <row r="1198" spans="1:66" hidden="1">
      <c r="A1198" s="11"/>
      <c r="B1198" s="946" t="s">
        <v>9</v>
      </c>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V1198" s="19"/>
      <c r="AW1198" s="698"/>
      <c r="AX1198" s="19"/>
      <c r="AY1198" s="19"/>
      <c r="AZ1198" s="19"/>
      <c r="BA1198" s="18"/>
      <c r="BB1198" s="18"/>
      <c r="BC1198" s="18"/>
      <c r="BD1198" s="18"/>
      <c r="BE1198" s="18"/>
      <c r="BH1198" s="39"/>
      <c r="BI1198" s="44" t="str">
        <f t="shared" ref="BI1198:BI1205" si="820">CONCATENATE(N75," ","BUDGET")</f>
        <v>GENERAL CONDITIONS BUDGET</v>
      </c>
      <c r="BL1198" s="135" t="str">
        <f>N75</f>
        <v>GENERAL CONDITIONS</v>
      </c>
      <c r="BM1198" s="135">
        <f>BI129</f>
        <v>0</v>
      </c>
      <c r="BN1198" s="135">
        <f>BK129</f>
        <v>0</v>
      </c>
    </row>
    <row r="1199" spans="1:66" hidden="1">
      <c r="A1199" s="11"/>
      <c r="B1199" s="946" t="s">
        <v>18</v>
      </c>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V1199" s="19"/>
      <c r="AW1199" s="698"/>
      <c r="AX1199" s="19"/>
      <c r="AY1199" s="19"/>
      <c r="AZ1199" s="19"/>
      <c r="BA1199" s="18"/>
      <c r="BB1199" s="18"/>
      <c r="BC1199" s="18"/>
      <c r="BD1199" s="18"/>
      <c r="BE1199" s="18"/>
      <c r="BH1199" s="39"/>
      <c r="BI1199" s="44" t="str">
        <f t="shared" si="820"/>
        <v>DEMOLITION BUDGET</v>
      </c>
      <c r="BL1199" s="135" t="str">
        <f t="shared" ref="BL1199:BL1205" si="821">N76</f>
        <v>DEMOLITION</v>
      </c>
      <c r="BM1199" s="135">
        <f>BI174</f>
        <v>0</v>
      </c>
      <c r="BN1199" s="135">
        <f>BK174</f>
        <v>0</v>
      </c>
    </row>
    <row r="1200" spans="1:66" hidden="1">
      <c r="A1200" s="11"/>
      <c r="B1200" s="946" t="s">
        <v>622</v>
      </c>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V1200" s="19"/>
      <c r="AW1200" s="698"/>
      <c r="AX1200" s="19"/>
      <c r="AY1200" s="19"/>
      <c r="AZ1200" s="19"/>
      <c r="BA1200" s="18"/>
      <c r="BB1200" s="18"/>
      <c r="BC1200" s="18"/>
      <c r="BD1200" s="18"/>
      <c r="BE1200" s="18"/>
      <c r="BH1200" s="39"/>
      <c r="BI1200" s="44" t="str">
        <f t="shared" si="820"/>
        <v>STRUCTURAL CONCRETE BUDGET</v>
      </c>
      <c r="BL1200" s="135" t="str">
        <f t="shared" si="821"/>
        <v>STRUCTURAL CONCRETE</v>
      </c>
      <c r="BM1200" s="135">
        <f>BI219</f>
        <v>0</v>
      </c>
      <c r="BN1200" s="135">
        <f>BK219</f>
        <v>0</v>
      </c>
    </row>
    <row r="1201" spans="1:66" hidden="1">
      <c r="A1201" s="11"/>
      <c r="B1201" s="946" t="s">
        <v>623</v>
      </c>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V1201" s="19"/>
      <c r="AW1201" s="698"/>
      <c r="AX1201" s="19"/>
      <c r="AY1201" s="19"/>
      <c r="AZ1201" s="19"/>
      <c r="BA1201" s="18"/>
      <c r="BB1201" s="18"/>
      <c r="BC1201" s="18"/>
      <c r="BD1201" s="18"/>
      <c r="BE1201" s="18"/>
      <c r="BH1201" s="39"/>
      <c r="BI1201" s="44" t="str">
        <f t="shared" si="820"/>
        <v>CONCRETE &amp; FLATWORK BUDGET</v>
      </c>
      <c r="BL1201" s="135" t="str">
        <f t="shared" si="821"/>
        <v>CONCRETE &amp; FLATWORK</v>
      </c>
      <c r="BM1201" s="135">
        <f>BI264</f>
        <v>0</v>
      </c>
      <c r="BN1201" s="135">
        <f>BK264</f>
        <v>0</v>
      </c>
    </row>
    <row r="1202" spans="1:66" hidden="1">
      <c r="A1202" s="11"/>
      <c r="B1202" s="946" t="s">
        <v>215</v>
      </c>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V1202" s="19"/>
      <c r="AW1202" s="698"/>
      <c r="AX1202" s="19"/>
      <c r="AY1202" s="19"/>
      <c r="AZ1202" s="19"/>
      <c r="BA1202" s="18"/>
      <c r="BB1202" s="18"/>
      <c r="BC1202" s="18"/>
      <c r="BD1202" s="18"/>
      <c r="BE1202" s="18"/>
      <c r="BH1202" s="39"/>
      <c r="BI1202" s="44" t="str">
        <f t="shared" si="820"/>
        <v>MASONRY BUDGET</v>
      </c>
      <c r="BL1202" s="135" t="str">
        <f t="shared" si="821"/>
        <v>MASONRY</v>
      </c>
      <c r="BM1202" s="135">
        <f>BI309</f>
        <v>0</v>
      </c>
      <c r="BN1202" s="135">
        <f>BK309</f>
        <v>0</v>
      </c>
    </row>
    <row r="1203" spans="1:66" hidden="1">
      <c r="A1203" s="11"/>
      <c r="B1203" s="946" t="s">
        <v>624</v>
      </c>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V1203" s="19"/>
      <c r="AW1203" s="698"/>
      <c r="AX1203" s="19"/>
      <c r="AY1203" s="19"/>
      <c r="AZ1203" s="19"/>
      <c r="BA1203" s="18"/>
      <c r="BB1203" s="18"/>
      <c r="BC1203" s="18"/>
      <c r="BD1203" s="18"/>
      <c r="BE1203" s="18"/>
      <c r="BH1203" s="39"/>
      <c r="BI1203" s="44" t="str">
        <f t="shared" si="820"/>
        <v>SIDING BUDGET</v>
      </c>
      <c r="BL1203" s="135" t="str">
        <f t="shared" si="821"/>
        <v>SIDING</v>
      </c>
      <c r="BM1203" s="135">
        <f>BI354</f>
        <v>0</v>
      </c>
      <c r="BN1203" s="135">
        <f>BK354</f>
        <v>0</v>
      </c>
    </row>
    <row r="1204" spans="1:66" hidden="1">
      <c r="A1204" s="11"/>
      <c r="E1204" s="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V1204" s="19"/>
      <c r="AW1204" s="698"/>
      <c r="AX1204" s="19"/>
      <c r="AY1204" s="19"/>
      <c r="AZ1204" s="19"/>
      <c r="BA1204" s="18"/>
      <c r="BB1204" s="18"/>
      <c r="BC1204" s="18"/>
      <c r="BD1204" s="18"/>
      <c r="BE1204" s="18"/>
      <c r="BH1204" s="39"/>
      <c r="BI1204" s="44" t="str">
        <f t="shared" si="820"/>
        <v>DECKING AND PATIOS BUDGET</v>
      </c>
      <c r="BL1204" s="135" t="str">
        <f t="shared" si="821"/>
        <v>DECKING AND PATIOS</v>
      </c>
      <c r="BM1204" s="135">
        <f>BI399</f>
        <v>0</v>
      </c>
      <c r="BN1204" s="135">
        <f>BK399</f>
        <v>0</v>
      </c>
    </row>
    <row r="1205" spans="1:66">
      <c r="A1205" s="11"/>
      <c r="E1205" s="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V1205" s="19"/>
      <c r="AW1205" s="698"/>
      <c r="AX1205" s="19"/>
      <c r="AY1205" s="19"/>
      <c r="AZ1205" s="19"/>
      <c r="BA1205" s="18"/>
      <c r="BB1205" s="18"/>
      <c r="BC1205" s="18"/>
      <c r="BD1205" s="18"/>
      <c r="BE1205" s="18"/>
      <c r="BH1205" s="39"/>
      <c r="BI1205" s="44" t="str">
        <f t="shared" si="820"/>
        <v>ROOFING BUDGET</v>
      </c>
      <c r="BL1205" s="135" t="str">
        <f t="shared" si="821"/>
        <v>ROOFING</v>
      </c>
      <c r="BM1205" s="135">
        <f>BI444</f>
        <v>0</v>
      </c>
      <c r="BN1205" s="135">
        <f>BK444</f>
        <v>0</v>
      </c>
    </row>
    <row r="1206" spans="1:66">
      <c r="A1206" s="11"/>
      <c r="E1206" s="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V1206" s="19"/>
      <c r="AW1206" s="698"/>
      <c r="AX1206" s="19"/>
      <c r="AY1206" s="19"/>
      <c r="AZ1206" s="19"/>
      <c r="BA1206" s="18"/>
      <c r="BB1206" s="18"/>
      <c r="BC1206" s="18"/>
      <c r="BD1206" s="18"/>
      <c r="BE1206" s="18"/>
      <c r="BG1206" s="39"/>
      <c r="BH1206" s="39"/>
      <c r="BI1206" s="44" t="str">
        <f t="shared" ref="BI1206:BI1213" si="822">CONCATENATE(Y75," ","BUDGET")</f>
        <v>EXTERIOR DOORS &amp; WINDOWS BUDGET</v>
      </c>
      <c r="BJ1206" s="39"/>
      <c r="BK1206" s="91"/>
      <c r="BL1206" s="135" t="str">
        <f>Y75</f>
        <v>EXTERIOR DOORS &amp; WINDOWS</v>
      </c>
      <c r="BM1206" s="135">
        <f>BI489</f>
        <v>0</v>
      </c>
      <c r="BN1206" s="135">
        <f>BK489</f>
        <v>0</v>
      </c>
    </row>
    <row r="1207" spans="1:66">
      <c r="A1207" s="11"/>
      <c r="E1207" s="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V1207" s="19"/>
      <c r="AW1207" s="698"/>
      <c r="AX1207" s="19"/>
      <c r="AY1207" s="19"/>
      <c r="AZ1207" s="19"/>
      <c r="BA1207" s="18"/>
      <c r="BB1207" s="18"/>
      <c r="BC1207" s="18"/>
      <c r="BD1207" s="18"/>
      <c r="BE1207" s="18"/>
      <c r="BG1207" s="39"/>
      <c r="BH1207" s="39"/>
      <c r="BI1207" s="44" t="str">
        <f t="shared" si="822"/>
        <v>GARAGE DOORS BUDGET</v>
      </c>
      <c r="BJ1207" s="39"/>
      <c r="BK1207" s="91"/>
      <c r="BL1207" s="135" t="str">
        <f t="shared" ref="BL1207:BL1213" si="823">Y76</f>
        <v>GARAGE DOORS</v>
      </c>
      <c r="BM1207" s="135">
        <f>BI534</f>
        <v>0</v>
      </c>
      <c r="BN1207" s="135">
        <f>BK534</f>
        <v>0</v>
      </c>
    </row>
    <row r="1208" spans="1:66">
      <c r="A1208" s="11"/>
      <c r="E1208" s="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V1208" s="19"/>
      <c r="AW1208" s="698"/>
      <c r="AX1208" s="19"/>
      <c r="AY1208" s="19"/>
      <c r="AZ1208" s="19"/>
      <c r="BA1208" s="18"/>
      <c r="BB1208" s="18"/>
      <c r="BC1208" s="18"/>
      <c r="BD1208" s="18"/>
      <c r="BE1208" s="18"/>
      <c r="BG1208" s="39"/>
      <c r="BH1208" s="39"/>
      <c r="BI1208" s="44" t="str">
        <f t="shared" si="822"/>
        <v>LANDSCAPING BUDGET</v>
      </c>
      <c r="BJ1208" s="39"/>
      <c r="BK1208" s="91"/>
      <c r="BL1208" s="135" t="str">
        <f t="shared" si="823"/>
        <v>LANDSCAPING</v>
      </c>
      <c r="BM1208" s="135">
        <f>BI579</f>
        <v>0</v>
      </c>
      <c r="BN1208" s="135">
        <f>BK579</f>
        <v>0</v>
      </c>
    </row>
    <row r="1209" spans="1:66">
      <c r="A1209" s="11"/>
      <c r="E1209" s="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V1209" s="19"/>
      <c r="AW1209" s="698"/>
      <c r="AX1209" s="19"/>
      <c r="AY1209" s="19"/>
      <c r="AZ1209" s="19"/>
      <c r="BA1209" s="18"/>
      <c r="BB1209" s="18"/>
      <c r="BC1209" s="18"/>
      <c r="BD1209" s="18"/>
      <c r="BE1209" s="18"/>
      <c r="BF1209" s="39"/>
      <c r="BG1209" s="39"/>
      <c r="BH1209" s="39"/>
      <c r="BI1209" s="44" t="str">
        <f t="shared" si="822"/>
        <v>MISC. EXTERIOR ITEMS BUDGET</v>
      </c>
      <c r="BJ1209" s="39"/>
      <c r="BK1209" s="91"/>
      <c r="BL1209" s="135" t="str">
        <f t="shared" si="823"/>
        <v>MISC. EXTERIOR ITEMS</v>
      </c>
      <c r="BM1209" s="135">
        <f>BI624</f>
        <v>0</v>
      </c>
      <c r="BN1209" s="135">
        <f>BK624</f>
        <v>0</v>
      </c>
    </row>
    <row r="1210" spans="1:66">
      <c r="A1210" s="11"/>
      <c r="E1210" s="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V1210" s="19"/>
      <c r="AW1210" s="698"/>
      <c r="AX1210" s="19"/>
      <c r="AY1210" s="19"/>
      <c r="AZ1210" s="19"/>
      <c r="BA1210" s="18"/>
      <c r="BB1210" s="18"/>
      <c r="BC1210" s="18"/>
      <c r="BD1210" s="18"/>
      <c r="BE1210" s="18"/>
      <c r="BF1210" s="39"/>
      <c r="BG1210" s="39"/>
      <c r="BH1210" s="39"/>
      <c r="BI1210" s="44" t="str">
        <f t="shared" si="822"/>
        <v>FRAMING &amp; DRYWALL BUDGET</v>
      </c>
      <c r="BJ1210" s="39"/>
      <c r="BK1210" s="91"/>
      <c r="BL1210" s="135" t="str">
        <f t="shared" si="823"/>
        <v>FRAMING &amp; DRYWALL</v>
      </c>
      <c r="BM1210" s="135">
        <f>BI669</f>
        <v>0</v>
      </c>
      <c r="BN1210" s="135">
        <f>BK669</f>
        <v>0</v>
      </c>
    </row>
    <row r="1211" spans="1:66">
      <c r="A1211" s="11"/>
      <c r="E1211" s="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V1211" s="19"/>
      <c r="AW1211" s="698"/>
      <c r="AX1211" s="19"/>
      <c r="AY1211" s="19"/>
      <c r="AZ1211" s="19"/>
      <c r="BA1211" s="18"/>
      <c r="BB1211" s="18"/>
      <c r="BC1211" s="18"/>
      <c r="BD1211" s="18"/>
      <c r="BE1211" s="18"/>
      <c r="BF1211" s="39"/>
      <c r="BG1211" s="39"/>
      <c r="BH1211" s="39"/>
      <c r="BI1211" s="44" t="str">
        <f t="shared" si="822"/>
        <v>CABINETS &amp; COUNTERTOPS BUDGET</v>
      </c>
      <c r="BJ1211" s="39"/>
      <c r="BK1211" s="91"/>
      <c r="BL1211" s="135" t="str">
        <f t="shared" si="823"/>
        <v>CABINETS &amp; COUNTERTOPS</v>
      </c>
      <c r="BM1211" s="135">
        <f>BI714</f>
        <v>0</v>
      </c>
      <c r="BN1211" s="135">
        <f>BK714</f>
        <v>0</v>
      </c>
    </row>
    <row r="1212" spans="1:66">
      <c r="A1212" s="11"/>
      <c r="E1212" s="2"/>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V1212" s="19"/>
      <c r="AW1212" s="698"/>
      <c r="AX1212" s="19"/>
      <c r="AY1212" s="19"/>
      <c r="AZ1212" s="19"/>
      <c r="BA1212" s="18"/>
      <c r="BB1212" s="18"/>
      <c r="BC1212" s="18"/>
      <c r="BD1212" s="18"/>
      <c r="BE1212" s="18"/>
      <c r="BF1212" s="39"/>
      <c r="BG1212" s="39"/>
      <c r="BH1212" s="39"/>
      <c r="BI1212" s="44" t="str">
        <f t="shared" si="822"/>
        <v>DOORS &amp; TRIM BUDGET</v>
      </c>
      <c r="BJ1212" s="39"/>
      <c r="BK1212" s="91"/>
      <c r="BL1212" s="135" t="str">
        <f t="shared" si="823"/>
        <v>DOORS &amp; TRIM</v>
      </c>
      <c r="BM1212" s="135">
        <f>BI759</f>
        <v>0</v>
      </c>
      <c r="BN1212" s="135">
        <f>BK759</f>
        <v>0</v>
      </c>
    </row>
    <row r="1213" spans="1:66">
      <c r="A1213" s="11"/>
      <c r="E1213" s="2"/>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V1213" s="19"/>
      <c r="AW1213" s="698"/>
      <c r="AX1213" s="19"/>
      <c r="AY1213" s="19"/>
      <c r="AZ1213" s="19"/>
      <c r="BA1213" s="18"/>
      <c r="BB1213" s="18"/>
      <c r="BC1213" s="18"/>
      <c r="BD1213" s="18"/>
      <c r="BE1213" s="18"/>
      <c r="BF1213" s="39"/>
      <c r="BG1213" s="39"/>
      <c r="BH1213" s="39"/>
      <c r="BI1213" s="44" t="str">
        <f t="shared" si="822"/>
        <v>CARPET &amp; RESILIENT BUDGET</v>
      </c>
      <c r="BJ1213" s="39"/>
      <c r="BK1213" s="91"/>
      <c r="BL1213" s="135" t="str">
        <f t="shared" si="823"/>
        <v>CARPET &amp; RESILIENT</v>
      </c>
      <c r="BM1213" s="135">
        <f>BI804</f>
        <v>0</v>
      </c>
      <c r="BN1213" s="135">
        <f>BK804</f>
        <v>0</v>
      </c>
    </row>
    <row r="1214" spans="1:66">
      <c r="A1214" s="11"/>
      <c r="E1214" s="2"/>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V1214" s="19"/>
      <c r="AW1214" s="698"/>
      <c r="AX1214" s="19"/>
      <c r="AY1214" s="19"/>
      <c r="AZ1214" s="19"/>
      <c r="BA1214" s="18"/>
      <c r="BB1214" s="18"/>
      <c r="BC1214" s="18"/>
      <c r="BD1214" s="18"/>
      <c r="BE1214" s="18"/>
      <c r="BF1214" s="39"/>
      <c r="BG1214" s="39"/>
      <c r="BH1214" s="39"/>
      <c r="BI1214" s="44" t="str">
        <f t="shared" ref="BI1214:BI1221" si="824">CONCATENATE(AJ75," ","BUDGET")</f>
        <v>HARDWOOD FLOORING BUDGET</v>
      </c>
      <c r="BJ1214" s="39"/>
      <c r="BK1214" s="91"/>
      <c r="BL1214" s="135" t="str">
        <f>AJ75</f>
        <v>HARDWOOD FLOORING</v>
      </c>
      <c r="BM1214" s="135">
        <f>BI849</f>
        <v>0</v>
      </c>
      <c r="BN1214" s="135">
        <f>BK849</f>
        <v>0</v>
      </c>
    </row>
    <row r="1215" spans="1:66">
      <c r="A1215" s="11"/>
      <c r="E1215" s="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V1215" s="19"/>
      <c r="AW1215" s="698"/>
      <c r="AX1215" s="19"/>
      <c r="AY1215" s="19"/>
      <c r="AZ1215" s="19"/>
      <c r="BA1215" s="18"/>
      <c r="BB1215" s="18"/>
      <c r="BC1215" s="18"/>
      <c r="BD1215" s="18"/>
      <c r="BE1215" s="18"/>
      <c r="BF1215" s="39"/>
      <c r="BG1215" s="39"/>
      <c r="BH1215" s="39"/>
      <c r="BI1215" s="44" t="str">
        <f t="shared" si="824"/>
        <v>TILING BUDGET</v>
      </c>
      <c r="BJ1215" s="39"/>
      <c r="BK1215" s="91"/>
      <c r="BL1215" s="135" t="str">
        <f t="shared" ref="BL1215:BL1221" si="825">AJ76</f>
        <v>TILING</v>
      </c>
      <c r="BM1215" s="135">
        <f>BI894</f>
        <v>0</v>
      </c>
      <c r="BN1215" s="135">
        <f>BK894</f>
        <v>0</v>
      </c>
    </row>
    <row r="1216" spans="1:66">
      <c r="A1216" s="11"/>
      <c r="E1216" s="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V1216" s="19"/>
      <c r="AW1216" s="698"/>
      <c r="AX1216" s="19"/>
      <c r="AY1216" s="19"/>
      <c r="AZ1216" s="19"/>
      <c r="BA1216" s="18"/>
      <c r="BB1216" s="18"/>
      <c r="BC1216" s="18"/>
      <c r="BD1216" s="18"/>
      <c r="BE1216" s="18"/>
      <c r="BF1216" s="39"/>
      <c r="BG1216" s="39"/>
      <c r="BH1216" s="39"/>
      <c r="BI1216" s="44" t="str">
        <f t="shared" si="824"/>
        <v>PAINTING BUDGET</v>
      </c>
      <c r="BJ1216" s="39"/>
      <c r="BK1216" s="91"/>
      <c r="BL1216" s="135" t="str">
        <f t="shared" si="825"/>
        <v>PAINTING</v>
      </c>
      <c r="BM1216" s="135">
        <f>BI939</f>
        <v>0</v>
      </c>
      <c r="BN1216" s="135">
        <f>BK939</f>
        <v>0</v>
      </c>
    </row>
    <row r="1217" spans="1:66">
      <c r="A1217" s="11"/>
      <c r="E1217" s="2"/>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V1217" s="19"/>
      <c r="AW1217" s="698"/>
      <c r="AX1217" s="19"/>
      <c r="AY1217" s="19"/>
      <c r="AZ1217" s="19"/>
      <c r="BA1217" s="18"/>
      <c r="BB1217" s="18"/>
      <c r="BC1217" s="18"/>
      <c r="BD1217" s="18"/>
      <c r="BE1217" s="18"/>
      <c r="BF1217" s="39"/>
      <c r="BG1217" s="39"/>
      <c r="BH1217" s="39"/>
      <c r="BI1217" s="44" t="str">
        <f t="shared" si="824"/>
        <v>APPLIANCES BUDGET</v>
      </c>
      <c r="BJ1217" s="39"/>
      <c r="BK1217" s="91"/>
      <c r="BL1217" s="135" t="str">
        <f t="shared" si="825"/>
        <v>APPLIANCES</v>
      </c>
      <c r="BM1217" s="135">
        <f>BI984</f>
        <v>0</v>
      </c>
      <c r="BN1217" s="135">
        <f>BK984</f>
        <v>0</v>
      </c>
    </row>
    <row r="1218" spans="1:66">
      <c r="A1218" s="11"/>
      <c r="E1218" s="2"/>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V1218" s="19"/>
      <c r="AW1218" s="698"/>
      <c r="AX1218" s="19"/>
      <c r="AY1218" s="19"/>
      <c r="AZ1218" s="19"/>
      <c r="BA1218" s="18"/>
      <c r="BB1218" s="18"/>
      <c r="BC1218" s="18"/>
      <c r="BD1218" s="18"/>
      <c r="BE1218" s="18"/>
      <c r="BF1218" s="39"/>
      <c r="BG1218" s="39"/>
      <c r="BH1218" s="39"/>
      <c r="BI1218" s="44" t="str">
        <f t="shared" si="824"/>
        <v>PLUMBING BUDGET</v>
      </c>
      <c r="BJ1218" s="39"/>
      <c r="BK1218" s="91"/>
      <c r="BL1218" s="135" t="str">
        <f t="shared" si="825"/>
        <v>PLUMBING</v>
      </c>
      <c r="BM1218" s="135">
        <f>BI1029</f>
        <v>0</v>
      </c>
      <c r="BN1218" s="135">
        <f>BK1029</f>
        <v>0</v>
      </c>
    </row>
    <row r="1219" spans="1:66">
      <c r="A1219" s="11"/>
      <c r="E1219" s="2"/>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V1219" s="19"/>
      <c r="AW1219" s="698"/>
      <c r="AX1219" s="19"/>
      <c r="AY1219" s="19"/>
      <c r="AZ1219" s="19"/>
      <c r="BA1219" s="18"/>
      <c r="BB1219" s="18"/>
      <c r="BC1219" s="18"/>
      <c r="BD1219" s="18"/>
      <c r="BE1219" s="18"/>
      <c r="BF1219" s="39"/>
      <c r="BG1219" s="39"/>
      <c r="BH1219" s="39"/>
      <c r="BI1219" s="44" t="str">
        <f t="shared" si="824"/>
        <v>HVAC BUDGET</v>
      </c>
      <c r="BJ1219" s="39"/>
      <c r="BK1219" s="91"/>
      <c r="BL1219" s="135" t="str">
        <f t="shared" si="825"/>
        <v>HVAC</v>
      </c>
      <c r="BM1219" s="135">
        <f>BI1074</f>
        <v>0</v>
      </c>
      <c r="BN1219" s="135">
        <f>BK1074</f>
        <v>0</v>
      </c>
    </row>
    <row r="1220" spans="1:66">
      <c r="A1220" s="11"/>
      <c r="E1220" s="2"/>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V1220" s="19"/>
      <c r="AW1220" s="698"/>
      <c r="AX1220" s="19"/>
      <c r="AY1220" s="19"/>
      <c r="AZ1220" s="19"/>
      <c r="BA1220" s="18"/>
      <c r="BB1220" s="18"/>
      <c r="BC1220" s="18"/>
      <c r="BD1220" s="18"/>
      <c r="BE1220" s="18"/>
      <c r="BF1220" s="39"/>
      <c r="BG1220" s="39"/>
      <c r="BH1220" s="39"/>
      <c r="BI1220" s="44" t="str">
        <f t="shared" si="824"/>
        <v>ELECTRICAL BUDGET</v>
      </c>
      <c r="BJ1220" s="39"/>
      <c r="BK1220" s="91"/>
      <c r="BL1220" s="135" t="str">
        <f t="shared" si="825"/>
        <v>ELECTRICAL</v>
      </c>
      <c r="BM1220" s="135">
        <f>BI1119</f>
        <v>0</v>
      </c>
      <c r="BN1220" s="135">
        <f>BK1119</f>
        <v>0</v>
      </c>
    </row>
    <row r="1221" spans="1:66">
      <c r="A1221" s="11"/>
      <c r="E1221" s="2"/>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V1221" s="19"/>
      <c r="AW1221" s="698"/>
      <c r="AX1221" s="19"/>
      <c r="AY1221" s="19"/>
      <c r="AZ1221" s="19"/>
      <c r="BA1221" s="18"/>
      <c r="BB1221" s="18"/>
      <c r="BC1221" s="18"/>
      <c r="BD1221" s="18"/>
      <c r="BE1221" s="18"/>
      <c r="BF1221" s="39"/>
      <c r="BG1221" s="39"/>
      <c r="BH1221" s="39"/>
      <c r="BI1221" s="44" t="str">
        <f t="shared" si="824"/>
        <v>MISCELLANEOUS BUDGET</v>
      </c>
      <c r="BJ1221" s="39"/>
      <c r="BK1221" s="91"/>
      <c r="BL1221" s="135" t="str">
        <f t="shared" si="825"/>
        <v>MISCELLANEOUS</v>
      </c>
      <c r="BM1221" s="135">
        <f>BI1164</f>
        <v>0</v>
      </c>
      <c r="BN1221" s="135">
        <f>BK1164</f>
        <v>0</v>
      </c>
    </row>
    <row r="1222" spans="1:66">
      <c r="A1222" s="11"/>
      <c r="E1222" s="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V1222" s="19"/>
      <c r="AW1222" s="698"/>
      <c r="AX1222" s="19"/>
      <c r="AY1222" s="19"/>
      <c r="AZ1222" s="19"/>
      <c r="BA1222" s="18"/>
      <c r="BB1222" s="18"/>
      <c r="BC1222" s="18"/>
      <c r="BD1222" s="18"/>
      <c r="BE1222" s="18"/>
      <c r="BF1222" s="39"/>
      <c r="BG1222" s="39"/>
      <c r="BH1222" s="39"/>
      <c r="BI1222" s="39"/>
      <c r="BJ1222" s="39"/>
      <c r="BK1222" s="91"/>
      <c r="BL1222" s="135"/>
      <c r="BM1222" s="135">
        <f>SUM(BM1198:BM1221)</f>
        <v>0</v>
      </c>
      <c r="BN1222" s="135">
        <f>SUM(BN1198:BN1221)</f>
        <v>0</v>
      </c>
    </row>
    <row r="1223" spans="1:66">
      <c r="A1223" s="11"/>
      <c r="E1223" s="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V1223" s="19"/>
      <c r="AW1223" s="698"/>
      <c r="AX1223" s="19"/>
      <c r="AY1223" s="19"/>
      <c r="AZ1223" s="19"/>
      <c r="BA1223" s="18"/>
      <c r="BB1223" s="18"/>
      <c r="BC1223" s="18"/>
      <c r="BD1223" s="18"/>
      <c r="BE1223" s="18"/>
      <c r="BF1223" s="39"/>
      <c r="BG1223" s="39"/>
      <c r="BH1223" s="39"/>
      <c r="BI1223" s="39"/>
      <c r="BJ1223" s="39"/>
      <c r="BK1223" s="91"/>
    </row>
    <row r="1224" spans="1:66">
      <c r="A1224" s="11"/>
      <c r="E1224" s="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V1224" s="19"/>
      <c r="AW1224" s="698"/>
      <c r="AX1224" s="19"/>
      <c r="AY1224" s="19"/>
      <c r="AZ1224" s="19"/>
      <c r="BA1224" s="18"/>
      <c r="BB1224" s="18"/>
      <c r="BC1224" s="18"/>
      <c r="BD1224" s="18"/>
      <c r="BE1224" s="18"/>
      <c r="BF1224" s="39"/>
      <c r="BG1224" s="39"/>
      <c r="BH1224" s="39"/>
      <c r="BI1224" s="39"/>
      <c r="BJ1224" s="39"/>
      <c r="BK1224" s="91"/>
    </row>
    <row r="1225" spans="1:66" ht="18" customHeight="1">
      <c r="B1225" s="123"/>
      <c r="AU1225" s="123"/>
      <c r="AV1225" s="123"/>
      <c r="AW1225" s="688"/>
      <c r="AX1225" s="123"/>
      <c r="AY1225" s="123"/>
      <c r="AZ1225" s="123"/>
      <c r="BA1225" s="123"/>
      <c r="BB1225" s="123"/>
      <c r="BC1225" s="123"/>
      <c r="BD1225" s="123"/>
    </row>
    <row r="1226" spans="1:66" ht="22.5" customHeight="1">
      <c r="B1226" s="123"/>
      <c r="AU1226" s="123"/>
      <c r="AV1226" s="123"/>
      <c r="AW1226" s="688"/>
      <c r="AX1226" s="123"/>
      <c r="AY1226" s="123"/>
      <c r="AZ1226" s="123"/>
      <c r="BA1226" s="123"/>
      <c r="BB1226" s="123"/>
      <c r="BC1226" s="123"/>
      <c r="BD1226" s="123"/>
    </row>
    <row r="1227" spans="1:66" ht="22.5" customHeight="1">
      <c r="B1227" s="123"/>
      <c r="AU1227" s="123"/>
      <c r="AV1227" s="123"/>
      <c r="AW1227" s="688"/>
      <c r="AX1227" s="123"/>
      <c r="AY1227" s="123"/>
      <c r="AZ1227" s="123"/>
      <c r="BA1227" s="123"/>
      <c r="BB1227" s="123"/>
      <c r="BC1227" s="123"/>
      <c r="BD1227" s="123"/>
    </row>
    <row r="1228" spans="1:66" ht="22.5" customHeight="1">
      <c r="B1228" s="123"/>
      <c r="AU1228" s="123"/>
      <c r="AV1228" s="123"/>
      <c r="AW1228" s="688"/>
      <c r="AX1228" s="123"/>
      <c r="AY1228" s="123"/>
      <c r="AZ1228" s="123"/>
      <c r="BA1228" s="123"/>
      <c r="BB1228" s="123"/>
      <c r="BC1228" s="123"/>
      <c r="BD1228" s="123"/>
    </row>
    <row r="1229" spans="1:66" ht="22.5" customHeight="1">
      <c r="B1229" s="123"/>
      <c r="AU1229" s="123"/>
      <c r="AV1229" s="123"/>
      <c r="AW1229" s="688"/>
      <c r="AX1229" s="123"/>
      <c r="AY1229" s="123"/>
      <c r="AZ1229" s="123"/>
      <c r="BA1229" s="123"/>
      <c r="BB1229" s="123"/>
      <c r="BC1229" s="123"/>
      <c r="BD1229" s="123"/>
    </row>
    <row r="1230" spans="1:66" ht="22.5" customHeight="1">
      <c r="B1230" s="123"/>
      <c r="AU1230" s="123"/>
      <c r="AV1230" s="123"/>
      <c r="AW1230" s="688"/>
      <c r="AX1230" s="123"/>
      <c r="AY1230" s="123"/>
      <c r="AZ1230" s="123"/>
      <c r="BA1230" s="123"/>
      <c r="BB1230" s="123"/>
      <c r="BC1230" s="123"/>
      <c r="BD1230" s="123"/>
    </row>
    <row r="1231" spans="1:66" ht="22.5" customHeight="1">
      <c r="B1231" s="123"/>
      <c r="AU1231" s="123"/>
      <c r="AV1231" s="123"/>
      <c r="AW1231" s="688"/>
      <c r="AX1231" s="123"/>
      <c r="AY1231" s="123"/>
      <c r="AZ1231" s="123"/>
      <c r="BA1231" s="123"/>
      <c r="BB1231" s="123"/>
      <c r="BC1231" s="123"/>
      <c r="BD1231" s="123"/>
    </row>
    <row r="1232" spans="1:66">
      <c r="A1232" s="11"/>
      <c r="E1232" s="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BA1232" s="50"/>
      <c r="BB1232" s="50"/>
      <c r="BD1232" s="40"/>
      <c r="BE1232" s="39"/>
      <c r="BF1232" s="39"/>
      <c r="BG1232" s="39"/>
      <c r="BH1232" s="39"/>
      <c r="BI1232" s="39"/>
      <c r="BJ1232" s="39"/>
      <c r="BK1232" s="91"/>
    </row>
    <row r="1233" spans="1:63">
      <c r="A1233" s="11"/>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BA1233" s="50"/>
      <c r="BB1233" s="50"/>
      <c r="BD1233" s="40"/>
      <c r="BE1233" s="39"/>
      <c r="BF1233" s="39"/>
      <c r="BG1233" s="39"/>
      <c r="BH1233" s="39"/>
      <c r="BI1233" s="39"/>
      <c r="BJ1233" s="39"/>
      <c r="BK1233" s="91"/>
    </row>
    <row r="1234" spans="1:63">
      <c r="A1234" s="11"/>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BA1234" s="50"/>
      <c r="BB1234" s="50"/>
      <c r="BD1234" s="40"/>
      <c r="BE1234" s="39"/>
      <c r="BF1234" s="39"/>
      <c r="BG1234" s="39"/>
      <c r="BH1234" s="39"/>
      <c r="BI1234" s="39"/>
      <c r="BJ1234" s="39"/>
      <c r="BK1234" s="91"/>
    </row>
    <row r="1235" spans="1:63">
      <c r="A1235" s="11"/>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BA1235" s="50"/>
      <c r="BB1235" s="50"/>
      <c r="BC1235" s="50"/>
      <c r="BD1235" s="40"/>
      <c r="BE1235" s="39"/>
      <c r="BF1235" s="39"/>
      <c r="BG1235" s="39"/>
      <c r="BH1235" s="39"/>
      <c r="BI1235" s="39"/>
      <c r="BJ1235" s="39"/>
      <c r="BK1235" s="91"/>
    </row>
    <row r="1236" spans="1:63">
      <c r="A1236" s="11"/>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BA1236" s="50"/>
      <c r="BB1236" s="50"/>
      <c r="BC1236" s="50"/>
      <c r="BD1236" s="40"/>
      <c r="BE1236" s="39"/>
      <c r="BF1236" s="39"/>
      <c r="BG1236" s="39"/>
      <c r="BH1236" s="39"/>
      <c r="BI1236" s="39"/>
      <c r="BJ1236" s="39"/>
      <c r="BK1236" s="91"/>
    </row>
    <row r="1237" spans="1:63">
      <c r="A1237" s="11"/>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BA1237" s="50"/>
      <c r="BB1237" s="50"/>
      <c r="BC1237" s="50"/>
      <c r="BD1237" s="40"/>
      <c r="BE1237" s="39"/>
      <c r="BF1237" s="39"/>
      <c r="BG1237" s="39"/>
      <c r="BH1237" s="39"/>
      <c r="BI1237" s="39"/>
      <c r="BJ1237" s="39"/>
      <c r="BK1237" s="91"/>
    </row>
    <row r="1238" spans="1:63">
      <c r="A1238" s="11"/>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BA1238" s="50"/>
      <c r="BB1238" s="50"/>
      <c r="BC1238" s="50"/>
      <c r="BD1238" s="40"/>
      <c r="BE1238" s="39"/>
      <c r="BF1238" s="39"/>
      <c r="BG1238" s="39"/>
      <c r="BH1238" s="39"/>
      <c r="BI1238" s="39"/>
      <c r="BJ1238" s="39"/>
      <c r="BK1238" s="91"/>
    </row>
    <row r="1239" spans="1:63">
      <c r="A1239" s="11"/>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BA1239" s="50"/>
      <c r="BB1239" s="50"/>
      <c r="BC1239" s="50"/>
      <c r="BD1239" s="40"/>
      <c r="BE1239" s="39"/>
      <c r="BF1239" s="39"/>
      <c r="BG1239" s="39"/>
      <c r="BH1239" s="39"/>
      <c r="BI1239" s="39"/>
      <c r="BJ1239" s="39"/>
      <c r="BK1239" s="91"/>
    </row>
    <row r="1240" spans="1:63">
      <c r="A1240" s="11"/>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BA1240" s="50"/>
      <c r="BB1240" s="50"/>
      <c r="BC1240" s="50"/>
      <c r="BD1240" s="40"/>
      <c r="BE1240" s="39"/>
      <c r="BF1240" s="39"/>
      <c r="BG1240" s="39"/>
      <c r="BH1240" s="39"/>
      <c r="BI1240" s="39"/>
      <c r="BJ1240" s="39"/>
      <c r="BK1240" s="91"/>
    </row>
    <row r="1241" spans="1:63">
      <c r="A1241" s="11"/>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BA1241" s="50"/>
      <c r="BB1241" s="50"/>
      <c r="BC1241" s="50"/>
      <c r="BD1241" s="40"/>
      <c r="BE1241" s="39"/>
      <c r="BF1241" s="39"/>
      <c r="BG1241" s="39"/>
      <c r="BH1241" s="39"/>
      <c r="BI1241" s="39"/>
      <c r="BJ1241" s="39"/>
      <c r="BK1241" s="91"/>
    </row>
    <row r="1242" spans="1:63">
      <c r="A1242" s="11"/>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BA1242" s="50"/>
      <c r="BB1242" s="50"/>
      <c r="BC1242" s="50"/>
      <c r="BD1242" s="40"/>
      <c r="BE1242" s="39"/>
      <c r="BF1242" s="39"/>
      <c r="BG1242" s="39"/>
      <c r="BH1242" s="39"/>
      <c r="BI1242" s="39"/>
      <c r="BJ1242" s="39"/>
      <c r="BK1242" s="91"/>
    </row>
    <row r="1243" spans="1:63">
      <c r="A1243" s="11"/>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BA1243" s="50"/>
      <c r="BB1243" s="50"/>
      <c r="BC1243" s="50"/>
      <c r="BD1243" s="40"/>
      <c r="BE1243" s="39"/>
      <c r="BF1243" s="39"/>
      <c r="BG1243" s="39"/>
      <c r="BH1243" s="39"/>
      <c r="BI1243" s="39"/>
      <c r="BJ1243" s="39"/>
      <c r="BK1243" s="91"/>
    </row>
    <row r="1244" spans="1:63">
      <c r="A1244" s="11"/>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BA1244" s="50"/>
      <c r="BB1244" s="50"/>
      <c r="BC1244" s="50"/>
      <c r="BD1244" s="40"/>
      <c r="BE1244" s="39"/>
      <c r="BF1244" s="39"/>
      <c r="BG1244" s="39"/>
      <c r="BH1244" s="39"/>
      <c r="BI1244" s="39"/>
      <c r="BJ1244" s="39"/>
      <c r="BK1244" s="91"/>
    </row>
    <row r="1245" spans="1:63">
      <c r="A1245" s="11"/>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BA1245" s="50"/>
      <c r="BB1245" s="50"/>
      <c r="BC1245" s="50"/>
      <c r="BD1245" s="40"/>
      <c r="BE1245" s="39"/>
      <c r="BF1245" s="39"/>
      <c r="BG1245" s="39"/>
      <c r="BH1245" s="39"/>
      <c r="BI1245" s="39"/>
      <c r="BJ1245" s="39"/>
      <c r="BK1245" s="91"/>
    </row>
    <row r="1246" spans="1:63">
      <c r="A1246" s="11"/>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BA1246" s="50"/>
      <c r="BB1246" s="50"/>
      <c r="BC1246" s="50"/>
      <c r="BD1246" s="40"/>
      <c r="BE1246" s="39"/>
      <c r="BF1246" s="39"/>
      <c r="BG1246" s="39"/>
      <c r="BH1246" s="39"/>
      <c r="BI1246" s="39"/>
      <c r="BJ1246" s="39"/>
      <c r="BK1246" s="91"/>
    </row>
    <row r="1247" spans="1:63">
      <c r="A1247" s="11"/>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BA1247" s="50"/>
      <c r="BB1247" s="50"/>
      <c r="BC1247" s="50"/>
      <c r="BD1247" s="40"/>
      <c r="BE1247" s="39"/>
      <c r="BF1247" s="39"/>
      <c r="BG1247" s="39"/>
      <c r="BH1247" s="39"/>
      <c r="BI1247" s="39"/>
      <c r="BJ1247" s="39"/>
      <c r="BK1247" s="91"/>
    </row>
    <row r="1248" spans="1:63">
      <c r="A1248" s="11"/>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BA1248" s="50"/>
      <c r="BB1248" s="50"/>
      <c r="BC1248" s="50"/>
      <c r="BD1248" s="40"/>
      <c r="BE1248" s="39"/>
      <c r="BF1248" s="39"/>
      <c r="BG1248" s="39"/>
      <c r="BH1248" s="39"/>
      <c r="BI1248" s="39"/>
      <c r="BJ1248" s="39"/>
      <c r="BK1248" s="91"/>
    </row>
    <row r="1249" spans="1:63">
      <c r="A1249" s="11"/>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BA1249" s="50"/>
      <c r="BB1249" s="50"/>
      <c r="BC1249" s="50"/>
      <c r="BD1249" s="40"/>
      <c r="BE1249" s="39"/>
      <c r="BF1249" s="39"/>
      <c r="BG1249" s="39"/>
      <c r="BH1249" s="39"/>
      <c r="BI1249" s="39"/>
      <c r="BJ1249" s="39"/>
      <c r="BK1249" s="91"/>
    </row>
    <row r="1250" spans="1:63">
      <c r="A1250" s="11"/>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BA1250" s="50"/>
      <c r="BB1250" s="50"/>
      <c r="BC1250" s="50"/>
      <c r="BD1250" s="40"/>
      <c r="BE1250" s="39"/>
      <c r="BF1250" s="39"/>
      <c r="BG1250" s="39"/>
      <c r="BH1250" s="39"/>
      <c r="BI1250" s="39"/>
      <c r="BJ1250" s="39"/>
      <c r="BK1250" s="91"/>
    </row>
    <row r="1251" spans="1:63">
      <c r="A1251" s="11"/>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BA1251" s="50"/>
      <c r="BB1251" s="50"/>
      <c r="BC1251" s="50"/>
      <c r="BD1251" s="40"/>
      <c r="BE1251" s="39"/>
      <c r="BF1251" s="39"/>
      <c r="BG1251" s="39"/>
      <c r="BH1251" s="39"/>
      <c r="BI1251" s="39"/>
      <c r="BJ1251" s="39"/>
      <c r="BK1251" s="91"/>
    </row>
    <row r="1252" spans="1:63">
      <c r="A1252" s="11"/>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BA1252" s="50"/>
      <c r="BB1252" s="50"/>
      <c r="BC1252" s="50"/>
      <c r="BD1252" s="40"/>
      <c r="BE1252" s="39"/>
      <c r="BF1252" s="39"/>
      <c r="BG1252" s="39"/>
      <c r="BH1252" s="39"/>
      <c r="BI1252" s="39"/>
      <c r="BJ1252" s="39"/>
      <c r="BK1252" s="91"/>
    </row>
    <row r="1253" spans="1:63">
      <c r="A1253" s="11"/>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BA1253" s="50"/>
      <c r="BB1253" s="50"/>
      <c r="BC1253" s="50"/>
      <c r="BD1253" s="40"/>
      <c r="BE1253" s="39"/>
      <c r="BF1253" s="39"/>
      <c r="BG1253" s="39"/>
      <c r="BH1253" s="39"/>
      <c r="BI1253" s="39"/>
      <c r="BJ1253" s="39"/>
      <c r="BK1253" s="91"/>
    </row>
    <row r="1254" spans="1:63">
      <c r="A1254" s="11"/>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BA1254" s="50"/>
      <c r="BB1254" s="50"/>
      <c r="BC1254" s="50"/>
      <c r="BD1254" s="40"/>
      <c r="BE1254" s="39"/>
      <c r="BF1254" s="39"/>
      <c r="BG1254" s="39"/>
      <c r="BH1254" s="39"/>
      <c r="BI1254" s="39"/>
      <c r="BJ1254" s="39"/>
      <c r="BK1254" s="91"/>
    </row>
    <row r="1255" spans="1:63">
      <c r="A1255" s="11"/>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BA1255" s="50"/>
      <c r="BB1255" s="50"/>
      <c r="BC1255" s="50"/>
      <c r="BD1255" s="40"/>
      <c r="BE1255" s="39"/>
      <c r="BF1255" s="39"/>
      <c r="BG1255" s="39"/>
      <c r="BH1255" s="39"/>
      <c r="BI1255" s="39"/>
      <c r="BJ1255" s="39"/>
      <c r="BK1255" s="91"/>
    </row>
    <row r="1256" spans="1:63">
      <c r="A1256" s="11"/>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BA1256" s="50"/>
      <c r="BB1256" s="50"/>
      <c r="BC1256" s="50"/>
      <c r="BD1256" s="40"/>
      <c r="BE1256" s="39"/>
      <c r="BF1256" s="39"/>
      <c r="BG1256" s="39"/>
      <c r="BH1256" s="39"/>
      <c r="BI1256" s="39"/>
      <c r="BJ1256" s="39"/>
      <c r="BK1256" s="91"/>
    </row>
    <row r="1257" spans="1:63">
      <c r="A1257" s="11"/>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BA1257" s="50"/>
      <c r="BB1257" s="50"/>
      <c r="BC1257" s="50"/>
      <c r="BD1257" s="40"/>
      <c r="BE1257" s="39"/>
      <c r="BF1257" s="39"/>
      <c r="BG1257" s="39"/>
      <c r="BH1257" s="39"/>
      <c r="BI1257" s="39"/>
      <c r="BJ1257" s="39"/>
      <c r="BK1257" s="91"/>
    </row>
    <row r="1258" spans="1:63">
      <c r="A1258" s="11"/>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BA1258" s="50"/>
      <c r="BB1258" s="50"/>
      <c r="BC1258" s="50"/>
      <c r="BD1258" s="40"/>
      <c r="BE1258" s="39"/>
      <c r="BF1258" s="39"/>
      <c r="BG1258" s="39"/>
      <c r="BH1258" s="39"/>
      <c r="BI1258" s="39"/>
      <c r="BJ1258" s="39"/>
      <c r="BK1258" s="91"/>
    </row>
    <row r="1259" spans="1:63">
      <c r="A1259" s="11"/>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BA1259" s="50"/>
      <c r="BB1259" s="50"/>
      <c r="BC1259" s="50"/>
      <c r="BD1259" s="40"/>
      <c r="BE1259" s="39"/>
      <c r="BF1259" s="39"/>
      <c r="BG1259" s="39"/>
      <c r="BH1259" s="39"/>
      <c r="BI1259" s="39"/>
      <c r="BJ1259" s="39"/>
      <c r="BK1259" s="91"/>
    </row>
    <row r="1260" spans="1:63">
      <c r="A1260" s="11"/>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BA1260" s="50"/>
      <c r="BB1260" s="50"/>
      <c r="BC1260" s="50"/>
      <c r="BD1260" s="40"/>
      <c r="BE1260" s="39"/>
      <c r="BF1260" s="39"/>
      <c r="BG1260" s="39"/>
      <c r="BH1260" s="39"/>
      <c r="BI1260" s="39"/>
      <c r="BJ1260" s="39"/>
      <c r="BK1260" s="91"/>
    </row>
    <row r="1261" spans="1:63">
      <c r="A1261" s="11"/>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BA1261" s="50"/>
      <c r="BB1261" s="50"/>
      <c r="BC1261" s="50"/>
      <c r="BD1261" s="40"/>
      <c r="BE1261" s="39"/>
      <c r="BF1261" s="39"/>
      <c r="BG1261" s="39"/>
      <c r="BH1261" s="39"/>
      <c r="BI1261" s="39"/>
      <c r="BJ1261" s="39"/>
      <c r="BK1261" s="91"/>
    </row>
    <row r="1262" spans="1:63">
      <c r="A1262" s="11"/>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BA1262" s="50"/>
      <c r="BB1262" s="50"/>
      <c r="BC1262" s="50"/>
      <c r="BD1262" s="40"/>
      <c r="BE1262" s="39"/>
      <c r="BF1262" s="39"/>
      <c r="BG1262" s="39"/>
      <c r="BH1262" s="39"/>
      <c r="BI1262" s="39"/>
      <c r="BJ1262" s="39"/>
      <c r="BK1262" s="91"/>
    </row>
  </sheetData>
  <sheetProtection algorithmName="SHA-512" hashValue="D9VhsdCekJjElwqH3rwO0ItT04+SS8S7WREomC+4lfdoqqVkl2pOqGXXiPSaNaglJGaeWRWBfdAh3O5p59HqGQ==" saltValue="pwLyttTxAWWkqwhYzBlQNg==" spinCount="100000" sheet="1" objects="1" formatCells="0" formatColumns="0" formatRows="0" insertHyperlinks="0" selectLockedCells="1" sort="0" autoFilter="0"/>
  <autoFilter ref="B86:BG1166" xr:uid="{00000000-0009-0000-0000-00000A000000}">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4" showButton="0"/>
    <filterColumn colId="15" showButton="0"/>
    <filterColumn colId="17" showButton="0"/>
    <filterColumn colId="19" showButton="0"/>
    <filterColumn colId="20" showButton="0"/>
    <filterColumn colId="22" showButton="0"/>
    <filterColumn colId="23" showButton="0"/>
    <filterColumn colId="25" showButton="0"/>
    <filterColumn colId="26" showButton="0"/>
    <filterColumn colId="28" showButton="0"/>
    <filterColumn colId="29" showButton="0"/>
    <filterColumn colId="31" showButton="0"/>
    <filterColumn colId="32" showButton="0"/>
    <filterColumn colId="34" showButton="0"/>
    <filterColumn colId="35" showButton="0"/>
    <filterColumn colId="37" showButton="0"/>
    <filterColumn colId="38" showButton="0"/>
    <filterColumn colId="39" showButton="0"/>
    <filterColumn colId="41" showButton="0"/>
    <filterColumn colId="42" showButton="0"/>
    <filterColumn colId="43" showButton="0"/>
  </autoFilter>
  <dataConsolidate/>
  <customSheetViews>
    <customSheetView guid="{CCC3C480-7EFF-4539-BA29-9C13086C00B7}" scale="70" showGridLines="0" zeroValues="0" fitToPage="1" hiddenRows="1" topLeftCell="A2">
      <selection activeCell="H9" sqref="H9:I9"/>
      <pageMargins left="0.7" right="0.7" top="0.75" bottom="0.75" header="0.3" footer="0.3"/>
      <pageSetup scale="57" fitToHeight="6" orientation="portrait"/>
      <headerFooter alignWithMargins="0">
        <oddFooter>&amp;LCommon Remodel Unit Prices/Cost Estimate Example&amp;CPage &amp;P of &amp;N&amp;Rwww.socialremodel.com, all rights reserved</oddFooter>
      </headerFooter>
    </customSheetView>
  </customSheetViews>
  <mergeCells count="12218">
    <mergeCell ref="B3:I3"/>
    <mergeCell ref="O3:P4"/>
    <mergeCell ref="H81:M82"/>
    <mergeCell ref="B81:G82"/>
    <mergeCell ref="E1185:AQ1186"/>
    <mergeCell ref="B76:G76"/>
    <mergeCell ref="H76:I76"/>
    <mergeCell ref="J76:M76"/>
    <mergeCell ref="E1181:AQ1181"/>
    <mergeCell ref="B84:C85"/>
    <mergeCell ref="AG14:AQ15"/>
    <mergeCell ref="D34:AD34"/>
    <mergeCell ref="D35:AR35"/>
    <mergeCell ref="D36:AR38"/>
    <mergeCell ref="R33:W33"/>
    <mergeCell ref="AZ84:AZ85"/>
    <mergeCell ref="D12:AD12"/>
    <mergeCell ref="D14:AD14"/>
    <mergeCell ref="AF24:AK24"/>
    <mergeCell ref="AF25:AK32"/>
    <mergeCell ref="AM24:AR24"/>
    <mergeCell ref="AM25:AR25"/>
    <mergeCell ref="AM26:AR26"/>
    <mergeCell ref="AM27:AR27"/>
    <mergeCell ref="AM28:AR28"/>
    <mergeCell ref="AM29:AR29"/>
    <mergeCell ref="AM30:AR30"/>
    <mergeCell ref="AM31:AR31"/>
    <mergeCell ref="AM32:AR32"/>
    <mergeCell ref="D23:AR23"/>
    <mergeCell ref="D15:AD15"/>
    <mergeCell ref="D17:AD17"/>
    <mergeCell ref="D18:AD18"/>
    <mergeCell ref="D20:AD20"/>
    <mergeCell ref="D21:AD21"/>
    <mergeCell ref="C48:AC48"/>
    <mergeCell ref="E1171:AQ1171"/>
    <mergeCell ref="E1173:AQ1173"/>
    <mergeCell ref="E1175:AQ1175"/>
    <mergeCell ref="E1177:AQ1177"/>
    <mergeCell ref="C1169:AS1169"/>
    <mergeCell ref="AM1126:AP1126"/>
    <mergeCell ref="P1096:R1096"/>
    <mergeCell ref="S1096:T1096"/>
    <mergeCell ref="U1096:W1096"/>
    <mergeCell ref="X1096:Z1096"/>
    <mergeCell ref="AA1096:AC1096"/>
    <mergeCell ref="AD1096:AF1096"/>
    <mergeCell ref="AG1096:AI1096"/>
    <mergeCell ref="AJ1096:AL1096"/>
    <mergeCell ref="AM1096:AP1096"/>
    <mergeCell ref="B1095:C1095"/>
    <mergeCell ref="P1095:R1095"/>
    <mergeCell ref="S1095:T1095"/>
    <mergeCell ref="U1095:W1095"/>
    <mergeCell ref="X1095:Z1095"/>
    <mergeCell ref="AA1095:AC1095"/>
    <mergeCell ref="AD1095:AF1095"/>
    <mergeCell ref="C6:AS6"/>
    <mergeCell ref="D7:AD7"/>
    <mergeCell ref="AV80:AV82"/>
    <mergeCell ref="AJ1129:AL1129"/>
    <mergeCell ref="AM1129:AP1129"/>
    <mergeCell ref="B1129:C1129"/>
    <mergeCell ref="P1129:R1129"/>
    <mergeCell ref="S1129:T1129"/>
    <mergeCell ref="U1129:W1129"/>
    <mergeCell ref="X1129:Z1129"/>
    <mergeCell ref="AA1129:AC1129"/>
    <mergeCell ref="AD1129:AF1129"/>
    <mergeCell ref="AG1129:AI1129"/>
    <mergeCell ref="AJ1127:AL1127"/>
    <mergeCell ref="AM1127:AP1127"/>
    <mergeCell ref="B1128:C1128"/>
    <mergeCell ref="P1128:R1128"/>
    <mergeCell ref="S1128:T1128"/>
    <mergeCell ref="U1128:W1128"/>
    <mergeCell ref="X1128:Z1128"/>
    <mergeCell ref="AA1128:AC1128"/>
    <mergeCell ref="AD1128:AF1128"/>
    <mergeCell ref="AG1128:AI1128"/>
    <mergeCell ref="AJ1128:AL1128"/>
    <mergeCell ref="AM1128:AP1128"/>
    <mergeCell ref="B1127:C1127"/>
    <mergeCell ref="P1127:R1127"/>
    <mergeCell ref="S1127:T1127"/>
    <mergeCell ref="U1127:W1127"/>
    <mergeCell ref="X1127:Z1127"/>
    <mergeCell ref="AA1127:AC1127"/>
    <mergeCell ref="AD1127:AF1127"/>
    <mergeCell ref="AG1127:AI1127"/>
    <mergeCell ref="AJ1123:AL1123"/>
    <mergeCell ref="AM1123:AP1123"/>
    <mergeCell ref="B1124:C1124"/>
    <mergeCell ref="P1124:R1124"/>
    <mergeCell ref="S1124:T1124"/>
    <mergeCell ref="U1124:W1124"/>
    <mergeCell ref="X1124:Z1124"/>
    <mergeCell ref="AA1124:AC1124"/>
    <mergeCell ref="AD1124:AF1124"/>
    <mergeCell ref="AG1124:AI1124"/>
    <mergeCell ref="AJ1124:AL1124"/>
    <mergeCell ref="AM1124:AP1124"/>
    <mergeCell ref="B1123:C1123"/>
    <mergeCell ref="P1123:R1123"/>
    <mergeCell ref="S1123:T1123"/>
    <mergeCell ref="U1123:W1123"/>
    <mergeCell ref="X1123:Z1123"/>
    <mergeCell ref="AA1123:AC1123"/>
    <mergeCell ref="AD1123:AF1123"/>
    <mergeCell ref="AG1123:AI1123"/>
    <mergeCell ref="AJ1125:AL1125"/>
    <mergeCell ref="AM1125:AP1125"/>
    <mergeCell ref="B1126:C1126"/>
    <mergeCell ref="P1126:R1126"/>
    <mergeCell ref="S1126:T1126"/>
    <mergeCell ref="D1129:O1129"/>
    <mergeCell ref="D1127:O1127"/>
    <mergeCell ref="D1128:O1128"/>
    <mergeCell ref="AD1126:AF1126"/>
    <mergeCell ref="AG1126:AI1126"/>
    <mergeCell ref="AJ1126:AL1126"/>
    <mergeCell ref="U1126:W1126"/>
    <mergeCell ref="X1126:Z1126"/>
    <mergeCell ref="AA1126:AC1126"/>
    <mergeCell ref="AJ1094:AL1094"/>
    <mergeCell ref="AM1094:AP1094"/>
    <mergeCell ref="AD1097:AF1097"/>
    <mergeCell ref="AG1097:AI1097"/>
    <mergeCell ref="B1122:C1122"/>
    <mergeCell ref="P1122:R1122"/>
    <mergeCell ref="S1122:T1122"/>
    <mergeCell ref="U1122:W1122"/>
    <mergeCell ref="X1122:Z1122"/>
    <mergeCell ref="B1125:C1125"/>
    <mergeCell ref="P1125:R1125"/>
    <mergeCell ref="S1125:T1125"/>
    <mergeCell ref="U1125:W1125"/>
    <mergeCell ref="X1125:Z1125"/>
    <mergeCell ref="AA1125:AC1125"/>
    <mergeCell ref="AD1125:AF1125"/>
    <mergeCell ref="AG1125:AI1125"/>
    <mergeCell ref="AM1119:AP1119"/>
    <mergeCell ref="D1124:O1124"/>
    <mergeCell ref="D1125:O1125"/>
    <mergeCell ref="D1097:O1097"/>
    <mergeCell ref="D1126:O1126"/>
    <mergeCell ref="B1101:C1101"/>
    <mergeCell ref="D1101:O1101"/>
    <mergeCell ref="P1101:R1101"/>
    <mergeCell ref="S1101:T1101"/>
    <mergeCell ref="U1101:W1101"/>
    <mergeCell ref="X1101:Z1101"/>
    <mergeCell ref="AA1101:AC1101"/>
    <mergeCell ref="AD1101:AF1101"/>
    <mergeCell ref="AG1101:AI1101"/>
    <mergeCell ref="AJ1101:AL1101"/>
    <mergeCell ref="AM1101:AP1101"/>
    <mergeCell ref="B1102:C1102"/>
    <mergeCell ref="D1102:O1102"/>
    <mergeCell ref="P1102:R1102"/>
    <mergeCell ref="S1102:T1102"/>
    <mergeCell ref="U1102:W1102"/>
    <mergeCell ref="X1102:Z1102"/>
    <mergeCell ref="AA1102:AC1102"/>
    <mergeCell ref="AD1102:AF1102"/>
    <mergeCell ref="AG1102:AI1102"/>
    <mergeCell ref="AJ1102:AL1102"/>
    <mergeCell ref="AM1102:AP1102"/>
    <mergeCell ref="B1106:C1106"/>
    <mergeCell ref="D1106:O1106"/>
    <mergeCell ref="AD1106:AF1106"/>
    <mergeCell ref="B1097:C1097"/>
    <mergeCell ref="P1097:R1097"/>
    <mergeCell ref="S1097:T1097"/>
    <mergeCell ref="B1103:C1103"/>
    <mergeCell ref="D1103:O1103"/>
    <mergeCell ref="P1103:R1103"/>
    <mergeCell ref="S1103:T1103"/>
    <mergeCell ref="U1103:W1103"/>
    <mergeCell ref="X1103:Z1103"/>
    <mergeCell ref="AA1103:AC1103"/>
    <mergeCell ref="AD1103:AF1103"/>
    <mergeCell ref="AG1103:AI1103"/>
    <mergeCell ref="AJ1103:AL1103"/>
    <mergeCell ref="AM1103:AP1103"/>
    <mergeCell ref="B1104:C1104"/>
    <mergeCell ref="D1104:O1104"/>
    <mergeCell ref="P1104:R1104"/>
    <mergeCell ref="AJ1042:AL1042"/>
    <mergeCell ref="AM1042:AP1042"/>
    <mergeCell ref="B1043:C1043"/>
    <mergeCell ref="P1043:R1043"/>
    <mergeCell ref="S1043:T1043"/>
    <mergeCell ref="U1043:W1043"/>
    <mergeCell ref="X1043:Z1043"/>
    <mergeCell ref="AA1043:AC1043"/>
    <mergeCell ref="AD1043:AF1043"/>
    <mergeCell ref="AG1043:AI1043"/>
    <mergeCell ref="AJ1043:AL1043"/>
    <mergeCell ref="AM1043:AP1043"/>
    <mergeCell ref="B1042:C1042"/>
    <mergeCell ref="P1042:R1042"/>
    <mergeCell ref="S1042:T1042"/>
    <mergeCell ref="U1042:W1042"/>
    <mergeCell ref="X1042:Z1042"/>
    <mergeCell ref="AA1042:AC1042"/>
    <mergeCell ref="AD1042:AF1042"/>
    <mergeCell ref="AG1042:AI1042"/>
    <mergeCell ref="D1042:O1042"/>
    <mergeCell ref="D1043:O1043"/>
    <mergeCell ref="AJ1044:AL1044"/>
    <mergeCell ref="AM1044:AP1044"/>
    <mergeCell ref="B1078:C1078"/>
    <mergeCell ref="P1078:R1078"/>
    <mergeCell ref="S1078:T1078"/>
    <mergeCell ref="U1078:W1078"/>
    <mergeCell ref="X1078:Z1078"/>
    <mergeCell ref="AA1078:AC1078"/>
    <mergeCell ref="AD1078:AF1078"/>
    <mergeCell ref="AG1078:AI1078"/>
    <mergeCell ref="AJ1093:AL1093"/>
    <mergeCell ref="AM1093:AP1093"/>
    <mergeCell ref="B1093:C1093"/>
    <mergeCell ref="P1093:R1093"/>
    <mergeCell ref="S1093:T1093"/>
    <mergeCell ref="U1093:W1093"/>
    <mergeCell ref="X1093:Z1093"/>
    <mergeCell ref="AA1093:AC1093"/>
    <mergeCell ref="AD1093:AF1093"/>
    <mergeCell ref="AG1093:AI1093"/>
    <mergeCell ref="AA1085:AC1085"/>
    <mergeCell ref="AD1085:AF1085"/>
    <mergeCell ref="AG1085:AI1085"/>
    <mergeCell ref="AJ1087:AL1087"/>
    <mergeCell ref="AM1087:AP1087"/>
    <mergeCell ref="B1088:C1088"/>
    <mergeCell ref="P1088:R1088"/>
    <mergeCell ref="S1088:T1088"/>
    <mergeCell ref="U1088:W1088"/>
    <mergeCell ref="X1088:Z1088"/>
    <mergeCell ref="AA1088:AC1088"/>
    <mergeCell ref="AD1088:AF1088"/>
    <mergeCell ref="AG1088:AI1088"/>
    <mergeCell ref="AJ1088:AL1088"/>
    <mergeCell ref="AM1088:AP1088"/>
    <mergeCell ref="B1087:C1087"/>
    <mergeCell ref="S1087:T1087"/>
    <mergeCell ref="U1087:W1087"/>
    <mergeCell ref="X1087:Z1087"/>
    <mergeCell ref="AA1087:AC1087"/>
    <mergeCell ref="AD1087:AF1087"/>
    <mergeCell ref="AG1087:AI1087"/>
    <mergeCell ref="AA1089:AC1089"/>
    <mergeCell ref="AD1089:AF1089"/>
    <mergeCell ref="AG1089:AI1089"/>
    <mergeCell ref="D1093:O1093"/>
    <mergeCell ref="AG1106:AI1106"/>
    <mergeCell ref="AJ1106:AL1106"/>
    <mergeCell ref="AM1106:AP1106"/>
    <mergeCell ref="D1099:O1099"/>
    <mergeCell ref="P1099:R1099"/>
    <mergeCell ref="S1099:T1099"/>
    <mergeCell ref="U1099:W1099"/>
    <mergeCell ref="X1099:Z1099"/>
    <mergeCell ref="AA1099:AC1099"/>
    <mergeCell ref="AD1099:AF1099"/>
    <mergeCell ref="AG1099:AI1099"/>
    <mergeCell ref="AJ1099:AL1099"/>
    <mergeCell ref="AM1099:AP1099"/>
    <mergeCell ref="U1097:W1097"/>
    <mergeCell ref="X1097:Z1097"/>
    <mergeCell ref="AA1097:AC1097"/>
    <mergeCell ref="AG1095:AI1095"/>
    <mergeCell ref="AJ1097:AL1097"/>
    <mergeCell ref="AM1097:AP1097"/>
    <mergeCell ref="B1099:C1099"/>
    <mergeCell ref="B1100:C1100"/>
    <mergeCell ref="D1100:O1100"/>
    <mergeCell ref="D1094:O1094"/>
    <mergeCell ref="D1095:O1095"/>
    <mergeCell ref="D1096:O1096"/>
    <mergeCell ref="AJ1095:AL1095"/>
    <mergeCell ref="AM1095:AP1095"/>
    <mergeCell ref="B1096:C1096"/>
    <mergeCell ref="U1090:W1090"/>
    <mergeCell ref="X1090:Z1090"/>
    <mergeCell ref="AA1090:AC1090"/>
    <mergeCell ref="AD1090:AF1090"/>
    <mergeCell ref="AG1090:AI1090"/>
    <mergeCell ref="AJ1090:AL1090"/>
    <mergeCell ref="AM1090:AP1090"/>
    <mergeCell ref="D1090:O1090"/>
    <mergeCell ref="AJ1091:AL1091"/>
    <mergeCell ref="AM1091:AP1091"/>
    <mergeCell ref="B1092:C1092"/>
    <mergeCell ref="P1092:R1092"/>
    <mergeCell ref="S1092:T1092"/>
    <mergeCell ref="U1092:W1092"/>
    <mergeCell ref="X1092:Z1092"/>
    <mergeCell ref="AA1092:AC1092"/>
    <mergeCell ref="P1106:R1106"/>
    <mergeCell ref="AG1092:AI1092"/>
    <mergeCell ref="AJ1092:AL1092"/>
    <mergeCell ref="AM1092:AP1092"/>
    <mergeCell ref="B1091:C1091"/>
    <mergeCell ref="P1091:R1091"/>
    <mergeCell ref="S1091:T1091"/>
    <mergeCell ref="D1092:O1092"/>
    <mergeCell ref="B1094:C1094"/>
    <mergeCell ref="P1094:R1094"/>
    <mergeCell ref="S1094:T1094"/>
    <mergeCell ref="U1094:W1094"/>
    <mergeCell ref="X1094:Z1094"/>
    <mergeCell ref="AA1094:AC1094"/>
    <mergeCell ref="AD1094:AF1094"/>
    <mergeCell ref="AG1094:AI1094"/>
    <mergeCell ref="D1089:O1089"/>
    <mergeCell ref="AJ1078:AL1078"/>
    <mergeCell ref="AM1078:AP1078"/>
    <mergeCell ref="B1044:C1044"/>
    <mergeCell ref="P1044:R1044"/>
    <mergeCell ref="S1044:T1044"/>
    <mergeCell ref="U1044:W1044"/>
    <mergeCell ref="X1044:Z1044"/>
    <mergeCell ref="AA1044:AC1044"/>
    <mergeCell ref="AD1044:AF1044"/>
    <mergeCell ref="AG1044:AI1044"/>
    <mergeCell ref="D1044:O1044"/>
    <mergeCell ref="B1045:C1045"/>
    <mergeCell ref="D1045:O1045"/>
    <mergeCell ref="P1045:R1045"/>
    <mergeCell ref="S1045:T1045"/>
    <mergeCell ref="U1045:W1045"/>
    <mergeCell ref="X1045:Z1045"/>
    <mergeCell ref="AA1045:AC1045"/>
    <mergeCell ref="AD1045:AF1045"/>
    <mergeCell ref="AG1045:AI1045"/>
    <mergeCell ref="AJ1045:AL1045"/>
    <mergeCell ref="AM1045:AP1045"/>
    <mergeCell ref="AA1046:AC1046"/>
    <mergeCell ref="AD1046:AF1046"/>
    <mergeCell ref="AG1046:AI1046"/>
    <mergeCell ref="AJ1046:AL1046"/>
    <mergeCell ref="AM1046:AP1046"/>
    <mergeCell ref="U1052:W1052"/>
    <mergeCell ref="X1052:Z1052"/>
    <mergeCell ref="AA1052:AC1052"/>
    <mergeCell ref="AD1052:AF1052"/>
    <mergeCell ref="AG1052:AI1052"/>
    <mergeCell ref="B1046:C1046"/>
    <mergeCell ref="P1046:R1046"/>
    <mergeCell ref="S1046:T1046"/>
    <mergeCell ref="U1046:W1046"/>
    <mergeCell ref="X1046:Z1046"/>
    <mergeCell ref="D1078:O1078"/>
    <mergeCell ref="B1047:C1047"/>
    <mergeCell ref="D1047:O1047"/>
    <mergeCell ref="P1047:R1047"/>
    <mergeCell ref="S1047:T1047"/>
    <mergeCell ref="U1047:W1047"/>
    <mergeCell ref="X1047:Z1047"/>
    <mergeCell ref="AA1047:AC1047"/>
    <mergeCell ref="AD1047:AF1047"/>
    <mergeCell ref="AG1047:AI1047"/>
    <mergeCell ref="P1087:R1087"/>
    <mergeCell ref="D1046:O1046"/>
    <mergeCell ref="D1077:O1077"/>
    <mergeCell ref="AJ1057:AL1057"/>
    <mergeCell ref="AM1057:AP1057"/>
    <mergeCell ref="AJ1047:AL1047"/>
    <mergeCell ref="AM1047:AP1047"/>
    <mergeCell ref="D1087:O1087"/>
    <mergeCell ref="D1088:O1088"/>
    <mergeCell ref="AJ1089:AL1089"/>
    <mergeCell ref="AM1089:AP1089"/>
    <mergeCell ref="B1089:C1089"/>
    <mergeCell ref="P1089:R1089"/>
    <mergeCell ref="S1089:T1089"/>
    <mergeCell ref="U1089:W1089"/>
    <mergeCell ref="X1089:Z1089"/>
    <mergeCell ref="AJ1048:AL1048"/>
    <mergeCell ref="AM1048:AP1048"/>
    <mergeCell ref="AJ1052:AL1052"/>
    <mergeCell ref="AM1052:AP1052"/>
    <mergeCell ref="B1049:C1049"/>
    <mergeCell ref="D1049:O1049"/>
    <mergeCell ref="B1164:C1164"/>
    <mergeCell ref="AD1164:AF1164"/>
    <mergeCell ref="AG1164:AI1164"/>
    <mergeCell ref="AJ1164:AL1164"/>
    <mergeCell ref="AM1164:AP1164"/>
    <mergeCell ref="B1074:C1074"/>
    <mergeCell ref="AD1074:AF1074"/>
    <mergeCell ref="AG1074:AI1074"/>
    <mergeCell ref="AJ1074:AL1074"/>
    <mergeCell ref="AM1074:AP1074"/>
    <mergeCell ref="B1119:C1119"/>
    <mergeCell ref="AD1119:AF1119"/>
    <mergeCell ref="AG1119:AI1119"/>
    <mergeCell ref="AJ1119:AL1119"/>
    <mergeCell ref="AG1049:AI1049"/>
    <mergeCell ref="AJ1049:AL1049"/>
    <mergeCell ref="AM1049:AP1049"/>
    <mergeCell ref="B1050:C1050"/>
    <mergeCell ref="D1050:O1050"/>
    <mergeCell ref="P1050:R1050"/>
    <mergeCell ref="AA1050:AC1050"/>
    <mergeCell ref="AD1050:AF1050"/>
    <mergeCell ref="AG1050:AI1050"/>
    <mergeCell ref="AJ1050:AL1050"/>
    <mergeCell ref="AM1050:AP1050"/>
    <mergeCell ref="B1060:C1060"/>
    <mergeCell ref="D1060:O1060"/>
    <mergeCell ref="P1060:R1060"/>
    <mergeCell ref="S1060:T1060"/>
    <mergeCell ref="U1060:W1060"/>
    <mergeCell ref="X1060:Z1060"/>
    <mergeCell ref="AA1060:AC1060"/>
    <mergeCell ref="AD1060:AF1060"/>
    <mergeCell ref="AG1060:AI1060"/>
    <mergeCell ref="AJ1060:AL1060"/>
    <mergeCell ref="AM1060:AP1060"/>
    <mergeCell ref="B1058:C1058"/>
    <mergeCell ref="D1058:O1058"/>
    <mergeCell ref="P1058:R1058"/>
    <mergeCell ref="S1085:T1085"/>
    <mergeCell ref="U1085:W1085"/>
    <mergeCell ref="X1085:Z1085"/>
    <mergeCell ref="AJ1083:AL1083"/>
    <mergeCell ref="P1049:R1049"/>
    <mergeCell ref="S1049:T1049"/>
    <mergeCell ref="U1049:W1049"/>
    <mergeCell ref="X1049:Z1049"/>
    <mergeCell ref="AA1049:AC1049"/>
    <mergeCell ref="AD1049:AF1049"/>
    <mergeCell ref="U1091:W1091"/>
    <mergeCell ref="X1091:Z1091"/>
    <mergeCell ref="AA1091:AC1091"/>
    <mergeCell ref="AD1091:AF1091"/>
    <mergeCell ref="AG1091:AI1091"/>
    <mergeCell ref="B1090:C1090"/>
    <mergeCell ref="P1090:R1090"/>
    <mergeCell ref="S1090:T1090"/>
    <mergeCell ref="D1086:O1086"/>
    <mergeCell ref="AA1084:AC1084"/>
    <mergeCell ref="AD1084:AF1084"/>
    <mergeCell ref="AG1084:AI1084"/>
    <mergeCell ref="AJ1084:AL1084"/>
    <mergeCell ref="AM1084:AP1084"/>
    <mergeCell ref="B1083:C1083"/>
    <mergeCell ref="P1083:R1083"/>
    <mergeCell ref="S1083:T1083"/>
    <mergeCell ref="X1056:Z1056"/>
    <mergeCell ref="AA1056:AC1056"/>
    <mergeCell ref="AD1056:AF1056"/>
    <mergeCell ref="AG1056:AI1056"/>
    <mergeCell ref="AJ1056:AL1056"/>
    <mergeCell ref="AM1056:AP1056"/>
    <mergeCell ref="AJ1036:AL1036"/>
    <mergeCell ref="AM1036:AP1036"/>
    <mergeCell ref="B1037:C1037"/>
    <mergeCell ref="P1037:R1037"/>
    <mergeCell ref="S1037:T1037"/>
    <mergeCell ref="U1037:W1037"/>
    <mergeCell ref="X1037:Z1037"/>
    <mergeCell ref="AA1037:AC1037"/>
    <mergeCell ref="AD1037:AF1037"/>
    <mergeCell ref="AG1037:AI1037"/>
    <mergeCell ref="AJ1037:AL1037"/>
    <mergeCell ref="AM1037:AP1037"/>
    <mergeCell ref="B1036:C1036"/>
    <mergeCell ref="P1036:R1036"/>
    <mergeCell ref="S1036:T1036"/>
    <mergeCell ref="U1036:W1036"/>
    <mergeCell ref="X1036:Z1036"/>
    <mergeCell ref="AA1036:AC1036"/>
    <mergeCell ref="AD1036:AF1036"/>
    <mergeCell ref="AG1036:AI1036"/>
    <mergeCell ref="AJ1038:AL1038"/>
    <mergeCell ref="AM1038:AP1038"/>
    <mergeCell ref="B1039:C1039"/>
    <mergeCell ref="P1039:R1039"/>
    <mergeCell ref="S1039:T1039"/>
    <mergeCell ref="U1039:W1039"/>
    <mergeCell ref="X1039:Z1039"/>
    <mergeCell ref="AA1039:AC1039"/>
    <mergeCell ref="AD1039:AF1039"/>
    <mergeCell ref="AG1039:AI1039"/>
    <mergeCell ref="AJ1039:AL1039"/>
    <mergeCell ref="AM1039:AP1039"/>
    <mergeCell ref="B1038:C1038"/>
    <mergeCell ref="P1038:R1038"/>
    <mergeCell ref="S1038:T1038"/>
    <mergeCell ref="B1062:C1062"/>
    <mergeCell ref="D1062:O1062"/>
    <mergeCell ref="P1062:R1062"/>
    <mergeCell ref="S1062:T1062"/>
    <mergeCell ref="U1062:W1062"/>
    <mergeCell ref="X1062:Z1062"/>
    <mergeCell ref="B1048:C1048"/>
    <mergeCell ref="D1048:O1048"/>
    <mergeCell ref="P1048:R1048"/>
    <mergeCell ref="S1048:T1048"/>
    <mergeCell ref="U1048:W1048"/>
    <mergeCell ref="X1048:Z1048"/>
    <mergeCell ref="AA1048:AC1048"/>
    <mergeCell ref="AD1048:AF1048"/>
    <mergeCell ref="AG1048:AI1048"/>
    <mergeCell ref="B1033:C1033"/>
    <mergeCell ref="P1033:R1033"/>
    <mergeCell ref="S1033:T1033"/>
    <mergeCell ref="U1033:W1033"/>
    <mergeCell ref="X1033:Z1033"/>
    <mergeCell ref="AA1033:AC1033"/>
    <mergeCell ref="AD1033:AF1033"/>
    <mergeCell ref="AG1033:AI1033"/>
    <mergeCell ref="AJ1033:AL1033"/>
    <mergeCell ref="AM1033:AP1033"/>
    <mergeCell ref="B1034:C1034"/>
    <mergeCell ref="P1034:R1034"/>
    <mergeCell ref="S1034:T1034"/>
    <mergeCell ref="U1034:W1034"/>
    <mergeCell ref="X1034:Z1034"/>
    <mergeCell ref="AA1034:AC1034"/>
    <mergeCell ref="AD1034:AF1034"/>
    <mergeCell ref="AG1034:AI1034"/>
    <mergeCell ref="AJ1034:AL1034"/>
    <mergeCell ref="AM1034:AP1034"/>
    <mergeCell ref="D1033:O1033"/>
    <mergeCell ref="D1034:O1034"/>
    <mergeCell ref="B1035:C1035"/>
    <mergeCell ref="P1035:R1035"/>
    <mergeCell ref="S1035:T1035"/>
    <mergeCell ref="U1035:W1035"/>
    <mergeCell ref="X1035:Z1035"/>
    <mergeCell ref="AA1035:AC1035"/>
    <mergeCell ref="AD1035:AF1035"/>
    <mergeCell ref="AG1035:AI1035"/>
    <mergeCell ref="AJ1035:AL1035"/>
    <mergeCell ref="AM1035:AP1035"/>
    <mergeCell ref="AJ1041:AL1041"/>
    <mergeCell ref="AM1041:AP1041"/>
    <mergeCell ref="B1040:C1040"/>
    <mergeCell ref="P1040:R1040"/>
    <mergeCell ref="S1040:T1040"/>
    <mergeCell ref="U1040:W1040"/>
    <mergeCell ref="X1040:Z1040"/>
    <mergeCell ref="AA1040:AC1040"/>
    <mergeCell ref="U1041:W1041"/>
    <mergeCell ref="X1041:Z1041"/>
    <mergeCell ref="AA1041:AC1041"/>
    <mergeCell ref="AD1041:AF1041"/>
    <mergeCell ref="AG1041:AI1041"/>
    <mergeCell ref="D1039:O1039"/>
    <mergeCell ref="D1041:O1041"/>
    <mergeCell ref="D1040:O1040"/>
    <mergeCell ref="U1038:W1038"/>
    <mergeCell ref="X1038:Z1038"/>
    <mergeCell ref="AA1038:AC1038"/>
    <mergeCell ref="AD1038:AF1038"/>
    <mergeCell ref="AG1038:AI1038"/>
    <mergeCell ref="AJ1040:AL1040"/>
    <mergeCell ref="AM1040:AP1040"/>
    <mergeCell ref="B1041:C1041"/>
    <mergeCell ref="P1041:R1041"/>
    <mergeCell ref="S1041:T1041"/>
    <mergeCell ref="AJ1006:AL1006"/>
    <mergeCell ref="AM1006:AP1006"/>
    <mergeCell ref="B1007:C1007"/>
    <mergeCell ref="P1007:R1007"/>
    <mergeCell ref="S1007:T1007"/>
    <mergeCell ref="U1007:W1007"/>
    <mergeCell ref="X1007:Z1007"/>
    <mergeCell ref="AA1007:AC1007"/>
    <mergeCell ref="AD1007:AF1007"/>
    <mergeCell ref="AG1007:AI1007"/>
    <mergeCell ref="AJ1007:AL1007"/>
    <mergeCell ref="AM1007:AP1007"/>
    <mergeCell ref="B1006:C1006"/>
    <mergeCell ref="P1006:R1006"/>
    <mergeCell ref="S1006:T1006"/>
    <mergeCell ref="U1006:W1006"/>
    <mergeCell ref="X1006:Z1006"/>
    <mergeCell ref="AA1006:AC1006"/>
    <mergeCell ref="AD1006:AF1006"/>
    <mergeCell ref="AG1006:AI1006"/>
    <mergeCell ref="D1006:O1006"/>
    <mergeCell ref="D1007:O1007"/>
    <mergeCell ref="B1011:C1011"/>
    <mergeCell ref="D1011:O1011"/>
    <mergeCell ref="P1011:R1011"/>
    <mergeCell ref="S1011:T1011"/>
    <mergeCell ref="U1011:W1011"/>
    <mergeCell ref="X1011:Z1011"/>
    <mergeCell ref="AA1011:AC1011"/>
    <mergeCell ref="AD1011:AF1011"/>
    <mergeCell ref="AG1011:AI1011"/>
    <mergeCell ref="AJ1011:AL1011"/>
    <mergeCell ref="AM1011:AP1011"/>
    <mergeCell ref="AG1009:AI1009"/>
    <mergeCell ref="AJ1009:AL1009"/>
    <mergeCell ref="AM1009:AP1009"/>
    <mergeCell ref="B1010:C1010"/>
    <mergeCell ref="D1010:O1010"/>
    <mergeCell ref="P1010:R1010"/>
    <mergeCell ref="S1010:T1010"/>
    <mergeCell ref="U1010:W1010"/>
    <mergeCell ref="X1010:Z1010"/>
    <mergeCell ref="AA1010:AC1010"/>
    <mergeCell ref="AD1010:AF1010"/>
    <mergeCell ref="AG1010:AI1010"/>
    <mergeCell ref="AJ1010:AL1010"/>
    <mergeCell ref="AM1010:AP1010"/>
    <mergeCell ref="B1012:C1012"/>
    <mergeCell ref="D1012:O1012"/>
    <mergeCell ref="P1012:R1012"/>
    <mergeCell ref="S1012:T1012"/>
    <mergeCell ref="U1012:W1012"/>
    <mergeCell ref="X1012:Z1012"/>
    <mergeCell ref="AA1012:AC1012"/>
    <mergeCell ref="AD1012:AF1012"/>
    <mergeCell ref="AG1012:AI1012"/>
    <mergeCell ref="AJ1012:AL1012"/>
    <mergeCell ref="AM1012:AP1012"/>
    <mergeCell ref="B1009:C1009"/>
    <mergeCell ref="D1009:O1009"/>
    <mergeCell ref="P1009:R1009"/>
    <mergeCell ref="S1009:T1009"/>
    <mergeCell ref="U1009:W1009"/>
    <mergeCell ref="X1009:Z1009"/>
    <mergeCell ref="AA1009:AC1009"/>
    <mergeCell ref="AD1009:AF1009"/>
    <mergeCell ref="AG1080:AI1080"/>
    <mergeCell ref="AJ1080:AL1080"/>
    <mergeCell ref="AM1080:AP1080"/>
    <mergeCell ref="B1077:C1077"/>
    <mergeCell ref="P1077:R1077"/>
    <mergeCell ref="S1077:T1077"/>
    <mergeCell ref="U1077:W1077"/>
    <mergeCell ref="X1077:Z1077"/>
    <mergeCell ref="AA1077:AC1077"/>
    <mergeCell ref="AD1077:AF1077"/>
    <mergeCell ref="AG1077:AI1077"/>
    <mergeCell ref="B1029:C1029"/>
    <mergeCell ref="AD1029:AF1029"/>
    <mergeCell ref="AG1029:AI1029"/>
    <mergeCell ref="AJ1029:AL1029"/>
    <mergeCell ref="AM1029:AP1029"/>
    <mergeCell ref="B1032:C1032"/>
    <mergeCell ref="P1032:R1032"/>
    <mergeCell ref="S1032:T1032"/>
    <mergeCell ref="U1032:W1032"/>
    <mergeCell ref="X1032:Z1032"/>
    <mergeCell ref="AA1032:AC1032"/>
    <mergeCell ref="AD1032:AF1032"/>
    <mergeCell ref="AG1032:AI1032"/>
    <mergeCell ref="AJ1032:AL1032"/>
    <mergeCell ref="AM1032:AP1032"/>
    <mergeCell ref="D1080:O1080"/>
    <mergeCell ref="D1038:O1038"/>
    <mergeCell ref="B1079:C1079"/>
    <mergeCell ref="P1079:R1079"/>
    <mergeCell ref="S1079:T1079"/>
    <mergeCell ref="U1079:W1079"/>
    <mergeCell ref="X1079:Z1079"/>
    <mergeCell ref="AA1079:AC1079"/>
    <mergeCell ref="AD1079:AF1079"/>
    <mergeCell ref="AG1079:AI1079"/>
    <mergeCell ref="AJ1079:AL1079"/>
    <mergeCell ref="AM1079:AP1079"/>
    <mergeCell ref="AJ1077:AL1077"/>
    <mergeCell ref="AM1077:AP1077"/>
    <mergeCell ref="AD1040:AF1040"/>
    <mergeCell ref="AG1040:AI1040"/>
    <mergeCell ref="S1050:T1050"/>
    <mergeCell ref="U1050:W1050"/>
    <mergeCell ref="X1050:Z1050"/>
    <mergeCell ref="AJ1002:AL1002"/>
    <mergeCell ref="AM1002:AP1002"/>
    <mergeCell ref="B1003:C1003"/>
    <mergeCell ref="P1003:R1003"/>
    <mergeCell ref="S1003:T1003"/>
    <mergeCell ref="U1003:W1003"/>
    <mergeCell ref="X1003:Z1003"/>
    <mergeCell ref="AA1003:AC1003"/>
    <mergeCell ref="AD1003:AF1003"/>
    <mergeCell ref="AG1003:AI1003"/>
    <mergeCell ref="AJ1003:AL1003"/>
    <mergeCell ref="AM1003:AP1003"/>
    <mergeCell ref="B1002:C1002"/>
    <mergeCell ref="P1002:R1002"/>
    <mergeCell ref="S1002:T1002"/>
    <mergeCell ref="U1002:W1002"/>
    <mergeCell ref="X1002:Z1002"/>
    <mergeCell ref="AA1002:AC1002"/>
    <mergeCell ref="AD1002:AF1002"/>
    <mergeCell ref="AG1002:AI1002"/>
    <mergeCell ref="D1002:O1002"/>
    <mergeCell ref="D1003:O1003"/>
    <mergeCell ref="AJ1004:AL1004"/>
    <mergeCell ref="AM1004:AP1004"/>
    <mergeCell ref="B1005:C1005"/>
    <mergeCell ref="P1005:R1005"/>
    <mergeCell ref="S1005:T1005"/>
    <mergeCell ref="U1005:W1005"/>
    <mergeCell ref="X1005:Z1005"/>
    <mergeCell ref="AA1005:AC1005"/>
    <mergeCell ref="AD1005:AF1005"/>
    <mergeCell ref="AG1005:AI1005"/>
    <mergeCell ref="AJ1005:AL1005"/>
    <mergeCell ref="AM1005:AP1005"/>
    <mergeCell ref="B1004:C1004"/>
    <mergeCell ref="P1004:R1004"/>
    <mergeCell ref="S1004:T1004"/>
    <mergeCell ref="U1004:W1004"/>
    <mergeCell ref="X1004:Z1004"/>
    <mergeCell ref="AA1004:AC1004"/>
    <mergeCell ref="AD1004:AF1004"/>
    <mergeCell ref="AG1004:AI1004"/>
    <mergeCell ref="D1004:O1004"/>
    <mergeCell ref="D1005:O1005"/>
    <mergeCell ref="AJ998:AL998"/>
    <mergeCell ref="AM998:AP998"/>
    <mergeCell ref="B998:C998"/>
    <mergeCell ref="P998:R998"/>
    <mergeCell ref="S998:T998"/>
    <mergeCell ref="U998:W998"/>
    <mergeCell ref="X998:Z998"/>
    <mergeCell ref="AA998:AC998"/>
    <mergeCell ref="AD998:AF998"/>
    <mergeCell ref="AG998:AI998"/>
    <mergeCell ref="D998:O998"/>
    <mergeCell ref="B999:C999"/>
    <mergeCell ref="P999:R999"/>
    <mergeCell ref="S999:T999"/>
    <mergeCell ref="U999:W999"/>
    <mergeCell ref="X999:Z999"/>
    <mergeCell ref="AA999:AC999"/>
    <mergeCell ref="AD999:AF999"/>
    <mergeCell ref="AG999:AI999"/>
    <mergeCell ref="AJ999:AL999"/>
    <mergeCell ref="AM999:AP999"/>
    <mergeCell ref="D999:O999"/>
    <mergeCell ref="AJ1000:AL1000"/>
    <mergeCell ref="AM1000:AP1000"/>
    <mergeCell ref="B1001:C1001"/>
    <mergeCell ref="P1001:R1001"/>
    <mergeCell ref="S1001:T1001"/>
    <mergeCell ref="U1001:W1001"/>
    <mergeCell ref="X1001:Z1001"/>
    <mergeCell ref="AA1001:AC1001"/>
    <mergeCell ref="AD1001:AF1001"/>
    <mergeCell ref="AG1001:AI1001"/>
    <mergeCell ref="AJ1001:AL1001"/>
    <mergeCell ref="AM1001:AP1001"/>
    <mergeCell ref="B1000:C1000"/>
    <mergeCell ref="P1000:R1000"/>
    <mergeCell ref="S1000:T1000"/>
    <mergeCell ref="U1000:W1000"/>
    <mergeCell ref="X1000:Z1000"/>
    <mergeCell ref="AA1000:AC1000"/>
    <mergeCell ref="AD1000:AF1000"/>
    <mergeCell ref="AG1000:AI1000"/>
    <mergeCell ref="D1000:O1000"/>
    <mergeCell ref="D1001:O1001"/>
    <mergeCell ref="X992:Z992"/>
    <mergeCell ref="AA992:AC992"/>
    <mergeCell ref="AD992:AF992"/>
    <mergeCell ref="AG992:AI992"/>
    <mergeCell ref="D992:O992"/>
    <mergeCell ref="D993:O993"/>
    <mergeCell ref="AJ994:AL994"/>
    <mergeCell ref="AM994:AP994"/>
    <mergeCell ref="B995:C995"/>
    <mergeCell ref="P995:R995"/>
    <mergeCell ref="S995:T995"/>
    <mergeCell ref="U995:W995"/>
    <mergeCell ref="X995:Z995"/>
    <mergeCell ref="AA995:AC995"/>
    <mergeCell ref="AD995:AF995"/>
    <mergeCell ref="AG995:AI995"/>
    <mergeCell ref="AJ995:AL995"/>
    <mergeCell ref="AM995:AP995"/>
    <mergeCell ref="B994:C994"/>
    <mergeCell ref="P994:R994"/>
    <mergeCell ref="S994:T994"/>
    <mergeCell ref="U994:W994"/>
    <mergeCell ref="X994:Z994"/>
    <mergeCell ref="AA994:AC994"/>
    <mergeCell ref="AD994:AF994"/>
    <mergeCell ref="AG994:AI994"/>
    <mergeCell ref="D994:O994"/>
    <mergeCell ref="D995:O995"/>
    <mergeCell ref="AJ996:AL996"/>
    <mergeCell ref="AM996:AP996"/>
    <mergeCell ref="B997:C997"/>
    <mergeCell ref="P997:R997"/>
    <mergeCell ref="S997:T997"/>
    <mergeCell ref="U997:W997"/>
    <mergeCell ref="X997:Z997"/>
    <mergeCell ref="AA997:AC997"/>
    <mergeCell ref="AD997:AF997"/>
    <mergeCell ref="AG997:AI997"/>
    <mergeCell ref="AJ997:AL997"/>
    <mergeCell ref="AM997:AP997"/>
    <mergeCell ref="B996:C996"/>
    <mergeCell ref="P996:R996"/>
    <mergeCell ref="S996:T996"/>
    <mergeCell ref="U996:W996"/>
    <mergeCell ref="X996:Z996"/>
    <mergeCell ref="AA996:AC996"/>
    <mergeCell ref="AD996:AF996"/>
    <mergeCell ref="AG996:AI996"/>
    <mergeCell ref="D997:O997"/>
    <mergeCell ref="D996:O996"/>
    <mergeCell ref="AJ951:AL951"/>
    <mergeCell ref="AM951:AP951"/>
    <mergeCell ref="B952:C952"/>
    <mergeCell ref="P952:R952"/>
    <mergeCell ref="S952:T952"/>
    <mergeCell ref="U952:W952"/>
    <mergeCell ref="X952:Z952"/>
    <mergeCell ref="AA952:AC952"/>
    <mergeCell ref="AD952:AF952"/>
    <mergeCell ref="AG952:AI952"/>
    <mergeCell ref="AJ952:AL952"/>
    <mergeCell ref="AM952:AP952"/>
    <mergeCell ref="B951:C951"/>
    <mergeCell ref="P951:R951"/>
    <mergeCell ref="S951:T951"/>
    <mergeCell ref="U951:W951"/>
    <mergeCell ref="X951:Z951"/>
    <mergeCell ref="AA951:AC951"/>
    <mergeCell ref="AD951:AF951"/>
    <mergeCell ref="AG951:AI951"/>
    <mergeCell ref="D951:O951"/>
    <mergeCell ref="D952:O952"/>
    <mergeCell ref="B984:C984"/>
    <mergeCell ref="AD984:AF984"/>
    <mergeCell ref="AG984:AI984"/>
    <mergeCell ref="AJ984:AL984"/>
    <mergeCell ref="AM984:AP984"/>
    <mergeCell ref="B987:C987"/>
    <mergeCell ref="P987:R987"/>
    <mergeCell ref="S987:T987"/>
    <mergeCell ref="U987:W987"/>
    <mergeCell ref="X987:Z987"/>
    <mergeCell ref="AA987:AC987"/>
    <mergeCell ref="AD987:AF987"/>
    <mergeCell ref="AG987:AI987"/>
    <mergeCell ref="AJ987:AL987"/>
    <mergeCell ref="AM987:AP987"/>
    <mergeCell ref="D987:O987"/>
    <mergeCell ref="B953:C953"/>
    <mergeCell ref="P953:R953"/>
    <mergeCell ref="S953:T953"/>
    <mergeCell ref="U953:W953"/>
    <mergeCell ref="X953:Z953"/>
    <mergeCell ref="AA953:AC953"/>
    <mergeCell ref="AD953:AF953"/>
    <mergeCell ref="AG953:AI953"/>
    <mergeCell ref="AJ953:AL953"/>
    <mergeCell ref="AM953:AP953"/>
    <mergeCell ref="U960:W960"/>
    <mergeCell ref="X960:Z960"/>
    <mergeCell ref="AA960:AC960"/>
    <mergeCell ref="AD960:AF960"/>
    <mergeCell ref="AG960:AI960"/>
    <mergeCell ref="AJ960:AL960"/>
    <mergeCell ref="AM960:AP960"/>
    <mergeCell ref="B970:C970"/>
    <mergeCell ref="P970:R970"/>
    <mergeCell ref="S970:T970"/>
    <mergeCell ref="U970:W970"/>
    <mergeCell ref="X970:Z970"/>
    <mergeCell ref="AA970:AC970"/>
    <mergeCell ref="AD970:AF970"/>
    <mergeCell ref="AG970:AI970"/>
    <mergeCell ref="AJ970:AL970"/>
    <mergeCell ref="AJ947:AL947"/>
    <mergeCell ref="AM947:AP947"/>
    <mergeCell ref="B948:C948"/>
    <mergeCell ref="P948:R948"/>
    <mergeCell ref="S948:T948"/>
    <mergeCell ref="U948:W948"/>
    <mergeCell ref="X948:Z948"/>
    <mergeCell ref="AA948:AC948"/>
    <mergeCell ref="AD948:AF948"/>
    <mergeCell ref="AG948:AI948"/>
    <mergeCell ref="AJ948:AL948"/>
    <mergeCell ref="AM948:AP948"/>
    <mergeCell ref="B947:C947"/>
    <mergeCell ref="P947:R947"/>
    <mergeCell ref="S947:T947"/>
    <mergeCell ref="U947:W947"/>
    <mergeCell ref="X947:Z947"/>
    <mergeCell ref="AA947:AC947"/>
    <mergeCell ref="AD947:AF947"/>
    <mergeCell ref="AG947:AI947"/>
    <mergeCell ref="AJ949:AL949"/>
    <mergeCell ref="AM949:AP949"/>
    <mergeCell ref="B950:C950"/>
    <mergeCell ref="P950:R950"/>
    <mergeCell ref="S950:T950"/>
    <mergeCell ref="U950:W950"/>
    <mergeCell ref="X950:Z950"/>
    <mergeCell ref="AA950:AC950"/>
    <mergeCell ref="AD950:AF950"/>
    <mergeCell ref="AG950:AI950"/>
    <mergeCell ref="AJ950:AL950"/>
    <mergeCell ref="AM950:AP950"/>
    <mergeCell ref="B949:C949"/>
    <mergeCell ref="P949:R949"/>
    <mergeCell ref="S949:T949"/>
    <mergeCell ref="U949:W949"/>
    <mergeCell ref="X949:Z949"/>
    <mergeCell ref="AA949:AC949"/>
    <mergeCell ref="AD949:AF949"/>
    <mergeCell ref="AG949:AI949"/>
    <mergeCell ref="D949:O949"/>
    <mergeCell ref="D950:O950"/>
    <mergeCell ref="D947:O947"/>
    <mergeCell ref="D948:O948"/>
    <mergeCell ref="AJ943:AL943"/>
    <mergeCell ref="AM943:AP943"/>
    <mergeCell ref="B944:C944"/>
    <mergeCell ref="P944:R944"/>
    <mergeCell ref="S944:T944"/>
    <mergeCell ref="U944:W944"/>
    <mergeCell ref="X944:Z944"/>
    <mergeCell ref="AA944:AC944"/>
    <mergeCell ref="AD944:AF944"/>
    <mergeCell ref="AG944:AI944"/>
    <mergeCell ref="AJ944:AL944"/>
    <mergeCell ref="AM944:AP944"/>
    <mergeCell ref="B943:C943"/>
    <mergeCell ref="P943:R943"/>
    <mergeCell ref="S943:T943"/>
    <mergeCell ref="U943:W943"/>
    <mergeCell ref="X943:Z943"/>
    <mergeCell ref="AA943:AC943"/>
    <mergeCell ref="AD943:AF943"/>
    <mergeCell ref="AG943:AI943"/>
    <mergeCell ref="D943:O943"/>
    <mergeCell ref="AJ945:AL945"/>
    <mergeCell ref="AM945:AP945"/>
    <mergeCell ref="B946:C946"/>
    <mergeCell ref="P946:R946"/>
    <mergeCell ref="S946:T946"/>
    <mergeCell ref="U946:W946"/>
    <mergeCell ref="X946:Z946"/>
    <mergeCell ref="AA946:AC946"/>
    <mergeCell ref="AD946:AF946"/>
    <mergeCell ref="AG946:AI946"/>
    <mergeCell ref="AJ946:AL946"/>
    <mergeCell ref="AM946:AP946"/>
    <mergeCell ref="B945:C945"/>
    <mergeCell ref="P945:R945"/>
    <mergeCell ref="S945:T945"/>
    <mergeCell ref="U945:W945"/>
    <mergeCell ref="X945:Z945"/>
    <mergeCell ref="AA945:AC945"/>
    <mergeCell ref="AD945:AF945"/>
    <mergeCell ref="AG945:AI945"/>
    <mergeCell ref="D944:O944"/>
    <mergeCell ref="D945:O945"/>
    <mergeCell ref="D946:O946"/>
    <mergeCell ref="AJ916:AL916"/>
    <mergeCell ref="AM916:AP916"/>
    <mergeCell ref="B917:C917"/>
    <mergeCell ref="P917:R917"/>
    <mergeCell ref="S917:T917"/>
    <mergeCell ref="U917:W917"/>
    <mergeCell ref="X917:Z917"/>
    <mergeCell ref="AA917:AC917"/>
    <mergeCell ref="AD917:AF917"/>
    <mergeCell ref="AG917:AI917"/>
    <mergeCell ref="AJ917:AL917"/>
    <mergeCell ref="AM917:AP917"/>
    <mergeCell ref="B916:C916"/>
    <mergeCell ref="P916:R916"/>
    <mergeCell ref="S916:T916"/>
    <mergeCell ref="U916:W916"/>
    <mergeCell ref="X916:Z916"/>
    <mergeCell ref="AA916:AC916"/>
    <mergeCell ref="AD916:AF916"/>
    <mergeCell ref="AG916:AI916"/>
    <mergeCell ref="D916:O916"/>
    <mergeCell ref="D917:O917"/>
    <mergeCell ref="B939:C939"/>
    <mergeCell ref="AD939:AF939"/>
    <mergeCell ref="AG939:AI939"/>
    <mergeCell ref="AJ939:AL939"/>
    <mergeCell ref="AM939:AP939"/>
    <mergeCell ref="B942:C942"/>
    <mergeCell ref="P942:R942"/>
    <mergeCell ref="S942:T942"/>
    <mergeCell ref="U942:W942"/>
    <mergeCell ref="X942:Z942"/>
    <mergeCell ref="AA942:AC942"/>
    <mergeCell ref="AD942:AF942"/>
    <mergeCell ref="AG942:AI942"/>
    <mergeCell ref="AJ942:AL942"/>
    <mergeCell ref="AM942:AP942"/>
    <mergeCell ref="D942:O942"/>
    <mergeCell ref="B921:C921"/>
    <mergeCell ref="D921:O921"/>
    <mergeCell ref="P921:R921"/>
    <mergeCell ref="S921:T921"/>
    <mergeCell ref="U921:W921"/>
    <mergeCell ref="X921:Z921"/>
    <mergeCell ref="AA921:AC921"/>
    <mergeCell ref="AD921:AF921"/>
    <mergeCell ref="AG921:AI921"/>
    <mergeCell ref="AJ921:AL921"/>
    <mergeCell ref="AM921:AP921"/>
    <mergeCell ref="B925:C925"/>
    <mergeCell ref="D925:O925"/>
    <mergeCell ref="P925:R925"/>
    <mergeCell ref="S925:T925"/>
    <mergeCell ref="U925:W925"/>
    <mergeCell ref="X925:Z925"/>
    <mergeCell ref="AA925:AC925"/>
    <mergeCell ref="AD925:AF925"/>
    <mergeCell ref="AG925:AI925"/>
    <mergeCell ref="AJ925:AL925"/>
    <mergeCell ref="AM925:AP925"/>
    <mergeCell ref="B929:C929"/>
    <mergeCell ref="D929:O929"/>
    <mergeCell ref="P929:R929"/>
    <mergeCell ref="S929:T929"/>
    <mergeCell ref="AJ912:AL912"/>
    <mergeCell ref="AM912:AP912"/>
    <mergeCell ref="B913:C913"/>
    <mergeCell ref="P913:R913"/>
    <mergeCell ref="S913:T913"/>
    <mergeCell ref="U913:W913"/>
    <mergeCell ref="X913:Z913"/>
    <mergeCell ref="AA913:AC913"/>
    <mergeCell ref="AD913:AF913"/>
    <mergeCell ref="AG913:AI913"/>
    <mergeCell ref="AJ913:AL913"/>
    <mergeCell ref="AM913:AP913"/>
    <mergeCell ref="B912:C912"/>
    <mergeCell ref="P912:R912"/>
    <mergeCell ref="S912:T912"/>
    <mergeCell ref="U912:W912"/>
    <mergeCell ref="X912:Z912"/>
    <mergeCell ref="AA912:AC912"/>
    <mergeCell ref="AD912:AF912"/>
    <mergeCell ref="AG912:AI912"/>
    <mergeCell ref="D912:O912"/>
    <mergeCell ref="D913:O913"/>
    <mergeCell ref="AJ914:AL914"/>
    <mergeCell ref="AM914:AP914"/>
    <mergeCell ref="B915:C915"/>
    <mergeCell ref="P915:R915"/>
    <mergeCell ref="S915:T915"/>
    <mergeCell ref="U915:W915"/>
    <mergeCell ref="X915:Z915"/>
    <mergeCell ref="AA915:AC915"/>
    <mergeCell ref="AD915:AF915"/>
    <mergeCell ref="AG915:AI915"/>
    <mergeCell ref="AJ915:AL915"/>
    <mergeCell ref="AM915:AP915"/>
    <mergeCell ref="B914:C914"/>
    <mergeCell ref="P914:R914"/>
    <mergeCell ref="S914:T914"/>
    <mergeCell ref="U914:W914"/>
    <mergeCell ref="X914:Z914"/>
    <mergeCell ref="AA914:AC914"/>
    <mergeCell ref="AD914:AF914"/>
    <mergeCell ref="AG914:AI914"/>
    <mergeCell ref="D914:O914"/>
    <mergeCell ref="D915:O915"/>
    <mergeCell ref="AJ908:AL908"/>
    <mergeCell ref="AM908:AP908"/>
    <mergeCell ref="B909:C909"/>
    <mergeCell ref="P909:R909"/>
    <mergeCell ref="S909:T909"/>
    <mergeCell ref="U909:W909"/>
    <mergeCell ref="X909:Z909"/>
    <mergeCell ref="AA909:AC909"/>
    <mergeCell ref="AD909:AF909"/>
    <mergeCell ref="AG909:AI909"/>
    <mergeCell ref="AJ909:AL909"/>
    <mergeCell ref="AM909:AP909"/>
    <mergeCell ref="B908:C908"/>
    <mergeCell ref="P908:R908"/>
    <mergeCell ref="S908:T908"/>
    <mergeCell ref="U908:W908"/>
    <mergeCell ref="X908:Z908"/>
    <mergeCell ref="AA908:AC908"/>
    <mergeCell ref="AD908:AF908"/>
    <mergeCell ref="AG908:AI908"/>
    <mergeCell ref="D908:O908"/>
    <mergeCell ref="D909:O909"/>
    <mergeCell ref="AJ910:AL910"/>
    <mergeCell ref="AM910:AP910"/>
    <mergeCell ref="B911:C911"/>
    <mergeCell ref="P911:R911"/>
    <mergeCell ref="S911:T911"/>
    <mergeCell ref="U911:W911"/>
    <mergeCell ref="X911:Z911"/>
    <mergeCell ref="AA911:AC911"/>
    <mergeCell ref="AD911:AF911"/>
    <mergeCell ref="AG911:AI911"/>
    <mergeCell ref="AJ911:AL911"/>
    <mergeCell ref="AM911:AP911"/>
    <mergeCell ref="B910:C910"/>
    <mergeCell ref="P910:R910"/>
    <mergeCell ref="S910:T910"/>
    <mergeCell ref="U910:W910"/>
    <mergeCell ref="X910:Z910"/>
    <mergeCell ref="AA910:AC910"/>
    <mergeCell ref="AD910:AF910"/>
    <mergeCell ref="AG910:AI910"/>
    <mergeCell ref="D911:O911"/>
    <mergeCell ref="D910:O910"/>
    <mergeCell ref="AJ904:AL904"/>
    <mergeCell ref="AM904:AP904"/>
    <mergeCell ref="B905:C905"/>
    <mergeCell ref="P905:R905"/>
    <mergeCell ref="S905:T905"/>
    <mergeCell ref="U905:W905"/>
    <mergeCell ref="X905:Z905"/>
    <mergeCell ref="AA905:AC905"/>
    <mergeCell ref="AD905:AF905"/>
    <mergeCell ref="AG905:AI905"/>
    <mergeCell ref="AJ905:AL905"/>
    <mergeCell ref="AM905:AP905"/>
    <mergeCell ref="B904:C904"/>
    <mergeCell ref="P904:R904"/>
    <mergeCell ref="S904:T904"/>
    <mergeCell ref="U904:W904"/>
    <mergeCell ref="X904:Z904"/>
    <mergeCell ref="AA904:AC904"/>
    <mergeCell ref="AD904:AF904"/>
    <mergeCell ref="AG904:AI904"/>
    <mergeCell ref="D904:O904"/>
    <mergeCell ref="D905:O905"/>
    <mergeCell ref="AJ906:AL906"/>
    <mergeCell ref="AM906:AP906"/>
    <mergeCell ref="B907:C907"/>
    <mergeCell ref="P907:R907"/>
    <mergeCell ref="S907:T907"/>
    <mergeCell ref="U907:W907"/>
    <mergeCell ref="X907:Z907"/>
    <mergeCell ref="AA907:AC907"/>
    <mergeCell ref="AD907:AF907"/>
    <mergeCell ref="AG907:AI907"/>
    <mergeCell ref="AJ907:AL907"/>
    <mergeCell ref="AM907:AP907"/>
    <mergeCell ref="B906:C906"/>
    <mergeCell ref="P906:R906"/>
    <mergeCell ref="S906:T906"/>
    <mergeCell ref="U906:W906"/>
    <mergeCell ref="X906:Z906"/>
    <mergeCell ref="AA906:AC906"/>
    <mergeCell ref="AD906:AF906"/>
    <mergeCell ref="AG906:AI906"/>
    <mergeCell ref="D906:O906"/>
    <mergeCell ref="D907:O907"/>
    <mergeCell ref="U901:W901"/>
    <mergeCell ref="X901:Z901"/>
    <mergeCell ref="AA901:AC901"/>
    <mergeCell ref="AD901:AF901"/>
    <mergeCell ref="AG901:AI901"/>
    <mergeCell ref="AJ901:AL901"/>
    <mergeCell ref="AM901:AP901"/>
    <mergeCell ref="B900:C900"/>
    <mergeCell ref="P900:R900"/>
    <mergeCell ref="S900:T900"/>
    <mergeCell ref="U900:W900"/>
    <mergeCell ref="X900:Z900"/>
    <mergeCell ref="AA900:AC900"/>
    <mergeCell ref="AD900:AF900"/>
    <mergeCell ref="AG900:AI900"/>
    <mergeCell ref="D900:O900"/>
    <mergeCell ref="D901:O901"/>
    <mergeCell ref="AJ902:AL902"/>
    <mergeCell ref="AM902:AP902"/>
    <mergeCell ref="B903:C903"/>
    <mergeCell ref="P903:R903"/>
    <mergeCell ref="S903:T903"/>
    <mergeCell ref="U903:W903"/>
    <mergeCell ref="X903:Z903"/>
    <mergeCell ref="AA903:AC903"/>
    <mergeCell ref="AD903:AF903"/>
    <mergeCell ref="AG903:AI903"/>
    <mergeCell ref="AJ903:AL903"/>
    <mergeCell ref="AM903:AP903"/>
    <mergeCell ref="B902:C902"/>
    <mergeCell ref="P902:R902"/>
    <mergeCell ref="S902:T902"/>
    <mergeCell ref="U902:W902"/>
    <mergeCell ref="X902:Z902"/>
    <mergeCell ref="AA902:AC902"/>
    <mergeCell ref="AD902:AF902"/>
    <mergeCell ref="AG902:AI902"/>
    <mergeCell ref="D902:O902"/>
    <mergeCell ref="D903:O903"/>
    <mergeCell ref="AJ872:AL872"/>
    <mergeCell ref="AM872:AP872"/>
    <mergeCell ref="B872:C872"/>
    <mergeCell ref="P872:R872"/>
    <mergeCell ref="S872:T872"/>
    <mergeCell ref="U872:W872"/>
    <mergeCell ref="X872:Z872"/>
    <mergeCell ref="AA872:AC872"/>
    <mergeCell ref="AD872:AF872"/>
    <mergeCell ref="AG872:AI872"/>
    <mergeCell ref="D872:O872"/>
    <mergeCell ref="B894:C894"/>
    <mergeCell ref="AD894:AF894"/>
    <mergeCell ref="AG894:AI894"/>
    <mergeCell ref="AJ894:AL894"/>
    <mergeCell ref="AM894:AP894"/>
    <mergeCell ref="B897:C897"/>
    <mergeCell ref="P897:R897"/>
    <mergeCell ref="S897:T897"/>
    <mergeCell ref="U897:W897"/>
    <mergeCell ref="X897:Z897"/>
    <mergeCell ref="AA897:AC897"/>
    <mergeCell ref="AD897:AF897"/>
    <mergeCell ref="AG897:AI897"/>
    <mergeCell ref="AJ897:AL897"/>
    <mergeCell ref="AM897:AP897"/>
    <mergeCell ref="D897:O897"/>
    <mergeCell ref="B874:C874"/>
    <mergeCell ref="D874:O874"/>
    <mergeCell ref="P874:R874"/>
    <mergeCell ref="S874:T874"/>
    <mergeCell ref="U874:W874"/>
    <mergeCell ref="AJ898:AL898"/>
    <mergeCell ref="AM898:AP898"/>
    <mergeCell ref="B898:C898"/>
    <mergeCell ref="P898:R898"/>
    <mergeCell ref="S898:T898"/>
    <mergeCell ref="U898:W898"/>
    <mergeCell ref="X898:Z898"/>
    <mergeCell ref="AA898:AC898"/>
    <mergeCell ref="AD898:AF898"/>
    <mergeCell ref="AG898:AI898"/>
    <mergeCell ref="D898:O898"/>
    <mergeCell ref="B876:C876"/>
    <mergeCell ref="D876:O876"/>
    <mergeCell ref="P876:R876"/>
    <mergeCell ref="S876:T876"/>
    <mergeCell ref="U876:W876"/>
    <mergeCell ref="X876:Z876"/>
    <mergeCell ref="AA876:AC876"/>
    <mergeCell ref="AD876:AF876"/>
    <mergeCell ref="AG876:AI876"/>
    <mergeCell ref="AJ876:AL876"/>
    <mergeCell ref="AM876:AP876"/>
    <mergeCell ref="B881:C881"/>
    <mergeCell ref="D881:O881"/>
    <mergeCell ref="P881:R881"/>
    <mergeCell ref="S881:T881"/>
    <mergeCell ref="U881:W881"/>
    <mergeCell ref="X881:Z881"/>
    <mergeCell ref="AA881:AC881"/>
    <mergeCell ref="AD881:AF881"/>
    <mergeCell ref="AG881:AI881"/>
    <mergeCell ref="AJ881:AL881"/>
    <mergeCell ref="AJ868:AL868"/>
    <mergeCell ref="AM868:AP868"/>
    <mergeCell ref="B869:C869"/>
    <mergeCell ref="P869:R869"/>
    <mergeCell ref="S869:T869"/>
    <mergeCell ref="U869:W869"/>
    <mergeCell ref="X869:Z869"/>
    <mergeCell ref="AA869:AC869"/>
    <mergeCell ref="AD869:AF869"/>
    <mergeCell ref="AG869:AI869"/>
    <mergeCell ref="AJ869:AL869"/>
    <mergeCell ref="AM869:AP869"/>
    <mergeCell ref="B868:C868"/>
    <mergeCell ref="P868:R868"/>
    <mergeCell ref="S868:T868"/>
    <mergeCell ref="U868:W868"/>
    <mergeCell ref="X868:Z868"/>
    <mergeCell ref="AA868:AC868"/>
    <mergeCell ref="AD868:AF868"/>
    <mergeCell ref="AG868:AI868"/>
    <mergeCell ref="D868:O868"/>
    <mergeCell ref="D869:O869"/>
    <mergeCell ref="AJ870:AL870"/>
    <mergeCell ref="AM870:AP870"/>
    <mergeCell ref="B871:C871"/>
    <mergeCell ref="P871:R871"/>
    <mergeCell ref="S871:T871"/>
    <mergeCell ref="U871:W871"/>
    <mergeCell ref="X871:Z871"/>
    <mergeCell ref="AA871:AC871"/>
    <mergeCell ref="AD871:AF871"/>
    <mergeCell ref="AG871:AI871"/>
    <mergeCell ref="AJ871:AL871"/>
    <mergeCell ref="AM871:AP871"/>
    <mergeCell ref="B870:C870"/>
    <mergeCell ref="P870:R870"/>
    <mergeCell ref="S870:T870"/>
    <mergeCell ref="U870:W870"/>
    <mergeCell ref="X870:Z870"/>
    <mergeCell ref="AA870:AC870"/>
    <mergeCell ref="AD870:AF870"/>
    <mergeCell ref="AG870:AI870"/>
    <mergeCell ref="D871:O871"/>
    <mergeCell ref="D870:O870"/>
    <mergeCell ref="AJ864:AL864"/>
    <mergeCell ref="AM864:AP864"/>
    <mergeCell ref="B865:C865"/>
    <mergeCell ref="P865:R865"/>
    <mergeCell ref="S865:T865"/>
    <mergeCell ref="U865:W865"/>
    <mergeCell ref="X865:Z865"/>
    <mergeCell ref="AA865:AC865"/>
    <mergeCell ref="AD865:AF865"/>
    <mergeCell ref="AG865:AI865"/>
    <mergeCell ref="AJ865:AL865"/>
    <mergeCell ref="AM865:AP865"/>
    <mergeCell ref="B864:C864"/>
    <mergeCell ref="P864:R864"/>
    <mergeCell ref="S864:T864"/>
    <mergeCell ref="U864:W864"/>
    <mergeCell ref="X864:Z864"/>
    <mergeCell ref="AA864:AC864"/>
    <mergeCell ref="AD864:AF864"/>
    <mergeCell ref="AG864:AI864"/>
    <mergeCell ref="D865:O865"/>
    <mergeCell ref="D864:O864"/>
    <mergeCell ref="AJ866:AL866"/>
    <mergeCell ref="AM866:AP866"/>
    <mergeCell ref="B867:C867"/>
    <mergeCell ref="P867:R867"/>
    <mergeCell ref="S867:T867"/>
    <mergeCell ref="U867:W867"/>
    <mergeCell ref="X867:Z867"/>
    <mergeCell ref="AA867:AC867"/>
    <mergeCell ref="AD867:AF867"/>
    <mergeCell ref="AG867:AI867"/>
    <mergeCell ref="AJ867:AL867"/>
    <mergeCell ref="AM867:AP867"/>
    <mergeCell ref="B866:C866"/>
    <mergeCell ref="P866:R866"/>
    <mergeCell ref="S866:T866"/>
    <mergeCell ref="U866:W866"/>
    <mergeCell ref="X866:Z866"/>
    <mergeCell ref="AA866:AC866"/>
    <mergeCell ref="AD866:AF866"/>
    <mergeCell ref="AG866:AI866"/>
    <mergeCell ref="D866:O866"/>
    <mergeCell ref="D867:O867"/>
    <mergeCell ref="AJ860:AL860"/>
    <mergeCell ref="AM860:AP860"/>
    <mergeCell ref="B861:C861"/>
    <mergeCell ref="P861:R861"/>
    <mergeCell ref="S861:T861"/>
    <mergeCell ref="U861:W861"/>
    <mergeCell ref="X861:Z861"/>
    <mergeCell ref="AA861:AC861"/>
    <mergeCell ref="AD861:AF861"/>
    <mergeCell ref="AG861:AI861"/>
    <mergeCell ref="AJ861:AL861"/>
    <mergeCell ref="AM861:AP861"/>
    <mergeCell ref="B860:C860"/>
    <mergeCell ref="P860:R860"/>
    <mergeCell ref="S860:T860"/>
    <mergeCell ref="U860:W860"/>
    <mergeCell ref="X860:Z860"/>
    <mergeCell ref="AA860:AC860"/>
    <mergeCell ref="AD860:AF860"/>
    <mergeCell ref="AG860:AI860"/>
    <mergeCell ref="D860:O860"/>
    <mergeCell ref="D861:O861"/>
    <mergeCell ref="AJ862:AL862"/>
    <mergeCell ref="AM862:AP862"/>
    <mergeCell ref="B863:C863"/>
    <mergeCell ref="P863:R863"/>
    <mergeCell ref="S863:T863"/>
    <mergeCell ref="U863:W863"/>
    <mergeCell ref="X863:Z863"/>
    <mergeCell ref="AA863:AC863"/>
    <mergeCell ref="AD863:AF863"/>
    <mergeCell ref="AG863:AI863"/>
    <mergeCell ref="AJ863:AL863"/>
    <mergeCell ref="AM863:AP863"/>
    <mergeCell ref="B862:C862"/>
    <mergeCell ref="P862:R862"/>
    <mergeCell ref="S862:T862"/>
    <mergeCell ref="U862:W862"/>
    <mergeCell ref="X862:Z862"/>
    <mergeCell ref="AA862:AC862"/>
    <mergeCell ref="AD862:AF862"/>
    <mergeCell ref="AG862:AI862"/>
    <mergeCell ref="D862:O862"/>
    <mergeCell ref="D863:O863"/>
    <mergeCell ref="U857:W857"/>
    <mergeCell ref="X857:Z857"/>
    <mergeCell ref="AA857:AC857"/>
    <mergeCell ref="AD857:AF857"/>
    <mergeCell ref="AG857:AI857"/>
    <mergeCell ref="AJ857:AL857"/>
    <mergeCell ref="AM857:AP857"/>
    <mergeCell ref="B856:C856"/>
    <mergeCell ref="P856:R856"/>
    <mergeCell ref="S856:T856"/>
    <mergeCell ref="U856:W856"/>
    <mergeCell ref="X856:Z856"/>
    <mergeCell ref="AA856:AC856"/>
    <mergeCell ref="AD856:AF856"/>
    <mergeCell ref="AG856:AI856"/>
    <mergeCell ref="D856:O856"/>
    <mergeCell ref="D857:O857"/>
    <mergeCell ref="AJ858:AL858"/>
    <mergeCell ref="AM858:AP858"/>
    <mergeCell ref="B859:C859"/>
    <mergeCell ref="P859:R859"/>
    <mergeCell ref="S859:T859"/>
    <mergeCell ref="U859:W859"/>
    <mergeCell ref="X859:Z859"/>
    <mergeCell ref="AA859:AC859"/>
    <mergeCell ref="AD859:AF859"/>
    <mergeCell ref="AG859:AI859"/>
    <mergeCell ref="AJ859:AL859"/>
    <mergeCell ref="AM859:AP859"/>
    <mergeCell ref="B858:C858"/>
    <mergeCell ref="P858:R858"/>
    <mergeCell ref="S858:T858"/>
    <mergeCell ref="U858:W858"/>
    <mergeCell ref="X858:Z858"/>
    <mergeCell ref="AA858:AC858"/>
    <mergeCell ref="AD858:AF858"/>
    <mergeCell ref="AG858:AI858"/>
    <mergeCell ref="D859:O859"/>
    <mergeCell ref="D858:O858"/>
    <mergeCell ref="AJ852:AL852"/>
    <mergeCell ref="AM852:AP852"/>
    <mergeCell ref="B849:C849"/>
    <mergeCell ref="AD849:AF849"/>
    <mergeCell ref="AG849:AI849"/>
    <mergeCell ref="AJ849:AL849"/>
    <mergeCell ref="AM849:AP849"/>
    <mergeCell ref="B853:C853"/>
    <mergeCell ref="P853:R853"/>
    <mergeCell ref="S853:T853"/>
    <mergeCell ref="U853:W853"/>
    <mergeCell ref="X853:Z853"/>
    <mergeCell ref="AA853:AC853"/>
    <mergeCell ref="AD853:AF853"/>
    <mergeCell ref="AG853:AI853"/>
    <mergeCell ref="AJ853:AL853"/>
    <mergeCell ref="AM853:AP853"/>
    <mergeCell ref="B852:C852"/>
    <mergeCell ref="P852:R852"/>
    <mergeCell ref="S852:T852"/>
    <mergeCell ref="U852:W852"/>
    <mergeCell ref="X852:Z852"/>
    <mergeCell ref="AA852:AC852"/>
    <mergeCell ref="AD852:AF852"/>
    <mergeCell ref="AG852:AI852"/>
    <mergeCell ref="D853:O853"/>
    <mergeCell ref="D852:O852"/>
    <mergeCell ref="B818:C818"/>
    <mergeCell ref="D818:O818"/>
    <mergeCell ref="P818:R818"/>
    <mergeCell ref="S818:T818"/>
    <mergeCell ref="U818:W818"/>
    <mergeCell ref="X818:Z818"/>
    <mergeCell ref="AA818:AC818"/>
    <mergeCell ref="AD818:AF818"/>
    <mergeCell ref="AG818:AI818"/>
    <mergeCell ref="AJ818:AL818"/>
    <mergeCell ref="AM818:AP818"/>
    <mergeCell ref="U825:W825"/>
    <mergeCell ref="X825:Z825"/>
    <mergeCell ref="AA825:AC825"/>
    <mergeCell ref="AD825:AF825"/>
    <mergeCell ref="B819:C819"/>
    <mergeCell ref="D819:O819"/>
    <mergeCell ref="P819:R819"/>
    <mergeCell ref="S819:T819"/>
    <mergeCell ref="U819:W819"/>
    <mergeCell ref="X819:Z819"/>
    <mergeCell ref="AA819:AC819"/>
    <mergeCell ref="AD819:AF819"/>
    <mergeCell ref="AG819:AI819"/>
    <mergeCell ref="AJ819:AL819"/>
    <mergeCell ref="AM819:AP819"/>
    <mergeCell ref="S832:T832"/>
    <mergeCell ref="U832:W832"/>
    <mergeCell ref="X832:Z832"/>
    <mergeCell ref="AA832:AC832"/>
    <mergeCell ref="AD832:AF832"/>
    <mergeCell ref="AG832:AI832"/>
    <mergeCell ref="AJ832:AL832"/>
    <mergeCell ref="AM832:AP832"/>
    <mergeCell ref="B836:C836"/>
    <mergeCell ref="D836:O836"/>
    <mergeCell ref="P836:R836"/>
    <mergeCell ref="AJ812:AL812"/>
    <mergeCell ref="AM812:AP812"/>
    <mergeCell ref="B813:C813"/>
    <mergeCell ref="P813:R813"/>
    <mergeCell ref="S813:T813"/>
    <mergeCell ref="U813:W813"/>
    <mergeCell ref="X813:Z813"/>
    <mergeCell ref="AA813:AC813"/>
    <mergeCell ref="AD813:AF813"/>
    <mergeCell ref="AG813:AI813"/>
    <mergeCell ref="AJ813:AL813"/>
    <mergeCell ref="AM813:AP813"/>
    <mergeCell ref="B812:C812"/>
    <mergeCell ref="P812:R812"/>
    <mergeCell ref="S812:T812"/>
    <mergeCell ref="U812:W812"/>
    <mergeCell ref="X812:Z812"/>
    <mergeCell ref="AA812:AC812"/>
    <mergeCell ref="AD812:AF812"/>
    <mergeCell ref="AG812:AI812"/>
    <mergeCell ref="D812:O812"/>
    <mergeCell ref="D813:O813"/>
    <mergeCell ref="AJ814:AL814"/>
    <mergeCell ref="AM814:AP814"/>
    <mergeCell ref="B815:C815"/>
    <mergeCell ref="P815:R815"/>
    <mergeCell ref="S815:T815"/>
    <mergeCell ref="U815:W815"/>
    <mergeCell ref="X815:Z815"/>
    <mergeCell ref="AA815:AC815"/>
    <mergeCell ref="AD815:AF815"/>
    <mergeCell ref="AG815:AI815"/>
    <mergeCell ref="AJ815:AL815"/>
    <mergeCell ref="AM815:AP815"/>
    <mergeCell ref="B814:C814"/>
    <mergeCell ref="P814:R814"/>
    <mergeCell ref="S814:T814"/>
    <mergeCell ref="U814:W814"/>
    <mergeCell ref="X814:Z814"/>
    <mergeCell ref="AA814:AC814"/>
    <mergeCell ref="AD814:AF814"/>
    <mergeCell ref="AG814:AI814"/>
    <mergeCell ref="D815:O815"/>
    <mergeCell ref="D814:O814"/>
    <mergeCell ref="AJ808:AL808"/>
    <mergeCell ref="AM808:AP808"/>
    <mergeCell ref="D808:O808"/>
    <mergeCell ref="D807:O807"/>
    <mergeCell ref="B809:C809"/>
    <mergeCell ref="P809:R809"/>
    <mergeCell ref="S809:T809"/>
    <mergeCell ref="U809:W809"/>
    <mergeCell ref="X809:Z809"/>
    <mergeCell ref="AA809:AC809"/>
    <mergeCell ref="AD809:AF809"/>
    <mergeCell ref="AG809:AI809"/>
    <mergeCell ref="AJ809:AL809"/>
    <mergeCell ref="AM809:AP809"/>
    <mergeCell ref="B808:C808"/>
    <mergeCell ref="P808:R808"/>
    <mergeCell ref="S808:T808"/>
    <mergeCell ref="U808:W808"/>
    <mergeCell ref="X808:Z808"/>
    <mergeCell ref="AA808:AC808"/>
    <mergeCell ref="AD808:AF808"/>
    <mergeCell ref="AG808:AI808"/>
    <mergeCell ref="D809:O809"/>
    <mergeCell ref="AJ810:AL810"/>
    <mergeCell ref="AM810:AP810"/>
    <mergeCell ref="B811:C811"/>
    <mergeCell ref="P811:R811"/>
    <mergeCell ref="S811:T811"/>
    <mergeCell ref="U811:W811"/>
    <mergeCell ref="X811:Z811"/>
    <mergeCell ref="AA811:AC811"/>
    <mergeCell ref="AD811:AF811"/>
    <mergeCell ref="AG811:AI811"/>
    <mergeCell ref="AJ811:AL811"/>
    <mergeCell ref="AM811:AP811"/>
    <mergeCell ref="B810:C810"/>
    <mergeCell ref="P810:R810"/>
    <mergeCell ref="S810:T810"/>
    <mergeCell ref="U810:W810"/>
    <mergeCell ref="X810:Z810"/>
    <mergeCell ref="AA810:AC810"/>
    <mergeCell ref="AD810:AF810"/>
    <mergeCell ref="AG810:AI810"/>
    <mergeCell ref="D810:O810"/>
    <mergeCell ref="D811:O811"/>
    <mergeCell ref="AJ769:AL769"/>
    <mergeCell ref="AM769:AP769"/>
    <mergeCell ref="B770:C770"/>
    <mergeCell ref="P770:R770"/>
    <mergeCell ref="S770:T770"/>
    <mergeCell ref="U770:W770"/>
    <mergeCell ref="X770:Z770"/>
    <mergeCell ref="AA770:AC770"/>
    <mergeCell ref="AD770:AF770"/>
    <mergeCell ref="AG770:AI770"/>
    <mergeCell ref="AJ770:AL770"/>
    <mergeCell ref="AM770:AP770"/>
    <mergeCell ref="B769:C769"/>
    <mergeCell ref="P769:R769"/>
    <mergeCell ref="S769:T769"/>
    <mergeCell ref="U769:W769"/>
    <mergeCell ref="X769:Z769"/>
    <mergeCell ref="AA769:AC769"/>
    <mergeCell ref="AD769:AF769"/>
    <mergeCell ref="AG769:AI769"/>
    <mergeCell ref="D769:O769"/>
    <mergeCell ref="D770:O770"/>
    <mergeCell ref="B804:C804"/>
    <mergeCell ref="AD804:AF804"/>
    <mergeCell ref="AG804:AI804"/>
    <mergeCell ref="AJ804:AL804"/>
    <mergeCell ref="AM804:AP804"/>
    <mergeCell ref="B807:C807"/>
    <mergeCell ref="P807:R807"/>
    <mergeCell ref="S807:T807"/>
    <mergeCell ref="U807:W807"/>
    <mergeCell ref="X807:Z807"/>
    <mergeCell ref="AA807:AC807"/>
    <mergeCell ref="AD807:AF807"/>
    <mergeCell ref="AG807:AI807"/>
    <mergeCell ref="AJ807:AL807"/>
    <mergeCell ref="AM807:AP807"/>
    <mergeCell ref="B771:C771"/>
    <mergeCell ref="D771:O771"/>
    <mergeCell ref="P771:R771"/>
    <mergeCell ref="S771:T771"/>
    <mergeCell ref="U771:W771"/>
    <mergeCell ref="X771:Z771"/>
    <mergeCell ref="AA771:AC771"/>
    <mergeCell ref="AD771:AF771"/>
    <mergeCell ref="AG771:AI771"/>
    <mergeCell ref="AJ771:AL771"/>
    <mergeCell ref="AM771:AP771"/>
    <mergeCell ref="B775:C775"/>
    <mergeCell ref="D775:O775"/>
    <mergeCell ref="P775:R775"/>
    <mergeCell ref="S775:T775"/>
    <mergeCell ref="U775:W775"/>
    <mergeCell ref="X775:Z775"/>
    <mergeCell ref="AA775:AC775"/>
    <mergeCell ref="AD775:AF775"/>
    <mergeCell ref="AG775:AI775"/>
    <mergeCell ref="AJ775:AL775"/>
    <mergeCell ref="AM775:AP775"/>
    <mergeCell ref="AJ782:AL782"/>
    <mergeCell ref="AM782:AP782"/>
    <mergeCell ref="B786:C786"/>
    <mergeCell ref="D786:O786"/>
    <mergeCell ref="P786:R786"/>
    <mergeCell ref="AJ765:AL765"/>
    <mergeCell ref="AM765:AP765"/>
    <mergeCell ref="B766:C766"/>
    <mergeCell ref="P766:R766"/>
    <mergeCell ref="S766:T766"/>
    <mergeCell ref="U766:W766"/>
    <mergeCell ref="X766:Z766"/>
    <mergeCell ref="AA766:AC766"/>
    <mergeCell ref="AD766:AF766"/>
    <mergeCell ref="AG766:AI766"/>
    <mergeCell ref="AJ766:AL766"/>
    <mergeCell ref="AM766:AP766"/>
    <mergeCell ref="B765:C765"/>
    <mergeCell ref="P765:R765"/>
    <mergeCell ref="S765:T765"/>
    <mergeCell ref="U765:W765"/>
    <mergeCell ref="X765:Z765"/>
    <mergeCell ref="AA765:AC765"/>
    <mergeCell ref="AD765:AF765"/>
    <mergeCell ref="AG765:AI765"/>
    <mergeCell ref="D765:O765"/>
    <mergeCell ref="D766:O766"/>
    <mergeCell ref="AJ767:AL767"/>
    <mergeCell ref="AM767:AP767"/>
    <mergeCell ref="B768:C768"/>
    <mergeCell ref="P768:R768"/>
    <mergeCell ref="S768:T768"/>
    <mergeCell ref="U768:W768"/>
    <mergeCell ref="X768:Z768"/>
    <mergeCell ref="AA768:AC768"/>
    <mergeCell ref="AD768:AF768"/>
    <mergeCell ref="AG768:AI768"/>
    <mergeCell ref="AJ768:AL768"/>
    <mergeCell ref="AM768:AP768"/>
    <mergeCell ref="B767:C767"/>
    <mergeCell ref="P767:R767"/>
    <mergeCell ref="S767:T767"/>
    <mergeCell ref="U767:W767"/>
    <mergeCell ref="X767:Z767"/>
    <mergeCell ref="AA767:AC767"/>
    <mergeCell ref="AD767:AF767"/>
    <mergeCell ref="AG767:AI767"/>
    <mergeCell ref="D768:O768"/>
    <mergeCell ref="D767:O767"/>
    <mergeCell ref="AJ763:AL763"/>
    <mergeCell ref="AM763:AP763"/>
    <mergeCell ref="B738:C738"/>
    <mergeCell ref="D738:O738"/>
    <mergeCell ref="P738:R738"/>
    <mergeCell ref="S738:T738"/>
    <mergeCell ref="U738:W738"/>
    <mergeCell ref="X738:Z738"/>
    <mergeCell ref="AA738:AC738"/>
    <mergeCell ref="AD738:AF738"/>
    <mergeCell ref="AG738:AI738"/>
    <mergeCell ref="AJ738:AL738"/>
    <mergeCell ref="AM738:AP738"/>
    <mergeCell ref="B741:C741"/>
    <mergeCell ref="D741:O741"/>
    <mergeCell ref="P741:R741"/>
    <mergeCell ref="S741:T741"/>
    <mergeCell ref="U741:W741"/>
    <mergeCell ref="X741:Z741"/>
    <mergeCell ref="AA741:AC741"/>
    <mergeCell ref="AD741:AF741"/>
    <mergeCell ref="AG741:AI741"/>
    <mergeCell ref="AJ741:AL741"/>
    <mergeCell ref="AM741:AP741"/>
    <mergeCell ref="B746:C746"/>
    <mergeCell ref="D746:O746"/>
    <mergeCell ref="P746:R746"/>
    <mergeCell ref="S746:T746"/>
    <mergeCell ref="U746:W746"/>
    <mergeCell ref="X746:Z746"/>
    <mergeCell ref="AA746:AC746"/>
    <mergeCell ref="AD746:AF746"/>
    <mergeCell ref="B764:C764"/>
    <mergeCell ref="P764:R764"/>
    <mergeCell ref="S764:T764"/>
    <mergeCell ref="U764:W764"/>
    <mergeCell ref="X764:Z764"/>
    <mergeCell ref="AA764:AC764"/>
    <mergeCell ref="AD764:AF764"/>
    <mergeCell ref="AG764:AI764"/>
    <mergeCell ref="AJ764:AL764"/>
    <mergeCell ref="AM764:AP764"/>
    <mergeCell ref="B763:C763"/>
    <mergeCell ref="P763:R763"/>
    <mergeCell ref="S763:T763"/>
    <mergeCell ref="U763:W763"/>
    <mergeCell ref="X763:Z763"/>
    <mergeCell ref="AA763:AC763"/>
    <mergeCell ref="AD763:AF763"/>
    <mergeCell ref="AG763:AI763"/>
    <mergeCell ref="D763:O763"/>
    <mergeCell ref="D764:O764"/>
    <mergeCell ref="AM745:AP745"/>
    <mergeCell ref="B750:C750"/>
    <mergeCell ref="D750:O750"/>
    <mergeCell ref="P750:R750"/>
    <mergeCell ref="S750:T750"/>
    <mergeCell ref="U750:W750"/>
    <mergeCell ref="X750:Z750"/>
    <mergeCell ref="AA750:AC750"/>
    <mergeCell ref="AD750:AF750"/>
    <mergeCell ref="AG750:AI750"/>
    <mergeCell ref="AJ750:AL750"/>
    <mergeCell ref="AM750:AP750"/>
    <mergeCell ref="AJ734:AL734"/>
    <mergeCell ref="AM734:AP734"/>
    <mergeCell ref="B735:C735"/>
    <mergeCell ref="P735:R735"/>
    <mergeCell ref="S735:T735"/>
    <mergeCell ref="U735:W735"/>
    <mergeCell ref="X735:Z735"/>
    <mergeCell ref="AA735:AC735"/>
    <mergeCell ref="AD735:AF735"/>
    <mergeCell ref="AG735:AI735"/>
    <mergeCell ref="AJ735:AL735"/>
    <mergeCell ref="AM735:AP735"/>
    <mergeCell ref="B734:C734"/>
    <mergeCell ref="P734:R734"/>
    <mergeCell ref="S734:T734"/>
    <mergeCell ref="U734:W734"/>
    <mergeCell ref="X734:Z734"/>
    <mergeCell ref="AA734:AC734"/>
    <mergeCell ref="AD734:AF734"/>
    <mergeCell ref="AG734:AI734"/>
    <mergeCell ref="D734:O734"/>
    <mergeCell ref="D735:O735"/>
    <mergeCell ref="AJ736:AL736"/>
    <mergeCell ref="AM736:AP736"/>
    <mergeCell ref="B759:C759"/>
    <mergeCell ref="AD759:AF759"/>
    <mergeCell ref="AG759:AI759"/>
    <mergeCell ref="AJ759:AL759"/>
    <mergeCell ref="AM759:AP759"/>
    <mergeCell ref="B762:C762"/>
    <mergeCell ref="P762:R762"/>
    <mergeCell ref="S762:T762"/>
    <mergeCell ref="U762:W762"/>
    <mergeCell ref="X762:Z762"/>
    <mergeCell ref="AA762:AC762"/>
    <mergeCell ref="AD762:AF762"/>
    <mergeCell ref="AG762:AI762"/>
    <mergeCell ref="AJ762:AL762"/>
    <mergeCell ref="AM762:AP762"/>
    <mergeCell ref="B736:C736"/>
    <mergeCell ref="P736:R736"/>
    <mergeCell ref="S736:T736"/>
    <mergeCell ref="U736:W736"/>
    <mergeCell ref="X736:Z736"/>
    <mergeCell ref="AA736:AC736"/>
    <mergeCell ref="AD736:AF736"/>
    <mergeCell ref="AG736:AI736"/>
    <mergeCell ref="D762:O762"/>
    <mergeCell ref="D736:O736"/>
    <mergeCell ref="B739:C739"/>
    <mergeCell ref="D739:O739"/>
    <mergeCell ref="P739:R739"/>
    <mergeCell ref="S739:T739"/>
    <mergeCell ref="U739:W739"/>
    <mergeCell ref="B745:C745"/>
    <mergeCell ref="D745:O745"/>
    <mergeCell ref="P745:R745"/>
    <mergeCell ref="S745:T745"/>
    <mergeCell ref="U745:W745"/>
    <mergeCell ref="X745:Z745"/>
    <mergeCell ref="AA745:AC745"/>
    <mergeCell ref="AD745:AF745"/>
    <mergeCell ref="AG745:AI745"/>
    <mergeCell ref="AJ745:AL745"/>
    <mergeCell ref="AJ730:AL730"/>
    <mergeCell ref="AM730:AP730"/>
    <mergeCell ref="B731:C731"/>
    <mergeCell ref="P731:R731"/>
    <mergeCell ref="S731:T731"/>
    <mergeCell ref="U731:W731"/>
    <mergeCell ref="X731:Z731"/>
    <mergeCell ref="AA731:AC731"/>
    <mergeCell ref="AD731:AF731"/>
    <mergeCell ref="AG731:AI731"/>
    <mergeCell ref="AJ731:AL731"/>
    <mergeCell ref="AM731:AP731"/>
    <mergeCell ref="B730:C730"/>
    <mergeCell ref="P730:R730"/>
    <mergeCell ref="S730:T730"/>
    <mergeCell ref="U730:W730"/>
    <mergeCell ref="X730:Z730"/>
    <mergeCell ref="AA730:AC730"/>
    <mergeCell ref="AD730:AF730"/>
    <mergeCell ref="AG730:AI730"/>
    <mergeCell ref="D730:O730"/>
    <mergeCell ref="D731:O731"/>
    <mergeCell ref="AJ732:AL732"/>
    <mergeCell ref="AM732:AP732"/>
    <mergeCell ref="B733:C733"/>
    <mergeCell ref="P733:R733"/>
    <mergeCell ref="S733:T733"/>
    <mergeCell ref="U733:W733"/>
    <mergeCell ref="X733:Z733"/>
    <mergeCell ref="AA733:AC733"/>
    <mergeCell ref="AD733:AF733"/>
    <mergeCell ref="AG733:AI733"/>
    <mergeCell ref="AJ733:AL733"/>
    <mergeCell ref="AM733:AP733"/>
    <mergeCell ref="B732:C732"/>
    <mergeCell ref="P732:R732"/>
    <mergeCell ref="S732:T732"/>
    <mergeCell ref="U732:W732"/>
    <mergeCell ref="X732:Z732"/>
    <mergeCell ref="AA732:AC732"/>
    <mergeCell ref="AD732:AF732"/>
    <mergeCell ref="AG732:AI732"/>
    <mergeCell ref="D732:O732"/>
    <mergeCell ref="D733:O733"/>
    <mergeCell ref="AJ726:AL726"/>
    <mergeCell ref="AM726:AP726"/>
    <mergeCell ref="B727:C727"/>
    <mergeCell ref="P727:R727"/>
    <mergeCell ref="S727:T727"/>
    <mergeCell ref="U727:W727"/>
    <mergeCell ref="X727:Z727"/>
    <mergeCell ref="AA727:AC727"/>
    <mergeCell ref="AD727:AF727"/>
    <mergeCell ref="AG727:AI727"/>
    <mergeCell ref="AJ727:AL727"/>
    <mergeCell ref="AM727:AP727"/>
    <mergeCell ref="B726:C726"/>
    <mergeCell ref="P726:R726"/>
    <mergeCell ref="S726:T726"/>
    <mergeCell ref="U726:W726"/>
    <mergeCell ref="X726:Z726"/>
    <mergeCell ref="AA726:AC726"/>
    <mergeCell ref="AD726:AF726"/>
    <mergeCell ref="AG726:AI726"/>
    <mergeCell ref="D726:O726"/>
    <mergeCell ref="D727:O727"/>
    <mergeCell ref="AJ728:AL728"/>
    <mergeCell ref="AM728:AP728"/>
    <mergeCell ref="B729:C729"/>
    <mergeCell ref="P729:R729"/>
    <mergeCell ref="S729:T729"/>
    <mergeCell ref="U729:W729"/>
    <mergeCell ref="X729:Z729"/>
    <mergeCell ref="AA729:AC729"/>
    <mergeCell ref="AD729:AF729"/>
    <mergeCell ref="AG729:AI729"/>
    <mergeCell ref="AJ729:AL729"/>
    <mergeCell ref="AM729:AP729"/>
    <mergeCell ref="B728:C728"/>
    <mergeCell ref="P728:R728"/>
    <mergeCell ref="S728:T728"/>
    <mergeCell ref="U728:W728"/>
    <mergeCell ref="X728:Z728"/>
    <mergeCell ref="AA728:AC728"/>
    <mergeCell ref="AD728:AF728"/>
    <mergeCell ref="AG728:AI728"/>
    <mergeCell ref="D728:O728"/>
    <mergeCell ref="D729:O729"/>
    <mergeCell ref="B723:C723"/>
    <mergeCell ref="P723:R723"/>
    <mergeCell ref="S723:T723"/>
    <mergeCell ref="U723:W723"/>
    <mergeCell ref="X723:Z723"/>
    <mergeCell ref="AA723:AC723"/>
    <mergeCell ref="AD723:AF723"/>
    <mergeCell ref="AG723:AI723"/>
    <mergeCell ref="AJ723:AL723"/>
    <mergeCell ref="AM723:AP723"/>
    <mergeCell ref="B722:C722"/>
    <mergeCell ref="P722:R722"/>
    <mergeCell ref="S722:T722"/>
    <mergeCell ref="U722:W722"/>
    <mergeCell ref="X722:Z722"/>
    <mergeCell ref="AA722:AC722"/>
    <mergeCell ref="AD722:AF722"/>
    <mergeCell ref="AG722:AI722"/>
    <mergeCell ref="D723:O723"/>
    <mergeCell ref="D722:O722"/>
    <mergeCell ref="AJ724:AL724"/>
    <mergeCell ref="AM724:AP724"/>
    <mergeCell ref="B725:C725"/>
    <mergeCell ref="P725:R725"/>
    <mergeCell ref="S725:T725"/>
    <mergeCell ref="U725:W725"/>
    <mergeCell ref="X725:Z725"/>
    <mergeCell ref="AA725:AC725"/>
    <mergeCell ref="AD725:AF725"/>
    <mergeCell ref="AG725:AI725"/>
    <mergeCell ref="AJ725:AL725"/>
    <mergeCell ref="AM725:AP725"/>
    <mergeCell ref="B724:C724"/>
    <mergeCell ref="P724:R724"/>
    <mergeCell ref="S724:T724"/>
    <mergeCell ref="U724:W724"/>
    <mergeCell ref="X724:Z724"/>
    <mergeCell ref="AA724:AC724"/>
    <mergeCell ref="AD724:AF724"/>
    <mergeCell ref="AG724:AI724"/>
    <mergeCell ref="D725:O725"/>
    <mergeCell ref="D724:O724"/>
    <mergeCell ref="AJ689:AL689"/>
    <mergeCell ref="AM689:AP689"/>
    <mergeCell ref="B690:C690"/>
    <mergeCell ref="P690:R690"/>
    <mergeCell ref="S690:T690"/>
    <mergeCell ref="U690:W690"/>
    <mergeCell ref="X690:Z690"/>
    <mergeCell ref="AA690:AC690"/>
    <mergeCell ref="AD690:AF690"/>
    <mergeCell ref="AG690:AI690"/>
    <mergeCell ref="AJ690:AL690"/>
    <mergeCell ref="AM690:AP690"/>
    <mergeCell ref="B689:C689"/>
    <mergeCell ref="P689:R689"/>
    <mergeCell ref="S689:T689"/>
    <mergeCell ref="U689:W689"/>
    <mergeCell ref="X689:Z689"/>
    <mergeCell ref="AA689:AC689"/>
    <mergeCell ref="AD689:AF689"/>
    <mergeCell ref="AG689:AI689"/>
    <mergeCell ref="D689:O689"/>
    <mergeCell ref="B720:C720"/>
    <mergeCell ref="P720:R720"/>
    <mergeCell ref="S720:T720"/>
    <mergeCell ref="U720:W720"/>
    <mergeCell ref="X720:Z720"/>
    <mergeCell ref="AA720:AC720"/>
    <mergeCell ref="AD720:AF720"/>
    <mergeCell ref="AG720:AI720"/>
    <mergeCell ref="D720:O720"/>
    <mergeCell ref="D721:O721"/>
    <mergeCell ref="AJ722:AL722"/>
    <mergeCell ref="AM722:AP722"/>
    <mergeCell ref="B702:C702"/>
    <mergeCell ref="D702:O702"/>
    <mergeCell ref="P702:R702"/>
    <mergeCell ref="S702:T702"/>
    <mergeCell ref="U702:W702"/>
    <mergeCell ref="X702:Z702"/>
    <mergeCell ref="AA702:AC702"/>
    <mergeCell ref="AD702:AF702"/>
    <mergeCell ref="AG702:AI702"/>
    <mergeCell ref="AJ702:AL702"/>
    <mergeCell ref="AM702:AP702"/>
    <mergeCell ref="P698:R698"/>
    <mergeCell ref="S698:T698"/>
    <mergeCell ref="U698:W698"/>
    <mergeCell ref="X698:Z698"/>
    <mergeCell ref="AA698:AC698"/>
    <mergeCell ref="AD698:AF698"/>
    <mergeCell ref="AG698:AI698"/>
    <mergeCell ref="AJ698:AL698"/>
    <mergeCell ref="AM698:AP698"/>
    <mergeCell ref="B697:C697"/>
    <mergeCell ref="P697:R697"/>
    <mergeCell ref="S697:T697"/>
    <mergeCell ref="U697:W697"/>
    <mergeCell ref="X697:Z697"/>
    <mergeCell ref="AA697:AC697"/>
    <mergeCell ref="AD697:AF697"/>
    <mergeCell ref="AG697:AI697"/>
    <mergeCell ref="D698:O698"/>
    <mergeCell ref="D697:O697"/>
    <mergeCell ref="B695:C695"/>
    <mergeCell ref="AJ685:AL685"/>
    <mergeCell ref="AM685:AP685"/>
    <mergeCell ref="B686:C686"/>
    <mergeCell ref="P686:R686"/>
    <mergeCell ref="S686:T686"/>
    <mergeCell ref="U686:W686"/>
    <mergeCell ref="X686:Z686"/>
    <mergeCell ref="AA686:AC686"/>
    <mergeCell ref="AD686:AF686"/>
    <mergeCell ref="AG686:AI686"/>
    <mergeCell ref="AJ686:AL686"/>
    <mergeCell ref="AM686:AP686"/>
    <mergeCell ref="B685:C685"/>
    <mergeCell ref="P685:R685"/>
    <mergeCell ref="S685:T685"/>
    <mergeCell ref="U685:W685"/>
    <mergeCell ref="X685:Z685"/>
    <mergeCell ref="AA685:AC685"/>
    <mergeCell ref="AD685:AF685"/>
    <mergeCell ref="AG685:AI685"/>
    <mergeCell ref="D685:O685"/>
    <mergeCell ref="D686:O686"/>
    <mergeCell ref="AJ687:AL687"/>
    <mergeCell ref="AM687:AP687"/>
    <mergeCell ref="B688:C688"/>
    <mergeCell ref="P688:R688"/>
    <mergeCell ref="S688:T688"/>
    <mergeCell ref="U688:W688"/>
    <mergeCell ref="X688:Z688"/>
    <mergeCell ref="AA688:AC688"/>
    <mergeCell ref="AD688:AF688"/>
    <mergeCell ref="AG688:AI688"/>
    <mergeCell ref="AJ688:AL688"/>
    <mergeCell ref="AM688:AP688"/>
    <mergeCell ref="B687:C687"/>
    <mergeCell ref="P687:R687"/>
    <mergeCell ref="S687:T687"/>
    <mergeCell ref="U687:W687"/>
    <mergeCell ref="X687:Z687"/>
    <mergeCell ref="AA687:AC687"/>
    <mergeCell ref="AD687:AF687"/>
    <mergeCell ref="AG687:AI687"/>
    <mergeCell ref="D687:O687"/>
    <mergeCell ref="D688:O688"/>
    <mergeCell ref="AJ681:AL681"/>
    <mergeCell ref="AM681:AP681"/>
    <mergeCell ref="B682:C682"/>
    <mergeCell ref="P682:R682"/>
    <mergeCell ref="S682:T682"/>
    <mergeCell ref="U682:W682"/>
    <mergeCell ref="X682:Z682"/>
    <mergeCell ref="AA682:AC682"/>
    <mergeCell ref="AD682:AF682"/>
    <mergeCell ref="AG682:AI682"/>
    <mergeCell ref="AJ682:AL682"/>
    <mergeCell ref="AM682:AP682"/>
    <mergeCell ref="B681:C681"/>
    <mergeCell ref="P681:R681"/>
    <mergeCell ref="S681:T681"/>
    <mergeCell ref="U681:W681"/>
    <mergeCell ref="X681:Z681"/>
    <mergeCell ref="AA681:AC681"/>
    <mergeCell ref="AD681:AF681"/>
    <mergeCell ref="AG681:AI681"/>
    <mergeCell ref="D682:O682"/>
    <mergeCell ref="AJ683:AL683"/>
    <mergeCell ref="AM683:AP683"/>
    <mergeCell ref="B684:C684"/>
    <mergeCell ref="P684:R684"/>
    <mergeCell ref="S684:T684"/>
    <mergeCell ref="U684:W684"/>
    <mergeCell ref="X684:Z684"/>
    <mergeCell ref="AA684:AC684"/>
    <mergeCell ref="AD684:AF684"/>
    <mergeCell ref="AG684:AI684"/>
    <mergeCell ref="AJ684:AL684"/>
    <mergeCell ref="AM684:AP684"/>
    <mergeCell ref="B683:C683"/>
    <mergeCell ref="P683:R683"/>
    <mergeCell ref="S683:T683"/>
    <mergeCell ref="U683:W683"/>
    <mergeCell ref="X683:Z683"/>
    <mergeCell ref="AA683:AC683"/>
    <mergeCell ref="AD683:AF683"/>
    <mergeCell ref="AG683:AI683"/>
    <mergeCell ref="D683:O683"/>
    <mergeCell ref="D684:O684"/>
    <mergeCell ref="AJ677:AL677"/>
    <mergeCell ref="AM677:AP677"/>
    <mergeCell ref="B678:C678"/>
    <mergeCell ref="P678:R678"/>
    <mergeCell ref="S678:T678"/>
    <mergeCell ref="U678:W678"/>
    <mergeCell ref="X678:Z678"/>
    <mergeCell ref="AA678:AC678"/>
    <mergeCell ref="AD678:AF678"/>
    <mergeCell ref="AG678:AI678"/>
    <mergeCell ref="AJ678:AL678"/>
    <mergeCell ref="AM678:AP678"/>
    <mergeCell ref="B677:C677"/>
    <mergeCell ref="P677:R677"/>
    <mergeCell ref="S677:T677"/>
    <mergeCell ref="U677:W677"/>
    <mergeCell ref="X677:Z677"/>
    <mergeCell ref="AA677:AC677"/>
    <mergeCell ref="AD677:AF677"/>
    <mergeCell ref="AG677:AI677"/>
    <mergeCell ref="D677:O677"/>
    <mergeCell ref="D678:O678"/>
    <mergeCell ref="AJ679:AL679"/>
    <mergeCell ref="AM679:AP679"/>
    <mergeCell ref="B680:C680"/>
    <mergeCell ref="P680:R680"/>
    <mergeCell ref="S680:T680"/>
    <mergeCell ref="U680:W680"/>
    <mergeCell ref="X680:Z680"/>
    <mergeCell ref="AA680:AC680"/>
    <mergeCell ref="AD680:AF680"/>
    <mergeCell ref="AG680:AI680"/>
    <mergeCell ref="AJ680:AL680"/>
    <mergeCell ref="AM680:AP680"/>
    <mergeCell ref="B679:C679"/>
    <mergeCell ref="P679:R679"/>
    <mergeCell ref="S679:T679"/>
    <mergeCell ref="U679:W679"/>
    <mergeCell ref="X679:Z679"/>
    <mergeCell ref="AA679:AC679"/>
    <mergeCell ref="AD679:AF679"/>
    <mergeCell ref="AG679:AI679"/>
    <mergeCell ref="D680:O680"/>
    <mergeCell ref="D679:O679"/>
    <mergeCell ref="B674:C674"/>
    <mergeCell ref="P674:R674"/>
    <mergeCell ref="S674:T674"/>
    <mergeCell ref="U674:W674"/>
    <mergeCell ref="X674:Z674"/>
    <mergeCell ref="AA674:AC674"/>
    <mergeCell ref="AD674:AF674"/>
    <mergeCell ref="AG674:AI674"/>
    <mergeCell ref="AJ674:AL674"/>
    <mergeCell ref="AM674:AP674"/>
    <mergeCell ref="B673:C673"/>
    <mergeCell ref="P673:R673"/>
    <mergeCell ref="S673:T673"/>
    <mergeCell ref="U673:W673"/>
    <mergeCell ref="X673:Z673"/>
    <mergeCell ref="AA673:AC673"/>
    <mergeCell ref="AD673:AF673"/>
    <mergeCell ref="AG673:AI673"/>
    <mergeCell ref="D673:O673"/>
    <mergeCell ref="D674:O674"/>
    <mergeCell ref="AJ675:AL675"/>
    <mergeCell ref="AM675:AP675"/>
    <mergeCell ref="B676:C676"/>
    <mergeCell ref="P676:R676"/>
    <mergeCell ref="S676:T676"/>
    <mergeCell ref="U676:W676"/>
    <mergeCell ref="X676:Z676"/>
    <mergeCell ref="AA676:AC676"/>
    <mergeCell ref="AD676:AF676"/>
    <mergeCell ref="AG676:AI676"/>
    <mergeCell ref="AJ676:AL676"/>
    <mergeCell ref="AM676:AP676"/>
    <mergeCell ref="B675:C675"/>
    <mergeCell ref="P675:R675"/>
    <mergeCell ref="S675:T675"/>
    <mergeCell ref="U675:W675"/>
    <mergeCell ref="X675:Z675"/>
    <mergeCell ref="AA675:AC675"/>
    <mergeCell ref="AD675:AF675"/>
    <mergeCell ref="AG675:AI675"/>
    <mergeCell ref="D675:O675"/>
    <mergeCell ref="D676:O676"/>
    <mergeCell ref="B647:C647"/>
    <mergeCell ref="P647:R647"/>
    <mergeCell ref="S647:T647"/>
    <mergeCell ref="U647:W647"/>
    <mergeCell ref="X647:Z647"/>
    <mergeCell ref="AA647:AC647"/>
    <mergeCell ref="AD647:AF647"/>
    <mergeCell ref="AG647:AI647"/>
    <mergeCell ref="AJ647:AL647"/>
    <mergeCell ref="AM647:AP647"/>
    <mergeCell ref="B646:C646"/>
    <mergeCell ref="P646:R646"/>
    <mergeCell ref="S646:T646"/>
    <mergeCell ref="U646:W646"/>
    <mergeCell ref="X646:Z646"/>
    <mergeCell ref="AA646:AC646"/>
    <mergeCell ref="AD646:AF646"/>
    <mergeCell ref="AG646:AI646"/>
    <mergeCell ref="D646:O646"/>
    <mergeCell ref="D647:O647"/>
    <mergeCell ref="B669:C669"/>
    <mergeCell ref="AD669:AF669"/>
    <mergeCell ref="AG669:AI669"/>
    <mergeCell ref="AJ669:AL669"/>
    <mergeCell ref="AM669:AP669"/>
    <mergeCell ref="B672:C672"/>
    <mergeCell ref="P672:R672"/>
    <mergeCell ref="S672:T672"/>
    <mergeCell ref="U672:W672"/>
    <mergeCell ref="X672:Z672"/>
    <mergeCell ref="AA672:AC672"/>
    <mergeCell ref="AD672:AF672"/>
    <mergeCell ref="AG672:AI672"/>
    <mergeCell ref="AJ672:AL672"/>
    <mergeCell ref="AM672:AP672"/>
    <mergeCell ref="D672:O672"/>
    <mergeCell ref="AJ646:AL646"/>
    <mergeCell ref="B654:C654"/>
    <mergeCell ref="D654:O654"/>
    <mergeCell ref="P654:R654"/>
    <mergeCell ref="S654:T654"/>
    <mergeCell ref="U654:W654"/>
    <mergeCell ref="X654:Z654"/>
    <mergeCell ref="AA654:AC654"/>
    <mergeCell ref="AD654:AF654"/>
    <mergeCell ref="AG654:AI654"/>
    <mergeCell ref="AJ654:AL654"/>
    <mergeCell ref="AM654:AP654"/>
    <mergeCell ref="B658:C658"/>
    <mergeCell ref="D658:O658"/>
    <mergeCell ref="P658:R658"/>
    <mergeCell ref="S658:T658"/>
    <mergeCell ref="U658:W658"/>
    <mergeCell ref="X658:Z658"/>
    <mergeCell ref="AA658:AC658"/>
    <mergeCell ref="AD658:AF658"/>
    <mergeCell ref="AG658:AI658"/>
    <mergeCell ref="AJ658:AL658"/>
    <mergeCell ref="AM658:AP658"/>
    <mergeCell ref="B662:C662"/>
    <mergeCell ref="D662:O662"/>
    <mergeCell ref="P662:R662"/>
    <mergeCell ref="S662:T662"/>
    <mergeCell ref="B655:C655"/>
    <mergeCell ref="B643:C643"/>
    <mergeCell ref="P643:R643"/>
    <mergeCell ref="S643:T643"/>
    <mergeCell ref="U643:W643"/>
    <mergeCell ref="X643:Z643"/>
    <mergeCell ref="AA643:AC643"/>
    <mergeCell ref="AD643:AF643"/>
    <mergeCell ref="AG643:AI643"/>
    <mergeCell ref="AJ643:AL643"/>
    <mergeCell ref="AM643:AP643"/>
    <mergeCell ref="B642:C642"/>
    <mergeCell ref="P642:R642"/>
    <mergeCell ref="S642:T642"/>
    <mergeCell ref="U642:W642"/>
    <mergeCell ref="X642:Z642"/>
    <mergeCell ref="AA642:AC642"/>
    <mergeCell ref="AD642:AF642"/>
    <mergeCell ref="AG642:AI642"/>
    <mergeCell ref="D643:O643"/>
    <mergeCell ref="D642:O642"/>
    <mergeCell ref="AJ644:AL644"/>
    <mergeCell ref="AM644:AP644"/>
    <mergeCell ref="B645:C645"/>
    <mergeCell ref="P645:R645"/>
    <mergeCell ref="S645:T645"/>
    <mergeCell ref="U645:W645"/>
    <mergeCell ref="X645:Z645"/>
    <mergeCell ref="AA645:AC645"/>
    <mergeCell ref="AD645:AF645"/>
    <mergeCell ref="AG645:AI645"/>
    <mergeCell ref="AJ645:AL645"/>
    <mergeCell ref="AM645:AP645"/>
    <mergeCell ref="B644:C644"/>
    <mergeCell ref="P644:R644"/>
    <mergeCell ref="S644:T644"/>
    <mergeCell ref="U644:W644"/>
    <mergeCell ref="X644:Z644"/>
    <mergeCell ref="AA644:AC644"/>
    <mergeCell ref="AD644:AF644"/>
    <mergeCell ref="AG644:AI644"/>
    <mergeCell ref="D644:O644"/>
    <mergeCell ref="D645:O645"/>
    <mergeCell ref="AJ642:AL642"/>
    <mergeCell ref="AM642:AP642"/>
    <mergeCell ref="B639:C639"/>
    <mergeCell ref="P639:R639"/>
    <mergeCell ref="S639:T639"/>
    <mergeCell ref="U639:W639"/>
    <mergeCell ref="X639:Z639"/>
    <mergeCell ref="AA639:AC639"/>
    <mergeCell ref="AD639:AF639"/>
    <mergeCell ref="AG639:AI639"/>
    <mergeCell ref="AJ639:AL639"/>
    <mergeCell ref="AM639:AP639"/>
    <mergeCell ref="B638:C638"/>
    <mergeCell ref="P638:R638"/>
    <mergeCell ref="S638:T638"/>
    <mergeCell ref="U638:W638"/>
    <mergeCell ref="X638:Z638"/>
    <mergeCell ref="AA638:AC638"/>
    <mergeCell ref="AD638:AF638"/>
    <mergeCell ref="AG638:AI638"/>
    <mergeCell ref="D638:O638"/>
    <mergeCell ref="D639:O639"/>
    <mergeCell ref="AJ640:AL640"/>
    <mergeCell ref="AM640:AP640"/>
    <mergeCell ref="B641:C641"/>
    <mergeCell ref="P641:R641"/>
    <mergeCell ref="S641:T641"/>
    <mergeCell ref="U641:W641"/>
    <mergeCell ref="X641:Z641"/>
    <mergeCell ref="AA641:AC641"/>
    <mergeCell ref="AD641:AF641"/>
    <mergeCell ref="AG641:AI641"/>
    <mergeCell ref="AJ641:AL641"/>
    <mergeCell ref="AM641:AP641"/>
    <mergeCell ref="B640:C640"/>
    <mergeCell ref="P640:R640"/>
    <mergeCell ref="S640:T640"/>
    <mergeCell ref="U640:W640"/>
    <mergeCell ref="X640:Z640"/>
    <mergeCell ref="AA640:AC640"/>
    <mergeCell ref="AD640:AF640"/>
    <mergeCell ref="AG640:AI640"/>
    <mergeCell ref="D640:O640"/>
    <mergeCell ref="AJ638:AL638"/>
    <mergeCell ref="AM638:AP638"/>
    <mergeCell ref="B635:C635"/>
    <mergeCell ref="P635:R635"/>
    <mergeCell ref="S635:T635"/>
    <mergeCell ref="U635:W635"/>
    <mergeCell ref="X635:Z635"/>
    <mergeCell ref="AA635:AC635"/>
    <mergeCell ref="AD635:AF635"/>
    <mergeCell ref="AG635:AI635"/>
    <mergeCell ref="AJ635:AL635"/>
    <mergeCell ref="AM635:AP635"/>
    <mergeCell ref="B634:C634"/>
    <mergeCell ref="P634:R634"/>
    <mergeCell ref="S634:T634"/>
    <mergeCell ref="U634:W634"/>
    <mergeCell ref="X634:Z634"/>
    <mergeCell ref="AA634:AC634"/>
    <mergeCell ref="AD634:AF634"/>
    <mergeCell ref="AG634:AI634"/>
    <mergeCell ref="D635:O635"/>
    <mergeCell ref="D634:O634"/>
    <mergeCell ref="AJ636:AL636"/>
    <mergeCell ref="AM636:AP636"/>
    <mergeCell ref="B636:C636"/>
    <mergeCell ref="P636:R636"/>
    <mergeCell ref="S636:T636"/>
    <mergeCell ref="U636:W636"/>
    <mergeCell ref="X636:Z636"/>
    <mergeCell ref="AA636:AC636"/>
    <mergeCell ref="AD636:AF636"/>
    <mergeCell ref="AG636:AI636"/>
    <mergeCell ref="D636:O636"/>
    <mergeCell ref="B637:C637"/>
    <mergeCell ref="P637:R637"/>
    <mergeCell ref="S637:T637"/>
    <mergeCell ref="U637:W637"/>
    <mergeCell ref="X637:Z637"/>
    <mergeCell ref="AA637:AC637"/>
    <mergeCell ref="AD637:AF637"/>
    <mergeCell ref="AG637:AI637"/>
    <mergeCell ref="AJ637:AL637"/>
    <mergeCell ref="AM637:AP637"/>
    <mergeCell ref="D637:O637"/>
    <mergeCell ref="AJ634:AL634"/>
    <mergeCell ref="AM634:AP634"/>
    <mergeCell ref="B631:C631"/>
    <mergeCell ref="P631:R631"/>
    <mergeCell ref="S631:T631"/>
    <mergeCell ref="U631:W631"/>
    <mergeCell ref="X631:Z631"/>
    <mergeCell ref="AA631:AC631"/>
    <mergeCell ref="AD631:AF631"/>
    <mergeCell ref="AG631:AI631"/>
    <mergeCell ref="AJ631:AL631"/>
    <mergeCell ref="AM631:AP631"/>
    <mergeCell ref="B630:C630"/>
    <mergeCell ref="P630:R630"/>
    <mergeCell ref="S630:T630"/>
    <mergeCell ref="U630:W630"/>
    <mergeCell ref="X630:Z630"/>
    <mergeCell ref="AA630:AC630"/>
    <mergeCell ref="AD630:AF630"/>
    <mergeCell ref="AG630:AI630"/>
    <mergeCell ref="D631:O631"/>
    <mergeCell ref="D630:O630"/>
    <mergeCell ref="AJ632:AL632"/>
    <mergeCell ref="AM632:AP632"/>
    <mergeCell ref="B633:C633"/>
    <mergeCell ref="P633:R633"/>
    <mergeCell ref="S633:T633"/>
    <mergeCell ref="U633:W633"/>
    <mergeCell ref="X633:Z633"/>
    <mergeCell ref="AA633:AC633"/>
    <mergeCell ref="AD633:AF633"/>
    <mergeCell ref="AG633:AI633"/>
    <mergeCell ref="AJ633:AL633"/>
    <mergeCell ref="AM633:AP633"/>
    <mergeCell ref="B632:C632"/>
    <mergeCell ref="P632:R632"/>
    <mergeCell ref="S632:T632"/>
    <mergeCell ref="U632:W632"/>
    <mergeCell ref="X632:Z632"/>
    <mergeCell ref="AA632:AC632"/>
    <mergeCell ref="AD632:AF632"/>
    <mergeCell ref="AG632:AI632"/>
    <mergeCell ref="D633:O633"/>
    <mergeCell ref="D632:O632"/>
    <mergeCell ref="AJ630:AL630"/>
    <mergeCell ref="AM630:AP630"/>
    <mergeCell ref="B624:C624"/>
    <mergeCell ref="AD624:AF624"/>
    <mergeCell ref="AG624:AI624"/>
    <mergeCell ref="AJ624:AL624"/>
    <mergeCell ref="AM624:AP624"/>
    <mergeCell ref="B627:C627"/>
    <mergeCell ref="P627:R627"/>
    <mergeCell ref="S627:T627"/>
    <mergeCell ref="U627:W627"/>
    <mergeCell ref="X627:Z627"/>
    <mergeCell ref="AA627:AC627"/>
    <mergeCell ref="AD627:AF627"/>
    <mergeCell ref="AG627:AI627"/>
    <mergeCell ref="AJ627:AL627"/>
    <mergeCell ref="AM627:AP627"/>
    <mergeCell ref="B595:C595"/>
    <mergeCell ref="P595:R595"/>
    <mergeCell ref="S595:T595"/>
    <mergeCell ref="U595:W595"/>
    <mergeCell ref="X595:Z595"/>
    <mergeCell ref="AA595:AC595"/>
    <mergeCell ref="AD595:AF595"/>
    <mergeCell ref="AG595:AI595"/>
    <mergeCell ref="B596:C596"/>
    <mergeCell ref="D596:O596"/>
    <mergeCell ref="P596:R596"/>
    <mergeCell ref="D595:O595"/>
    <mergeCell ref="U596:W596"/>
    <mergeCell ref="X596:Z596"/>
    <mergeCell ref="AA596:AC596"/>
    <mergeCell ref="B629:C629"/>
    <mergeCell ref="P629:R629"/>
    <mergeCell ref="S629:T629"/>
    <mergeCell ref="U629:W629"/>
    <mergeCell ref="X629:Z629"/>
    <mergeCell ref="AA629:AC629"/>
    <mergeCell ref="AD629:AF629"/>
    <mergeCell ref="AG629:AI629"/>
    <mergeCell ref="AJ629:AL629"/>
    <mergeCell ref="AM629:AP629"/>
    <mergeCell ref="B628:C628"/>
    <mergeCell ref="P628:R628"/>
    <mergeCell ref="S628:T628"/>
    <mergeCell ref="U628:W628"/>
    <mergeCell ref="X628:Z628"/>
    <mergeCell ref="AA628:AC628"/>
    <mergeCell ref="AD628:AF628"/>
    <mergeCell ref="AG628:AI628"/>
    <mergeCell ref="D629:O629"/>
    <mergeCell ref="D628:O628"/>
    <mergeCell ref="AD596:AF596"/>
    <mergeCell ref="AG596:AI596"/>
    <mergeCell ref="AJ596:AL596"/>
    <mergeCell ref="AM596:AP596"/>
    <mergeCell ref="B600:C600"/>
    <mergeCell ref="D600:O600"/>
    <mergeCell ref="P600:R600"/>
    <mergeCell ref="S600:T600"/>
    <mergeCell ref="U600:W600"/>
    <mergeCell ref="X600:Z600"/>
    <mergeCell ref="AA600:AC600"/>
    <mergeCell ref="AD600:AF600"/>
    <mergeCell ref="AJ595:AL595"/>
    <mergeCell ref="AM595:AP595"/>
    <mergeCell ref="B592:C592"/>
    <mergeCell ref="P592:R592"/>
    <mergeCell ref="S592:T592"/>
    <mergeCell ref="U592:W592"/>
    <mergeCell ref="X592:Z592"/>
    <mergeCell ref="AA592:AC592"/>
    <mergeCell ref="AD592:AF592"/>
    <mergeCell ref="AG592:AI592"/>
    <mergeCell ref="B591:C591"/>
    <mergeCell ref="P591:R591"/>
    <mergeCell ref="S591:T591"/>
    <mergeCell ref="U591:W591"/>
    <mergeCell ref="X591:Z591"/>
    <mergeCell ref="AA591:AC591"/>
    <mergeCell ref="AD591:AF591"/>
    <mergeCell ref="AG591:AI591"/>
    <mergeCell ref="D592:O592"/>
    <mergeCell ref="B594:C594"/>
    <mergeCell ref="P594:R594"/>
    <mergeCell ref="S594:T594"/>
    <mergeCell ref="U594:W594"/>
    <mergeCell ref="X594:Z594"/>
    <mergeCell ref="AA594:AC594"/>
    <mergeCell ref="AD594:AF594"/>
    <mergeCell ref="AG594:AI594"/>
    <mergeCell ref="AJ594:AL594"/>
    <mergeCell ref="AM594:AP594"/>
    <mergeCell ref="B593:C593"/>
    <mergeCell ref="P593:R593"/>
    <mergeCell ref="S593:T593"/>
    <mergeCell ref="U593:W593"/>
    <mergeCell ref="X593:Z593"/>
    <mergeCell ref="AA593:AC593"/>
    <mergeCell ref="AD593:AF593"/>
    <mergeCell ref="AG593:AI593"/>
    <mergeCell ref="AJ593:AL593"/>
    <mergeCell ref="D593:O593"/>
    <mergeCell ref="D594:O594"/>
    <mergeCell ref="B587:C587"/>
    <mergeCell ref="P587:R587"/>
    <mergeCell ref="S587:T587"/>
    <mergeCell ref="U587:W587"/>
    <mergeCell ref="X587:Z587"/>
    <mergeCell ref="AA587:AC587"/>
    <mergeCell ref="AD587:AF587"/>
    <mergeCell ref="AG587:AI587"/>
    <mergeCell ref="AJ587:AL587"/>
    <mergeCell ref="AM587:AP587"/>
    <mergeCell ref="B586:C586"/>
    <mergeCell ref="P586:R586"/>
    <mergeCell ref="S586:T586"/>
    <mergeCell ref="U586:W586"/>
    <mergeCell ref="X586:Z586"/>
    <mergeCell ref="AA586:AC586"/>
    <mergeCell ref="AD586:AF586"/>
    <mergeCell ref="AG586:AI586"/>
    <mergeCell ref="D586:O586"/>
    <mergeCell ref="D587:O587"/>
    <mergeCell ref="B590:C590"/>
    <mergeCell ref="P590:R590"/>
    <mergeCell ref="S590:T590"/>
    <mergeCell ref="U590:W590"/>
    <mergeCell ref="X590:Z590"/>
    <mergeCell ref="AA590:AC590"/>
    <mergeCell ref="AD590:AF590"/>
    <mergeCell ref="AG590:AI590"/>
    <mergeCell ref="AJ588:AL588"/>
    <mergeCell ref="AM588:AP588"/>
    <mergeCell ref="B589:C589"/>
    <mergeCell ref="P589:R589"/>
    <mergeCell ref="S589:T589"/>
    <mergeCell ref="U589:W589"/>
    <mergeCell ref="X589:Z589"/>
    <mergeCell ref="AA589:AC589"/>
    <mergeCell ref="AD589:AF589"/>
    <mergeCell ref="AG589:AI589"/>
    <mergeCell ref="AJ589:AL589"/>
    <mergeCell ref="AM589:AP589"/>
    <mergeCell ref="B588:C588"/>
    <mergeCell ref="P588:R588"/>
    <mergeCell ref="S588:T588"/>
    <mergeCell ref="U588:W588"/>
    <mergeCell ref="X588:Z588"/>
    <mergeCell ref="AA588:AC588"/>
    <mergeCell ref="AD588:AF588"/>
    <mergeCell ref="AG588:AI588"/>
    <mergeCell ref="D589:O589"/>
    <mergeCell ref="AJ586:AL586"/>
    <mergeCell ref="AM586:AP586"/>
    <mergeCell ref="B583:C583"/>
    <mergeCell ref="P583:R583"/>
    <mergeCell ref="S583:T583"/>
    <mergeCell ref="U583:W583"/>
    <mergeCell ref="X583:Z583"/>
    <mergeCell ref="AA583:AC583"/>
    <mergeCell ref="AD583:AF583"/>
    <mergeCell ref="AG583:AI583"/>
    <mergeCell ref="AJ583:AL583"/>
    <mergeCell ref="AM583:AP583"/>
    <mergeCell ref="B582:C582"/>
    <mergeCell ref="P582:R582"/>
    <mergeCell ref="S582:T582"/>
    <mergeCell ref="U582:W582"/>
    <mergeCell ref="X582:Z582"/>
    <mergeCell ref="AA582:AC582"/>
    <mergeCell ref="AD582:AF582"/>
    <mergeCell ref="AG582:AI582"/>
    <mergeCell ref="D583:O583"/>
    <mergeCell ref="D582:O582"/>
    <mergeCell ref="AJ584:AL584"/>
    <mergeCell ref="AM584:AP584"/>
    <mergeCell ref="B585:C585"/>
    <mergeCell ref="P585:R585"/>
    <mergeCell ref="S585:T585"/>
    <mergeCell ref="U585:W585"/>
    <mergeCell ref="X585:Z585"/>
    <mergeCell ref="AA585:AC585"/>
    <mergeCell ref="AD585:AF585"/>
    <mergeCell ref="AG585:AI585"/>
    <mergeCell ref="AJ585:AL585"/>
    <mergeCell ref="AM585:AP585"/>
    <mergeCell ref="B584:C584"/>
    <mergeCell ref="P584:R584"/>
    <mergeCell ref="S584:T584"/>
    <mergeCell ref="U584:W584"/>
    <mergeCell ref="X584:Z584"/>
    <mergeCell ref="AA584:AC584"/>
    <mergeCell ref="AD584:AF584"/>
    <mergeCell ref="AG584:AI584"/>
    <mergeCell ref="D585:O585"/>
    <mergeCell ref="AM582:AP582"/>
    <mergeCell ref="B549:C549"/>
    <mergeCell ref="P549:R549"/>
    <mergeCell ref="S549:T549"/>
    <mergeCell ref="U549:W549"/>
    <mergeCell ref="X549:Z549"/>
    <mergeCell ref="AA549:AC549"/>
    <mergeCell ref="AD549:AF549"/>
    <mergeCell ref="AG549:AI549"/>
    <mergeCell ref="AJ549:AL549"/>
    <mergeCell ref="AM549:AP549"/>
    <mergeCell ref="B548:C548"/>
    <mergeCell ref="P548:R548"/>
    <mergeCell ref="S548:T548"/>
    <mergeCell ref="U548:W548"/>
    <mergeCell ref="X548:Z548"/>
    <mergeCell ref="AA548:AC548"/>
    <mergeCell ref="AD548:AF548"/>
    <mergeCell ref="AG548:AI548"/>
    <mergeCell ref="D549:O549"/>
    <mergeCell ref="D548:O548"/>
    <mergeCell ref="AJ550:AL550"/>
    <mergeCell ref="AM550:AP550"/>
    <mergeCell ref="B579:C579"/>
    <mergeCell ref="AD579:AF579"/>
    <mergeCell ref="AG579:AI579"/>
    <mergeCell ref="AJ579:AL579"/>
    <mergeCell ref="AM579:AP579"/>
    <mergeCell ref="B550:C550"/>
    <mergeCell ref="P550:R550"/>
    <mergeCell ref="S550:T550"/>
    <mergeCell ref="U550:W550"/>
    <mergeCell ref="X550:Z550"/>
    <mergeCell ref="AA550:AC550"/>
    <mergeCell ref="AD550:AF550"/>
    <mergeCell ref="AG550:AI550"/>
    <mergeCell ref="B551:C551"/>
    <mergeCell ref="D551:O551"/>
    <mergeCell ref="P551:R551"/>
    <mergeCell ref="S551:T551"/>
    <mergeCell ref="U551:W551"/>
    <mergeCell ref="X551:Z551"/>
    <mergeCell ref="AA551:AC551"/>
    <mergeCell ref="AD551:AF551"/>
    <mergeCell ref="AG551:AI551"/>
    <mergeCell ref="AJ551:AL551"/>
    <mergeCell ref="AM551:AP551"/>
    <mergeCell ref="B555:C555"/>
    <mergeCell ref="D555:O555"/>
    <mergeCell ref="P555:R555"/>
    <mergeCell ref="S555:T555"/>
    <mergeCell ref="U555:W555"/>
    <mergeCell ref="X555:Z555"/>
    <mergeCell ref="B552:C552"/>
    <mergeCell ref="D552:O552"/>
    <mergeCell ref="P552:R552"/>
    <mergeCell ref="S552:T552"/>
    <mergeCell ref="U552:W552"/>
    <mergeCell ref="X552:Z552"/>
    <mergeCell ref="AA552:AC552"/>
    <mergeCell ref="AD552:AF552"/>
    <mergeCell ref="B556:C556"/>
    <mergeCell ref="D556:O556"/>
    <mergeCell ref="P560:R560"/>
    <mergeCell ref="S560:T560"/>
    <mergeCell ref="B545:C545"/>
    <mergeCell ref="P545:R545"/>
    <mergeCell ref="S545:T545"/>
    <mergeCell ref="U545:W545"/>
    <mergeCell ref="X545:Z545"/>
    <mergeCell ref="AA545:AC545"/>
    <mergeCell ref="AD545:AF545"/>
    <mergeCell ref="AG545:AI545"/>
    <mergeCell ref="AJ545:AL545"/>
    <mergeCell ref="AM545:AP545"/>
    <mergeCell ref="B544:C544"/>
    <mergeCell ref="P544:R544"/>
    <mergeCell ref="S544:T544"/>
    <mergeCell ref="U544:W544"/>
    <mergeCell ref="X544:Z544"/>
    <mergeCell ref="AA544:AC544"/>
    <mergeCell ref="AD544:AF544"/>
    <mergeCell ref="AG544:AI544"/>
    <mergeCell ref="D544:O544"/>
    <mergeCell ref="D545:O545"/>
    <mergeCell ref="AJ546:AL546"/>
    <mergeCell ref="AM546:AP546"/>
    <mergeCell ref="B547:C547"/>
    <mergeCell ref="P547:R547"/>
    <mergeCell ref="S547:T547"/>
    <mergeCell ref="U547:W547"/>
    <mergeCell ref="X547:Z547"/>
    <mergeCell ref="AA547:AC547"/>
    <mergeCell ref="AD547:AF547"/>
    <mergeCell ref="AG547:AI547"/>
    <mergeCell ref="AJ547:AL547"/>
    <mergeCell ref="AM547:AP547"/>
    <mergeCell ref="B546:C546"/>
    <mergeCell ref="P546:R546"/>
    <mergeCell ref="S546:T546"/>
    <mergeCell ref="U546:W546"/>
    <mergeCell ref="X546:Z546"/>
    <mergeCell ref="AA546:AC546"/>
    <mergeCell ref="AD546:AF546"/>
    <mergeCell ref="AG546:AI546"/>
    <mergeCell ref="D546:O546"/>
    <mergeCell ref="P538:R538"/>
    <mergeCell ref="S538:T538"/>
    <mergeCell ref="U538:W538"/>
    <mergeCell ref="X538:Z538"/>
    <mergeCell ref="AA538:AC538"/>
    <mergeCell ref="AD538:AF538"/>
    <mergeCell ref="AG538:AI538"/>
    <mergeCell ref="D538:O538"/>
    <mergeCell ref="AJ540:AL540"/>
    <mergeCell ref="AM540:AP540"/>
    <mergeCell ref="B541:C541"/>
    <mergeCell ref="P541:R541"/>
    <mergeCell ref="S541:T541"/>
    <mergeCell ref="U541:W541"/>
    <mergeCell ref="X541:Z541"/>
    <mergeCell ref="AA541:AC541"/>
    <mergeCell ref="AD541:AF541"/>
    <mergeCell ref="AG541:AI541"/>
    <mergeCell ref="AJ541:AL541"/>
    <mergeCell ref="AM541:AP541"/>
    <mergeCell ref="B540:C540"/>
    <mergeCell ref="P540:R540"/>
    <mergeCell ref="S540:T540"/>
    <mergeCell ref="U540:W540"/>
    <mergeCell ref="X540:Z540"/>
    <mergeCell ref="AA540:AC540"/>
    <mergeCell ref="AD540:AF540"/>
    <mergeCell ref="AG540:AI540"/>
    <mergeCell ref="D540:O540"/>
    <mergeCell ref="D541:O541"/>
    <mergeCell ref="AJ542:AL542"/>
    <mergeCell ref="AM542:AP542"/>
    <mergeCell ref="B543:C543"/>
    <mergeCell ref="P543:R543"/>
    <mergeCell ref="S543:T543"/>
    <mergeCell ref="U543:W543"/>
    <mergeCell ref="X543:Z543"/>
    <mergeCell ref="AA543:AC543"/>
    <mergeCell ref="AD543:AF543"/>
    <mergeCell ref="AG543:AI543"/>
    <mergeCell ref="AJ543:AL543"/>
    <mergeCell ref="AM543:AP543"/>
    <mergeCell ref="B542:C542"/>
    <mergeCell ref="P542:R542"/>
    <mergeCell ref="S542:T542"/>
    <mergeCell ref="U542:W542"/>
    <mergeCell ref="X542:Z542"/>
    <mergeCell ref="AA542:AC542"/>
    <mergeCell ref="AD542:AF542"/>
    <mergeCell ref="AG542:AI542"/>
    <mergeCell ref="D543:O543"/>
    <mergeCell ref="D542:O542"/>
    <mergeCell ref="AJ538:AL538"/>
    <mergeCell ref="AM538:AP538"/>
    <mergeCell ref="B534:C534"/>
    <mergeCell ref="AD534:AF534"/>
    <mergeCell ref="AG534:AI534"/>
    <mergeCell ref="AJ534:AL534"/>
    <mergeCell ref="AM534:AP534"/>
    <mergeCell ref="B537:C537"/>
    <mergeCell ref="P537:R537"/>
    <mergeCell ref="S537:T537"/>
    <mergeCell ref="U537:W537"/>
    <mergeCell ref="X537:Z537"/>
    <mergeCell ref="AA537:AC537"/>
    <mergeCell ref="AD537:AF537"/>
    <mergeCell ref="AG537:AI537"/>
    <mergeCell ref="AJ537:AL537"/>
    <mergeCell ref="AM537:AP537"/>
    <mergeCell ref="B499:C499"/>
    <mergeCell ref="P499:R499"/>
    <mergeCell ref="S499:T499"/>
    <mergeCell ref="U499:W499"/>
    <mergeCell ref="X499:Z499"/>
    <mergeCell ref="AA499:AC499"/>
    <mergeCell ref="AD499:AF499"/>
    <mergeCell ref="AG499:AI499"/>
    <mergeCell ref="B501:C501"/>
    <mergeCell ref="D501:O501"/>
    <mergeCell ref="P501:R501"/>
    <mergeCell ref="B500:C500"/>
    <mergeCell ref="D500:O500"/>
    <mergeCell ref="P500:R500"/>
    <mergeCell ref="S500:T500"/>
    <mergeCell ref="U500:W500"/>
    <mergeCell ref="X500:Z500"/>
    <mergeCell ref="AA500:AC500"/>
    <mergeCell ref="AD500:AF500"/>
    <mergeCell ref="AG500:AI500"/>
    <mergeCell ref="AJ500:AL500"/>
    <mergeCell ref="AM500:AP500"/>
    <mergeCell ref="B505:C505"/>
    <mergeCell ref="D505:O505"/>
    <mergeCell ref="P505:R505"/>
    <mergeCell ref="S505:T505"/>
    <mergeCell ref="U505:W505"/>
    <mergeCell ref="X505:Z505"/>
    <mergeCell ref="AA505:AC505"/>
    <mergeCell ref="AD505:AF505"/>
    <mergeCell ref="AG505:AI505"/>
    <mergeCell ref="AJ505:AL505"/>
    <mergeCell ref="AM505:AP505"/>
    <mergeCell ref="B506:C506"/>
    <mergeCell ref="D506:O506"/>
    <mergeCell ref="P506:R506"/>
    <mergeCell ref="S506:T506"/>
    <mergeCell ref="U506:W506"/>
    <mergeCell ref="X506:Z506"/>
    <mergeCell ref="AA506:AC506"/>
    <mergeCell ref="AD506:AF506"/>
    <mergeCell ref="AG506:AI506"/>
    <mergeCell ref="AJ506:AL506"/>
    <mergeCell ref="AM506:AP506"/>
    <mergeCell ref="B503:C503"/>
    <mergeCell ref="D503:O503"/>
    <mergeCell ref="P503:R503"/>
    <mergeCell ref="S503:T503"/>
    <mergeCell ref="U503:W503"/>
    <mergeCell ref="S496:T496"/>
    <mergeCell ref="U496:W496"/>
    <mergeCell ref="X496:Z496"/>
    <mergeCell ref="AA496:AC496"/>
    <mergeCell ref="AD496:AF496"/>
    <mergeCell ref="AG496:AI496"/>
    <mergeCell ref="AJ496:AL496"/>
    <mergeCell ref="AM496:AP496"/>
    <mergeCell ref="B495:C495"/>
    <mergeCell ref="P495:R495"/>
    <mergeCell ref="S495:T495"/>
    <mergeCell ref="U495:W495"/>
    <mergeCell ref="X495:Z495"/>
    <mergeCell ref="AA495:AC495"/>
    <mergeCell ref="AD495:AF495"/>
    <mergeCell ref="AG495:AI495"/>
    <mergeCell ref="D496:O496"/>
    <mergeCell ref="D495:O495"/>
    <mergeCell ref="AJ497:AL497"/>
    <mergeCell ref="AM497:AP497"/>
    <mergeCell ref="B498:C498"/>
    <mergeCell ref="P498:R498"/>
    <mergeCell ref="S498:T498"/>
    <mergeCell ref="U498:W498"/>
    <mergeCell ref="X498:Z498"/>
    <mergeCell ref="AA498:AC498"/>
    <mergeCell ref="AD498:AF498"/>
    <mergeCell ref="AG498:AI498"/>
    <mergeCell ref="AJ498:AL498"/>
    <mergeCell ref="AM498:AP498"/>
    <mergeCell ref="B497:C497"/>
    <mergeCell ref="P497:R497"/>
    <mergeCell ref="S497:T497"/>
    <mergeCell ref="U497:W497"/>
    <mergeCell ref="X497:Z497"/>
    <mergeCell ref="AA497:AC497"/>
    <mergeCell ref="AD497:AF497"/>
    <mergeCell ref="AG497:AI497"/>
    <mergeCell ref="D498:O498"/>
    <mergeCell ref="B457:C457"/>
    <mergeCell ref="P457:R457"/>
    <mergeCell ref="S457:T457"/>
    <mergeCell ref="U457:W457"/>
    <mergeCell ref="X457:Z457"/>
    <mergeCell ref="AA457:AC457"/>
    <mergeCell ref="AD457:AF457"/>
    <mergeCell ref="AG457:AI457"/>
    <mergeCell ref="AJ457:AL457"/>
    <mergeCell ref="AM457:AP457"/>
    <mergeCell ref="B456:C456"/>
    <mergeCell ref="P456:R456"/>
    <mergeCell ref="S456:T456"/>
    <mergeCell ref="U456:W456"/>
    <mergeCell ref="X456:Z456"/>
    <mergeCell ref="AA456:AC456"/>
    <mergeCell ref="AD456:AF456"/>
    <mergeCell ref="AG456:AI456"/>
    <mergeCell ref="D456:O456"/>
    <mergeCell ref="D457:O457"/>
    <mergeCell ref="B459:C459"/>
    <mergeCell ref="P459:R459"/>
    <mergeCell ref="S459:T459"/>
    <mergeCell ref="U459:W459"/>
    <mergeCell ref="X459:Z459"/>
    <mergeCell ref="AA459:AC459"/>
    <mergeCell ref="AD459:AF459"/>
    <mergeCell ref="AG459:AI459"/>
    <mergeCell ref="AJ459:AL459"/>
    <mergeCell ref="AM459:AP459"/>
    <mergeCell ref="B458:C458"/>
    <mergeCell ref="P458:R458"/>
    <mergeCell ref="S458:T458"/>
    <mergeCell ref="U458:W458"/>
    <mergeCell ref="X458:Z458"/>
    <mergeCell ref="AA458:AC458"/>
    <mergeCell ref="AD458:AF458"/>
    <mergeCell ref="AG458:AI458"/>
    <mergeCell ref="D458:O458"/>
    <mergeCell ref="AJ456:AL456"/>
    <mergeCell ref="AM456:AP456"/>
    <mergeCell ref="AJ458:AL458"/>
    <mergeCell ref="AM458:AP458"/>
    <mergeCell ref="B451:C451"/>
    <mergeCell ref="P451:R451"/>
    <mergeCell ref="S451:T451"/>
    <mergeCell ref="U451:W451"/>
    <mergeCell ref="X451:Z451"/>
    <mergeCell ref="AA451:AC451"/>
    <mergeCell ref="AD451:AF451"/>
    <mergeCell ref="AG451:AI451"/>
    <mergeCell ref="AJ451:AL451"/>
    <mergeCell ref="AM451:AP451"/>
    <mergeCell ref="B450:C450"/>
    <mergeCell ref="P450:R450"/>
    <mergeCell ref="S450:T450"/>
    <mergeCell ref="U450:W450"/>
    <mergeCell ref="X450:Z450"/>
    <mergeCell ref="AA450:AC450"/>
    <mergeCell ref="AD450:AF450"/>
    <mergeCell ref="AG450:AI450"/>
    <mergeCell ref="D450:O450"/>
    <mergeCell ref="D451:O451"/>
    <mergeCell ref="AJ453:AL453"/>
    <mergeCell ref="AM453:AP453"/>
    <mergeCell ref="B452:C452"/>
    <mergeCell ref="P452:R452"/>
    <mergeCell ref="S452:T452"/>
    <mergeCell ref="U452:W452"/>
    <mergeCell ref="X452:Z452"/>
    <mergeCell ref="AA452:AC452"/>
    <mergeCell ref="AD452:AF452"/>
    <mergeCell ref="AG452:AI452"/>
    <mergeCell ref="B455:C455"/>
    <mergeCell ref="P455:R455"/>
    <mergeCell ref="S455:T455"/>
    <mergeCell ref="U455:W455"/>
    <mergeCell ref="X455:Z455"/>
    <mergeCell ref="AA455:AC455"/>
    <mergeCell ref="AD455:AF455"/>
    <mergeCell ref="AG455:AI455"/>
    <mergeCell ref="AJ455:AL455"/>
    <mergeCell ref="AM455:AP455"/>
    <mergeCell ref="B454:C454"/>
    <mergeCell ref="P454:R454"/>
    <mergeCell ref="S454:T454"/>
    <mergeCell ref="U454:W454"/>
    <mergeCell ref="X454:Z454"/>
    <mergeCell ref="AA454:AC454"/>
    <mergeCell ref="AD454:AF454"/>
    <mergeCell ref="AG454:AI454"/>
    <mergeCell ref="D455:O455"/>
    <mergeCell ref="AA453:AC453"/>
    <mergeCell ref="AD453:AF453"/>
    <mergeCell ref="AG453:AI453"/>
    <mergeCell ref="AJ452:AL452"/>
    <mergeCell ref="AM452:AP452"/>
    <mergeCell ref="AJ454:AL454"/>
    <mergeCell ref="AM454:AP454"/>
    <mergeCell ref="B453:C453"/>
    <mergeCell ref="P453:R453"/>
    <mergeCell ref="S453:T453"/>
    <mergeCell ref="U453:W453"/>
    <mergeCell ref="B415:C415"/>
    <mergeCell ref="P415:R415"/>
    <mergeCell ref="S415:T415"/>
    <mergeCell ref="U415:W415"/>
    <mergeCell ref="X415:Z415"/>
    <mergeCell ref="AA415:AC415"/>
    <mergeCell ref="AD415:AF415"/>
    <mergeCell ref="AG415:AI415"/>
    <mergeCell ref="D415:O415"/>
    <mergeCell ref="D447:O447"/>
    <mergeCell ref="B417:C417"/>
    <mergeCell ref="B416:C416"/>
    <mergeCell ref="D416:O416"/>
    <mergeCell ref="P416:R416"/>
    <mergeCell ref="S416:T416"/>
    <mergeCell ref="U416:W416"/>
    <mergeCell ref="X416:Z416"/>
    <mergeCell ref="D417:O417"/>
    <mergeCell ref="P417:R417"/>
    <mergeCell ref="S417:T417"/>
    <mergeCell ref="U417:W417"/>
    <mergeCell ref="X417:Z417"/>
    <mergeCell ref="AA417:AC417"/>
    <mergeCell ref="AD417:AF417"/>
    <mergeCell ref="AG417:AI417"/>
    <mergeCell ref="AJ417:AL417"/>
    <mergeCell ref="AM417:AP417"/>
    <mergeCell ref="B419:C419"/>
    <mergeCell ref="D419:O419"/>
    <mergeCell ref="AJ449:AL449"/>
    <mergeCell ref="AM449:AP449"/>
    <mergeCell ref="B448:C448"/>
    <mergeCell ref="P448:R448"/>
    <mergeCell ref="S448:T448"/>
    <mergeCell ref="U448:W448"/>
    <mergeCell ref="X448:Z448"/>
    <mergeCell ref="AA448:AC448"/>
    <mergeCell ref="AD448:AF448"/>
    <mergeCell ref="AG448:AI448"/>
    <mergeCell ref="D448:O448"/>
    <mergeCell ref="D449:O449"/>
    <mergeCell ref="X419:Z419"/>
    <mergeCell ref="AA419:AC419"/>
    <mergeCell ref="B444:C444"/>
    <mergeCell ref="AD444:AF444"/>
    <mergeCell ref="AG444:AI444"/>
    <mergeCell ref="B449:C449"/>
    <mergeCell ref="P449:R449"/>
    <mergeCell ref="S449:T449"/>
    <mergeCell ref="U449:W449"/>
    <mergeCell ref="X449:Z449"/>
    <mergeCell ref="AA449:AC449"/>
    <mergeCell ref="AD449:AF449"/>
    <mergeCell ref="AG449:AI449"/>
    <mergeCell ref="S442:T442"/>
    <mergeCell ref="U442:W442"/>
    <mergeCell ref="X442:Z442"/>
    <mergeCell ref="AA442:AC442"/>
    <mergeCell ref="AD442:AF442"/>
    <mergeCell ref="AG442:AI442"/>
    <mergeCell ref="AJ442:AL442"/>
    <mergeCell ref="AM440:AP440"/>
    <mergeCell ref="D432:O432"/>
    <mergeCell ref="P432:R432"/>
    <mergeCell ref="B409:C409"/>
    <mergeCell ref="P409:R409"/>
    <mergeCell ref="S409:T409"/>
    <mergeCell ref="U409:W409"/>
    <mergeCell ref="X409:Z409"/>
    <mergeCell ref="AA409:AC409"/>
    <mergeCell ref="AD409:AF409"/>
    <mergeCell ref="AG409:AI409"/>
    <mergeCell ref="D410:O410"/>
    <mergeCell ref="D409:O409"/>
    <mergeCell ref="B412:C412"/>
    <mergeCell ref="P412:R412"/>
    <mergeCell ref="S412:T412"/>
    <mergeCell ref="U412:W412"/>
    <mergeCell ref="X412:Z412"/>
    <mergeCell ref="AA412:AC412"/>
    <mergeCell ref="AD412:AF412"/>
    <mergeCell ref="AG412:AI412"/>
    <mergeCell ref="AJ412:AL412"/>
    <mergeCell ref="AM412:AP412"/>
    <mergeCell ref="B411:C411"/>
    <mergeCell ref="P411:R411"/>
    <mergeCell ref="S411:T411"/>
    <mergeCell ref="U411:W411"/>
    <mergeCell ref="X411:Z411"/>
    <mergeCell ref="AA411:AC411"/>
    <mergeCell ref="AD411:AF411"/>
    <mergeCell ref="AG411:AI411"/>
    <mergeCell ref="D412:O412"/>
    <mergeCell ref="D411:O411"/>
    <mergeCell ref="B414:C414"/>
    <mergeCell ref="P414:R414"/>
    <mergeCell ref="S414:T414"/>
    <mergeCell ref="U414:W414"/>
    <mergeCell ref="X414:Z414"/>
    <mergeCell ref="AA414:AC414"/>
    <mergeCell ref="AD414:AF414"/>
    <mergeCell ref="AG414:AI414"/>
    <mergeCell ref="AJ414:AL414"/>
    <mergeCell ref="AM414:AP414"/>
    <mergeCell ref="B413:C413"/>
    <mergeCell ref="P413:R413"/>
    <mergeCell ref="S413:T413"/>
    <mergeCell ref="U413:W413"/>
    <mergeCell ref="X413:Z413"/>
    <mergeCell ref="AA413:AC413"/>
    <mergeCell ref="AD413:AF413"/>
    <mergeCell ref="AG413:AI413"/>
    <mergeCell ref="D414:O414"/>
    <mergeCell ref="B367:C367"/>
    <mergeCell ref="P367:R367"/>
    <mergeCell ref="S367:T367"/>
    <mergeCell ref="U367:W367"/>
    <mergeCell ref="X367:Z367"/>
    <mergeCell ref="AA367:AC367"/>
    <mergeCell ref="AD367:AF367"/>
    <mergeCell ref="AG367:AI367"/>
    <mergeCell ref="D402:O402"/>
    <mergeCell ref="B369:C369"/>
    <mergeCell ref="D369:O369"/>
    <mergeCell ref="P369:R369"/>
    <mergeCell ref="S369:T369"/>
    <mergeCell ref="U369:W369"/>
    <mergeCell ref="X369:Z369"/>
    <mergeCell ref="AA369:AC369"/>
    <mergeCell ref="AD369:AF369"/>
    <mergeCell ref="AG369:AI369"/>
    <mergeCell ref="B370:C370"/>
    <mergeCell ref="D370:O370"/>
    <mergeCell ref="P370:R370"/>
    <mergeCell ref="S370:T370"/>
    <mergeCell ref="U370:W370"/>
    <mergeCell ref="X370:Z370"/>
    <mergeCell ref="AA370:AC370"/>
    <mergeCell ref="AD370:AF370"/>
    <mergeCell ref="AG370:AI370"/>
    <mergeCell ref="B373:C373"/>
    <mergeCell ref="D373:O373"/>
    <mergeCell ref="P373:R373"/>
    <mergeCell ref="S373:T373"/>
    <mergeCell ref="U373:W373"/>
    <mergeCell ref="B403:C403"/>
    <mergeCell ref="P403:R403"/>
    <mergeCell ref="S403:T403"/>
    <mergeCell ref="U403:W403"/>
    <mergeCell ref="X403:Z403"/>
    <mergeCell ref="AA403:AC403"/>
    <mergeCell ref="D403:O403"/>
    <mergeCell ref="B368:C368"/>
    <mergeCell ref="D368:O368"/>
    <mergeCell ref="P368:R368"/>
    <mergeCell ref="S368:T368"/>
    <mergeCell ref="U368:W368"/>
    <mergeCell ref="X368:Z368"/>
    <mergeCell ref="AA368:AC368"/>
    <mergeCell ref="AD368:AF368"/>
    <mergeCell ref="AG368:AI368"/>
    <mergeCell ref="B374:C374"/>
    <mergeCell ref="D374:O374"/>
    <mergeCell ref="P374:R374"/>
    <mergeCell ref="S374:T374"/>
    <mergeCell ref="U374:W374"/>
    <mergeCell ref="X374:Z374"/>
    <mergeCell ref="AA374:AC374"/>
    <mergeCell ref="AD374:AF374"/>
    <mergeCell ref="AG374:AI374"/>
    <mergeCell ref="B379:C379"/>
    <mergeCell ref="D379:O379"/>
    <mergeCell ref="P379:R379"/>
    <mergeCell ref="S379:T379"/>
    <mergeCell ref="U379:W379"/>
    <mergeCell ref="X379:Z379"/>
    <mergeCell ref="AA379:AC379"/>
    <mergeCell ref="B364:C364"/>
    <mergeCell ref="P364:R364"/>
    <mergeCell ref="S364:T364"/>
    <mergeCell ref="U364:W364"/>
    <mergeCell ref="X364:Z364"/>
    <mergeCell ref="AA364:AC364"/>
    <mergeCell ref="AD364:AF364"/>
    <mergeCell ref="AG364:AI364"/>
    <mergeCell ref="AJ364:AL364"/>
    <mergeCell ref="AM364:AP364"/>
    <mergeCell ref="B363:C363"/>
    <mergeCell ref="P363:R363"/>
    <mergeCell ref="S363:T363"/>
    <mergeCell ref="U363:W363"/>
    <mergeCell ref="X363:Z363"/>
    <mergeCell ref="AA363:AC363"/>
    <mergeCell ref="AD363:AF363"/>
    <mergeCell ref="AG363:AI363"/>
    <mergeCell ref="D363:O363"/>
    <mergeCell ref="D364:O364"/>
    <mergeCell ref="B366:C366"/>
    <mergeCell ref="P366:R366"/>
    <mergeCell ref="S366:T366"/>
    <mergeCell ref="U366:W366"/>
    <mergeCell ref="X366:Z366"/>
    <mergeCell ref="AA366:AC366"/>
    <mergeCell ref="AD366:AF366"/>
    <mergeCell ref="AG366:AI366"/>
    <mergeCell ref="AJ366:AL366"/>
    <mergeCell ref="AM366:AP366"/>
    <mergeCell ref="B365:C365"/>
    <mergeCell ref="P365:R365"/>
    <mergeCell ref="S365:T365"/>
    <mergeCell ref="U365:W365"/>
    <mergeCell ref="X365:Z365"/>
    <mergeCell ref="AA365:AC365"/>
    <mergeCell ref="AD365:AF365"/>
    <mergeCell ref="AG365:AI365"/>
    <mergeCell ref="D365:O365"/>
    <mergeCell ref="D366:O366"/>
    <mergeCell ref="AM365:AP365"/>
    <mergeCell ref="AJ363:AL363"/>
    <mergeCell ref="D358:O358"/>
    <mergeCell ref="D357:O357"/>
    <mergeCell ref="B360:C360"/>
    <mergeCell ref="P360:R360"/>
    <mergeCell ref="S360:T360"/>
    <mergeCell ref="U360:W360"/>
    <mergeCell ref="X360:Z360"/>
    <mergeCell ref="AA360:AC360"/>
    <mergeCell ref="AD360:AF360"/>
    <mergeCell ref="AG360:AI360"/>
    <mergeCell ref="B359:C359"/>
    <mergeCell ref="P359:R359"/>
    <mergeCell ref="S359:T359"/>
    <mergeCell ref="U359:W359"/>
    <mergeCell ref="X359:Z359"/>
    <mergeCell ref="AA359:AC359"/>
    <mergeCell ref="AD359:AF359"/>
    <mergeCell ref="AG359:AI359"/>
    <mergeCell ref="D359:O359"/>
    <mergeCell ref="D360:O360"/>
    <mergeCell ref="AA358:AC358"/>
    <mergeCell ref="AD358:AF358"/>
    <mergeCell ref="AG358:AI358"/>
    <mergeCell ref="B362:C362"/>
    <mergeCell ref="P362:R362"/>
    <mergeCell ref="S362:T362"/>
    <mergeCell ref="U362:W362"/>
    <mergeCell ref="X362:Z362"/>
    <mergeCell ref="AA362:AC362"/>
    <mergeCell ref="AD362:AF362"/>
    <mergeCell ref="AG362:AI362"/>
    <mergeCell ref="AJ362:AL362"/>
    <mergeCell ref="AM362:AP362"/>
    <mergeCell ref="B361:C361"/>
    <mergeCell ref="P361:R361"/>
    <mergeCell ref="S361:T361"/>
    <mergeCell ref="U361:W361"/>
    <mergeCell ref="X361:Z361"/>
    <mergeCell ref="AA361:AC361"/>
    <mergeCell ref="AD361:AF361"/>
    <mergeCell ref="AG361:AI361"/>
    <mergeCell ref="D361:O361"/>
    <mergeCell ref="D362:O362"/>
    <mergeCell ref="AJ357:AL357"/>
    <mergeCell ref="AM357:AP357"/>
    <mergeCell ref="AJ359:AL359"/>
    <mergeCell ref="AM359:AP359"/>
    <mergeCell ref="AJ361:AL361"/>
    <mergeCell ref="AM361:AP361"/>
    <mergeCell ref="P322:R322"/>
    <mergeCell ref="S322:T322"/>
    <mergeCell ref="U322:W322"/>
    <mergeCell ref="X322:Z322"/>
    <mergeCell ref="AA322:AC322"/>
    <mergeCell ref="AD322:AF322"/>
    <mergeCell ref="AG322:AI322"/>
    <mergeCell ref="AJ322:AL322"/>
    <mergeCell ref="AM322:AP322"/>
    <mergeCell ref="B321:C321"/>
    <mergeCell ref="P321:R321"/>
    <mergeCell ref="S321:T321"/>
    <mergeCell ref="U321:W321"/>
    <mergeCell ref="X321:Z321"/>
    <mergeCell ref="AA321:AC321"/>
    <mergeCell ref="AD321:AF321"/>
    <mergeCell ref="AG321:AI321"/>
    <mergeCell ref="D322:O322"/>
    <mergeCell ref="AM321:AP321"/>
    <mergeCell ref="D321:O321"/>
    <mergeCell ref="B354:C354"/>
    <mergeCell ref="AD354:AF354"/>
    <mergeCell ref="AG354:AI354"/>
    <mergeCell ref="AJ354:AL354"/>
    <mergeCell ref="AM354:AP354"/>
    <mergeCell ref="B323:C323"/>
    <mergeCell ref="P323:R323"/>
    <mergeCell ref="S323:T323"/>
    <mergeCell ref="U323:W323"/>
    <mergeCell ref="X323:Z323"/>
    <mergeCell ref="AA323:AC323"/>
    <mergeCell ref="AD323:AF323"/>
    <mergeCell ref="AG323:AI323"/>
    <mergeCell ref="D323:O323"/>
    <mergeCell ref="B325:C325"/>
    <mergeCell ref="D325:O325"/>
    <mergeCell ref="P325:R325"/>
    <mergeCell ref="S325:T325"/>
    <mergeCell ref="U325:W325"/>
    <mergeCell ref="X325:Z325"/>
    <mergeCell ref="AA325:AC325"/>
    <mergeCell ref="AD325:AF325"/>
    <mergeCell ref="AG325:AI325"/>
    <mergeCell ref="AJ325:AL325"/>
    <mergeCell ref="AM325:AP325"/>
    <mergeCell ref="B328:C328"/>
    <mergeCell ref="AD328:AF328"/>
    <mergeCell ref="AJ323:AL323"/>
    <mergeCell ref="AM323:AP323"/>
    <mergeCell ref="U327:W327"/>
    <mergeCell ref="X327:Z327"/>
    <mergeCell ref="AA327:AC327"/>
    <mergeCell ref="B329:C329"/>
    <mergeCell ref="D329:O329"/>
    <mergeCell ref="P329:R329"/>
    <mergeCell ref="S329:T329"/>
    <mergeCell ref="U329:W329"/>
    <mergeCell ref="X329:Z329"/>
    <mergeCell ref="AA329:AC329"/>
    <mergeCell ref="AD329:AF329"/>
    <mergeCell ref="AG329:AI329"/>
    <mergeCell ref="AJ329:AL329"/>
    <mergeCell ref="AM329:AP329"/>
    <mergeCell ref="AJ335:AL335"/>
    <mergeCell ref="D314:O314"/>
    <mergeCell ref="AM316:AP316"/>
    <mergeCell ref="B315:C315"/>
    <mergeCell ref="P315:R315"/>
    <mergeCell ref="S315:T315"/>
    <mergeCell ref="U315:W315"/>
    <mergeCell ref="X315:Z315"/>
    <mergeCell ref="AA315:AC315"/>
    <mergeCell ref="AD315:AF315"/>
    <mergeCell ref="AG315:AI315"/>
    <mergeCell ref="D316:O316"/>
    <mergeCell ref="D315:O315"/>
    <mergeCell ref="B314:C314"/>
    <mergeCell ref="AM314:AP314"/>
    <mergeCell ref="X318:Z318"/>
    <mergeCell ref="AA318:AC318"/>
    <mergeCell ref="AD318:AF318"/>
    <mergeCell ref="AG318:AI318"/>
    <mergeCell ref="AJ318:AL318"/>
    <mergeCell ref="AM318:AP318"/>
    <mergeCell ref="B317:C317"/>
    <mergeCell ref="P317:R317"/>
    <mergeCell ref="S317:T317"/>
    <mergeCell ref="U317:W317"/>
    <mergeCell ref="X317:Z317"/>
    <mergeCell ref="AA317:AC317"/>
    <mergeCell ref="AD317:AF317"/>
    <mergeCell ref="AG317:AI317"/>
    <mergeCell ref="D317:O317"/>
    <mergeCell ref="D289:O289"/>
    <mergeCell ref="D276:O276"/>
    <mergeCell ref="P276:R276"/>
    <mergeCell ref="S276:T276"/>
    <mergeCell ref="U276:W276"/>
    <mergeCell ref="X276:Z276"/>
    <mergeCell ref="AA276:AC276"/>
    <mergeCell ref="B277:C277"/>
    <mergeCell ref="D277:O277"/>
    <mergeCell ref="P277:R277"/>
    <mergeCell ref="S277:T277"/>
    <mergeCell ref="U277:W277"/>
    <mergeCell ref="X277:Z277"/>
    <mergeCell ref="AA277:AC277"/>
    <mergeCell ref="AM277:AP277"/>
    <mergeCell ref="B278:C278"/>
    <mergeCell ref="D278:O278"/>
    <mergeCell ref="P278:R278"/>
    <mergeCell ref="S278:T278"/>
    <mergeCell ref="U278:W278"/>
    <mergeCell ref="X278:Z278"/>
    <mergeCell ref="AA278:AC278"/>
    <mergeCell ref="AD278:AF278"/>
    <mergeCell ref="B292:C292"/>
    <mergeCell ref="D292:O292"/>
    <mergeCell ref="P292:R292"/>
    <mergeCell ref="S292:T292"/>
    <mergeCell ref="U292:W292"/>
    <mergeCell ref="X292:Z292"/>
    <mergeCell ref="AA292:AC292"/>
    <mergeCell ref="AD292:AF292"/>
    <mergeCell ref="B293:C293"/>
    <mergeCell ref="D293:O293"/>
    <mergeCell ref="P293:R293"/>
    <mergeCell ref="S293:T293"/>
    <mergeCell ref="X269:Z269"/>
    <mergeCell ref="AA269:AC269"/>
    <mergeCell ref="AD269:AF269"/>
    <mergeCell ref="AG269:AI269"/>
    <mergeCell ref="AJ269:AL269"/>
    <mergeCell ref="P274:R274"/>
    <mergeCell ref="S274:T274"/>
    <mergeCell ref="U274:W274"/>
    <mergeCell ref="X274:Z274"/>
    <mergeCell ref="AA274:AC274"/>
    <mergeCell ref="AD274:AF274"/>
    <mergeCell ref="AG274:AI274"/>
    <mergeCell ref="AJ274:AL274"/>
    <mergeCell ref="B271:C271"/>
    <mergeCell ref="P271:R271"/>
    <mergeCell ref="S271:T271"/>
    <mergeCell ref="U271:W271"/>
    <mergeCell ref="X271:Z271"/>
    <mergeCell ref="AA271:AC271"/>
    <mergeCell ref="AD271:AF271"/>
    <mergeCell ref="B273:C273"/>
    <mergeCell ref="P273:R273"/>
    <mergeCell ref="S273:T273"/>
    <mergeCell ref="U273:W273"/>
    <mergeCell ref="X273:Z273"/>
    <mergeCell ref="AA273:AC273"/>
    <mergeCell ref="AD273:AF273"/>
    <mergeCell ref="AG273:AI273"/>
    <mergeCell ref="AJ273:AL273"/>
    <mergeCell ref="AM273:AP273"/>
    <mergeCell ref="B279:C279"/>
    <mergeCell ref="P279:R279"/>
    <mergeCell ref="S279:T279"/>
    <mergeCell ref="U279:W279"/>
    <mergeCell ref="X279:Z279"/>
    <mergeCell ref="AA279:AC279"/>
    <mergeCell ref="AD279:AF279"/>
    <mergeCell ref="AG279:AI279"/>
    <mergeCell ref="D274:O274"/>
    <mergeCell ref="AM274:AP274"/>
    <mergeCell ref="B276:C276"/>
    <mergeCell ref="AJ279:AL279"/>
    <mergeCell ref="AM279:AP279"/>
    <mergeCell ref="AJ278:AL278"/>
    <mergeCell ref="AM278:AP278"/>
    <mergeCell ref="P269:R269"/>
    <mergeCell ref="S269:T269"/>
    <mergeCell ref="U269:W269"/>
    <mergeCell ref="D272:O272"/>
    <mergeCell ref="B230:C230"/>
    <mergeCell ref="P230:R230"/>
    <mergeCell ref="S230:T230"/>
    <mergeCell ref="U230:W230"/>
    <mergeCell ref="X230:Z230"/>
    <mergeCell ref="AA230:AC230"/>
    <mergeCell ref="AD230:AF230"/>
    <mergeCell ref="AG230:AI230"/>
    <mergeCell ref="AJ230:AL230"/>
    <mergeCell ref="AM230:AP230"/>
    <mergeCell ref="B229:C229"/>
    <mergeCell ref="P229:R229"/>
    <mergeCell ref="S229:T229"/>
    <mergeCell ref="U229:W229"/>
    <mergeCell ref="X229:Z229"/>
    <mergeCell ref="AA229:AC229"/>
    <mergeCell ref="AD229:AF229"/>
    <mergeCell ref="AG229:AI229"/>
    <mergeCell ref="D230:O230"/>
    <mergeCell ref="AJ229:AL229"/>
    <mergeCell ref="AM229:AP229"/>
    <mergeCell ref="B232:C232"/>
    <mergeCell ref="P232:R232"/>
    <mergeCell ref="S232:T232"/>
    <mergeCell ref="U232:W232"/>
    <mergeCell ref="X232:Z232"/>
    <mergeCell ref="AA232:AC232"/>
    <mergeCell ref="AD232:AF232"/>
    <mergeCell ref="AG232:AI232"/>
    <mergeCell ref="AJ232:AL232"/>
    <mergeCell ref="AM232:AP232"/>
    <mergeCell ref="B231:C231"/>
    <mergeCell ref="P231:R231"/>
    <mergeCell ref="S231:T231"/>
    <mergeCell ref="U231:W231"/>
    <mergeCell ref="X231:Z231"/>
    <mergeCell ref="AA231:AC231"/>
    <mergeCell ref="AD231:AF231"/>
    <mergeCell ref="AG231:AI231"/>
    <mergeCell ref="D231:O231"/>
    <mergeCell ref="AJ231:AL231"/>
    <mergeCell ref="D232:O232"/>
    <mergeCell ref="AM231:AP231"/>
    <mergeCell ref="B222:C222"/>
    <mergeCell ref="P222:R222"/>
    <mergeCell ref="S222:T222"/>
    <mergeCell ref="U222:W222"/>
    <mergeCell ref="X222:Z222"/>
    <mergeCell ref="AA222:AC222"/>
    <mergeCell ref="AD222:AF222"/>
    <mergeCell ref="AG222:AI222"/>
    <mergeCell ref="AJ222:AL222"/>
    <mergeCell ref="AM222:AP222"/>
    <mergeCell ref="D222:O222"/>
    <mergeCell ref="B224:C224"/>
    <mergeCell ref="P224:R224"/>
    <mergeCell ref="S224:T224"/>
    <mergeCell ref="U224:W224"/>
    <mergeCell ref="X224:Z224"/>
    <mergeCell ref="AA224:AC224"/>
    <mergeCell ref="AD224:AF224"/>
    <mergeCell ref="AG224:AI224"/>
    <mergeCell ref="AJ224:AL224"/>
    <mergeCell ref="AM224:AP224"/>
    <mergeCell ref="B223:C223"/>
    <mergeCell ref="P223:R223"/>
    <mergeCell ref="S223:T223"/>
    <mergeCell ref="U223:W223"/>
    <mergeCell ref="X223:Z223"/>
    <mergeCell ref="AA223:AC223"/>
    <mergeCell ref="AD223:AF223"/>
    <mergeCell ref="AG223:AI223"/>
    <mergeCell ref="D224:O224"/>
    <mergeCell ref="D223:O223"/>
    <mergeCell ref="B226:C226"/>
    <mergeCell ref="P226:R226"/>
    <mergeCell ref="S226:T226"/>
    <mergeCell ref="U226:W226"/>
    <mergeCell ref="X226:Z226"/>
    <mergeCell ref="AA226:AC226"/>
    <mergeCell ref="AD226:AF226"/>
    <mergeCell ref="AG226:AI226"/>
    <mergeCell ref="AJ226:AL226"/>
    <mergeCell ref="AM226:AP226"/>
    <mergeCell ref="B225:C225"/>
    <mergeCell ref="P225:R225"/>
    <mergeCell ref="S225:T225"/>
    <mergeCell ref="U225:W225"/>
    <mergeCell ref="X225:Z225"/>
    <mergeCell ref="AA225:AC225"/>
    <mergeCell ref="AD225:AF225"/>
    <mergeCell ref="AG225:AI225"/>
    <mergeCell ref="D225:O225"/>
    <mergeCell ref="B192:C192"/>
    <mergeCell ref="P192:R192"/>
    <mergeCell ref="S192:T192"/>
    <mergeCell ref="U192:W192"/>
    <mergeCell ref="X192:Z192"/>
    <mergeCell ref="AA192:AC192"/>
    <mergeCell ref="AD192:AF192"/>
    <mergeCell ref="AG192:AI192"/>
    <mergeCell ref="B191:C191"/>
    <mergeCell ref="P191:R191"/>
    <mergeCell ref="S191:T191"/>
    <mergeCell ref="U191:W191"/>
    <mergeCell ref="X191:Z191"/>
    <mergeCell ref="AA191:AC191"/>
    <mergeCell ref="AD191:AF191"/>
    <mergeCell ref="AG191:AI191"/>
    <mergeCell ref="D193:O193"/>
    <mergeCell ref="AJ193:AL193"/>
    <mergeCell ref="AJ195:AL195"/>
    <mergeCell ref="D194:O194"/>
    <mergeCell ref="B196:C196"/>
    <mergeCell ref="P196:R196"/>
    <mergeCell ref="S196:T196"/>
    <mergeCell ref="U196:W196"/>
    <mergeCell ref="X196:Z196"/>
    <mergeCell ref="B195:C195"/>
    <mergeCell ref="P195:R195"/>
    <mergeCell ref="S195:T195"/>
    <mergeCell ref="U195:W195"/>
    <mergeCell ref="X195:Z195"/>
    <mergeCell ref="B219:C219"/>
    <mergeCell ref="AD219:AF219"/>
    <mergeCell ref="AG219:AI219"/>
    <mergeCell ref="AJ219:AL219"/>
    <mergeCell ref="AA195:AC195"/>
    <mergeCell ref="AD195:AF195"/>
    <mergeCell ref="AG195:AI195"/>
    <mergeCell ref="AJ197:AL197"/>
    <mergeCell ref="AJ196:AL196"/>
    <mergeCell ref="B197:C197"/>
    <mergeCell ref="P197:R197"/>
    <mergeCell ref="S197:T197"/>
    <mergeCell ref="U197:W197"/>
    <mergeCell ref="X197:Z197"/>
    <mergeCell ref="AA197:AC197"/>
    <mergeCell ref="AD197:AF197"/>
    <mergeCell ref="B216:C216"/>
    <mergeCell ref="D216:O216"/>
    <mergeCell ref="D192:O192"/>
    <mergeCell ref="B194:C194"/>
    <mergeCell ref="P194:R194"/>
    <mergeCell ref="S194:T194"/>
    <mergeCell ref="U194:W194"/>
    <mergeCell ref="D195:O195"/>
    <mergeCell ref="B193:C193"/>
    <mergeCell ref="P193:R193"/>
    <mergeCell ref="S193:T193"/>
    <mergeCell ref="U193:W193"/>
    <mergeCell ref="B217:C217"/>
    <mergeCell ref="D217:O217"/>
    <mergeCell ref="P217:R217"/>
    <mergeCell ref="S217:T217"/>
    <mergeCell ref="U217:W217"/>
    <mergeCell ref="X217:Z217"/>
    <mergeCell ref="B190:C190"/>
    <mergeCell ref="P190:R190"/>
    <mergeCell ref="S190:T190"/>
    <mergeCell ref="U190:W190"/>
    <mergeCell ref="X190:Z190"/>
    <mergeCell ref="AA190:AC190"/>
    <mergeCell ref="AD190:AF190"/>
    <mergeCell ref="AG190:AI190"/>
    <mergeCell ref="B188:C188"/>
    <mergeCell ref="P188:R188"/>
    <mergeCell ref="S188:T188"/>
    <mergeCell ref="U188:W188"/>
    <mergeCell ref="X188:Z188"/>
    <mergeCell ref="AA188:AC188"/>
    <mergeCell ref="AD188:AF188"/>
    <mergeCell ref="AG188:AI188"/>
    <mergeCell ref="B187:C187"/>
    <mergeCell ref="P187:R187"/>
    <mergeCell ref="S187:T187"/>
    <mergeCell ref="U187:W187"/>
    <mergeCell ref="X187:Z187"/>
    <mergeCell ref="AD187:AF187"/>
    <mergeCell ref="AG187:AI187"/>
    <mergeCell ref="D188:O188"/>
    <mergeCell ref="B186:C186"/>
    <mergeCell ref="P186:R186"/>
    <mergeCell ref="S186:T186"/>
    <mergeCell ref="U186:W186"/>
    <mergeCell ref="X186:Z186"/>
    <mergeCell ref="AA186:AC186"/>
    <mergeCell ref="B189:C189"/>
    <mergeCell ref="P189:R189"/>
    <mergeCell ref="S189:T189"/>
    <mergeCell ref="U189:W189"/>
    <mergeCell ref="X189:Z189"/>
    <mergeCell ref="AA189:AC189"/>
    <mergeCell ref="AD189:AF189"/>
    <mergeCell ref="AG189:AI189"/>
    <mergeCell ref="D190:O190"/>
    <mergeCell ref="D189:O189"/>
    <mergeCell ref="D186:O186"/>
    <mergeCell ref="D187:O187"/>
    <mergeCell ref="P180:R180"/>
    <mergeCell ref="S180:T180"/>
    <mergeCell ref="U180:W180"/>
    <mergeCell ref="X180:Z180"/>
    <mergeCell ref="AA180:AC180"/>
    <mergeCell ref="B181:C181"/>
    <mergeCell ref="P181:R181"/>
    <mergeCell ref="S181:T181"/>
    <mergeCell ref="U181:W181"/>
    <mergeCell ref="AM174:AP174"/>
    <mergeCell ref="X179:Z179"/>
    <mergeCell ref="AA179:AC179"/>
    <mergeCell ref="AD179:AF179"/>
    <mergeCell ref="AG179:AI179"/>
    <mergeCell ref="X177:Z177"/>
    <mergeCell ref="AA177:AC177"/>
    <mergeCell ref="AD177:AF177"/>
    <mergeCell ref="AG177:AI177"/>
    <mergeCell ref="AM177:AP177"/>
    <mergeCell ref="AJ181:AL181"/>
    <mergeCell ref="AM181:AP181"/>
    <mergeCell ref="D177:O177"/>
    <mergeCell ref="D179:O179"/>
    <mergeCell ref="U185:W185"/>
    <mergeCell ref="AA185:AC185"/>
    <mergeCell ref="AD185:AF185"/>
    <mergeCell ref="AG185:AI185"/>
    <mergeCell ref="B184:C184"/>
    <mergeCell ref="P184:R184"/>
    <mergeCell ref="S184:T184"/>
    <mergeCell ref="B182:C182"/>
    <mergeCell ref="P182:R182"/>
    <mergeCell ref="S182:T182"/>
    <mergeCell ref="U182:W182"/>
    <mergeCell ref="X182:Z182"/>
    <mergeCell ref="AA182:AC182"/>
    <mergeCell ref="AD182:AF182"/>
    <mergeCell ref="AG182:AI182"/>
    <mergeCell ref="B183:C183"/>
    <mergeCell ref="P183:R183"/>
    <mergeCell ref="S183:T183"/>
    <mergeCell ref="U183:W183"/>
    <mergeCell ref="P185:R185"/>
    <mergeCell ref="S185:T185"/>
    <mergeCell ref="AA181:AC181"/>
    <mergeCell ref="AD181:AF181"/>
    <mergeCell ref="AG181:AI181"/>
    <mergeCell ref="B174:C174"/>
    <mergeCell ref="AJ174:AL174"/>
    <mergeCell ref="AJ177:AL177"/>
    <mergeCell ref="AJ179:AL179"/>
    <mergeCell ref="AM185:AP185"/>
    <mergeCell ref="AA149:AC149"/>
    <mergeCell ref="AD149:AF149"/>
    <mergeCell ref="AG149:AI149"/>
    <mergeCell ref="B137:C137"/>
    <mergeCell ref="U138:W138"/>
    <mergeCell ref="X138:Z138"/>
    <mergeCell ref="AA138:AC138"/>
    <mergeCell ref="B138:C138"/>
    <mergeCell ref="U142:W142"/>
    <mergeCell ref="X142:Z142"/>
    <mergeCell ref="AA142:AC142"/>
    <mergeCell ref="AD174:AF174"/>
    <mergeCell ref="AG174:AI174"/>
    <mergeCell ref="B135:C135"/>
    <mergeCell ref="B136:C136"/>
    <mergeCell ref="AM91:AP91"/>
    <mergeCell ref="B140:C140"/>
    <mergeCell ref="B141:C141"/>
    <mergeCell ref="B142:C142"/>
    <mergeCell ref="P133:R133"/>
    <mergeCell ref="S133:T133"/>
    <mergeCell ref="P134:R134"/>
    <mergeCell ref="S134:T134"/>
    <mergeCell ref="P135:R135"/>
    <mergeCell ref="S135:T135"/>
    <mergeCell ref="P136:R136"/>
    <mergeCell ref="S136:T136"/>
    <mergeCell ref="P139:R139"/>
    <mergeCell ref="S139:T139"/>
    <mergeCell ref="P140:R140"/>
    <mergeCell ref="S140:T140"/>
    <mergeCell ref="AJ120:AL120"/>
    <mergeCell ref="AA120:AC120"/>
    <mergeCell ref="AJ92:AL92"/>
    <mergeCell ref="AJ93:AL93"/>
    <mergeCell ref="U104:W104"/>
    <mergeCell ref="U120:W120"/>
    <mergeCell ref="AA104:AC104"/>
    <mergeCell ref="D142:O142"/>
    <mergeCell ref="P104:R104"/>
    <mergeCell ref="P120:R120"/>
    <mergeCell ref="X98:Z98"/>
    <mergeCell ref="X99:Z99"/>
    <mergeCell ref="P141:R141"/>
    <mergeCell ref="S141:T141"/>
    <mergeCell ref="P142:R142"/>
    <mergeCell ref="S142:T142"/>
    <mergeCell ref="B103:C103"/>
    <mergeCell ref="B104:C104"/>
    <mergeCell ref="B120:C120"/>
    <mergeCell ref="S104:T104"/>
    <mergeCell ref="U139:W139"/>
    <mergeCell ref="D121:O121"/>
    <mergeCell ref="P121:R121"/>
    <mergeCell ref="S121:T121"/>
    <mergeCell ref="AG121:AI121"/>
    <mergeCell ref="AJ121:AL121"/>
    <mergeCell ref="AM121:AP121"/>
    <mergeCell ref="AM132:AP132"/>
    <mergeCell ref="S103:T103"/>
    <mergeCell ref="AM133:AP133"/>
    <mergeCell ref="B122:C122"/>
    <mergeCell ref="D122:O122"/>
    <mergeCell ref="P122:R122"/>
    <mergeCell ref="AA135:AC135"/>
    <mergeCell ref="AD135:AF135"/>
    <mergeCell ref="AG135:AI135"/>
    <mergeCell ref="AJ135:AL135"/>
    <mergeCell ref="U133:W133"/>
    <mergeCell ref="X133:Z133"/>
    <mergeCell ref="AA133:AC133"/>
    <mergeCell ref="AD133:AF133"/>
    <mergeCell ref="U103:W103"/>
    <mergeCell ref="AA122:AC122"/>
    <mergeCell ref="AD122:AF122"/>
    <mergeCell ref="AG122:AI122"/>
    <mergeCell ref="AG104:AI104"/>
    <mergeCell ref="D136:O136"/>
    <mergeCell ref="D139:O139"/>
    <mergeCell ref="B105:C105"/>
    <mergeCell ref="AA105:AC105"/>
    <mergeCell ref="AD105:AF105"/>
    <mergeCell ref="AG105:AI105"/>
    <mergeCell ref="AJ105:AL105"/>
    <mergeCell ref="D105:O105"/>
    <mergeCell ref="P105:R105"/>
    <mergeCell ref="S105:T105"/>
    <mergeCell ref="U105:W105"/>
    <mergeCell ref="X105:Z105"/>
    <mergeCell ref="D103:O103"/>
    <mergeCell ref="B106:C106"/>
    <mergeCell ref="B119:C119"/>
    <mergeCell ref="B114:C114"/>
    <mergeCell ref="AD114:AF114"/>
    <mergeCell ref="AG114:AI114"/>
    <mergeCell ref="AJ114:AL114"/>
    <mergeCell ref="B111:C111"/>
    <mergeCell ref="D111:O111"/>
    <mergeCell ref="P111:R111"/>
    <mergeCell ref="S111:T111"/>
    <mergeCell ref="U111:W111"/>
    <mergeCell ref="X111:Z111"/>
    <mergeCell ref="AA111:AC111"/>
    <mergeCell ref="AD111:AF111"/>
    <mergeCell ref="AG111:AI111"/>
    <mergeCell ref="AJ111:AL111"/>
    <mergeCell ref="B125:C125"/>
    <mergeCell ref="D125:O125"/>
    <mergeCell ref="P125:R125"/>
    <mergeCell ref="S125:T125"/>
    <mergeCell ref="U125:W125"/>
    <mergeCell ref="X125:Z125"/>
    <mergeCell ref="AA125:AC125"/>
    <mergeCell ref="AD125:AF125"/>
    <mergeCell ref="AG125:AI125"/>
    <mergeCell ref="AJ122:AL122"/>
    <mergeCell ref="B133:C133"/>
    <mergeCell ref="B134:C134"/>
    <mergeCell ref="B109:C109"/>
    <mergeCell ref="D109:O109"/>
    <mergeCell ref="B107:C107"/>
    <mergeCell ref="B108:C108"/>
    <mergeCell ref="B116:C116"/>
    <mergeCell ref="B123:C123"/>
    <mergeCell ref="D123:O123"/>
    <mergeCell ref="P123:R123"/>
    <mergeCell ref="S123:T123"/>
    <mergeCell ref="U123:W123"/>
    <mergeCell ref="B126:C126"/>
    <mergeCell ref="U134:W134"/>
    <mergeCell ref="X134:Z134"/>
    <mergeCell ref="AA134:AC134"/>
    <mergeCell ref="AA101:AC101"/>
    <mergeCell ref="AD132:AF132"/>
    <mergeCell ref="AG132:AI132"/>
    <mergeCell ref="AG103:AI103"/>
    <mergeCell ref="AM93:AP93"/>
    <mergeCell ref="AM94:AP94"/>
    <mergeCell ref="AM95:AP95"/>
    <mergeCell ref="AM96:AP96"/>
    <mergeCell ref="AM97:AP97"/>
    <mergeCell ref="AJ100:AL100"/>
    <mergeCell ref="AJ101:AL101"/>
    <mergeCell ref="AJ102:AL102"/>
    <mergeCell ref="AJ103:AL103"/>
    <mergeCell ref="AJ104:AL104"/>
    <mergeCell ref="AJ98:AL98"/>
    <mergeCell ref="AJ94:AL94"/>
    <mergeCell ref="AJ95:AL95"/>
    <mergeCell ref="AJ96:AL96"/>
    <mergeCell ref="AJ99:AL99"/>
    <mergeCell ref="AM104:AP104"/>
    <mergeCell ref="AM98:AP98"/>
    <mergeCell ref="AM99:AP99"/>
    <mergeCell ref="AM100:AP100"/>
    <mergeCell ref="AM101:AP101"/>
    <mergeCell ref="AM102:AP102"/>
    <mergeCell ref="AM103:AP103"/>
    <mergeCell ref="B93:C93"/>
    <mergeCell ref="B94:C94"/>
    <mergeCell ref="B95:C95"/>
    <mergeCell ref="B96:C96"/>
    <mergeCell ref="B97:C97"/>
    <mergeCell ref="B98:C98"/>
    <mergeCell ref="B99:C99"/>
    <mergeCell ref="B100:C100"/>
    <mergeCell ref="S99:T99"/>
    <mergeCell ref="X95:Z95"/>
    <mergeCell ref="X100:Z100"/>
    <mergeCell ref="X96:Z96"/>
    <mergeCell ref="X97:Z97"/>
    <mergeCell ref="U100:W100"/>
    <mergeCell ref="U122:W122"/>
    <mergeCell ref="X101:Z101"/>
    <mergeCell ref="X102:Z102"/>
    <mergeCell ref="X103:Z103"/>
    <mergeCell ref="U98:W98"/>
    <mergeCell ref="AD97:AF97"/>
    <mergeCell ref="S98:T98"/>
    <mergeCell ref="U93:W93"/>
    <mergeCell ref="U94:W94"/>
    <mergeCell ref="U95:W95"/>
    <mergeCell ref="U96:W96"/>
    <mergeCell ref="AG134:AI134"/>
    <mergeCell ref="U116:W116"/>
    <mergeCell ref="X116:Z116"/>
    <mergeCell ref="AA116:AC116"/>
    <mergeCell ref="AD116:AF116"/>
    <mergeCell ref="AG116:AI116"/>
    <mergeCell ref="AJ116:AL116"/>
    <mergeCell ref="B117:C117"/>
    <mergeCell ref="AM116:AP116"/>
    <mergeCell ref="AJ88:AL88"/>
    <mergeCell ref="AM87:AP87"/>
    <mergeCell ref="AJ79:AP79"/>
    <mergeCell ref="Y80:AE80"/>
    <mergeCell ref="Y81:AE81"/>
    <mergeCell ref="Y82:AE82"/>
    <mergeCell ref="AG91:AI91"/>
    <mergeCell ref="AG92:AI92"/>
    <mergeCell ref="AM92:AP92"/>
    <mergeCell ref="P90:R90"/>
    <mergeCell ref="P87:R87"/>
    <mergeCell ref="S87:T87"/>
    <mergeCell ref="U87:W87"/>
    <mergeCell ref="X87:Z87"/>
    <mergeCell ref="AA87:AC87"/>
    <mergeCell ref="AD87:AF87"/>
    <mergeCell ref="U84:AC84"/>
    <mergeCell ref="AA85:AC85"/>
    <mergeCell ref="U85:W85"/>
    <mergeCell ref="X90:Z90"/>
    <mergeCell ref="J75:M75"/>
    <mergeCell ref="H77:I77"/>
    <mergeCell ref="J77:M77"/>
    <mergeCell ref="B75:I75"/>
    <mergeCell ref="AF75:AI75"/>
    <mergeCell ref="AG87:AI87"/>
    <mergeCell ref="AG88:AI88"/>
    <mergeCell ref="AG89:AI89"/>
    <mergeCell ref="AG90:AI90"/>
    <mergeCell ref="AM105:AP105"/>
    <mergeCell ref="AG107:AI107"/>
    <mergeCell ref="AJ107:AL107"/>
    <mergeCell ref="AM107:AP107"/>
    <mergeCell ref="U99:W99"/>
    <mergeCell ref="S100:T100"/>
    <mergeCell ref="D93:O93"/>
    <mergeCell ref="AD92:AF92"/>
    <mergeCell ref="AD93:AF93"/>
    <mergeCell ref="AD94:AF94"/>
    <mergeCell ref="AD95:AF95"/>
    <mergeCell ref="P97:R97"/>
    <mergeCell ref="P98:R98"/>
    <mergeCell ref="P99:R99"/>
    <mergeCell ref="P100:R100"/>
    <mergeCell ref="D96:O96"/>
    <mergeCell ref="U80:X80"/>
    <mergeCell ref="U81:X81"/>
    <mergeCell ref="N80:T80"/>
    <mergeCell ref="N81:T81"/>
    <mergeCell ref="Y85:Z85"/>
    <mergeCell ref="B80:G80"/>
    <mergeCell ref="B78:G78"/>
    <mergeCell ref="B79:G79"/>
    <mergeCell ref="H78:I78"/>
    <mergeCell ref="J78:M78"/>
    <mergeCell ref="B88:C88"/>
    <mergeCell ref="D84:O85"/>
    <mergeCell ref="P84:R85"/>
    <mergeCell ref="S84:T85"/>
    <mergeCell ref="AD84:AF84"/>
    <mergeCell ref="AD85:AF85"/>
    <mergeCell ref="AG85:AI85"/>
    <mergeCell ref="AG84:AI84"/>
    <mergeCell ref="U91:W91"/>
    <mergeCell ref="N74:AT74"/>
    <mergeCell ref="B89:C89"/>
    <mergeCell ref="B90:C90"/>
    <mergeCell ref="S92:T92"/>
    <mergeCell ref="U92:W92"/>
    <mergeCell ref="AQ87:AT87"/>
    <mergeCell ref="AJ85:AL85"/>
    <mergeCell ref="AJ84:AL84"/>
    <mergeCell ref="AQ85:AT85"/>
    <mergeCell ref="AQ91:AT91"/>
    <mergeCell ref="AQ81:AT81"/>
    <mergeCell ref="AQ82:AT82"/>
    <mergeCell ref="N76:T76"/>
    <mergeCell ref="AQ75:AT75"/>
    <mergeCell ref="AQ76:AT76"/>
    <mergeCell ref="N75:T75"/>
    <mergeCell ref="U75:X75"/>
    <mergeCell ref="B74:M74"/>
    <mergeCell ref="AQ129:AT129"/>
    <mergeCell ref="AD96:AF96"/>
    <mergeCell ref="S94:T94"/>
    <mergeCell ref="S91:T91"/>
    <mergeCell ref="AQ98:AT98"/>
    <mergeCell ref="AG120:AI120"/>
    <mergeCell ref="AD99:AF99"/>
    <mergeCell ref="U97:W97"/>
    <mergeCell ref="AD98:AF98"/>
    <mergeCell ref="AA91:AC91"/>
    <mergeCell ref="AA92:AC92"/>
    <mergeCell ref="AA93:AC93"/>
    <mergeCell ref="X91:Z91"/>
    <mergeCell ref="X92:Z92"/>
    <mergeCell ref="X93:Z93"/>
    <mergeCell ref="X94:Z94"/>
    <mergeCell ref="AA98:AC98"/>
    <mergeCell ref="AA99:AC99"/>
    <mergeCell ref="AA100:AC100"/>
    <mergeCell ref="AA94:AC94"/>
    <mergeCell ref="AA95:AC95"/>
    <mergeCell ref="AA96:AC96"/>
    <mergeCell ref="AA97:AC97"/>
    <mergeCell ref="B91:C91"/>
    <mergeCell ref="S90:T90"/>
    <mergeCell ref="U89:W89"/>
    <mergeCell ref="U90:W90"/>
    <mergeCell ref="AD89:AF89"/>
    <mergeCell ref="AD90:AF90"/>
    <mergeCell ref="U82:X82"/>
    <mergeCell ref="H79:I79"/>
    <mergeCell ref="J80:M80"/>
    <mergeCell ref="H80:I80"/>
    <mergeCell ref="J79:M79"/>
    <mergeCell ref="AF76:AI76"/>
    <mergeCell ref="B92:C92"/>
    <mergeCell ref="AF77:AI77"/>
    <mergeCell ref="AF78:AI78"/>
    <mergeCell ref="AF79:AI79"/>
    <mergeCell ref="AF80:AI80"/>
    <mergeCell ref="AF81:AI81"/>
    <mergeCell ref="AF82:AI82"/>
    <mergeCell ref="D88:O88"/>
    <mergeCell ref="B87:C87"/>
    <mergeCell ref="P89:R89"/>
    <mergeCell ref="S89:T89"/>
    <mergeCell ref="D89:O89"/>
    <mergeCell ref="B77:G77"/>
    <mergeCell ref="Y78:AE78"/>
    <mergeCell ref="N82:T82"/>
    <mergeCell ref="U77:X77"/>
    <mergeCell ref="U78:X78"/>
    <mergeCell ref="U79:X79"/>
    <mergeCell ref="D87:O87"/>
    <mergeCell ref="P88:R88"/>
    <mergeCell ref="S88:T88"/>
    <mergeCell ref="U88:W88"/>
    <mergeCell ref="AA88:AC88"/>
    <mergeCell ref="AD88:AF88"/>
    <mergeCell ref="AM139:AP139"/>
    <mergeCell ref="AJ268:AL268"/>
    <mergeCell ref="AM268:AP268"/>
    <mergeCell ref="X185:Z185"/>
    <mergeCell ref="AD186:AF186"/>
    <mergeCell ref="AG186:AI186"/>
    <mergeCell ref="AM179:AP179"/>
    <mergeCell ref="U184:W184"/>
    <mergeCell ref="X184:Z184"/>
    <mergeCell ref="AA184:AC184"/>
    <mergeCell ref="AD184:AF184"/>
    <mergeCell ref="AG184:AI184"/>
    <mergeCell ref="U140:W140"/>
    <mergeCell ref="X140:Z140"/>
    <mergeCell ref="AM140:AP140"/>
    <mergeCell ref="AA141:AC141"/>
    <mergeCell ref="AD141:AF141"/>
    <mergeCell ref="AG141:AI141"/>
    <mergeCell ref="X88:Z88"/>
    <mergeCell ref="S93:T93"/>
    <mergeCell ref="D91:O91"/>
    <mergeCell ref="AA89:AC89"/>
    <mergeCell ref="P91:R91"/>
    <mergeCell ref="P92:R92"/>
    <mergeCell ref="D90:O90"/>
    <mergeCell ref="U101:W101"/>
    <mergeCell ref="U102:W102"/>
    <mergeCell ref="D101:O101"/>
    <mergeCell ref="S101:T101"/>
    <mergeCell ref="AD102:AF102"/>
    <mergeCell ref="AD103:AF103"/>
    <mergeCell ref="AD101:AF101"/>
    <mergeCell ref="X136:Z136"/>
    <mergeCell ref="AA136:AC136"/>
    <mergeCell ref="AD136:AF136"/>
    <mergeCell ref="AG136:AI136"/>
    <mergeCell ref="AG115:AI115"/>
    <mergeCell ref="X106:Z106"/>
    <mergeCell ref="AA106:AC106"/>
    <mergeCell ref="AD106:AF106"/>
    <mergeCell ref="AG106:AI106"/>
    <mergeCell ref="AD115:AF115"/>
    <mergeCell ref="D126:O126"/>
    <mergeCell ref="P126:R126"/>
    <mergeCell ref="S126:T126"/>
    <mergeCell ref="U126:W126"/>
    <mergeCell ref="X126:Z126"/>
    <mergeCell ref="AA126:AC126"/>
    <mergeCell ref="AD126:AF126"/>
    <mergeCell ref="AA102:AC102"/>
    <mergeCell ref="AD91:AF91"/>
    <mergeCell ref="X149:Z149"/>
    <mergeCell ref="AM122:AP122"/>
    <mergeCell ref="U267:W267"/>
    <mergeCell ref="X267:Z267"/>
    <mergeCell ref="AJ146:AL146"/>
    <mergeCell ref="S122:T122"/>
    <mergeCell ref="P102:R102"/>
    <mergeCell ref="P103:R103"/>
    <mergeCell ref="S97:T97"/>
    <mergeCell ref="S95:T95"/>
    <mergeCell ref="S96:T96"/>
    <mergeCell ref="X104:Z104"/>
    <mergeCell ref="X120:Z120"/>
    <mergeCell ref="D94:O94"/>
    <mergeCell ref="AQ104:AT104"/>
    <mergeCell ref="AQ120:AT120"/>
    <mergeCell ref="D120:O120"/>
    <mergeCell ref="AQ103:AT103"/>
    <mergeCell ref="D92:O92"/>
    <mergeCell ref="AQ96:AT96"/>
    <mergeCell ref="AQ97:AT97"/>
    <mergeCell ref="D98:O98"/>
    <mergeCell ref="D99:O99"/>
    <mergeCell ref="D100:O100"/>
    <mergeCell ref="AQ93:AT93"/>
    <mergeCell ref="AQ105:AT105"/>
    <mergeCell ref="D106:O106"/>
    <mergeCell ref="P106:R106"/>
    <mergeCell ref="S106:T106"/>
    <mergeCell ref="U106:W106"/>
    <mergeCell ref="D119:O119"/>
    <mergeCell ref="P119:R119"/>
    <mergeCell ref="S119:T119"/>
    <mergeCell ref="U119:W119"/>
    <mergeCell ref="X119:Z119"/>
    <mergeCell ref="AA119:AC119"/>
    <mergeCell ref="AD119:AF119"/>
    <mergeCell ref="AG119:AI119"/>
    <mergeCell ref="AJ119:AL119"/>
    <mergeCell ref="AM119:AP119"/>
    <mergeCell ref="AQ119:AT119"/>
    <mergeCell ref="D114:O114"/>
    <mergeCell ref="P114:R114"/>
    <mergeCell ref="S114:T114"/>
    <mergeCell ref="U114:W114"/>
    <mergeCell ref="X114:Z114"/>
    <mergeCell ref="AA114:AC114"/>
    <mergeCell ref="D108:O108"/>
    <mergeCell ref="P108:R108"/>
    <mergeCell ref="S108:T108"/>
    <mergeCell ref="U108:W108"/>
    <mergeCell ref="X108:Z108"/>
    <mergeCell ref="AA108:AC108"/>
    <mergeCell ref="AD108:AF108"/>
    <mergeCell ref="AG108:AI108"/>
    <mergeCell ref="AJ108:AL108"/>
    <mergeCell ref="AM108:AP108"/>
    <mergeCell ref="AQ108:AT108"/>
    <mergeCell ref="AJ115:AL115"/>
    <mergeCell ref="AM115:AP115"/>
    <mergeCell ref="AQ115:AT115"/>
    <mergeCell ref="D116:O116"/>
    <mergeCell ref="P116:R116"/>
    <mergeCell ref="S116:T116"/>
    <mergeCell ref="AD152:AF152"/>
    <mergeCell ref="AG152:AI152"/>
    <mergeCell ref="AJ152:AL152"/>
    <mergeCell ref="AM152:AP152"/>
    <mergeCell ref="AQ152:AT152"/>
    <mergeCell ref="U109:W109"/>
    <mergeCell ref="X109:Z109"/>
    <mergeCell ref="AA109:AC109"/>
    <mergeCell ref="AD109:AF109"/>
    <mergeCell ref="AG109:AI109"/>
    <mergeCell ref="AJ109:AL109"/>
    <mergeCell ref="AQ94:AT94"/>
    <mergeCell ref="D97:O97"/>
    <mergeCell ref="AQ100:AT100"/>
    <mergeCell ref="AD104:AF104"/>
    <mergeCell ref="AD120:AF120"/>
    <mergeCell ref="AG98:AI98"/>
    <mergeCell ref="AJ106:AL106"/>
    <mergeCell ref="AM106:AP106"/>
    <mergeCell ref="AQ106:AT106"/>
    <mergeCell ref="AG100:AI100"/>
    <mergeCell ref="AJ97:AL97"/>
    <mergeCell ref="AJ87:AL87"/>
    <mergeCell ref="D135:O135"/>
    <mergeCell ref="AA90:AC90"/>
    <mergeCell ref="AJ91:AL91"/>
    <mergeCell ref="AA139:AC139"/>
    <mergeCell ref="AD139:AF139"/>
    <mergeCell ref="AG139:AI139"/>
    <mergeCell ref="AJ139:AL139"/>
    <mergeCell ref="AM129:AP129"/>
    <mergeCell ref="D138:O138"/>
    <mergeCell ref="X89:Z89"/>
    <mergeCell ref="AM88:AP88"/>
    <mergeCell ref="AM89:AP89"/>
    <mergeCell ref="AM90:AP90"/>
    <mergeCell ref="AG93:AI93"/>
    <mergeCell ref="AG94:AI94"/>
    <mergeCell ref="AG95:AI95"/>
    <mergeCell ref="AG96:AI96"/>
    <mergeCell ref="P93:R93"/>
    <mergeCell ref="P94:R94"/>
    <mergeCell ref="P95:R95"/>
    <mergeCell ref="U141:W141"/>
    <mergeCell ref="X141:Z141"/>
    <mergeCell ref="AQ146:AT146"/>
    <mergeCell ref="AJ149:AL149"/>
    <mergeCell ref="AM149:AP149"/>
    <mergeCell ref="AQ149:AT149"/>
    <mergeCell ref="AQ88:AT88"/>
    <mergeCell ref="AM109:AP109"/>
    <mergeCell ref="AQ109:AT109"/>
    <mergeCell ref="AQ110:AT110"/>
    <mergeCell ref="D107:O107"/>
    <mergeCell ref="P107:R107"/>
    <mergeCell ref="S107:T107"/>
    <mergeCell ref="U107:W107"/>
    <mergeCell ref="X107:Z107"/>
    <mergeCell ref="AA107:AC107"/>
    <mergeCell ref="AD107:AF107"/>
    <mergeCell ref="AQ107:AT107"/>
    <mergeCell ref="AJ125:AL125"/>
    <mergeCell ref="AM125:AP125"/>
    <mergeCell ref="AQ125:AT125"/>
    <mergeCell ref="AQ494:AT494"/>
    <mergeCell ref="AQ495:AT495"/>
    <mergeCell ref="AQ496:AT496"/>
    <mergeCell ref="AQ505:AT505"/>
    <mergeCell ref="AQ506:AT506"/>
    <mergeCell ref="AQ542:AT542"/>
    <mergeCell ref="AQ637:AT637"/>
    <mergeCell ref="AQ645:AT645"/>
    <mergeCell ref="AQ676:AT676"/>
    <mergeCell ref="AQ500:AT500"/>
    <mergeCell ref="AQ596:AT596"/>
    <mergeCell ref="AG600:AI600"/>
    <mergeCell ref="X194:Z194"/>
    <mergeCell ref="AA194:AC194"/>
    <mergeCell ref="AD194:AF194"/>
    <mergeCell ref="AG194:AI194"/>
    <mergeCell ref="AJ194:AL194"/>
    <mergeCell ref="X193:Z193"/>
    <mergeCell ref="AA193:AC193"/>
    <mergeCell ref="AJ89:AL89"/>
    <mergeCell ref="AJ90:AL90"/>
    <mergeCell ref="AJ141:AL141"/>
    <mergeCell ref="AM141:AP141"/>
    <mergeCell ref="AJ187:AL187"/>
    <mergeCell ref="AM135:AP135"/>
    <mergeCell ref="U136:W136"/>
    <mergeCell ref="D133:O133"/>
    <mergeCell ref="D134:O134"/>
    <mergeCell ref="AQ135:AT135"/>
    <mergeCell ref="AQ101:AT101"/>
    <mergeCell ref="D141:O141"/>
    <mergeCell ref="D140:O140"/>
    <mergeCell ref="AQ141:AT141"/>
    <mergeCell ref="AQ140:AT140"/>
    <mergeCell ref="D182:O182"/>
    <mergeCell ref="AQ182:AT182"/>
    <mergeCell ref="X137:Z137"/>
    <mergeCell ref="AA137:AC137"/>
    <mergeCell ref="AQ102:AT102"/>
    <mergeCell ref="AQ99:AT99"/>
    <mergeCell ref="X183:Z183"/>
    <mergeCell ref="AA183:AC183"/>
    <mergeCell ref="AD183:AF183"/>
    <mergeCell ref="AG183:AI183"/>
    <mergeCell ref="AQ89:AT89"/>
    <mergeCell ref="AQ90:AT90"/>
    <mergeCell ref="D183:O183"/>
    <mergeCell ref="D104:O104"/>
    <mergeCell ref="AQ92:AT92"/>
    <mergeCell ref="D102:O102"/>
    <mergeCell ref="AA103:AC103"/>
    <mergeCell ref="AQ95:AT95"/>
    <mergeCell ref="S102:T102"/>
    <mergeCell ref="AG97:AI97"/>
    <mergeCell ref="D95:O95"/>
    <mergeCell ref="P96:R96"/>
    <mergeCell ref="P101:R101"/>
    <mergeCell ref="AD147:AF147"/>
    <mergeCell ref="AG147:AI147"/>
    <mergeCell ref="AJ147:AL147"/>
    <mergeCell ref="AM147:AP147"/>
    <mergeCell ref="AQ147:AT147"/>
    <mergeCell ref="U152:W152"/>
    <mergeCell ref="X152:Z152"/>
    <mergeCell ref="AQ942:AT942"/>
    <mergeCell ref="AQ950:AT950"/>
    <mergeCell ref="AQ951:AT951"/>
    <mergeCell ref="AQ952:AT952"/>
    <mergeCell ref="AQ902:AT902"/>
    <mergeCell ref="AQ946:AT946"/>
    <mergeCell ref="AQ947:AT947"/>
    <mergeCell ref="AQ948:AT948"/>
    <mergeCell ref="AQ949:AT949"/>
    <mergeCell ref="AQ901:AT901"/>
    <mergeCell ref="AQ870:AT870"/>
    <mergeCell ref="AQ867:AT867"/>
    <mergeCell ref="AQ863:AT863"/>
    <mergeCell ref="AQ857:AT857"/>
    <mergeCell ref="AQ872:AT872"/>
    <mergeCell ref="AQ727:AT727"/>
    <mergeCell ref="AQ686:AT686"/>
    <mergeCell ref="AQ687:AT687"/>
    <mergeCell ref="AQ358:AT358"/>
    <mergeCell ref="AJ182:AL182"/>
    <mergeCell ref="AM182:AP182"/>
    <mergeCell ref="AA196:AC196"/>
    <mergeCell ref="AM183:AP183"/>
    <mergeCell ref="AJ184:AL184"/>
    <mergeCell ref="AM184:AP184"/>
    <mergeCell ref="AJ185:AL185"/>
    <mergeCell ref="AM358:AP358"/>
    <mergeCell ref="AQ319:AT319"/>
    <mergeCell ref="AJ365:AL365"/>
    <mergeCell ref="AJ367:AL367"/>
    <mergeCell ref="AA187:AC187"/>
    <mergeCell ref="AM194:AP194"/>
    <mergeCell ref="AJ264:AL264"/>
    <mergeCell ref="AM264:AP264"/>
    <mergeCell ref="AQ226:AT226"/>
    <mergeCell ref="AD193:AF193"/>
    <mergeCell ref="AG193:AI193"/>
    <mergeCell ref="AM219:AP219"/>
    <mergeCell ref="AM196:AP196"/>
    <mergeCell ref="AM267:AP267"/>
    <mergeCell ref="AG270:AI270"/>
    <mergeCell ref="AJ270:AL270"/>
    <mergeCell ref="AM270:AP270"/>
    <mergeCell ref="AM367:AP367"/>
    <mergeCell ref="AD196:AF196"/>
    <mergeCell ref="AG196:AI196"/>
    <mergeCell ref="AJ190:AL190"/>
    <mergeCell ref="AM190:AP190"/>
    <mergeCell ref="AJ192:AL192"/>
    <mergeCell ref="AM192:AP192"/>
    <mergeCell ref="AM191:AP191"/>
    <mergeCell ref="AJ191:AL191"/>
    <mergeCell ref="AQ183:AT183"/>
    <mergeCell ref="AA270:AC270"/>
    <mergeCell ref="AD270:AF270"/>
    <mergeCell ref="AQ278:AT278"/>
    <mergeCell ref="AQ186:AT186"/>
    <mergeCell ref="AQ187:AT187"/>
    <mergeCell ref="AJ499:AL499"/>
    <mergeCell ref="AM499:AP499"/>
    <mergeCell ref="AJ544:AL544"/>
    <mergeCell ref="AM544:AP544"/>
    <mergeCell ref="AJ548:AL548"/>
    <mergeCell ref="AM548:AP548"/>
    <mergeCell ref="AQ1164:AT1164"/>
    <mergeCell ref="AQ1119:AT1119"/>
    <mergeCell ref="AQ1122:AT1122"/>
    <mergeCell ref="AQ1123:AT1123"/>
    <mergeCell ref="AQ1124:AT1124"/>
    <mergeCell ref="AQ1125:AT1125"/>
    <mergeCell ref="AQ1126:AT1126"/>
    <mergeCell ref="AQ1127:AT1127"/>
    <mergeCell ref="AQ1128:AT1128"/>
    <mergeCell ref="AQ1129:AT1129"/>
    <mergeCell ref="AQ1095:AT1095"/>
    <mergeCell ref="AQ1096:AT1096"/>
    <mergeCell ref="AQ1082:AT1082"/>
    <mergeCell ref="AQ1089:AT1089"/>
    <mergeCell ref="AQ1090:AT1090"/>
    <mergeCell ref="AQ1093:AT1093"/>
    <mergeCell ref="AQ992:AT992"/>
    <mergeCell ref="AQ993:AT993"/>
    <mergeCell ref="AQ994:AT994"/>
    <mergeCell ref="AQ1000:AT1000"/>
    <mergeCell ref="AQ1001:AT1001"/>
    <mergeCell ref="AQ1002:AT1002"/>
    <mergeCell ref="AQ1003:AT1003"/>
    <mergeCell ref="AQ1004:AT1004"/>
    <mergeCell ref="AQ1005:AT1005"/>
    <mergeCell ref="AQ1006:AT1006"/>
    <mergeCell ref="AQ1007:AT1007"/>
    <mergeCell ref="AQ1042:AT1042"/>
    <mergeCell ref="AQ944:AT944"/>
    <mergeCell ref="AQ945:AT945"/>
    <mergeCell ref="AQ1080:AT1080"/>
    <mergeCell ref="AQ1077:AT1077"/>
    <mergeCell ref="AQ1078:AT1078"/>
    <mergeCell ref="AQ990:AT990"/>
    <mergeCell ref="AQ991:AT991"/>
    <mergeCell ref="AQ953:AT953"/>
    <mergeCell ref="AQ960:AT960"/>
    <mergeCell ref="AQ1046:AT1046"/>
    <mergeCell ref="AQ1044:AT1044"/>
    <mergeCell ref="AQ1045:AT1045"/>
    <mergeCell ref="AQ1047:AT1047"/>
    <mergeCell ref="AQ1048:AT1048"/>
    <mergeCell ref="AQ1052:AT1052"/>
    <mergeCell ref="AQ1061:AT1061"/>
    <mergeCell ref="AQ1101:AT1101"/>
    <mergeCell ref="AQ1049:AT1049"/>
    <mergeCell ref="AQ1102:AT1102"/>
    <mergeCell ref="AQ1106:AT1106"/>
    <mergeCell ref="AQ1050:AT1050"/>
    <mergeCell ref="AQ1057:AT1057"/>
    <mergeCell ref="AQ1060:AT1060"/>
    <mergeCell ref="AQ1011:AT1011"/>
    <mergeCell ref="AQ1012:AT1012"/>
    <mergeCell ref="AQ1014:AT1014"/>
    <mergeCell ref="AQ1155:AT1155"/>
    <mergeCell ref="AQ1056:AT1056"/>
    <mergeCell ref="AQ1009:AT1009"/>
    <mergeCell ref="AQ1010:AT1010"/>
    <mergeCell ref="AQ1064:AT1064"/>
    <mergeCell ref="AQ1099:AT1099"/>
    <mergeCell ref="AQ1100:AT1100"/>
    <mergeCell ref="AQ1105:AT1105"/>
    <mergeCell ref="AQ1110:AT1110"/>
    <mergeCell ref="AQ1103:AT1103"/>
    <mergeCell ref="AQ903:AT903"/>
    <mergeCell ref="AQ894:AT894"/>
    <mergeCell ref="AQ815:AT815"/>
    <mergeCell ref="U494:W494"/>
    <mergeCell ref="X494:Z494"/>
    <mergeCell ref="AA494:AC494"/>
    <mergeCell ref="AD494:AF494"/>
    <mergeCell ref="AG494:AI494"/>
    <mergeCell ref="AJ494:AL494"/>
    <mergeCell ref="AM494:AP494"/>
    <mergeCell ref="P493:R493"/>
    <mergeCell ref="AM450:AP450"/>
    <mergeCell ref="AQ674:AT674"/>
    <mergeCell ref="AQ679:AT679"/>
    <mergeCell ref="AQ647:AT647"/>
    <mergeCell ref="AG493:AI493"/>
    <mergeCell ref="D493:O493"/>
    <mergeCell ref="AQ493:AT493"/>
    <mergeCell ref="AQ540:AT540"/>
    <mergeCell ref="AQ546:AT546"/>
    <mergeCell ref="AQ548:AT548"/>
    <mergeCell ref="AQ549:AT549"/>
    <mergeCell ref="AQ550:AT550"/>
    <mergeCell ref="AQ579:AT579"/>
    <mergeCell ref="AQ729:AT729"/>
    <mergeCell ref="AQ728:AT728"/>
    <mergeCell ref="AQ899:AT899"/>
    <mergeCell ref="AQ900:AT900"/>
    <mergeCell ref="AQ856:AT856"/>
    <mergeCell ref="AQ859:AT859"/>
    <mergeCell ref="AQ860:AT860"/>
    <mergeCell ref="AQ861:AT861"/>
    <mergeCell ref="AQ534:AT534"/>
    <mergeCell ref="AQ537:AT537"/>
    <mergeCell ref="AQ498:AT498"/>
    <mergeCell ref="AQ539:AT539"/>
    <mergeCell ref="AQ543:AT543"/>
    <mergeCell ref="AQ584:AT584"/>
    <mergeCell ref="AQ583:AT583"/>
    <mergeCell ref="AQ634:AT634"/>
    <mergeCell ref="AQ682:AT682"/>
    <mergeCell ref="AQ673:AT673"/>
    <mergeCell ref="AQ675:AT675"/>
    <mergeCell ref="AQ641:AT641"/>
    <mergeCell ref="AQ642:AT642"/>
    <mergeCell ref="AQ643:AT643"/>
    <mergeCell ref="AQ680:AT680"/>
    <mergeCell ref="AQ723:AT723"/>
    <mergeCell ref="AQ724:AT724"/>
    <mergeCell ref="AQ725:AT725"/>
    <mergeCell ref="AQ726:AT726"/>
    <mergeCell ref="AQ629:AT629"/>
    <mergeCell ref="AQ630:AT630"/>
    <mergeCell ref="AQ631:AT631"/>
    <mergeCell ref="AQ684:AT684"/>
    <mergeCell ref="AQ669:AT669"/>
    <mergeCell ref="AQ672:AT672"/>
    <mergeCell ref="AQ677:AT677"/>
    <mergeCell ref="AQ633:AT633"/>
    <mergeCell ref="AQ632:AT632"/>
    <mergeCell ref="AQ678:AT678"/>
    <mergeCell ref="AQ897:AT897"/>
    <mergeCell ref="AQ898:AT898"/>
    <mergeCell ref="AQ818:AT818"/>
    <mergeCell ref="U782:W782"/>
    <mergeCell ref="X782:Z782"/>
    <mergeCell ref="AA782:AC782"/>
    <mergeCell ref="AD782:AF782"/>
    <mergeCell ref="AG782:AI782"/>
    <mergeCell ref="AQ457:AT457"/>
    <mergeCell ref="AQ636:AT636"/>
    <mergeCell ref="AQ444:AT444"/>
    <mergeCell ref="AM590:AP590"/>
    <mergeCell ref="AJ591:AL591"/>
    <mergeCell ref="AM591:AP591"/>
    <mergeCell ref="AJ592:AL592"/>
    <mergeCell ref="AQ458:AT458"/>
    <mergeCell ref="D452:O452"/>
    <mergeCell ref="D453:O453"/>
    <mergeCell ref="D454:O454"/>
    <mergeCell ref="AQ552:AT552"/>
    <mergeCell ref="D590:O590"/>
    <mergeCell ref="AQ590:AT590"/>
    <mergeCell ref="D591:O591"/>
    <mergeCell ref="AJ450:AL450"/>
    <mergeCell ref="D492:O492"/>
    <mergeCell ref="P419:R419"/>
    <mergeCell ref="S419:T419"/>
    <mergeCell ref="U419:W419"/>
    <mergeCell ref="D588:O588"/>
    <mergeCell ref="AG501:AI501"/>
    <mergeCell ref="AJ501:AL501"/>
    <mergeCell ref="AM501:AP501"/>
    <mergeCell ref="AQ501:AT501"/>
    <mergeCell ref="AQ732:AT732"/>
    <mergeCell ref="AQ766:AT766"/>
    <mergeCell ref="AQ764:AT764"/>
    <mergeCell ref="AQ733:AT733"/>
    <mergeCell ref="AQ734:AT734"/>
    <mergeCell ref="AQ735:AT735"/>
    <mergeCell ref="AQ736:AT736"/>
    <mergeCell ref="AQ759:AT759"/>
    <mergeCell ref="AQ762:AT762"/>
    <mergeCell ref="AQ582:AT582"/>
    <mergeCell ref="AQ547:AT547"/>
    <mergeCell ref="AQ544:AT544"/>
    <mergeCell ref="AQ545:AT545"/>
    <mergeCell ref="AQ538:AT538"/>
    <mergeCell ref="AQ541:AT541"/>
    <mergeCell ref="AQ551:AT551"/>
    <mergeCell ref="X453:Z453"/>
    <mergeCell ref="AQ688:AT688"/>
    <mergeCell ref="AQ689:AT689"/>
    <mergeCell ref="AG447:AI447"/>
    <mergeCell ref="AJ447:AL447"/>
    <mergeCell ref="AM447:AP447"/>
    <mergeCell ref="AM493:AP493"/>
    <mergeCell ref="P494:R494"/>
    <mergeCell ref="S494:T494"/>
    <mergeCell ref="AM592:AP592"/>
    <mergeCell ref="AQ765:AT765"/>
    <mergeCell ref="AQ448:AT448"/>
    <mergeCell ref="X503:Z503"/>
    <mergeCell ref="AA503:AC503"/>
    <mergeCell ref="AD503:AF503"/>
    <mergeCell ref="AQ730:AT730"/>
    <mergeCell ref="AQ738:AT738"/>
    <mergeCell ref="AJ582:AL582"/>
    <mergeCell ref="AQ904:AT904"/>
    <mergeCell ref="D627:O627"/>
    <mergeCell ref="AQ768:AT768"/>
    <mergeCell ref="AQ769:AT769"/>
    <mergeCell ref="AQ770:AT770"/>
    <mergeCell ref="AQ804:AT804"/>
    <mergeCell ref="AQ807:AT807"/>
    <mergeCell ref="AQ808:AT808"/>
    <mergeCell ref="AQ862:AT862"/>
    <mergeCell ref="AQ905:AT905"/>
    <mergeCell ref="AQ854:AT854"/>
    <mergeCell ref="AQ855:AT855"/>
    <mergeCell ref="AQ914:AT914"/>
    <mergeCell ref="AQ915:AT915"/>
    <mergeCell ref="AQ916:AT916"/>
    <mergeCell ref="AQ917:AT917"/>
    <mergeCell ref="AQ939:AT939"/>
    <mergeCell ref="AQ909:AT909"/>
    <mergeCell ref="AQ910:AT910"/>
    <mergeCell ref="AQ911:AT911"/>
    <mergeCell ref="AQ869:AT869"/>
    <mergeCell ref="AQ858:AT858"/>
    <mergeCell ref="AQ864:AT864"/>
    <mergeCell ref="AQ868:AT868"/>
    <mergeCell ref="AQ811:AT811"/>
    <mergeCell ref="AQ638:AT638"/>
    <mergeCell ref="AQ639:AT639"/>
    <mergeCell ref="AQ640:AT640"/>
    <mergeCell ref="AQ646:AT646"/>
    <mergeCell ref="AQ812:AT812"/>
    <mergeCell ref="AQ813:AT813"/>
    <mergeCell ref="AQ731:AT731"/>
    <mergeCell ref="AQ849:AT849"/>
    <mergeCell ref="AQ852:AT852"/>
    <mergeCell ref="AQ853:AT853"/>
    <mergeCell ref="AQ809:AT809"/>
    <mergeCell ref="AQ810:AT810"/>
    <mergeCell ref="AQ767:AT767"/>
    <mergeCell ref="AQ865:AT865"/>
    <mergeCell ref="AQ871:AT871"/>
    <mergeCell ref="AQ685:AT685"/>
    <mergeCell ref="AQ866:AT866"/>
    <mergeCell ref="AQ814:AT814"/>
    <mergeCell ref="AQ690:AT690"/>
    <mergeCell ref="AQ697:AT697"/>
    <mergeCell ref="AQ698:AT698"/>
    <mergeCell ref="AQ714:AT714"/>
    <mergeCell ref="AQ717:AT717"/>
    <mergeCell ref="AQ718:AT718"/>
    <mergeCell ref="AQ719:AT719"/>
    <mergeCell ref="AQ720:AT720"/>
    <mergeCell ref="AQ721:AT721"/>
    <mergeCell ref="AQ722:AT722"/>
    <mergeCell ref="AM646:AP646"/>
    <mergeCell ref="AJ673:AL673"/>
    <mergeCell ref="AM673:AP673"/>
    <mergeCell ref="AQ771:AT771"/>
    <mergeCell ref="AQ775:AT775"/>
    <mergeCell ref="AQ782:AT782"/>
    <mergeCell ref="AQ819:AT819"/>
    <mergeCell ref="AJ855:AL855"/>
    <mergeCell ref="AQ654:AT654"/>
    <mergeCell ref="D655:O655"/>
    <mergeCell ref="P655:R655"/>
    <mergeCell ref="AM404:AP404"/>
    <mergeCell ref="AM593:AP593"/>
    <mergeCell ref="AQ497:AT497"/>
    <mergeCell ref="AQ455:AT455"/>
    <mergeCell ref="AQ449:AT449"/>
    <mergeCell ref="AM407:AP407"/>
    <mergeCell ref="D550:O550"/>
    <mergeCell ref="D547:O547"/>
    <mergeCell ref="D584:O584"/>
    <mergeCell ref="AQ362:AT362"/>
    <mergeCell ref="AQ273:AT273"/>
    <mergeCell ref="AQ274:AT274"/>
    <mergeCell ref="AQ309:AT309"/>
    <mergeCell ref="AQ312:AT312"/>
    <mergeCell ref="AQ313:AT313"/>
    <mergeCell ref="AQ314:AT314"/>
    <mergeCell ref="AJ321:AL321"/>
    <mergeCell ref="AQ459:AT459"/>
    <mergeCell ref="AQ489:AT489"/>
    <mergeCell ref="AQ492:AT492"/>
    <mergeCell ref="D413:O413"/>
    <mergeCell ref="D539:O539"/>
    <mergeCell ref="AQ447:AT447"/>
    <mergeCell ref="AQ359:AT359"/>
    <mergeCell ref="AQ360:AT360"/>
    <mergeCell ref="AQ452:AT452"/>
    <mergeCell ref="D497:O497"/>
    <mergeCell ref="AQ279:AT279"/>
    <mergeCell ref="U501:W501"/>
    <mergeCell ref="X501:Z501"/>
    <mergeCell ref="AA501:AC501"/>
    <mergeCell ref="AD501:AF501"/>
    <mergeCell ref="AQ373:AT373"/>
    <mergeCell ref="AA416:AC416"/>
    <mergeCell ref="AD416:AF416"/>
    <mergeCell ref="AQ402:AT402"/>
    <mergeCell ref="AJ369:AL369"/>
    <mergeCell ref="AM369:AP369"/>
    <mergeCell ref="AM370:AP370"/>
    <mergeCell ref="AJ373:AL373"/>
    <mergeCell ref="AM373:AP373"/>
    <mergeCell ref="U377:W377"/>
    <mergeCell ref="X377:Z377"/>
    <mergeCell ref="AA377:AC377"/>
    <mergeCell ref="AD377:AF377"/>
    <mergeCell ref="AG377:AI377"/>
    <mergeCell ref="AJ377:AL377"/>
    <mergeCell ref="AM377:AP377"/>
    <mergeCell ref="AQ377:AT377"/>
    <mergeCell ref="AJ415:AL415"/>
    <mergeCell ref="AA320:AC320"/>
    <mergeCell ref="AD320:AF320"/>
    <mergeCell ref="AG320:AI320"/>
    <mergeCell ref="AJ320:AL320"/>
    <mergeCell ref="AM320:AP320"/>
    <mergeCell ref="AA319:AC319"/>
    <mergeCell ref="AQ369:AT369"/>
    <mergeCell ref="D537:O537"/>
    <mergeCell ref="D459:O459"/>
    <mergeCell ref="AQ410:AT410"/>
    <mergeCell ref="S327:T327"/>
    <mergeCell ref="AG489:AI489"/>
    <mergeCell ref="AQ456:AT456"/>
    <mergeCell ref="AQ361:AT361"/>
    <mergeCell ref="AQ409:AT409"/>
    <mergeCell ref="AQ406:AT406"/>
    <mergeCell ref="AQ407:AT407"/>
    <mergeCell ref="P138:R138"/>
    <mergeCell ref="AM120:AP120"/>
    <mergeCell ref="AJ129:AL129"/>
    <mergeCell ref="AQ121:AT121"/>
    <mergeCell ref="X312:Z312"/>
    <mergeCell ref="AA312:AC312"/>
    <mergeCell ref="AD312:AF312"/>
    <mergeCell ref="AG312:AI312"/>
    <mergeCell ref="AJ312:AL312"/>
    <mergeCell ref="AM312:AP312"/>
    <mergeCell ref="AJ313:AL313"/>
    <mergeCell ref="AM313:AP313"/>
    <mergeCell ref="AJ315:AL315"/>
    <mergeCell ref="AM315:AP315"/>
    <mergeCell ref="AJ317:AL317"/>
    <mergeCell ref="AM317:AP317"/>
    <mergeCell ref="AJ319:AL319"/>
    <mergeCell ref="AM319:AP319"/>
    <mergeCell ref="AM360:AP360"/>
    <mergeCell ref="AJ409:AL409"/>
    <mergeCell ref="AM409:AP409"/>
    <mergeCell ref="AJ411:AL411"/>
    <mergeCell ref="AM411:AP411"/>
    <mergeCell ref="U132:W132"/>
    <mergeCell ref="D178:O178"/>
    <mergeCell ref="D191:O191"/>
    <mergeCell ref="AQ142:AT142"/>
    <mergeCell ref="D137:O137"/>
    <mergeCell ref="P137:R137"/>
    <mergeCell ref="S137:T137"/>
    <mergeCell ref="U137:W137"/>
    <mergeCell ref="S138:T138"/>
    <mergeCell ref="AD138:AF138"/>
    <mergeCell ref="AG138:AI138"/>
    <mergeCell ref="AJ138:AL138"/>
    <mergeCell ref="AQ194:AT194"/>
    <mergeCell ref="D184:O184"/>
    <mergeCell ref="AQ399:AT399"/>
    <mergeCell ref="AJ150:AL150"/>
    <mergeCell ref="AM150:AP150"/>
    <mergeCell ref="AQ150:AT150"/>
    <mergeCell ref="AQ318:AT318"/>
    <mergeCell ref="AQ316:AT316"/>
    <mergeCell ref="AQ317:AT317"/>
    <mergeCell ref="AD309:AF309"/>
    <mergeCell ref="AG309:AI309"/>
    <mergeCell ref="AJ309:AL309"/>
    <mergeCell ref="AM292:AP292"/>
    <mergeCell ref="AQ292:AT292"/>
    <mergeCell ref="AD276:AF276"/>
    <mergeCell ref="AG276:AI276"/>
    <mergeCell ref="AJ276:AL276"/>
    <mergeCell ref="AM276:AP276"/>
    <mergeCell ref="AQ276:AT276"/>
    <mergeCell ref="AD277:AF277"/>
    <mergeCell ref="AG277:AI277"/>
    <mergeCell ref="AJ277:AL277"/>
    <mergeCell ref="AD146:AF146"/>
    <mergeCell ref="AD142:AF142"/>
    <mergeCell ref="AG142:AI142"/>
    <mergeCell ref="AQ191:AT191"/>
    <mergeCell ref="AM415:AP415"/>
    <mergeCell ref="AJ448:AL448"/>
    <mergeCell ref="AM448:AP448"/>
    <mergeCell ref="AD180:AF180"/>
    <mergeCell ref="D185:O185"/>
    <mergeCell ref="AJ189:AL189"/>
    <mergeCell ref="AM189:AP189"/>
    <mergeCell ref="AG145:AI145"/>
    <mergeCell ref="AJ145:AL145"/>
    <mergeCell ref="AM145:AP145"/>
    <mergeCell ref="AG148:AI148"/>
    <mergeCell ref="AJ148:AL148"/>
    <mergeCell ref="AM148:AP148"/>
    <mergeCell ref="D180:O180"/>
    <mergeCell ref="AQ411:AT411"/>
    <mergeCell ref="AQ412:AT412"/>
    <mergeCell ref="AM188:AP188"/>
    <mergeCell ref="AM187:AP187"/>
    <mergeCell ref="AJ188:AL188"/>
    <mergeCell ref="AQ178:AT178"/>
    <mergeCell ref="AQ137:AT137"/>
    <mergeCell ref="AQ315:AT315"/>
    <mergeCell ref="AG101:AI101"/>
    <mergeCell ref="AG102:AI102"/>
    <mergeCell ref="AD100:AF100"/>
    <mergeCell ref="B101:C101"/>
    <mergeCell ref="B102:C102"/>
    <mergeCell ref="AJ134:AL134"/>
    <mergeCell ref="AM134:AP134"/>
    <mergeCell ref="U135:W135"/>
    <mergeCell ref="X135:Z135"/>
    <mergeCell ref="AJ132:AL132"/>
    <mergeCell ref="AA140:AC140"/>
    <mergeCell ref="AD140:AF140"/>
    <mergeCell ref="AG140:AI140"/>
    <mergeCell ref="AJ140:AL140"/>
    <mergeCell ref="AM180:AP180"/>
    <mergeCell ref="AA178:AC178"/>
    <mergeCell ref="B149:C149"/>
    <mergeCell ref="D149:O149"/>
    <mergeCell ref="P149:R149"/>
    <mergeCell ref="S149:T149"/>
    <mergeCell ref="AQ132:AT132"/>
    <mergeCell ref="AQ133:AT133"/>
    <mergeCell ref="B144:C144"/>
    <mergeCell ref="D144:O144"/>
    <mergeCell ref="P144:R144"/>
    <mergeCell ref="S144:T144"/>
    <mergeCell ref="U144:W144"/>
    <mergeCell ref="X144:Z144"/>
    <mergeCell ref="AA144:AC144"/>
    <mergeCell ref="AD144:AF144"/>
    <mergeCell ref="AG144:AI144"/>
    <mergeCell ref="AJ144:AL144"/>
    <mergeCell ref="D132:O132"/>
    <mergeCell ref="AJ142:AL142"/>
    <mergeCell ref="AM142:AP142"/>
    <mergeCell ref="P150:R150"/>
    <mergeCell ref="S150:T150"/>
    <mergeCell ref="U150:W150"/>
    <mergeCell ref="X150:Z150"/>
    <mergeCell ref="AA150:AC150"/>
    <mergeCell ref="AD150:AF150"/>
    <mergeCell ref="AG150:AI150"/>
    <mergeCell ref="B151:C151"/>
    <mergeCell ref="D151:O151"/>
    <mergeCell ref="P151:R151"/>
    <mergeCell ref="S151:T151"/>
    <mergeCell ref="U151:W151"/>
    <mergeCell ref="X151:Z151"/>
    <mergeCell ref="AA151:AC151"/>
    <mergeCell ref="AD151:AF151"/>
    <mergeCell ref="AG151:AI151"/>
    <mergeCell ref="AJ151:AL151"/>
    <mergeCell ref="AM151:AP151"/>
    <mergeCell ref="AQ151:AT151"/>
    <mergeCell ref="B152:C152"/>
    <mergeCell ref="D152:O152"/>
    <mergeCell ref="P152:R152"/>
    <mergeCell ref="S152:T152"/>
    <mergeCell ref="AG99:AI99"/>
    <mergeCell ref="S120:T120"/>
    <mergeCell ref="B147:C147"/>
    <mergeCell ref="D147:O147"/>
    <mergeCell ref="P147:R147"/>
    <mergeCell ref="S147:T147"/>
    <mergeCell ref="U147:W147"/>
    <mergeCell ref="X147:Z147"/>
    <mergeCell ref="AQ271:AT271"/>
    <mergeCell ref="AM193:AP193"/>
    <mergeCell ref="AG197:AI197"/>
    <mergeCell ref="AM195:AP195"/>
    <mergeCell ref="AD137:AF137"/>
    <mergeCell ref="AG137:AI137"/>
    <mergeCell ref="AJ137:AL137"/>
    <mergeCell ref="AM137:AP137"/>
    <mergeCell ref="AM138:AP138"/>
    <mergeCell ref="AQ138:AT138"/>
    <mergeCell ref="AQ267:AT267"/>
    <mergeCell ref="AQ268:AT268"/>
    <mergeCell ref="AQ270:AT270"/>
    <mergeCell ref="AJ178:AL178"/>
    <mergeCell ref="AM178:AP178"/>
    <mergeCell ref="AD178:AF178"/>
    <mergeCell ref="AG178:AI178"/>
    <mergeCell ref="AM271:AP271"/>
    <mergeCell ref="AG268:AI268"/>
    <mergeCell ref="AM233:AP233"/>
    <mergeCell ref="AQ233:AT233"/>
    <mergeCell ref="AG228:AI228"/>
    <mergeCell ref="AJ228:AL228"/>
    <mergeCell ref="AM228:AP228"/>
    <mergeCell ref="AQ228:AT228"/>
    <mergeCell ref="AQ192:AT192"/>
    <mergeCell ref="AQ193:AT193"/>
    <mergeCell ref="AQ224:AT224"/>
    <mergeCell ref="AQ227:AT227"/>
    <mergeCell ref="AJ225:AL225"/>
    <mergeCell ref="AM225:AP225"/>
    <mergeCell ref="AQ184:AT184"/>
    <mergeCell ref="AJ183:AL183"/>
    <mergeCell ref="AQ139:AT139"/>
    <mergeCell ref="AG180:AI180"/>
    <mergeCell ref="AJ180:AL180"/>
    <mergeCell ref="AQ180:AT180"/>
    <mergeCell ref="AJ186:AL186"/>
    <mergeCell ref="AM186:AP186"/>
    <mergeCell ref="AA152:AC152"/>
    <mergeCell ref="B227:C227"/>
    <mergeCell ref="B228:C228"/>
    <mergeCell ref="S312:T312"/>
    <mergeCell ref="U312:W312"/>
    <mergeCell ref="AQ365:AT365"/>
    <mergeCell ref="AM363:AP363"/>
    <mergeCell ref="AJ358:AL358"/>
    <mergeCell ref="AG327:AI327"/>
    <mergeCell ref="AJ327:AL327"/>
    <mergeCell ref="AM327:AP327"/>
    <mergeCell ref="AQ327:AT327"/>
    <mergeCell ref="AM328:AP328"/>
    <mergeCell ref="AQ328:AT328"/>
    <mergeCell ref="AG272:AI272"/>
    <mergeCell ref="AJ272:AL272"/>
    <mergeCell ref="AM272:AP272"/>
    <mergeCell ref="AJ316:AL316"/>
    <mergeCell ref="AG314:AI314"/>
    <mergeCell ref="AJ314:AL314"/>
    <mergeCell ref="P314:R314"/>
    <mergeCell ref="S314:T314"/>
    <mergeCell ref="U314:W314"/>
    <mergeCell ref="U178:W178"/>
    <mergeCell ref="X178:Z178"/>
    <mergeCell ref="P178:R178"/>
    <mergeCell ref="B185:C185"/>
    <mergeCell ref="B233:C233"/>
    <mergeCell ref="D233:O233"/>
    <mergeCell ref="P233:R233"/>
    <mergeCell ref="S233:T233"/>
    <mergeCell ref="U233:W233"/>
    <mergeCell ref="X233:Z233"/>
    <mergeCell ref="AA233:AC233"/>
    <mergeCell ref="AD233:AF233"/>
    <mergeCell ref="AG233:AI233"/>
    <mergeCell ref="AJ233:AL233"/>
    <mergeCell ref="AQ190:AT190"/>
    <mergeCell ref="AQ288:AT288"/>
    <mergeCell ref="AQ289:AT289"/>
    <mergeCell ref="AQ290:AT290"/>
    <mergeCell ref="AQ225:AT225"/>
    <mergeCell ref="AQ320:AT320"/>
    <mergeCell ref="AQ230:AT230"/>
    <mergeCell ref="AQ322:AT322"/>
    <mergeCell ref="AQ323:AT323"/>
    <mergeCell ref="AD324:AF324"/>
    <mergeCell ref="AQ185:AT185"/>
    <mergeCell ref="AQ363:AT363"/>
    <mergeCell ref="AQ325:AT325"/>
    <mergeCell ref="D328:O328"/>
    <mergeCell ref="P328:R328"/>
    <mergeCell ref="S328:T328"/>
    <mergeCell ref="U328:W328"/>
    <mergeCell ref="X328:Z328"/>
    <mergeCell ref="AA328:AC328"/>
    <mergeCell ref="AQ231:AT231"/>
    <mergeCell ref="AQ232:AT232"/>
    <mergeCell ref="AQ264:AT264"/>
    <mergeCell ref="AQ196:AT196"/>
    <mergeCell ref="AQ188:AT188"/>
    <mergeCell ref="AQ189:AT189"/>
    <mergeCell ref="AQ179:AT179"/>
    <mergeCell ref="AG292:AI292"/>
    <mergeCell ref="D181:O181"/>
    <mergeCell ref="AJ292:AL292"/>
    <mergeCell ref="AQ370:AT370"/>
    <mergeCell ref="AJ370:AL370"/>
    <mergeCell ref="X373:Z373"/>
    <mergeCell ref="AA373:AC373"/>
    <mergeCell ref="AM146:AP146"/>
    <mergeCell ref="D227:O227"/>
    <mergeCell ref="P227:R227"/>
    <mergeCell ref="S227:T227"/>
    <mergeCell ref="X227:Z227"/>
    <mergeCell ref="D228:O228"/>
    <mergeCell ref="P228:R228"/>
    <mergeCell ref="S228:T228"/>
    <mergeCell ref="U228:W228"/>
    <mergeCell ref="X228:Z228"/>
    <mergeCell ref="AA228:AC228"/>
    <mergeCell ref="AD228:AF228"/>
    <mergeCell ref="D499:O499"/>
    <mergeCell ref="D494:O494"/>
    <mergeCell ref="AD373:AF373"/>
    <mergeCell ref="AG373:AI373"/>
    <mergeCell ref="X295:Z295"/>
    <mergeCell ref="AA295:AC295"/>
    <mergeCell ref="AD295:AF295"/>
    <mergeCell ref="AG295:AI295"/>
    <mergeCell ref="AJ295:AL295"/>
    <mergeCell ref="AM295:AP295"/>
    <mergeCell ref="AQ295:AT295"/>
    <mergeCell ref="AM309:AP309"/>
    <mergeCell ref="AJ360:AL360"/>
    <mergeCell ref="X314:Z314"/>
    <mergeCell ref="AA314:AC314"/>
    <mergeCell ref="AD314:AF314"/>
    <mergeCell ref="AG324:AI324"/>
    <mergeCell ref="AJ324:AL324"/>
    <mergeCell ref="AM324:AP324"/>
    <mergeCell ref="AQ324:AT324"/>
    <mergeCell ref="AG416:AI416"/>
    <mergeCell ref="AJ416:AL416"/>
    <mergeCell ref="AM416:AP416"/>
    <mergeCell ref="AQ416:AT416"/>
    <mergeCell ref="AJ328:AL328"/>
    <mergeCell ref="AQ321:AT321"/>
    <mergeCell ref="AQ366:AT366"/>
    <mergeCell ref="AQ367:AT367"/>
    <mergeCell ref="AQ403:AT403"/>
    <mergeCell ref="AQ364:AT364"/>
    <mergeCell ref="AQ229:AT229"/>
    <mergeCell ref="S171:T171"/>
    <mergeCell ref="U171:W171"/>
    <mergeCell ref="X171:Z171"/>
    <mergeCell ref="AA171:AC171"/>
    <mergeCell ref="AD171:AF171"/>
    <mergeCell ref="AG171:AI171"/>
    <mergeCell ref="AJ171:AL171"/>
    <mergeCell ref="AM171:AP171"/>
    <mergeCell ref="AQ171:AT171"/>
    <mergeCell ref="AQ277:AT277"/>
    <mergeCell ref="AG278:AI278"/>
    <mergeCell ref="AD264:AF264"/>
    <mergeCell ref="AG264:AI264"/>
    <mergeCell ref="AQ269:AT269"/>
    <mergeCell ref="AQ272:AT272"/>
    <mergeCell ref="AA147:AC147"/>
    <mergeCell ref="B148:C148"/>
    <mergeCell ref="D148:O148"/>
    <mergeCell ref="P148:R148"/>
    <mergeCell ref="S148:T148"/>
    <mergeCell ref="U148:W148"/>
    <mergeCell ref="X148:Z148"/>
    <mergeCell ref="AA148:AC148"/>
    <mergeCell ref="AD148:AF148"/>
    <mergeCell ref="P312:R312"/>
    <mergeCell ref="AJ227:AL227"/>
    <mergeCell ref="AM227:AP227"/>
    <mergeCell ref="AA227:AC227"/>
    <mergeCell ref="AD227:AF227"/>
    <mergeCell ref="AG227:AI227"/>
    <mergeCell ref="AM197:AP197"/>
    <mergeCell ref="AJ223:AL223"/>
    <mergeCell ref="AM223:AP223"/>
    <mergeCell ref="AQ148:AT148"/>
    <mergeCell ref="U227:W227"/>
    <mergeCell ref="AQ195:AT195"/>
    <mergeCell ref="D196:O196"/>
    <mergeCell ref="D197:O197"/>
    <mergeCell ref="D226:O226"/>
    <mergeCell ref="D229:O229"/>
    <mergeCell ref="AQ181:AT181"/>
    <mergeCell ref="AQ174:AT174"/>
    <mergeCell ref="U295:W295"/>
    <mergeCell ref="D273:O273"/>
    <mergeCell ref="D267:O267"/>
    <mergeCell ref="B179:C179"/>
    <mergeCell ref="P179:R179"/>
    <mergeCell ref="S179:T179"/>
    <mergeCell ref="U179:W179"/>
    <mergeCell ref="B178:C178"/>
    <mergeCell ref="B177:C177"/>
    <mergeCell ref="P177:R177"/>
    <mergeCell ref="S177:T177"/>
    <mergeCell ref="U177:W177"/>
    <mergeCell ref="S178:T178"/>
    <mergeCell ref="U149:W149"/>
    <mergeCell ref="B172:C172"/>
    <mergeCell ref="D172:O172"/>
    <mergeCell ref="P172:R172"/>
    <mergeCell ref="S172:T172"/>
    <mergeCell ref="U172:W172"/>
    <mergeCell ref="X172:Z172"/>
    <mergeCell ref="AA172:AC172"/>
    <mergeCell ref="AD172:AF172"/>
    <mergeCell ref="AG172:AI172"/>
    <mergeCell ref="AJ172:AL172"/>
    <mergeCell ref="AM172:AP172"/>
    <mergeCell ref="AQ172:AT172"/>
    <mergeCell ref="B150:C150"/>
    <mergeCell ref="D150:O150"/>
    <mergeCell ref="AQ197:AT197"/>
    <mergeCell ref="AQ219:AT219"/>
    <mergeCell ref="AQ222:AT222"/>
    <mergeCell ref="AQ223:AT223"/>
    <mergeCell ref="B236:C236"/>
    <mergeCell ref="D236:O236"/>
    <mergeCell ref="P236:R236"/>
    <mergeCell ref="S236:T236"/>
    <mergeCell ref="U236:W236"/>
    <mergeCell ref="X236:Z236"/>
    <mergeCell ref="B169:C169"/>
    <mergeCell ref="D169:O169"/>
    <mergeCell ref="P169:R169"/>
    <mergeCell ref="S169:T169"/>
    <mergeCell ref="U169:W169"/>
    <mergeCell ref="X169:Z169"/>
    <mergeCell ref="AA169:AC169"/>
    <mergeCell ref="AD169:AF169"/>
    <mergeCell ref="AG169:AI169"/>
    <mergeCell ref="AJ169:AL169"/>
    <mergeCell ref="AM169:AP169"/>
    <mergeCell ref="AQ169:AT169"/>
    <mergeCell ref="B170:C170"/>
    <mergeCell ref="D170:O170"/>
    <mergeCell ref="P170:R170"/>
    <mergeCell ref="S170:T170"/>
    <mergeCell ref="U170:W170"/>
    <mergeCell ref="X170:Z170"/>
    <mergeCell ref="AA170:AC170"/>
    <mergeCell ref="AD170:AF170"/>
    <mergeCell ref="AG170:AI170"/>
    <mergeCell ref="AJ170:AL170"/>
    <mergeCell ref="AM170:AP170"/>
    <mergeCell ref="AQ170:AT170"/>
    <mergeCell ref="AG212:AI212"/>
    <mergeCell ref="AJ212:AL212"/>
    <mergeCell ref="AM212:AP212"/>
    <mergeCell ref="AQ212:AT212"/>
    <mergeCell ref="B213:C213"/>
    <mergeCell ref="D213:O213"/>
    <mergeCell ref="P213:R213"/>
    <mergeCell ref="S213:T213"/>
    <mergeCell ref="U213:W213"/>
    <mergeCell ref="X213:Z213"/>
    <mergeCell ref="AA213:AC213"/>
    <mergeCell ref="AD213:AF213"/>
    <mergeCell ref="AG213:AI213"/>
    <mergeCell ref="AJ213:AL213"/>
    <mergeCell ref="AM213:AP213"/>
    <mergeCell ref="AQ213:AT213"/>
    <mergeCell ref="B210:C210"/>
    <mergeCell ref="D210:O210"/>
    <mergeCell ref="P210:R210"/>
    <mergeCell ref="S210:T210"/>
    <mergeCell ref="U210:W210"/>
    <mergeCell ref="X210:Z210"/>
    <mergeCell ref="AA210:AC210"/>
    <mergeCell ref="AD210:AF210"/>
    <mergeCell ref="AG210:AI210"/>
    <mergeCell ref="AJ210:AL210"/>
    <mergeCell ref="AM210:AP210"/>
    <mergeCell ref="AQ210:AT210"/>
    <mergeCell ref="B211:C211"/>
    <mergeCell ref="D211:O211"/>
    <mergeCell ref="P211:R211"/>
    <mergeCell ref="S211:T211"/>
    <mergeCell ref="U211:W211"/>
    <mergeCell ref="X211:Z211"/>
    <mergeCell ref="B171:C171"/>
    <mergeCell ref="D171:O171"/>
    <mergeCell ref="P171:R171"/>
    <mergeCell ref="AQ177:AT177"/>
    <mergeCell ref="X181:Z181"/>
    <mergeCell ref="B180:C180"/>
    <mergeCell ref="B237:C237"/>
    <mergeCell ref="D237:O237"/>
    <mergeCell ref="P237:R237"/>
    <mergeCell ref="S237:T237"/>
    <mergeCell ref="U237:W237"/>
    <mergeCell ref="X237:Z237"/>
    <mergeCell ref="AA237:AC237"/>
    <mergeCell ref="AD237:AF237"/>
    <mergeCell ref="AG237:AI237"/>
    <mergeCell ref="AJ237:AL237"/>
    <mergeCell ref="AM237:AP237"/>
    <mergeCell ref="AQ237:AT237"/>
    <mergeCell ref="B234:C234"/>
    <mergeCell ref="D234:O234"/>
    <mergeCell ref="P234:R234"/>
    <mergeCell ref="S234:T234"/>
    <mergeCell ref="U234:W234"/>
    <mergeCell ref="X234:Z234"/>
    <mergeCell ref="AA234:AC234"/>
    <mergeCell ref="AD234:AF234"/>
    <mergeCell ref="AG234:AI234"/>
    <mergeCell ref="AJ234:AL234"/>
    <mergeCell ref="AM234:AP234"/>
    <mergeCell ref="AQ234:AT234"/>
    <mergeCell ref="B235:C235"/>
    <mergeCell ref="D235:O235"/>
    <mergeCell ref="P235:R235"/>
    <mergeCell ref="S235:T235"/>
    <mergeCell ref="U235:W235"/>
    <mergeCell ref="X235:Z235"/>
    <mergeCell ref="AA235:AC235"/>
    <mergeCell ref="AD235:AF235"/>
    <mergeCell ref="AG235:AI235"/>
    <mergeCell ref="AJ235:AL235"/>
    <mergeCell ref="AM235:AP235"/>
    <mergeCell ref="AQ235:AT235"/>
    <mergeCell ref="AA236:AC236"/>
    <mergeCell ref="AD236:AF236"/>
    <mergeCell ref="AG236:AI236"/>
    <mergeCell ref="AJ236:AL236"/>
    <mergeCell ref="AM236:AP236"/>
    <mergeCell ref="AQ236:AT236"/>
    <mergeCell ref="B161:C161"/>
    <mergeCell ref="D161:O161"/>
    <mergeCell ref="P161:R161"/>
    <mergeCell ref="S161:T161"/>
    <mergeCell ref="U161:W161"/>
    <mergeCell ref="X161:Z161"/>
    <mergeCell ref="AA161:AC161"/>
    <mergeCell ref="AD161:AF161"/>
    <mergeCell ref="AG161:AI161"/>
    <mergeCell ref="AJ161:AL161"/>
    <mergeCell ref="AM161:AP161"/>
    <mergeCell ref="AQ161:AT161"/>
    <mergeCell ref="B159:C159"/>
    <mergeCell ref="D159:O159"/>
    <mergeCell ref="P159:R159"/>
    <mergeCell ref="S159:T159"/>
    <mergeCell ref="U159:W159"/>
    <mergeCell ref="X159:Z159"/>
    <mergeCell ref="AA159:AC159"/>
    <mergeCell ref="AD159:AF159"/>
    <mergeCell ref="B240:C240"/>
    <mergeCell ref="D240:O240"/>
    <mergeCell ref="P240:R240"/>
    <mergeCell ref="S240:T240"/>
    <mergeCell ref="U240:W240"/>
    <mergeCell ref="X240:Z240"/>
    <mergeCell ref="AA240:AC240"/>
    <mergeCell ref="AD240:AF240"/>
    <mergeCell ref="AG240:AI240"/>
    <mergeCell ref="AJ240:AL240"/>
    <mergeCell ref="AM240:AP240"/>
    <mergeCell ref="AQ240:AT240"/>
    <mergeCell ref="B241:C241"/>
    <mergeCell ref="D241:O241"/>
    <mergeCell ref="P241:R241"/>
    <mergeCell ref="S241:T241"/>
    <mergeCell ref="U241:W241"/>
    <mergeCell ref="X241:Z241"/>
    <mergeCell ref="AA241:AC241"/>
    <mergeCell ref="AD241:AF241"/>
    <mergeCell ref="AG241:AI241"/>
    <mergeCell ref="AJ241:AL241"/>
    <mergeCell ref="AM241:AP241"/>
    <mergeCell ref="AQ241:AT241"/>
    <mergeCell ref="B238:C238"/>
    <mergeCell ref="D238:O238"/>
    <mergeCell ref="P238:R238"/>
    <mergeCell ref="S238:T238"/>
    <mergeCell ref="U238:W238"/>
    <mergeCell ref="X238:Z238"/>
    <mergeCell ref="AA238:AC238"/>
    <mergeCell ref="AD238:AF238"/>
    <mergeCell ref="AG238:AI238"/>
    <mergeCell ref="AJ238:AL238"/>
    <mergeCell ref="AM238:AP238"/>
    <mergeCell ref="AQ238:AT238"/>
    <mergeCell ref="B239:C239"/>
    <mergeCell ref="D239:O239"/>
    <mergeCell ref="P239:R239"/>
    <mergeCell ref="S239:T239"/>
    <mergeCell ref="U239:W239"/>
    <mergeCell ref="X239:Z239"/>
    <mergeCell ref="AA239:AC239"/>
    <mergeCell ref="AD239:AF239"/>
    <mergeCell ref="AG239:AI239"/>
    <mergeCell ref="AJ239:AL239"/>
    <mergeCell ref="AM239:AP239"/>
    <mergeCell ref="AQ239:AT239"/>
    <mergeCell ref="B262:C262"/>
    <mergeCell ref="D262:O262"/>
    <mergeCell ref="P262:R262"/>
    <mergeCell ref="S262:T262"/>
    <mergeCell ref="U262:W262"/>
    <mergeCell ref="X262:Z262"/>
    <mergeCell ref="AA262:AC262"/>
    <mergeCell ref="AD262:AF262"/>
    <mergeCell ref="AG262:AI262"/>
    <mergeCell ref="AJ262:AL262"/>
    <mergeCell ref="AM262:AP262"/>
    <mergeCell ref="AQ262:AT262"/>
    <mergeCell ref="B275:C275"/>
    <mergeCell ref="D275:O275"/>
    <mergeCell ref="P275:R275"/>
    <mergeCell ref="S275:T275"/>
    <mergeCell ref="U275:W275"/>
    <mergeCell ref="X275:Z275"/>
    <mergeCell ref="AA275:AC275"/>
    <mergeCell ref="AD275:AF275"/>
    <mergeCell ref="AG275:AI275"/>
    <mergeCell ref="AJ275:AL275"/>
    <mergeCell ref="AM275:AP275"/>
    <mergeCell ref="AQ275:AT275"/>
    <mergeCell ref="B264:C264"/>
    <mergeCell ref="B267:C267"/>
    <mergeCell ref="P267:R267"/>
    <mergeCell ref="S267:T267"/>
    <mergeCell ref="AA267:AC267"/>
    <mergeCell ref="AD267:AF267"/>
    <mergeCell ref="AG267:AI267"/>
    <mergeCell ref="AJ267:AL267"/>
    <mergeCell ref="D268:O268"/>
    <mergeCell ref="B268:C268"/>
    <mergeCell ref="P268:R268"/>
    <mergeCell ref="S268:T268"/>
    <mergeCell ref="U268:W268"/>
    <mergeCell ref="X268:Z268"/>
    <mergeCell ref="B270:C270"/>
    <mergeCell ref="P270:R270"/>
    <mergeCell ref="S270:T270"/>
    <mergeCell ref="AA268:AC268"/>
    <mergeCell ref="AD268:AF268"/>
    <mergeCell ref="U270:W270"/>
    <mergeCell ref="X270:Z270"/>
    <mergeCell ref="AM269:AP269"/>
    <mergeCell ref="D271:O271"/>
    <mergeCell ref="D269:O269"/>
    <mergeCell ref="D270:O270"/>
    <mergeCell ref="AG271:AI271"/>
    <mergeCell ref="AJ271:AL271"/>
    <mergeCell ref="B272:C272"/>
    <mergeCell ref="P272:R272"/>
    <mergeCell ref="S272:T272"/>
    <mergeCell ref="U272:W272"/>
    <mergeCell ref="X272:Z272"/>
    <mergeCell ref="AA272:AC272"/>
    <mergeCell ref="AD272:AF272"/>
    <mergeCell ref="B274:C274"/>
    <mergeCell ref="B269:C269"/>
    <mergeCell ref="AM290:AP290"/>
    <mergeCell ref="B289:C289"/>
    <mergeCell ref="P289:R289"/>
    <mergeCell ref="S289:T289"/>
    <mergeCell ref="U289:W289"/>
    <mergeCell ref="X289:Z289"/>
    <mergeCell ref="AA289:AC289"/>
    <mergeCell ref="AD289:AF289"/>
    <mergeCell ref="D279:O279"/>
    <mergeCell ref="B288:C288"/>
    <mergeCell ref="P288:R288"/>
    <mergeCell ref="S288:T288"/>
    <mergeCell ref="U288:W288"/>
    <mergeCell ref="X288:Z288"/>
    <mergeCell ref="B283:C283"/>
    <mergeCell ref="D283:O283"/>
    <mergeCell ref="P283:R283"/>
    <mergeCell ref="S283:T283"/>
    <mergeCell ref="U283:W283"/>
    <mergeCell ref="X283:Z283"/>
    <mergeCell ref="AA283:AC283"/>
    <mergeCell ref="AD283:AF283"/>
    <mergeCell ref="AG283:AI283"/>
    <mergeCell ref="AJ283:AL283"/>
    <mergeCell ref="AM283:AP283"/>
    <mergeCell ref="B287:C287"/>
    <mergeCell ref="D287:O287"/>
    <mergeCell ref="P287:R287"/>
    <mergeCell ref="S287:T287"/>
    <mergeCell ref="U287:W287"/>
    <mergeCell ref="X287:Z287"/>
    <mergeCell ref="AA287:AC287"/>
    <mergeCell ref="AD287:AF287"/>
    <mergeCell ref="AG287:AI287"/>
    <mergeCell ref="AJ287:AL287"/>
    <mergeCell ref="AM287:AP287"/>
    <mergeCell ref="B280:C280"/>
    <mergeCell ref="D280:O280"/>
    <mergeCell ref="P280:R280"/>
    <mergeCell ref="S280:T280"/>
    <mergeCell ref="U280:W280"/>
    <mergeCell ref="X280:Z280"/>
    <mergeCell ref="AA280:AC280"/>
    <mergeCell ref="AD280:AF280"/>
    <mergeCell ref="AG280:AI280"/>
    <mergeCell ref="AJ280:AL280"/>
    <mergeCell ref="AM280:AP280"/>
    <mergeCell ref="AG289:AI289"/>
    <mergeCell ref="AJ289:AL289"/>
    <mergeCell ref="AM289:AP289"/>
    <mergeCell ref="D290:O290"/>
    <mergeCell ref="AJ290:AL290"/>
    <mergeCell ref="B309:C309"/>
    <mergeCell ref="B316:C316"/>
    <mergeCell ref="P316:R316"/>
    <mergeCell ref="S316:T316"/>
    <mergeCell ref="U316:W316"/>
    <mergeCell ref="X316:Z316"/>
    <mergeCell ref="AA316:AC316"/>
    <mergeCell ref="AD316:AF316"/>
    <mergeCell ref="AG316:AI316"/>
    <mergeCell ref="AG328:AI328"/>
    <mergeCell ref="B312:C312"/>
    <mergeCell ref="D312:O312"/>
    <mergeCell ref="B313:C313"/>
    <mergeCell ref="P313:R313"/>
    <mergeCell ref="S313:T313"/>
    <mergeCell ref="U313:W313"/>
    <mergeCell ref="X313:Z313"/>
    <mergeCell ref="AA313:AC313"/>
    <mergeCell ref="AD313:AF313"/>
    <mergeCell ref="AG313:AI313"/>
    <mergeCell ref="D313:O313"/>
    <mergeCell ref="B318:C318"/>
    <mergeCell ref="P318:R318"/>
    <mergeCell ref="S318:T318"/>
    <mergeCell ref="U318:W318"/>
    <mergeCell ref="X293:Z293"/>
    <mergeCell ref="AA293:AC293"/>
    <mergeCell ref="AD293:AF293"/>
    <mergeCell ref="AG293:AI293"/>
    <mergeCell ref="AJ293:AL293"/>
    <mergeCell ref="AM293:AP293"/>
    <mergeCell ref="AQ293:AT293"/>
    <mergeCell ref="B294:C294"/>
    <mergeCell ref="D294:O294"/>
    <mergeCell ref="P294:R294"/>
    <mergeCell ref="S294:T294"/>
    <mergeCell ref="U294:W294"/>
    <mergeCell ref="X294:Z294"/>
    <mergeCell ref="AA294:AC294"/>
    <mergeCell ref="AD294:AF294"/>
    <mergeCell ref="AG294:AI294"/>
    <mergeCell ref="AJ294:AL294"/>
    <mergeCell ref="AM294:AP294"/>
    <mergeCell ref="AQ294:AT294"/>
    <mergeCell ref="B295:C295"/>
    <mergeCell ref="D295:O295"/>
    <mergeCell ref="P295:R295"/>
    <mergeCell ref="S295:T295"/>
    <mergeCell ref="D318:O318"/>
    <mergeCell ref="B320:C320"/>
    <mergeCell ref="P320:R320"/>
    <mergeCell ref="S320:T320"/>
    <mergeCell ref="U320:W320"/>
    <mergeCell ref="X320:Z320"/>
    <mergeCell ref="B319:C319"/>
    <mergeCell ref="P319:R319"/>
    <mergeCell ref="S319:T319"/>
    <mergeCell ref="U319:W319"/>
    <mergeCell ref="X319:Z319"/>
    <mergeCell ref="AD319:AF319"/>
    <mergeCell ref="AG319:AI319"/>
    <mergeCell ref="D319:O319"/>
    <mergeCell ref="D320:O320"/>
    <mergeCell ref="B322:C322"/>
    <mergeCell ref="AG334:AI334"/>
    <mergeCell ref="AJ334:AL334"/>
    <mergeCell ref="AM334:AP334"/>
    <mergeCell ref="AQ334:AT334"/>
    <mergeCell ref="B335:C335"/>
    <mergeCell ref="D335:O335"/>
    <mergeCell ref="P335:R335"/>
    <mergeCell ref="S335:T335"/>
    <mergeCell ref="U335:W335"/>
    <mergeCell ref="X335:Z335"/>
    <mergeCell ref="AA335:AC335"/>
    <mergeCell ref="AD335:AF335"/>
    <mergeCell ref="AG335:AI335"/>
    <mergeCell ref="AQ329:AT329"/>
    <mergeCell ref="B326:C326"/>
    <mergeCell ref="D326:O326"/>
    <mergeCell ref="P326:R326"/>
    <mergeCell ref="S326:T326"/>
    <mergeCell ref="U326:W326"/>
    <mergeCell ref="X326:Z326"/>
    <mergeCell ref="AA326:AC326"/>
    <mergeCell ref="AD326:AF326"/>
    <mergeCell ref="AG326:AI326"/>
    <mergeCell ref="AJ326:AL326"/>
    <mergeCell ref="AM326:AP326"/>
    <mergeCell ref="AQ326:AT326"/>
    <mergeCell ref="B327:C327"/>
    <mergeCell ref="D327:O327"/>
    <mergeCell ref="P327:R327"/>
    <mergeCell ref="AD327:AF327"/>
    <mergeCell ref="B324:C324"/>
    <mergeCell ref="D324:O324"/>
    <mergeCell ref="P324:R324"/>
    <mergeCell ref="S324:T324"/>
    <mergeCell ref="U324:W324"/>
    <mergeCell ref="X324:Z324"/>
    <mergeCell ref="AA324:AC324"/>
    <mergeCell ref="B332:C332"/>
    <mergeCell ref="D332:O332"/>
    <mergeCell ref="P332:R332"/>
    <mergeCell ref="S332:T332"/>
    <mergeCell ref="U332:W332"/>
    <mergeCell ref="X332:Z332"/>
    <mergeCell ref="AA332:AC332"/>
    <mergeCell ref="AD332:AF332"/>
    <mergeCell ref="AG332:AI332"/>
    <mergeCell ref="AJ332:AL332"/>
    <mergeCell ref="AM332:AP332"/>
    <mergeCell ref="AQ332:AT332"/>
    <mergeCell ref="AM335:AP335"/>
    <mergeCell ref="AQ335:AT335"/>
    <mergeCell ref="B333:C333"/>
    <mergeCell ref="D333:O333"/>
    <mergeCell ref="P333:R333"/>
    <mergeCell ref="S333:T333"/>
    <mergeCell ref="U333:W333"/>
    <mergeCell ref="X333:Z333"/>
    <mergeCell ref="AA333:AC333"/>
    <mergeCell ref="AD333:AF333"/>
    <mergeCell ref="AG333:AI333"/>
    <mergeCell ref="AJ333:AL333"/>
    <mergeCell ref="AM333:AP333"/>
    <mergeCell ref="AQ333:AT333"/>
    <mergeCell ref="AA334:AC334"/>
    <mergeCell ref="AJ371:AL371"/>
    <mergeCell ref="AM371:AP371"/>
    <mergeCell ref="AQ371:AT371"/>
    <mergeCell ref="B372:C372"/>
    <mergeCell ref="D372:O372"/>
    <mergeCell ref="P372:R372"/>
    <mergeCell ref="S372:T372"/>
    <mergeCell ref="U372:W372"/>
    <mergeCell ref="X372:Z372"/>
    <mergeCell ref="AA372:AC372"/>
    <mergeCell ref="AD372:AF372"/>
    <mergeCell ref="AG372:AI372"/>
    <mergeCell ref="AJ372:AL372"/>
    <mergeCell ref="AM372:AP372"/>
    <mergeCell ref="AQ372:AT372"/>
    <mergeCell ref="AJ368:AL368"/>
    <mergeCell ref="AM368:AP368"/>
    <mergeCell ref="AQ368:AT368"/>
    <mergeCell ref="B358:C358"/>
    <mergeCell ref="P358:R358"/>
    <mergeCell ref="S358:T358"/>
    <mergeCell ref="U358:W358"/>
    <mergeCell ref="X358:Z358"/>
    <mergeCell ref="AQ354:AT354"/>
    <mergeCell ref="AQ357:AT357"/>
    <mergeCell ref="D367:O367"/>
    <mergeCell ref="B330:C330"/>
    <mergeCell ref="D330:O330"/>
    <mergeCell ref="P330:R330"/>
    <mergeCell ref="S330:T330"/>
    <mergeCell ref="U330:W330"/>
    <mergeCell ref="X330:Z330"/>
    <mergeCell ref="AA330:AC330"/>
    <mergeCell ref="AD330:AF330"/>
    <mergeCell ref="AG330:AI330"/>
    <mergeCell ref="AJ330:AL330"/>
    <mergeCell ref="AM330:AP330"/>
    <mergeCell ref="AQ330:AT330"/>
    <mergeCell ref="B331:C331"/>
    <mergeCell ref="D331:O331"/>
    <mergeCell ref="P331:R331"/>
    <mergeCell ref="S331:T331"/>
    <mergeCell ref="U331:W331"/>
    <mergeCell ref="X331:Z331"/>
    <mergeCell ref="AA331:AC331"/>
    <mergeCell ref="AD331:AF331"/>
    <mergeCell ref="AG331:AI331"/>
    <mergeCell ref="AJ331:AL331"/>
    <mergeCell ref="AM331:AP331"/>
    <mergeCell ref="AQ331:AT331"/>
    <mergeCell ref="B357:C357"/>
    <mergeCell ref="P357:R357"/>
    <mergeCell ref="S357:T357"/>
    <mergeCell ref="U357:W357"/>
    <mergeCell ref="X357:Z357"/>
    <mergeCell ref="AA357:AC357"/>
    <mergeCell ref="AD357:AF357"/>
    <mergeCell ref="AG357:AI357"/>
    <mergeCell ref="B334:C334"/>
    <mergeCell ref="D334:O334"/>
    <mergeCell ref="P334:R334"/>
    <mergeCell ref="S334:T334"/>
    <mergeCell ref="U334:W334"/>
    <mergeCell ref="X334:Z334"/>
    <mergeCell ref="AQ405:AT405"/>
    <mergeCell ref="AQ417:AT417"/>
    <mergeCell ref="AM399:AP399"/>
    <mergeCell ref="B402:C402"/>
    <mergeCell ref="P402:R402"/>
    <mergeCell ref="S402:T402"/>
    <mergeCell ref="U402:W402"/>
    <mergeCell ref="X402:Z402"/>
    <mergeCell ref="AA402:AC402"/>
    <mergeCell ref="D404:O404"/>
    <mergeCell ref="AJ405:AL405"/>
    <mergeCell ref="AM405:AP405"/>
    <mergeCell ref="B406:C406"/>
    <mergeCell ref="P406:R406"/>
    <mergeCell ref="S406:T406"/>
    <mergeCell ref="U406:W406"/>
    <mergeCell ref="X406:Z406"/>
    <mergeCell ref="AA406:AC406"/>
    <mergeCell ref="AD406:AF406"/>
    <mergeCell ref="AG406:AI406"/>
    <mergeCell ref="AJ406:AL406"/>
    <mergeCell ref="AM406:AP406"/>
    <mergeCell ref="B405:C405"/>
    <mergeCell ref="P405:R405"/>
    <mergeCell ref="S405:T405"/>
    <mergeCell ref="U405:W405"/>
    <mergeCell ref="X405:Z405"/>
    <mergeCell ref="AA405:AC405"/>
    <mergeCell ref="AD405:AF405"/>
    <mergeCell ref="AG405:AI405"/>
    <mergeCell ref="D406:O406"/>
    <mergeCell ref="D405:O405"/>
    <mergeCell ref="AM403:AP403"/>
    <mergeCell ref="B408:C408"/>
    <mergeCell ref="P408:R408"/>
    <mergeCell ref="S408:T408"/>
    <mergeCell ref="U408:W408"/>
    <mergeCell ref="X408:Z408"/>
    <mergeCell ref="AA408:AC408"/>
    <mergeCell ref="AD408:AF408"/>
    <mergeCell ref="AG408:AI408"/>
    <mergeCell ref="AJ408:AL408"/>
    <mergeCell ref="AM408:AP408"/>
    <mergeCell ref="B407:C407"/>
    <mergeCell ref="P407:R407"/>
    <mergeCell ref="S407:T407"/>
    <mergeCell ref="U407:W407"/>
    <mergeCell ref="X407:Z407"/>
    <mergeCell ref="AA407:AC407"/>
    <mergeCell ref="AD407:AF407"/>
    <mergeCell ref="AG407:AI407"/>
    <mergeCell ref="D407:O407"/>
    <mergeCell ref="D408:O408"/>
    <mergeCell ref="AJ407:AL407"/>
    <mergeCell ref="B410:C410"/>
    <mergeCell ref="P410:R410"/>
    <mergeCell ref="S410:T410"/>
    <mergeCell ref="U410:W410"/>
    <mergeCell ref="X410:Z410"/>
    <mergeCell ref="AA410:AC410"/>
    <mergeCell ref="AD410:AF410"/>
    <mergeCell ref="AG410:AI410"/>
    <mergeCell ref="AJ410:AL410"/>
    <mergeCell ref="AM410:AP410"/>
    <mergeCell ref="B460:C460"/>
    <mergeCell ref="D460:O460"/>
    <mergeCell ref="P460:R460"/>
    <mergeCell ref="S460:T460"/>
    <mergeCell ref="U460:W460"/>
    <mergeCell ref="X460:Z460"/>
    <mergeCell ref="AA460:AC460"/>
    <mergeCell ref="AD460:AF460"/>
    <mergeCell ref="AG460:AI460"/>
    <mergeCell ref="U447:W447"/>
    <mergeCell ref="X447:Z447"/>
    <mergeCell ref="AA447:AC447"/>
    <mergeCell ref="AD447:AF447"/>
    <mergeCell ref="AJ460:AL460"/>
    <mergeCell ref="AM460:AP460"/>
    <mergeCell ref="AQ460:AT460"/>
    <mergeCell ref="B421:C421"/>
    <mergeCell ref="D421:O421"/>
    <mergeCell ref="P421:R421"/>
    <mergeCell ref="S421:T421"/>
    <mergeCell ref="U421:W421"/>
    <mergeCell ref="X421:Z421"/>
    <mergeCell ref="AA421:AC421"/>
    <mergeCell ref="AD421:AF421"/>
    <mergeCell ref="AG421:AI421"/>
    <mergeCell ref="AJ421:AL421"/>
    <mergeCell ref="AM421:AP421"/>
    <mergeCell ref="AQ421:AT421"/>
    <mergeCell ref="B422:C422"/>
    <mergeCell ref="D422:O422"/>
    <mergeCell ref="P422:R422"/>
    <mergeCell ref="S422:T422"/>
    <mergeCell ref="U422:W422"/>
    <mergeCell ref="X422:Z422"/>
    <mergeCell ref="AA422:AC422"/>
    <mergeCell ref="AD422:AF422"/>
    <mergeCell ref="AG422:AI422"/>
    <mergeCell ref="AJ422:AL422"/>
    <mergeCell ref="AM422:AP422"/>
    <mergeCell ref="AQ422:AT422"/>
    <mergeCell ref="AJ444:AL444"/>
    <mergeCell ref="AM444:AP444"/>
    <mergeCell ref="B447:C447"/>
    <mergeCell ref="P447:R447"/>
    <mergeCell ref="S447:T447"/>
    <mergeCell ref="AQ453:AT453"/>
    <mergeCell ref="AQ454:AT454"/>
    <mergeCell ref="AQ450:AT450"/>
    <mergeCell ref="AQ451:AT451"/>
    <mergeCell ref="B441:C441"/>
    <mergeCell ref="D441:O441"/>
    <mergeCell ref="P441:R441"/>
    <mergeCell ref="S441:T441"/>
    <mergeCell ref="U441:W441"/>
    <mergeCell ref="X441:Z441"/>
    <mergeCell ref="AA441:AC441"/>
    <mergeCell ref="AD441:AF441"/>
    <mergeCell ref="AG441:AI441"/>
    <mergeCell ref="AJ441:AL441"/>
    <mergeCell ref="AM441:AP441"/>
    <mergeCell ref="AQ441:AT441"/>
    <mergeCell ref="B442:C442"/>
    <mergeCell ref="D442:O442"/>
    <mergeCell ref="P442:R442"/>
    <mergeCell ref="B464:C464"/>
    <mergeCell ref="D464:O464"/>
    <mergeCell ref="P464:R464"/>
    <mergeCell ref="S464:T464"/>
    <mergeCell ref="U464:W464"/>
    <mergeCell ref="X464:Z464"/>
    <mergeCell ref="AA464:AC464"/>
    <mergeCell ref="AD464:AF464"/>
    <mergeCell ref="AG464:AI464"/>
    <mergeCell ref="AJ464:AL464"/>
    <mergeCell ref="AM464:AP464"/>
    <mergeCell ref="AQ464:AT464"/>
    <mergeCell ref="B465:C465"/>
    <mergeCell ref="D465:O465"/>
    <mergeCell ref="P465:R465"/>
    <mergeCell ref="S465:T465"/>
    <mergeCell ref="U465:W465"/>
    <mergeCell ref="X465:Z465"/>
    <mergeCell ref="AA465:AC465"/>
    <mergeCell ref="AD465:AF465"/>
    <mergeCell ref="AG465:AI465"/>
    <mergeCell ref="AJ465:AL465"/>
    <mergeCell ref="AM465:AP465"/>
    <mergeCell ref="AQ465:AT465"/>
    <mergeCell ref="AJ461:AL461"/>
    <mergeCell ref="AM461:AP461"/>
    <mergeCell ref="AQ461:AT461"/>
    <mergeCell ref="B462:C462"/>
    <mergeCell ref="D462:O462"/>
    <mergeCell ref="P462:R462"/>
    <mergeCell ref="S462:T462"/>
    <mergeCell ref="U462:W462"/>
    <mergeCell ref="X462:Z462"/>
    <mergeCell ref="AA462:AC462"/>
    <mergeCell ref="AD462:AF462"/>
    <mergeCell ref="AG462:AI462"/>
    <mergeCell ref="AJ462:AL462"/>
    <mergeCell ref="AM462:AP462"/>
    <mergeCell ref="AQ462:AT462"/>
    <mergeCell ref="B463:C463"/>
    <mergeCell ref="D463:O463"/>
    <mergeCell ref="P463:R463"/>
    <mergeCell ref="S463:T463"/>
    <mergeCell ref="U463:W463"/>
    <mergeCell ref="X463:Z463"/>
    <mergeCell ref="AA463:AC463"/>
    <mergeCell ref="AD463:AF463"/>
    <mergeCell ref="AG463:AI463"/>
    <mergeCell ref="AJ463:AL463"/>
    <mergeCell ref="AM463:AP463"/>
    <mergeCell ref="AQ463:AT463"/>
    <mergeCell ref="B461:C461"/>
    <mergeCell ref="D461:O461"/>
    <mergeCell ref="P461:R461"/>
    <mergeCell ref="S461:T461"/>
    <mergeCell ref="U461:W461"/>
    <mergeCell ref="X461:Z461"/>
    <mergeCell ref="AA461:AC461"/>
    <mergeCell ref="AD461:AF461"/>
    <mergeCell ref="AG461:AI461"/>
    <mergeCell ref="B489:C489"/>
    <mergeCell ref="AD489:AF489"/>
    <mergeCell ref="AJ489:AL489"/>
    <mergeCell ref="AM489:AP489"/>
    <mergeCell ref="B492:C492"/>
    <mergeCell ref="B502:C502"/>
    <mergeCell ref="D502:O502"/>
    <mergeCell ref="P502:R502"/>
    <mergeCell ref="S502:T502"/>
    <mergeCell ref="U502:W502"/>
    <mergeCell ref="X502:Z502"/>
    <mergeCell ref="AA502:AC502"/>
    <mergeCell ref="AD502:AF502"/>
    <mergeCell ref="AG502:AI502"/>
    <mergeCell ref="AJ502:AL502"/>
    <mergeCell ref="AM502:AP502"/>
    <mergeCell ref="AQ502:AT502"/>
    <mergeCell ref="P492:R492"/>
    <mergeCell ref="S492:T492"/>
    <mergeCell ref="U492:W492"/>
    <mergeCell ref="X492:Z492"/>
    <mergeCell ref="B486:C486"/>
    <mergeCell ref="D486:O486"/>
    <mergeCell ref="P486:R486"/>
    <mergeCell ref="S486:T486"/>
    <mergeCell ref="U486:W486"/>
    <mergeCell ref="X486:Z486"/>
    <mergeCell ref="AA486:AC486"/>
    <mergeCell ref="AD486:AF486"/>
    <mergeCell ref="AG486:AI486"/>
    <mergeCell ref="AJ486:AL486"/>
    <mergeCell ref="AM486:AP486"/>
    <mergeCell ref="AQ486:AT486"/>
    <mergeCell ref="B487:C487"/>
    <mergeCell ref="D487:O487"/>
    <mergeCell ref="P487:R487"/>
    <mergeCell ref="S487:T487"/>
    <mergeCell ref="U487:W487"/>
    <mergeCell ref="X487:Z487"/>
    <mergeCell ref="AA487:AC487"/>
    <mergeCell ref="AD487:AF487"/>
    <mergeCell ref="AG487:AI487"/>
    <mergeCell ref="AJ487:AL487"/>
    <mergeCell ref="AM487:AP487"/>
    <mergeCell ref="AQ487:AT487"/>
    <mergeCell ref="AQ499:AT499"/>
    <mergeCell ref="S501:T501"/>
    <mergeCell ref="AA492:AC492"/>
    <mergeCell ref="AD492:AF492"/>
    <mergeCell ref="AG492:AI492"/>
    <mergeCell ref="AJ492:AL492"/>
    <mergeCell ref="AM492:AP492"/>
    <mergeCell ref="AJ493:AL493"/>
    <mergeCell ref="B494:C494"/>
    <mergeCell ref="B493:C493"/>
    <mergeCell ref="S493:T493"/>
    <mergeCell ref="U493:W493"/>
    <mergeCell ref="X493:Z493"/>
    <mergeCell ref="AA493:AC493"/>
    <mergeCell ref="AD493:AF493"/>
    <mergeCell ref="AJ495:AL495"/>
    <mergeCell ref="AM495:AP495"/>
    <mergeCell ref="B496:C496"/>
    <mergeCell ref="P496:R496"/>
    <mergeCell ref="AG503:AI503"/>
    <mergeCell ref="AJ503:AL503"/>
    <mergeCell ref="AM503:AP503"/>
    <mergeCell ref="AQ503:AT503"/>
    <mergeCell ref="B504:C504"/>
    <mergeCell ref="D504:O504"/>
    <mergeCell ref="P504:R504"/>
    <mergeCell ref="S504:T504"/>
    <mergeCell ref="U504:W504"/>
    <mergeCell ref="X504:Z504"/>
    <mergeCell ref="AA504:AC504"/>
    <mergeCell ref="AD504:AF504"/>
    <mergeCell ref="AG504:AI504"/>
    <mergeCell ref="AJ504:AL504"/>
    <mergeCell ref="AM504:AP504"/>
    <mergeCell ref="AQ504:AT504"/>
    <mergeCell ref="B509:C509"/>
    <mergeCell ref="D509:O509"/>
    <mergeCell ref="P509:R509"/>
    <mergeCell ref="S509:T509"/>
    <mergeCell ref="U509:W509"/>
    <mergeCell ref="X509:Z509"/>
    <mergeCell ref="AA509:AC509"/>
    <mergeCell ref="AD509:AF509"/>
    <mergeCell ref="AG509:AI509"/>
    <mergeCell ref="AJ509:AL509"/>
    <mergeCell ref="AM509:AP509"/>
    <mergeCell ref="AQ509:AT509"/>
    <mergeCell ref="B510:C510"/>
    <mergeCell ref="D510:O510"/>
    <mergeCell ref="P510:R510"/>
    <mergeCell ref="S510:T510"/>
    <mergeCell ref="U510:W510"/>
    <mergeCell ref="X510:Z510"/>
    <mergeCell ref="AA510:AC510"/>
    <mergeCell ref="AD510:AF510"/>
    <mergeCell ref="AG510:AI510"/>
    <mergeCell ref="AJ510:AL510"/>
    <mergeCell ref="AM510:AP510"/>
    <mergeCell ref="AQ510:AT510"/>
    <mergeCell ref="B507:C507"/>
    <mergeCell ref="D507:O507"/>
    <mergeCell ref="P507:R507"/>
    <mergeCell ref="S507:T507"/>
    <mergeCell ref="U507:W507"/>
    <mergeCell ref="X507:Z507"/>
    <mergeCell ref="AA507:AC507"/>
    <mergeCell ref="AD507:AF507"/>
    <mergeCell ref="AG507:AI507"/>
    <mergeCell ref="AJ507:AL507"/>
    <mergeCell ref="AM507:AP507"/>
    <mergeCell ref="AQ507:AT507"/>
    <mergeCell ref="B508:C508"/>
    <mergeCell ref="D508:O508"/>
    <mergeCell ref="P508:R508"/>
    <mergeCell ref="S508:T508"/>
    <mergeCell ref="U508:W508"/>
    <mergeCell ref="X508:Z508"/>
    <mergeCell ref="AA508:AC508"/>
    <mergeCell ref="AD508:AF508"/>
    <mergeCell ref="AG508:AI508"/>
    <mergeCell ref="AJ508:AL508"/>
    <mergeCell ref="AM508:AP508"/>
    <mergeCell ref="AQ508:AT508"/>
    <mergeCell ref="P556:R556"/>
    <mergeCell ref="S556:T556"/>
    <mergeCell ref="U556:W556"/>
    <mergeCell ref="X556:Z556"/>
    <mergeCell ref="AA556:AC556"/>
    <mergeCell ref="AD556:AF556"/>
    <mergeCell ref="AG556:AI556"/>
    <mergeCell ref="AJ556:AL556"/>
    <mergeCell ref="AM556:AP556"/>
    <mergeCell ref="AQ556:AT556"/>
    <mergeCell ref="AG554:AI554"/>
    <mergeCell ref="AJ554:AL554"/>
    <mergeCell ref="AM554:AP554"/>
    <mergeCell ref="AQ554:AT554"/>
    <mergeCell ref="B511:C511"/>
    <mergeCell ref="D511:O511"/>
    <mergeCell ref="P511:R511"/>
    <mergeCell ref="S511:T511"/>
    <mergeCell ref="U511:W511"/>
    <mergeCell ref="X511:Z511"/>
    <mergeCell ref="AA511:AC511"/>
    <mergeCell ref="AD511:AF511"/>
    <mergeCell ref="AG511:AI511"/>
    <mergeCell ref="AJ511:AL511"/>
    <mergeCell ref="AM511:AP511"/>
    <mergeCell ref="AQ511:AT511"/>
    <mergeCell ref="B512:C512"/>
    <mergeCell ref="D512:O512"/>
    <mergeCell ref="P512:R512"/>
    <mergeCell ref="S512:T512"/>
    <mergeCell ref="U512:W512"/>
    <mergeCell ref="X512:Z512"/>
    <mergeCell ref="AA512:AC512"/>
    <mergeCell ref="AD512:AF512"/>
    <mergeCell ref="AG512:AI512"/>
    <mergeCell ref="AJ512:AL512"/>
    <mergeCell ref="AM512:AP512"/>
    <mergeCell ref="AQ512:AT512"/>
    <mergeCell ref="AG552:AI552"/>
    <mergeCell ref="AJ552:AL552"/>
    <mergeCell ref="AM552:AP552"/>
    <mergeCell ref="B539:C539"/>
    <mergeCell ref="P539:R539"/>
    <mergeCell ref="S539:T539"/>
    <mergeCell ref="U539:W539"/>
    <mergeCell ref="X539:Z539"/>
    <mergeCell ref="AA539:AC539"/>
    <mergeCell ref="AD539:AF539"/>
    <mergeCell ref="AG539:AI539"/>
    <mergeCell ref="AJ539:AL539"/>
    <mergeCell ref="AM539:AP539"/>
    <mergeCell ref="B538:C538"/>
    <mergeCell ref="B519:C519"/>
    <mergeCell ref="D519:O519"/>
    <mergeCell ref="P519:R519"/>
    <mergeCell ref="S519:T519"/>
    <mergeCell ref="U519:W519"/>
    <mergeCell ref="X519:Z519"/>
    <mergeCell ref="AA519:AC519"/>
    <mergeCell ref="AD519:AF519"/>
    <mergeCell ref="AG519:AI519"/>
    <mergeCell ref="B520:C520"/>
    <mergeCell ref="D520:O520"/>
    <mergeCell ref="P520:R520"/>
    <mergeCell ref="B597:C597"/>
    <mergeCell ref="D597:O597"/>
    <mergeCell ref="P597:R597"/>
    <mergeCell ref="S597:T597"/>
    <mergeCell ref="U597:W597"/>
    <mergeCell ref="X597:Z597"/>
    <mergeCell ref="AA597:AC597"/>
    <mergeCell ref="AD597:AF597"/>
    <mergeCell ref="AG597:AI597"/>
    <mergeCell ref="AJ597:AL597"/>
    <mergeCell ref="AM597:AP597"/>
    <mergeCell ref="AQ597:AT597"/>
    <mergeCell ref="S596:T596"/>
    <mergeCell ref="B557:C557"/>
    <mergeCell ref="D557:O557"/>
    <mergeCell ref="P557:R557"/>
    <mergeCell ref="S557:T557"/>
    <mergeCell ref="U557:W557"/>
    <mergeCell ref="X557:Z557"/>
    <mergeCell ref="AA557:AC557"/>
    <mergeCell ref="AD557:AF557"/>
    <mergeCell ref="AG557:AI557"/>
    <mergeCell ref="AJ557:AL557"/>
    <mergeCell ref="AM557:AP557"/>
    <mergeCell ref="AQ557:AT557"/>
    <mergeCell ref="B553:C553"/>
    <mergeCell ref="D553:O553"/>
    <mergeCell ref="P553:R553"/>
    <mergeCell ref="S553:T553"/>
    <mergeCell ref="U553:W553"/>
    <mergeCell ref="X553:Z553"/>
    <mergeCell ref="AA553:AC553"/>
    <mergeCell ref="AD553:AF553"/>
    <mergeCell ref="AG553:AI553"/>
    <mergeCell ref="AJ553:AL553"/>
    <mergeCell ref="AM553:AP553"/>
    <mergeCell ref="AQ553:AT553"/>
    <mergeCell ref="B554:C554"/>
    <mergeCell ref="D554:O554"/>
    <mergeCell ref="P554:R554"/>
    <mergeCell ref="S554:T554"/>
    <mergeCell ref="U554:W554"/>
    <mergeCell ref="X554:Z554"/>
    <mergeCell ref="AA554:AC554"/>
    <mergeCell ref="AD554:AF554"/>
    <mergeCell ref="AA555:AC555"/>
    <mergeCell ref="AD555:AF555"/>
    <mergeCell ref="AG555:AI555"/>
    <mergeCell ref="AJ555:AL555"/>
    <mergeCell ref="AM555:AP555"/>
    <mergeCell ref="AQ555:AT555"/>
    <mergeCell ref="AQ591:AT591"/>
    <mergeCell ref="AJ590:AL590"/>
    <mergeCell ref="AQ594:AT594"/>
    <mergeCell ref="AQ585:AT585"/>
    <mergeCell ref="AQ586:AT586"/>
    <mergeCell ref="AQ587:AT587"/>
    <mergeCell ref="AQ589:AT589"/>
    <mergeCell ref="AQ595:AT595"/>
    <mergeCell ref="B560:C560"/>
    <mergeCell ref="D560:O560"/>
    <mergeCell ref="AQ588:AT588"/>
    <mergeCell ref="AQ592:AT592"/>
    <mergeCell ref="AQ593:AT593"/>
    <mergeCell ref="B601:C601"/>
    <mergeCell ref="D601:O601"/>
    <mergeCell ref="P601:R601"/>
    <mergeCell ref="S601:T601"/>
    <mergeCell ref="U601:W601"/>
    <mergeCell ref="X601:Z601"/>
    <mergeCell ref="AA601:AC601"/>
    <mergeCell ref="AD601:AF601"/>
    <mergeCell ref="AG601:AI601"/>
    <mergeCell ref="AJ601:AL601"/>
    <mergeCell ref="AM601:AP601"/>
    <mergeCell ref="AQ601:AT601"/>
    <mergeCell ref="B598:C598"/>
    <mergeCell ref="D598:O598"/>
    <mergeCell ref="P598:R598"/>
    <mergeCell ref="S598:T598"/>
    <mergeCell ref="U598:W598"/>
    <mergeCell ref="X598:Z598"/>
    <mergeCell ref="AA598:AC598"/>
    <mergeCell ref="AD598:AF598"/>
    <mergeCell ref="AG598:AI598"/>
    <mergeCell ref="AJ598:AL598"/>
    <mergeCell ref="AM598:AP598"/>
    <mergeCell ref="AQ598:AT598"/>
    <mergeCell ref="B599:C599"/>
    <mergeCell ref="D599:O599"/>
    <mergeCell ref="P599:R599"/>
    <mergeCell ref="S599:T599"/>
    <mergeCell ref="U599:W599"/>
    <mergeCell ref="X599:Z599"/>
    <mergeCell ref="AA599:AC599"/>
    <mergeCell ref="AD599:AF599"/>
    <mergeCell ref="AG599:AI599"/>
    <mergeCell ref="AJ599:AL599"/>
    <mergeCell ref="AM599:AP599"/>
    <mergeCell ref="AQ599:AT599"/>
    <mergeCell ref="AJ600:AL600"/>
    <mergeCell ref="AM600:AP600"/>
    <mergeCell ref="AQ600:AT600"/>
    <mergeCell ref="B772:C772"/>
    <mergeCell ref="D772:O772"/>
    <mergeCell ref="P772:R772"/>
    <mergeCell ref="S772:T772"/>
    <mergeCell ref="U772:W772"/>
    <mergeCell ref="X772:Z772"/>
    <mergeCell ref="AA772:AC772"/>
    <mergeCell ref="AD772:AF772"/>
    <mergeCell ref="AG772:AI772"/>
    <mergeCell ref="AJ772:AL772"/>
    <mergeCell ref="AM772:AP772"/>
    <mergeCell ref="AQ772:AT772"/>
    <mergeCell ref="B602:C602"/>
    <mergeCell ref="D602:O602"/>
    <mergeCell ref="P602:R602"/>
    <mergeCell ref="S602:T602"/>
    <mergeCell ref="U602:W602"/>
    <mergeCell ref="X602:Z602"/>
    <mergeCell ref="AA602:AC602"/>
    <mergeCell ref="AD602:AF602"/>
    <mergeCell ref="AG602:AI602"/>
    <mergeCell ref="AJ602:AL602"/>
    <mergeCell ref="AM602:AP602"/>
    <mergeCell ref="AQ602:AT602"/>
    <mergeCell ref="B737:C737"/>
    <mergeCell ref="D737:O737"/>
    <mergeCell ref="P737:R737"/>
    <mergeCell ref="S737:T737"/>
    <mergeCell ref="U737:W737"/>
    <mergeCell ref="X737:Z737"/>
    <mergeCell ref="AA737:AC737"/>
    <mergeCell ref="AD737:AF737"/>
    <mergeCell ref="AG737:AI737"/>
    <mergeCell ref="AJ737:AL737"/>
    <mergeCell ref="AM737:AP737"/>
    <mergeCell ref="AQ737:AT737"/>
    <mergeCell ref="D641:O641"/>
    <mergeCell ref="D690:O690"/>
    <mergeCell ref="D718:O718"/>
    <mergeCell ref="D719:O719"/>
    <mergeCell ref="D717:O717"/>
    <mergeCell ref="D681:O681"/>
    <mergeCell ref="AJ628:AL628"/>
    <mergeCell ref="AM628:AP628"/>
    <mergeCell ref="AQ635:AT635"/>
    <mergeCell ref="AQ624:AT624"/>
    <mergeCell ref="AQ627:AT627"/>
    <mergeCell ref="AQ628:AT628"/>
    <mergeCell ref="AQ763:AT763"/>
    <mergeCell ref="AQ644:AT644"/>
    <mergeCell ref="AQ683:AT683"/>
    <mergeCell ref="AQ681:AT681"/>
    <mergeCell ref="B621:C621"/>
    <mergeCell ref="D621:O621"/>
    <mergeCell ref="P621:R621"/>
    <mergeCell ref="S621:T621"/>
    <mergeCell ref="U621:W621"/>
    <mergeCell ref="X621:Z621"/>
    <mergeCell ref="AA621:AC621"/>
    <mergeCell ref="AD621:AF621"/>
    <mergeCell ref="AG621:AI621"/>
    <mergeCell ref="AJ621:AL621"/>
    <mergeCell ref="AM621:AP621"/>
    <mergeCell ref="AQ621:AT621"/>
    <mergeCell ref="B776:C776"/>
    <mergeCell ref="D776:O776"/>
    <mergeCell ref="P776:R776"/>
    <mergeCell ref="S776:T776"/>
    <mergeCell ref="U776:W776"/>
    <mergeCell ref="X776:Z776"/>
    <mergeCell ref="AA776:AC776"/>
    <mergeCell ref="AD776:AF776"/>
    <mergeCell ref="AG776:AI776"/>
    <mergeCell ref="AJ776:AL776"/>
    <mergeCell ref="AM776:AP776"/>
    <mergeCell ref="AQ776:AT776"/>
    <mergeCell ref="B773:C773"/>
    <mergeCell ref="D773:O773"/>
    <mergeCell ref="P773:R773"/>
    <mergeCell ref="S773:T773"/>
    <mergeCell ref="U773:W773"/>
    <mergeCell ref="X773:Z773"/>
    <mergeCell ref="AA773:AC773"/>
    <mergeCell ref="AD773:AF773"/>
    <mergeCell ref="AG773:AI773"/>
    <mergeCell ref="AJ773:AL773"/>
    <mergeCell ref="AM773:AP773"/>
    <mergeCell ref="AQ773:AT773"/>
    <mergeCell ref="B774:C774"/>
    <mergeCell ref="D774:O774"/>
    <mergeCell ref="P774:R774"/>
    <mergeCell ref="S774:T774"/>
    <mergeCell ref="U774:W774"/>
    <mergeCell ref="X774:Z774"/>
    <mergeCell ref="AA774:AC774"/>
    <mergeCell ref="AD774:AF774"/>
    <mergeCell ref="AG774:AI774"/>
    <mergeCell ref="AJ774:AL774"/>
    <mergeCell ref="AM774:AP774"/>
    <mergeCell ref="AQ774:AT774"/>
    <mergeCell ref="B779:C779"/>
    <mergeCell ref="D779:O779"/>
    <mergeCell ref="P779:R779"/>
    <mergeCell ref="S779:T779"/>
    <mergeCell ref="U779:W779"/>
    <mergeCell ref="X779:Z779"/>
    <mergeCell ref="AA779:AC779"/>
    <mergeCell ref="AD779:AF779"/>
    <mergeCell ref="AG779:AI779"/>
    <mergeCell ref="AJ779:AL779"/>
    <mergeCell ref="AM779:AP779"/>
    <mergeCell ref="AQ779:AT779"/>
    <mergeCell ref="B780:C780"/>
    <mergeCell ref="D780:O780"/>
    <mergeCell ref="P780:R780"/>
    <mergeCell ref="S780:T780"/>
    <mergeCell ref="U780:W780"/>
    <mergeCell ref="X780:Z780"/>
    <mergeCell ref="AA780:AC780"/>
    <mergeCell ref="AD780:AF780"/>
    <mergeCell ref="AG780:AI780"/>
    <mergeCell ref="AJ780:AL780"/>
    <mergeCell ref="AM780:AP780"/>
    <mergeCell ref="AQ780:AT780"/>
    <mergeCell ref="B777:C777"/>
    <mergeCell ref="D777:O777"/>
    <mergeCell ref="P777:R777"/>
    <mergeCell ref="S777:T777"/>
    <mergeCell ref="U777:W777"/>
    <mergeCell ref="X777:Z777"/>
    <mergeCell ref="AA777:AC777"/>
    <mergeCell ref="AD777:AF777"/>
    <mergeCell ref="AG777:AI777"/>
    <mergeCell ref="AJ777:AL777"/>
    <mergeCell ref="AM777:AP777"/>
    <mergeCell ref="AQ777:AT777"/>
    <mergeCell ref="B778:C778"/>
    <mergeCell ref="D778:O778"/>
    <mergeCell ref="P778:R778"/>
    <mergeCell ref="S778:T778"/>
    <mergeCell ref="U778:W778"/>
    <mergeCell ref="X778:Z778"/>
    <mergeCell ref="AA778:AC778"/>
    <mergeCell ref="AD778:AF778"/>
    <mergeCell ref="AG778:AI778"/>
    <mergeCell ref="AJ778:AL778"/>
    <mergeCell ref="AM778:AP778"/>
    <mergeCell ref="AQ778:AT778"/>
    <mergeCell ref="B816:C816"/>
    <mergeCell ref="D816:O816"/>
    <mergeCell ref="P816:R816"/>
    <mergeCell ref="S816:T816"/>
    <mergeCell ref="U816:W816"/>
    <mergeCell ref="X816:Z816"/>
    <mergeCell ref="AA816:AC816"/>
    <mergeCell ref="AD816:AF816"/>
    <mergeCell ref="AG816:AI816"/>
    <mergeCell ref="AJ816:AL816"/>
    <mergeCell ref="AM816:AP816"/>
    <mergeCell ref="AQ816:AT816"/>
    <mergeCell ref="B817:C817"/>
    <mergeCell ref="D817:O817"/>
    <mergeCell ref="P817:R817"/>
    <mergeCell ref="S817:T817"/>
    <mergeCell ref="U817:W817"/>
    <mergeCell ref="X817:Z817"/>
    <mergeCell ref="AA817:AC817"/>
    <mergeCell ref="AD817:AF817"/>
    <mergeCell ref="AG817:AI817"/>
    <mergeCell ref="AJ817:AL817"/>
    <mergeCell ref="AM817:AP817"/>
    <mergeCell ref="AQ817:AT817"/>
    <mergeCell ref="AG825:AI825"/>
    <mergeCell ref="AJ825:AL825"/>
    <mergeCell ref="AM825:AP825"/>
    <mergeCell ref="AQ825:AT825"/>
    <mergeCell ref="B822:C822"/>
    <mergeCell ref="D822:O822"/>
    <mergeCell ref="P822:R822"/>
    <mergeCell ref="S822:T822"/>
    <mergeCell ref="U822:W822"/>
    <mergeCell ref="X822:Z822"/>
    <mergeCell ref="AA822:AC822"/>
    <mergeCell ref="AD822:AF822"/>
    <mergeCell ref="AG822:AI822"/>
    <mergeCell ref="AJ822:AL822"/>
    <mergeCell ref="AM822:AP822"/>
    <mergeCell ref="AQ822:AT822"/>
    <mergeCell ref="B823:C823"/>
    <mergeCell ref="D823:O823"/>
    <mergeCell ref="P823:R823"/>
    <mergeCell ref="S823:T823"/>
    <mergeCell ref="U823:W823"/>
    <mergeCell ref="X823:Z823"/>
    <mergeCell ref="AA823:AC823"/>
    <mergeCell ref="AD823:AF823"/>
    <mergeCell ref="AG823:AI823"/>
    <mergeCell ref="AJ823:AL823"/>
    <mergeCell ref="AM823:AP823"/>
    <mergeCell ref="AQ823:AT823"/>
    <mergeCell ref="B820:C820"/>
    <mergeCell ref="D820:O820"/>
    <mergeCell ref="P820:R820"/>
    <mergeCell ref="S820:T820"/>
    <mergeCell ref="U820:W820"/>
    <mergeCell ref="X820:Z820"/>
    <mergeCell ref="AA820:AC820"/>
    <mergeCell ref="AD820:AF820"/>
    <mergeCell ref="AG820:AI820"/>
    <mergeCell ref="AJ820:AL820"/>
    <mergeCell ref="AM820:AP820"/>
    <mergeCell ref="AQ820:AT820"/>
    <mergeCell ref="B821:C821"/>
    <mergeCell ref="D821:O821"/>
    <mergeCell ref="P821:R821"/>
    <mergeCell ref="S821:T821"/>
    <mergeCell ref="U821:W821"/>
    <mergeCell ref="X821:Z821"/>
    <mergeCell ref="AA821:AC821"/>
    <mergeCell ref="AD821:AF821"/>
    <mergeCell ref="AG821:AI821"/>
    <mergeCell ref="AJ821:AL821"/>
    <mergeCell ref="AM821:AP821"/>
    <mergeCell ref="AQ821:AT821"/>
    <mergeCell ref="B954:C954"/>
    <mergeCell ref="D954:O954"/>
    <mergeCell ref="P954:R954"/>
    <mergeCell ref="S954:T954"/>
    <mergeCell ref="U954:W954"/>
    <mergeCell ref="X954:Z954"/>
    <mergeCell ref="AA954:AC954"/>
    <mergeCell ref="AD954:AF954"/>
    <mergeCell ref="AG954:AI954"/>
    <mergeCell ref="AJ954:AL954"/>
    <mergeCell ref="AM954:AP954"/>
    <mergeCell ref="AQ954:AT954"/>
    <mergeCell ref="B826:C826"/>
    <mergeCell ref="D826:O826"/>
    <mergeCell ref="P826:R826"/>
    <mergeCell ref="S826:T826"/>
    <mergeCell ref="U826:W826"/>
    <mergeCell ref="X826:Z826"/>
    <mergeCell ref="AA826:AC826"/>
    <mergeCell ref="AD826:AF826"/>
    <mergeCell ref="AG826:AI826"/>
    <mergeCell ref="AJ826:AL826"/>
    <mergeCell ref="AM826:AP826"/>
    <mergeCell ref="AQ826:AT826"/>
    <mergeCell ref="B827:C827"/>
    <mergeCell ref="D827:O827"/>
    <mergeCell ref="P827:R827"/>
    <mergeCell ref="S827:T827"/>
    <mergeCell ref="U827:W827"/>
    <mergeCell ref="X827:Z827"/>
    <mergeCell ref="AA827:AC827"/>
    <mergeCell ref="AD827:AF827"/>
    <mergeCell ref="AG827:AI827"/>
    <mergeCell ref="AJ827:AL827"/>
    <mergeCell ref="AM827:AP827"/>
    <mergeCell ref="AQ827:AT827"/>
    <mergeCell ref="AQ943:AT943"/>
    <mergeCell ref="AQ906:AT906"/>
    <mergeCell ref="AQ907:AT907"/>
    <mergeCell ref="AQ912:AT912"/>
    <mergeCell ref="AQ913:AT913"/>
    <mergeCell ref="AQ908:AT908"/>
    <mergeCell ref="AJ854:AL854"/>
    <mergeCell ref="AM854:AP854"/>
    <mergeCell ref="B855:C855"/>
    <mergeCell ref="P855:R855"/>
    <mergeCell ref="S855:T855"/>
    <mergeCell ref="U855:W855"/>
    <mergeCell ref="X855:Z855"/>
    <mergeCell ref="AA855:AC855"/>
    <mergeCell ref="AD855:AF855"/>
    <mergeCell ref="AG855:AI855"/>
    <mergeCell ref="B957:C957"/>
    <mergeCell ref="D957:O957"/>
    <mergeCell ref="P957:R957"/>
    <mergeCell ref="S957:T957"/>
    <mergeCell ref="U957:W957"/>
    <mergeCell ref="X957:Z957"/>
    <mergeCell ref="AA957:AC957"/>
    <mergeCell ref="AD957:AF957"/>
    <mergeCell ref="AG957:AI957"/>
    <mergeCell ref="AJ957:AL957"/>
    <mergeCell ref="AM957:AP957"/>
    <mergeCell ref="AQ957:AT957"/>
    <mergeCell ref="B958:C958"/>
    <mergeCell ref="D958:O958"/>
    <mergeCell ref="P958:R958"/>
    <mergeCell ref="S958:T958"/>
    <mergeCell ref="U958:W958"/>
    <mergeCell ref="X958:Z958"/>
    <mergeCell ref="AA958:AC958"/>
    <mergeCell ref="AD958:AF958"/>
    <mergeCell ref="AG958:AI958"/>
    <mergeCell ref="AJ958:AL958"/>
    <mergeCell ref="AM958:AP958"/>
    <mergeCell ref="AQ958:AT958"/>
    <mergeCell ref="B955:C955"/>
    <mergeCell ref="D955:O955"/>
    <mergeCell ref="P955:R955"/>
    <mergeCell ref="S955:T955"/>
    <mergeCell ref="U955:W955"/>
    <mergeCell ref="X955:Z955"/>
    <mergeCell ref="AA955:AC955"/>
    <mergeCell ref="AD955:AF955"/>
    <mergeCell ref="AG955:AI955"/>
    <mergeCell ref="AJ955:AL955"/>
    <mergeCell ref="AM955:AP955"/>
    <mergeCell ref="AQ955:AT955"/>
    <mergeCell ref="B956:C956"/>
    <mergeCell ref="D956:O956"/>
    <mergeCell ref="P956:R956"/>
    <mergeCell ref="S956:T956"/>
    <mergeCell ref="U956:W956"/>
    <mergeCell ref="X956:Z956"/>
    <mergeCell ref="AA956:AC956"/>
    <mergeCell ref="AD956:AF956"/>
    <mergeCell ref="AG956:AI956"/>
    <mergeCell ref="AJ956:AL956"/>
    <mergeCell ref="AM956:AP956"/>
    <mergeCell ref="AQ956:AT956"/>
    <mergeCell ref="B961:C961"/>
    <mergeCell ref="D961:O961"/>
    <mergeCell ref="P961:R961"/>
    <mergeCell ref="S961:T961"/>
    <mergeCell ref="U961:W961"/>
    <mergeCell ref="X961:Z961"/>
    <mergeCell ref="AA961:AC961"/>
    <mergeCell ref="AD961:AF961"/>
    <mergeCell ref="AG961:AI961"/>
    <mergeCell ref="AJ961:AL961"/>
    <mergeCell ref="AM961:AP961"/>
    <mergeCell ref="AQ961:AT961"/>
    <mergeCell ref="AQ1043:AT1043"/>
    <mergeCell ref="AQ1029:AT1029"/>
    <mergeCell ref="AQ1032:AT1032"/>
    <mergeCell ref="AQ1037:AT1037"/>
    <mergeCell ref="AQ1033:AT1033"/>
    <mergeCell ref="AQ1034:AT1034"/>
    <mergeCell ref="AQ1036:AT1036"/>
    <mergeCell ref="AQ1040:AT1040"/>
    <mergeCell ref="AQ1041:AT1041"/>
    <mergeCell ref="AQ1039:AT1039"/>
    <mergeCell ref="AQ1038:AT1038"/>
    <mergeCell ref="AQ1035:AT1035"/>
    <mergeCell ref="AQ999:AT999"/>
    <mergeCell ref="AJ988:AL988"/>
    <mergeCell ref="AM988:AP988"/>
    <mergeCell ref="B989:C989"/>
    <mergeCell ref="P989:R989"/>
    <mergeCell ref="S989:T989"/>
    <mergeCell ref="B966:C966"/>
    <mergeCell ref="D966:O966"/>
    <mergeCell ref="D1035:O1035"/>
    <mergeCell ref="D1032:O1032"/>
    <mergeCell ref="D1036:O1036"/>
    <mergeCell ref="D1037:O1037"/>
    <mergeCell ref="U989:W989"/>
    <mergeCell ref="X989:Z989"/>
    <mergeCell ref="AA989:AC989"/>
    <mergeCell ref="AD989:AF989"/>
    <mergeCell ref="AG989:AI989"/>
    <mergeCell ref="AJ989:AL989"/>
    <mergeCell ref="AM989:AP989"/>
    <mergeCell ref="B988:C988"/>
    <mergeCell ref="P988:R988"/>
    <mergeCell ref="S988:T988"/>
    <mergeCell ref="U988:W988"/>
    <mergeCell ref="X988:Z988"/>
    <mergeCell ref="AA988:AC988"/>
    <mergeCell ref="AD988:AF988"/>
    <mergeCell ref="AG988:AI988"/>
    <mergeCell ref="D988:O988"/>
    <mergeCell ref="D989:O989"/>
    <mergeCell ref="AJ990:AL990"/>
    <mergeCell ref="AM990:AP990"/>
    <mergeCell ref="B991:C991"/>
    <mergeCell ref="P991:R991"/>
    <mergeCell ref="S991:T991"/>
    <mergeCell ref="U991:W991"/>
    <mergeCell ref="X991:Z991"/>
    <mergeCell ref="AA991:AC991"/>
    <mergeCell ref="AD991:AF991"/>
    <mergeCell ref="AG991:AI991"/>
    <mergeCell ref="AJ991:AL991"/>
    <mergeCell ref="B962:C962"/>
    <mergeCell ref="D962:O962"/>
    <mergeCell ref="P962:R962"/>
    <mergeCell ref="S962:T962"/>
    <mergeCell ref="U962:W962"/>
    <mergeCell ref="X962:Z962"/>
    <mergeCell ref="AA962:AC962"/>
    <mergeCell ref="AD962:AF962"/>
    <mergeCell ref="AG962:AI962"/>
    <mergeCell ref="AJ962:AL962"/>
    <mergeCell ref="AM962:AP962"/>
    <mergeCell ref="AQ962:AT962"/>
    <mergeCell ref="AQ997:AT997"/>
    <mergeCell ref="AQ995:AT995"/>
    <mergeCell ref="AQ989:AT989"/>
    <mergeCell ref="AQ996:AT996"/>
    <mergeCell ref="AQ984:AT984"/>
    <mergeCell ref="AQ987:AT987"/>
    <mergeCell ref="AQ998:AT998"/>
    <mergeCell ref="AQ988:AT988"/>
    <mergeCell ref="AM991:AP991"/>
    <mergeCell ref="B990:C990"/>
    <mergeCell ref="P990:R990"/>
    <mergeCell ref="S990:T990"/>
    <mergeCell ref="U990:W990"/>
    <mergeCell ref="X990:Z990"/>
    <mergeCell ref="AA990:AC990"/>
    <mergeCell ref="AD990:AF990"/>
    <mergeCell ref="AG990:AI990"/>
    <mergeCell ref="D990:O990"/>
    <mergeCell ref="D991:O991"/>
    <mergeCell ref="AJ992:AL992"/>
    <mergeCell ref="AM992:AP992"/>
    <mergeCell ref="B993:C993"/>
    <mergeCell ref="P993:R993"/>
    <mergeCell ref="S993:T993"/>
    <mergeCell ref="U993:W993"/>
    <mergeCell ref="X993:Z993"/>
    <mergeCell ref="AA993:AC993"/>
    <mergeCell ref="AD993:AF993"/>
    <mergeCell ref="AG993:AI993"/>
    <mergeCell ref="AJ993:AL993"/>
    <mergeCell ref="AM993:AP993"/>
    <mergeCell ref="B992:C992"/>
    <mergeCell ref="P992:R992"/>
    <mergeCell ref="S992:T992"/>
    <mergeCell ref="U992:W992"/>
    <mergeCell ref="P967:R967"/>
    <mergeCell ref="S967:T967"/>
    <mergeCell ref="U967:W967"/>
    <mergeCell ref="X967:Z967"/>
    <mergeCell ref="AA967:AC967"/>
    <mergeCell ref="AD967:AF967"/>
    <mergeCell ref="AG967:AI967"/>
    <mergeCell ref="AJ967:AL967"/>
    <mergeCell ref="AM967:AP967"/>
    <mergeCell ref="AQ967:AT967"/>
    <mergeCell ref="B964:C964"/>
    <mergeCell ref="D964:O964"/>
    <mergeCell ref="P964:R964"/>
    <mergeCell ref="S964:T964"/>
    <mergeCell ref="U964:W964"/>
    <mergeCell ref="X964:Z964"/>
    <mergeCell ref="AA964:AC964"/>
    <mergeCell ref="AA1062:AC1062"/>
    <mergeCell ref="AD1062:AF1062"/>
    <mergeCell ref="AG1062:AI1062"/>
    <mergeCell ref="AJ1062:AL1062"/>
    <mergeCell ref="AM1062:AP1062"/>
    <mergeCell ref="AQ1062:AT1062"/>
    <mergeCell ref="B1063:C1063"/>
    <mergeCell ref="D1063:O1063"/>
    <mergeCell ref="P1063:R1063"/>
    <mergeCell ref="S1063:T1063"/>
    <mergeCell ref="U1063:W1063"/>
    <mergeCell ref="D1091:O1091"/>
    <mergeCell ref="D1082:O1082"/>
    <mergeCell ref="D1083:O1083"/>
    <mergeCell ref="D1079:O1079"/>
    <mergeCell ref="AA1122:AC1122"/>
    <mergeCell ref="AD1122:AF1122"/>
    <mergeCell ref="AG1122:AI1122"/>
    <mergeCell ref="AJ1122:AL1122"/>
    <mergeCell ref="AM1122:AP1122"/>
    <mergeCell ref="B1080:C1080"/>
    <mergeCell ref="P1080:R1080"/>
    <mergeCell ref="S1080:T1080"/>
    <mergeCell ref="U1080:W1080"/>
    <mergeCell ref="X1080:Z1080"/>
    <mergeCell ref="AA1080:AC1080"/>
    <mergeCell ref="AD1080:AF1080"/>
    <mergeCell ref="AM1081:AP1081"/>
    <mergeCell ref="B1082:C1082"/>
    <mergeCell ref="P1082:R1082"/>
    <mergeCell ref="S1082:T1082"/>
    <mergeCell ref="U1082:W1082"/>
    <mergeCell ref="X1082:Z1082"/>
    <mergeCell ref="AA1082:AC1082"/>
    <mergeCell ref="U1083:W1083"/>
    <mergeCell ref="X1083:Z1083"/>
    <mergeCell ref="AA1083:AC1083"/>
    <mergeCell ref="AD1083:AF1083"/>
    <mergeCell ref="AG1083:AI1083"/>
    <mergeCell ref="AJ1085:AL1085"/>
    <mergeCell ref="AM1085:AP1085"/>
    <mergeCell ref="D1084:O1084"/>
    <mergeCell ref="D1085:O1085"/>
    <mergeCell ref="B1086:C1086"/>
    <mergeCell ref="P1086:R1086"/>
    <mergeCell ref="S1086:T1086"/>
    <mergeCell ref="U1086:W1086"/>
    <mergeCell ref="X1086:Z1086"/>
    <mergeCell ref="AA1086:AC1086"/>
    <mergeCell ref="AD1086:AF1086"/>
    <mergeCell ref="AG1086:AI1086"/>
    <mergeCell ref="AJ1086:AL1086"/>
    <mergeCell ref="AM1086:AP1086"/>
    <mergeCell ref="B1085:C1085"/>
    <mergeCell ref="P1085:R1085"/>
    <mergeCell ref="P1100:R1100"/>
    <mergeCell ref="S1100:T1100"/>
    <mergeCell ref="U1100:W1100"/>
    <mergeCell ref="P1084:R1084"/>
    <mergeCell ref="X1063:Z1063"/>
    <mergeCell ref="AA1063:AC1063"/>
    <mergeCell ref="AD1063:AF1063"/>
    <mergeCell ref="AG1063:AI1063"/>
    <mergeCell ref="AJ1063:AL1063"/>
    <mergeCell ref="X1131:Z1131"/>
    <mergeCell ref="AA1131:AC1131"/>
    <mergeCell ref="AD1131:AF1131"/>
    <mergeCell ref="AG1131:AI1131"/>
    <mergeCell ref="AJ1131:AL1131"/>
    <mergeCell ref="AM1131:AP1131"/>
    <mergeCell ref="AQ1131:AT1131"/>
    <mergeCell ref="B1064:C1064"/>
    <mergeCell ref="D1064:O1064"/>
    <mergeCell ref="P1064:R1064"/>
    <mergeCell ref="S1064:T1064"/>
    <mergeCell ref="U1064:W1064"/>
    <mergeCell ref="X1064:Z1064"/>
    <mergeCell ref="AA1064:AC1064"/>
    <mergeCell ref="AD1064:AF1064"/>
    <mergeCell ref="AG1064:AI1064"/>
    <mergeCell ref="AJ1064:AL1064"/>
    <mergeCell ref="AM1082:AP1082"/>
    <mergeCell ref="B1081:C1081"/>
    <mergeCell ref="P1081:R1081"/>
    <mergeCell ref="S1081:T1081"/>
    <mergeCell ref="U1081:W1081"/>
    <mergeCell ref="X1081:Z1081"/>
    <mergeCell ref="AA1081:AC1081"/>
    <mergeCell ref="AD1081:AF1081"/>
    <mergeCell ref="AG1081:AI1081"/>
    <mergeCell ref="AJ1081:AL1081"/>
    <mergeCell ref="D1081:O1081"/>
    <mergeCell ref="D1065:O1065"/>
    <mergeCell ref="P1065:R1065"/>
    <mergeCell ref="S1065:T1065"/>
    <mergeCell ref="U1065:W1065"/>
    <mergeCell ref="X1065:Z1065"/>
    <mergeCell ref="AA1065:AC1065"/>
    <mergeCell ref="AD1065:AF1065"/>
    <mergeCell ref="AG1065:AI1065"/>
    <mergeCell ref="AJ1065:AL1065"/>
    <mergeCell ref="AM1065:AP1065"/>
    <mergeCell ref="AQ1065:AT1065"/>
    <mergeCell ref="X1100:Z1100"/>
    <mergeCell ref="AA1100:AC1100"/>
    <mergeCell ref="AD1100:AF1100"/>
    <mergeCell ref="AG1100:AI1100"/>
    <mergeCell ref="AJ1100:AL1100"/>
    <mergeCell ref="AM1100:AP1100"/>
    <mergeCell ref="B1105:C1105"/>
    <mergeCell ref="D1105:O1105"/>
    <mergeCell ref="P1105:R1105"/>
    <mergeCell ref="S1105:T1105"/>
    <mergeCell ref="U1105:W1105"/>
    <mergeCell ref="X1105:Z1105"/>
    <mergeCell ref="AA1105:AC1105"/>
    <mergeCell ref="AD1105:AF1105"/>
    <mergeCell ref="AG1105:AI1105"/>
    <mergeCell ref="AJ1105:AL1105"/>
    <mergeCell ref="AM1105:AP1105"/>
    <mergeCell ref="D1122:O1122"/>
    <mergeCell ref="D1123:O1123"/>
    <mergeCell ref="AM1083:AP1083"/>
    <mergeCell ref="B1084:C1084"/>
    <mergeCell ref="S1084:T1084"/>
    <mergeCell ref="U1084:W1084"/>
    <mergeCell ref="AD1092:AF1092"/>
    <mergeCell ref="B1072:C1072"/>
    <mergeCell ref="B1054:C1054"/>
    <mergeCell ref="D1054:O1054"/>
    <mergeCell ref="P1054:R1054"/>
    <mergeCell ref="S1054:T1054"/>
    <mergeCell ref="U1054:W1054"/>
    <mergeCell ref="X1054:Z1054"/>
    <mergeCell ref="AA1054:AC1054"/>
    <mergeCell ref="AD1054:AF1054"/>
    <mergeCell ref="AG1054:AI1054"/>
    <mergeCell ref="AJ1054:AL1054"/>
    <mergeCell ref="AM1054:AP1054"/>
    <mergeCell ref="AQ1054:AT1054"/>
    <mergeCell ref="B1055:C1055"/>
    <mergeCell ref="D1055:O1055"/>
    <mergeCell ref="P1055:R1055"/>
    <mergeCell ref="S1055:T1055"/>
    <mergeCell ref="U1055:W1055"/>
    <mergeCell ref="X1055:Z1055"/>
    <mergeCell ref="AA1055:AC1055"/>
    <mergeCell ref="AD1055:AF1055"/>
    <mergeCell ref="AG1055:AI1055"/>
    <mergeCell ref="AJ1055:AL1055"/>
    <mergeCell ref="AM1055:AP1055"/>
    <mergeCell ref="AQ1055:AT1055"/>
    <mergeCell ref="X1061:Z1061"/>
    <mergeCell ref="AA1061:AC1061"/>
    <mergeCell ref="AD1061:AF1061"/>
    <mergeCell ref="AG1061:AI1061"/>
    <mergeCell ref="AJ1061:AL1061"/>
    <mergeCell ref="AM1061:AP1061"/>
    <mergeCell ref="B1056:C1056"/>
    <mergeCell ref="D1056:O1056"/>
    <mergeCell ref="P1056:R1056"/>
    <mergeCell ref="S1056:T1056"/>
    <mergeCell ref="U1056:W1056"/>
    <mergeCell ref="B1057:C1057"/>
    <mergeCell ref="B1061:C1061"/>
    <mergeCell ref="D1061:O1061"/>
    <mergeCell ref="P1061:R1061"/>
    <mergeCell ref="S1061:T1061"/>
    <mergeCell ref="U1061:W1061"/>
    <mergeCell ref="D1057:O1057"/>
    <mergeCell ref="P1057:R1057"/>
    <mergeCell ref="S1057:T1057"/>
    <mergeCell ref="U1057:W1057"/>
    <mergeCell ref="X1057:Z1057"/>
    <mergeCell ref="AA1057:AC1057"/>
    <mergeCell ref="AD1057:AF1057"/>
    <mergeCell ref="AG1057:AI1057"/>
    <mergeCell ref="D117:O117"/>
    <mergeCell ref="P117:R117"/>
    <mergeCell ref="AA1133:AC1133"/>
    <mergeCell ref="AD1133:AF1133"/>
    <mergeCell ref="S117:T117"/>
    <mergeCell ref="U117:W117"/>
    <mergeCell ref="X117:Z117"/>
    <mergeCell ref="AA117:AC117"/>
    <mergeCell ref="AD117:AF117"/>
    <mergeCell ref="AG117:AI117"/>
    <mergeCell ref="AJ117:AL117"/>
    <mergeCell ref="AM117:AP117"/>
    <mergeCell ref="AQ117:AT117"/>
    <mergeCell ref="B118:C118"/>
    <mergeCell ref="D118:O118"/>
    <mergeCell ref="P118:R118"/>
    <mergeCell ref="S1058:T1058"/>
    <mergeCell ref="U1058:W1058"/>
    <mergeCell ref="X1058:Z1058"/>
    <mergeCell ref="AA1058:AC1058"/>
    <mergeCell ref="AD1058:AF1058"/>
    <mergeCell ref="AG1058:AI1058"/>
    <mergeCell ref="AJ1058:AL1058"/>
    <mergeCell ref="AM1058:AP1058"/>
    <mergeCell ref="AQ1058:AT1058"/>
    <mergeCell ref="B1059:C1059"/>
    <mergeCell ref="D1059:O1059"/>
    <mergeCell ref="P1059:R1059"/>
    <mergeCell ref="S1059:T1059"/>
    <mergeCell ref="U1059:W1059"/>
    <mergeCell ref="X1059:Z1059"/>
    <mergeCell ref="AA1059:AC1059"/>
    <mergeCell ref="AD1059:AF1059"/>
    <mergeCell ref="AG1059:AI1059"/>
    <mergeCell ref="AJ1059:AL1059"/>
    <mergeCell ref="AM1059:AP1059"/>
    <mergeCell ref="AQ1059:AT1059"/>
    <mergeCell ref="AG1133:AI1133"/>
    <mergeCell ref="AJ1133:AL1133"/>
    <mergeCell ref="AM1133:AP1133"/>
    <mergeCell ref="AQ1133:AT1133"/>
    <mergeCell ref="B1132:C1132"/>
    <mergeCell ref="D1132:O1132"/>
    <mergeCell ref="P1132:R1132"/>
    <mergeCell ref="S1132:T1132"/>
    <mergeCell ref="U1132:W1132"/>
    <mergeCell ref="X1132:Z1132"/>
    <mergeCell ref="D1130:O1130"/>
    <mergeCell ref="P1130:R1130"/>
    <mergeCell ref="S1130:T1130"/>
    <mergeCell ref="U1130:W1130"/>
    <mergeCell ref="X1130:Z1130"/>
    <mergeCell ref="AA1130:AC1130"/>
    <mergeCell ref="AD1130:AF1130"/>
    <mergeCell ref="AG1130:AI1130"/>
    <mergeCell ref="AJ1130:AL1130"/>
    <mergeCell ref="AM1130:AP1130"/>
    <mergeCell ref="AQ1130:AT1130"/>
    <mergeCell ref="B1131:C1131"/>
    <mergeCell ref="D1131:O1131"/>
    <mergeCell ref="P1131:R1131"/>
    <mergeCell ref="S1131:T1131"/>
    <mergeCell ref="X123:Z123"/>
    <mergeCell ref="U1131:W1131"/>
    <mergeCell ref="AW84:AW85"/>
    <mergeCell ref="AY84:AY85"/>
    <mergeCell ref="BI84:BI85"/>
    <mergeCell ref="BJ84:BJ85"/>
    <mergeCell ref="BK84:BK85"/>
    <mergeCell ref="BG84:BG85"/>
    <mergeCell ref="B86:C86"/>
    <mergeCell ref="D86:O86"/>
    <mergeCell ref="P86:R86"/>
    <mergeCell ref="S86:T86"/>
    <mergeCell ref="U86:W86"/>
    <mergeCell ref="X86:Z86"/>
    <mergeCell ref="AA86:AC86"/>
    <mergeCell ref="AD86:AF86"/>
    <mergeCell ref="AG86:AI86"/>
    <mergeCell ref="AJ86:AL86"/>
    <mergeCell ref="AM86:AP86"/>
    <mergeCell ref="AQ86:AT86"/>
    <mergeCell ref="AQ84:AT84"/>
    <mergeCell ref="AM84:AP84"/>
    <mergeCell ref="BA75:BB75"/>
    <mergeCell ref="BA79:BB79"/>
    <mergeCell ref="BA80:BB80"/>
    <mergeCell ref="BA81:BB81"/>
    <mergeCell ref="BA82:BC82"/>
    <mergeCell ref="N77:T77"/>
    <mergeCell ref="N78:T78"/>
    <mergeCell ref="N79:T79"/>
    <mergeCell ref="AJ76:AP76"/>
    <mergeCell ref="AJ81:AP81"/>
    <mergeCell ref="AJ82:AP82"/>
    <mergeCell ref="AJ75:AP75"/>
    <mergeCell ref="AJ78:AP78"/>
    <mergeCell ref="AJ77:AP77"/>
    <mergeCell ref="Y79:AE79"/>
    <mergeCell ref="AJ80:AP80"/>
    <mergeCell ref="Y75:AE75"/>
    <mergeCell ref="Y76:AE76"/>
    <mergeCell ref="Y77:AE77"/>
    <mergeCell ref="AQ77:AT77"/>
    <mergeCell ref="AQ78:AT78"/>
    <mergeCell ref="AQ79:AT79"/>
    <mergeCell ref="AQ80:AT80"/>
    <mergeCell ref="U76:X76"/>
    <mergeCell ref="AM85:AP85"/>
    <mergeCell ref="AV84:AV85"/>
    <mergeCell ref="AX84:AX85"/>
    <mergeCell ref="AQ116:AT116"/>
    <mergeCell ref="AM111:AP111"/>
    <mergeCell ref="AQ111:AT111"/>
    <mergeCell ref="B112:C112"/>
    <mergeCell ref="D112:O112"/>
    <mergeCell ref="P112:R112"/>
    <mergeCell ref="S112:T112"/>
    <mergeCell ref="U112:W112"/>
    <mergeCell ref="X112:Z112"/>
    <mergeCell ref="AA112:AC112"/>
    <mergeCell ref="AD112:AF112"/>
    <mergeCell ref="AG112:AI112"/>
    <mergeCell ref="AJ112:AL112"/>
    <mergeCell ref="AM112:AP112"/>
    <mergeCell ref="AQ112:AT112"/>
    <mergeCell ref="P109:R109"/>
    <mergeCell ref="S109:T109"/>
    <mergeCell ref="B113:C113"/>
    <mergeCell ref="D113:O113"/>
    <mergeCell ref="P113:R113"/>
    <mergeCell ref="S113:T113"/>
    <mergeCell ref="U113:W113"/>
    <mergeCell ref="X113:Z113"/>
    <mergeCell ref="AA113:AC113"/>
    <mergeCell ref="AD113:AF113"/>
    <mergeCell ref="AG113:AI113"/>
    <mergeCell ref="AJ113:AL113"/>
    <mergeCell ref="AM113:AP113"/>
    <mergeCell ref="AQ113:AT113"/>
    <mergeCell ref="AM114:AP114"/>
    <mergeCell ref="AQ114:AT114"/>
    <mergeCell ref="B115:C115"/>
    <mergeCell ref="D115:O115"/>
    <mergeCell ref="P115:R115"/>
    <mergeCell ref="S115:T115"/>
    <mergeCell ref="U115:W115"/>
    <mergeCell ref="X115:Z115"/>
    <mergeCell ref="AA115:AC115"/>
    <mergeCell ref="B110:C110"/>
    <mergeCell ref="D110:O110"/>
    <mergeCell ref="P110:R110"/>
    <mergeCell ref="S110:T110"/>
    <mergeCell ref="U110:W110"/>
    <mergeCell ref="X110:Z110"/>
    <mergeCell ref="AA110:AC110"/>
    <mergeCell ref="AD110:AF110"/>
    <mergeCell ref="AG110:AI110"/>
    <mergeCell ref="AJ110:AL110"/>
    <mergeCell ref="AM110:AP110"/>
    <mergeCell ref="AA123:AC123"/>
    <mergeCell ref="AD123:AF123"/>
    <mergeCell ref="AG123:AI123"/>
    <mergeCell ref="AJ123:AL123"/>
    <mergeCell ref="AM123:AP123"/>
    <mergeCell ref="AQ123:AT123"/>
    <mergeCell ref="S118:T118"/>
    <mergeCell ref="U118:W118"/>
    <mergeCell ref="X118:Z118"/>
    <mergeCell ref="AA118:AC118"/>
    <mergeCell ref="AD118:AF118"/>
    <mergeCell ref="AG118:AI118"/>
    <mergeCell ref="AJ118:AL118"/>
    <mergeCell ref="AM118:AP118"/>
    <mergeCell ref="AQ118:AT118"/>
    <mergeCell ref="AQ122:AT122"/>
    <mergeCell ref="U121:W121"/>
    <mergeCell ref="X121:Z121"/>
    <mergeCell ref="AA121:AC121"/>
    <mergeCell ref="AD121:AF121"/>
    <mergeCell ref="B121:C121"/>
    <mergeCell ref="B124:C124"/>
    <mergeCell ref="D124:O124"/>
    <mergeCell ref="P124:R124"/>
    <mergeCell ref="S124:T124"/>
    <mergeCell ref="U124:W124"/>
    <mergeCell ref="X124:Z124"/>
    <mergeCell ref="AA124:AC124"/>
    <mergeCell ref="AD124:AF124"/>
    <mergeCell ref="AG124:AI124"/>
    <mergeCell ref="AJ124:AL124"/>
    <mergeCell ref="AM124:AP124"/>
    <mergeCell ref="AQ124:AT124"/>
    <mergeCell ref="X122:Z122"/>
    <mergeCell ref="AG126:AI126"/>
    <mergeCell ref="AJ126:AL126"/>
    <mergeCell ref="AM126:AP126"/>
    <mergeCell ref="AQ126:AT126"/>
    <mergeCell ref="B127:C127"/>
    <mergeCell ref="D127:O127"/>
    <mergeCell ref="P127:R127"/>
    <mergeCell ref="S127:T127"/>
    <mergeCell ref="U127:W127"/>
    <mergeCell ref="X127:Z127"/>
    <mergeCell ref="AA127:AC127"/>
    <mergeCell ref="AD127:AF127"/>
    <mergeCell ref="AG127:AI127"/>
    <mergeCell ref="AJ127:AL127"/>
    <mergeCell ref="AM127:AP127"/>
    <mergeCell ref="AQ127:AT127"/>
    <mergeCell ref="B146:C146"/>
    <mergeCell ref="D146:O146"/>
    <mergeCell ref="P146:R146"/>
    <mergeCell ref="B143:C143"/>
    <mergeCell ref="D143:O143"/>
    <mergeCell ref="X143:Z143"/>
    <mergeCell ref="AA143:AC143"/>
    <mergeCell ref="AD143:AF143"/>
    <mergeCell ref="AG143:AI143"/>
    <mergeCell ref="AJ143:AL143"/>
    <mergeCell ref="AM143:AP143"/>
    <mergeCell ref="AQ143:AT143"/>
    <mergeCell ref="B145:C145"/>
    <mergeCell ref="D145:O145"/>
    <mergeCell ref="P145:R145"/>
    <mergeCell ref="S145:T145"/>
    <mergeCell ref="AQ134:AT134"/>
    <mergeCell ref="AQ136:AT136"/>
    <mergeCell ref="AG129:AI129"/>
    <mergeCell ref="AD129:AF129"/>
    <mergeCell ref="X139:Z139"/>
    <mergeCell ref="B129:C129"/>
    <mergeCell ref="B132:C132"/>
    <mergeCell ref="P132:R132"/>
    <mergeCell ref="S132:T132"/>
    <mergeCell ref="S146:T146"/>
    <mergeCell ref="U146:W146"/>
    <mergeCell ref="X146:Z146"/>
    <mergeCell ref="AA146:AC146"/>
    <mergeCell ref="AG146:AI146"/>
    <mergeCell ref="AM144:AP144"/>
    <mergeCell ref="AQ144:AT144"/>
    <mergeCell ref="P143:R143"/>
    <mergeCell ref="S143:T143"/>
    <mergeCell ref="U143:W143"/>
    <mergeCell ref="U145:W145"/>
    <mergeCell ref="X145:Z145"/>
    <mergeCell ref="AA145:AC145"/>
    <mergeCell ref="AD145:AF145"/>
    <mergeCell ref="AQ145:AT145"/>
    <mergeCell ref="AD134:AF134"/>
    <mergeCell ref="AJ136:AL136"/>
    <mergeCell ref="AM136:AP136"/>
    <mergeCell ref="AG133:AI133"/>
    <mergeCell ref="AJ133:AL133"/>
    <mergeCell ref="X132:Z132"/>
    <mergeCell ref="AA132:AC132"/>
    <mergeCell ref="B139:C139"/>
    <mergeCell ref="AG159:AI159"/>
    <mergeCell ref="AJ159:AL159"/>
    <mergeCell ref="AM159:AP159"/>
    <mergeCell ref="AQ159:AT159"/>
    <mergeCell ref="B160:C160"/>
    <mergeCell ref="D160:O160"/>
    <mergeCell ref="P160:R160"/>
    <mergeCell ref="S160:T160"/>
    <mergeCell ref="U160:W160"/>
    <mergeCell ref="X160:Z160"/>
    <mergeCell ref="AA160:AC160"/>
    <mergeCell ref="AD160:AF160"/>
    <mergeCell ref="AG160:AI160"/>
    <mergeCell ref="AJ160:AL160"/>
    <mergeCell ref="AM160:AP160"/>
    <mergeCell ref="AQ160:AT160"/>
    <mergeCell ref="B155:C155"/>
    <mergeCell ref="D155:O155"/>
    <mergeCell ref="P155:R155"/>
    <mergeCell ref="S155:T155"/>
    <mergeCell ref="U155:W155"/>
    <mergeCell ref="X155:Z155"/>
    <mergeCell ref="AA155:AC155"/>
    <mergeCell ref="AD155:AF155"/>
    <mergeCell ref="AG155:AI155"/>
    <mergeCell ref="AJ155:AL155"/>
    <mergeCell ref="AM155:AP155"/>
    <mergeCell ref="AQ155:AT155"/>
    <mergeCell ref="B156:C156"/>
    <mergeCell ref="D156:O156"/>
    <mergeCell ref="P156:R156"/>
    <mergeCell ref="S156:T156"/>
    <mergeCell ref="U156:W156"/>
    <mergeCell ref="X156:Z156"/>
    <mergeCell ref="AA156:AC156"/>
    <mergeCell ref="AD156:AF156"/>
    <mergeCell ref="AG156:AI156"/>
    <mergeCell ref="AJ156:AL156"/>
    <mergeCell ref="AM156:AP156"/>
    <mergeCell ref="AQ156:AT156"/>
    <mergeCell ref="AG158:AI158"/>
    <mergeCell ref="AJ158:AL158"/>
    <mergeCell ref="AM158:AP158"/>
    <mergeCell ref="AQ158:AT158"/>
    <mergeCell ref="B153:C153"/>
    <mergeCell ref="D153:O153"/>
    <mergeCell ref="P153:R153"/>
    <mergeCell ref="S153:T153"/>
    <mergeCell ref="U153:W153"/>
    <mergeCell ref="X153:Z153"/>
    <mergeCell ref="AA153:AC153"/>
    <mergeCell ref="AD153:AF153"/>
    <mergeCell ref="AG153:AI153"/>
    <mergeCell ref="AJ153:AL153"/>
    <mergeCell ref="AM153:AP153"/>
    <mergeCell ref="AQ153:AT153"/>
    <mergeCell ref="B154:C154"/>
    <mergeCell ref="D154:O154"/>
    <mergeCell ref="P154:R154"/>
    <mergeCell ref="S154:T154"/>
    <mergeCell ref="U154:W154"/>
    <mergeCell ref="X154:Z154"/>
    <mergeCell ref="AA154:AC154"/>
    <mergeCell ref="AD154:AF154"/>
    <mergeCell ref="AG154:AI154"/>
    <mergeCell ref="AJ154:AL154"/>
    <mergeCell ref="AM154:AP154"/>
    <mergeCell ref="AQ154:AT154"/>
    <mergeCell ref="U165:W165"/>
    <mergeCell ref="X165:Z165"/>
    <mergeCell ref="AA165:AC165"/>
    <mergeCell ref="AD165:AF165"/>
    <mergeCell ref="AG165:AI165"/>
    <mergeCell ref="AJ165:AL165"/>
    <mergeCell ref="AM165:AP165"/>
    <mergeCell ref="AQ165:AT165"/>
    <mergeCell ref="B166:C166"/>
    <mergeCell ref="D166:O166"/>
    <mergeCell ref="P166:R166"/>
    <mergeCell ref="S166:T166"/>
    <mergeCell ref="U166:W166"/>
    <mergeCell ref="X166:Z166"/>
    <mergeCell ref="AA166:AC166"/>
    <mergeCell ref="AD166:AF166"/>
    <mergeCell ref="AG166:AI166"/>
    <mergeCell ref="AJ166:AL166"/>
    <mergeCell ref="AM166:AP166"/>
    <mergeCell ref="AQ166:AT166"/>
    <mergeCell ref="B157:C157"/>
    <mergeCell ref="D157:O157"/>
    <mergeCell ref="P157:R157"/>
    <mergeCell ref="S157:T157"/>
    <mergeCell ref="U157:W157"/>
    <mergeCell ref="X157:Z157"/>
    <mergeCell ref="AA157:AC157"/>
    <mergeCell ref="AD157:AF157"/>
    <mergeCell ref="AG157:AI157"/>
    <mergeCell ref="AJ157:AL157"/>
    <mergeCell ref="AM157:AP157"/>
    <mergeCell ref="AQ157:AT157"/>
    <mergeCell ref="B158:C158"/>
    <mergeCell ref="D158:O158"/>
    <mergeCell ref="P158:R158"/>
    <mergeCell ref="S158:T158"/>
    <mergeCell ref="U158:W158"/>
    <mergeCell ref="X158:Z158"/>
    <mergeCell ref="AA158:AC158"/>
    <mergeCell ref="AD158:AF158"/>
    <mergeCell ref="B162:C162"/>
    <mergeCell ref="D162:O162"/>
    <mergeCell ref="P162:R162"/>
    <mergeCell ref="S162:T162"/>
    <mergeCell ref="U162:W162"/>
    <mergeCell ref="X162:Z162"/>
    <mergeCell ref="AA162:AC162"/>
    <mergeCell ref="AD162:AF162"/>
    <mergeCell ref="AG162:AI162"/>
    <mergeCell ref="AJ162:AL162"/>
    <mergeCell ref="AM162:AP162"/>
    <mergeCell ref="AQ162:AT162"/>
    <mergeCell ref="AA217:AC217"/>
    <mergeCell ref="AD217:AF217"/>
    <mergeCell ref="AG217:AI217"/>
    <mergeCell ref="AJ217:AL217"/>
    <mergeCell ref="AM217:AP217"/>
    <mergeCell ref="AQ217:AT217"/>
    <mergeCell ref="B163:C163"/>
    <mergeCell ref="D163:O163"/>
    <mergeCell ref="P163:R163"/>
    <mergeCell ref="S163:T163"/>
    <mergeCell ref="U163:W163"/>
    <mergeCell ref="X163:Z163"/>
    <mergeCell ref="AA163:AC163"/>
    <mergeCell ref="AD163:AF163"/>
    <mergeCell ref="AG163:AI163"/>
    <mergeCell ref="AJ163:AL163"/>
    <mergeCell ref="AM163:AP163"/>
    <mergeCell ref="AQ163:AT163"/>
    <mergeCell ref="B164:C164"/>
    <mergeCell ref="D164:O164"/>
    <mergeCell ref="P164:R164"/>
    <mergeCell ref="S164:T164"/>
    <mergeCell ref="U164:W164"/>
    <mergeCell ref="X164:Z164"/>
    <mergeCell ref="AA164:AC164"/>
    <mergeCell ref="AD164:AF164"/>
    <mergeCell ref="AG164:AI164"/>
    <mergeCell ref="AJ164:AL164"/>
    <mergeCell ref="AM164:AP164"/>
    <mergeCell ref="AQ164:AT164"/>
    <mergeCell ref="B167:C167"/>
    <mergeCell ref="D167:O167"/>
    <mergeCell ref="P167:R167"/>
    <mergeCell ref="S167:T167"/>
    <mergeCell ref="U167:W167"/>
    <mergeCell ref="X167:Z167"/>
    <mergeCell ref="AA167:AC167"/>
    <mergeCell ref="AD167:AF167"/>
    <mergeCell ref="AG167:AI167"/>
    <mergeCell ref="AJ167:AL167"/>
    <mergeCell ref="AM167:AP167"/>
    <mergeCell ref="AQ167:AT167"/>
    <mergeCell ref="B168:C168"/>
    <mergeCell ref="D168:O168"/>
    <mergeCell ref="P168:R168"/>
    <mergeCell ref="S168:T168"/>
    <mergeCell ref="U168:W168"/>
    <mergeCell ref="X168:Z168"/>
    <mergeCell ref="AA168:AC168"/>
    <mergeCell ref="AD168:AF168"/>
    <mergeCell ref="AG168:AI168"/>
    <mergeCell ref="AJ168:AL168"/>
    <mergeCell ref="AM168:AP168"/>
    <mergeCell ref="AQ168:AT168"/>
    <mergeCell ref="B165:C165"/>
    <mergeCell ref="D165:O165"/>
    <mergeCell ref="P165:R165"/>
    <mergeCell ref="S165:T165"/>
    <mergeCell ref="B214:C214"/>
    <mergeCell ref="D214:O214"/>
    <mergeCell ref="P214:R214"/>
    <mergeCell ref="S214:T214"/>
    <mergeCell ref="U214:W214"/>
    <mergeCell ref="X214:Z214"/>
    <mergeCell ref="AA214:AC214"/>
    <mergeCell ref="AD214:AF214"/>
    <mergeCell ref="AG214:AI214"/>
    <mergeCell ref="AJ214:AL214"/>
    <mergeCell ref="AM214:AP214"/>
    <mergeCell ref="AQ214:AT214"/>
    <mergeCell ref="B215:C215"/>
    <mergeCell ref="D215:O215"/>
    <mergeCell ref="P215:R215"/>
    <mergeCell ref="S215:T215"/>
    <mergeCell ref="U215:W215"/>
    <mergeCell ref="X215:Z215"/>
    <mergeCell ref="AA215:AC215"/>
    <mergeCell ref="AD215:AF215"/>
    <mergeCell ref="AG215:AI215"/>
    <mergeCell ref="AJ215:AL215"/>
    <mergeCell ref="AM215:AP215"/>
    <mergeCell ref="AQ215:AT215"/>
    <mergeCell ref="P216:R216"/>
    <mergeCell ref="S216:T216"/>
    <mergeCell ref="U216:W216"/>
    <mergeCell ref="X216:Z216"/>
    <mergeCell ref="AA216:AC216"/>
    <mergeCell ref="AD216:AF216"/>
    <mergeCell ref="AG216:AI216"/>
    <mergeCell ref="AJ216:AL216"/>
    <mergeCell ref="AM216:AP216"/>
    <mergeCell ref="AQ216:AT216"/>
    <mergeCell ref="AG208:AI208"/>
    <mergeCell ref="AJ208:AL208"/>
    <mergeCell ref="AM208:AP208"/>
    <mergeCell ref="AQ208:AT208"/>
    <mergeCell ref="B209:C209"/>
    <mergeCell ref="D209:O209"/>
    <mergeCell ref="P209:R209"/>
    <mergeCell ref="S209:T209"/>
    <mergeCell ref="U209:W209"/>
    <mergeCell ref="X209:Z209"/>
    <mergeCell ref="AA209:AC209"/>
    <mergeCell ref="AD209:AF209"/>
    <mergeCell ref="AG209:AI209"/>
    <mergeCell ref="AJ209:AL209"/>
    <mergeCell ref="AM209:AP209"/>
    <mergeCell ref="AQ209:AT209"/>
    <mergeCell ref="B212:C212"/>
    <mergeCell ref="D212:O212"/>
    <mergeCell ref="P212:R212"/>
    <mergeCell ref="S212:T212"/>
    <mergeCell ref="U212:W212"/>
    <mergeCell ref="X212:Z212"/>
    <mergeCell ref="AA212:AC212"/>
    <mergeCell ref="AD212:AF212"/>
    <mergeCell ref="AA211:AC211"/>
    <mergeCell ref="AD211:AF211"/>
    <mergeCell ref="AG211:AI211"/>
    <mergeCell ref="AJ211:AL211"/>
    <mergeCell ref="AM211:AP211"/>
    <mergeCell ref="AQ211:AT211"/>
    <mergeCell ref="B200:C200"/>
    <mergeCell ref="D200:O200"/>
    <mergeCell ref="P200:R200"/>
    <mergeCell ref="S200:T200"/>
    <mergeCell ref="U200:W200"/>
    <mergeCell ref="X200:Z200"/>
    <mergeCell ref="AA200:AC200"/>
    <mergeCell ref="AD200:AF200"/>
    <mergeCell ref="AG200:AI200"/>
    <mergeCell ref="AJ200:AL200"/>
    <mergeCell ref="AM200:AP200"/>
    <mergeCell ref="AQ200:AT200"/>
    <mergeCell ref="B201:C201"/>
    <mergeCell ref="D201:O201"/>
    <mergeCell ref="P201:R201"/>
    <mergeCell ref="S201:T201"/>
    <mergeCell ref="U201:W201"/>
    <mergeCell ref="X201:Z201"/>
    <mergeCell ref="AA201:AC201"/>
    <mergeCell ref="AD201:AF201"/>
    <mergeCell ref="AG201:AI201"/>
    <mergeCell ref="AJ201:AL201"/>
    <mergeCell ref="AM201:AP201"/>
    <mergeCell ref="AQ201:AT201"/>
    <mergeCell ref="B205:C205"/>
    <mergeCell ref="D205:O205"/>
    <mergeCell ref="P205:R205"/>
    <mergeCell ref="S205:T205"/>
    <mergeCell ref="U205:W205"/>
    <mergeCell ref="X205:Z205"/>
    <mergeCell ref="AA205:AC205"/>
    <mergeCell ref="AD205:AF205"/>
    <mergeCell ref="AG205:AI205"/>
    <mergeCell ref="AJ205:AL205"/>
    <mergeCell ref="AM205:AP205"/>
    <mergeCell ref="AQ205:AT205"/>
    <mergeCell ref="B198:C198"/>
    <mergeCell ref="D198:O198"/>
    <mergeCell ref="P198:R198"/>
    <mergeCell ref="S198:T198"/>
    <mergeCell ref="U198:W198"/>
    <mergeCell ref="X198:Z198"/>
    <mergeCell ref="AA198:AC198"/>
    <mergeCell ref="AD198:AF198"/>
    <mergeCell ref="AG198:AI198"/>
    <mergeCell ref="AJ198:AL198"/>
    <mergeCell ref="AM198:AP198"/>
    <mergeCell ref="AQ198:AT198"/>
    <mergeCell ref="B199:C199"/>
    <mergeCell ref="D199:O199"/>
    <mergeCell ref="P199:R199"/>
    <mergeCell ref="S199:T199"/>
    <mergeCell ref="U199:W199"/>
    <mergeCell ref="X199:Z199"/>
    <mergeCell ref="AA199:AC199"/>
    <mergeCell ref="AD199:AF199"/>
    <mergeCell ref="AG199:AI199"/>
    <mergeCell ref="AJ199:AL199"/>
    <mergeCell ref="AM199:AP199"/>
    <mergeCell ref="AQ199:AT199"/>
    <mergeCell ref="B204:C204"/>
    <mergeCell ref="D204:O204"/>
    <mergeCell ref="P204:R204"/>
    <mergeCell ref="S204:T204"/>
    <mergeCell ref="U204:W204"/>
    <mergeCell ref="X204:Z204"/>
    <mergeCell ref="AA204:AC204"/>
    <mergeCell ref="AD204:AF204"/>
    <mergeCell ref="AG204:AI204"/>
    <mergeCell ref="AJ204:AL204"/>
    <mergeCell ref="AM204:AP204"/>
    <mergeCell ref="AQ204:AT204"/>
    <mergeCell ref="B202:C202"/>
    <mergeCell ref="D202:O202"/>
    <mergeCell ref="P202:R202"/>
    <mergeCell ref="S202:T202"/>
    <mergeCell ref="U202:W202"/>
    <mergeCell ref="X202:Z202"/>
    <mergeCell ref="AA202:AC202"/>
    <mergeCell ref="AD202:AF202"/>
    <mergeCell ref="AG202:AI202"/>
    <mergeCell ref="AJ202:AL202"/>
    <mergeCell ref="AM202:AP202"/>
    <mergeCell ref="AQ202:AT202"/>
    <mergeCell ref="B203:C203"/>
    <mergeCell ref="D203:O203"/>
    <mergeCell ref="P203:R203"/>
    <mergeCell ref="S203:T203"/>
    <mergeCell ref="U203:W203"/>
    <mergeCell ref="X203:Z203"/>
    <mergeCell ref="AA203:AC203"/>
    <mergeCell ref="AD203:AF203"/>
    <mergeCell ref="AG203:AI203"/>
    <mergeCell ref="AJ203:AL203"/>
    <mergeCell ref="AM203:AP203"/>
    <mergeCell ref="AQ203:AT203"/>
    <mergeCell ref="B261:C261"/>
    <mergeCell ref="D261:O261"/>
    <mergeCell ref="P261:R261"/>
    <mergeCell ref="S261:T261"/>
    <mergeCell ref="U261:W261"/>
    <mergeCell ref="X261:Z261"/>
    <mergeCell ref="AA261:AC261"/>
    <mergeCell ref="AD261:AF261"/>
    <mergeCell ref="AG261:AI261"/>
    <mergeCell ref="AJ261:AL261"/>
    <mergeCell ref="AM261:AP261"/>
    <mergeCell ref="AQ261:AT261"/>
    <mergeCell ref="B258:C258"/>
    <mergeCell ref="D258:O258"/>
    <mergeCell ref="P258:R258"/>
    <mergeCell ref="S258:T258"/>
    <mergeCell ref="U258:W258"/>
    <mergeCell ref="X258:Z258"/>
    <mergeCell ref="AA258:AC258"/>
    <mergeCell ref="AD258:AF258"/>
    <mergeCell ref="AG258:AI258"/>
    <mergeCell ref="AJ258:AL258"/>
    <mergeCell ref="AM258:AP258"/>
    <mergeCell ref="AQ258:AT258"/>
    <mergeCell ref="B260:C260"/>
    <mergeCell ref="D260:O260"/>
    <mergeCell ref="P260:R260"/>
    <mergeCell ref="S260:T260"/>
    <mergeCell ref="U260:W260"/>
    <mergeCell ref="X260:Z260"/>
    <mergeCell ref="AA260:AC260"/>
    <mergeCell ref="AD260:AF260"/>
    <mergeCell ref="B206:C206"/>
    <mergeCell ref="D206:O206"/>
    <mergeCell ref="P206:R206"/>
    <mergeCell ref="S206:T206"/>
    <mergeCell ref="U206:W206"/>
    <mergeCell ref="X206:Z206"/>
    <mergeCell ref="AA206:AC206"/>
    <mergeCell ref="AD206:AF206"/>
    <mergeCell ref="AG206:AI206"/>
    <mergeCell ref="AJ206:AL206"/>
    <mergeCell ref="AM206:AP206"/>
    <mergeCell ref="AQ206:AT206"/>
    <mergeCell ref="B207:C207"/>
    <mergeCell ref="D207:O207"/>
    <mergeCell ref="P207:R207"/>
    <mergeCell ref="S207:T207"/>
    <mergeCell ref="U207:W207"/>
    <mergeCell ref="X207:Z207"/>
    <mergeCell ref="AA207:AC207"/>
    <mergeCell ref="AD207:AF207"/>
    <mergeCell ref="AG207:AI207"/>
    <mergeCell ref="AJ207:AL207"/>
    <mergeCell ref="AM207:AP207"/>
    <mergeCell ref="AQ207:AT207"/>
    <mergeCell ref="B208:C208"/>
    <mergeCell ref="D208:O208"/>
    <mergeCell ref="P208:R208"/>
    <mergeCell ref="S208:T208"/>
    <mergeCell ref="U208:W208"/>
    <mergeCell ref="X208:Z208"/>
    <mergeCell ref="AA208:AC208"/>
    <mergeCell ref="AD208:AF208"/>
    <mergeCell ref="AD257:AF257"/>
    <mergeCell ref="AG257:AI257"/>
    <mergeCell ref="AJ257:AL257"/>
    <mergeCell ref="AM257:AP257"/>
    <mergeCell ref="AQ257:AT257"/>
    <mergeCell ref="AG260:AI260"/>
    <mergeCell ref="AJ260:AL260"/>
    <mergeCell ref="AM260:AP260"/>
    <mergeCell ref="AQ260:AT260"/>
    <mergeCell ref="B254:C254"/>
    <mergeCell ref="D254:O254"/>
    <mergeCell ref="P254:R254"/>
    <mergeCell ref="S254:T254"/>
    <mergeCell ref="U254:W254"/>
    <mergeCell ref="X254:Z254"/>
    <mergeCell ref="AA254:AC254"/>
    <mergeCell ref="AD254:AF254"/>
    <mergeCell ref="AG254:AI254"/>
    <mergeCell ref="AJ254:AL254"/>
    <mergeCell ref="AM254:AP254"/>
    <mergeCell ref="AQ254:AT254"/>
    <mergeCell ref="B255:C255"/>
    <mergeCell ref="D255:O255"/>
    <mergeCell ref="P255:R255"/>
    <mergeCell ref="S255:T255"/>
    <mergeCell ref="U255:W255"/>
    <mergeCell ref="X255:Z255"/>
    <mergeCell ref="AA255:AC255"/>
    <mergeCell ref="AD255:AF255"/>
    <mergeCell ref="AG255:AI255"/>
    <mergeCell ref="AJ255:AL255"/>
    <mergeCell ref="AM255:AP255"/>
    <mergeCell ref="AQ255:AT255"/>
    <mergeCell ref="B256:C256"/>
    <mergeCell ref="D256:O256"/>
    <mergeCell ref="P256:R256"/>
    <mergeCell ref="S256:T256"/>
    <mergeCell ref="B259:C259"/>
    <mergeCell ref="D259:O259"/>
    <mergeCell ref="P259:R259"/>
    <mergeCell ref="S259:T259"/>
    <mergeCell ref="U259:W259"/>
    <mergeCell ref="X259:Z259"/>
    <mergeCell ref="AA259:AC259"/>
    <mergeCell ref="AD259:AF259"/>
    <mergeCell ref="AG259:AI259"/>
    <mergeCell ref="AJ259:AL259"/>
    <mergeCell ref="AM259:AP259"/>
    <mergeCell ref="AQ259:AT259"/>
    <mergeCell ref="B244:C244"/>
    <mergeCell ref="D244:O244"/>
    <mergeCell ref="P244:R244"/>
    <mergeCell ref="S244:T244"/>
    <mergeCell ref="U244:W244"/>
    <mergeCell ref="X244:Z244"/>
    <mergeCell ref="AA244:AC244"/>
    <mergeCell ref="AD244:AF244"/>
    <mergeCell ref="AG244:AI244"/>
    <mergeCell ref="AJ244:AL244"/>
    <mergeCell ref="AM244:AP244"/>
    <mergeCell ref="AQ244:AT244"/>
    <mergeCell ref="B245:C245"/>
    <mergeCell ref="D245:O245"/>
    <mergeCell ref="P245:R245"/>
    <mergeCell ref="S245:T245"/>
    <mergeCell ref="U245:W245"/>
    <mergeCell ref="X245:Z245"/>
    <mergeCell ref="AA245:AC245"/>
    <mergeCell ref="AD245:AF245"/>
    <mergeCell ref="AG245:AI245"/>
    <mergeCell ref="AJ245:AL245"/>
    <mergeCell ref="AM245:AP245"/>
    <mergeCell ref="AQ245:AT245"/>
    <mergeCell ref="B242:C242"/>
    <mergeCell ref="D242:O242"/>
    <mergeCell ref="P242:R242"/>
    <mergeCell ref="S242:T242"/>
    <mergeCell ref="U242:W242"/>
    <mergeCell ref="X242:Z242"/>
    <mergeCell ref="AA242:AC242"/>
    <mergeCell ref="AD242:AF242"/>
    <mergeCell ref="AG242:AI242"/>
    <mergeCell ref="AJ242:AL242"/>
    <mergeCell ref="AM242:AP242"/>
    <mergeCell ref="AQ242:AT242"/>
    <mergeCell ref="B243:C243"/>
    <mergeCell ref="D243:O243"/>
    <mergeCell ref="P243:R243"/>
    <mergeCell ref="S243:T243"/>
    <mergeCell ref="U243:W243"/>
    <mergeCell ref="X243:Z243"/>
    <mergeCell ref="AA243:AC243"/>
    <mergeCell ref="AD243:AF243"/>
    <mergeCell ref="AG243:AI243"/>
    <mergeCell ref="AJ243:AL243"/>
    <mergeCell ref="AM243:AP243"/>
    <mergeCell ref="AQ243:AT243"/>
    <mergeCell ref="B248:C248"/>
    <mergeCell ref="D248:O248"/>
    <mergeCell ref="P248:R248"/>
    <mergeCell ref="S248:T248"/>
    <mergeCell ref="U248:W248"/>
    <mergeCell ref="X248:Z248"/>
    <mergeCell ref="AA248:AC248"/>
    <mergeCell ref="AD248:AF248"/>
    <mergeCell ref="AG248:AI248"/>
    <mergeCell ref="AJ248:AL248"/>
    <mergeCell ref="AM248:AP248"/>
    <mergeCell ref="AQ248:AT248"/>
    <mergeCell ref="B249:C249"/>
    <mergeCell ref="D249:O249"/>
    <mergeCell ref="P249:R249"/>
    <mergeCell ref="S249:T249"/>
    <mergeCell ref="U249:W249"/>
    <mergeCell ref="X249:Z249"/>
    <mergeCell ref="AA249:AC249"/>
    <mergeCell ref="AD249:AF249"/>
    <mergeCell ref="AG249:AI249"/>
    <mergeCell ref="AJ249:AL249"/>
    <mergeCell ref="AM249:AP249"/>
    <mergeCell ref="AQ249:AT249"/>
    <mergeCell ref="B246:C246"/>
    <mergeCell ref="D246:O246"/>
    <mergeCell ref="P246:R246"/>
    <mergeCell ref="S246:T246"/>
    <mergeCell ref="U246:W246"/>
    <mergeCell ref="X246:Z246"/>
    <mergeCell ref="AA246:AC246"/>
    <mergeCell ref="AD246:AF246"/>
    <mergeCell ref="AG246:AI246"/>
    <mergeCell ref="AJ246:AL246"/>
    <mergeCell ref="AM246:AP246"/>
    <mergeCell ref="AQ246:AT246"/>
    <mergeCell ref="B247:C247"/>
    <mergeCell ref="D247:O247"/>
    <mergeCell ref="P247:R247"/>
    <mergeCell ref="S247:T247"/>
    <mergeCell ref="U247:W247"/>
    <mergeCell ref="X247:Z247"/>
    <mergeCell ref="AA247:AC247"/>
    <mergeCell ref="AD247:AF247"/>
    <mergeCell ref="AG247:AI247"/>
    <mergeCell ref="AJ247:AL247"/>
    <mergeCell ref="AM247:AP247"/>
    <mergeCell ref="AQ247:AT247"/>
    <mergeCell ref="AQ280:AT280"/>
    <mergeCell ref="B250:C250"/>
    <mergeCell ref="D250:O250"/>
    <mergeCell ref="P250:R250"/>
    <mergeCell ref="S250:T250"/>
    <mergeCell ref="U250:W250"/>
    <mergeCell ref="X250:Z250"/>
    <mergeCell ref="AA250:AC250"/>
    <mergeCell ref="AD250:AF250"/>
    <mergeCell ref="AG250:AI250"/>
    <mergeCell ref="AJ250:AL250"/>
    <mergeCell ref="AM250:AP250"/>
    <mergeCell ref="AQ250:AT250"/>
    <mergeCell ref="B251:C251"/>
    <mergeCell ref="D251:O251"/>
    <mergeCell ref="P251:R251"/>
    <mergeCell ref="S251:T251"/>
    <mergeCell ref="U251:W251"/>
    <mergeCell ref="X251:Z251"/>
    <mergeCell ref="AA251:AC251"/>
    <mergeCell ref="AD251:AF251"/>
    <mergeCell ref="AG251:AI251"/>
    <mergeCell ref="AJ251:AL251"/>
    <mergeCell ref="AM251:AP251"/>
    <mergeCell ref="AQ251:AT251"/>
    <mergeCell ref="B252:C252"/>
    <mergeCell ref="D252:O252"/>
    <mergeCell ref="P252:R252"/>
    <mergeCell ref="S252:T252"/>
    <mergeCell ref="U252:W252"/>
    <mergeCell ref="X252:Z252"/>
    <mergeCell ref="AA252:AC252"/>
    <mergeCell ref="AD252:AF252"/>
    <mergeCell ref="AG252:AI252"/>
    <mergeCell ref="AJ252:AL252"/>
    <mergeCell ref="AM252:AP252"/>
    <mergeCell ref="AQ252:AT252"/>
    <mergeCell ref="B253:C253"/>
    <mergeCell ref="D253:O253"/>
    <mergeCell ref="P253:R253"/>
    <mergeCell ref="S253:T253"/>
    <mergeCell ref="U253:W253"/>
    <mergeCell ref="X253:Z253"/>
    <mergeCell ref="AA253:AC253"/>
    <mergeCell ref="AD253:AF253"/>
    <mergeCell ref="AG253:AI253"/>
    <mergeCell ref="AJ253:AL253"/>
    <mergeCell ref="AM253:AP253"/>
    <mergeCell ref="AQ253:AT253"/>
    <mergeCell ref="U256:W256"/>
    <mergeCell ref="X256:Z256"/>
    <mergeCell ref="AA256:AC256"/>
    <mergeCell ref="AD256:AF256"/>
    <mergeCell ref="AG256:AI256"/>
    <mergeCell ref="AJ256:AL256"/>
    <mergeCell ref="AM256:AP256"/>
    <mergeCell ref="AQ256:AT256"/>
    <mergeCell ref="B257:C257"/>
    <mergeCell ref="D257:O257"/>
    <mergeCell ref="P257:R257"/>
    <mergeCell ref="S257:T257"/>
    <mergeCell ref="U257:W257"/>
    <mergeCell ref="X257:Z257"/>
    <mergeCell ref="AA257:AC257"/>
    <mergeCell ref="AQ283:AT283"/>
    <mergeCell ref="B284:C284"/>
    <mergeCell ref="D284:O284"/>
    <mergeCell ref="P284:R284"/>
    <mergeCell ref="S284:T284"/>
    <mergeCell ref="U284:W284"/>
    <mergeCell ref="X284:Z284"/>
    <mergeCell ref="AA284:AC284"/>
    <mergeCell ref="AD284:AF284"/>
    <mergeCell ref="AG284:AI284"/>
    <mergeCell ref="AJ284:AL284"/>
    <mergeCell ref="AM284:AP284"/>
    <mergeCell ref="AQ284:AT284"/>
    <mergeCell ref="B281:C281"/>
    <mergeCell ref="D281:O281"/>
    <mergeCell ref="P281:R281"/>
    <mergeCell ref="S281:T281"/>
    <mergeCell ref="U281:W281"/>
    <mergeCell ref="X281:Z281"/>
    <mergeCell ref="AA281:AC281"/>
    <mergeCell ref="AD281:AF281"/>
    <mergeCell ref="AG281:AI281"/>
    <mergeCell ref="AJ281:AL281"/>
    <mergeCell ref="AM281:AP281"/>
    <mergeCell ref="AQ281:AT281"/>
    <mergeCell ref="B282:C282"/>
    <mergeCell ref="D282:O282"/>
    <mergeCell ref="P282:R282"/>
    <mergeCell ref="S282:T282"/>
    <mergeCell ref="U282:W282"/>
    <mergeCell ref="X282:Z282"/>
    <mergeCell ref="AA282:AC282"/>
    <mergeCell ref="AD282:AF282"/>
    <mergeCell ref="AG282:AI282"/>
    <mergeCell ref="AJ282:AL282"/>
    <mergeCell ref="AM282:AP282"/>
    <mergeCell ref="AQ282:AT282"/>
    <mergeCell ref="AQ287:AT287"/>
    <mergeCell ref="B296:C296"/>
    <mergeCell ref="D296:O296"/>
    <mergeCell ref="P296:R296"/>
    <mergeCell ref="S296:T296"/>
    <mergeCell ref="U296:W296"/>
    <mergeCell ref="X296:Z296"/>
    <mergeCell ref="AA296:AC296"/>
    <mergeCell ref="AD296:AF296"/>
    <mergeCell ref="AG296:AI296"/>
    <mergeCell ref="AJ296:AL296"/>
    <mergeCell ref="AM296:AP296"/>
    <mergeCell ref="AQ296:AT296"/>
    <mergeCell ref="B285:C285"/>
    <mergeCell ref="D285:O285"/>
    <mergeCell ref="P285:R285"/>
    <mergeCell ref="S285:T285"/>
    <mergeCell ref="U285:W285"/>
    <mergeCell ref="X285:Z285"/>
    <mergeCell ref="AA285:AC285"/>
    <mergeCell ref="AD285:AF285"/>
    <mergeCell ref="AG285:AI285"/>
    <mergeCell ref="AJ285:AL285"/>
    <mergeCell ref="AM285:AP285"/>
    <mergeCell ref="AQ285:AT285"/>
    <mergeCell ref="B286:C286"/>
    <mergeCell ref="D286:O286"/>
    <mergeCell ref="P286:R286"/>
    <mergeCell ref="S286:T286"/>
    <mergeCell ref="U286:W286"/>
    <mergeCell ref="X286:Z286"/>
    <mergeCell ref="AA286:AC286"/>
    <mergeCell ref="AD286:AF286"/>
    <mergeCell ref="AG286:AI286"/>
    <mergeCell ref="AJ286:AL286"/>
    <mergeCell ref="AM286:AP286"/>
    <mergeCell ref="AQ286:AT286"/>
    <mergeCell ref="AQ291:AT291"/>
    <mergeCell ref="AA288:AC288"/>
    <mergeCell ref="AD288:AF288"/>
    <mergeCell ref="AG288:AI288"/>
    <mergeCell ref="AJ288:AL288"/>
    <mergeCell ref="AM288:AP288"/>
    <mergeCell ref="D288:O288"/>
    <mergeCell ref="U293:W293"/>
    <mergeCell ref="B291:C291"/>
    <mergeCell ref="D291:O291"/>
    <mergeCell ref="P291:R291"/>
    <mergeCell ref="S291:T291"/>
    <mergeCell ref="U291:W291"/>
    <mergeCell ref="X291:Z291"/>
    <mergeCell ref="AA291:AC291"/>
    <mergeCell ref="AD291:AF291"/>
    <mergeCell ref="AG291:AI291"/>
    <mergeCell ref="AJ291:AL291"/>
    <mergeCell ref="AM291:AP291"/>
    <mergeCell ref="B290:C290"/>
    <mergeCell ref="P290:R290"/>
    <mergeCell ref="S290:T290"/>
    <mergeCell ref="U290:W290"/>
    <mergeCell ref="X290:Z290"/>
    <mergeCell ref="AA290:AC290"/>
    <mergeCell ref="AD290:AF290"/>
    <mergeCell ref="AG290:AI290"/>
    <mergeCell ref="B299:C299"/>
    <mergeCell ref="D299:O299"/>
    <mergeCell ref="P299:R299"/>
    <mergeCell ref="S299:T299"/>
    <mergeCell ref="U299:W299"/>
    <mergeCell ref="X299:Z299"/>
    <mergeCell ref="AA299:AC299"/>
    <mergeCell ref="AD299:AF299"/>
    <mergeCell ref="AG299:AI299"/>
    <mergeCell ref="AJ299:AL299"/>
    <mergeCell ref="AM299:AP299"/>
    <mergeCell ref="AQ299:AT299"/>
    <mergeCell ref="B300:C300"/>
    <mergeCell ref="D300:O300"/>
    <mergeCell ref="P300:R300"/>
    <mergeCell ref="S300:T300"/>
    <mergeCell ref="U300:W300"/>
    <mergeCell ref="X300:Z300"/>
    <mergeCell ref="AA300:AC300"/>
    <mergeCell ref="AD300:AF300"/>
    <mergeCell ref="AG300:AI300"/>
    <mergeCell ref="AJ300:AL300"/>
    <mergeCell ref="AM300:AP300"/>
    <mergeCell ref="AQ300:AT300"/>
    <mergeCell ref="B297:C297"/>
    <mergeCell ref="D297:O297"/>
    <mergeCell ref="P297:R297"/>
    <mergeCell ref="S297:T297"/>
    <mergeCell ref="U297:W297"/>
    <mergeCell ref="X297:Z297"/>
    <mergeCell ref="AA297:AC297"/>
    <mergeCell ref="AD297:AF297"/>
    <mergeCell ref="AG297:AI297"/>
    <mergeCell ref="AJ297:AL297"/>
    <mergeCell ref="AM297:AP297"/>
    <mergeCell ref="AQ297:AT297"/>
    <mergeCell ref="B298:C298"/>
    <mergeCell ref="D298:O298"/>
    <mergeCell ref="P298:R298"/>
    <mergeCell ref="S298:T298"/>
    <mergeCell ref="U298:W298"/>
    <mergeCell ref="X298:Z298"/>
    <mergeCell ref="AA298:AC298"/>
    <mergeCell ref="AD298:AF298"/>
    <mergeCell ref="AG298:AI298"/>
    <mergeCell ref="AJ298:AL298"/>
    <mergeCell ref="AM298:AP298"/>
    <mergeCell ref="AQ298:AT298"/>
    <mergeCell ref="B303:C303"/>
    <mergeCell ref="D303:O303"/>
    <mergeCell ref="P303:R303"/>
    <mergeCell ref="S303:T303"/>
    <mergeCell ref="U303:W303"/>
    <mergeCell ref="X303:Z303"/>
    <mergeCell ref="AA303:AC303"/>
    <mergeCell ref="AD303:AF303"/>
    <mergeCell ref="AG303:AI303"/>
    <mergeCell ref="AJ303:AL303"/>
    <mergeCell ref="AM303:AP303"/>
    <mergeCell ref="AQ303:AT303"/>
    <mergeCell ref="B304:C304"/>
    <mergeCell ref="D304:O304"/>
    <mergeCell ref="P304:R304"/>
    <mergeCell ref="S304:T304"/>
    <mergeCell ref="U304:W304"/>
    <mergeCell ref="X304:Z304"/>
    <mergeCell ref="AA304:AC304"/>
    <mergeCell ref="AD304:AF304"/>
    <mergeCell ref="AG304:AI304"/>
    <mergeCell ref="AJ304:AL304"/>
    <mergeCell ref="AM304:AP304"/>
    <mergeCell ref="AQ304:AT304"/>
    <mergeCell ref="B301:C301"/>
    <mergeCell ref="D301:O301"/>
    <mergeCell ref="P301:R301"/>
    <mergeCell ref="S301:T301"/>
    <mergeCell ref="U301:W301"/>
    <mergeCell ref="X301:Z301"/>
    <mergeCell ref="AA301:AC301"/>
    <mergeCell ref="AD301:AF301"/>
    <mergeCell ref="AG301:AI301"/>
    <mergeCell ref="AJ301:AL301"/>
    <mergeCell ref="AM301:AP301"/>
    <mergeCell ref="AQ301:AT301"/>
    <mergeCell ref="B302:C302"/>
    <mergeCell ref="D302:O302"/>
    <mergeCell ref="P302:R302"/>
    <mergeCell ref="S302:T302"/>
    <mergeCell ref="U302:W302"/>
    <mergeCell ref="X302:Z302"/>
    <mergeCell ref="AA302:AC302"/>
    <mergeCell ref="AD302:AF302"/>
    <mergeCell ref="AG302:AI302"/>
    <mergeCell ref="AJ302:AL302"/>
    <mergeCell ref="AM302:AP302"/>
    <mergeCell ref="AQ302:AT302"/>
    <mergeCell ref="B307:C307"/>
    <mergeCell ref="D307:O307"/>
    <mergeCell ref="P307:R307"/>
    <mergeCell ref="S307:T307"/>
    <mergeCell ref="U307:W307"/>
    <mergeCell ref="X307:Z307"/>
    <mergeCell ref="AA307:AC307"/>
    <mergeCell ref="AD307:AF307"/>
    <mergeCell ref="AG307:AI307"/>
    <mergeCell ref="AJ307:AL307"/>
    <mergeCell ref="AM307:AP307"/>
    <mergeCell ref="AQ307:AT307"/>
    <mergeCell ref="B305:C305"/>
    <mergeCell ref="D305:O305"/>
    <mergeCell ref="P305:R305"/>
    <mergeCell ref="S305:T305"/>
    <mergeCell ref="U305:W305"/>
    <mergeCell ref="X305:Z305"/>
    <mergeCell ref="AA305:AC305"/>
    <mergeCell ref="AD305:AF305"/>
    <mergeCell ref="AG305:AI305"/>
    <mergeCell ref="AJ305:AL305"/>
    <mergeCell ref="AM305:AP305"/>
    <mergeCell ref="AQ305:AT305"/>
    <mergeCell ref="B306:C306"/>
    <mergeCell ref="D306:O306"/>
    <mergeCell ref="P306:R306"/>
    <mergeCell ref="S306:T306"/>
    <mergeCell ref="U306:W306"/>
    <mergeCell ref="X306:Z306"/>
    <mergeCell ref="AA306:AC306"/>
    <mergeCell ref="AD306:AF306"/>
    <mergeCell ref="AG306:AI306"/>
    <mergeCell ref="AJ306:AL306"/>
    <mergeCell ref="AM306:AP306"/>
    <mergeCell ref="AQ306:AT306"/>
    <mergeCell ref="S339:T339"/>
    <mergeCell ref="U339:W339"/>
    <mergeCell ref="X339:Z339"/>
    <mergeCell ref="AA339:AC339"/>
    <mergeCell ref="AD339:AF339"/>
    <mergeCell ref="AG339:AI339"/>
    <mergeCell ref="AJ339:AL339"/>
    <mergeCell ref="AM339:AP339"/>
    <mergeCell ref="AQ339:AT339"/>
    <mergeCell ref="B336:C336"/>
    <mergeCell ref="D336:O336"/>
    <mergeCell ref="P336:R336"/>
    <mergeCell ref="S336:T336"/>
    <mergeCell ref="U336:W336"/>
    <mergeCell ref="X336:Z336"/>
    <mergeCell ref="AA336:AC336"/>
    <mergeCell ref="AD336:AF336"/>
    <mergeCell ref="AG336:AI336"/>
    <mergeCell ref="AJ336:AL336"/>
    <mergeCell ref="AM336:AP336"/>
    <mergeCell ref="AQ336:AT336"/>
    <mergeCell ref="B337:C337"/>
    <mergeCell ref="D337:O337"/>
    <mergeCell ref="P337:R337"/>
    <mergeCell ref="S337:T337"/>
    <mergeCell ref="U337:W337"/>
    <mergeCell ref="X337:Z337"/>
    <mergeCell ref="AA337:AC337"/>
    <mergeCell ref="AD337:AF337"/>
    <mergeCell ref="AG337:AI337"/>
    <mergeCell ref="AJ337:AL337"/>
    <mergeCell ref="AM337:AP337"/>
    <mergeCell ref="AQ337:AT337"/>
    <mergeCell ref="AD334:AF334"/>
    <mergeCell ref="B342:C342"/>
    <mergeCell ref="D342:O342"/>
    <mergeCell ref="P342:R342"/>
    <mergeCell ref="S342:T342"/>
    <mergeCell ref="U342:W342"/>
    <mergeCell ref="X342:Z342"/>
    <mergeCell ref="AA342:AC342"/>
    <mergeCell ref="AD342:AF342"/>
    <mergeCell ref="AG342:AI342"/>
    <mergeCell ref="AJ342:AL342"/>
    <mergeCell ref="AM342:AP342"/>
    <mergeCell ref="AQ342:AT342"/>
    <mergeCell ref="B343:C343"/>
    <mergeCell ref="D343:O343"/>
    <mergeCell ref="P343:R343"/>
    <mergeCell ref="S343:T343"/>
    <mergeCell ref="U343:W343"/>
    <mergeCell ref="X343:Z343"/>
    <mergeCell ref="AA343:AC343"/>
    <mergeCell ref="AD343:AF343"/>
    <mergeCell ref="AG343:AI343"/>
    <mergeCell ref="AJ343:AL343"/>
    <mergeCell ref="AM343:AP343"/>
    <mergeCell ref="AQ343:AT343"/>
    <mergeCell ref="B340:C340"/>
    <mergeCell ref="D340:O340"/>
    <mergeCell ref="P340:R340"/>
    <mergeCell ref="S340:T340"/>
    <mergeCell ref="U340:W340"/>
    <mergeCell ref="X340:Z340"/>
    <mergeCell ref="AA340:AC340"/>
    <mergeCell ref="AD340:AF340"/>
    <mergeCell ref="AG340:AI340"/>
    <mergeCell ref="AJ340:AL340"/>
    <mergeCell ref="AM340:AP340"/>
    <mergeCell ref="AQ340:AT340"/>
    <mergeCell ref="B341:C341"/>
    <mergeCell ref="D341:O341"/>
    <mergeCell ref="P341:R341"/>
    <mergeCell ref="S341:T341"/>
    <mergeCell ref="U341:W341"/>
    <mergeCell ref="X341:Z341"/>
    <mergeCell ref="AA341:AC341"/>
    <mergeCell ref="AD341:AF341"/>
    <mergeCell ref="AG341:AI341"/>
    <mergeCell ref="AJ341:AL341"/>
    <mergeCell ref="AM341:AP341"/>
    <mergeCell ref="AQ341:AT341"/>
    <mergeCell ref="B338:C338"/>
    <mergeCell ref="D338:O338"/>
    <mergeCell ref="P338:R338"/>
    <mergeCell ref="S338:T338"/>
    <mergeCell ref="U338:W338"/>
    <mergeCell ref="X338:Z338"/>
    <mergeCell ref="AA338:AC338"/>
    <mergeCell ref="AD338:AF338"/>
    <mergeCell ref="AG338:AI338"/>
    <mergeCell ref="AJ338:AL338"/>
    <mergeCell ref="AM338:AP338"/>
    <mergeCell ref="AQ338:AT338"/>
    <mergeCell ref="B339:C339"/>
    <mergeCell ref="D339:O339"/>
    <mergeCell ref="P339:R339"/>
    <mergeCell ref="B346:C346"/>
    <mergeCell ref="D346:O346"/>
    <mergeCell ref="P346:R346"/>
    <mergeCell ref="S346:T346"/>
    <mergeCell ref="U346:W346"/>
    <mergeCell ref="X346:Z346"/>
    <mergeCell ref="AA346:AC346"/>
    <mergeCell ref="AD346:AF346"/>
    <mergeCell ref="AG346:AI346"/>
    <mergeCell ref="AJ346:AL346"/>
    <mergeCell ref="AM346:AP346"/>
    <mergeCell ref="AQ346:AT346"/>
    <mergeCell ref="B347:C347"/>
    <mergeCell ref="D347:O347"/>
    <mergeCell ref="P347:R347"/>
    <mergeCell ref="S347:T347"/>
    <mergeCell ref="U347:W347"/>
    <mergeCell ref="X347:Z347"/>
    <mergeCell ref="AA347:AC347"/>
    <mergeCell ref="AD347:AF347"/>
    <mergeCell ref="AG347:AI347"/>
    <mergeCell ref="AJ347:AL347"/>
    <mergeCell ref="AM347:AP347"/>
    <mergeCell ref="AQ347:AT347"/>
    <mergeCell ref="B344:C344"/>
    <mergeCell ref="D344:O344"/>
    <mergeCell ref="P344:R344"/>
    <mergeCell ref="S344:T344"/>
    <mergeCell ref="U344:W344"/>
    <mergeCell ref="X344:Z344"/>
    <mergeCell ref="AA344:AC344"/>
    <mergeCell ref="AD344:AF344"/>
    <mergeCell ref="AG344:AI344"/>
    <mergeCell ref="AJ344:AL344"/>
    <mergeCell ref="AM344:AP344"/>
    <mergeCell ref="AQ344:AT344"/>
    <mergeCell ref="B345:C345"/>
    <mergeCell ref="D345:O345"/>
    <mergeCell ref="P345:R345"/>
    <mergeCell ref="S345:T345"/>
    <mergeCell ref="U345:W345"/>
    <mergeCell ref="X345:Z345"/>
    <mergeCell ref="AA345:AC345"/>
    <mergeCell ref="AD345:AF345"/>
    <mergeCell ref="AG345:AI345"/>
    <mergeCell ref="AJ345:AL345"/>
    <mergeCell ref="AM345:AP345"/>
    <mergeCell ref="AQ345:AT345"/>
    <mergeCell ref="B350:C350"/>
    <mergeCell ref="D350:O350"/>
    <mergeCell ref="P350:R350"/>
    <mergeCell ref="S350:T350"/>
    <mergeCell ref="U350:W350"/>
    <mergeCell ref="X350:Z350"/>
    <mergeCell ref="AA350:AC350"/>
    <mergeCell ref="AD350:AF350"/>
    <mergeCell ref="AG350:AI350"/>
    <mergeCell ref="AJ350:AL350"/>
    <mergeCell ref="AM350:AP350"/>
    <mergeCell ref="AQ350:AT350"/>
    <mergeCell ref="B351:C351"/>
    <mergeCell ref="D351:O351"/>
    <mergeCell ref="P351:R351"/>
    <mergeCell ref="S351:T351"/>
    <mergeCell ref="U351:W351"/>
    <mergeCell ref="X351:Z351"/>
    <mergeCell ref="AA351:AC351"/>
    <mergeCell ref="AD351:AF351"/>
    <mergeCell ref="AG351:AI351"/>
    <mergeCell ref="AJ351:AL351"/>
    <mergeCell ref="AM351:AP351"/>
    <mergeCell ref="AQ351:AT351"/>
    <mergeCell ref="B348:C348"/>
    <mergeCell ref="D348:O348"/>
    <mergeCell ref="P348:R348"/>
    <mergeCell ref="S348:T348"/>
    <mergeCell ref="U348:W348"/>
    <mergeCell ref="X348:Z348"/>
    <mergeCell ref="AA348:AC348"/>
    <mergeCell ref="AD348:AF348"/>
    <mergeCell ref="AG348:AI348"/>
    <mergeCell ref="AJ348:AL348"/>
    <mergeCell ref="AM348:AP348"/>
    <mergeCell ref="AQ348:AT348"/>
    <mergeCell ref="B349:C349"/>
    <mergeCell ref="D349:O349"/>
    <mergeCell ref="P349:R349"/>
    <mergeCell ref="S349:T349"/>
    <mergeCell ref="U349:W349"/>
    <mergeCell ref="X349:Z349"/>
    <mergeCell ref="AA349:AC349"/>
    <mergeCell ref="AD349:AF349"/>
    <mergeCell ref="AG349:AI349"/>
    <mergeCell ref="AJ349:AL349"/>
    <mergeCell ref="AM349:AP349"/>
    <mergeCell ref="AQ349:AT349"/>
    <mergeCell ref="B352:C352"/>
    <mergeCell ref="D352:O352"/>
    <mergeCell ref="P352:R352"/>
    <mergeCell ref="S352:T352"/>
    <mergeCell ref="U352:W352"/>
    <mergeCell ref="X352:Z352"/>
    <mergeCell ref="AA352:AC352"/>
    <mergeCell ref="AD352:AF352"/>
    <mergeCell ref="AG352:AI352"/>
    <mergeCell ref="AJ352:AL352"/>
    <mergeCell ref="AM352:AP352"/>
    <mergeCell ref="AQ352:AT352"/>
    <mergeCell ref="B378:C378"/>
    <mergeCell ref="D378:O378"/>
    <mergeCell ref="P378:R378"/>
    <mergeCell ref="S378:T378"/>
    <mergeCell ref="U378:W378"/>
    <mergeCell ref="X378:Z378"/>
    <mergeCell ref="AA378:AC378"/>
    <mergeCell ref="AD378:AF378"/>
    <mergeCell ref="AG378:AI378"/>
    <mergeCell ref="AJ378:AL378"/>
    <mergeCell ref="AM378:AP378"/>
    <mergeCell ref="AQ378:AT378"/>
    <mergeCell ref="B376:C376"/>
    <mergeCell ref="D376:O376"/>
    <mergeCell ref="P376:R376"/>
    <mergeCell ref="S376:T376"/>
    <mergeCell ref="U376:W376"/>
    <mergeCell ref="X376:Z376"/>
    <mergeCell ref="AA376:AC376"/>
    <mergeCell ref="AD376:AF376"/>
    <mergeCell ref="AG376:AI376"/>
    <mergeCell ref="AJ376:AL376"/>
    <mergeCell ref="AM376:AP376"/>
    <mergeCell ref="AQ376:AT376"/>
    <mergeCell ref="B377:C377"/>
    <mergeCell ref="D377:O377"/>
    <mergeCell ref="P377:R377"/>
    <mergeCell ref="S377:T377"/>
    <mergeCell ref="AJ374:AL374"/>
    <mergeCell ref="AM374:AP374"/>
    <mergeCell ref="AQ374:AT374"/>
    <mergeCell ref="B375:C375"/>
    <mergeCell ref="D375:O375"/>
    <mergeCell ref="P375:R375"/>
    <mergeCell ref="S375:T375"/>
    <mergeCell ref="U375:W375"/>
    <mergeCell ref="X375:Z375"/>
    <mergeCell ref="AA375:AC375"/>
    <mergeCell ref="AD375:AF375"/>
    <mergeCell ref="AG375:AI375"/>
    <mergeCell ref="AJ375:AL375"/>
    <mergeCell ref="AM375:AP375"/>
    <mergeCell ref="AQ375:AT375"/>
    <mergeCell ref="B371:C371"/>
    <mergeCell ref="D371:O371"/>
    <mergeCell ref="P371:R371"/>
    <mergeCell ref="S371:T371"/>
    <mergeCell ref="U371:W371"/>
    <mergeCell ref="X371:Z371"/>
    <mergeCell ref="AA371:AC371"/>
    <mergeCell ref="AD371:AF371"/>
    <mergeCell ref="AG371:AI371"/>
    <mergeCell ref="B381:C381"/>
    <mergeCell ref="D381:O381"/>
    <mergeCell ref="P381:R381"/>
    <mergeCell ref="S381:T381"/>
    <mergeCell ref="U381:W381"/>
    <mergeCell ref="X381:Z381"/>
    <mergeCell ref="AA381:AC381"/>
    <mergeCell ref="AD381:AF381"/>
    <mergeCell ref="AG381:AI381"/>
    <mergeCell ref="AJ381:AL381"/>
    <mergeCell ref="AM381:AP381"/>
    <mergeCell ref="AQ381:AT381"/>
    <mergeCell ref="B382:C382"/>
    <mergeCell ref="D382:O382"/>
    <mergeCell ref="P382:R382"/>
    <mergeCell ref="S382:T382"/>
    <mergeCell ref="U382:W382"/>
    <mergeCell ref="X382:Z382"/>
    <mergeCell ref="AA382:AC382"/>
    <mergeCell ref="AD382:AF382"/>
    <mergeCell ref="AG382:AI382"/>
    <mergeCell ref="AJ382:AL382"/>
    <mergeCell ref="AM382:AP382"/>
    <mergeCell ref="AQ382:AT382"/>
    <mergeCell ref="AD379:AF379"/>
    <mergeCell ref="AG379:AI379"/>
    <mergeCell ref="AJ379:AL379"/>
    <mergeCell ref="AM379:AP379"/>
    <mergeCell ref="AQ379:AT379"/>
    <mergeCell ref="B380:C380"/>
    <mergeCell ref="D380:O380"/>
    <mergeCell ref="P380:R380"/>
    <mergeCell ref="S380:T380"/>
    <mergeCell ref="U380:W380"/>
    <mergeCell ref="X380:Z380"/>
    <mergeCell ref="AA380:AC380"/>
    <mergeCell ref="AD380:AF380"/>
    <mergeCell ref="AG380:AI380"/>
    <mergeCell ref="AJ380:AL380"/>
    <mergeCell ref="AM380:AP380"/>
    <mergeCell ref="AQ380:AT380"/>
    <mergeCell ref="B385:C385"/>
    <mergeCell ref="D385:O385"/>
    <mergeCell ref="P385:R385"/>
    <mergeCell ref="S385:T385"/>
    <mergeCell ref="U385:W385"/>
    <mergeCell ref="X385:Z385"/>
    <mergeCell ref="AA385:AC385"/>
    <mergeCell ref="AD385:AF385"/>
    <mergeCell ref="AG385:AI385"/>
    <mergeCell ref="AJ385:AL385"/>
    <mergeCell ref="AM385:AP385"/>
    <mergeCell ref="AQ385:AT385"/>
    <mergeCell ref="B386:C386"/>
    <mergeCell ref="D386:O386"/>
    <mergeCell ref="P386:R386"/>
    <mergeCell ref="S386:T386"/>
    <mergeCell ref="U386:W386"/>
    <mergeCell ref="X386:Z386"/>
    <mergeCell ref="AA386:AC386"/>
    <mergeCell ref="AD386:AF386"/>
    <mergeCell ref="AG386:AI386"/>
    <mergeCell ref="AJ386:AL386"/>
    <mergeCell ref="AM386:AP386"/>
    <mergeCell ref="AQ386:AT386"/>
    <mergeCell ref="B383:C383"/>
    <mergeCell ref="D383:O383"/>
    <mergeCell ref="P383:R383"/>
    <mergeCell ref="S383:T383"/>
    <mergeCell ref="U383:W383"/>
    <mergeCell ref="X383:Z383"/>
    <mergeCell ref="AA383:AC383"/>
    <mergeCell ref="AD383:AF383"/>
    <mergeCell ref="AG383:AI383"/>
    <mergeCell ref="AJ383:AL383"/>
    <mergeCell ref="AM383:AP383"/>
    <mergeCell ref="AQ383:AT383"/>
    <mergeCell ref="B384:C384"/>
    <mergeCell ref="D384:O384"/>
    <mergeCell ref="P384:R384"/>
    <mergeCell ref="S384:T384"/>
    <mergeCell ref="U384:W384"/>
    <mergeCell ref="X384:Z384"/>
    <mergeCell ref="AA384:AC384"/>
    <mergeCell ref="AD384:AF384"/>
    <mergeCell ref="AG384:AI384"/>
    <mergeCell ref="AJ384:AL384"/>
    <mergeCell ref="AM384:AP384"/>
    <mergeCell ref="AQ384:AT384"/>
    <mergeCell ref="B389:C389"/>
    <mergeCell ref="D389:O389"/>
    <mergeCell ref="P389:R389"/>
    <mergeCell ref="S389:T389"/>
    <mergeCell ref="U389:W389"/>
    <mergeCell ref="X389:Z389"/>
    <mergeCell ref="AA389:AC389"/>
    <mergeCell ref="AD389:AF389"/>
    <mergeCell ref="AG389:AI389"/>
    <mergeCell ref="AJ389:AL389"/>
    <mergeCell ref="AM389:AP389"/>
    <mergeCell ref="AQ389:AT389"/>
    <mergeCell ref="B390:C390"/>
    <mergeCell ref="D390:O390"/>
    <mergeCell ref="P390:R390"/>
    <mergeCell ref="S390:T390"/>
    <mergeCell ref="U390:W390"/>
    <mergeCell ref="X390:Z390"/>
    <mergeCell ref="AA390:AC390"/>
    <mergeCell ref="AD390:AF390"/>
    <mergeCell ref="AG390:AI390"/>
    <mergeCell ref="AJ390:AL390"/>
    <mergeCell ref="AM390:AP390"/>
    <mergeCell ref="AQ390:AT390"/>
    <mergeCell ref="B387:C387"/>
    <mergeCell ref="D387:O387"/>
    <mergeCell ref="P387:R387"/>
    <mergeCell ref="S387:T387"/>
    <mergeCell ref="U387:W387"/>
    <mergeCell ref="X387:Z387"/>
    <mergeCell ref="AA387:AC387"/>
    <mergeCell ref="AD387:AF387"/>
    <mergeCell ref="AG387:AI387"/>
    <mergeCell ref="AJ387:AL387"/>
    <mergeCell ref="AM387:AP387"/>
    <mergeCell ref="AQ387:AT387"/>
    <mergeCell ref="B388:C388"/>
    <mergeCell ref="D388:O388"/>
    <mergeCell ref="P388:R388"/>
    <mergeCell ref="S388:T388"/>
    <mergeCell ref="U388:W388"/>
    <mergeCell ref="X388:Z388"/>
    <mergeCell ref="AA388:AC388"/>
    <mergeCell ref="AD388:AF388"/>
    <mergeCell ref="AG388:AI388"/>
    <mergeCell ref="AJ388:AL388"/>
    <mergeCell ref="AM388:AP388"/>
    <mergeCell ref="AQ388:AT388"/>
    <mergeCell ref="B393:C393"/>
    <mergeCell ref="D393:O393"/>
    <mergeCell ref="P393:R393"/>
    <mergeCell ref="S393:T393"/>
    <mergeCell ref="U393:W393"/>
    <mergeCell ref="X393:Z393"/>
    <mergeCell ref="AA393:AC393"/>
    <mergeCell ref="AD393:AF393"/>
    <mergeCell ref="AG393:AI393"/>
    <mergeCell ref="AJ393:AL393"/>
    <mergeCell ref="AM393:AP393"/>
    <mergeCell ref="AQ393:AT393"/>
    <mergeCell ref="B394:C394"/>
    <mergeCell ref="D394:O394"/>
    <mergeCell ref="P394:R394"/>
    <mergeCell ref="S394:T394"/>
    <mergeCell ref="U394:W394"/>
    <mergeCell ref="X394:Z394"/>
    <mergeCell ref="AA394:AC394"/>
    <mergeCell ref="AD394:AF394"/>
    <mergeCell ref="AG394:AI394"/>
    <mergeCell ref="AJ394:AL394"/>
    <mergeCell ref="AM394:AP394"/>
    <mergeCell ref="AQ394:AT394"/>
    <mergeCell ref="B391:C391"/>
    <mergeCell ref="D391:O391"/>
    <mergeCell ref="P391:R391"/>
    <mergeCell ref="S391:T391"/>
    <mergeCell ref="U391:W391"/>
    <mergeCell ref="X391:Z391"/>
    <mergeCell ref="AA391:AC391"/>
    <mergeCell ref="AD391:AF391"/>
    <mergeCell ref="AG391:AI391"/>
    <mergeCell ref="AJ391:AL391"/>
    <mergeCell ref="AM391:AP391"/>
    <mergeCell ref="AQ391:AT391"/>
    <mergeCell ref="B392:C392"/>
    <mergeCell ref="D392:O392"/>
    <mergeCell ref="P392:R392"/>
    <mergeCell ref="S392:T392"/>
    <mergeCell ref="U392:W392"/>
    <mergeCell ref="X392:Z392"/>
    <mergeCell ref="AA392:AC392"/>
    <mergeCell ref="AD392:AF392"/>
    <mergeCell ref="AG392:AI392"/>
    <mergeCell ref="AJ392:AL392"/>
    <mergeCell ref="AM392:AP392"/>
    <mergeCell ref="AQ392:AT392"/>
    <mergeCell ref="AQ440:AT440"/>
    <mergeCell ref="B437:C437"/>
    <mergeCell ref="D437:O437"/>
    <mergeCell ref="P437:R437"/>
    <mergeCell ref="S437:T437"/>
    <mergeCell ref="U437:W437"/>
    <mergeCell ref="X437:Z437"/>
    <mergeCell ref="AA437:AC437"/>
    <mergeCell ref="AD437:AF437"/>
    <mergeCell ref="AG437:AI437"/>
    <mergeCell ref="AJ437:AL437"/>
    <mergeCell ref="B395:C395"/>
    <mergeCell ref="D395:O395"/>
    <mergeCell ref="P395:R395"/>
    <mergeCell ref="S395:T395"/>
    <mergeCell ref="U395:W395"/>
    <mergeCell ref="X395:Z395"/>
    <mergeCell ref="AA395:AC395"/>
    <mergeCell ref="AD395:AF395"/>
    <mergeCell ref="AG395:AI395"/>
    <mergeCell ref="AJ395:AL395"/>
    <mergeCell ref="AM395:AP395"/>
    <mergeCell ref="AQ395:AT395"/>
    <mergeCell ref="B396:C396"/>
    <mergeCell ref="D396:O396"/>
    <mergeCell ref="P396:R396"/>
    <mergeCell ref="S396:T396"/>
    <mergeCell ref="U396:W396"/>
    <mergeCell ref="X396:Z396"/>
    <mergeCell ref="AA396:AC396"/>
    <mergeCell ref="AD396:AF396"/>
    <mergeCell ref="AG396:AI396"/>
    <mergeCell ref="AJ396:AL396"/>
    <mergeCell ref="AM396:AP396"/>
    <mergeCell ref="AQ396:AT396"/>
    <mergeCell ref="AQ418:AT418"/>
    <mergeCell ref="AQ408:AT408"/>
    <mergeCell ref="AD402:AF402"/>
    <mergeCell ref="AG402:AI402"/>
    <mergeCell ref="AJ402:AL402"/>
    <mergeCell ref="AM402:AP402"/>
    <mergeCell ref="B404:C404"/>
    <mergeCell ref="P404:R404"/>
    <mergeCell ref="S404:T404"/>
    <mergeCell ref="U404:W404"/>
    <mergeCell ref="X404:Z404"/>
    <mergeCell ref="AA404:AC404"/>
    <mergeCell ref="AD404:AF404"/>
    <mergeCell ref="AQ413:AT413"/>
    <mergeCell ref="AQ414:AT414"/>
    <mergeCell ref="AQ415:AT415"/>
    <mergeCell ref="AJ403:AL403"/>
    <mergeCell ref="AD403:AF403"/>
    <mergeCell ref="AG403:AI403"/>
    <mergeCell ref="AG404:AI404"/>
    <mergeCell ref="AJ404:AL404"/>
    <mergeCell ref="B399:C399"/>
    <mergeCell ref="AD399:AF399"/>
    <mergeCell ref="AJ413:AL413"/>
    <mergeCell ref="AM413:AP413"/>
    <mergeCell ref="AG399:AI399"/>
    <mergeCell ref="AJ399:AL399"/>
    <mergeCell ref="AQ404:AT404"/>
    <mergeCell ref="B432:C432"/>
    <mergeCell ref="S432:T432"/>
    <mergeCell ref="U432:W432"/>
    <mergeCell ref="X432:Z432"/>
    <mergeCell ref="AA432:AC432"/>
    <mergeCell ref="AD432:AF432"/>
    <mergeCell ref="AG432:AI432"/>
    <mergeCell ref="AJ432:AL432"/>
    <mergeCell ref="AM432:AP432"/>
    <mergeCell ref="AQ432:AT432"/>
    <mergeCell ref="AM442:AP442"/>
    <mergeCell ref="AQ442:AT442"/>
    <mergeCell ref="B397:C397"/>
    <mergeCell ref="D397:O397"/>
    <mergeCell ref="P397:R397"/>
    <mergeCell ref="S397:T397"/>
    <mergeCell ref="U397:W397"/>
    <mergeCell ref="X397:Z397"/>
    <mergeCell ref="AA397:AC397"/>
    <mergeCell ref="AD397:AF397"/>
    <mergeCell ref="AG397:AI397"/>
    <mergeCell ref="AJ397:AL397"/>
    <mergeCell ref="AM397:AP397"/>
    <mergeCell ref="AQ397:AT397"/>
    <mergeCell ref="AD419:AF419"/>
    <mergeCell ref="AG419:AI419"/>
    <mergeCell ref="AJ419:AL419"/>
    <mergeCell ref="AM419:AP419"/>
    <mergeCell ref="AQ419:AT419"/>
    <mergeCell ref="B420:C420"/>
    <mergeCell ref="D420:O420"/>
    <mergeCell ref="P420:R420"/>
    <mergeCell ref="S420:T420"/>
    <mergeCell ref="U420:W420"/>
    <mergeCell ref="X420:Z420"/>
    <mergeCell ref="AA420:AC420"/>
    <mergeCell ref="AD420:AF420"/>
    <mergeCell ref="AG420:AI420"/>
    <mergeCell ref="AJ420:AL420"/>
    <mergeCell ref="AM420:AP420"/>
    <mergeCell ref="AQ420:AT420"/>
    <mergeCell ref="B418:C418"/>
    <mergeCell ref="D418:O418"/>
    <mergeCell ref="P418:R418"/>
    <mergeCell ref="S418:T418"/>
    <mergeCell ref="U418:W418"/>
    <mergeCell ref="X418:Z418"/>
    <mergeCell ref="AA418:AC418"/>
    <mergeCell ref="AD418:AF418"/>
    <mergeCell ref="AG418:AI418"/>
    <mergeCell ref="AJ418:AL418"/>
    <mergeCell ref="AM418:AP418"/>
    <mergeCell ref="B440:C440"/>
    <mergeCell ref="D440:O440"/>
    <mergeCell ref="P440:R440"/>
    <mergeCell ref="S440:T440"/>
    <mergeCell ref="U440:W440"/>
    <mergeCell ref="X440:Z440"/>
    <mergeCell ref="AA440:AC440"/>
    <mergeCell ref="AD440:AF440"/>
    <mergeCell ref="AG440:AI440"/>
    <mergeCell ref="AJ440:AL440"/>
    <mergeCell ref="B429:C429"/>
    <mergeCell ref="D429:O429"/>
    <mergeCell ref="P429:R429"/>
    <mergeCell ref="S429:T429"/>
    <mergeCell ref="U429:W429"/>
    <mergeCell ref="X429:Z429"/>
    <mergeCell ref="AA429:AC429"/>
    <mergeCell ref="AD429:AF429"/>
    <mergeCell ref="AG429:AI429"/>
    <mergeCell ref="AJ429:AL429"/>
    <mergeCell ref="AM429:AP429"/>
    <mergeCell ref="AQ429:AT429"/>
    <mergeCell ref="B430:C430"/>
    <mergeCell ref="D430:O430"/>
    <mergeCell ref="P430:R430"/>
    <mergeCell ref="S430:T430"/>
    <mergeCell ref="U430:W430"/>
    <mergeCell ref="X430:Z430"/>
    <mergeCell ref="AA430:AC430"/>
    <mergeCell ref="AD430:AF430"/>
    <mergeCell ref="AG430:AI430"/>
    <mergeCell ref="AJ430:AL430"/>
    <mergeCell ref="AM430:AP430"/>
    <mergeCell ref="AQ430:AT430"/>
    <mergeCell ref="B431:C431"/>
    <mergeCell ref="D431:O431"/>
    <mergeCell ref="P431:R431"/>
    <mergeCell ref="S431:T431"/>
    <mergeCell ref="U431:W431"/>
    <mergeCell ref="X431:Z431"/>
    <mergeCell ref="AA431:AC431"/>
    <mergeCell ref="AD431:AF431"/>
    <mergeCell ref="AG431:AI431"/>
    <mergeCell ref="AJ431:AL431"/>
    <mergeCell ref="AM431:AP431"/>
    <mergeCell ref="AQ431:AT431"/>
    <mergeCell ref="B439:C439"/>
    <mergeCell ref="D439:O439"/>
    <mergeCell ref="P439:R439"/>
    <mergeCell ref="S439:T439"/>
    <mergeCell ref="U439:W439"/>
    <mergeCell ref="X439:Z439"/>
    <mergeCell ref="AA439:AC439"/>
    <mergeCell ref="AD439:AF439"/>
    <mergeCell ref="AG439:AI439"/>
    <mergeCell ref="AJ439:AL439"/>
    <mergeCell ref="AM439:AP439"/>
    <mergeCell ref="AQ439:AT439"/>
    <mergeCell ref="U436:W436"/>
    <mergeCell ref="X436:Z436"/>
    <mergeCell ref="AA436:AC436"/>
    <mergeCell ref="AD436:AF436"/>
    <mergeCell ref="AG436:AI436"/>
    <mergeCell ref="AJ436:AL436"/>
    <mergeCell ref="AM436:AP436"/>
    <mergeCell ref="AQ436:AT436"/>
    <mergeCell ref="B433:C433"/>
    <mergeCell ref="D433:O433"/>
    <mergeCell ref="P433:R433"/>
    <mergeCell ref="S433:T433"/>
    <mergeCell ref="U433:W433"/>
    <mergeCell ref="X433:Z433"/>
    <mergeCell ref="AA433:AC433"/>
    <mergeCell ref="AD433:AF433"/>
    <mergeCell ref="AG433:AI433"/>
    <mergeCell ref="AJ433:AL433"/>
    <mergeCell ref="AM433:AP433"/>
    <mergeCell ref="AQ433:AT433"/>
    <mergeCell ref="B434:C434"/>
    <mergeCell ref="D434:O434"/>
    <mergeCell ref="P434:R434"/>
    <mergeCell ref="S434:T434"/>
    <mergeCell ref="U434:W434"/>
    <mergeCell ref="X434:Z434"/>
    <mergeCell ref="AA434:AC434"/>
    <mergeCell ref="AD434:AF434"/>
    <mergeCell ref="AG434:AI434"/>
    <mergeCell ref="AJ434:AL434"/>
    <mergeCell ref="AM434:AP434"/>
    <mergeCell ref="AQ434:AT434"/>
    <mergeCell ref="AM437:AP437"/>
    <mergeCell ref="AQ437:AT437"/>
    <mergeCell ref="B438:C438"/>
    <mergeCell ref="D438:O438"/>
    <mergeCell ref="P438:R438"/>
    <mergeCell ref="S438:T438"/>
    <mergeCell ref="U438:W438"/>
    <mergeCell ref="X438:Z438"/>
    <mergeCell ref="AA438:AC438"/>
    <mergeCell ref="AD438:AF438"/>
    <mergeCell ref="AG438:AI438"/>
    <mergeCell ref="AJ438:AL438"/>
    <mergeCell ref="AM438:AP438"/>
    <mergeCell ref="AQ438:AT438"/>
    <mergeCell ref="B425:C425"/>
    <mergeCell ref="D425:O425"/>
    <mergeCell ref="P425:R425"/>
    <mergeCell ref="S425:T425"/>
    <mergeCell ref="U425:W425"/>
    <mergeCell ref="X425:Z425"/>
    <mergeCell ref="AA425:AC425"/>
    <mergeCell ref="AD425:AF425"/>
    <mergeCell ref="AG425:AI425"/>
    <mergeCell ref="AJ425:AL425"/>
    <mergeCell ref="AM425:AP425"/>
    <mergeCell ref="AQ425:AT425"/>
    <mergeCell ref="B426:C426"/>
    <mergeCell ref="D426:O426"/>
    <mergeCell ref="P426:R426"/>
    <mergeCell ref="S426:T426"/>
    <mergeCell ref="U426:W426"/>
    <mergeCell ref="X426:Z426"/>
    <mergeCell ref="AA426:AC426"/>
    <mergeCell ref="AD426:AF426"/>
    <mergeCell ref="AG426:AI426"/>
    <mergeCell ref="AJ426:AL426"/>
    <mergeCell ref="AM426:AP426"/>
    <mergeCell ref="AQ426:AT426"/>
    <mergeCell ref="B423:C423"/>
    <mergeCell ref="D423:O423"/>
    <mergeCell ref="P423:R423"/>
    <mergeCell ref="S423:T423"/>
    <mergeCell ref="U423:W423"/>
    <mergeCell ref="X423:Z423"/>
    <mergeCell ref="AA423:AC423"/>
    <mergeCell ref="AD423:AF423"/>
    <mergeCell ref="AG423:AI423"/>
    <mergeCell ref="AJ423:AL423"/>
    <mergeCell ref="AM423:AP423"/>
    <mergeCell ref="AQ423:AT423"/>
    <mergeCell ref="B424:C424"/>
    <mergeCell ref="D424:O424"/>
    <mergeCell ref="P424:R424"/>
    <mergeCell ref="S424:T424"/>
    <mergeCell ref="U424:W424"/>
    <mergeCell ref="X424:Z424"/>
    <mergeCell ref="AA424:AC424"/>
    <mergeCell ref="AD424:AF424"/>
    <mergeCell ref="AG424:AI424"/>
    <mergeCell ref="AJ424:AL424"/>
    <mergeCell ref="AM424:AP424"/>
    <mergeCell ref="AQ424:AT424"/>
    <mergeCell ref="B484:C484"/>
    <mergeCell ref="D484:O484"/>
    <mergeCell ref="P484:R484"/>
    <mergeCell ref="S484:T484"/>
    <mergeCell ref="U484:W484"/>
    <mergeCell ref="X484:Z484"/>
    <mergeCell ref="AA484:AC484"/>
    <mergeCell ref="AD484:AF484"/>
    <mergeCell ref="AG484:AI484"/>
    <mergeCell ref="AJ484:AL484"/>
    <mergeCell ref="AM484:AP484"/>
    <mergeCell ref="AQ484:AT484"/>
    <mergeCell ref="B485:C485"/>
    <mergeCell ref="D485:O485"/>
    <mergeCell ref="P485:R485"/>
    <mergeCell ref="S485:T485"/>
    <mergeCell ref="U485:W485"/>
    <mergeCell ref="X485:Z485"/>
    <mergeCell ref="AA485:AC485"/>
    <mergeCell ref="AD485:AF485"/>
    <mergeCell ref="AG485:AI485"/>
    <mergeCell ref="AJ485:AL485"/>
    <mergeCell ref="AM485:AP485"/>
    <mergeCell ref="AQ485:AT485"/>
    <mergeCell ref="B427:C427"/>
    <mergeCell ref="D427:O427"/>
    <mergeCell ref="P427:R427"/>
    <mergeCell ref="S427:T427"/>
    <mergeCell ref="U427:W427"/>
    <mergeCell ref="X427:Z427"/>
    <mergeCell ref="AA427:AC427"/>
    <mergeCell ref="AD427:AF427"/>
    <mergeCell ref="AG427:AI427"/>
    <mergeCell ref="AJ427:AL427"/>
    <mergeCell ref="AM427:AP427"/>
    <mergeCell ref="AQ427:AT427"/>
    <mergeCell ref="B428:C428"/>
    <mergeCell ref="D428:O428"/>
    <mergeCell ref="P428:R428"/>
    <mergeCell ref="S428:T428"/>
    <mergeCell ref="U428:W428"/>
    <mergeCell ref="X428:Z428"/>
    <mergeCell ref="AA428:AC428"/>
    <mergeCell ref="AD428:AF428"/>
    <mergeCell ref="AG428:AI428"/>
    <mergeCell ref="AJ428:AL428"/>
    <mergeCell ref="AM428:AP428"/>
    <mergeCell ref="AQ428:AT428"/>
    <mergeCell ref="B435:C435"/>
    <mergeCell ref="D435:O435"/>
    <mergeCell ref="P435:R435"/>
    <mergeCell ref="S435:T435"/>
    <mergeCell ref="U435:W435"/>
    <mergeCell ref="X435:Z435"/>
    <mergeCell ref="AA435:AC435"/>
    <mergeCell ref="AD435:AF435"/>
    <mergeCell ref="AG435:AI435"/>
    <mergeCell ref="AJ435:AL435"/>
    <mergeCell ref="AM435:AP435"/>
    <mergeCell ref="AQ435:AT435"/>
    <mergeCell ref="B436:C436"/>
    <mergeCell ref="D436:O436"/>
    <mergeCell ref="P436:R436"/>
    <mergeCell ref="S436:T436"/>
    <mergeCell ref="B483:C483"/>
    <mergeCell ref="D483:O483"/>
    <mergeCell ref="P483:R483"/>
    <mergeCell ref="S483:T483"/>
    <mergeCell ref="U483:W483"/>
    <mergeCell ref="X483:Z483"/>
    <mergeCell ref="AA483:AC483"/>
    <mergeCell ref="AD483:AF483"/>
    <mergeCell ref="AG483:AI483"/>
    <mergeCell ref="AJ483:AL483"/>
    <mergeCell ref="AM483:AP483"/>
    <mergeCell ref="AQ483:AT483"/>
    <mergeCell ref="B480:C480"/>
    <mergeCell ref="D480:O480"/>
    <mergeCell ref="P480:R480"/>
    <mergeCell ref="S480:T480"/>
    <mergeCell ref="U480:W480"/>
    <mergeCell ref="X480:Z480"/>
    <mergeCell ref="AA480:AC480"/>
    <mergeCell ref="AD480:AF480"/>
    <mergeCell ref="AG480:AI480"/>
    <mergeCell ref="AJ480:AL480"/>
    <mergeCell ref="AM480:AP480"/>
    <mergeCell ref="AQ480:AT480"/>
    <mergeCell ref="B481:C481"/>
    <mergeCell ref="D481:O481"/>
    <mergeCell ref="P481:R481"/>
    <mergeCell ref="S481:T481"/>
    <mergeCell ref="U481:W481"/>
    <mergeCell ref="X481:Z481"/>
    <mergeCell ref="AA481:AC481"/>
    <mergeCell ref="AD481:AF481"/>
    <mergeCell ref="AG481:AI481"/>
    <mergeCell ref="AJ481:AL481"/>
    <mergeCell ref="AM481:AP481"/>
    <mergeCell ref="AQ481:AT481"/>
    <mergeCell ref="B476:C476"/>
    <mergeCell ref="D476:O476"/>
    <mergeCell ref="P476:R476"/>
    <mergeCell ref="S476:T476"/>
    <mergeCell ref="U476:W476"/>
    <mergeCell ref="X476:Z476"/>
    <mergeCell ref="AA476:AC476"/>
    <mergeCell ref="AD476:AF476"/>
    <mergeCell ref="AG476:AI476"/>
    <mergeCell ref="AJ476:AL476"/>
    <mergeCell ref="AM476:AP476"/>
    <mergeCell ref="AQ476:AT476"/>
    <mergeCell ref="B477:C477"/>
    <mergeCell ref="D477:O477"/>
    <mergeCell ref="P477:R477"/>
    <mergeCell ref="S477:T477"/>
    <mergeCell ref="U477:W477"/>
    <mergeCell ref="X477:Z477"/>
    <mergeCell ref="AA477:AC477"/>
    <mergeCell ref="AD477:AF477"/>
    <mergeCell ref="AG477:AI477"/>
    <mergeCell ref="AJ477:AL477"/>
    <mergeCell ref="AM477:AP477"/>
    <mergeCell ref="AQ477:AT477"/>
    <mergeCell ref="B482:C482"/>
    <mergeCell ref="D482:O482"/>
    <mergeCell ref="P482:R482"/>
    <mergeCell ref="S482:T482"/>
    <mergeCell ref="U482:W482"/>
    <mergeCell ref="X482:Z482"/>
    <mergeCell ref="AA482:AC482"/>
    <mergeCell ref="AD482:AF482"/>
    <mergeCell ref="AG482:AI482"/>
    <mergeCell ref="AJ482:AL482"/>
    <mergeCell ref="AM482:AP482"/>
    <mergeCell ref="AQ482:AT482"/>
    <mergeCell ref="B466:C466"/>
    <mergeCell ref="D466:O466"/>
    <mergeCell ref="P466:R466"/>
    <mergeCell ref="S466:T466"/>
    <mergeCell ref="U466:W466"/>
    <mergeCell ref="X466:Z466"/>
    <mergeCell ref="AA466:AC466"/>
    <mergeCell ref="AD466:AF466"/>
    <mergeCell ref="AG466:AI466"/>
    <mergeCell ref="AJ466:AL466"/>
    <mergeCell ref="AM466:AP466"/>
    <mergeCell ref="AQ466:AT466"/>
    <mergeCell ref="B467:C467"/>
    <mergeCell ref="D467:O467"/>
    <mergeCell ref="P467:R467"/>
    <mergeCell ref="S467:T467"/>
    <mergeCell ref="U467:W467"/>
    <mergeCell ref="X467:Z467"/>
    <mergeCell ref="AA467:AC467"/>
    <mergeCell ref="AD467:AF467"/>
    <mergeCell ref="AG467:AI467"/>
    <mergeCell ref="AJ467:AL467"/>
    <mergeCell ref="AM467:AP467"/>
    <mergeCell ref="AQ467:AT467"/>
    <mergeCell ref="B478:C478"/>
    <mergeCell ref="D478:O478"/>
    <mergeCell ref="P478:R478"/>
    <mergeCell ref="S478:T478"/>
    <mergeCell ref="U478:W478"/>
    <mergeCell ref="X478:Z478"/>
    <mergeCell ref="AA478:AC478"/>
    <mergeCell ref="AD478:AF478"/>
    <mergeCell ref="AG478:AI478"/>
    <mergeCell ref="AJ478:AL478"/>
    <mergeCell ref="AM478:AP478"/>
    <mergeCell ref="AQ478:AT478"/>
    <mergeCell ref="B470:C470"/>
    <mergeCell ref="D470:O470"/>
    <mergeCell ref="P470:R470"/>
    <mergeCell ref="S470:T470"/>
    <mergeCell ref="U470:W470"/>
    <mergeCell ref="X470:Z470"/>
    <mergeCell ref="AA470:AC470"/>
    <mergeCell ref="AD470:AF470"/>
    <mergeCell ref="AG470:AI470"/>
    <mergeCell ref="AJ470:AL470"/>
    <mergeCell ref="AM470:AP470"/>
    <mergeCell ref="AQ470:AT470"/>
    <mergeCell ref="B471:C471"/>
    <mergeCell ref="D471:O471"/>
    <mergeCell ref="P471:R471"/>
    <mergeCell ref="S471:T471"/>
    <mergeCell ref="U471:W471"/>
    <mergeCell ref="X471:Z471"/>
    <mergeCell ref="AA471:AC471"/>
    <mergeCell ref="AD471:AF471"/>
    <mergeCell ref="AG471:AI471"/>
    <mergeCell ref="AJ471:AL471"/>
    <mergeCell ref="AM471:AP471"/>
    <mergeCell ref="AQ471:AT471"/>
    <mergeCell ref="B468:C468"/>
    <mergeCell ref="D468:O468"/>
    <mergeCell ref="P468:R468"/>
    <mergeCell ref="S468:T468"/>
    <mergeCell ref="U468:W468"/>
    <mergeCell ref="X468:Z468"/>
    <mergeCell ref="AA468:AC468"/>
    <mergeCell ref="AD468:AF468"/>
    <mergeCell ref="AG468:AI468"/>
    <mergeCell ref="AJ468:AL468"/>
    <mergeCell ref="AM468:AP468"/>
    <mergeCell ref="AQ468:AT468"/>
    <mergeCell ref="B469:C469"/>
    <mergeCell ref="D469:O469"/>
    <mergeCell ref="P469:R469"/>
    <mergeCell ref="S469:T469"/>
    <mergeCell ref="U469:W469"/>
    <mergeCell ref="X469:Z469"/>
    <mergeCell ref="AA469:AC469"/>
    <mergeCell ref="AD469:AF469"/>
    <mergeCell ref="AG469:AI469"/>
    <mergeCell ref="AJ469:AL469"/>
    <mergeCell ref="AM469:AP469"/>
    <mergeCell ref="AQ469:AT469"/>
    <mergeCell ref="B474:C474"/>
    <mergeCell ref="D474:O474"/>
    <mergeCell ref="P474:R474"/>
    <mergeCell ref="S474:T474"/>
    <mergeCell ref="U474:W474"/>
    <mergeCell ref="X474:Z474"/>
    <mergeCell ref="AA474:AC474"/>
    <mergeCell ref="AD474:AF474"/>
    <mergeCell ref="AG474:AI474"/>
    <mergeCell ref="AJ474:AL474"/>
    <mergeCell ref="AM474:AP474"/>
    <mergeCell ref="AQ474:AT474"/>
    <mergeCell ref="B475:C475"/>
    <mergeCell ref="D475:O475"/>
    <mergeCell ref="P475:R475"/>
    <mergeCell ref="S475:T475"/>
    <mergeCell ref="U475:W475"/>
    <mergeCell ref="X475:Z475"/>
    <mergeCell ref="AA475:AC475"/>
    <mergeCell ref="AD475:AF475"/>
    <mergeCell ref="AG475:AI475"/>
    <mergeCell ref="AJ475:AL475"/>
    <mergeCell ref="AM475:AP475"/>
    <mergeCell ref="AQ475:AT475"/>
    <mergeCell ref="B472:C472"/>
    <mergeCell ref="D472:O472"/>
    <mergeCell ref="P472:R472"/>
    <mergeCell ref="S472:T472"/>
    <mergeCell ref="U472:W472"/>
    <mergeCell ref="X472:Z472"/>
    <mergeCell ref="AA472:AC472"/>
    <mergeCell ref="AD472:AF472"/>
    <mergeCell ref="AG472:AI472"/>
    <mergeCell ref="AJ472:AL472"/>
    <mergeCell ref="AM472:AP472"/>
    <mergeCell ref="AQ472:AT472"/>
    <mergeCell ref="B473:C473"/>
    <mergeCell ref="D473:O473"/>
    <mergeCell ref="P473:R473"/>
    <mergeCell ref="S473:T473"/>
    <mergeCell ref="U473:W473"/>
    <mergeCell ref="X473:Z473"/>
    <mergeCell ref="AA473:AC473"/>
    <mergeCell ref="AD473:AF473"/>
    <mergeCell ref="AG473:AI473"/>
    <mergeCell ref="AJ473:AL473"/>
    <mergeCell ref="AM473:AP473"/>
    <mergeCell ref="AQ473:AT473"/>
    <mergeCell ref="B515:C515"/>
    <mergeCell ref="D515:O515"/>
    <mergeCell ref="P515:R515"/>
    <mergeCell ref="S515:T515"/>
    <mergeCell ref="U515:W515"/>
    <mergeCell ref="X515:Z515"/>
    <mergeCell ref="AA515:AC515"/>
    <mergeCell ref="AD515:AF515"/>
    <mergeCell ref="AG515:AI515"/>
    <mergeCell ref="AJ515:AL515"/>
    <mergeCell ref="AM515:AP515"/>
    <mergeCell ref="AQ515:AT515"/>
    <mergeCell ref="B516:C516"/>
    <mergeCell ref="D516:O516"/>
    <mergeCell ref="P516:R516"/>
    <mergeCell ref="S516:T516"/>
    <mergeCell ref="U516:W516"/>
    <mergeCell ref="X516:Z516"/>
    <mergeCell ref="AA516:AC516"/>
    <mergeCell ref="AD516:AF516"/>
    <mergeCell ref="AG516:AI516"/>
    <mergeCell ref="AJ516:AL516"/>
    <mergeCell ref="AM516:AP516"/>
    <mergeCell ref="AQ516:AT516"/>
    <mergeCell ref="B513:C513"/>
    <mergeCell ref="D513:O513"/>
    <mergeCell ref="P513:R513"/>
    <mergeCell ref="S513:T513"/>
    <mergeCell ref="U513:W513"/>
    <mergeCell ref="X513:Z513"/>
    <mergeCell ref="AA513:AC513"/>
    <mergeCell ref="AD513:AF513"/>
    <mergeCell ref="AG513:AI513"/>
    <mergeCell ref="AJ513:AL513"/>
    <mergeCell ref="AM513:AP513"/>
    <mergeCell ref="AQ513:AT513"/>
    <mergeCell ref="B514:C514"/>
    <mergeCell ref="D514:O514"/>
    <mergeCell ref="P514:R514"/>
    <mergeCell ref="S514:T514"/>
    <mergeCell ref="U514:W514"/>
    <mergeCell ref="X514:Z514"/>
    <mergeCell ref="AA514:AC514"/>
    <mergeCell ref="AD514:AF514"/>
    <mergeCell ref="AG514:AI514"/>
    <mergeCell ref="AJ514:AL514"/>
    <mergeCell ref="AM514:AP514"/>
    <mergeCell ref="AQ514:AT514"/>
    <mergeCell ref="B479:C479"/>
    <mergeCell ref="D479:O479"/>
    <mergeCell ref="P479:R479"/>
    <mergeCell ref="S479:T479"/>
    <mergeCell ref="U479:W479"/>
    <mergeCell ref="X479:Z479"/>
    <mergeCell ref="AA479:AC479"/>
    <mergeCell ref="AD479:AF479"/>
    <mergeCell ref="AG479:AI479"/>
    <mergeCell ref="AJ479:AL479"/>
    <mergeCell ref="AM479:AP479"/>
    <mergeCell ref="AQ479:AT479"/>
    <mergeCell ref="S520:T520"/>
    <mergeCell ref="U520:W520"/>
    <mergeCell ref="X520:Z520"/>
    <mergeCell ref="AA520:AC520"/>
    <mergeCell ref="AD520:AF520"/>
    <mergeCell ref="AG520:AI520"/>
    <mergeCell ref="AJ520:AL520"/>
    <mergeCell ref="AM520:AP520"/>
    <mergeCell ref="AQ520:AT520"/>
    <mergeCell ref="B517:C517"/>
    <mergeCell ref="D517:O517"/>
    <mergeCell ref="P517:R517"/>
    <mergeCell ref="S517:T517"/>
    <mergeCell ref="U517:W517"/>
    <mergeCell ref="X517:Z517"/>
    <mergeCell ref="AA517:AC517"/>
    <mergeCell ref="AD517:AF517"/>
    <mergeCell ref="AG517:AI517"/>
    <mergeCell ref="AJ517:AL517"/>
    <mergeCell ref="AM517:AP517"/>
    <mergeCell ref="AQ517:AT517"/>
    <mergeCell ref="B518:C518"/>
    <mergeCell ref="D518:O518"/>
    <mergeCell ref="P518:R518"/>
    <mergeCell ref="S518:T518"/>
    <mergeCell ref="U518:W518"/>
    <mergeCell ref="X518:Z518"/>
    <mergeCell ref="AA518:AC518"/>
    <mergeCell ref="AD518:AF518"/>
    <mergeCell ref="AG518:AI518"/>
    <mergeCell ref="AJ518:AL518"/>
    <mergeCell ref="AM518:AP518"/>
    <mergeCell ref="AQ518:AT518"/>
    <mergeCell ref="AJ519:AL519"/>
    <mergeCell ref="AM519:AP519"/>
    <mergeCell ref="AQ519:AT519"/>
    <mergeCell ref="B523:C523"/>
    <mergeCell ref="D523:O523"/>
    <mergeCell ref="P523:R523"/>
    <mergeCell ref="S523:T523"/>
    <mergeCell ref="U523:W523"/>
    <mergeCell ref="X523:Z523"/>
    <mergeCell ref="AA523:AC523"/>
    <mergeCell ref="AD523:AF523"/>
    <mergeCell ref="AG523:AI523"/>
    <mergeCell ref="AJ523:AL523"/>
    <mergeCell ref="AM523:AP523"/>
    <mergeCell ref="AQ523:AT523"/>
    <mergeCell ref="B524:C524"/>
    <mergeCell ref="D524:O524"/>
    <mergeCell ref="P524:R524"/>
    <mergeCell ref="S524:T524"/>
    <mergeCell ref="U524:W524"/>
    <mergeCell ref="X524:Z524"/>
    <mergeCell ref="AA524:AC524"/>
    <mergeCell ref="AD524:AF524"/>
    <mergeCell ref="AG524:AI524"/>
    <mergeCell ref="AJ524:AL524"/>
    <mergeCell ref="AM524:AP524"/>
    <mergeCell ref="AQ524:AT524"/>
    <mergeCell ref="B521:C521"/>
    <mergeCell ref="D521:O521"/>
    <mergeCell ref="P521:R521"/>
    <mergeCell ref="S521:T521"/>
    <mergeCell ref="U521:W521"/>
    <mergeCell ref="X521:Z521"/>
    <mergeCell ref="AA521:AC521"/>
    <mergeCell ref="AD521:AF521"/>
    <mergeCell ref="AG521:AI521"/>
    <mergeCell ref="AJ521:AL521"/>
    <mergeCell ref="AM521:AP521"/>
    <mergeCell ref="AQ521:AT521"/>
    <mergeCell ref="B522:C522"/>
    <mergeCell ref="D522:O522"/>
    <mergeCell ref="P522:R522"/>
    <mergeCell ref="S522:T522"/>
    <mergeCell ref="U522:W522"/>
    <mergeCell ref="X522:Z522"/>
    <mergeCell ref="AA522:AC522"/>
    <mergeCell ref="AD522:AF522"/>
    <mergeCell ref="AG522:AI522"/>
    <mergeCell ref="AJ522:AL522"/>
    <mergeCell ref="AM522:AP522"/>
    <mergeCell ref="AQ522:AT522"/>
    <mergeCell ref="B527:C527"/>
    <mergeCell ref="D527:O527"/>
    <mergeCell ref="P527:R527"/>
    <mergeCell ref="S527:T527"/>
    <mergeCell ref="U527:W527"/>
    <mergeCell ref="X527:Z527"/>
    <mergeCell ref="AA527:AC527"/>
    <mergeCell ref="AD527:AF527"/>
    <mergeCell ref="AG527:AI527"/>
    <mergeCell ref="AJ527:AL527"/>
    <mergeCell ref="AM527:AP527"/>
    <mergeCell ref="AQ527:AT527"/>
    <mergeCell ref="B528:C528"/>
    <mergeCell ref="D528:O528"/>
    <mergeCell ref="P528:R528"/>
    <mergeCell ref="S528:T528"/>
    <mergeCell ref="U528:W528"/>
    <mergeCell ref="X528:Z528"/>
    <mergeCell ref="AA528:AC528"/>
    <mergeCell ref="AD528:AF528"/>
    <mergeCell ref="AG528:AI528"/>
    <mergeCell ref="AJ528:AL528"/>
    <mergeCell ref="AM528:AP528"/>
    <mergeCell ref="AQ528:AT528"/>
    <mergeCell ref="B525:C525"/>
    <mergeCell ref="D525:O525"/>
    <mergeCell ref="P525:R525"/>
    <mergeCell ref="S525:T525"/>
    <mergeCell ref="U525:W525"/>
    <mergeCell ref="X525:Z525"/>
    <mergeCell ref="AA525:AC525"/>
    <mergeCell ref="AD525:AF525"/>
    <mergeCell ref="AG525:AI525"/>
    <mergeCell ref="AJ525:AL525"/>
    <mergeCell ref="AM525:AP525"/>
    <mergeCell ref="AQ525:AT525"/>
    <mergeCell ref="B526:C526"/>
    <mergeCell ref="D526:O526"/>
    <mergeCell ref="P526:R526"/>
    <mergeCell ref="S526:T526"/>
    <mergeCell ref="U526:W526"/>
    <mergeCell ref="X526:Z526"/>
    <mergeCell ref="AA526:AC526"/>
    <mergeCell ref="AD526:AF526"/>
    <mergeCell ref="AG526:AI526"/>
    <mergeCell ref="AJ526:AL526"/>
    <mergeCell ref="AM526:AP526"/>
    <mergeCell ref="AQ526:AT526"/>
    <mergeCell ref="B531:C531"/>
    <mergeCell ref="D531:O531"/>
    <mergeCell ref="P531:R531"/>
    <mergeCell ref="S531:T531"/>
    <mergeCell ref="U531:W531"/>
    <mergeCell ref="X531:Z531"/>
    <mergeCell ref="AA531:AC531"/>
    <mergeCell ref="AD531:AF531"/>
    <mergeCell ref="AG531:AI531"/>
    <mergeCell ref="AJ531:AL531"/>
    <mergeCell ref="AM531:AP531"/>
    <mergeCell ref="AQ531:AT531"/>
    <mergeCell ref="B532:C532"/>
    <mergeCell ref="D532:O532"/>
    <mergeCell ref="P532:R532"/>
    <mergeCell ref="S532:T532"/>
    <mergeCell ref="U532:W532"/>
    <mergeCell ref="X532:Z532"/>
    <mergeCell ref="AA532:AC532"/>
    <mergeCell ref="AD532:AF532"/>
    <mergeCell ref="AG532:AI532"/>
    <mergeCell ref="AJ532:AL532"/>
    <mergeCell ref="AM532:AP532"/>
    <mergeCell ref="AQ532:AT532"/>
    <mergeCell ref="B529:C529"/>
    <mergeCell ref="D529:O529"/>
    <mergeCell ref="P529:R529"/>
    <mergeCell ref="S529:T529"/>
    <mergeCell ref="U529:W529"/>
    <mergeCell ref="X529:Z529"/>
    <mergeCell ref="AA529:AC529"/>
    <mergeCell ref="AD529:AF529"/>
    <mergeCell ref="AG529:AI529"/>
    <mergeCell ref="AJ529:AL529"/>
    <mergeCell ref="AM529:AP529"/>
    <mergeCell ref="AQ529:AT529"/>
    <mergeCell ref="B530:C530"/>
    <mergeCell ref="D530:O530"/>
    <mergeCell ref="P530:R530"/>
    <mergeCell ref="S530:T530"/>
    <mergeCell ref="U530:W530"/>
    <mergeCell ref="X530:Z530"/>
    <mergeCell ref="AA530:AC530"/>
    <mergeCell ref="AD530:AF530"/>
    <mergeCell ref="AG530:AI530"/>
    <mergeCell ref="AJ530:AL530"/>
    <mergeCell ref="AM530:AP530"/>
    <mergeCell ref="AQ530:AT530"/>
    <mergeCell ref="B558:C558"/>
    <mergeCell ref="D558:O558"/>
    <mergeCell ref="P558:R558"/>
    <mergeCell ref="S558:T558"/>
    <mergeCell ref="U558:W558"/>
    <mergeCell ref="X558:Z558"/>
    <mergeCell ref="AA558:AC558"/>
    <mergeCell ref="AD558:AF558"/>
    <mergeCell ref="AG558:AI558"/>
    <mergeCell ref="AJ558:AL558"/>
    <mergeCell ref="AM558:AP558"/>
    <mergeCell ref="AQ558:AT558"/>
    <mergeCell ref="B559:C559"/>
    <mergeCell ref="D559:O559"/>
    <mergeCell ref="P559:R559"/>
    <mergeCell ref="S559:T559"/>
    <mergeCell ref="U559:W559"/>
    <mergeCell ref="X559:Z559"/>
    <mergeCell ref="AA559:AC559"/>
    <mergeCell ref="AD559:AF559"/>
    <mergeCell ref="AG559:AI559"/>
    <mergeCell ref="AJ559:AL559"/>
    <mergeCell ref="AM559:AP559"/>
    <mergeCell ref="AQ559:AT559"/>
    <mergeCell ref="B564:C564"/>
    <mergeCell ref="D564:O564"/>
    <mergeCell ref="P564:R564"/>
    <mergeCell ref="S564:T564"/>
    <mergeCell ref="U564:W564"/>
    <mergeCell ref="X564:Z564"/>
    <mergeCell ref="AA564:AC564"/>
    <mergeCell ref="AD564:AF564"/>
    <mergeCell ref="AG564:AI564"/>
    <mergeCell ref="AJ564:AL564"/>
    <mergeCell ref="AM564:AP564"/>
    <mergeCell ref="AQ564:AT564"/>
    <mergeCell ref="U560:W560"/>
    <mergeCell ref="X560:Z560"/>
    <mergeCell ref="AA560:AC560"/>
    <mergeCell ref="AD560:AF560"/>
    <mergeCell ref="AG560:AI560"/>
    <mergeCell ref="AJ560:AL560"/>
    <mergeCell ref="AM560:AP560"/>
    <mergeCell ref="AQ560:AT560"/>
    <mergeCell ref="B561:C561"/>
    <mergeCell ref="D561:O561"/>
    <mergeCell ref="P561:R561"/>
    <mergeCell ref="S561:T561"/>
    <mergeCell ref="U561:W561"/>
    <mergeCell ref="X561:Z561"/>
    <mergeCell ref="AA561:AC561"/>
    <mergeCell ref="AD561:AF561"/>
    <mergeCell ref="AG561:AI561"/>
    <mergeCell ref="AJ561:AL561"/>
    <mergeCell ref="AM561:AP561"/>
    <mergeCell ref="AQ561:AT561"/>
    <mergeCell ref="AG565:AI565"/>
    <mergeCell ref="AJ565:AL565"/>
    <mergeCell ref="AM565:AP565"/>
    <mergeCell ref="AQ565:AT565"/>
    <mergeCell ref="B562:C562"/>
    <mergeCell ref="D562:O562"/>
    <mergeCell ref="P562:R562"/>
    <mergeCell ref="S562:T562"/>
    <mergeCell ref="U562:W562"/>
    <mergeCell ref="X562:Z562"/>
    <mergeCell ref="AA562:AC562"/>
    <mergeCell ref="AD562:AF562"/>
    <mergeCell ref="AG562:AI562"/>
    <mergeCell ref="AJ562:AL562"/>
    <mergeCell ref="AM562:AP562"/>
    <mergeCell ref="AQ562:AT562"/>
    <mergeCell ref="B563:C563"/>
    <mergeCell ref="D563:O563"/>
    <mergeCell ref="P563:R563"/>
    <mergeCell ref="S563:T563"/>
    <mergeCell ref="U563:W563"/>
    <mergeCell ref="X563:Z563"/>
    <mergeCell ref="AA563:AC563"/>
    <mergeCell ref="AD563:AF563"/>
    <mergeCell ref="AG563:AI563"/>
    <mergeCell ref="AJ563:AL563"/>
    <mergeCell ref="AM563:AP563"/>
    <mergeCell ref="AQ563:AT563"/>
    <mergeCell ref="B568:C568"/>
    <mergeCell ref="D568:O568"/>
    <mergeCell ref="P568:R568"/>
    <mergeCell ref="S568:T568"/>
    <mergeCell ref="U568:W568"/>
    <mergeCell ref="X568:Z568"/>
    <mergeCell ref="AA568:AC568"/>
    <mergeCell ref="AD568:AF568"/>
    <mergeCell ref="AG568:AI568"/>
    <mergeCell ref="AJ568:AL568"/>
    <mergeCell ref="AM568:AP568"/>
    <mergeCell ref="AQ568:AT568"/>
    <mergeCell ref="B565:C565"/>
    <mergeCell ref="D565:O565"/>
    <mergeCell ref="P565:R565"/>
    <mergeCell ref="S565:T565"/>
    <mergeCell ref="U565:W565"/>
    <mergeCell ref="X565:Z565"/>
    <mergeCell ref="AA565:AC565"/>
    <mergeCell ref="AD565:AF565"/>
    <mergeCell ref="B569:C569"/>
    <mergeCell ref="D569:O569"/>
    <mergeCell ref="P569:R569"/>
    <mergeCell ref="S569:T569"/>
    <mergeCell ref="U569:W569"/>
    <mergeCell ref="X569:Z569"/>
    <mergeCell ref="AA569:AC569"/>
    <mergeCell ref="AD569:AF569"/>
    <mergeCell ref="AG569:AI569"/>
    <mergeCell ref="AJ569:AL569"/>
    <mergeCell ref="AM569:AP569"/>
    <mergeCell ref="AQ569:AT569"/>
    <mergeCell ref="B566:C566"/>
    <mergeCell ref="D566:O566"/>
    <mergeCell ref="P566:R566"/>
    <mergeCell ref="S566:T566"/>
    <mergeCell ref="U566:W566"/>
    <mergeCell ref="X566:Z566"/>
    <mergeCell ref="AA566:AC566"/>
    <mergeCell ref="AD566:AF566"/>
    <mergeCell ref="AG566:AI566"/>
    <mergeCell ref="AJ566:AL566"/>
    <mergeCell ref="AM566:AP566"/>
    <mergeCell ref="AQ566:AT566"/>
    <mergeCell ref="B567:C567"/>
    <mergeCell ref="D567:O567"/>
    <mergeCell ref="P567:R567"/>
    <mergeCell ref="S567:T567"/>
    <mergeCell ref="U567:W567"/>
    <mergeCell ref="X567:Z567"/>
    <mergeCell ref="AA567:AC567"/>
    <mergeCell ref="AD567:AF567"/>
    <mergeCell ref="AG567:AI567"/>
    <mergeCell ref="AJ567:AL567"/>
    <mergeCell ref="AM567:AP567"/>
    <mergeCell ref="AQ567:AT567"/>
    <mergeCell ref="B572:C572"/>
    <mergeCell ref="D572:O572"/>
    <mergeCell ref="P572:R572"/>
    <mergeCell ref="S572:T572"/>
    <mergeCell ref="U572:W572"/>
    <mergeCell ref="X572:Z572"/>
    <mergeCell ref="AA572:AC572"/>
    <mergeCell ref="AD572:AF572"/>
    <mergeCell ref="AG572:AI572"/>
    <mergeCell ref="AJ572:AL572"/>
    <mergeCell ref="AM572:AP572"/>
    <mergeCell ref="AQ572:AT572"/>
    <mergeCell ref="B573:C573"/>
    <mergeCell ref="D573:O573"/>
    <mergeCell ref="P573:R573"/>
    <mergeCell ref="S573:T573"/>
    <mergeCell ref="U573:W573"/>
    <mergeCell ref="X573:Z573"/>
    <mergeCell ref="AA573:AC573"/>
    <mergeCell ref="AD573:AF573"/>
    <mergeCell ref="AG573:AI573"/>
    <mergeCell ref="AJ573:AL573"/>
    <mergeCell ref="AM573:AP573"/>
    <mergeCell ref="AQ573:AT573"/>
    <mergeCell ref="B570:C570"/>
    <mergeCell ref="D570:O570"/>
    <mergeCell ref="P570:R570"/>
    <mergeCell ref="S570:T570"/>
    <mergeCell ref="U570:W570"/>
    <mergeCell ref="X570:Z570"/>
    <mergeCell ref="AA570:AC570"/>
    <mergeCell ref="AD570:AF570"/>
    <mergeCell ref="AG570:AI570"/>
    <mergeCell ref="AJ570:AL570"/>
    <mergeCell ref="AM570:AP570"/>
    <mergeCell ref="AQ570:AT570"/>
    <mergeCell ref="B571:C571"/>
    <mergeCell ref="D571:O571"/>
    <mergeCell ref="P571:R571"/>
    <mergeCell ref="S571:T571"/>
    <mergeCell ref="U571:W571"/>
    <mergeCell ref="X571:Z571"/>
    <mergeCell ref="AA571:AC571"/>
    <mergeCell ref="AD571:AF571"/>
    <mergeCell ref="AG571:AI571"/>
    <mergeCell ref="AJ571:AL571"/>
    <mergeCell ref="AM571:AP571"/>
    <mergeCell ref="AQ571:AT571"/>
    <mergeCell ref="B576:C576"/>
    <mergeCell ref="D576:O576"/>
    <mergeCell ref="P576:R576"/>
    <mergeCell ref="S576:T576"/>
    <mergeCell ref="U576:W576"/>
    <mergeCell ref="X576:Z576"/>
    <mergeCell ref="AA576:AC576"/>
    <mergeCell ref="AD576:AF576"/>
    <mergeCell ref="AG576:AI576"/>
    <mergeCell ref="AJ576:AL576"/>
    <mergeCell ref="AM576:AP576"/>
    <mergeCell ref="AQ576:AT576"/>
    <mergeCell ref="B577:C577"/>
    <mergeCell ref="D577:O577"/>
    <mergeCell ref="P577:R577"/>
    <mergeCell ref="S577:T577"/>
    <mergeCell ref="U577:W577"/>
    <mergeCell ref="X577:Z577"/>
    <mergeCell ref="AA577:AC577"/>
    <mergeCell ref="AD577:AF577"/>
    <mergeCell ref="AG577:AI577"/>
    <mergeCell ref="AJ577:AL577"/>
    <mergeCell ref="AM577:AP577"/>
    <mergeCell ref="AQ577:AT577"/>
    <mergeCell ref="B574:C574"/>
    <mergeCell ref="D574:O574"/>
    <mergeCell ref="P574:R574"/>
    <mergeCell ref="S574:T574"/>
    <mergeCell ref="U574:W574"/>
    <mergeCell ref="X574:Z574"/>
    <mergeCell ref="AA574:AC574"/>
    <mergeCell ref="AD574:AF574"/>
    <mergeCell ref="AG574:AI574"/>
    <mergeCell ref="AJ574:AL574"/>
    <mergeCell ref="AM574:AP574"/>
    <mergeCell ref="AQ574:AT574"/>
    <mergeCell ref="B575:C575"/>
    <mergeCell ref="D575:O575"/>
    <mergeCell ref="P575:R575"/>
    <mergeCell ref="S575:T575"/>
    <mergeCell ref="U575:W575"/>
    <mergeCell ref="X575:Z575"/>
    <mergeCell ref="AA575:AC575"/>
    <mergeCell ref="AD575:AF575"/>
    <mergeCell ref="AG575:AI575"/>
    <mergeCell ref="AJ575:AL575"/>
    <mergeCell ref="AM575:AP575"/>
    <mergeCell ref="AQ575:AT575"/>
    <mergeCell ref="B622:C622"/>
    <mergeCell ref="D622:O622"/>
    <mergeCell ref="P622:R622"/>
    <mergeCell ref="S622:T622"/>
    <mergeCell ref="U622:W622"/>
    <mergeCell ref="X622:Z622"/>
    <mergeCell ref="AA622:AC622"/>
    <mergeCell ref="AD622:AF622"/>
    <mergeCell ref="AG622:AI622"/>
    <mergeCell ref="AJ622:AL622"/>
    <mergeCell ref="AM622:AP622"/>
    <mergeCell ref="AQ622:AT622"/>
    <mergeCell ref="B619:C619"/>
    <mergeCell ref="D619:O619"/>
    <mergeCell ref="P619:R619"/>
    <mergeCell ref="S619:T619"/>
    <mergeCell ref="U619:W619"/>
    <mergeCell ref="X619:Z619"/>
    <mergeCell ref="AA619:AC619"/>
    <mergeCell ref="AD619:AF619"/>
    <mergeCell ref="AG619:AI619"/>
    <mergeCell ref="AJ619:AL619"/>
    <mergeCell ref="AM619:AP619"/>
    <mergeCell ref="AQ619:AT619"/>
    <mergeCell ref="B620:C620"/>
    <mergeCell ref="D620:O620"/>
    <mergeCell ref="P620:R620"/>
    <mergeCell ref="S620:T620"/>
    <mergeCell ref="U620:W620"/>
    <mergeCell ref="X620:Z620"/>
    <mergeCell ref="AA620:AC620"/>
    <mergeCell ref="AD620:AF620"/>
    <mergeCell ref="AG620:AI620"/>
    <mergeCell ref="AJ620:AL620"/>
    <mergeCell ref="AM620:AP620"/>
    <mergeCell ref="AQ620:AT620"/>
    <mergeCell ref="B617:C617"/>
    <mergeCell ref="D617:O617"/>
    <mergeCell ref="P617:R617"/>
    <mergeCell ref="S617:T617"/>
    <mergeCell ref="U617:W617"/>
    <mergeCell ref="X617:Z617"/>
    <mergeCell ref="AA617:AC617"/>
    <mergeCell ref="AD617:AF617"/>
    <mergeCell ref="AG617:AI617"/>
    <mergeCell ref="AJ617:AL617"/>
    <mergeCell ref="AM617:AP617"/>
    <mergeCell ref="AQ617:AT617"/>
    <mergeCell ref="B618:C618"/>
    <mergeCell ref="D618:O618"/>
    <mergeCell ref="P618:R618"/>
    <mergeCell ref="S618:T618"/>
    <mergeCell ref="U618:W618"/>
    <mergeCell ref="X618:Z618"/>
    <mergeCell ref="AA618:AC618"/>
    <mergeCell ref="AD618:AF618"/>
    <mergeCell ref="AG618:AI618"/>
    <mergeCell ref="AJ618:AL618"/>
    <mergeCell ref="AM618:AP618"/>
    <mergeCell ref="AQ618:AT618"/>
    <mergeCell ref="B615:C615"/>
    <mergeCell ref="D615:O615"/>
    <mergeCell ref="P615:R615"/>
    <mergeCell ref="S615:T615"/>
    <mergeCell ref="U615:W615"/>
    <mergeCell ref="X615:Z615"/>
    <mergeCell ref="AA615:AC615"/>
    <mergeCell ref="AD615:AF615"/>
    <mergeCell ref="AG615:AI615"/>
    <mergeCell ref="AJ615:AL615"/>
    <mergeCell ref="AM615:AP615"/>
    <mergeCell ref="AQ615:AT615"/>
    <mergeCell ref="B616:C616"/>
    <mergeCell ref="D616:O616"/>
    <mergeCell ref="P616:R616"/>
    <mergeCell ref="S616:T616"/>
    <mergeCell ref="U616:W616"/>
    <mergeCell ref="X616:Z616"/>
    <mergeCell ref="AA616:AC616"/>
    <mergeCell ref="AD616:AF616"/>
    <mergeCell ref="AG616:AI616"/>
    <mergeCell ref="AJ616:AL616"/>
    <mergeCell ref="AM616:AP616"/>
    <mergeCell ref="AQ616:AT616"/>
    <mergeCell ref="B603:C603"/>
    <mergeCell ref="D603:O603"/>
    <mergeCell ref="P603:R603"/>
    <mergeCell ref="S603:T603"/>
    <mergeCell ref="U603:W603"/>
    <mergeCell ref="X603:Z603"/>
    <mergeCell ref="AA603:AC603"/>
    <mergeCell ref="AD603:AF603"/>
    <mergeCell ref="AG603:AI603"/>
    <mergeCell ref="AJ603:AL603"/>
    <mergeCell ref="AM603:AP603"/>
    <mergeCell ref="AQ603:AT603"/>
    <mergeCell ref="B604:C604"/>
    <mergeCell ref="D604:O604"/>
    <mergeCell ref="P604:R604"/>
    <mergeCell ref="S604:T604"/>
    <mergeCell ref="U604:W604"/>
    <mergeCell ref="X604:Z604"/>
    <mergeCell ref="AA604:AC604"/>
    <mergeCell ref="AD604:AF604"/>
    <mergeCell ref="AG604:AI604"/>
    <mergeCell ref="AJ604:AL604"/>
    <mergeCell ref="AM604:AP604"/>
    <mergeCell ref="AQ604:AT604"/>
    <mergeCell ref="B613:C613"/>
    <mergeCell ref="D613:O613"/>
    <mergeCell ref="P613:R613"/>
    <mergeCell ref="S613:T613"/>
    <mergeCell ref="U613:W613"/>
    <mergeCell ref="X613:Z613"/>
    <mergeCell ref="AA613:AC613"/>
    <mergeCell ref="AD613:AF613"/>
    <mergeCell ref="AG613:AI613"/>
    <mergeCell ref="AJ613:AL613"/>
    <mergeCell ref="AM613:AP613"/>
    <mergeCell ref="AQ613:AT613"/>
    <mergeCell ref="B607:C607"/>
    <mergeCell ref="D607:O607"/>
    <mergeCell ref="P607:R607"/>
    <mergeCell ref="S607:T607"/>
    <mergeCell ref="U607:W607"/>
    <mergeCell ref="X607:Z607"/>
    <mergeCell ref="AA607:AC607"/>
    <mergeCell ref="AD607:AF607"/>
    <mergeCell ref="AG607:AI607"/>
    <mergeCell ref="AJ607:AL607"/>
    <mergeCell ref="AM607:AP607"/>
    <mergeCell ref="AQ607:AT607"/>
    <mergeCell ref="B608:C608"/>
    <mergeCell ref="D608:O608"/>
    <mergeCell ref="P608:R608"/>
    <mergeCell ref="S608:T608"/>
    <mergeCell ref="U608:W608"/>
    <mergeCell ref="X608:Z608"/>
    <mergeCell ref="AA608:AC608"/>
    <mergeCell ref="AD608:AF608"/>
    <mergeCell ref="AG608:AI608"/>
    <mergeCell ref="AJ608:AL608"/>
    <mergeCell ref="AM608:AP608"/>
    <mergeCell ref="AQ608:AT608"/>
    <mergeCell ref="B605:C605"/>
    <mergeCell ref="D605:O605"/>
    <mergeCell ref="P605:R605"/>
    <mergeCell ref="S605:T605"/>
    <mergeCell ref="U605:W605"/>
    <mergeCell ref="X605:Z605"/>
    <mergeCell ref="AA605:AC605"/>
    <mergeCell ref="AD605:AF605"/>
    <mergeCell ref="AG605:AI605"/>
    <mergeCell ref="AJ605:AL605"/>
    <mergeCell ref="AM605:AP605"/>
    <mergeCell ref="AQ605:AT605"/>
    <mergeCell ref="B606:C606"/>
    <mergeCell ref="D606:O606"/>
    <mergeCell ref="P606:R606"/>
    <mergeCell ref="S606:T606"/>
    <mergeCell ref="U606:W606"/>
    <mergeCell ref="X606:Z606"/>
    <mergeCell ref="AA606:AC606"/>
    <mergeCell ref="AD606:AF606"/>
    <mergeCell ref="AG606:AI606"/>
    <mergeCell ref="AJ606:AL606"/>
    <mergeCell ref="AM606:AP606"/>
    <mergeCell ref="AQ606:AT606"/>
    <mergeCell ref="B611:C611"/>
    <mergeCell ref="D611:O611"/>
    <mergeCell ref="P611:R611"/>
    <mergeCell ref="S611:T611"/>
    <mergeCell ref="U611:W611"/>
    <mergeCell ref="X611:Z611"/>
    <mergeCell ref="AA611:AC611"/>
    <mergeCell ref="AD611:AF611"/>
    <mergeCell ref="AG611:AI611"/>
    <mergeCell ref="AJ611:AL611"/>
    <mergeCell ref="AM611:AP611"/>
    <mergeCell ref="AQ611:AT611"/>
    <mergeCell ref="B612:C612"/>
    <mergeCell ref="D612:O612"/>
    <mergeCell ref="P612:R612"/>
    <mergeCell ref="S612:T612"/>
    <mergeCell ref="U612:W612"/>
    <mergeCell ref="X612:Z612"/>
    <mergeCell ref="AA612:AC612"/>
    <mergeCell ref="AD612:AF612"/>
    <mergeCell ref="AG612:AI612"/>
    <mergeCell ref="AJ612:AL612"/>
    <mergeCell ref="AM612:AP612"/>
    <mergeCell ref="AQ612:AT612"/>
    <mergeCell ref="B609:C609"/>
    <mergeCell ref="D609:O609"/>
    <mergeCell ref="P609:R609"/>
    <mergeCell ref="S609:T609"/>
    <mergeCell ref="U609:W609"/>
    <mergeCell ref="X609:Z609"/>
    <mergeCell ref="AA609:AC609"/>
    <mergeCell ref="AD609:AF609"/>
    <mergeCell ref="AG609:AI609"/>
    <mergeCell ref="AJ609:AL609"/>
    <mergeCell ref="AM609:AP609"/>
    <mergeCell ref="AQ609:AT609"/>
    <mergeCell ref="B610:C610"/>
    <mergeCell ref="D610:O610"/>
    <mergeCell ref="P610:R610"/>
    <mergeCell ref="S610:T610"/>
    <mergeCell ref="U610:W610"/>
    <mergeCell ref="X610:Z610"/>
    <mergeCell ref="AA610:AC610"/>
    <mergeCell ref="AD610:AF610"/>
    <mergeCell ref="AG610:AI610"/>
    <mergeCell ref="AJ610:AL610"/>
    <mergeCell ref="AM610:AP610"/>
    <mergeCell ref="AQ610:AT610"/>
    <mergeCell ref="B650:C650"/>
    <mergeCell ref="D650:O650"/>
    <mergeCell ref="P650:R650"/>
    <mergeCell ref="S650:T650"/>
    <mergeCell ref="U650:W650"/>
    <mergeCell ref="X650:Z650"/>
    <mergeCell ref="AA650:AC650"/>
    <mergeCell ref="AD650:AF650"/>
    <mergeCell ref="AG650:AI650"/>
    <mergeCell ref="AJ650:AL650"/>
    <mergeCell ref="AM650:AP650"/>
    <mergeCell ref="AQ650:AT650"/>
    <mergeCell ref="B651:C651"/>
    <mergeCell ref="D651:O651"/>
    <mergeCell ref="P651:R651"/>
    <mergeCell ref="S651:T651"/>
    <mergeCell ref="U651:W651"/>
    <mergeCell ref="X651:Z651"/>
    <mergeCell ref="AA651:AC651"/>
    <mergeCell ref="AD651:AF651"/>
    <mergeCell ref="AG651:AI651"/>
    <mergeCell ref="AJ651:AL651"/>
    <mergeCell ref="AM651:AP651"/>
    <mergeCell ref="AQ651:AT651"/>
    <mergeCell ref="B648:C648"/>
    <mergeCell ref="D648:O648"/>
    <mergeCell ref="P648:R648"/>
    <mergeCell ref="S648:T648"/>
    <mergeCell ref="U648:W648"/>
    <mergeCell ref="X648:Z648"/>
    <mergeCell ref="AA648:AC648"/>
    <mergeCell ref="AD648:AF648"/>
    <mergeCell ref="AG648:AI648"/>
    <mergeCell ref="AJ648:AL648"/>
    <mergeCell ref="AM648:AP648"/>
    <mergeCell ref="AQ648:AT648"/>
    <mergeCell ref="B649:C649"/>
    <mergeCell ref="D649:O649"/>
    <mergeCell ref="P649:R649"/>
    <mergeCell ref="S649:T649"/>
    <mergeCell ref="U649:W649"/>
    <mergeCell ref="X649:Z649"/>
    <mergeCell ref="AA649:AC649"/>
    <mergeCell ref="AD649:AF649"/>
    <mergeCell ref="AG649:AI649"/>
    <mergeCell ref="AJ649:AL649"/>
    <mergeCell ref="AM649:AP649"/>
    <mergeCell ref="AQ649:AT649"/>
    <mergeCell ref="B614:C614"/>
    <mergeCell ref="D614:O614"/>
    <mergeCell ref="P614:R614"/>
    <mergeCell ref="S614:T614"/>
    <mergeCell ref="U614:W614"/>
    <mergeCell ref="X614:Z614"/>
    <mergeCell ref="AA614:AC614"/>
    <mergeCell ref="AD614:AF614"/>
    <mergeCell ref="AG614:AI614"/>
    <mergeCell ref="AJ614:AL614"/>
    <mergeCell ref="AM614:AP614"/>
    <mergeCell ref="AQ614:AT614"/>
    <mergeCell ref="S655:T655"/>
    <mergeCell ref="U655:W655"/>
    <mergeCell ref="X655:Z655"/>
    <mergeCell ref="AA655:AC655"/>
    <mergeCell ref="AD655:AF655"/>
    <mergeCell ref="AG655:AI655"/>
    <mergeCell ref="AJ655:AL655"/>
    <mergeCell ref="AM655:AP655"/>
    <mergeCell ref="AQ655:AT655"/>
    <mergeCell ref="B652:C652"/>
    <mergeCell ref="D652:O652"/>
    <mergeCell ref="P652:R652"/>
    <mergeCell ref="S652:T652"/>
    <mergeCell ref="U652:W652"/>
    <mergeCell ref="X652:Z652"/>
    <mergeCell ref="AA652:AC652"/>
    <mergeCell ref="AD652:AF652"/>
    <mergeCell ref="AG652:AI652"/>
    <mergeCell ref="AJ652:AL652"/>
    <mergeCell ref="AM652:AP652"/>
    <mergeCell ref="AQ652:AT652"/>
    <mergeCell ref="B653:C653"/>
    <mergeCell ref="D653:O653"/>
    <mergeCell ref="P653:R653"/>
    <mergeCell ref="S653:T653"/>
    <mergeCell ref="U653:W653"/>
    <mergeCell ref="X653:Z653"/>
    <mergeCell ref="AA653:AC653"/>
    <mergeCell ref="AD653:AF653"/>
    <mergeCell ref="AG653:AI653"/>
    <mergeCell ref="AJ653:AL653"/>
    <mergeCell ref="AM653:AP653"/>
    <mergeCell ref="AQ653:AT653"/>
    <mergeCell ref="AQ658:AT658"/>
    <mergeCell ref="B659:C659"/>
    <mergeCell ref="D659:O659"/>
    <mergeCell ref="P659:R659"/>
    <mergeCell ref="S659:T659"/>
    <mergeCell ref="U659:W659"/>
    <mergeCell ref="X659:Z659"/>
    <mergeCell ref="AA659:AC659"/>
    <mergeCell ref="AD659:AF659"/>
    <mergeCell ref="AG659:AI659"/>
    <mergeCell ref="AJ659:AL659"/>
    <mergeCell ref="AM659:AP659"/>
    <mergeCell ref="AQ659:AT659"/>
    <mergeCell ref="B656:C656"/>
    <mergeCell ref="D656:O656"/>
    <mergeCell ref="P656:R656"/>
    <mergeCell ref="S656:T656"/>
    <mergeCell ref="U656:W656"/>
    <mergeCell ref="X656:Z656"/>
    <mergeCell ref="AA656:AC656"/>
    <mergeCell ref="AD656:AF656"/>
    <mergeCell ref="AG656:AI656"/>
    <mergeCell ref="AJ656:AL656"/>
    <mergeCell ref="AM656:AP656"/>
    <mergeCell ref="AQ656:AT656"/>
    <mergeCell ref="B657:C657"/>
    <mergeCell ref="D657:O657"/>
    <mergeCell ref="P657:R657"/>
    <mergeCell ref="S657:T657"/>
    <mergeCell ref="U657:W657"/>
    <mergeCell ref="X657:Z657"/>
    <mergeCell ref="AA657:AC657"/>
    <mergeCell ref="AD657:AF657"/>
    <mergeCell ref="AG657:AI657"/>
    <mergeCell ref="AJ657:AL657"/>
    <mergeCell ref="AM657:AP657"/>
    <mergeCell ref="AQ657:AT657"/>
    <mergeCell ref="U662:W662"/>
    <mergeCell ref="X662:Z662"/>
    <mergeCell ref="AA662:AC662"/>
    <mergeCell ref="AD662:AF662"/>
    <mergeCell ref="AG662:AI662"/>
    <mergeCell ref="AJ662:AL662"/>
    <mergeCell ref="AM662:AP662"/>
    <mergeCell ref="AQ662:AT662"/>
    <mergeCell ref="B663:C663"/>
    <mergeCell ref="D663:O663"/>
    <mergeCell ref="P663:R663"/>
    <mergeCell ref="S663:T663"/>
    <mergeCell ref="U663:W663"/>
    <mergeCell ref="X663:Z663"/>
    <mergeCell ref="AA663:AC663"/>
    <mergeCell ref="AD663:AF663"/>
    <mergeCell ref="AG663:AI663"/>
    <mergeCell ref="AJ663:AL663"/>
    <mergeCell ref="AM663:AP663"/>
    <mergeCell ref="AQ663:AT663"/>
    <mergeCell ref="B660:C660"/>
    <mergeCell ref="D660:O660"/>
    <mergeCell ref="P660:R660"/>
    <mergeCell ref="S660:T660"/>
    <mergeCell ref="U660:W660"/>
    <mergeCell ref="X660:Z660"/>
    <mergeCell ref="AA660:AC660"/>
    <mergeCell ref="AD660:AF660"/>
    <mergeCell ref="AG660:AI660"/>
    <mergeCell ref="AJ660:AL660"/>
    <mergeCell ref="AM660:AP660"/>
    <mergeCell ref="AQ660:AT660"/>
    <mergeCell ref="B661:C661"/>
    <mergeCell ref="D661:O661"/>
    <mergeCell ref="P661:R661"/>
    <mergeCell ref="S661:T661"/>
    <mergeCell ref="U661:W661"/>
    <mergeCell ref="X661:Z661"/>
    <mergeCell ref="AA661:AC661"/>
    <mergeCell ref="AD661:AF661"/>
    <mergeCell ref="AG661:AI661"/>
    <mergeCell ref="AJ661:AL661"/>
    <mergeCell ref="AM661:AP661"/>
    <mergeCell ref="AQ661:AT661"/>
    <mergeCell ref="B666:C666"/>
    <mergeCell ref="D666:O666"/>
    <mergeCell ref="P666:R666"/>
    <mergeCell ref="S666:T666"/>
    <mergeCell ref="U666:W666"/>
    <mergeCell ref="X666:Z666"/>
    <mergeCell ref="AA666:AC666"/>
    <mergeCell ref="AD666:AF666"/>
    <mergeCell ref="AG666:AI666"/>
    <mergeCell ref="AJ666:AL666"/>
    <mergeCell ref="AM666:AP666"/>
    <mergeCell ref="AQ666:AT666"/>
    <mergeCell ref="B667:C667"/>
    <mergeCell ref="D667:O667"/>
    <mergeCell ref="P667:R667"/>
    <mergeCell ref="S667:T667"/>
    <mergeCell ref="U667:W667"/>
    <mergeCell ref="X667:Z667"/>
    <mergeCell ref="AA667:AC667"/>
    <mergeCell ref="AD667:AF667"/>
    <mergeCell ref="AG667:AI667"/>
    <mergeCell ref="AJ667:AL667"/>
    <mergeCell ref="AM667:AP667"/>
    <mergeCell ref="AQ667:AT667"/>
    <mergeCell ref="B664:C664"/>
    <mergeCell ref="D664:O664"/>
    <mergeCell ref="P664:R664"/>
    <mergeCell ref="S664:T664"/>
    <mergeCell ref="U664:W664"/>
    <mergeCell ref="X664:Z664"/>
    <mergeCell ref="AA664:AC664"/>
    <mergeCell ref="AD664:AF664"/>
    <mergeCell ref="AG664:AI664"/>
    <mergeCell ref="AJ664:AL664"/>
    <mergeCell ref="AM664:AP664"/>
    <mergeCell ref="AQ664:AT664"/>
    <mergeCell ref="B665:C665"/>
    <mergeCell ref="D665:O665"/>
    <mergeCell ref="P665:R665"/>
    <mergeCell ref="S665:T665"/>
    <mergeCell ref="U665:W665"/>
    <mergeCell ref="X665:Z665"/>
    <mergeCell ref="AA665:AC665"/>
    <mergeCell ref="AD665:AF665"/>
    <mergeCell ref="AG665:AI665"/>
    <mergeCell ref="AJ665:AL665"/>
    <mergeCell ref="AM665:AP665"/>
    <mergeCell ref="AQ665:AT665"/>
    <mergeCell ref="AQ702:AT702"/>
    <mergeCell ref="B699:C699"/>
    <mergeCell ref="D699:O699"/>
    <mergeCell ref="P699:R699"/>
    <mergeCell ref="S699:T699"/>
    <mergeCell ref="U699:W699"/>
    <mergeCell ref="X699:Z699"/>
    <mergeCell ref="AA699:AC699"/>
    <mergeCell ref="AD699:AF699"/>
    <mergeCell ref="AG699:AI699"/>
    <mergeCell ref="AJ699:AL699"/>
    <mergeCell ref="AM699:AP699"/>
    <mergeCell ref="AQ699:AT699"/>
    <mergeCell ref="B700:C700"/>
    <mergeCell ref="D700:O700"/>
    <mergeCell ref="P700:R700"/>
    <mergeCell ref="S700:T700"/>
    <mergeCell ref="U700:W700"/>
    <mergeCell ref="X700:Z700"/>
    <mergeCell ref="AA700:AC700"/>
    <mergeCell ref="AD700:AF700"/>
    <mergeCell ref="AG700:AI700"/>
    <mergeCell ref="AJ700:AL700"/>
    <mergeCell ref="AM700:AP700"/>
    <mergeCell ref="AQ700:AT700"/>
    <mergeCell ref="B691:C691"/>
    <mergeCell ref="D691:O691"/>
    <mergeCell ref="P691:R691"/>
    <mergeCell ref="S691:T691"/>
    <mergeCell ref="U691:W691"/>
    <mergeCell ref="X691:Z691"/>
    <mergeCell ref="AA691:AC691"/>
    <mergeCell ref="AD691:AF691"/>
    <mergeCell ref="AG691:AI691"/>
    <mergeCell ref="AJ691:AL691"/>
    <mergeCell ref="AM691:AP691"/>
    <mergeCell ref="AQ691:AT691"/>
    <mergeCell ref="B692:C692"/>
    <mergeCell ref="D692:O692"/>
    <mergeCell ref="P692:R692"/>
    <mergeCell ref="S692:T692"/>
    <mergeCell ref="U692:W692"/>
    <mergeCell ref="X692:Z692"/>
    <mergeCell ref="AA692:AC692"/>
    <mergeCell ref="AD692:AF692"/>
    <mergeCell ref="AG692:AI692"/>
    <mergeCell ref="AJ692:AL692"/>
    <mergeCell ref="AM692:AP692"/>
    <mergeCell ref="AQ692:AT692"/>
    <mergeCell ref="B701:C701"/>
    <mergeCell ref="D701:O701"/>
    <mergeCell ref="P701:R701"/>
    <mergeCell ref="S701:T701"/>
    <mergeCell ref="U701:W701"/>
    <mergeCell ref="X701:Z701"/>
    <mergeCell ref="AA701:AC701"/>
    <mergeCell ref="AD701:AF701"/>
    <mergeCell ref="AG701:AI701"/>
    <mergeCell ref="AJ701:AL701"/>
    <mergeCell ref="AM701:AP701"/>
    <mergeCell ref="AQ701:AT701"/>
    <mergeCell ref="AJ697:AL697"/>
    <mergeCell ref="AM697:AP697"/>
    <mergeCell ref="B698:C698"/>
    <mergeCell ref="D695:O695"/>
    <mergeCell ref="P695:R695"/>
    <mergeCell ref="S695:T695"/>
    <mergeCell ref="U695:W695"/>
    <mergeCell ref="X695:Z695"/>
    <mergeCell ref="AA695:AC695"/>
    <mergeCell ref="AD695:AF695"/>
    <mergeCell ref="AG695:AI695"/>
    <mergeCell ref="AJ695:AL695"/>
    <mergeCell ref="AM695:AP695"/>
    <mergeCell ref="AQ695:AT695"/>
    <mergeCell ref="B696:C696"/>
    <mergeCell ref="D696:O696"/>
    <mergeCell ref="P696:R696"/>
    <mergeCell ref="S696:T696"/>
    <mergeCell ref="U696:W696"/>
    <mergeCell ref="X696:Z696"/>
    <mergeCell ref="AA696:AC696"/>
    <mergeCell ref="AD696:AF696"/>
    <mergeCell ref="AG696:AI696"/>
    <mergeCell ref="AJ696:AL696"/>
    <mergeCell ref="AM696:AP696"/>
    <mergeCell ref="AQ696:AT696"/>
    <mergeCell ref="B693:C693"/>
    <mergeCell ref="D693:O693"/>
    <mergeCell ref="P693:R693"/>
    <mergeCell ref="S693:T693"/>
    <mergeCell ref="U693:W693"/>
    <mergeCell ref="X693:Z693"/>
    <mergeCell ref="AA693:AC693"/>
    <mergeCell ref="AD693:AF693"/>
    <mergeCell ref="AG693:AI693"/>
    <mergeCell ref="AJ693:AL693"/>
    <mergeCell ref="AM693:AP693"/>
    <mergeCell ref="AQ693:AT693"/>
    <mergeCell ref="B694:C694"/>
    <mergeCell ref="D694:O694"/>
    <mergeCell ref="P694:R694"/>
    <mergeCell ref="S694:T694"/>
    <mergeCell ref="U694:W694"/>
    <mergeCell ref="X694:Z694"/>
    <mergeCell ref="AA694:AC694"/>
    <mergeCell ref="AD694:AF694"/>
    <mergeCell ref="AG694:AI694"/>
    <mergeCell ref="AJ694:AL694"/>
    <mergeCell ref="AM694:AP694"/>
    <mergeCell ref="AQ694:AT694"/>
    <mergeCell ref="B705:C705"/>
    <mergeCell ref="D705:O705"/>
    <mergeCell ref="P705:R705"/>
    <mergeCell ref="S705:T705"/>
    <mergeCell ref="U705:W705"/>
    <mergeCell ref="X705:Z705"/>
    <mergeCell ref="AA705:AC705"/>
    <mergeCell ref="AD705:AF705"/>
    <mergeCell ref="AG705:AI705"/>
    <mergeCell ref="AJ705:AL705"/>
    <mergeCell ref="AM705:AP705"/>
    <mergeCell ref="AQ705:AT705"/>
    <mergeCell ref="B706:C706"/>
    <mergeCell ref="D706:O706"/>
    <mergeCell ref="P706:R706"/>
    <mergeCell ref="S706:T706"/>
    <mergeCell ref="U706:W706"/>
    <mergeCell ref="X706:Z706"/>
    <mergeCell ref="AA706:AC706"/>
    <mergeCell ref="AD706:AF706"/>
    <mergeCell ref="AG706:AI706"/>
    <mergeCell ref="AJ706:AL706"/>
    <mergeCell ref="AM706:AP706"/>
    <mergeCell ref="AQ706:AT706"/>
    <mergeCell ref="B703:C703"/>
    <mergeCell ref="D703:O703"/>
    <mergeCell ref="P703:R703"/>
    <mergeCell ref="S703:T703"/>
    <mergeCell ref="U703:W703"/>
    <mergeCell ref="X703:Z703"/>
    <mergeCell ref="AA703:AC703"/>
    <mergeCell ref="AD703:AF703"/>
    <mergeCell ref="AG703:AI703"/>
    <mergeCell ref="AJ703:AL703"/>
    <mergeCell ref="AM703:AP703"/>
    <mergeCell ref="AQ703:AT703"/>
    <mergeCell ref="B704:C704"/>
    <mergeCell ref="D704:O704"/>
    <mergeCell ref="P704:R704"/>
    <mergeCell ref="S704:T704"/>
    <mergeCell ref="U704:W704"/>
    <mergeCell ref="X704:Z704"/>
    <mergeCell ref="AA704:AC704"/>
    <mergeCell ref="AD704:AF704"/>
    <mergeCell ref="AG704:AI704"/>
    <mergeCell ref="AJ704:AL704"/>
    <mergeCell ref="AM704:AP704"/>
    <mergeCell ref="AQ704:AT704"/>
    <mergeCell ref="B709:C709"/>
    <mergeCell ref="D709:O709"/>
    <mergeCell ref="P709:R709"/>
    <mergeCell ref="S709:T709"/>
    <mergeCell ref="U709:W709"/>
    <mergeCell ref="X709:Z709"/>
    <mergeCell ref="AA709:AC709"/>
    <mergeCell ref="AD709:AF709"/>
    <mergeCell ref="AG709:AI709"/>
    <mergeCell ref="AJ709:AL709"/>
    <mergeCell ref="AM709:AP709"/>
    <mergeCell ref="AQ709:AT709"/>
    <mergeCell ref="B710:C710"/>
    <mergeCell ref="D710:O710"/>
    <mergeCell ref="P710:R710"/>
    <mergeCell ref="S710:T710"/>
    <mergeCell ref="U710:W710"/>
    <mergeCell ref="X710:Z710"/>
    <mergeCell ref="AA710:AC710"/>
    <mergeCell ref="AD710:AF710"/>
    <mergeCell ref="AG710:AI710"/>
    <mergeCell ref="AJ710:AL710"/>
    <mergeCell ref="AM710:AP710"/>
    <mergeCell ref="AQ710:AT710"/>
    <mergeCell ref="B707:C707"/>
    <mergeCell ref="D707:O707"/>
    <mergeCell ref="P707:R707"/>
    <mergeCell ref="S707:T707"/>
    <mergeCell ref="U707:W707"/>
    <mergeCell ref="X707:Z707"/>
    <mergeCell ref="AA707:AC707"/>
    <mergeCell ref="AD707:AF707"/>
    <mergeCell ref="AG707:AI707"/>
    <mergeCell ref="AJ707:AL707"/>
    <mergeCell ref="AM707:AP707"/>
    <mergeCell ref="AQ707:AT707"/>
    <mergeCell ref="B708:C708"/>
    <mergeCell ref="D708:O708"/>
    <mergeCell ref="P708:R708"/>
    <mergeCell ref="S708:T708"/>
    <mergeCell ref="U708:W708"/>
    <mergeCell ref="X708:Z708"/>
    <mergeCell ref="AA708:AC708"/>
    <mergeCell ref="AD708:AF708"/>
    <mergeCell ref="AG708:AI708"/>
    <mergeCell ref="AJ708:AL708"/>
    <mergeCell ref="AM708:AP708"/>
    <mergeCell ref="AQ708:AT708"/>
    <mergeCell ref="B711:C711"/>
    <mergeCell ref="D711:O711"/>
    <mergeCell ref="P711:R711"/>
    <mergeCell ref="S711:T711"/>
    <mergeCell ref="U711:W711"/>
    <mergeCell ref="X711:Z711"/>
    <mergeCell ref="AA711:AC711"/>
    <mergeCell ref="AD711:AF711"/>
    <mergeCell ref="AG711:AI711"/>
    <mergeCell ref="AJ711:AL711"/>
    <mergeCell ref="AM711:AP711"/>
    <mergeCell ref="AQ711:AT711"/>
    <mergeCell ref="B712:C712"/>
    <mergeCell ref="D712:O712"/>
    <mergeCell ref="P712:R712"/>
    <mergeCell ref="S712:T712"/>
    <mergeCell ref="U712:W712"/>
    <mergeCell ref="X712:Z712"/>
    <mergeCell ref="AA712:AC712"/>
    <mergeCell ref="AD712:AF712"/>
    <mergeCell ref="AG712:AI712"/>
    <mergeCell ref="AJ712:AL712"/>
    <mergeCell ref="AM712:AP712"/>
    <mergeCell ref="AQ712:AT712"/>
    <mergeCell ref="B714:C714"/>
    <mergeCell ref="AD714:AF714"/>
    <mergeCell ref="AG714:AI714"/>
    <mergeCell ref="AJ714:AL714"/>
    <mergeCell ref="AM714:AP714"/>
    <mergeCell ref="B717:C717"/>
    <mergeCell ref="P717:R717"/>
    <mergeCell ref="S717:T717"/>
    <mergeCell ref="U717:W717"/>
    <mergeCell ref="X717:Z717"/>
    <mergeCell ref="AA717:AC717"/>
    <mergeCell ref="AD717:AF717"/>
    <mergeCell ref="AG717:AI717"/>
    <mergeCell ref="AJ717:AL717"/>
    <mergeCell ref="AM717:AP717"/>
    <mergeCell ref="AJ718:AL718"/>
    <mergeCell ref="AM718:AP718"/>
    <mergeCell ref="B719:C719"/>
    <mergeCell ref="P719:R719"/>
    <mergeCell ref="S719:T719"/>
    <mergeCell ref="U719:W719"/>
    <mergeCell ref="X719:Z719"/>
    <mergeCell ref="AA719:AC719"/>
    <mergeCell ref="AD719:AF719"/>
    <mergeCell ref="AG719:AI719"/>
    <mergeCell ref="AJ719:AL719"/>
    <mergeCell ref="AM719:AP719"/>
    <mergeCell ref="B718:C718"/>
    <mergeCell ref="P718:R718"/>
    <mergeCell ref="S718:T718"/>
    <mergeCell ref="U718:W718"/>
    <mergeCell ref="X718:Z718"/>
    <mergeCell ref="AA718:AC718"/>
    <mergeCell ref="AD718:AF718"/>
    <mergeCell ref="AG718:AI718"/>
    <mergeCell ref="AJ720:AL720"/>
    <mergeCell ref="AM720:AP720"/>
    <mergeCell ref="B721:C721"/>
    <mergeCell ref="P721:R721"/>
    <mergeCell ref="AQ741:AT741"/>
    <mergeCell ref="B742:C742"/>
    <mergeCell ref="D742:O742"/>
    <mergeCell ref="P742:R742"/>
    <mergeCell ref="S742:T742"/>
    <mergeCell ref="U742:W742"/>
    <mergeCell ref="X742:Z742"/>
    <mergeCell ref="AA742:AC742"/>
    <mergeCell ref="AD742:AF742"/>
    <mergeCell ref="AG742:AI742"/>
    <mergeCell ref="AJ742:AL742"/>
    <mergeCell ref="AM742:AP742"/>
    <mergeCell ref="AQ742:AT742"/>
    <mergeCell ref="X739:Z739"/>
    <mergeCell ref="AA739:AC739"/>
    <mergeCell ref="AD739:AF739"/>
    <mergeCell ref="AG739:AI739"/>
    <mergeCell ref="AJ739:AL739"/>
    <mergeCell ref="AM739:AP739"/>
    <mergeCell ref="AQ739:AT739"/>
    <mergeCell ref="B740:C740"/>
    <mergeCell ref="D740:O740"/>
    <mergeCell ref="P740:R740"/>
    <mergeCell ref="S740:T740"/>
    <mergeCell ref="U740:W740"/>
    <mergeCell ref="X740:Z740"/>
    <mergeCell ref="AA740:AC740"/>
    <mergeCell ref="AD740:AF740"/>
    <mergeCell ref="AG740:AI740"/>
    <mergeCell ref="AJ740:AL740"/>
    <mergeCell ref="AM740:AP740"/>
    <mergeCell ref="AQ740:AT740"/>
    <mergeCell ref="S721:T721"/>
    <mergeCell ref="U721:W721"/>
    <mergeCell ref="X721:Z721"/>
    <mergeCell ref="AA721:AC721"/>
    <mergeCell ref="AD721:AF721"/>
    <mergeCell ref="AG721:AI721"/>
    <mergeCell ref="AJ721:AL721"/>
    <mergeCell ref="AM721:AP721"/>
    <mergeCell ref="AQ745:AT745"/>
    <mergeCell ref="AG746:AI746"/>
    <mergeCell ref="AJ746:AL746"/>
    <mergeCell ref="AM746:AP746"/>
    <mergeCell ref="AQ746:AT746"/>
    <mergeCell ref="B743:C743"/>
    <mergeCell ref="D743:O743"/>
    <mergeCell ref="P743:R743"/>
    <mergeCell ref="S743:T743"/>
    <mergeCell ref="U743:W743"/>
    <mergeCell ref="X743:Z743"/>
    <mergeCell ref="AA743:AC743"/>
    <mergeCell ref="AD743:AF743"/>
    <mergeCell ref="AG743:AI743"/>
    <mergeCell ref="AJ743:AL743"/>
    <mergeCell ref="AM743:AP743"/>
    <mergeCell ref="AQ743:AT743"/>
    <mergeCell ref="B744:C744"/>
    <mergeCell ref="D744:O744"/>
    <mergeCell ref="P744:R744"/>
    <mergeCell ref="S744:T744"/>
    <mergeCell ref="U744:W744"/>
    <mergeCell ref="X744:Z744"/>
    <mergeCell ref="AA744:AC744"/>
    <mergeCell ref="AD744:AF744"/>
    <mergeCell ref="AG744:AI744"/>
    <mergeCell ref="AJ744:AL744"/>
    <mergeCell ref="AM744:AP744"/>
    <mergeCell ref="AQ744:AT744"/>
    <mergeCell ref="B749:C749"/>
    <mergeCell ref="D749:O749"/>
    <mergeCell ref="P749:R749"/>
    <mergeCell ref="S749:T749"/>
    <mergeCell ref="U749:W749"/>
    <mergeCell ref="X749:Z749"/>
    <mergeCell ref="AA749:AC749"/>
    <mergeCell ref="AD749:AF749"/>
    <mergeCell ref="AG749:AI749"/>
    <mergeCell ref="AJ749:AL749"/>
    <mergeCell ref="AM749:AP749"/>
    <mergeCell ref="AQ749:AT749"/>
    <mergeCell ref="AQ750:AT750"/>
    <mergeCell ref="B747:C747"/>
    <mergeCell ref="D747:O747"/>
    <mergeCell ref="P747:R747"/>
    <mergeCell ref="S747:T747"/>
    <mergeCell ref="U747:W747"/>
    <mergeCell ref="X747:Z747"/>
    <mergeCell ref="AA747:AC747"/>
    <mergeCell ref="AD747:AF747"/>
    <mergeCell ref="AG747:AI747"/>
    <mergeCell ref="AJ747:AL747"/>
    <mergeCell ref="AM747:AP747"/>
    <mergeCell ref="AQ747:AT747"/>
    <mergeCell ref="B748:C748"/>
    <mergeCell ref="D748:O748"/>
    <mergeCell ref="P748:R748"/>
    <mergeCell ref="S748:T748"/>
    <mergeCell ref="U748:W748"/>
    <mergeCell ref="X748:Z748"/>
    <mergeCell ref="AA748:AC748"/>
    <mergeCell ref="AD748:AF748"/>
    <mergeCell ref="AG748:AI748"/>
    <mergeCell ref="AJ748:AL748"/>
    <mergeCell ref="AM748:AP748"/>
    <mergeCell ref="AQ748:AT748"/>
    <mergeCell ref="B753:C753"/>
    <mergeCell ref="D753:O753"/>
    <mergeCell ref="P753:R753"/>
    <mergeCell ref="S753:T753"/>
    <mergeCell ref="U753:W753"/>
    <mergeCell ref="X753:Z753"/>
    <mergeCell ref="AA753:AC753"/>
    <mergeCell ref="AD753:AF753"/>
    <mergeCell ref="AG753:AI753"/>
    <mergeCell ref="AJ753:AL753"/>
    <mergeCell ref="AM753:AP753"/>
    <mergeCell ref="AQ753:AT753"/>
    <mergeCell ref="B754:C754"/>
    <mergeCell ref="D754:O754"/>
    <mergeCell ref="P754:R754"/>
    <mergeCell ref="S754:T754"/>
    <mergeCell ref="U754:W754"/>
    <mergeCell ref="X754:Z754"/>
    <mergeCell ref="AA754:AC754"/>
    <mergeCell ref="AD754:AF754"/>
    <mergeCell ref="AG754:AI754"/>
    <mergeCell ref="AJ754:AL754"/>
    <mergeCell ref="AM754:AP754"/>
    <mergeCell ref="AQ754:AT754"/>
    <mergeCell ref="B751:C751"/>
    <mergeCell ref="D751:O751"/>
    <mergeCell ref="P751:R751"/>
    <mergeCell ref="S751:T751"/>
    <mergeCell ref="U751:W751"/>
    <mergeCell ref="X751:Z751"/>
    <mergeCell ref="AA751:AC751"/>
    <mergeCell ref="AD751:AF751"/>
    <mergeCell ref="AG751:AI751"/>
    <mergeCell ref="AJ751:AL751"/>
    <mergeCell ref="AM751:AP751"/>
    <mergeCell ref="AQ751:AT751"/>
    <mergeCell ref="B752:C752"/>
    <mergeCell ref="D752:O752"/>
    <mergeCell ref="P752:R752"/>
    <mergeCell ref="S752:T752"/>
    <mergeCell ref="U752:W752"/>
    <mergeCell ref="X752:Z752"/>
    <mergeCell ref="AA752:AC752"/>
    <mergeCell ref="AD752:AF752"/>
    <mergeCell ref="AG752:AI752"/>
    <mergeCell ref="AJ752:AL752"/>
    <mergeCell ref="AM752:AP752"/>
    <mergeCell ref="AQ752:AT752"/>
    <mergeCell ref="B757:C757"/>
    <mergeCell ref="D757:O757"/>
    <mergeCell ref="P757:R757"/>
    <mergeCell ref="S757:T757"/>
    <mergeCell ref="U757:W757"/>
    <mergeCell ref="X757:Z757"/>
    <mergeCell ref="AA757:AC757"/>
    <mergeCell ref="AD757:AF757"/>
    <mergeCell ref="AG757:AI757"/>
    <mergeCell ref="AJ757:AL757"/>
    <mergeCell ref="AM757:AP757"/>
    <mergeCell ref="AQ757:AT757"/>
    <mergeCell ref="B783:C783"/>
    <mergeCell ref="D783:O783"/>
    <mergeCell ref="P783:R783"/>
    <mergeCell ref="S783:T783"/>
    <mergeCell ref="U783:W783"/>
    <mergeCell ref="X783:Z783"/>
    <mergeCell ref="AA783:AC783"/>
    <mergeCell ref="AD783:AF783"/>
    <mergeCell ref="AG783:AI783"/>
    <mergeCell ref="AJ783:AL783"/>
    <mergeCell ref="AM783:AP783"/>
    <mergeCell ref="AQ783:AT783"/>
    <mergeCell ref="B755:C755"/>
    <mergeCell ref="D755:O755"/>
    <mergeCell ref="P755:R755"/>
    <mergeCell ref="S755:T755"/>
    <mergeCell ref="U755:W755"/>
    <mergeCell ref="X755:Z755"/>
    <mergeCell ref="AA755:AC755"/>
    <mergeCell ref="AD755:AF755"/>
    <mergeCell ref="AG755:AI755"/>
    <mergeCell ref="AJ755:AL755"/>
    <mergeCell ref="AM755:AP755"/>
    <mergeCell ref="AQ755:AT755"/>
    <mergeCell ref="B756:C756"/>
    <mergeCell ref="D756:O756"/>
    <mergeCell ref="P756:R756"/>
    <mergeCell ref="S756:T756"/>
    <mergeCell ref="U756:W756"/>
    <mergeCell ref="X756:Z756"/>
    <mergeCell ref="AA756:AC756"/>
    <mergeCell ref="AD756:AF756"/>
    <mergeCell ref="AG756:AI756"/>
    <mergeCell ref="AJ756:AL756"/>
    <mergeCell ref="AM756:AP756"/>
    <mergeCell ref="AQ756:AT756"/>
    <mergeCell ref="B781:C781"/>
    <mergeCell ref="D781:O781"/>
    <mergeCell ref="P781:R781"/>
    <mergeCell ref="S781:T781"/>
    <mergeCell ref="U781:W781"/>
    <mergeCell ref="X781:Z781"/>
    <mergeCell ref="AA781:AC781"/>
    <mergeCell ref="AD781:AF781"/>
    <mergeCell ref="AG781:AI781"/>
    <mergeCell ref="AJ781:AL781"/>
    <mergeCell ref="AM781:AP781"/>
    <mergeCell ref="AQ781:AT781"/>
    <mergeCell ref="B782:C782"/>
    <mergeCell ref="D782:O782"/>
    <mergeCell ref="P782:R782"/>
    <mergeCell ref="S782:T782"/>
    <mergeCell ref="S786:T786"/>
    <mergeCell ref="U786:W786"/>
    <mergeCell ref="X786:Z786"/>
    <mergeCell ref="AA786:AC786"/>
    <mergeCell ref="AD786:AF786"/>
    <mergeCell ref="AG786:AI786"/>
    <mergeCell ref="AJ786:AL786"/>
    <mergeCell ref="AM786:AP786"/>
    <mergeCell ref="AQ786:AT786"/>
    <mergeCell ref="B787:C787"/>
    <mergeCell ref="D787:O787"/>
    <mergeCell ref="P787:R787"/>
    <mergeCell ref="S787:T787"/>
    <mergeCell ref="U787:W787"/>
    <mergeCell ref="X787:Z787"/>
    <mergeCell ref="AA787:AC787"/>
    <mergeCell ref="AD787:AF787"/>
    <mergeCell ref="AG787:AI787"/>
    <mergeCell ref="AJ787:AL787"/>
    <mergeCell ref="AM787:AP787"/>
    <mergeCell ref="AQ787:AT787"/>
    <mergeCell ref="B784:C784"/>
    <mergeCell ref="D784:O784"/>
    <mergeCell ref="P784:R784"/>
    <mergeCell ref="S784:T784"/>
    <mergeCell ref="U784:W784"/>
    <mergeCell ref="X784:Z784"/>
    <mergeCell ref="AA784:AC784"/>
    <mergeCell ref="AD784:AF784"/>
    <mergeCell ref="AG784:AI784"/>
    <mergeCell ref="AJ784:AL784"/>
    <mergeCell ref="AM784:AP784"/>
    <mergeCell ref="AQ784:AT784"/>
    <mergeCell ref="B785:C785"/>
    <mergeCell ref="D785:O785"/>
    <mergeCell ref="P785:R785"/>
    <mergeCell ref="S785:T785"/>
    <mergeCell ref="U785:W785"/>
    <mergeCell ref="X785:Z785"/>
    <mergeCell ref="AA785:AC785"/>
    <mergeCell ref="AD785:AF785"/>
    <mergeCell ref="AG785:AI785"/>
    <mergeCell ref="AJ785:AL785"/>
    <mergeCell ref="AM785:AP785"/>
    <mergeCell ref="AQ785:AT785"/>
    <mergeCell ref="B790:C790"/>
    <mergeCell ref="D790:O790"/>
    <mergeCell ref="P790:R790"/>
    <mergeCell ref="S790:T790"/>
    <mergeCell ref="U790:W790"/>
    <mergeCell ref="X790:Z790"/>
    <mergeCell ref="AA790:AC790"/>
    <mergeCell ref="AD790:AF790"/>
    <mergeCell ref="AG790:AI790"/>
    <mergeCell ref="AJ790:AL790"/>
    <mergeCell ref="AM790:AP790"/>
    <mergeCell ref="AQ790:AT790"/>
    <mergeCell ref="B791:C791"/>
    <mergeCell ref="D791:O791"/>
    <mergeCell ref="P791:R791"/>
    <mergeCell ref="S791:T791"/>
    <mergeCell ref="U791:W791"/>
    <mergeCell ref="X791:Z791"/>
    <mergeCell ref="AA791:AC791"/>
    <mergeCell ref="AD791:AF791"/>
    <mergeCell ref="AG791:AI791"/>
    <mergeCell ref="AJ791:AL791"/>
    <mergeCell ref="AM791:AP791"/>
    <mergeCell ref="AQ791:AT791"/>
    <mergeCell ref="B788:C788"/>
    <mergeCell ref="D788:O788"/>
    <mergeCell ref="P788:R788"/>
    <mergeCell ref="S788:T788"/>
    <mergeCell ref="U788:W788"/>
    <mergeCell ref="X788:Z788"/>
    <mergeCell ref="AA788:AC788"/>
    <mergeCell ref="AD788:AF788"/>
    <mergeCell ref="AG788:AI788"/>
    <mergeCell ref="AJ788:AL788"/>
    <mergeCell ref="AM788:AP788"/>
    <mergeCell ref="AQ788:AT788"/>
    <mergeCell ref="B789:C789"/>
    <mergeCell ref="D789:O789"/>
    <mergeCell ref="P789:R789"/>
    <mergeCell ref="S789:T789"/>
    <mergeCell ref="U789:W789"/>
    <mergeCell ref="X789:Z789"/>
    <mergeCell ref="AA789:AC789"/>
    <mergeCell ref="AD789:AF789"/>
    <mergeCell ref="AG789:AI789"/>
    <mergeCell ref="AJ789:AL789"/>
    <mergeCell ref="AM789:AP789"/>
    <mergeCell ref="AQ789:AT789"/>
    <mergeCell ref="B794:C794"/>
    <mergeCell ref="D794:O794"/>
    <mergeCell ref="P794:R794"/>
    <mergeCell ref="S794:T794"/>
    <mergeCell ref="U794:W794"/>
    <mergeCell ref="X794:Z794"/>
    <mergeCell ref="AA794:AC794"/>
    <mergeCell ref="AD794:AF794"/>
    <mergeCell ref="AG794:AI794"/>
    <mergeCell ref="AJ794:AL794"/>
    <mergeCell ref="AM794:AP794"/>
    <mergeCell ref="AQ794:AT794"/>
    <mergeCell ref="B795:C795"/>
    <mergeCell ref="D795:O795"/>
    <mergeCell ref="P795:R795"/>
    <mergeCell ref="S795:T795"/>
    <mergeCell ref="U795:W795"/>
    <mergeCell ref="X795:Z795"/>
    <mergeCell ref="AA795:AC795"/>
    <mergeCell ref="AD795:AF795"/>
    <mergeCell ref="AG795:AI795"/>
    <mergeCell ref="AJ795:AL795"/>
    <mergeCell ref="AM795:AP795"/>
    <mergeCell ref="AQ795:AT795"/>
    <mergeCell ref="B792:C792"/>
    <mergeCell ref="D792:O792"/>
    <mergeCell ref="P792:R792"/>
    <mergeCell ref="S792:T792"/>
    <mergeCell ref="U792:W792"/>
    <mergeCell ref="X792:Z792"/>
    <mergeCell ref="AA792:AC792"/>
    <mergeCell ref="AD792:AF792"/>
    <mergeCell ref="AG792:AI792"/>
    <mergeCell ref="AJ792:AL792"/>
    <mergeCell ref="AM792:AP792"/>
    <mergeCell ref="AQ792:AT792"/>
    <mergeCell ref="B793:C793"/>
    <mergeCell ref="D793:O793"/>
    <mergeCell ref="P793:R793"/>
    <mergeCell ref="S793:T793"/>
    <mergeCell ref="U793:W793"/>
    <mergeCell ref="X793:Z793"/>
    <mergeCell ref="AA793:AC793"/>
    <mergeCell ref="AD793:AF793"/>
    <mergeCell ref="AG793:AI793"/>
    <mergeCell ref="AJ793:AL793"/>
    <mergeCell ref="AM793:AP793"/>
    <mergeCell ref="AQ793:AT793"/>
    <mergeCell ref="B798:C798"/>
    <mergeCell ref="D798:O798"/>
    <mergeCell ref="P798:R798"/>
    <mergeCell ref="S798:T798"/>
    <mergeCell ref="U798:W798"/>
    <mergeCell ref="X798:Z798"/>
    <mergeCell ref="AA798:AC798"/>
    <mergeCell ref="AD798:AF798"/>
    <mergeCell ref="AG798:AI798"/>
    <mergeCell ref="AJ798:AL798"/>
    <mergeCell ref="AM798:AP798"/>
    <mergeCell ref="AQ798:AT798"/>
    <mergeCell ref="B799:C799"/>
    <mergeCell ref="D799:O799"/>
    <mergeCell ref="P799:R799"/>
    <mergeCell ref="S799:T799"/>
    <mergeCell ref="U799:W799"/>
    <mergeCell ref="X799:Z799"/>
    <mergeCell ref="AA799:AC799"/>
    <mergeCell ref="AD799:AF799"/>
    <mergeCell ref="AG799:AI799"/>
    <mergeCell ref="AJ799:AL799"/>
    <mergeCell ref="AM799:AP799"/>
    <mergeCell ref="AQ799:AT799"/>
    <mergeCell ref="B796:C796"/>
    <mergeCell ref="D796:O796"/>
    <mergeCell ref="P796:R796"/>
    <mergeCell ref="S796:T796"/>
    <mergeCell ref="U796:W796"/>
    <mergeCell ref="X796:Z796"/>
    <mergeCell ref="AA796:AC796"/>
    <mergeCell ref="AD796:AF796"/>
    <mergeCell ref="AG796:AI796"/>
    <mergeCell ref="AJ796:AL796"/>
    <mergeCell ref="AM796:AP796"/>
    <mergeCell ref="AQ796:AT796"/>
    <mergeCell ref="B797:C797"/>
    <mergeCell ref="D797:O797"/>
    <mergeCell ref="P797:R797"/>
    <mergeCell ref="S797:T797"/>
    <mergeCell ref="U797:W797"/>
    <mergeCell ref="X797:Z797"/>
    <mergeCell ref="AA797:AC797"/>
    <mergeCell ref="AD797:AF797"/>
    <mergeCell ref="AG797:AI797"/>
    <mergeCell ref="AJ797:AL797"/>
    <mergeCell ref="AM797:AP797"/>
    <mergeCell ref="AQ797:AT797"/>
    <mergeCell ref="B802:C802"/>
    <mergeCell ref="D802:O802"/>
    <mergeCell ref="P802:R802"/>
    <mergeCell ref="S802:T802"/>
    <mergeCell ref="U802:W802"/>
    <mergeCell ref="X802:Z802"/>
    <mergeCell ref="AA802:AC802"/>
    <mergeCell ref="AD802:AF802"/>
    <mergeCell ref="AG802:AI802"/>
    <mergeCell ref="AJ802:AL802"/>
    <mergeCell ref="AM802:AP802"/>
    <mergeCell ref="AQ802:AT802"/>
    <mergeCell ref="B828:C828"/>
    <mergeCell ref="D828:O828"/>
    <mergeCell ref="P828:R828"/>
    <mergeCell ref="S828:T828"/>
    <mergeCell ref="U828:W828"/>
    <mergeCell ref="X828:Z828"/>
    <mergeCell ref="AA828:AC828"/>
    <mergeCell ref="AD828:AF828"/>
    <mergeCell ref="AG828:AI828"/>
    <mergeCell ref="AJ828:AL828"/>
    <mergeCell ref="AM828:AP828"/>
    <mergeCell ref="AQ828:AT828"/>
    <mergeCell ref="B800:C800"/>
    <mergeCell ref="D800:O800"/>
    <mergeCell ref="P800:R800"/>
    <mergeCell ref="S800:T800"/>
    <mergeCell ref="U800:W800"/>
    <mergeCell ref="X800:Z800"/>
    <mergeCell ref="AA800:AC800"/>
    <mergeCell ref="AD800:AF800"/>
    <mergeCell ref="AG800:AI800"/>
    <mergeCell ref="AJ800:AL800"/>
    <mergeCell ref="AM800:AP800"/>
    <mergeCell ref="AQ800:AT800"/>
    <mergeCell ref="B801:C801"/>
    <mergeCell ref="D801:O801"/>
    <mergeCell ref="P801:R801"/>
    <mergeCell ref="S801:T801"/>
    <mergeCell ref="U801:W801"/>
    <mergeCell ref="X801:Z801"/>
    <mergeCell ref="AA801:AC801"/>
    <mergeCell ref="AD801:AF801"/>
    <mergeCell ref="AG801:AI801"/>
    <mergeCell ref="AJ801:AL801"/>
    <mergeCell ref="AM801:AP801"/>
    <mergeCell ref="AQ801:AT801"/>
    <mergeCell ref="B824:C824"/>
    <mergeCell ref="D824:O824"/>
    <mergeCell ref="P824:R824"/>
    <mergeCell ref="S824:T824"/>
    <mergeCell ref="U824:W824"/>
    <mergeCell ref="X824:Z824"/>
    <mergeCell ref="AA824:AC824"/>
    <mergeCell ref="AD824:AF824"/>
    <mergeCell ref="AG824:AI824"/>
    <mergeCell ref="AJ824:AL824"/>
    <mergeCell ref="AM824:AP824"/>
    <mergeCell ref="AQ824:AT824"/>
    <mergeCell ref="B825:C825"/>
    <mergeCell ref="D825:O825"/>
    <mergeCell ref="P825:R825"/>
    <mergeCell ref="S825:T825"/>
    <mergeCell ref="B829:C829"/>
    <mergeCell ref="D829:O829"/>
    <mergeCell ref="P829:R829"/>
    <mergeCell ref="S829:T829"/>
    <mergeCell ref="U829:W829"/>
    <mergeCell ref="X829:Z829"/>
    <mergeCell ref="AA829:AC829"/>
    <mergeCell ref="AD829:AF829"/>
    <mergeCell ref="AG829:AI829"/>
    <mergeCell ref="AJ829:AL829"/>
    <mergeCell ref="AM829:AP829"/>
    <mergeCell ref="AQ829:AT829"/>
    <mergeCell ref="B830:C830"/>
    <mergeCell ref="D830:O830"/>
    <mergeCell ref="P830:R830"/>
    <mergeCell ref="S830:T830"/>
    <mergeCell ref="U830:W830"/>
    <mergeCell ref="X830:Z830"/>
    <mergeCell ref="AA830:AC830"/>
    <mergeCell ref="AD830:AF830"/>
    <mergeCell ref="AG830:AI830"/>
    <mergeCell ref="AJ830:AL830"/>
    <mergeCell ref="AM830:AP830"/>
    <mergeCell ref="AQ830:AT830"/>
    <mergeCell ref="B835:C835"/>
    <mergeCell ref="D835:O835"/>
    <mergeCell ref="P835:R835"/>
    <mergeCell ref="S835:T835"/>
    <mergeCell ref="U835:W835"/>
    <mergeCell ref="X835:Z835"/>
    <mergeCell ref="AA835:AC835"/>
    <mergeCell ref="AD835:AF835"/>
    <mergeCell ref="AG835:AI835"/>
    <mergeCell ref="AJ835:AL835"/>
    <mergeCell ref="AM835:AP835"/>
    <mergeCell ref="AQ835:AT835"/>
    <mergeCell ref="B831:C831"/>
    <mergeCell ref="D831:O831"/>
    <mergeCell ref="P831:R831"/>
    <mergeCell ref="S831:T831"/>
    <mergeCell ref="U831:W831"/>
    <mergeCell ref="X831:Z831"/>
    <mergeCell ref="AA831:AC831"/>
    <mergeCell ref="AD831:AF831"/>
    <mergeCell ref="AG831:AI831"/>
    <mergeCell ref="AJ831:AL831"/>
    <mergeCell ref="AM831:AP831"/>
    <mergeCell ref="B832:C832"/>
    <mergeCell ref="D832:O832"/>
    <mergeCell ref="P832:R832"/>
    <mergeCell ref="AQ832:AT832"/>
    <mergeCell ref="AQ831:AT831"/>
    <mergeCell ref="U836:W836"/>
    <mergeCell ref="X836:Z836"/>
    <mergeCell ref="AA836:AC836"/>
    <mergeCell ref="AD836:AF836"/>
    <mergeCell ref="AG836:AI836"/>
    <mergeCell ref="AJ836:AL836"/>
    <mergeCell ref="AM836:AP836"/>
    <mergeCell ref="AQ836:AT836"/>
    <mergeCell ref="B833:C833"/>
    <mergeCell ref="D833:O833"/>
    <mergeCell ref="P833:R833"/>
    <mergeCell ref="S833:T833"/>
    <mergeCell ref="U833:W833"/>
    <mergeCell ref="X833:Z833"/>
    <mergeCell ref="AA833:AC833"/>
    <mergeCell ref="AD833:AF833"/>
    <mergeCell ref="AG833:AI833"/>
    <mergeCell ref="AJ833:AL833"/>
    <mergeCell ref="AM833:AP833"/>
    <mergeCell ref="AQ833:AT833"/>
    <mergeCell ref="B834:C834"/>
    <mergeCell ref="D834:O834"/>
    <mergeCell ref="P834:R834"/>
    <mergeCell ref="S834:T834"/>
    <mergeCell ref="U834:W834"/>
    <mergeCell ref="X834:Z834"/>
    <mergeCell ref="AA834:AC834"/>
    <mergeCell ref="AD834:AF834"/>
    <mergeCell ref="AG834:AI834"/>
    <mergeCell ref="AJ834:AL834"/>
    <mergeCell ref="AM834:AP834"/>
    <mergeCell ref="AQ834:AT834"/>
    <mergeCell ref="B839:C839"/>
    <mergeCell ref="D839:O839"/>
    <mergeCell ref="P839:R839"/>
    <mergeCell ref="S839:T839"/>
    <mergeCell ref="U839:W839"/>
    <mergeCell ref="X839:Z839"/>
    <mergeCell ref="AA839:AC839"/>
    <mergeCell ref="AD839:AF839"/>
    <mergeCell ref="AG839:AI839"/>
    <mergeCell ref="AJ839:AL839"/>
    <mergeCell ref="AM839:AP839"/>
    <mergeCell ref="AQ839:AT839"/>
    <mergeCell ref="S836:T836"/>
    <mergeCell ref="B840:C840"/>
    <mergeCell ref="D840:O840"/>
    <mergeCell ref="P840:R840"/>
    <mergeCell ref="S840:T840"/>
    <mergeCell ref="U840:W840"/>
    <mergeCell ref="X840:Z840"/>
    <mergeCell ref="AA840:AC840"/>
    <mergeCell ref="AD840:AF840"/>
    <mergeCell ref="AG840:AI840"/>
    <mergeCell ref="AJ840:AL840"/>
    <mergeCell ref="AM840:AP840"/>
    <mergeCell ref="AQ840:AT840"/>
    <mergeCell ref="B837:C837"/>
    <mergeCell ref="D837:O837"/>
    <mergeCell ref="P837:R837"/>
    <mergeCell ref="S837:T837"/>
    <mergeCell ref="U837:W837"/>
    <mergeCell ref="X837:Z837"/>
    <mergeCell ref="AA837:AC837"/>
    <mergeCell ref="AD837:AF837"/>
    <mergeCell ref="AG837:AI837"/>
    <mergeCell ref="AJ837:AL837"/>
    <mergeCell ref="AM837:AP837"/>
    <mergeCell ref="AQ837:AT837"/>
    <mergeCell ref="B838:C838"/>
    <mergeCell ref="D838:O838"/>
    <mergeCell ref="P838:R838"/>
    <mergeCell ref="S838:T838"/>
    <mergeCell ref="U838:W838"/>
    <mergeCell ref="X838:Z838"/>
    <mergeCell ref="AA838:AC838"/>
    <mergeCell ref="AD838:AF838"/>
    <mergeCell ref="AG838:AI838"/>
    <mergeCell ref="AJ838:AL838"/>
    <mergeCell ref="AM838:AP838"/>
    <mergeCell ref="AQ838:AT838"/>
    <mergeCell ref="B843:C843"/>
    <mergeCell ref="D843:O843"/>
    <mergeCell ref="P843:R843"/>
    <mergeCell ref="S843:T843"/>
    <mergeCell ref="U843:W843"/>
    <mergeCell ref="X843:Z843"/>
    <mergeCell ref="AA843:AC843"/>
    <mergeCell ref="AD843:AF843"/>
    <mergeCell ref="AG843:AI843"/>
    <mergeCell ref="AJ843:AL843"/>
    <mergeCell ref="AM843:AP843"/>
    <mergeCell ref="AQ843:AT843"/>
    <mergeCell ref="B844:C844"/>
    <mergeCell ref="D844:O844"/>
    <mergeCell ref="P844:R844"/>
    <mergeCell ref="S844:T844"/>
    <mergeCell ref="U844:W844"/>
    <mergeCell ref="X844:Z844"/>
    <mergeCell ref="AA844:AC844"/>
    <mergeCell ref="AD844:AF844"/>
    <mergeCell ref="AG844:AI844"/>
    <mergeCell ref="AJ844:AL844"/>
    <mergeCell ref="AM844:AP844"/>
    <mergeCell ref="AQ844:AT844"/>
    <mergeCell ref="B841:C841"/>
    <mergeCell ref="D841:O841"/>
    <mergeCell ref="P841:R841"/>
    <mergeCell ref="S841:T841"/>
    <mergeCell ref="U841:W841"/>
    <mergeCell ref="X841:Z841"/>
    <mergeCell ref="AA841:AC841"/>
    <mergeCell ref="AD841:AF841"/>
    <mergeCell ref="AG841:AI841"/>
    <mergeCell ref="AJ841:AL841"/>
    <mergeCell ref="AM841:AP841"/>
    <mergeCell ref="AQ841:AT841"/>
    <mergeCell ref="B842:C842"/>
    <mergeCell ref="D842:O842"/>
    <mergeCell ref="P842:R842"/>
    <mergeCell ref="S842:T842"/>
    <mergeCell ref="U842:W842"/>
    <mergeCell ref="X842:Z842"/>
    <mergeCell ref="AA842:AC842"/>
    <mergeCell ref="AD842:AF842"/>
    <mergeCell ref="AG842:AI842"/>
    <mergeCell ref="AJ842:AL842"/>
    <mergeCell ref="AM842:AP842"/>
    <mergeCell ref="AQ842:AT842"/>
    <mergeCell ref="B847:C847"/>
    <mergeCell ref="D847:O847"/>
    <mergeCell ref="P847:R847"/>
    <mergeCell ref="S847:T847"/>
    <mergeCell ref="U847:W847"/>
    <mergeCell ref="X847:Z847"/>
    <mergeCell ref="AA847:AC847"/>
    <mergeCell ref="AD847:AF847"/>
    <mergeCell ref="AG847:AI847"/>
    <mergeCell ref="AJ847:AL847"/>
    <mergeCell ref="AM847:AP847"/>
    <mergeCell ref="AQ847:AT847"/>
    <mergeCell ref="B873:C873"/>
    <mergeCell ref="D873:O873"/>
    <mergeCell ref="P873:R873"/>
    <mergeCell ref="S873:T873"/>
    <mergeCell ref="U873:W873"/>
    <mergeCell ref="X873:Z873"/>
    <mergeCell ref="AA873:AC873"/>
    <mergeCell ref="AD873:AF873"/>
    <mergeCell ref="AG873:AI873"/>
    <mergeCell ref="AJ873:AL873"/>
    <mergeCell ref="AM873:AP873"/>
    <mergeCell ref="AQ873:AT873"/>
    <mergeCell ref="B845:C845"/>
    <mergeCell ref="D845:O845"/>
    <mergeCell ref="P845:R845"/>
    <mergeCell ref="S845:T845"/>
    <mergeCell ref="U845:W845"/>
    <mergeCell ref="X845:Z845"/>
    <mergeCell ref="AA845:AC845"/>
    <mergeCell ref="AD845:AF845"/>
    <mergeCell ref="AG845:AI845"/>
    <mergeCell ref="AJ845:AL845"/>
    <mergeCell ref="AM845:AP845"/>
    <mergeCell ref="AQ845:AT845"/>
    <mergeCell ref="B846:C846"/>
    <mergeCell ref="D846:O846"/>
    <mergeCell ref="P846:R846"/>
    <mergeCell ref="S846:T846"/>
    <mergeCell ref="U846:W846"/>
    <mergeCell ref="X846:Z846"/>
    <mergeCell ref="AA846:AC846"/>
    <mergeCell ref="AD846:AF846"/>
    <mergeCell ref="AG846:AI846"/>
    <mergeCell ref="AJ846:AL846"/>
    <mergeCell ref="AM846:AP846"/>
    <mergeCell ref="AQ846:AT846"/>
    <mergeCell ref="AM855:AP855"/>
    <mergeCell ref="B854:C854"/>
    <mergeCell ref="P854:R854"/>
    <mergeCell ref="S854:T854"/>
    <mergeCell ref="U854:W854"/>
    <mergeCell ref="X854:Z854"/>
    <mergeCell ref="AA854:AC854"/>
    <mergeCell ref="AD854:AF854"/>
    <mergeCell ref="AG854:AI854"/>
    <mergeCell ref="D854:O854"/>
    <mergeCell ref="D855:O855"/>
    <mergeCell ref="AJ856:AL856"/>
    <mergeCell ref="AM856:AP856"/>
    <mergeCell ref="B857:C857"/>
    <mergeCell ref="P857:R857"/>
    <mergeCell ref="S857:T857"/>
    <mergeCell ref="B877:C877"/>
    <mergeCell ref="D877:O877"/>
    <mergeCell ref="P877:R877"/>
    <mergeCell ref="S877:T877"/>
    <mergeCell ref="U877:W877"/>
    <mergeCell ref="X877:Z877"/>
    <mergeCell ref="AA877:AC877"/>
    <mergeCell ref="AD877:AF877"/>
    <mergeCell ref="AG877:AI877"/>
    <mergeCell ref="AJ877:AL877"/>
    <mergeCell ref="AM877:AP877"/>
    <mergeCell ref="AQ877:AT877"/>
    <mergeCell ref="X874:Z874"/>
    <mergeCell ref="AA874:AC874"/>
    <mergeCell ref="AD874:AF874"/>
    <mergeCell ref="AG874:AI874"/>
    <mergeCell ref="AJ874:AL874"/>
    <mergeCell ref="AM874:AP874"/>
    <mergeCell ref="AQ874:AT874"/>
    <mergeCell ref="B875:C875"/>
    <mergeCell ref="D875:O875"/>
    <mergeCell ref="P875:R875"/>
    <mergeCell ref="S875:T875"/>
    <mergeCell ref="U875:W875"/>
    <mergeCell ref="X875:Z875"/>
    <mergeCell ref="AA875:AC875"/>
    <mergeCell ref="AD875:AF875"/>
    <mergeCell ref="AG875:AI875"/>
    <mergeCell ref="AJ875:AL875"/>
    <mergeCell ref="AM875:AP875"/>
    <mergeCell ref="AQ875:AT875"/>
    <mergeCell ref="B880:C880"/>
    <mergeCell ref="D880:O880"/>
    <mergeCell ref="P880:R880"/>
    <mergeCell ref="S880:T880"/>
    <mergeCell ref="U880:W880"/>
    <mergeCell ref="X880:Z880"/>
    <mergeCell ref="AA880:AC880"/>
    <mergeCell ref="AD880:AF880"/>
    <mergeCell ref="AG880:AI880"/>
    <mergeCell ref="AJ880:AL880"/>
    <mergeCell ref="AM880:AP880"/>
    <mergeCell ref="AQ880:AT880"/>
    <mergeCell ref="AQ876:AT876"/>
    <mergeCell ref="AM881:AP881"/>
    <mergeCell ref="AQ881:AT881"/>
    <mergeCell ref="B878:C878"/>
    <mergeCell ref="D878:O878"/>
    <mergeCell ref="P878:R878"/>
    <mergeCell ref="S878:T878"/>
    <mergeCell ref="U878:W878"/>
    <mergeCell ref="X878:Z878"/>
    <mergeCell ref="AA878:AC878"/>
    <mergeCell ref="AD878:AF878"/>
    <mergeCell ref="AG878:AI878"/>
    <mergeCell ref="AJ878:AL878"/>
    <mergeCell ref="AM878:AP878"/>
    <mergeCell ref="AQ878:AT878"/>
    <mergeCell ref="B879:C879"/>
    <mergeCell ref="D879:O879"/>
    <mergeCell ref="P879:R879"/>
    <mergeCell ref="S879:T879"/>
    <mergeCell ref="U879:W879"/>
    <mergeCell ref="X879:Z879"/>
    <mergeCell ref="AA879:AC879"/>
    <mergeCell ref="AD879:AF879"/>
    <mergeCell ref="AG879:AI879"/>
    <mergeCell ref="AJ879:AL879"/>
    <mergeCell ref="AM879:AP879"/>
    <mergeCell ref="AQ879:AT879"/>
    <mergeCell ref="B884:C884"/>
    <mergeCell ref="D884:O884"/>
    <mergeCell ref="P884:R884"/>
    <mergeCell ref="S884:T884"/>
    <mergeCell ref="U884:W884"/>
    <mergeCell ref="X884:Z884"/>
    <mergeCell ref="AA884:AC884"/>
    <mergeCell ref="AD884:AF884"/>
    <mergeCell ref="AG884:AI884"/>
    <mergeCell ref="AJ884:AL884"/>
    <mergeCell ref="AM884:AP884"/>
    <mergeCell ref="AQ884:AT884"/>
    <mergeCell ref="B885:C885"/>
    <mergeCell ref="D885:O885"/>
    <mergeCell ref="P885:R885"/>
    <mergeCell ref="S885:T885"/>
    <mergeCell ref="U885:W885"/>
    <mergeCell ref="X885:Z885"/>
    <mergeCell ref="AA885:AC885"/>
    <mergeCell ref="AD885:AF885"/>
    <mergeCell ref="AG885:AI885"/>
    <mergeCell ref="AJ885:AL885"/>
    <mergeCell ref="AM885:AP885"/>
    <mergeCell ref="AQ885:AT885"/>
    <mergeCell ref="B882:C882"/>
    <mergeCell ref="D882:O882"/>
    <mergeCell ref="P882:R882"/>
    <mergeCell ref="S882:T882"/>
    <mergeCell ref="U882:W882"/>
    <mergeCell ref="X882:Z882"/>
    <mergeCell ref="AA882:AC882"/>
    <mergeCell ref="AD882:AF882"/>
    <mergeCell ref="AG882:AI882"/>
    <mergeCell ref="AJ882:AL882"/>
    <mergeCell ref="AM882:AP882"/>
    <mergeCell ref="AQ882:AT882"/>
    <mergeCell ref="B883:C883"/>
    <mergeCell ref="D883:O883"/>
    <mergeCell ref="P883:R883"/>
    <mergeCell ref="S883:T883"/>
    <mergeCell ref="U883:W883"/>
    <mergeCell ref="X883:Z883"/>
    <mergeCell ref="AA883:AC883"/>
    <mergeCell ref="AD883:AF883"/>
    <mergeCell ref="AG883:AI883"/>
    <mergeCell ref="AJ883:AL883"/>
    <mergeCell ref="AM883:AP883"/>
    <mergeCell ref="AQ883:AT883"/>
    <mergeCell ref="B888:C888"/>
    <mergeCell ref="D888:O888"/>
    <mergeCell ref="P888:R888"/>
    <mergeCell ref="S888:T888"/>
    <mergeCell ref="U888:W888"/>
    <mergeCell ref="X888:Z888"/>
    <mergeCell ref="AA888:AC888"/>
    <mergeCell ref="AD888:AF888"/>
    <mergeCell ref="AG888:AI888"/>
    <mergeCell ref="AJ888:AL888"/>
    <mergeCell ref="AM888:AP888"/>
    <mergeCell ref="AQ888:AT888"/>
    <mergeCell ref="B889:C889"/>
    <mergeCell ref="D889:O889"/>
    <mergeCell ref="P889:R889"/>
    <mergeCell ref="S889:T889"/>
    <mergeCell ref="U889:W889"/>
    <mergeCell ref="X889:Z889"/>
    <mergeCell ref="AA889:AC889"/>
    <mergeCell ref="AD889:AF889"/>
    <mergeCell ref="AG889:AI889"/>
    <mergeCell ref="AJ889:AL889"/>
    <mergeCell ref="AM889:AP889"/>
    <mergeCell ref="AQ889:AT889"/>
    <mergeCell ref="B886:C886"/>
    <mergeCell ref="D886:O886"/>
    <mergeCell ref="P886:R886"/>
    <mergeCell ref="S886:T886"/>
    <mergeCell ref="U886:W886"/>
    <mergeCell ref="X886:Z886"/>
    <mergeCell ref="AA886:AC886"/>
    <mergeCell ref="AD886:AF886"/>
    <mergeCell ref="AG886:AI886"/>
    <mergeCell ref="AJ886:AL886"/>
    <mergeCell ref="AM886:AP886"/>
    <mergeCell ref="AQ886:AT886"/>
    <mergeCell ref="B887:C887"/>
    <mergeCell ref="D887:O887"/>
    <mergeCell ref="P887:R887"/>
    <mergeCell ref="S887:T887"/>
    <mergeCell ref="U887:W887"/>
    <mergeCell ref="X887:Z887"/>
    <mergeCell ref="AA887:AC887"/>
    <mergeCell ref="AD887:AF887"/>
    <mergeCell ref="AG887:AI887"/>
    <mergeCell ref="AJ887:AL887"/>
    <mergeCell ref="AM887:AP887"/>
    <mergeCell ref="AQ887:AT887"/>
    <mergeCell ref="B892:C892"/>
    <mergeCell ref="D892:O892"/>
    <mergeCell ref="P892:R892"/>
    <mergeCell ref="S892:T892"/>
    <mergeCell ref="U892:W892"/>
    <mergeCell ref="X892:Z892"/>
    <mergeCell ref="AA892:AC892"/>
    <mergeCell ref="AD892:AF892"/>
    <mergeCell ref="AG892:AI892"/>
    <mergeCell ref="AJ892:AL892"/>
    <mergeCell ref="AM892:AP892"/>
    <mergeCell ref="AQ892:AT892"/>
    <mergeCell ref="B918:C918"/>
    <mergeCell ref="D918:O918"/>
    <mergeCell ref="P918:R918"/>
    <mergeCell ref="S918:T918"/>
    <mergeCell ref="U918:W918"/>
    <mergeCell ref="X918:Z918"/>
    <mergeCell ref="AA918:AC918"/>
    <mergeCell ref="AD918:AF918"/>
    <mergeCell ref="AG918:AI918"/>
    <mergeCell ref="AJ918:AL918"/>
    <mergeCell ref="AM918:AP918"/>
    <mergeCell ref="AQ918:AT918"/>
    <mergeCell ref="B890:C890"/>
    <mergeCell ref="D890:O890"/>
    <mergeCell ref="P890:R890"/>
    <mergeCell ref="S890:T890"/>
    <mergeCell ref="U890:W890"/>
    <mergeCell ref="X890:Z890"/>
    <mergeCell ref="AA890:AC890"/>
    <mergeCell ref="AD890:AF890"/>
    <mergeCell ref="AG890:AI890"/>
    <mergeCell ref="AJ890:AL890"/>
    <mergeCell ref="AM890:AP890"/>
    <mergeCell ref="AQ890:AT890"/>
    <mergeCell ref="B891:C891"/>
    <mergeCell ref="D891:O891"/>
    <mergeCell ref="P891:R891"/>
    <mergeCell ref="S891:T891"/>
    <mergeCell ref="U891:W891"/>
    <mergeCell ref="X891:Z891"/>
    <mergeCell ref="AA891:AC891"/>
    <mergeCell ref="AD891:AF891"/>
    <mergeCell ref="AG891:AI891"/>
    <mergeCell ref="AJ891:AL891"/>
    <mergeCell ref="AM891:AP891"/>
    <mergeCell ref="AQ891:AT891"/>
    <mergeCell ref="B899:C899"/>
    <mergeCell ref="P899:R899"/>
    <mergeCell ref="S899:T899"/>
    <mergeCell ref="U899:W899"/>
    <mergeCell ref="X899:Z899"/>
    <mergeCell ref="AA899:AC899"/>
    <mergeCell ref="AD899:AF899"/>
    <mergeCell ref="AG899:AI899"/>
    <mergeCell ref="AJ899:AL899"/>
    <mergeCell ref="AM899:AP899"/>
    <mergeCell ref="D899:O899"/>
    <mergeCell ref="AJ900:AL900"/>
    <mergeCell ref="AM900:AP900"/>
    <mergeCell ref="B901:C901"/>
    <mergeCell ref="P901:R901"/>
    <mergeCell ref="S901:T901"/>
    <mergeCell ref="AQ921:AT921"/>
    <mergeCell ref="B922:C922"/>
    <mergeCell ref="D922:O922"/>
    <mergeCell ref="P922:R922"/>
    <mergeCell ref="S922:T922"/>
    <mergeCell ref="U922:W922"/>
    <mergeCell ref="X922:Z922"/>
    <mergeCell ref="AA922:AC922"/>
    <mergeCell ref="AD922:AF922"/>
    <mergeCell ref="AG922:AI922"/>
    <mergeCell ref="AJ922:AL922"/>
    <mergeCell ref="AM922:AP922"/>
    <mergeCell ref="AQ922:AT922"/>
    <mergeCell ref="B919:C919"/>
    <mergeCell ref="D919:O919"/>
    <mergeCell ref="P919:R919"/>
    <mergeCell ref="S919:T919"/>
    <mergeCell ref="U919:W919"/>
    <mergeCell ref="X919:Z919"/>
    <mergeCell ref="AA919:AC919"/>
    <mergeCell ref="AD919:AF919"/>
    <mergeCell ref="AG919:AI919"/>
    <mergeCell ref="AJ919:AL919"/>
    <mergeCell ref="AM919:AP919"/>
    <mergeCell ref="AQ919:AT919"/>
    <mergeCell ref="B920:C920"/>
    <mergeCell ref="D920:O920"/>
    <mergeCell ref="P920:R920"/>
    <mergeCell ref="S920:T920"/>
    <mergeCell ref="U920:W920"/>
    <mergeCell ref="X920:Z920"/>
    <mergeCell ref="AA920:AC920"/>
    <mergeCell ref="AD920:AF920"/>
    <mergeCell ref="AG920:AI920"/>
    <mergeCell ref="AJ920:AL920"/>
    <mergeCell ref="AM920:AP920"/>
    <mergeCell ref="AQ920:AT920"/>
    <mergeCell ref="AQ925:AT925"/>
    <mergeCell ref="B926:C926"/>
    <mergeCell ref="D926:O926"/>
    <mergeCell ref="P926:R926"/>
    <mergeCell ref="S926:T926"/>
    <mergeCell ref="U926:W926"/>
    <mergeCell ref="X926:Z926"/>
    <mergeCell ref="AA926:AC926"/>
    <mergeCell ref="AD926:AF926"/>
    <mergeCell ref="AG926:AI926"/>
    <mergeCell ref="AJ926:AL926"/>
    <mergeCell ref="AM926:AP926"/>
    <mergeCell ref="AQ926:AT926"/>
    <mergeCell ref="B923:C923"/>
    <mergeCell ref="D923:O923"/>
    <mergeCell ref="P923:R923"/>
    <mergeCell ref="S923:T923"/>
    <mergeCell ref="U923:W923"/>
    <mergeCell ref="X923:Z923"/>
    <mergeCell ref="AA923:AC923"/>
    <mergeCell ref="AD923:AF923"/>
    <mergeCell ref="AG923:AI923"/>
    <mergeCell ref="AJ923:AL923"/>
    <mergeCell ref="AM923:AP923"/>
    <mergeCell ref="AQ923:AT923"/>
    <mergeCell ref="B924:C924"/>
    <mergeCell ref="D924:O924"/>
    <mergeCell ref="P924:R924"/>
    <mergeCell ref="S924:T924"/>
    <mergeCell ref="U924:W924"/>
    <mergeCell ref="X924:Z924"/>
    <mergeCell ref="AA924:AC924"/>
    <mergeCell ref="AD924:AF924"/>
    <mergeCell ref="AG924:AI924"/>
    <mergeCell ref="AJ924:AL924"/>
    <mergeCell ref="AM924:AP924"/>
    <mergeCell ref="AQ924:AT924"/>
    <mergeCell ref="U929:W929"/>
    <mergeCell ref="X929:Z929"/>
    <mergeCell ref="AA929:AC929"/>
    <mergeCell ref="AD929:AF929"/>
    <mergeCell ref="AG929:AI929"/>
    <mergeCell ref="AJ929:AL929"/>
    <mergeCell ref="AM929:AP929"/>
    <mergeCell ref="AQ929:AT929"/>
    <mergeCell ref="B930:C930"/>
    <mergeCell ref="D930:O930"/>
    <mergeCell ref="P930:R930"/>
    <mergeCell ref="S930:T930"/>
    <mergeCell ref="U930:W930"/>
    <mergeCell ref="X930:Z930"/>
    <mergeCell ref="AA930:AC930"/>
    <mergeCell ref="AD930:AF930"/>
    <mergeCell ref="AG930:AI930"/>
    <mergeCell ref="AJ930:AL930"/>
    <mergeCell ref="AM930:AP930"/>
    <mergeCell ref="AQ930:AT930"/>
    <mergeCell ref="B927:C927"/>
    <mergeCell ref="D927:O927"/>
    <mergeCell ref="P927:R927"/>
    <mergeCell ref="S927:T927"/>
    <mergeCell ref="U927:W927"/>
    <mergeCell ref="X927:Z927"/>
    <mergeCell ref="AA927:AC927"/>
    <mergeCell ref="AD927:AF927"/>
    <mergeCell ref="AG927:AI927"/>
    <mergeCell ref="AJ927:AL927"/>
    <mergeCell ref="AM927:AP927"/>
    <mergeCell ref="AQ927:AT927"/>
    <mergeCell ref="B928:C928"/>
    <mergeCell ref="D928:O928"/>
    <mergeCell ref="P928:R928"/>
    <mergeCell ref="S928:T928"/>
    <mergeCell ref="U928:W928"/>
    <mergeCell ref="X928:Z928"/>
    <mergeCell ref="AA928:AC928"/>
    <mergeCell ref="AD928:AF928"/>
    <mergeCell ref="AG928:AI928"/>
    <mergeCell ref="AJ928:AL928"/>
    <mergeCell ref="AM928:AP928"/>
    <mergeCell ref="AQ928:AT928"/>
    <mergeCell ref="B933:C933"/>
    <mergeCell ref="D933:O933"/>
    <mergeCell ref="P933:R933"/>
    <mergeCell ref="S933:T933"/>
    <mergeCell ref="U933:W933"/>
    <mergeCell ref="X933:Z933"/>
    <mergeCell ref="AA933:AC933"/>
    <mergeCell ref="AD933:AF933"/>
    <mergeCell ref="AG933:AI933"/>
    <mergeCell ref="AJ933:AL933"/>
    <mergeCell ref="AM933:AP933"/>
    <mergeCell ref="AQ933:AT933"/>
    <mergeCell ref="B934:C934"/>
    <mergeCell ref="D934:O934"/>
    <mergeCell ref="P934:R934"/>
    <mergeCell ref="S934:T934"/>
    <mergeCell ref="U934:W934"/>
    <mergeCell ref="X934:Z934"/>
    <mergeCell ref="AA934:AC934"/>
    <mergeCell ref="AD934:AF934"/>
    <mergeCell ref="AG934:AI934"/>
    <mergeCell ref="AJ934:AL934"/>
    <mergeCell ref="AM934:AP934"/>
    <mergeCell ref="AQ934:AT934"/>
    <mergeCell ref="B931:C931"/>
    <mergeCell ref="D931:O931"/>
    <mergeCell ref="P931:R931"/>
    <mergeCell ref="S931:T931"/>
    <mergeCell ref="U931:W931"/>
    <mergeCell ref="X931:Z931"/>
    <mergeCell ref="AA931:AC931"/>
    <mergeCell ref="AD931:AF931"/>
    <mergeCell ref="AG931:AI931"/>
    <mergeCell ref="AJ931:AL931"/>
    <mergeCell ref="AM931:AP931"/>
    <mergeCell ref="AQ931:AT931"/>
    <mergeCell ref="B932:C932"/>
    <mergeCell ref="D932:O932"/>
    <mergeCell ref="P932:R932"/>
    <mergeCell ref="S932:T932"/>
    <mergeCell ref="U932:W932"/>
    <mergeCell ref="X932:Z932"/>
    <mergeCell ref="AA932:AC932"/>
    <mergeCell ref="AD932:AF932"/>
    <mergeCell ref="AG932:AI932"/>
    <mergeCell ref="AJ932:AL932"/>
    <mergeCell ref="AM932:AP932"/>
    <mergeCell ref="AQ932:AT932"/>
    <mergeCell ref="B937:C937"/>
    <mergeCell ref="D937:O937"/>
    <mergeCell ref="P937:R937"/>
    <mergeCell ref="S937:T937"/>
    <mergeCell ref="U937:W937"/>
    <mergeCell ref="X937:Z937"/>
    <mergeCell ref="AA937:AC937"/>
    <mergeCell ref="AD937:AF937"/>
    <mergeCell ref="AG937:AI937"/>
    <mergeCell ref="AJ937:AL937"/>
    <mergeCell ref="AM937:AP937"/>
    <mergeCell ref="AQ937:AT937"/>
    <mergeCell ref="B963:C963"/>
    <mergeCell ref="D963:O963"/>
    <mergeCell ref="P963:R963"/>
    <mergeCell ref="S963:T963"/>
    <mergeCell ref="U963:W963"/>
    <mergeCell ref="X963:Z963"/>
    <mergeCell ref="AA963:AC963"/>
    <mergeCell ref="AD963:AF963"/>
    <mergeCell ref="AG963:AI963"/>
    <mergeCell ref="AJ963:AL963"/>
    <mergeCell ref="AM963:AP963"/>
    <mergeCell ref="AQ963:AT963"/>
    <mergeCell ref="B935:C935"/>
    <mergeCell ref="D935:O935"/>
    <mergeCell ref="P935:R935"/>
    <mergeCell ref="S935:T935"/>
    <mergeCell ref="U935:W935"/>
    <mergeCell ref="X935:Z935"/>
    <mergeCell ref="AA935:AC935"/>
    <mergeCell ref="AD935:AF935"/>
    <mergeCell ref="AG935:AI935"/>
    <mergeCell ref="AJ935:AL935"/>
    <mergeCell ref="AM935:AP935"/>
    <mergeCell ref="AQ935:AT935"/>
    <mergeCell ref="B936:C936"/>
    <mergeCell ref="D936:O936"/>
    <mergeCell ref="P936:R936"/>
    <mergeCell ref="S936:T936"/>
    <mergeCell ref="U936:W936"/>
    <mergeCell ref="X936:Z936"/>
    <mergeCell ref="AA936:AC936"/>
    <mergeCell ref="AD936:AF936"/>
    <mergeCell ref="AG936:AI936"/>
    <mergeCell ref="AJ936:AL936"/>
    <mergeCell ref="AM936:AP936"/>
    <mergeCell ref="AQ936:AT936"/>
    <mergeCell ref="B959:C959"/>
    <mergeCell ref="D959:O959"/>
    <mergeCell ref="P959:R959"/>
    <mergeCell ref="S959:T959"/>
    <mergeCell ref="U959:W959"/>
    <mergeCell ref="X959:Z959"/>
    <mergeCell ref="AA959:AC959"/>
    <mergeCell ref="AD959:AF959"/>
    <mergeCell ref="AG959:AI959"/>
    <mergeCell ref="AJ959:AL959"/>
    <mergeCell ref="AM959:AP959"/>
    <mergeCell ref="AQ959:AT959"/>
    <mergeCell ref="B960:C960"/>
    <mergeCell ref="D960:O960"/>
    <mergeCell ref="P960:R960"/>
    <mergeCell ref="S960:T960"/>
    <mergeCell ref="AD964:AF964"/>
    <mergeCell ref="AG964:AI964"/>
    <mergeCell ref="AJ964:AL964"/>
    <mergeCell ref="AM964:AP964"/>
    <mergeCell ref="AQ964:AT964"/>
    <mergeCell ref="B965:C965"/>
    <mergeCell ref="D965:O965"/>
    <mergeCell ref="P965:R965"/>
    <mergeCell ref="S965:T965"/>
    <mergeCell ref="U965:W965"/>
    <mergeCell ref="X965:Z965"/>
    <mergeCell ref="AA965:AC965"/>
    <mergeCell ref="AD965:AF965"/>
    <mergeCell ref="AG965:AI965"/>
    <mergeCell ref="AJ965:AL965"/>
    <mergeCell ref="AM965:AP965"/>
    <mergeCell ref="AQ965:AT965"/>
    <mergeCell ref="P966:R966"/>
    <mergeCell ref="S966:T966"/>
    <mergeCell ref="U966:W966"/>
    <mergeCell ref="X966:Z966"/>
    <mergeCell ref="AA966:AC966"/>
    <mergeCell ref="AD966:AF966"/>
    <mergeCell ref="AG966:AI966"/>
    <mergeCell ref="AJ966:AL966"/>
    <mergeCell ref="AM966:AP966"/>
    <mergeCell ref="AQ966:AT966"/>
    <mergeCell ref="B967:C967"/>
    <mergeCell ref="D967:O967"/>
    <mergeCell ref="AM970:AP970"/>
    <mergeCell ref="AQ970:AT970"/>
    <mergeCell ref="B971:C971"/>
    <mergeCell ref="D971:O971"/>
    <mergeCell ref="P971:R971"/>
    <mergeCell ref="S971:T971"/>
    <mergeCell ref="U971:W971"/>
    <mergeCell ref="X971:Z971"/>
    <mergeCell ref="AA971:AC971"/>
    <mergeCell ref="AD971:AF971"/>
    <mergeCell ref="AG971:AI971"/>
    <mergeCell ref="AJ971:AL971"/>
    <mergeCell ref="AM971:AP971"/>
    <mergeCell ref="AQ971:AT971"/>
    <mergeCell ref="B968:C968"/>
    <mergeCell ref="D968:O968"/>
    <mergeCell ref="P968:R968"/>
    <mergeCell ref="S968:T968"/>
    <mergeCell ref="U968:W968"/>
    <mergeCell ref="X968:Z968"/>
    <mergeCell ref="AA968:AC968"/>
    <mergeCell ref="AD968:AF968"/>
    <mergeCell ref="AG968:AI968"/>
    <mergeCell ref="AJ968:AL968"/>
    <mergeCell ref="AM968:AP968"/>
    <mergeCell ref="AQ968:AT968"/>
    <mergeCell ref="B969:C969"/>
    <mergeCell ref="D969:O969"/>
    <mergeCell ref="P969:R969"/>
    <mergeCell ref="S969:T969"/>
    <mergeCell ref="U969:W969"/>
    <mergeCell ref="X969:Z969"/>
    <mergeCell ref="AA969:AC969"/>
    <mergeCell ref="AD969:AF969"/>
    <mergeCell ref="AG969:AI969"/>
    <mergeCell ref="AJ969:AL969"/>
    <mergeCell ref="AM969:AP969"/>
    <mergeCell ref="AQ969:AT969"/>
    <mergeCell ref="D970:O970"/>
    <mergeCell ref="B974:C974"/>
    <mergeCell ref="D974:O974"/>
    <mergeCell ref="P974:R974"/>
    <mergeCell ref="S974:T974"/>
    <mergeCell ref="U974:W974"/>
    <mergeCell ref="X974:Z974"/>
    <mergeCell ref="AA974:AC974"/>
    <mergeCell ref="AD974:AF974"/>
    <mergeCell ref="AG974:AI974"/>
    <mergeCell ref="AJ974:AL974"/>
    <mergeCell ref="AM974:AP974"/>
    <mergeCell ref="AQ974:AT974"/>
    <mergeCell ref="B975:C975"/>
    <mergeCell ref="D975:O975"/>
    <mergeCell ref="P975:R975"/>
    <mergeCell ref="S975:T975"/>
    <mergeCell ref="U975:W975"/>
    <mergeCell ref="X975:Z975"/>
    <mergeCell ref="AA975:AC975"/>
    <mergeCell ref="AD975:AF975"/>
    <mergeCell ref="AG975:AI975"/>
    <mergeCell ref="AJ975:AL975"/>
    <mergeCell ref="AM975:AP975"/>
    <mergeCell ref="AQ975:AT975"/>
    <mergeCell ref="B972:C972"/>
    <mergeCell ref="D972:O972"/>
    <mergeCell ref="P972:R972"/>
    <mergeCell ref="S972:T972"/>
    <mergeCell ref="U972:W972"/>
    <mergeCell ref="X972:Z972"/>
    <mergeCell ref="AA972:AC972"/>
    <mergeCell ref="AD972:AF972"/>
    <mergeCell ref="AG972:AI972"/>
    <mergeCell ref="AJ972:AL972"/>
    <mergeCell ref="AM972:AP972"/>
    <mergeCell ref="AQ972:AT972"/>
    <mergeCell ref="B973:C973"/>
    <mergeCell ref="P973:R973"/>
    <mergeCell ref="S973:T973"/>
    <mergeCell ref="U973:W973"/>
    <mergeCell ref="X973:Z973"/>
    <mergeCell ref="AA973:AC973"/>
    <mergeCell ref="AD973:AF973"/>
    <mergeCell ref="AG973:AI973"/>
    <mergeCell ref="AJ973:AL973"/>
    <mergeCell ref="AM973:AP973"/>
    <mergeCell ref="AQ973:AT973"/>
    <mergeCell ref="S979:T979"/>
    <mergeCell ref="U979:W979"/>
    <mergeCell ref="X979:Z979"/>
    <mergeCell ref="AA979:AC979"/>
    <mergeCell ref="AD979:AF979"/>
    <mergeCell ref="AG979:AI979"/>
    <mergeCell ref="AJ979:AL979"/>
    <mergeCell ref="AM979:AP979"/>
    <mergeCell ref="AQ979:AT979"/>
    <mergeCell ref="B976:C976"/>
    <mergeCell ref="D976:O976"/>
    <mergeCell ref="P976:R976"/>
    <mergeCell ref="S976:T976"/>
    <mergeCell ref="U976:W976"/>
    <mergeCell ref="X976:Z976"/>
    <mergeCell ref="AA976:AC976"/>
    <mergeCell ref="AD976:AF976"/>
    <mergeCell ref="AG976:AI976"/>
    <mergeCell ref="AJ976:AL976"/>
    <mergeCell ref="AM976:AP976"/>
    <mergeCell ref="AQ976:AT976"/>
    <mergeCell ref="B977:C977"/>
    <mergeCell ref="D977:O977"/>
    <mergeCell ref="P977:R977"/>
    <mergeCell ref="S977:T977"/>
    <mergeCell ref="U977:W977"/>
    <mergeCell ref="X977:Z977"/>
    <mergeCell ref="AA977:AC977"/>
    <mergeCell ref="AD977:AF977"/>
    <mergeCell ref="AG977:AI977"/>
    <mergeCell ref="AJ977:AL977"/>
    <mergeCell ref="AM977:AP977"/>
    <mergeCell ref="AQ977:AT977"/>
    <mergeCell ref="B982:C982"/>
    <mergeCell ref="D982:O982"/>
    <mergeCell ref="P982:R982"/>
    <mergeCell ref="S982:T982"/>
    <mergeCell ref="U982:W982"/>
    <mergeCell ref="X982:Z982"/>
    <mergeCell ref="AA982:AC982"/>
    <mergeCell ref="AD982:AF982"/>
    <mergeCell ref="AG982:AI982"/>
    <mergeCell ref="AJ982:AL982"/>
    <mergeCell ref="AM982:AP982"/>
    <mergeCell ref="AQ982:AT982"/>
    <mergeCell ref="D973:O973"/>
    <mergeCell ref="B1008:C1008"/>
    <mergeCell ref="D1008:O1008"/>
    <mergeCell ref="P1008:R1008"/>
    <mergeCell ref="S1008:T1008"/>
    <mergeCell ref="U1008:W1008"/>
    <mergeCell ref="X1008:Z1008"/>
    <mergeCell ref="AA1008:AC1008"/>
    <mergeCell ref="AD1008:AF1008"/>
    <mergeCell ref="AG1008:AI1008"/>
    <mergeCell ref="AJ1008:AL1008"/>
    <mergeCell ref="AM1008:AP1008"/>
    <mergeCell ref="AQ1008:AT1008"/>
    <mergeCell ref="B980:C980"/>
    <mergeCell ref="D980:O980"/>
    <mergeCell ref="P980:R980"/>
    <mergeCell ref="S980:T980"/>
    <mergeCell ref="U980:W980"/>
    <mergeCell ref="X980:Z980"/>
    <mergeCell ref="AA980:AC980"/>
    <mergeCell ref="AD980:AF980"/>
    <mergeCell ref="AG980:AI980"/>
    <mergeCell ref="AJ980:AL980"/>
    <mergeCell ref="AM980:AP980"/>
    <mergeCell ref="AQ980:AT980"/>
    <mergeCell ref="B981:C981"/>
    <mergeCell ref="D981:O981"/>
    <mergeCell ref="P981:R981"/>
    <mergeCell ref="S981:T981"/>
    <mergeCell ref="U981:W981"/>
    <mergeCell ref="X981:Z981"/>
    <mergeCell ref="AA981:AC981"/>
    <mergeCell ref="AD981:AF981"/>
    <mergeCell ref="AG981:AI981"/>
    <mergeCell ref="AJ981:AL981"/>
    <mergeCell ref="AM981:AP981"/>
    <mergeCell ref="AQ981:AT981"/>
    <mergeCell ref="B978:C978"/>
    <mergeCell ref="D978:O978"/>
    <mergeCell ref="P978:R978"/>
    <mergeCell ref="S978:T978"/>
    <mergeCell ref="U978:W978"/>
    <mergeCell ref="X978:Z978"/>
    <mergeCell ref="AA978:AC978"/>
    <mergeCell ref="AD978:AF978"/>
    <mergeCell ref="AG978:AI978"/>
    <mergeCell ref="AJ978:AL978"/>
    <mergeCell ref="AM978:AP978"/>
    <mergeCell ref="AQ978:AT978"/>
    <mergeCell ref="B979:C979"/>
    <mergeCell ref="D979:O979"/>
    <mergeCell ref="P979:R979"/>
    <mergeCell ref="B1015:C1015"/>
    <mergeCell ref="D1015:O1015"/>
    <mergeCell ref="P1015:R1015"/>
    <mergeCell ref="S1015:T1015"/>
    <mergeCell ref="U1015:W1015"/>
    <mergeCell ref="X1015:Z1015"/>
    <mergeCell ref="AA1015:AC1015"/>
    <mergeCell ref="AD1015:AF1015"/>
    <mergeCell ref="AG1015:AI1015"/>
    <mergeCell ref="AJ1015:AL1015"/>
    <mergeCell ref="AM1015:AP1015"/>
    <mergeCell ref="AQ1015:AT1015"/>
    <mergeCell ref="B1016:C1016"/>
    <mergeCell ref="D1016:O1016"/>
    <mergeCell ref="P1016:R1016"/>
    <mergeCell ref="S1016:T1016"/>
    <mergeCell ref="U1016:W1016"/>
    <mergeCell ref="X1016:Z1016"/>
    <mergeCell ref="AA1016:AC1016"/>
    <mergeCell ref="AD1016:AF1016"/>
    <mergeCell ref="AG1016:AI1016"/>
    <mergeCell ref="AJ1016:AL1016"/>
    <mergeCell ref="AM1016:AP1016"/>
    <mergeCell ref="AQ1016:AT1016"/>
    <mergeCell ref="B1013:C1013"/>
    <mergeCell ref="D1013:O1013"/>
    <mergeCell ref="P1013:R1013"/>
    <mergeCell ref="S1013:T1013"/>
    <mergeCell ref="U1013:W1013"/>
    <mergeCell ref="X1013:Z1013"/>
    <mergeCell ref="AA1013:AC1013"/>
    <mergeCell ref="AD1013:AF1013"/>
    <mergeCell ref="AG1013:AI1013"/>
    <mergeCell ref="AJ1013:AL1013"/>
    <mergeCell ref="AM1013:AP1013"/>
    <mergeCell ref="AQ1013:AT1013"/>
    <mergeCell ref="B1014:C1014"/>
    <mergeCell ref="D1014:O1014"/>
    <mergeCell ref="P1014:R1014"/>
    <mergeCell ref="S1014:T1014"/>
    <mergeCell ref="U1014:W1014"/>
    <mergeCell ref="X1014:Z1014"/>
    <mergeCell ref="AA1014:AC1014"/>
    <mergeCell ref="AD1014:AF1014"/>
    <mergeCell ref="AG1014:AI1014"/>
    <mergeCell ref="AJ1014:AL1014"/>
    <mergeCell ref="AM1014:AP1014"/>
    <mergeCell ref="B1019:C1019"/>
    <mergeCell ref="D1019:O1019"/>
    <mergeCell ref="P1019:R1019"/>
    <mergeCell ref="S1019:T1019"/>
    <mergeCell ref="U1019:W1019"/>
    <mergeCell ref="X1019:Z1019"/>
    <mergeCell ref="AA1019:AC1019"/>
    <mergeCell ref="AD1019:AF1019"/>
    <mergeCell ref="AG1019:AI1019"/>
    <mergeCell ref="AJ1019:AL1019"/>
    <mergeCell ref="AM1019:AP1019"/>
    <mergeCell ref="AQ1019:AT1019"/>
    <mergeCell ref="B1020:C1020"/>
    <mergeCell ref="D1020:O1020"/>
    <mergeCell ref="P1020:R1020"/>
    <mergeCell ref="S1020:T1020"/>
    <mergeCell ref="U1020:W1020"/>
    <mergeCell ref="X1020:Z1020"/>
    <mergeCell ref="AA1020:AC1020"/>
    <mergeCell ref="AD1020:AF1020"/>
    <mergeCell ref="AG1020:AI1020"/>
    <mergeCell ref="AJ1020:AL1020"/>
    <mergeCell ref="AM1020:AP1020"/>
    <mergeCell ref="AQ1020:AT1020"/>
    <mergeCell ref="B1017:C1017"/>
    <mergeCell ref="D1017:O1017"/>
    <mergeCell ref="P1017:R1017"/>
    <mergeCell ref="S1017:T1017"/>
    <mergeCell ref="U1017:W1017"/>
    <mergeCell ref="X1017:Z1017"/>
    <mergeCell ref="AA1017:AC1017"/>
    <mergeCell ref="AD1017:AF1017"/>
    <mergeCell ref="AG1017:AI1017"/>
    <mergeCell ref="AJ1017:AL1017"/>
    <mergeCell ref="AM1017:AP1017"/>
    <mergeCell ref="AQ1017:AT1017"/>
    <mergeCell ref="B1018:C1018"/>
    <mergeCell ref="D1018:O1018"/>
    <mergeCell ref="P1018:R1018"/>
    <mergeCell ref="S1018:T1018"/>
    <mergeCell ref="U1018:W1018"/>
    <mergeCell ref="X1018:Z1018"/>
    <mergeCell ref="AA1018:AC1018"/>
    <mergeCell ref="AD1018:AF1018"/>
    <mergeCell ref="AG1018:AI1018"/>
    <mergeCell ref="AJ1018:AL1018"/>
    <mergeCell ref="AM1018:AP1018"/>
    <mergeCell ref="AQ1018:AT1018"/>
    <mergeCell ref="B1023:C1023"/>
    <mergeCell ref="D1023:O1023"/>
    <mergeCell ref="P1023:R1023"/>
    <mergeCell ref="S1023:T1023"/>
    <mergeCell ref="U1023:W1023"/>
    <mergeCell ref="X1023:Z1023"/>
    <mergeCell ref="AA1023:AC1023"/>
    <mergeCell ref="AD1023:AF1023"/>
    <mergeCell ref="AG1023:AI1023"/>
    <mergeCell ref="AJ1023:AL1023"/>
    <mergeCell ref="AM1023:AP1023"/>
    <mergeCell ref="AQ1023:AT1023"/>
    <mergeCell ref="B1024:C1024"/>
    <mergeCell ref="D1024:O1024"/>
    <mergeCell ref="P1024:R1024"/>
    <mergeCell ref="S1024:T1024"/>
    <mergeCell ref="U1024:W1024"/>
    <mergeCell ref="X1024:Z1024"/>
    <mergeCell ref="AA1024:AC1024"/>
    <mergeCell ref="AD1024:AF1024"/>
    <mergeCell ref="AG1024:AI1024"/>
    <mergeCell ref="AJ1024:AL1024"/>
    <mergeCell ref="AM1024:AP1024"/>
    <mergeCell ref="AQ1024:AT1024"/>
    <mergeCell ref="B1021:C1021"/>
    <mergeCell ref="D1021:O1021"/>
    <mergeCell ref="P1021:R1021"/>
    <mergeCell ref="S1021:T1021"/>
    <mergeCell ref="U1021:W1021"/>
    <mergeCell ref="X1021:Z1021"/>
    <mergeCell ref="AA1021:AC1021"/>
    <mergeCell ref="AD1021:AF1021"/>
    <mergeCell ref="AG1021:AI1021"/>
    <mergeCell ref="AJ1021:AL1021"/>
    <mergeCell ref="AM1021:AP1021"/>
    <mergeCell ref="AQ1021:AT1021"/>
    <mergeCell ref="B1022:C1022"/>
    <mergeCell ref="D1022:O1022"/>
    <mergeCell ref="P1022:R1022"/>
    <mergeCell ref="S1022:T1022"/>
    <mergeCell ref="U1022:W1022"/>
    <mergeCell ref="X1022:Z1022"/>
    <mergeCell ref="AA1022:AC1022"/>
    <mergeCell ref="AD1022:AF1022"/>
    <mergeCell ref="AG1022:AI1022"/>
    <mergeCell ref="AJ1022:AL1022"/>
    <mergeCell ref="AM1022:AP1022"/>
    <mergeCell ref="AQ1022:AT1022"/>
    <mergeCell ref="B1027:C1027"/>
    <mergeCell ref="D1027:O1027"/>
    <mergeCell ref="P1027:R1027"/>
    <mergeCell ref="S1027:T1027"/>
    <mergeCell ref="U1027:W1027"/>
    <mergeCell ref="X1027:Z1027"/>
    <mergeCell ref="AA1027:AC1027"/>
    <mergeCell ref="AD1027:AF1027"/>
    <mergeCell ref="AG1027:AI1027"/>
    <mergeCell ref="AJ1027:AL1027"/>
    <mergeCell ref="AM1027:AP1027"/>
    <mergeCell ref="AQ1027:AT1027"/>
    <mergeCell ref="B1053:C1053"/>
    <mergeCell ref="D1053:O1053"/>
    <mergeCell ref="P1053:R1053"/>
    <mergeCell ref="S1053:T1053"/>
    <mergeCell ref="U1053:W1053"/>
    <mergeCell ref="X1053:Z1053"/>
    <mergeCell ref="AA1053:AC1053"/>
    <mergeCell ref="AD1053:AF1053"/>
    <mergeCell ref="AG1053:AI1053"/>
    <mergeCell ref="AJ1053:AL1053"/>
    <mergeCell ref="AM1053:AP1053"/>
    <mergeCell ref="AQ1053:AT1053"/>
    <mergeCell ref="B1025:C1025"/>
    <mergeCell ref="D1025:O1025"/>
    <mergeCell ref="P1025:R1025"/>
    <mergeCell ref="S1025:T1025"/>
    <mergeCell ref="U1025:W1025"/>
    <mergeCell ref="X1025:Z1025"/>
    <mergeCell ref="AA1025:AC1025"/>
    <mergeCell ref="AD1025:AF1025"/>
    <mergeCell ref="AG1025:AI1025"/>
    <mergeCell ref="AJ1025:AL1025"/>
    <mergeCell ref="AM1025:AP1025"/>
    <mergeCell ref="AQ1025:AT1025"/>
    <mergeCell ref="B1026:C1026"/>
    <mergeCell ref="D1026:O1026"/>
    <mergeCell ref="P1026:R1026"/>
    <mergeCell ref="S1026:T1026"/>
    <mergeCell ref="U1026:W1026"/>
    <mergeCell ref="X1026:Z1026"/>
    <mergeCell ref="AA1026:AC1026"/>
    <mergeCell ref="AD1026:AF1026"/>
    <mergeCell ref="AG1026:AI1026"/>
    <mergeCell ref="AJ1026:AL1026"/>
    <mergeCell ref="AM1026:AP1026"/>
    <mergeCell ref="AQ1026:AT1026"/>
    <mergeCell ref="B1051:C1051"/>
    <mergeCell ref="D1051:O1051"/>
    <mergeCell ref="P1051:R1051"/>
    <mergeCell ref="S1051:T1051"/>
    <mergeCell ref="U1051:W1051"/>
    <mergeCell ref="X1051:Z1051"/>
    <mergeCell ref="AA1051:AC1051"/>
    <mergeCell ref="AD1051:AF1051"/>
    <mergeCell ref="AG1051:AI1051"/>
    <mergeCell ref="AJ1051:AL1051"/>
    <mergeCell ref="AM1051:AP1051"/>
    <mergeCell ref="AQ1051:AT1051"/>
    <mergeCell ref="B1052:C1052"/>
    <mergeCell ref="D1052:O1052"/>
    <mergeCell ref="P1052:R1052"/>
    <mergeCell ref="S1052:T1052"/>
    <mergeCell ref="AM1063:AP1063"/>
    <mergeCell ref="AQ1063:AT1063"/>
    <mergeCell ref="B1068:C1068"/>
    <mergeCell ref="D1068:O1068"/>
    <mergeCell ref="P1068:R1068"/>
    <mergeCell ref="S1068:T1068"/>
    <mergeCell ref="U1068:W1068"/>
    <mergeCell ref="X1068:Z1068"/>
    <mergeCell ref="AA1068:AC1068"/>
    <mergeCell ref="AD1068:AF1068"/>
    <mergeCell ref="AG1068:AI1068"/>
    <mergeCell ref="AJ1068:AL1068"/>
    <mergeCell ref="AM1068:AP1068"/>
    <mergeCell ref="AQ1068:AT1068"/>
    <mergeCell ref="B1069:C1069"/>
    <mergeCell ref="D1069:O1069"/>
    <mergeCell ref="P1069:R1069"/>
    <mergeCell ref="S1069:T1069"/>
    <mergeCell ref="U1069:W1069"/>
    <mergeCell ref="X1069:Z1069"/>
    <mergeCell ref="AA1069:AC1069"/>
    <mergeCell ref="AD1069:AF1069"/>
    <mergeCell ref="AG1069:AI1069"/>
    <mergeCell ref="AJ1069:AL1069"/>
    <mergeCell ref="AM1069:AP1069"/>
    <mergeCell ref="AQ1069:AT1069"/>
    <mergeCell ref="B1066:C1066"/>
    <mergeCell ref="D1066:O1066"/>
    <mergeCell ref="P1066:R1066"/>
    <mergeCell ref="S1066:T1066"/>
    <mergeCell ref="U1066:W1066"/>
    <mergeCell ref="X1066:Z1066"/>
    <mergeCell ref="AA1066:AC1066"/>
    <mergeCell ref="AD1066:AF1066"/>
    <mergeCell ref="AG1066:AI1066"/>
    <mergeCell ref="AJ1066:AL1066"/>
    <mergeCell ref="AM1066:AP1066"/>
    <mergeCell ref="AQ1066:AT1066"/>
    <mergeCell ref="B1067:C1067"/>
    <mergeCell ref="D1067:O1067"/>
    <mergeCell ref="P1067:R1067"/>
    <mergeCell ref="S1067:T1067"/>
    <mergeCell ref="U1067:W1067"/>
    <mergeCell ref="X1067:Z1067"/>
    <mergeCell ref="AA1067:AC1067"/>
    <mergeCell ref="AD1067:AF1067"/>
    <mergeCell ref="AG1067:AI1067"/>
    <mergeCell ref="AJ1067:AL1067"/>
    <mergeCell ref="AM1067:AP1067"/>
    <mergeCell ref="AQ1067:AT1067"/>
    <mergeCell ref="AM1064:AP1064"/>
    <mergeCell ref="B1065:C1065"/>
    <mergeCell ref="D1072:O1072"/>
    <mergeCell ref="P1072:R1072"/>
    <mergeCell ref="S1072:T1072"/>
    <mergeCell ref="U1072:W1072"/>
    <mergeCell ref="X1072:Z1072"/>
    <mergeCell ref="AA1072:AC1072"/>
    <mergeCell ref="AD1072:AF1072"/>
    <mergeCell ref="AG1072:AI1072"/>
    <mergeCell ref="AJ1072:AL1072"/>
    <mergeCell ref="AM1072:AP1072"/>
    <mergeCell ref="AQ1072:AT1072"/>
    <mergeCell ref="B1098:C1098"/>
    <mergeCell ref="D1098:O1098"/>
    <mergeCell ref="P1098:R1098"/>
    <mergeCell ref="S1098:T1098"/>
    <mergeCell ref="U1098:W1098"/>
    <mergeCell ref="X1098:Z1098"/>
    <mergeCell ref="AA1098:AC1098"/>
    <mergeCell ref="AD1098:AF1098"/>
    <mergeCell ref="AG1098:AI1098"/>
    <mergeCell ref="AJ1098:AL1098"/>
    <mergeCell ref="AM1098:AP1098"/>
    <mergeCell ref="AQ1098:AT1098"/>
    <mergeCell ref="B1070:C1070"/>
    <mergeCell ref="D1070:O1070"/>
    <mergeCell ref="P1070:R1070"/>
    <mergeCell ref="S1070:T1070"/>
    <mergeCell ref="U1070:W1070"/>
    <mergeCell ref="X1070:Z1070"/>
    <mergeCell ref="AA1070:AC1070"/>
    <mergeCell ref="AD1070:AF1070"/>
    <mergeCell ref="AG1070:AI1070"/>
    <mergeCell ref="AJ1070:AL1070"/>
    <mergeCell ref="AM1070:AP1070"/>
    <mergeCell ref="AQ1070:AT1070"/>
    <mergeCell ref="B1071:C1071"/>
    <mergeCell ref="D1071:O1071"/>
    <mergeCell ref="P1071:R1071"/>
    <mergeCell ref="S1071:T1071"/>
    <mergeCell ref="U1071:W1071"/>
    <mergeCell ref="X1071:Z1071"/>
    <mergeCell ref="AA1071:AC1071"/>
    <mergeCell ref="AD1071:AF1071"/>
    <mergeCell ref="AG1071:AI1071"/>
    <mergeCell ref="AJ1071:AL1071"/>
    <mergeCell ref="AM1071:AP1071"/>
    <mergeCell ref="AQ1071:AT1071"/>
    <mergeCell ref="AQ1097:AT1097"/>
    <mergeCell ref="AQ1074:AT1074"/>
    <mergeCell ref="AQ1083:AT1083"/>
    <mergeCell ref="AQ1081:AT1081"/>
    <mergeCell ref="AQ1079:AT1079"/>
    <mergeCell ref="AQ1094:AT1094"/>
    <mergeCell ref="AQ1092:AT1092"/>
    <mergeCell ref="AQ1091:AT1091"/>
    <mergeCell ref="AQ1085:AT1085"/>
    <mergeCell ref="AQ1086:AT1086"/>
    <mergeCell ref="AQ1087:AT1087"/>
    <mergeCell ref="AQ1088:AT1088"/>
    <mergeCell ref="AQ1084:AT1084"/>
    <mergeCell ref="AD1082:AF1082"/>
    <mergeCell ref="AG1082:AI1082"/>
    <mergeCell ref="AJ1082:AL1082"/>
    <mergeCell ref="X1084:Z1084"/>
    <mergeCell ref="S1104:T1104"/>
    <mergeCell ref="U1104:W1104"/>
    <mergeCell ref="X1104:Z1104"/>
    <mergeCell ref="AA1104:AC1104"/>
    <mergeCell ref="AD1104:AF1104"/>
    <mergeCell ref="AG1104:AI1104"/>
    <mergeCell ref="AJ1104:AL1104"/>
    <mergeCell ref="AM1104:AP1104"/>
    <mergeCell ref="AQ1104:AT1104"/>
    <mergeCell ref="B1109:C1109"/>
    <mergeCell ref="D1109:O1109"/>
    <mergeCell ref="P1109:R1109"/>
    <mergeCell ref="S1109:T1109"/>
    <mergeCell ref="U1109:W1109"/>
    <mergeCell ref="X1109:Z1109"/>
    <mergeCell ref="AA1109:AC1109"/>
    <mergeCell ref="AD1109:AF1109"/>
    <mergeCell ref="AG1109:AI1109"/>
    <mergeCell ref="AJ1109:AL1109"/>
    <mergeCell ref="AM1109:AP1109"/>
    <mergeCell ref="AQ1109:AT1109"/>
    <mergeCell ref="B1107:C1107"/>
    <mergeCell ref="D1107:O1107"/>
    <mergeCell ref="P1107:R1107"/>
    <mergeCell ref="S1107:T1107"/>
    <mergeCell ref="U1107:W1107"/>
    <mergeCell ref="X1107:Z1107"/>
    <mergeCell ref="AA1107:AC1107"/>
    <mergeCell ref="AD1107:AF1107"/>
    <mergeCell ref="AG1107:AI1107"/>
    <mergeCell ref="AJ1107:AL1107"/>
    <mergeCell ref="AM1107:AP1107"/>
    <mergeCell ref="AQ1107:AT1107"/>
    <mergeCell ref="B1108:C1108"/>
    <mergeCell ref="D1108:O1108"/>
    <mergeCell ref="P1108:R1108"/>
    <mergeCell ref="S1108:T1108"/>
    <mergeCell ref="U1108:W1108"/>
    <mergeCell ref="X1108:Z1108"/>
    <mergeCell ref="AA1108:AC1108"/>
    <mergeCell ref="AD1108:AF1108"/>
    <mergeCell ref="AG1108:AI1108"/>
    <mergeCell ref="AJ1108:AL1108"/>
    <mergeCell ref="AM1108:AP1108"/>
    <mergeCell ref="AQ1108:AT1108"/>
    <mergeCell ref="S1106:T1106"/>
    <mergeCell ref="U1106:W1106"/>
    <mergeCell ref="X1106:Z1106"/>
    <mergeCell ref="AA1106:AC1106"/>
    <mergeCell ref="AG1110:AI1110"/>
    <mergeCell ref="AJ1110:AL1110"/>
    <mergeCell ref="AM1110:AP1110"/>
    <mergeCell ref="B1110:C1110"/>
    <mergeCell ref="D1110:O1110"/>
    <mergeCell ref="P1110:R1110"/>
    <mergeCell ref="S1110:T1110"/>
    <mergeCell ref="U1110:W1110"/>
    <mergeCell ref="X1110:Z1110"/>
    <mergeCell ref="AA1110:AC1110"/>
    <mergeCell ref="AD1110:AF1110"/>
    <mergeCell ref="B1113:C1113"/>
    <mergeCell ref="D1113:O1113"/>
    <mergeCell ref="P1113:R1113"/>
    <mergeCell ref="S1113:T1113"/>
    <mergeCell ref="U1113:W1113"/>
    <mergeCell ref="X1113:Z1113"/>
    <mergeCell ref="AA1113:AC1113"/>
    <mergeCell ref="AD1113:AF1113"/>
    <mergeCell ref="AG1113:AI1113"/>
    <mergeCell ref="AJ1113:AL1113"/>
    <mergeCell ref="AM1113:AP1113"/>
    <mergeCell ref="AQ1113:AT1113"/>
    <mergeCell ref="B1114:C1114"/>
    <mergeCell ref="D1114:O1114"/>
    <mergeCell ref="P1114:R1114"/>
    <mergeCell ref="S1114:T1114"/>
    <mergeCell ref="U1114:W1114"/>
    <mergeCell ref="X1114:Z1114"/>
    <mergeCell ref="AA1114:AC1114"/>
    <mergeCell ref="AD1114:AF1114"/>
    <mergeCell ref="AG1114:AI1114"/>
    <mergeCell ref="AJ1114:AL1114"/>
    <mergeCell ref="AM1114:AP1114"/>
    <mergeCell ref="AQ1114:AT1114"/>
    <mergeCell ref="B1111:C1111"/>
    <mergeCell ref="D1111:O1111"/>
    <mergeCell ref="P1111:R1111"/>
    <mergeCell ref="S1111:T1111"/>
    <mergeCell ref="U1111:W1111"/>
    <mergeCell ref="X1111:Z1111"/>
    <mergeCell ref="AA1111:AC1111"/>
    <mergeCell ref="AD1111:AF1111"/>
    <mergeCell ref="AG1111:AI1111"/>
    <mergeCell ref="AJ1111:AL1111"/>
    <mergeCell ref="AM1111:AP1111"/>
    <mergeCell ref="AQ1111:AT1111"/>
    <mergeCell ref="B1112:C1112"/>
    <mergeCell ref="D1112:O1112"/>
    <mergeCell ref="P1112:R1112"/>
    <mergeCell ref="S1112:T1112"/>
    <mergeCell ref="U1112:W1112"/>
    <mergeCell ref="X1112:Z1112"/>
    <mergeCell ref="AA1112:AC1112"/>
    <mergeCell ref="AD1112:AF1112"/>
    <mergeCell ref="AG1112:AI1112"/>
    <mergeCell ref="AJ1112:AL1112"/>
    <mergeCell ref="AM1112:AP1112"/>
    <mergeCell ref="AQ1112:AT1112"/>
    <mergeCell ref="AA1142:AC1142"/>
    <mergeCell ref="AD1142:AF1142"/>
    <mergeCell ref="AG1142:AI1142"/>
    <mergeCell ref="AJ1142:AL1142"/>
    <mergeCell ref="AM1142:AP1142"/>
    <mergeCell ref="AQ1142:AT1142"/>
    <mergeCell ref="B1140:C1140"/>
    <mergeCell ref="D1140:O1140"/>
    <mergeCell ref="P1140:R1140"/>
    <mergeCell ref="S1140:T1140"/>
    <mergeCell ref="U1140:W1140"/>
    <mergeCell ref="X1140:Z1140"/>
    <mergeCell ref="AA1140:AC1140"/>
    <mergeCell ref="B1142:C1142"/>
    <mergeCell ref="D1142:O1142"/>
    <mergeCell ref="P1142:R1142"/>
    <mergeCell ref="B1141:C1141"/>
    <mergeCell ref="D1141:O1141"/>
    <mergeCell ref="P1141:R1141"/>
    <mergeCell ref="S1141:T1141"/>
    <mergeCell ref="U1141:W1141"/>
    <mergeCell ref="X1141:Z1141"/>
    <mergeCell ref="AA1141:AC1141"/>
    <mergeCell ref="AD1141:AF1141"/>
    <mergeCell ref="AG1141:AI1141"/>
    <mergeCell ref="AJ1141:AL1141"/>
    <mergeCell ref="AM1141:AP1141"/>
    <mergeCell ref="AQ1141:AT1141"/>
    <mergeCell ref="B1138:C1138"/>
    <mergeCell ref="D1138:O1138"/>
    <mergeCell ref="P1138:R1138"/>
    <mergeCell ref="S1138:T1138"/>
    <mergeCell ref="U1138:W1138"/>
    <mergeCell ref="X1138:Z1138"/>
    <mergeCell ref="AA1138:AC1138"/>
    <mergeCell ref="AD1138:AF1138"/>
    <mergeCell ref="AG1138:AI1138"/>
    <mergeCell ref="AJ1140:AL1140"/>
    <mergeCell ref="AM1140:AP1140"/>
    <mergeCell ref="AQ1140:AT1140"/>
    <mergeCell ref="AG1140:AI1140"/>
    <mergeCell ref="B1115:C1115"/>
    <mergeCell ref="D1115:O1115"/>
    <mergeCell ref="P1115:R1115"/>
    <mergeCell ref="S1115:T1115"/>
    <mergeCell ref="U1115:W1115"/>
    <mergeCell ref="X1115:Z1115"/>
    <mergeCell ref="AA1115:AC1115"/>
    <mergeCell ref="AD1115:AF1115"/>
    <mergeCell ref="AG1115:AI1115"/>
    <mergeCell ref="AJ1115:AL1115"/>
    <mergeCell ref="AM1115:AP1115"/>
    <mergeCell ref="AQ1115:AT1115"/>
    <mergeCell ref="B1116:C1116"/>
    <mergeCell ref="D1116:O1116"/>
    <mergeCell ref="P1116:R1116"/>
    <mergeCell ref="S1116:T1116"/>
    <mergeCell ref="U1116:W1116"/>
    <mergeCell ref="X1116:Z1116"/>
    <mergeCell ref="AA1116:AC1116"/>
    <mergeCell ref="AD1116:AF1116"/>
    <mergeCell ref="AG1116:AI1116"/>
    <mergeCell ref="AJ1116:AL1116"/>
    <mergeCell ref="AM1116:AP1116"/>
    <mergeCell ref="AQ1116:AT1116"/>
    <mergeCell ref="AD1136:AF1136"/>
    <mergeCell ref="AG1136:AI1136"/>
    <mergeCell ref="AJ1136:AL1136"/>
    <mergeCell ref="B1135:C1135"/>
    <mergeCell ref="D1135:O1135"/>
    <mergeCell ref="P1135:R1135"/>
    <mergeCell ref="S1135:T1135"/>
    <mergeCell ref="U1135:W1135"/>
    <mergeCell ref="X1135:Z1135"/>
    <mergeCell ref="AA1135:AC1135"/>
    <mergeCell ref="AD1135:AF1135"/>
    <mergeCell ref="AG1135:AI1135"/>
    <mergeCell ref="AJ1135:AL1135"/>
    <mergeCell ref="AM1135:AP1135"/>
    <mergeCell ref="AQ1135:AT1135"/>
    <mergeCell ref="B1130:C1130"/>
    <mergeCell ref="B1134:C1134"/>
    <mergeCell ref="D1134:O1134"/>
    <mergeCell ref="P1134:R1134"/>
    <mergeCell ref="S1134:T1134"/>
    <mergeCell ref="U1134:W1134"/>
    <mergeCell ref="X1134:Z1134"/>
    <mergeCell ref="AA1134:AC1134"/>
    <mergeCell ref="AD1134:AF1134"/>
    <mergeCell ref="AG1134:AI1134"/>
    <mergeCell ref="AJ1134:AL1134"/>
    <mergeCell ref="AM1134:AP1134"/>
    <mergeCell ref="AQ1134:AT1134"/>
    <mergeCell ref="AA1132:AC1132"/>
    <mergeCell ref="AD1132:AF1132"/>
    <mergeCell ref="AG1132:AI1132"/>
    <mergeCell ref="AJ1132:AL1132"/>
    <mergeCell ref="AM1132:AP1132"/>
    <mergeCell ref="AQ1132:AT1132"/>
    <mergeCell ref="B1133:C1133"/>
    <mergeCell ref="D1133:O1133"/>
    <mergeCell ref="P1133:R1133"/>
    <mergeCell ref="S1133:T1133"/>
    <mergeCell ref="U1133:W1133"/>
    <mergeCell ref="X1133:Z1133"/>
    <mergeCell ref="B1117:C1117"/>
    <mergeCell ref="D1117:O1117"/>
    <mergeCell ref="P1117:R1117"/>
    <mergeCell ref="S1117:T1117"/>
    <mergeCell ref="U1117:W1117"/>
    <mergeCell ref="X1117:Z1117"/>
    <mergeCell ref="AA1117:AC1117"/>
    <mergeCell ref="AD1117:AF1117"/>
    <mergeCell ref="AG1117:AI1117"/>
    <mergeCell ref="AJ1117:AL1117"/>
    <mergeCell ref="AM1117:AP1117"/>
    <mergeCell ref="AQ1117:AT1117"/>
    <mergeCell ref="B1143:C1143"/>
    <mergeCell ref="D1143:O1143"/>
    <mergeCell ref="P1143:R1143"/>
    <mergeCell ref="S1143:T1143"/>
    <mergeCell ref="U1143:W1143"/>
    <mergeCell ref="X1143:Z1143"/>
    <mergeCell ref="AA1143:AC1143"/>
    <mergeCell ref="AD1143:AF1143"/>
    <mergeCell ref="AG1143:AI1143"/>
    <mergeCell ref="AJ1143:AL1143"/>
    <mergeCell ref="AM1143:AP1143"/>
    <mergeCell ref="AQ1143:AT1143"/>
    <mergeCell ref="AJ1138:AL1138"/>
    <mergeCell ref="AM1138:AP1138"/>
    <mergeCell ref="AQ1138:AT1138"/>
    <mergeCell ref="B1139:C1139"/>
    <mergeCell ref="D1139:O1139"/>
    <mergeCell ref="P1139:R1139"/>
    <mergeCell ref="S1139:T1139"/>
    <mergeCell ref="U1139:W1139"/>
    <mergeCell ref="X1139:Z1139"/>
    <mergeCell ref="AA1139:AC1139"/>
    <mergeCell ref="AD1139:AF1139"/>
    <mergeCell ref="AG1139:AI1139"/>
    <mergeCell ref="AJ1139:AL1139"/>
    <mergeCell ref="AM1139:AP1139"/>
    <mergeCell ref="AQ1139:AT1139"/>
    <mergeCell ref="AD1140:AF1140"/>
    <mergeCell ref="AM1136:AP1136"/>
    <mergeCell ref="AQ1136:AT1136"/>
    <mergeCell ref="B1137:C1137"/>
    <mergeCell ref="D1137:O1137"/>
    <mergeCell ref="P1137:R1137"/>
    <mergeCell ref="S1137:T1137"/>
    <mergeCell ref="U1137:W1137"/>
    <mergeCell ref="X1137:Z1137"/>
    <mergeCell ref="AA1137:AC1137"/>
    <mergeCell ref="AD1137:AF1137"/>
    <mergeCell ref="AG1137:AI1137"/>
    <mergeCell ref="AJ1137:AL1137"/>
    <mergeCell ref="AM1137:AP1137"/>
    <mergeCell ref="AQ1137:AT1137"/>
    <mergeCell ref="B1136:C1136"/>
    <mergeCell ref="D1136:O1136"/>
    <mergeCell ref="P1136:R1136"/>
    <mergeCell ref="S1136:T1136"/>
    <mergeCell ref="U1136:W1136"/>
    <mergeCell ref="X1136:Z1136"/>
    <mergeCell ref="AA1136:AC1136"/>
    <mergeCell ref="S1142:T1142"/>
    <mergeCell ref="U1142:W1142"/>
    <mergeCell ref="X1142:Z1142"/>
    <mergeCell ref="B1146:C1146"/>
    <mergeCell ref="D1146:O1146"/>
    <mergeCell ref="P1146:R1146"/>
    <mergeCell ref="S1146:T1146"/>
    <mergeCell ref="U1146:W1146"/>
    <mergeCell ref="X1146:Z1146"/>
    <mergeCell ref="AA1146:AC1146"/>
    <mergeCell ref="AD1146:AF1146"/>
    <mergeCell ref="AG1146:AI1146"/>
    <mergeCell ref="AJ1146:AL1146"/>
    <mergeCell ref="AM1146:AP1146"/>
    <mergeCell ref="AQ1146:AT1146"/>
    <mergeCell ref="B1147:C1147"/>
    <mergeCell ref="D1147:O1147"/>
    <mergeCell ref="P1147:R1147"/>
    <mergeCell ref="S1147:T1147"/>
    <mergeCell ref="U1147:W1147"/>
    <mergeCell ref="X1147:Z1147"/>
    <mergeCell ref="AA1147:AC1147"/>
    <mergeCell ref="AD1147:AF1147"/>
    <mergeCell ref="AG1147:AI1147"/>
    <mergeCell ref="AJ1147:AL1147"/>
    <mergeCell ref="AM1147:AP1147"/>
    <mergeCell ref="AQ1147:AT1147"/>
    <mergeCell ref="B1144:C1144"/>
    <mergeCell ref="D1144:O1144"/>
    <mergeCell ref="P1144:R1144"/>
    <mergeCell ref="S1144:T1144"/>
    <mergeCell ref="U1144:W1144"/>
    <mergeCell ref="X1144:Z1144"/>
    <mergeCell ref="AA1144:AC1144"/>
    <mergeCell ref="AD1144:AF1144"/>
    <mergeCell ref="AG1144:AI1144"/>
    <mergeCell ref="AJ1144:AL1144"/>
    <mergeCell ref="AM1144:AP1144"/>
    <mergeCell ref="AQ1144:AT1144"/>
    <mergeCell ref="B1145:C1145"/>
    <mergeCell ref="D1145:O1145"/>
    <mergeCell ref="P1145:R1145"/>
    <mergeCell ref="S1145:T1145"/>
    <mergeCell ref="U1145:W1145"/>
    <mergeCell ref="X1145:Z1145"/>
    <mergeCell ref="AA1145:AC1145"/>
    <mergeCell ref="AD1145:AF1145"/>
    <mergeCell ref="AG1145:AI1145"/>
    <mergeCell ref="AJ1145:AL1145"/>
    <mergeCell ref="AM1145:AP1145"/>
    <mergeCell ref="AQ1145:AT1145"/>
    <mergeCell ref="B1150:C1150"/>
    <mergeCell ref="D1150:O1150"/>
    <mergeCell ref="P1150:R1150"/>
    <mergeCell ref="S1150:T1150"/>
    <mergeCell ref="U1150:W1150"/>
    <mergeCell ref="X1150:Z1150"/>
    <mergeCell ref="AA1150:AC1150"/>
    <mergeCell ref="AD1150:AF1150"/>
    <mergeCell ref="AG1150:AI1150"/>
    <mergeCell ref="AJ1150:AL1150"/>
    <mergeCell ref="AM1150:AP1150"/>
    <mergeCell ref="AQ1150:AT1150"/>
    <mergeCell ref="B1151:C1151"/>
    <mergeCell ref="D1151:O1151"/>
    <mergeCell ref="P1151:R1151"/>
    <mergeCell ref="S1151:T1151"/>
    <mergeCell ref="U1151:W1151"/>
    <mergeCell ref="X1151:Z1151"/>
    <mergeCell ref="AA1151:AC1151"/>
    <mergeCell ref="AD1151:AF1151"/>
    <mergeCell ref="AG1151:AI1151"/>
    <mergeCell ref="AJ1151:AL1151"/>
    <mergeCell ref="AM1151:AP1151"/>
    <mergeCell ref="AQ1151:AT1151"/>
    <mergeCell ref="B1148:C1148"/>
    <mergeCell ref="D1148:O1148"/>
    <mergeCell ref="P1148:R1148"/>
    <mergeCell ref="S1148:T1148"/>
    <mergeCell ref="U1148:W1148"/>
    <mergeCell ref="X1148:Z1148"/>
    <mergeCell ref="AA1148:AC1148"/>
    <mergeCell ref="AD1148:AF1148"/>
    <mergeCell ref="AG1148:AI1148"/>
    <mergeCell ref="AJ1148:AL1148"/>
    <mergeCell ref="AM1148:AP1148"/>
    <mergeCell ref="AQ1148:AT1148"/>
    <mergeCell ref="B1149:C1149"/>
    <mergeCell ref="D1149:O1149"/>
    <mergeCell ref="P1149:R1149"/>
    <mergeCell ref="S1149:T1149"/>
    <mergeCell ref="U1149:W1149"/>
    <mergeCell ref="X1149:Z1149"/>
    <mergeCell ref="AA1149:AC1149"/>
    <mergeCell ref="AD1149:AF1149"/>
    <mergeCell ref="AG1149:AI1149"/>
    <mergeCell ref="AJ1149:AL1149"/>
    <mergeCell ref="AM1149:AP1149"/>
    <mergeCell ref="AQ1149:AT1149"/>
    <mergeCell ref="B1154:C1154"/>
    <mergeCell ref="D1154:O1154"/>
    <mergeCell ref="P1154:R1154"/>
    <mergeCell ref="S1154:T1154"/>
    <mergeCell ref="U1154:W1154"/>
    <mergeCell ref="X1154:Z1154"/>
    <mergeCell ref="AA1154:AC1154"/>
    <mergeCell ref="AD1154:AF1154"/>
    <mergeCell ref="AG1154:AI1154"/>
    <mergeCell ref="AJ1154:AL1154"/>
    <mergeCell ref="AM1154:AP1154"/>
    <mergeCell ref="AQ1154:AT1154"/>
    <mergeCell ref="B1155:C1155"/>
    <mergeCell ref="D1155:O1155"/>
    <mergeCell ref="P1155:R1155"/>
    <mergeCell ref="S1155:T1155"/>
    <mergeCell ref="U1155:W1155"/>
    <mergeCell ref="X1155:Z1155"/>
    <mergeCell ref="AA1155:AC1155"/>
    <mergeCell ref="AD1155:AF1155"/>
    <mergeCell ref="AG1155:AI1155"/>
    <mergeCell ref="AJ1155:AL1155"/>
    <mergeCell ref="AM1155:AP1155"/>
    <mergeCell ref="B1152:C1152"/>
    <mergeCell ref="D1152:O1152"/>
    <mergeCell ref="P1152:R1152"/>
    <mergeCell ref="S1152:T1152"/>
    <mergeCell ref="U1152:W1152"/>
    <mergeCell ref="X1152:Z1152"/>
    <mergeCell ref="AA1152:AC1152"/>
    <mergeCell ref="AD1152:AF1152"/>
    <mergeCell ref="AG1152:AI1152"/>
    <mergeCell ref="AJ1152:AL1152"/>
    <mergeCell ref="AM1152:AP1152"/>
    <mergeCell ref="AQ1152:AT1152"/>
    <mergeCell ref="B1153:C1153"/>
    <mergeCell ref="D1153:O1153"/>
    <mergeCell ref="P1153:R1153"/>
    <mergeCell ref="S1153:T1153"/>
    <mergeCell ref="U1153:W1153"/>
    <mergeCell ref="X1153:Z1153"/>
    <mergeCell ref="AA1153:AC1153"/>
    <mergeCell ref="AD1153:AF1153"/>
    <mergeCell ref="AG1153:AI1153"/>
    <mergeCell ref="AJ1153:AL1153"/>
    <mergeCell ref="AM1153:AP1153"/>
    <mergeCell ref="AQ1153:AT1153"/>
    <mergeCell ref="AJ1158:AL1158"/>
    <mergeCell ref="AM1158:AP1158"/>
    <mergeCell ref="AQ1158:AT1158"/>
    <mergeCell ref="B1159:C1159"/>
    <mergeCell ref="D1159:O1159"/>
    <mergeCell ref="P1159:R1159"/>
    <mergeCell ref="S1159:T1159"/>
    <mergeCell ref="U1159:W1159"/>
    <mergeCell ref="X1159:Z1159"/>
    <mergeCell ref="AA1159:AC1159"/>
    <mergeCell ref="AD1159:AF1159"/>
    <mergeCell ref="AG1159:AI1159"/>
    <mergeCell ref="AJ1159:AL1159"/>
    <mergeCell ref="AM1159:AP1159"/>
    <mergeCell ref="AQ1159:AT1159"/>
    <mergeCell ref="B1156:C1156"/>
    <mergeCell ref="D1156:O1156"/>
    <mergeCell ref="P1156:R1156"/>
    <mergeCell ref="S1156:T1156"/>
    <mergeCell ref="U1156:W1156"/>
    <mergeCell ref="X1156:Z1156"/>
    <mergeCell ref="AA1156:AC1156"/>
    <mergeCell ref="AD1156:AF1156"/>
    <mergeCell ref="AG1156:AI1156"/>
    <mergeCell ref="AJ1156:AL1156"/>
    <mergeCell ref="AM1156:AP1156"/>
    <mergeCell ref="AQ1156:AT1156"/>
    <mergeCell ref="B1157:C1157"/>
    <mergeCell ref="D1157:O1157"/>
    <mergeCell ref="P1157:R1157"/>
    <mergeCell ref="S1157:T1157"/>
    <mergeCell ref="U1157:W1157"/>
    <mergeCell ref="X1157:Z1157"/>
    <mergeCell ref="AA1157:AC1157"/>
    <mergeCell ref="AD1157:AF1157"/>
    <mergeCell ref="AG1157:AI1157"/>
    <mergeCell ref="AJ1157:AL1157"/>
    <mergeCell ref="AM1157:AP1157"/>
    <mergeCell ref="AQ1157:AT1157"/>
    <mergeCell ref="AO69:AS69"/>
    <mergeCell ref="D24:I24"/>
    <mergeCell ref="K24:P24"/>
    <mergeCell ref="D25:I32"/>
    <mergeCell ref="K25:P32"/>
    <mergeCell ref="R24:W24"/>
    <mergeCell ref="R25:W32"/>
    <mergeCell ref="Y24:AD24"/>
    <mergeCell ref="Y25:AD32"/>
    <mergeCell ref="D40:AD40"/>
    <mergeCell ref="D8:AD11"/>
    <mergeCell ref="AH16:AP16"/>
    <mergeCell ref="AH17:AP17"/>
    <mergeCell ref="AH18:AP18"/>
    <mergeCell ref="AH19:AP19"/>
    <mergeCell ref="AH20:AP20"/>
    <mergeCell ref="D953:O953"/>
    <mergeCell ref="B1162:C1162"/>
    <mergeCell ref="D1162:O1162"/>
    <mergeCell ref="P1162:R1162"/>
    <mergeCell ref="S1162:T1162"/>
    <mergeCell ref="U1162:W1162"/>
    <mergeCell ref="X1162:Z1162"/>
    <mergeCell ref="AA1162:AC1162"/>
    <mergeCell ref="AD1162:AF1162"/>
    <mergeCell ref="AG1162:AI1162"/>
    <mergeCell ref="AJ1162:AL1162"/>
    <mergeCell ref="AM1162:AP1162"/>
    <mergeCell ref="AQ1162:AT1162"/>
    <mergeCell ref="B1160:C1160"/>
    <mergeCell ref="D1160:O1160"/>
    <mergeCell ref="P1160:R1160"/>
    <mergeCell ref="S1160:T1160"/>
    <mergeCell ref="U1160:W1160"/>
    <mergeCell ref="X1160:Z1160"/>
    <mergeCell ref="AA1160:AC1160"/>
    <mergeCell ref="AD1160:AF1160"/>
    <mergeCell ref="AG1160:AI1160"/>
    <mergeCell ref="AJ1160:AL1160"/>
    <mergeCell ref="AM1160:AP1160"/>
    <mergeCell ref="AQ1160:AT1160"/>
    <mergeCell ref="B1161:C1161"/>
    <mergeCell ref="D1161:O1161"/>
    <mergeCell ref="P1161:R1161"/>
    <mergeCell ref="S1161:T1161"/>
    <mergeCell ref="U1161:W1161"/>
    <mergeCell ref="X1161:Z1161"/>
    <mergeCell ref="AA1161:AC1161"/>
    <mergeCell ref="AD1161:AF1161"/>
    <mergeCell ref="AG1161:AI1161"/>
    <mergeCell ref="AJ1161:AL1161"/>
    <mergeCell ref="AM1161:AP1161"/>
    <mergeCell ref="AQ1161:AT1161"/>
    <mergeCell ref="B1158:C1158"/>
    <mergeCell ref="D1158:O1158"/>
    <mergeCell ref="P1158:R1158"/>
    <mergeCell ref="S1158:T1158"/>
    <mergeCell ref="U1158:W1158"/>
    <mergeCell ref="X1158:Z1158"/>
    <mergeCell ref="AA1158:AC1158"/>
    <mergeCell ref="AD1158:AF1158"/>
    <mergeCell ref="AG1158:AI1158"/>
    <mergeCell ref="AG72:AN72"/>
    <mergeCell ref="AO72:AQ72"/>
    <mergeCell ref="C56:J56"/>
    <mergeCell ref="K56:O56"/>
    <mergeCell ref="R64:Y64"/>
    <mergeCell ref="R65:Y65"/>
    <mergeCell ref="R66:Y66"/>
    <mergeCell ref="R67:Y67"/>
    <mergeCell ref="R72:Y72"/>
    <mergeCell ref="Z72:AB72"/>
    <mergeCell ref="R55:AB55"/>
    <mergeCell ref="R56:Y56"/>
    <mergeCell ref="Z56:AD56"/>
    <mergeCell ref="C71:J71"/>
    <mergeCell ref="K71:O71"/>
    <mergeCell ref="C66:J66"/>
    <mergeCell ref="K66:O66"/>
    <mergeCell ref="C67:J67"/>
    <mergeCell ref="K67:O67"/>
    <mergeCell ref="C65:J65"/>
    <mergeCell ref="K65:O65"/>
    <mergeCell ref="C68:J68"/>
    <mergeCell ref="K68:O68"/>
    <mergeCell ref="R71:Y71"/>
    <mergeCell ref="R68:Y68"/>
    <mergeCell ref="Z64:AD64"/>
    <mergeCell ref="Z65:AD65"/>
    <mergeCell ref="Z66:AD66"/>
    <mergeCell ref="Z67:AD67"/>
    <mergeCell ref="Z68:AD68"/>
    <mergeCell ref="D69:J69"/>
    <mergeCell ref="K69:O69"/>
    <mergeCell ref="S69:Y69"/>
    <mergeCell ref="Z69:AD69"/>
    <mergeCell ref="AH69:AN69"/>
    <mergeCell ref="AG59:AN59"/>
    <mergeCell ref="B1166:AT1166"/>
    <mergeCell ref="E1179:AQ1179"/>
    <mergeCell ref="E1183:AQ1183"/>
    <mergeCell ref="E50:AQ52"/>
    <mergeCell ref="D41:AR44"/>
    <mergeCell ref="R57:Y57"/>
    <mergeCell ref="Z57:AD57"/>
    <mergeCell ref="R63:Y63"/>
    <mergeCell ref="Z63:AD63"/>
    <mergeCell ref="R61:Y61"/>
    <mergeCell ref="Z61:AD61"/>
    <mergeCell ref="R62:Y62"/>
    <mergeCell ref="Z62:AD62"/>
    <mergeCell ref="R60:Y60"/>
    <mergeCell ref="Z60:AD60"/>
    <mergeCell ref="Z71:AD71"/>
    <mergeCell ref="R59:Y59"/>
    <mergeCell ref="Z59:AD59"/>
    <mergeCell ref="R58:Y58"/>
    <mergeCell ref="Z58:AD58"/>
    <mergeCell ref="AG55:AQ55"/>
    <mergeCell ref="AG56:AN56"/>
    <mergeCell ref="AO56:AS56"/>
    <mergeCell ref="AG57:AN57"/>
    <mergeCell ref="AO57:AS57"/>
    <mergeCell ref="AG58:AN58"/>
    <mergeCell ref="AO58:AS58"/>
    <mergeCell ref="AG60:AN60"/>
    <mergeCell ref="AO60:AS60"/>
    <mergeCell ref="AG62:AN62"/>
    <mergeCell ref="AO62:AS62"/>
    <mergeCell ref="AG63:AN63"/>
    <mergeCell ref="AO63:AS63"/>
    <mergeCell ref="AG64:AN64"/>
    <mergeCell ref="AO64:AS64"/>
    <mergeCell ref="AG65:AN65"/>
    <mergeCell ref="AO65:AS65"/>
    <mergeCell ref="AG66:AN66"/>
    <mergeCell ref="AO66:AS66"/>
    <mergeCell ref="AG67:AN67"/>
    <mergeCell ref="AO67:AS67"/>
    <mergeCell ref="AO68:AS68"/>
    <mergeCell ref="AG71:AN71"/>
    <mergeCell ref="AO71:AS71"/>
    <mergeCell ref="AO59:AS59"/>
    <mergeCell ref="AG61:AN61"/>
    <mergeCell ref="AO61:AS61"/>
    <mergeCell ref="C55:M55"/>
    <mergeCell ref="K57:O57"/>
    <mergeCell ref="K58:O58"/>
    <mergeCell ref="K59:O59"/>
    <mergeCell ref="C57:J57"/>
    <mergeCell ref="C58:J58"/>
    <mergeCell ref="C59:J59"/>
    <mergeCell ref="C60:J60"/>
    <mergeCell ref="K60:O60"/>
    <mergeCell ref="C61:J61"/>
    <mergeCell ref="K61:O61"/>
    <mergeCell ref="C62:J62"/>
    <mergeCell ref="K62:O62"/>
    <mergeCell ref="C63:J63"/>
    <mergeCell ref="K63:O63"/>
    <mergeCell ref="C64:J64"/>
    <mergeCell ref="K64:O64"/>
  </mergeCells>
  <dataValidations disablePrompts="1" xWindow="708" yWindow="749" count="6">
    <dataValidation type="whole" operator="greaterThanOrEqual" allowBlank="1" showErrorMessage="1" errorTitle="Sorry, no can do!" error="Sorry the quantity must be greater than or equal to 0" sqref="P130:Q130 P1118:Q1118 P1078:R1117 P1073:Q1073 P265:Q265 P310:Q310 P400:Q400 P445:Q445 P490:Q490 P355:Q355 P535:Q535 P580:Q580 P625:Q625 P670:Q670 P760:Q760 P805:Q805 P715:Q715 P850:Q850 P938:Q938 P893:Q893 P1028:Q1028 P983:Q983 P220:Q220 P1120:Q1120 P175:Q175 P1165:Q1165 P218:Q218 P88:Q128 P263:Q263 P133:Q173 P308:Q308 P178:R217 P353:Q353 P223:R262 P398:Q398 P763:R802 P443:Q443 P268:R307 P488:Q488 P313:R352 P533:Q533 P358:R397 P578:Q578 P673:R712 P623:Q623 P668:Q668 P713:Q713 P583:R622 P758:Q758 P628:R667 P803:Q803 P538:R577 P848:Q848 P493:R532 P808:R847 P448:R487 P898:R937 P718:R757 P1163:Q1163 P895:Q895 P940:Q940 P985:Q985 P1030:Q1030 P1075:Q1075 P988:R1027 P403:R442 P853:R892 P943:R982 P1033:R1072 P1123:R1162" xr:uid="{00000000-0002-0000-0A00-000000000000}">
      <formula1>0</formula1>
    </dataValidation>
    <dataValidation allowBlank="1" showInputMessage="1" showErrorMessage="1" promptTitle="TIP: 8-7-6-5 Pier Rule" prompt="-Slab-on-grade - Requires piers 8ft oc_x000a_-1-story w/ basement- Requires piers 7ft oc_x000a_-2-story w/ basement- Requires piers 6ft oc_x000a_-Stone or brick veneer- Requires piers 5ft oc_x000a_-Add 2 piers at each corner_x000a_" sqref="D192:O197 U192:AC197" xr:uid="{00000000-0002-0000-0A00-000001000000}"/>
    <dataValidation type="list" allowBlank="1" showDropDown="1" showInputMessage="1" showErrorMessage="1" errorTitle="Oops, x only!" error="You can only input &quot;x&quot; into this column" promptTitle="Are you DIYing work?" prompt="Place an X next to the work items that you will 'DIY'" sqref="B1123:B1165 C1164 C1123:C1162" xr:uid="{00000000-0002-0000-0A00-000002000000}">
      <formula1>"x"</formula1>
    </dataValidation>
    <dataValidation allowBlank="1" showInputMessage="1" showErrorMessage="1" promptTitle="Sales Tax" prompt="Input Material Sales Tax %" sqref="Y85:Z85" xr:uid="{00000000-0002-0000-0A00-000003000000}"/>
    <dataValidation type="list" allowBlank="1" showInputMessage="1" showErrorMessage="1" errorTitle="Select a Room" error="Select a Room to sort your Estimate information." sqref="AW133:AW172 AW178:AW217 AW223:AW262 AW268:AW307 AW313:AW352 AW358:AW397 AW403:AW442 AW448:AW487 AW493:AW532 AW538:AW577 AW583:AW622 AW628:AW667 AW673:AW712 AW718:AW757 AW763:AW802 AW808:AW847 AW1123:AW1162 AW898:AW937 AW853:AW892 AW943:AW982 AW1033:AW1072 AW1078:AW1117 AW988:AW1027 AW88:AW127" xr:uid="{00000000-0002-0000-0A00-000004000000}">
      <formula1>$AW$75:$AW$82</formula1>
    </dataValidation>
    <dataValidation type="list" allowBlank="1" sqref="S1123:T1162 S1033:T1072 S988:T1027 S943:T982 S898:T937 S853:T892 S808:T847 S763:T802 S718:T757 S673:T712 S628:T667 S583:T622 S538:T577 S493:T532 S448:T487 S403:T442 S358:T397 S313:T352 S268:T307 S223:T262 S178:T217 S133:T172 S88:T127 S1078:T1117" xr:uid="{00000000-0002-0000-0A00-000005000000}">
      <formula1>$B$1192:$B$1203</formula1>
    </dataValidation>
  </dataValidations>
  <pageMargins left="0.25" right="0.25" top="0.75" bottom="0.75" header="0.3" footer="0.3"/>
  <pageSetup scale="55" fitToHeight="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wsSCENARIOS">
    <tabColor theme="4"/>
  </sheetPr>
  <dimension ref="A1:CH32"/>
  <sheetViews>
    <sheetView showGridLines="0" showRowColHeaders="0" zoomScaleNormal="100" workbookViewId="0">
      <pane ySplit="4" topLeftCell="A5" activePane="bottomLeft" state="frozen"/>
      <selection pane="bottomLeft" activeCell="I13" sqref="I13:M13"/>
    </sheetView>
  </sheetViews>
  <sheetFormatPr defaultColWidth="2.34765625" defaultRowHeight="15.7"/>
  <cols>
    <col min="1" max="21" width="2.34765625" style="533"/>
    <col min="22" max="22" width="2.34765625" style="534"/>
    <col min="23" max="83" width="2.34765625" style="533"/>
    <col min="84" max="84" width="7.6484375" style="533" hidden="1" customWidth="1"/>
    <col min="85" max="85" width="0" style="533" hidden="1" customWidth="1"/>
    <col min="86" max="86" width="9.546875" style="533" hidden="1" customWidth="1"/>
    <col min="87" max="122" width="2.34765625" style="533"/>
    <col min="123" max="123" width="2.34765625" style="533" customWidth="1"/>
    <col min="124" max="16384" width="2.34765625" style="533"/>
  </cols>
  <sheetData>
    <row r="1" spans="1:82" s="242" customFormat="1" ht="45" customHeight="1">
      <c r="V1" s="243"/>
    </row>
    <row r="2" spans="1:82" s="433" customFormat="1" ht="7.5" customHeight="1">
      <c r="V2" s="434"/>
    </row>
    <row r="3" spans="1:82" s="433" customFormat="1" ht="22.5" customHeight="1">
      <c r="A3" s="2169"/>
      <c r="B3" s="2169"/>
      <c r="C3" s="2169"/>
      <c r="D3" s="2169"/>
      <c r="E3" s="2169"/>
      <c r="F3" s="2169"/>
      <c r="G3" s="2169"/>
      <c r="H3" s="2169"/>
      <c r="I3" s="1818" t="s">
        <v>1252</v>
      </c>
      <c r="J3" s="1818"/>
      <c r="K3" s="1818"/>
      <c r="L3" s="1818"/>
      <c r="M3" s="1818"/>
      <c r="N3" s="1818"/>
      <c r="O3" s="1818"/>
      <c r="P3" s="1818"/>
      <c r="Q3" s="1818"/>
      <c r="R3" s="1818"/>
      <c r="S3" s="1818"/>
      <c r="T3" s="1818"/>
      <c r="U3" s="1818"/>
    </row>
    <row r="4" spans="1:82" s="435" customFormat="1" ht="7.5" customHeight="1">
      <c r="V4" s="436"/>
    </row>
    <row r="5" spans="1:82" ht="15.75" customHeight="1">
      <c r="T5" s="2528" t="s">
        <v>1239</v>
      </c>
      <c r="U5" s="2528"/>
      <c r="V5" s="2528"/>
      <c r="W5" s="2528"/>
      <c r="X5" s="2528"/>
      <c r="Y5" s="2528"/>
      <c r="Z5" s="2528"/>
      <c r="AA5" s="2528"/>
      <c r="AB5" s="2528"/>
      <c r="AC5" s="2528"/>
      <c r="AD5" s="2528"/>
      <c r="AE5" s="2528"/>
      <c r="AF5" s="2528"/>
      <c r="AG5" s="2528"/>
      <c r="AH5" s="2528"/>
      <c r="AI5" s="2528"/>
      <c r="AJ5" s="2528"/>
      <c r="AK5" s="2528"/>
      <c r="AL5" s="2528"/>
      <c r="AM5" s="2528"/>
      <c r="AN5" s="2528"/>
      <c r="AO5" s="2528"/>
      <c r="AP5" s="534"/>
      <c r="AV5" s="2528" t="s">
        <v>1242</v>
      </c>
      <c r="AW5" s="2528"/>
      <c r="AX5" s="2528"/>
      <c r="AY5" s="2528"/>
      <c r="AZ5" s="2528"/>
      <c r="BA5" s="2528"/>
      <c r="BB5" s="2528"/>
      <c r="BC5" s="2528"/>
      <c r="BD5" s="2528"/>
      <c r="BE5" s="2528"/>
      <c r="BF5" s="2528"/>
      <c r="BG5" s="2528"/>
      <c r="BH5" s="2528"/>
      <c r="BI5" s="2528"/>
      <c r="BJ5" s="2528"/>
      <c r="BK5" s="2528"/>
      <c r="BL5" s="2528"/>
      <c r="BM5" s="2528"/>
      <c r="BN5" s="2528"/>
      <c r="BO5" s="2528"/>
      <c r="BP5" s="2528"/>
      <c r="BQ5" s="2528"/>
    </row>
    <row r="6" spans="1:82" ht="15.75" customHeight="1" thickBot="1">
      <c r="C6" s="535"/>
      <c r="D6" s="535"/>
      <c r="E6" s="535"/>
      <c r="F6" s="535"/>
      <c r="G6" s="535"/>
      <c r="H6" s="535"/>
      <c r="I6" s="535"/>
      <c r="J6" s="535"/>
      <c r="O6" s="2520" t="s">
        <v>1142</v>
      </c>
      <c r="P6" s="2520"/>
      <c r="Q6" s="2520"/>
      <c r="R6" s="2520"/>
      <c r="S6" s="2520"/>
      <c r="T6" s="2529"/>
      <c r="U6" s="2529"/>
      <c r="V6" s="2529"/>
      <c r="W6" s="2529"/>
      <c r="X6" s="2529"/>
      <c r="Y6" s="2529"/>
      <c r="Z6" s="2529"/>
      <c r="AA6" s="2529"/>
      <c r="AB6" s="2529"/>
      <c r="AC6" s="2529"/>
      <c r="AD6" s="2529"/>
      <c r="AE6" s="2529"/>
      <c r="AF6" s="2529"/>
      <c r="AG6" s="2529"/>
      <c r="AH6" s="2529"/>
      <c r="AI6" s="2529"/>
      <c r="AJ6" s="2529"/>
      <c r="AK6" s="2529"/>
      <c r="AL6" s="2529"/>
      <c r="AM6" s="2529"/>
      <c r="AN6" s="2529"/>
      <c r="AO6" s="2529"/>
      <c r="AP6" s="534"/>
      <c r="AQ6" s="2520" t="s">
        <v>1142</v>
      </c>
      <c r="AR6" s="2520"/>
      <c r="AS6" s="2520"/>
      <c r="AT6" s="2520"/>
      <c r="AU6" s="2520"/>
      <c r="AV6" s="2529"/>
      <c r="AW6" s="2529"/>
      <c r="AX6" s="2529"/>
      <c r="AY6" s="2529"/>
      <c r="AZ6" s="2529"/>
      <c r="BA6" s="2529"/>
      <c r="BB6" s="2529"/>
      <c r="BC6" s="2529"/>
      <c r="BD6" s="2529"/>
      <c r="BE6" s="2529"/>
      <c r="BF6" s="2529"/>
      <c r="BG6" s="2529"/>
      <c r="BH6" s="2529"/>
      <c r="BI6" s="2529"/>
      <c r="BJ6" s="2529"/>
      <c r="BK6" s="2529"/>
      <c r="BL6" s="2529"/>
      <c r="BM6" s="2529"/>
      <c r="BN6" s="2529"/>
      <c r="BO6" s="2529"/>
      <c r="BP6" s="2529"/>
      <c r="BQ6" s="2529"/>
    </row>
    <row r="7" spans="1:82" ht="22.5" customHeight="1">
      <c r="B7" s="2564" t="s">
        <v>1354</v>
      </c>
      <c r="C7" s="2565"/>
      <c r="D7" s="2565"/>
      <c r="E7" s="2565"/>
      <c r="F7" s="2565"/>
      <c r="G7" s="2565"/>
      <c r="H7" s="2565"/>
      <c r="I7" s="2565"/>
      <c r="J7" s="2565"/>
      <c r="K7" s="2565"/>
      <c r="L7" s="2565"/>
      <c r="M7" s="2566"/>
      <c r="O7" s="2521">
        <v>1000</v>
      </c>
      <c r="P7" s="2521"/>
      <c r="Q7" s="2521"/>
      <c r="R7" s="2521"/>
      <c r="S7" s="2521"/>
      <c r="T7" s="2498" t="s">
        <v>1154</v>
      </c>
      <c r="U7" s="2498"/>
      <c r="V7" s="2498"/>
      <c r="W7" s="2498"/>
      <c r="X7" s="2498"/>
      <c r="Y7" s="2498" t="s">
        <v>795</v>
      </c>
      <c r="Z7" s="2498"/>
      <c r="AA7" s="2498"/>
      <c r="AB7" s="2498"/>
      <c r="AC7" s="2498"/>
      <c r="AD7" s="2498" t="s">
        <v>972</v>
      </c>
      <c r="AE7" s="2498"/>
      <c r="AF7" s="2498"/>
      <c r="AG7" s="2498"/>
      <c r="AH7" s="2498"/>
      <c r="AI7" s="2498" t="s">
        <v>1143</v>
      </c>
      <c r="AJ7" s="2498"/>
      <c r="AK7" s="2498"/>
      <c r="AL7" s="2498"/>
      <c r="AM7" s="2498" t="s">
        <v>899</v>
      </c>
      <c r="AN7" s="2498"/>
      <c r="AO7" s="2498"/>
      <c r="AP7" s="534"/>
      <c r="AQ7" s="2521">
        <v>5000</v>
      </c>
      <c r="AR7" s="2521"/>
      <c r="AS7" s="2521"/>
      <c r="AT7" s="2521"/>
      <c r="AU7" s="2521"/>
      <c r="AV7" s="2498" t="s">
        <v>794</v>
      </c>
      <c r="AW7" s="2498"/>
      <c r="AX7" s="2498"/>
      <c r="AY7" s="2498"/>
      <c r="AZ7" s="2498"/>
      <c r="BA7" s="2498" t="s">
        <v>795</v>
      </c>
      <c r="BB7" s="2498"/>
      <c r="BC7" s="2498"/>
      <c r="BD7" s="2498"/>
      <c r="BE7" s="2498"/>
      <c r="BF7" s="2498" t="s">
        <v>972</v>
      </c>
      <c r="BG7" s="2498"/>
      <c r="BH7" s="2498"/>
      <c r="BI7" s="2498"/>
      <c r="BJ7" s="2498"/>
      <c r="BK7" s="2498" t="s">
        <v>1143</v>
      </c>
      <c r="BL7" s="2498"/>
      <c r="BM7" s="2498"/>
      <c r="BN7" s="2498"/>
      <c r="BO7" s="2498" t="s">
        <v>899</v>
      </c>
      <c r="BP7" s="2498"/>
      <c r="BQ7" s="2498"/>
      <c r="BS7" s="2564" t="s">
        <v>1355</v>
      </c>
      <c r="BT7" s="2565"/>
      <c r="BU7" s="2565"/>
      <c r="BV7" s="2565"/>
      <c r="BW7" s="2565"/>
      <c r="BX7" s="2565"/>
      <c r="BY7" s="2565"/>
      <c r="BZ7" s="2565"/>
      <c r="CA7" s="2565"/>
      <c r="CB7" s="2565"/>
      <c r="CC7" s="2565"/>
      <c r="CD7" s="2566"/>
    </row>
    <row r="8" spans="1:82" ht="22.5" customHeight="1">
      <c r="B8" s="2567"/>
      <c r="C8" s="2568"/>
      <c r="D8" s="2568"/>
      <c r="E8" s="2568"/>
      <c r="F8" s="2568"/>
      <c r="G8" s="2568"/>
      <c r="H8" s="2568"/>
      <c r="I8" s="2568"/>
      <c r="J8" s="2568"/>
      <c r="K8" s="2568"/>
      <c r="L8" s="2568"/>
      <c r="M8" s="2569"/>
      <c r="O8" s="2522" t="s">
        <v>1005</v>
      </c>
      <c r="P8" s="2522"/>
      <c r="Q8" s="2522"/>
      <c r="R8" s="2522"/>
      <c r="S8" s="2522"/>
      <c r="T8" s="2498"/>
      <c r="U8" s="2498"/>
      <c r="V8" s="2498"/>
      <c r="W8" s="2498"/>
      <c r="X8" s="2498"/>
      <c r="Y8" s="2498"/>
      <c r="Z8" s="2498"/>
      <c r="AA8" s="2498"/>
      <c r="AB8" s="2498"/>
      <c r="AC8" s="2498"/>
      <c r="AD8" s="2498"/>
      <c r="AE8" s="2498"/>
      <c r="AF8" s="2498"/>
      <c r="AG8" s="2498"/>
      <c r="AH8" s="2498"/>
      <c r="AI8" s="2498"/>
      <c r="AJ8" s="2498"/>
      <c r="AK8" s="2498"/>
      <c r="AL8" s="2498"/>
      <c r="AM8" s="2498"/>
      <c r="AN8" s="2498"/>
      <c r="AO8" s="2498"/>
      <c r="AP8" s="534"/>
      <c r="AQ8" s="2522" t="s">
        <v>1154</v>
      </c>
      <c r="AR8" s="2522"/>
      <c r="AS8" s="2522"/>
      <c r="AT8" s="2522"/>
      <c r="AU8" s="2522"/>
      <c r="AV8" s="2498"/>
      <c r="AW8" s="2498"/>
      <c r="AX8" s="2498"/>
      <c r="AY8" s="2498"/>
      <c r="AZ8" s="2498"/>
      <c r="BA8" s="2498"/>
      <c r="BB8" s="2498"/>
      <c r="BC8" s="2498"/>
      <c r="BD8" s="2498"/>
      <c r="BE8" s="2498"/>
      <c r="BF8" s="2498"/>
      <c r="BG8" s="2498"/>
      <c r="BH8" s="2498"/>
      <c r="BI8" s="2498"/>
      <c r="BJ8" s="2498"/>
      <c r="BK8" s="2498"/>
      <c r="BL8" s="2498"/>
      <c r="BM8" s="2498"/>
      <c r="BN8" s="2498"/>
      <c r="BO8" s="2498"/>
      <c r="BP8" s="2498"/>
      <c r="BQ8" s="2498"/>
      <c r="BS8" s="2567"/>
      <c r="BT8" s="2568"/>
      <c r="BU8" s="2568"/>
      <c r="BV8" s="2568"/>
      <c r="BW8" s="2568"/>
      <c r="BX8" s="2568"/>
      <c r="BY8" s="2568"/>
      <c r="BZ8" s="2568"/>
      <c r="CA8" s="2568"/>
      <c r="CB8" s="2568"/>
      <c r="CC8" s="2568"/>
      <c r="CD8" s="2569"/>
    </row>
    <row r="9" spans="1:82" ht="18.75" customHeight="1" thickBot="1">
      <c r="B9" s="2570"/>
      <c r="C9" s="2571"/>
      <c r="D9" s="2571"/>
      <c r="E9" s="2571"/>
      <c r="F9" s="2571"/>
      <c r="G9" s="2571"/>
      <c r="H9" s="2571"/>
      <c r="I9" s="2571"/>
      <c r="J9" s="2571"/>
      <c r="K9" s="2571"/>
      <c r="L9" s="2571"/>
      <c r="M9" s="2572"/>
      <c r="O9" s="2499">
        <f>O10-$O$7</f>
        <v>-4000</v>
      </c>
      <c r="P9" s="2499"/>
      <c r="Q9" s="2499"/>
      <c r="R9" s="2499"/>
      <c r="S9" s="2499"/>
      <c r="T9" s="2487">
        <f t="shared" ref="T9:T17" si="0">$I$15</f>
        <v>0</v>
      </c>
      <c r="U9" s="2487"/>
      <c r="V9" s="2487"/>
      <c r="W9" s="2487"/>
      <c r="X9" s="2487"/>
      <c r="Y9" s="2487">
        <f t="shared" ref="Y9:Y17" si="1">O9+Total_Fixed_Costs_Result+$I$17</f>
        <v>-4000</v>
      </c>
      <c r="Z9" s="2488"/>
      <c r="AA9" s="2488"/>
      <c r="AB9" s="2488"/>
      <c r="AC9" s="2488"/>
      <c r="AD9" s="2487">
        <f>T9-Y9</f>
        <v>4000</v>
      </c>
      <c r="AE9" s="2488"/>
      <c r="AF9" s="2488"/>
      <c r="AG9" s="2488"/>
      <c r="AH9" s="2488"/>
      <c r="AI9" s="2487">
        <f>IFERROR(AD9/$I$19,0)</f>
        <v>0</v>
      </c>
      <c r="AJ9" s="2487"/>
      <c r="AK9" s="2487"/>
      <c r="AL9" s="2487"/>
      <c r="AM9" s="2489">
        <f t="shared" ref="AM9:AM17" si="2">IFERROR(IF(Total_Cash_Needed&lt;0,"Infinite ROI",AD9/Total_Cash_Needed),0)</f>
        <v>0</v>
      </c>
      <c r="AN9" s="2489"/>
      <c r="AO9" s="2489"/>
      <c r="AQ9" s="2499">
        <f>AQ10-$AQ$7</f>
        <v>-20000</v>
      </c>
      <c r="AR9" s="2499"/>
      <c r="AS9" s="2499"/>
      <c r="AT9" s="2499"/>
      <c r="AU9" s="2499"/>
      <c r="AV9" s="2487">
        <f t="shared" ref="AV9:AV17" si="3">Purchase_Price_Sensitivity</f>
        <v>0</v>
      </c>
      <c r="AW9" s="2487"/>
      <c r="AX9" s="2487"/>
      <c r="AY9" s="2487"/>
      <c r="AZ9" s="2487"/>
      <c r="BA9" s="2487">
        <f t="shared" ref="BA9:BA17" si="4">AV9+Total_Fixed_Costs_Result+Estimate_Sensitivity</f>
        <v>0</v>
      </c>
      <c r="BB9" s="2488"/>
      <c r="BC9" s="2488"/>
      <c r="BD9" s="2488"/>
      <c r="BE9" s="2488"/>
      <c r="BF9" s="2487">
        <f>AQ9-BA9</f>
        <v>-20000</v>
      </c>
      <c r="BG9" s="2488"/>
      <c r="BH9" s="2488"/>
      <c r="BI9" s="2488"/>
      <c r="BJ9" s="2488"/>
      <c r="BK9" s="2487">
        <f>IFERROR(BF9/$I$19,0)</f>
        <v>0</v>
      </c>
      <c r="BL9" s="2487"/>
      <c r="BM9" s="2487"/>
      <c r="BN9" s="2487"/>
      <c r="BO9" s="2489">
        <f t="shared" ref="BO9:BO17" si="5">IFERROR(IF(Total_Cash_Needed&lt;0,"Infinite ROI",BF9/Total_Cash_Needed),0)</f>
        <v>0</v>
      </c>
      <c r="BP9" s="2489"/>
      <c r="BQ9" s="2489"/>
      <c r="BS9" s="2570"/>
      <c r="BT9" s="2571"/>
      <c r="BU9" s="2571"/>
      <c r="BV9" s="2571"/>
      <c r="BW9" s="2571"/>
      <c r="BX9" s="2571"/>
      <c r="BY9" s="2571"/>
      <c r="BZ9" s="2571"/>
      <c r="CA9" s="2571"/>
      <c r="CB9" s="2571"/>
      <c r="CC9" s="2571"/>
      <c r="CD9" s="2572"/>
    </row>
    <row r="10" spans="1:82" ht="18.75" customHeight="1">
      <c r="O10" s="2499">
        <f>O11-$O$7</f>
        <v>-3000</v>
      </c>
      <c r="P10" s="2499"/>
      <c r="Q10" s="2499"/>
      <c r="R10" s="2499"/>
      <c r="S10" s="2499"/>
      <c r="T10" s="2487">
        <f t="shared" si="0"/>
        <v>0</v>
      </c>
      <c r="U10" s="2487"/>
      <c r="V10" s="2487"/>
      <c r="W10" s="2487"/>
      <c r="X10" s="2487"/>
      <c r="Y10" s="2487">
        <f t="shared" si="1"/>
        <v>-3000</v>
      </c>
      <c r="Z10" s="2488"/>
      <c r="AA10" s="2488"/>
      <c r="AB10" s="2488"/>
      <c r="AC10" s="2488"/>
      <c r="AD10" s="2487">
        <f t="shared" ref="AD10:AD17" si="6">T10-Y10</f>
        <v>3000</v>
      </c>
      <c r="AE10" s="2488"/>
      <c r="AF10" s="2488"/>
      <c r="AG10" s="2488"/>
      <c r="AH10" s="2488"/>
      <c r="AI10" s="2487">
        <f t="shared" ref="AI10:AI17" si="7">IFERROR(AD10/$I$19,0)</f>
        <v>0</v>
      </c>
      <c r="AJ10" s="2487"/>
      <c r="AK10" s="2487"/>
      <c r="AL10" s="2487"/>
      <c r="AM10" s="2489">
        <f t="shared" si="2"/>
        <v>0</v>
      </c>
      <c r="AN10" s="2489"/>
      <c r="AO10" s="2489"/>
      <c r="AQ10" s="2499">
        <f>AQ11-$AQ$7</f>
        <v>-15000</v>
      </c>
      <c r="AR10" s="2499"/>
      <c r="AS10" s="2499"/>
      <c r="AT10" s="2499"/>
      <c r="AU10" s="2499"/>
      <c r="AV10" s="2531">
        <f t="shared" si="3"/>
        <v>0</v>
      </c>
      <c r="AW10" s="2532"/>
      <c r="AX10" s="2532"/>
      <c r="AY10" s="2532"/>
      <c r="AZ10" s="2533"/>
      <c r="BA10" s="2487">
        <f t="shared" si="4"/>
        <v>0</v>
      </c>
      <c r="BB10" s="2488"/>
      <c r="BC10" s="2488"/>
      <c r="BD10" s="2488"/>
      <c r="BE10" s="2488"/>
      <c r="BF10" s="2487">
        <f t="shared" ref="BF10:BF17" si="8">AQ10-BA10</f>
        <v>-15000</v>
      </c>
      <c r="BG10" s="2488"/>
      <c r="BH10" s="2488"/>
      <c r="BI10" s="2488"/>
      <c r="BJ10" s="2488"/>
      <c r="BK10" s="2487">
        <f t="shared" ref="BK10:BK17" si="9">IFERROR(BF10/$I$19,0)</f>
        <v>0</v>
      </c>
      <c r="BL10" s="2487"/>
      <c r="BM10" s="2487"/>
      <c r="BN10" s="2487"/>
      <c r="BO10" s="2489">
        <f t="shared" si="5"/>
        <v>0</v>
      </c>
      <c r="BP10" s="2489"/>
      <c r="BQ10" s="2489"/>
    </row>
    <row r="11" spans="1:82" ht="18.75" customHeight="1">
      <c r="B11" s="2542" t="s">
        <v>1353</v>
      </c>
      <c r="C11" s="2543"/>
      <c r="D11" s="2543"/>
      <c r="E11" s="2543"/>
      <c r="F11" s="2543"/>
      <c r="G11" s="2543"/>
      <c r="H11" s="2543"/>
      <c r="I11" s="2543"/>
      <c r="J11" s="2543"/>
      <c r="K11" s="2543"/>
      <c r="L11" s="2543"/>
      <c r="M11" s="2544"/>
      <c r="O11" s="2499">
        <f>O12-$O$7</f>
        <v>-2000</v>
      </c>
      <c r="P11" s="2499"/>
      <c r="Q11" s="2499"/>
      <c r="R11" s="2499"/>
      <c r="S11" s="2499"/>
      <c r="T11" s="2487">
        <f t="shared" si="0"/>
        <v>0</v>
      </c>
      <c r="U11" s="2487"/>
      <c r="V11" s="2487"/>
      <c r="W11" s="2487"/>
      <c r="X11" s="2487"/>
      <c r="Y11" s="2487">
        <f t="shared" si="1"/>
        <v>-2000</v>
      </c>
      <c r="Z11" s="2488"/>
      <c r="AA11" s="2488"/>
      <c r="AB11" s="2488"/>
      <c r="AC11" s="2488"/>
      <c r="AD11" s="2487">
        <f t="shared" si="6"/>
        <v>2000</v>
      </c>
      <c r="AE11" s="2488"/>
      <c r="AF11" s="2488"/>
      <c r="AG11" s="2488"/>
      <c r="AH11" s="2488"/>
      <c r="AI11" s="2487">
        <f t="shared" si="7"/>
        <v>0</v>
      </c>
      <c r="AJ11" s="2487"/>
      <c r="AK11" s="2487"/>
      <c r="AL11" s="2487"/>
      <c r="AM11" s="2489">
        <f t="shared" si="2"/>
        <v>0</v>
      </c>
      <c r="AN11" s="2489"/>
      <c r="AO11" s="2489"/>
      <c r="AQ11" s="2499">
        <f>AQ12-$AQ$7</f>
        <v>-10000</v>
      </c>
      <c r="AR11" s="2499"/>
      <c r="AS11" s="2499"/>
      <c r="AT11" s="2499"/>
      <c r="AU11" s="2499"/>
      <c r="AV11" s="2531">
        <f t="shared" si="3"/>
        <v>0</v>
      </c>
      <c r="AW11" s="2532"/>
      <c r="AX11" s="2532"/>
      <c r="AY11" s="2532"/>
      <c r="AZ11" s="2533"/>
      <c r="BA11" s="2487">
        <f t="shared" si="4"/>
        <v>0</v>
      </c>
      <c r="BB11" s="2488"/>
      <c r="BC11" s="2488"/>
      <c r="BD11" s="2488"/>
      <c r="BE11" s="2488"/>
      <c r="BF11" s="2487">
        <f t="shared" si="8"/>
        <v>-10000</v>
      </c>
      <c r="BG11" s="2488"/>
      <c r="BH11" s="2488"/>
      <c r="BI11" s="2488"/>
      <c r="BJ11" s="2488"/>
      <c r="BK11" s="2487">
        <f t="shared" si="9"/>
        <v>0</v>
      </c>
      <c r="BL11" s="2487"/>
      <c r="BM11" s="2487"/>
      <c r="BN11" s="2487"/>
      <c r="BO11" s="2489">
        <f t="shared" si="5"/>
        <v>0</v>
      </c>
      <c r="BP11" s="2489"/>
      <c r="BQ11" s="2489"/>
      <c r="BS11" s="2542" t="s">
        <v>981</v>
      </c>
      <c r="BT11" s="2543"/>
      <c r="BU11" s="2543"/>
      <c r="BV11" s="2543"/>
      <c r="BW11" s="2543"/>
      <c r="BX11" s="2543"/>
      <c r="BY11" s="2543"/>
      <c r="BZ11" s="2543"/>
      <c r="CA11" s="2543"/>
      <c r="CB11" s="2543"/>
      <c r="CC11" s="2543"/>
      <c r="CD11" s="2544"/>
    </row>
    <row r="12" spans="1:82" ht="18.75" customHeight="1" thickBot="1">
      <c r="B12" s="641"/>
      <c r="C12" s="536"/>
      <c r="D12" s="536"/>
      <c r="E12" s="536"/>
      <c r="F12" s="536"/>
      <c r="G12" s="536"/>
      <c r="H12" s="536"/>
      <c r="I12" s="536"/>
      <c r="J12" s="536"/>
      <c r="K12" s="536"/>
      <c r="L12" s="536"/>
      <c r="M12" s="537"/>
      <c r="O12" s="2499">
        <f>O13-$O$7</f>
        <v>-1000</v>
      </c>
      <c r="P12" s="2499"/>
      <c r="Q12" s="2499"/>
      <c r="R12" s="2499"/>
      <c r="S12" s="2499"/>
      <c r="T12" s="2499">
        <f t="shared" si="0"/>
        <v>0</v>
      </c>
      <c r="U12" s="2499"/>
      <c r="V12" s="2499"/>
      <c r="W12" s="2499"/>
      <c r="X12" s="2499"/>
      <c r="Y12" s="2499">
        <f t="shared" si="1"/>
        <v>-1000</v>
      </c>
      <c r="Z12" s="2519"/>
      <c r="AA12" s="2519"/>
      <c r="AB12" s="2519"/>
      <c r="AC12" s="2519"/>
      <c r="AD12" s="2499">
        <f t="shared" si="6"/>
        <v>1000</v>
      </c>
      <c r="AE12" s="2519"/>
      <c r="AF12" s="2519"/>
      <c r="AG12" s="2519"/>
      <c r="AH12" s="2519"/>
      <c r="AI12" s="2499">
        <f t="shared" si="7"/>
        <v>0</v>
      </c>
      <c r="AJ12" s="2499"/>
      <c r="AK12" s="2499"/>
      <c r="AL12" s="2499"/>
      <c r="AM12" s="2500">
        <f t="shared" si="2"/>
        <v>0</v>
      </c>
      <c r="AN12" s="2500"/>
      <c r="AO12" s="2500"/>
      <c r="AQ12" s="2499">
        <f>AQ13-$AQ$7</f>
        <v>-5000</v>
      </c>
      <c r="AR12" s="2499"/>
      <c r="AS12" s="2499"/>
      <c r="AT12" s="2499"/>
      <c r="AU12" s="2499"/>
      <c r="AV12" s="2549">
        <f t="shared" si="3"/>
        <v>0</v>
      </c>
      <c r="AW12" s="2550"/>
      <c r="AX12" s="2550"/>
      <c r="AY12" s="2550"/>
      <c r="AZ12" s="2551"/>
      <c r="BA12" s="2499">
        <f t="shared" si="4"/>
        <v>0</v>
      </c>
      <c r="BB12" s="2519"/>
      <c r="BC12" s="2519"/>
      <c r="BD12" s="2519"/>
      <c r="BE12" s="2519"/>
      <c r="BF12" s="2499">
        <f t="shared" si="8"/>
        <v>-5000</v>
      </c>
      <c r="BG12" s="2519"/>
      <c r="BH12" s="2519"/>
      <c r="BI12" s="2519"/>
      <c r="BJ12" s="2519"/>
      <c r="BK12" s="2499">
        <f t="shared" si="9"/>
        <v>0</v>
      </c>
      <c r="BL12" s="2499"/>
      <c r="BM12" s="2499"/>
      <c r="BN12" s="2499"/>
      <c r="BO12" s="2500">
        <f t="shared" si="5"/>
        <v>0</v>
      </c>
      <c r="BP12" s="2500"/>
      <c r="BQ12" s="2500"/>
      <c r="BS12" s="544"/>
      <c r="BT12" s="240"/>
      <c r="BU12" s="240"/>
      <c r="BV12" s="240"/>
      <c r="BW12" s="240"/>
      <c r="BX12" s="240"/>
      <c r="BY12" s="240"/>
      <c r="BZ12" s="240"/>
      <c r="CA12" s="240"/>
      <c r="CB12" s="240"/>
      <c r="CC12" s="240"/>
      <c r="CD12" s="543"/>
    </row>
    <row r="13" spans="1:82" ht="18.75" customHeight="1" thickTop="1" thickBot="1">
      <c r="A13" s="640"/>
      <c r="B13" s="2552" t="s">
        <v>794</v>
      </c>
      <c r="C13" s="2508"/>
      <c r="D13" s="2508"/>
      <c r="E13" s="2508"/>
      <c r="F13" s="2508"/>
      <c r="G13" s="2508"/>
      <c r="H13" s="2508"/>
      <c r="I13" s="2573">
        <f>Purchase_Price_Result</f>
        <v>0</v>
      </c>
      <c r="J13" s="2574"/>
      <c r="K13" s="2574"/>
      <c r="L13" s="2574"/>
      <c r="M13" s="2575"/>
      <c r="N13" s="639"/>
      <c r="O13" s="2490">
        <f>I13</f>
        <v>0</v>
      </c>
      <c r="P13" s="2490"/>
      <c r="Q13" s="2490"/>
      <c r="R13" s="2490"/>
      <c r="S13" s="2491"/>
      <c r="T13" s="2492">
        <f t="shared" si="0"/>
        <v>0</v>
      </c>
      <c r="U13" s="2492"/>
      <c r="V13" s="2492"/>
      <c r="W13" s="2492"/>
      <c r="X13" s="2492"/>
      <c r="Y13" s="2492">
        <f t="shared" si="1"/>
        <v>0</v>
      </c>
      <c r="Z13" s="2493"/>
      <c r="AA13" s="2493"/>
      <c r="AB13" s="2493"/>
      <c r="AC13" s="2493"/>
      <c r="AD13" s="2492">
        <f t="shared" si="6"/>
        <v>0</v>
      </c>
      <c r="AE13" s="2492"/>
      <c r="AF13" s="2492"/>
      <c r="AG13" s="2492"/>
      <c r="AH13" s="2492"/>
      <c r="AI13" s="2492">
        <f t="shared" si="7"/>
        <v>0</v>
      </c>
      <c r="AJ13" s="2493"/>
      <c r="AK13" s="2493"/>
      <c r="AL13" s="2493"/>
      <c r="AM13" s="2494">
        <f t="shared" si="2"/>
        <v>0</v>
      </c>
      <c r="AN13" s="2494"/>
      <c r="AO13" s="2495"/>
      <c r="AP13" s="540"/>
      <c r="AQ13" s="2490">
        <f>I15</f>
        <v>0</v>
      </c>
      <c r="AR13" s="2490"/>
      <c r="AS13" s="2490"/>
      <c r="AT13" s="2490"/>
      <c r="AU13" s="2491"/>
      <c r="AV13" s="2530">
        <f t="shared" si="3"/>
        <v>0</v>
      </c>
      <c r="AW13" s="2490"/>
      <c r="AX13" s="2490"/>
      <c r="AY13" s="2490"/>
      <c r="AZ13" s="2491"/>
      <c r="BA13" s="2492">
        <f t="shared" si="4"/>
        <v>0</v>
      </c>
      <c r="BB13" s="2493"/>
      <c r="BC13" s="2493"/>
      <c r="BD13" s="2493"/>
      <c r="BE13" s="2493"/>
      <c r="BF13" s="2492">
        <f t="shared" si="8"/>
        <v>0</v>
      </c>
      <c r="BG13" s="2492"/>
      <c r="BH13" s="2492"/>
      <c r="BI13" s="2492"/>
      <c r="BJ13" s="2492"/>
      <c r="BK13" s="2492">
        <f t="shared" si="9"/>
        <v>0</v>
      </c>
      <c r="BL13" s="2493"/>
      <c r="BM13" s="2493"/>
      <c r="BN13" s="2493"/>
      <c r="BO13" s="2494">
        <f t="shared" si="5"/>
        <v>0</v>
      </c>
      <c r="BP13" s="2494"/>
      <c r="BQ13" s="2495"/>
      <c r="BR13" s="541"/>
      <c r="BS13" s="2545" t="s">
        <v>1203</v>
      </c>
      <c r="BT13" s="2546"/>
      <c r="BU13" s="2546"/>
      <c r="BV13" s="2546"/>
      <c r="BW13" s="2546"/>
      <c r="BX13" s="2546"/>
      <c r="BY13" s="2546"/>
      <c r="BZ13" s="2501">
        <f>I15</f>
        <v>0</v>
      </c>
      <c r="CA13" s="2502"/>
      <c r="CB13" s="2502"/>
      <c r="CC13" s="2502"/>
      <c r="CD13" s="2503"/>
    </row>
    <row r="14" spans="1:82" ht="18.75" customHeight="1" thickTop="1">
      <c r="B14" s="538"/>
      <c r="C14" s="240"/>
      <c r="D14" s="240"/>
      <c r="E14" s="240"/>
      <c r="F14" s="240"/>
      <c r="G14" s="240"/>
      <c r="H14" s="240"/>
      <c r="I14" s="240"/>
      <c r="J14" s="240"/>
      <c r="K14" s="240"/>
      <c r="L14" s="240"/>
      <c r="M14" s="539"/>
      <c r="O14" s="2496">
        <f>O13+$O$7</f>
        <v>1000</v>
      </c>
      <c r="P14" s="2496"/>
      <c r="Q14" s="2496"/>
      <c r="R14" s="2496"/>
      <c r="S14" s="2496"/>
      <c r="T14" s="2496">
        <f t="shared" si="0"/>
        <v>0</v>
      </c>
      <c r="U14" s="2496"/>
      <c r="V14" s="2496"/>
      <c r="W14" s="2496"/>
      <c r="X14" s="2496"/>
      <c r="Y14" s="2496">
        <f t="shared" si="1"/>
        <v>1000</v>
      </c>
      <c r="Z14" s="2497"/>
      <c r="AA14" s="2497"/>
      <c r="AB14" s="2497"/>
      <c r="AC14" s="2497"/>
      <c r="AD14" s="2487">
        <f t="shared" si="6"/>
        <v>-1000</v>
      </c>
      <c r="AE14" s="2488"/>
      <c r="AF14" s="2488"/>
      <c r="AG14" s="2488"/>
      <c r="AH14" s="2488"/>
      <c r="AI14" s="2487">
        <f t="shared" si="7"/>
        <v>0</v>
      </c>
      <c r="AJ14" s="2487"/>
      <c r="AK14" s="2487"/>
      <c r="AL14" s="2487"/>
      <c r="AM14" s="2517">
        <f t="shared" si="2"/>
        <v>0</v>
      </c>
      <c r="AN14" s="2517"/>
      <c r="AO14" s="2517"/>
      <c r="AQ14" s="2496">
        <f>AQ13+$AQ$7</f>
        <v>5000</v>
      </c>
      <c r="AR14" s="2496"/>
      <c r="AS14" s="2496"/>
      <c r="AT14" s="2496"/>
      <c r="AU14" s="2496"/>
      <c r="AV14" s="2534">
        <f t="shared" si="3"/>
        <v>0</v>
      </c>
      <c r="AW14" s="2535"/>
      <c r="AX14" s="2535"/>
      <c r="AY14" s="2535"/>
      <c r="AZ14" s="2536"/>
      <c r="BA14" s="2496">
        <f t="shared" si="4"/>
        <v>0</v>
      </c>
      <c r="BB14" s="2497"/>
      <c r="BC14" s="2497"/>
      <c r="BD14" s="2497"/>
      <c r="BE14" s="2497"/>
      <c r="BF14" s="2487">
        <f t="shared" si="8"/>
        <v>5000</v>
      </c>
      <c r="BG14" s="2488"/>
      <c r="BH14" s="2488"/>
      <c r="BI14" s="2488"/>
      <c r="BJ14" s="2488"/>
      <c r="BK14" s="2487">
        <f t="shared" si="9"/>
        <v>0</v>
      </c>
      <c r="BL14" s="2487"/>
      <c r="BM14" s="2487"/>
      <c r="BN14" s="2487"/>
      <c r="BO14" s="2517">
        <f t="shared" si="5"/>
        <v>0</v>
      </c>
      <c r="BP14" s="2517"/>
      <c r="BQ14" s="2517"/>
      <c r="BS14" s="542"/>
      <c r="BT14" s="511"/>
      <c r="BU14" s="511"/>
      <c r="BV14" s="511"/>
      <c r="BW14" s="511"/>
      <c r="BX14" s="511"/>
      <c r="BY14" s="511"/>
      <c r="BZ14" s="240"/>
      <c r="CA14" s="240"/>
      <c r="CB14" s="240"/>
      <c r="CC14" s="240"/>
      <c r="CD14" s="543"/>
    </row>
    <row r="15" spans="1:82" ht="18.75" customHeight="1">
      <c r="B15" s="2552" t="s">
        <v>1203</v>
      </c>
      <c r="C15" s="2508"/>
      <c r="D15" s="2508"/>
      <c r="E15" s="2508"/>
      <c r="F15" s="2508"/>
      <c r="G15" s="2508"/>
      <c r="H15" s="2508"/>
      <c r="I15" s="2573">
        <f>After_Repair_Value_Result</f>
        <v>0</v>
      </c>
      <c r="J15" s="2574"/>
      <c r="K15" s="2574"/>
      <c r="L15" s="2574"/>
      <c r="M15" s="2575"/>
      <c r="O15" s="2487">
        <f>O14+$O$7</f>
        <v>2000</v>
      </c>
      <c r="P15" s="2487"/>
      <c r="Q15" s="2487"/>
      <c r="R15" s="2487"/>
      <c r="S15" s="2487"/>
      <c r="T15" s="2487">
        <f t="shared" si="0"/>
        <v>0</v>
      </c>
      <c r="U15" s="2487"/>
      <c r="V15" s="2487"/>
      <c r="W15" s="2487"/>
      <c r="X15" s="2487"/>
      <c r="Y15" s="2487">
        <f t="shared" si="1"/>
        <v>2000</v>
      </c>
      <c r="Z15" s="2488"/>
      <c r="AA15" s="2488"/>
      <c r="AB15" s="2488"/>
      <c r="AC15" s="2488"/>
      <c r="AD15" s="2487">
        <f t="shared" si="6"/>
        <v>-2000</v>
      </c>
      <c r="AE15" s="2488"/>
      <c r="AF15" s="2488"/>
      <c r="AG15" s="2488"/>
      <c r="AH15" s="2488"/>
      <c r="AI15" s="2487">
        <f t="shared" si="7"/>
        <v>0</v>
      </c>
      <c r="AJ15" s="2487"/>
      <c r="AK15" s="2487"/>
      <c r="AL15" s="2487"/>
      <c r="AM15" s="2489">
        <f t="shared" si="2"/>
        <v>0</v>
      </c>
      <c r="AN15" s="2489"/>
      <c r="AO15" s="2489"/>
      <c r="AQ15" s="2487">
        <f>AQ14+$AQ$7</f>
        <v>10000</v>
      </c>
      <c r="AR15" s="2487"/>
      <c r="AS15" s="2487"/>
      <c r="AT15" s="2487"/>
      <c r="AU15" s="2487"/>
      <c r="AV15" s="2531">
        <f t="shared" si="3"/>
        <v>0</v>
      </c>
      <c r="AW15" s="2532"/>
      <c r="AX15" s="2532"/>
      <c r="AY15" s="2532"/>
      <c r="AZ15" s="2533"/>
      <c r="BA15" s="2487">
        <f t="shared" si="4"/>
        <v>0</v>
      </c>
      <c r="BB15" s="2488"/>
      <c r="BC15" s="2488"/>
      <c r="BD15" s="2488"/>
      <c r="BE15" s="2488"/>
      <c r="BF15" s="2487">
        <f t="shared" si="8"/>
        <v>10000</v>
      </c>
      <c r="BG15" s="2488"/>
      <c r="BH15" s="2488"/>
      <c r="BI15" s="2488"/>
      <c r="BJ15" s="2488"/>
      <c r="BK15" s="2487">
        <f t="shared" si="9"/>
        <v>0</v>
      </c>
      <c r="BL15" s="2487"/>
      <c r="BM15" s="2487"/>
      <c r="BN15" s="2487"/>
      <c r="BO15" s="2489">
        <f t="shared" si="5"/>
        <v>0</v>
      </c>
      <c r="BP15" s="2489"/>
      <c r="BQ15" s="2489"/>
      <c r="BS15" s="2507" t="s">
        <v>74</v>
      </c>
      <c r="BT15" s="2508"/>
      <c r="BU15" s="2508"/>
      <c r="BV15" s="2508"/>
      <c r="BW15" s="2508"/>
      <c r="BX15" s="2508"/>
      <c r="BY15" s="2508"/>
      <c r="BZ15" s="2511">
        <f>Buying_Costs_Result</f>
        <v>0</v>
      </c>
      <c r="CA15" s="2512"/>
      <c r="CB15" s="2512"/>
      <c r="CC15" s="2512"/>
      <c r="CD15" s="2513"/>
    </row>
    <row r="16" spans="1:82" ht="18.75" customHeight="1">
      <c r="B16" s="538"/>
      <c r="C16" s="240"/>
      <c r="D16" s="240"/>
      <c r="E16" s="240"/>
      <c r="F16" s="240"/>
      <c r="G16" s="240"/>
      <c r="H16" s="240"/>
      <c r="I16" s="240"/>
      <c r="J16" s="240"/>
      <c r="K16" s="240"/>
      <c r="L16" s="240"/>
      <c r="M16" s="539"/>
      <c r="O16" s="2487">
        <f>O15+$O$7</f>
        <v>3000</v>
      </c>
      <c r="P16" s="2487"/>
      <c r="Q16" s="2487"/>
      <c r="R16" s="2487"/>
      <c r="S16" s="2487"/>
      <c r="T16" s="2487">
        <f t="shared" si="0"/>
        <v>0</v>
      </c>
      <c r="U16" s="2487"/>
      <c r="V16" s="2487"/>
      <c r="W16" s="2487"/>
      <c r="X16" s="2487"/>
      <c r="Y16" s="2487">
        <f t="shared" si="1"/>
        <v>3000</v>
      </c>
      <c r="Z16" s="2488"/>
      <c r="AA16" s="2488"/>
      <c r="AB16" s="2488"/>
      <c r="AC16" s="2488"/>
      <c r="AD16" s="2487">
        <f t="shared" si="6"/>
        <v>-3000</v>
      </c>
      <c r="AE16" s="2488"/>
      <c r="AF16" s="2488"/>
      <c r="AG16" s="2488"/>
      <c r="AH16" s="2488"/>
      <c r="AI16" s="2487">
        <f t="shared" si="7"/>
        <v>0</v>
      </c>
      <c r="AJ16" s="2487"/>
      <c r="AK16" s="2487"/>
      <c r="AL16" s="2487"/>
      <c r="AM16" s="2489">
        <f t="shared" si="2"/>
        <v>0</v>
      </c>
      <c r="AN16" s="2489"/>
      <c r="AO16" s="2489"/>
      <c r="AQ16" s="2487">
        <f>AQ15+$AQ$7</f>
        <v>15000</v>
      </c>
      <c r="AR16" s="2487"/>
      <c r="AS16" s="2487"/>
      <c r="AT16" s="2487"/>
      <c r="AU16" s="2487"/>
      <c r="AV16" s="2531">
        <f t="shared" si="3"/>
        <v>0</v>
      </c>
      <c r="AW16" s="2532"/>
      <c r="AX16" s="2532"/>
      <c r="AY16" s="2532"/>
      <c r="AZ16" s="2533"/>
      <c r="BA16" s="2487">
        <f t="shared" si="4"/>
        <v>0</v>
      </c>
      <c r="BB16" s="2488"/>
      <c r="BC16" s="2488"/>
      <c r="BD16" s="2488"/>
      <c r="BE16" s="2488"/>
      <c r="BF16" s="2487">
        <f t="shared" si="8"/>
        <v>15000</v>
      </c>
      <c r="BG16" s="2488"/>
      <c r="BH16" s="2488"/>
      <c r="BI16" s="2488"/>
      <c r="BJ16" s="2488"/>
      <c r="BK16" s="2487">
        <f t="shared" si="9"/>
        <v>0</v>
      </c>
      <c r="BL16" s="2487"/>
      <c r="BM16" s="2487"/>
      <c r="BN16" s="2487"/>
      <c r="BO16" s="2489">
        <f t="shared" si="5"/>
        <v>0</v>
      </c>
      <c r="BP16" s="2489"/>
      <c r="BQ16" s="2489"/>
      <c r="BS16" s="2507" t="s">
        <v>75</v>
      </c>
      <c r="BT16" s="2508"/>
      <c r="BU16" s="2508"/>
      <c r="BV16" s="2508"/>
      <c r="BW16" s="2508"/>
      <c r="BX16" s="2508"/>
      <c r="BY16" s="2508"/>
      <c r="BZ16" s="2511">
        <f>Holding_Costs_Result</f>
        <v>0</v>
      </c>
      <c r="CA16" s="2512"/>
      <c r="CB16" s="2512"/>
      <c r="CC16" s="2512"/>
      <c r="CD16" s="2513"/>
    </row>
    <row r="17" spans="1:86" ht="18.75" customHeight="1" thickBot="1">
      <c r="B17" s="2552" t="s">
        <v>1295</v>
      </c>
      <c r="C17" s="2508"/>
      <c r="D17" s="2508"/>
      <c r="E17" s="2508"/>
      <c r="F17" s="2508"/>
      <c r="G17" s="2508"/>
      <c r="H17" s="2508"/>
      <c r="I17" s="2573">
        <f>TOTAL_REPAIRS_ESTIMATE</f>
        <v>0</v>
      </c>
      <c r="J17" s="2574"/>
      <c r="K17" s="2574"/>
      <c r="L17" s="2574"/>
      <c r="M17" s="2575"/>
      <c r="O17" s="2487">
        <f>O16+$O$7</f>
        <v>4000</v>
      </c>
      <c r="P17" s="2487"/>
      <c r="Q17" s="2487"/>
      <c r="R17" s="2487"/>
      <c r="S17" s="2487"/>
      <c r="T17" s="2487">
        <f t="shared" si="0"/>
        <v>0</v>
      </c>
      <c r="U17" s="2487"/>
      <c r="V17" s="2487"/>
      <c r="W17" s="2487"/>
      <c r="X17" s="2487"/>
      <c r="Y17" s="2487">
        <f t="shared" si="1"/>
        <v>4000</v>
      </c>
      <c r="Z17" s="2488"/>
      <c r="AA17" s="2488"/>
      <c r="AB17" s="2488"/>
      <c r="AC17" s="2488"/>
      <c r="AD17" s="2487">
        <f t="shared" si="6"/>
        <v>-4000</v>
      </c>
      <c r="AE17" s="2488"/>
      <c r="AF17" s="2488"/>
      <c r="AG17" s="2488"/>
      <c r="AH17" s="2488"/>
      <c r="AI17" s="2487">
        <f t="shared" si="7"/>
        <v>0</v>
      </c>
      <c r="AJ17" s="2487"/>
      <c r="AK17" s="2487"/>
      <c r="AL17" s="2487"/>
      <c r="AM17" s="2489">
        <f t="shared" si="2"/>
        <v>0</v>
      </c>
      <c r="AN17" s="2489"/>
      <c r="AO17" s="2489"/>
      <c r="AQ17" s="2487">
        <f>AQ16+$AQ$7</f>
        <v>20000</v>
      </c>
      <c r="AR17" s="2487"/>
      <c r="AS17" s="2487"/>
      <c r="AT17" s="2487"/>
      <c r="AU17" s="2487"/>
      <c r="AV17" s="2531">
        <f t="shared" si="3"/>
        <v>0</v>
      </c>
      <c r="AW17" s="2532"/>
      <c r="AX17" s="2532"/>
      <c r="AY17" s="2532"/>
      <c r="AZ17" s="2533"/>
      <c r="BA17" s="2487">
        <f t="shared" si="4"/>
        <v>0</v>
      </c>
      <c r="BB17" s="2488"/>
      <c r="BC17" s="2488"/>
      <c r="BD17" s="2488"/>
      <c r="BE17" s="2488"/>
      <c r="BF17" s="2487">
        <f t="shared" si="8"/>
        <v>20000</v>
      </c>
      <c r="BG17" s="2488"/>
      <c r="BH17" s="2488"/>
      <c r="BI17" s="2488"/>
      <c r="BJ17" s="2488"/>
      <c r="BK17" s="2487">
        <f t="shared" si="9"/>
        <v>0</v>
      </c>
      <c r="BL17" s="2487"/>
      <c r="BM17" s="2487"/>
      <c r="BN17" s="2487"/>
      <c r="BO17" s="2489">
        <f t="shared" si="5"/>
        <v>0</v>
      </c>
      <c r="BP17" s="2489"/>
      <c r="BQ17" s="2489"/>
      <c r="BS17" s="2509" t="s">
        <v>77</v>
      </c>
      <c r="BT17" s="2510"/>
      <c r="BU17" s="2510"/>
      <c r="BV17" s="2510"/>
      <c r="BW17" s="2510"/>
      <c r="BX17" s="2510"/>
      <c r="BY17" s="2510"/>
      <c r="BZ17" s="2514">
        <f>Selling_Costs_Result</f>
        <v>0</v>
      </c>
      <c r="CA17" s="2515"/>
      <c r="CB17" s="2515"/>
      <c r="CC17" s="2515"/>
      <c r="CD17" s="2516"/>
      <c r="CF17" s="551" t="s">
        <v>1243</v>
      </c>
      <c r="CH17" s="551" t="s">
        <v>1244</v>
      </c>
    </row>
    <row r="18" spans="1:86" ht="18.75" customHeight="1" thickTop="1">
      <c r="B18" s="538"/>
      <c r="C18" s="240"/>
      <c r="D18" s="240"/>
      <c r="E18" s="240"/>
      <c r="F18" s="240"/>
      <c r="G18" s="240"/>
      <c r="H18" s="240"/>
      <c r="I18" s="240"/>
      <c r="J18" s="240"/>
      <c r="K18" s="240"/>
      <c r="L18" s="240"/>
      <c r="M18" s="539"/>
      <c r="T18" s="2528" t="s">
        <v>1240</v>
      </c>
      <c r="U18" s="2528"/>
      <c r="V18" s="2528"/>
      <c r="W18" s="2528"/>
      <c r="X18" s="2528"/>
      <c r="Y18" s="2528"/>
      <c r="Z18" s="2528"/>
      <c r="AA18" s="2528"/>
      <c r="AB18" s="2528"/>
      <c r="AC18" s="2528"/>
      <c r="AD18" s="2528"/>
      <c r="AE18" s="2528"/>
      <c r="AF18" s="2528"/>
      <c r="AG18" s="2528"/>
      <c r="AH18" s="2528"/>
      <c r="AI18" s="2528"/>
      <c r="AJ18" s="2528"/>
      <c r="AK18" s="2528"/>
      <c r="AL18" s="2528"/>
      <c r="AM18" s="2528"/>
      <c r="AN18" s="2528"/>
      <c r="AO18" s="2528"/>
      <c r="AV18" s="2528" t="s">
        <v>1137</v>
      </c>
      <c r="AW18" s="2528"/>
      <c r="AX18" s="2528"/>
      <c r="AY18" s="2528"/>
      <c r="AZ18" s="2528"/>
      <c r="BA18" s="2528"/>
      <c r="BB18" s="2528"/>
      <c r="BC18" s="2528"/>
      <c r="BD18" s="2528"/>
      <c r="BE18" s="2528"/>
      <c r="BF18" s="2528"/>
      <c r="BG18" s="2528"/>
      <c r="BH18" s="2528"/>
      <c r="BI18" s="2528"/>
      <c r="BJ18" s="2528"/>
      <c r="BK18" s="2528"/>
      <c r="BL18" s="2528"/>
      <c r="BM18" s="2528"/>
      <c r="BN18" s="2528"/>
      <c r="BO18" s="2528"/>
      <c r="BP18" s="2528"/>
      <c r="BQ18" s="2528"/>
      <c r="BS18" s="2539" t="s">
        <v>1007</v>
      </c>
      <c r="BT18" s="2540"/>
      <c r="BU18" s="2540"/>
      <c r="BV18" s="2540"/>
      <c r="BW18" s="2540"/>
      <c r="BX18" s="2540"/>
      <c r="BY18" s="2540"/>
      <c r="BZ18" s="2501">
        <f>SUM(BZ15:CD17)</f>
        <v>0</v>
      </c>
      <c r="CA18" s="2502"/>
      <c r="CB18" s="2502"/>
      <c r="CC18" s="2502"/>
      <c r="CD18" s="2503"/>
      <c r="CF18" s="547">
        <f>SUM('1 REHAB ANALYZER'!BG64:BK72)+ESTIMATE_SUBTOTAL</f>
        <v>0</v>
      </c>
      <c r="CH18" s="547">
        <f>Rehab_Schedule_Rehab_Analyzer+Listing_Schedule_Rehab_Analyzer</f>
        <v>0</v>
      </c>
    </row>
    <row r="19" spans="1:86" ht="18.75" customHeight="1">
      <c r="B19" s="2552" t="s">
        <v>1201</v>
      </c>
      <c r="C19" s="2508"/>
      <c r="D19" s="2508"/>
      <c r="E19" s="2508"/>
      <c r="F19" s="2508"/>
      <c r="G19" s="2508"/>
      <c r="H19" s="2508"/>
      <c r="I19" s="2576">
        <f>Total_Schedule_Cell</f>
        <v>0</v>
      </c>
      <c r="J19" s="2577"/>
      <c r="K19" s="2577"/>
      <c r="L19" s="2577"/>
      <c r="M19" s="2578"/>
      <c r="O19" s="2523" t="s">
        <v>1142</v>
      </c>
      <c r="P19" s="2523"/>
      <c r="Q19" s="2523"/>
      <c r="R19" s="2523"/>
      <c r="S19" s="2523"/>
      <c r="T19" s="2529"/>
      <c r="U19" s="2529"/>
      <c r="V19" s="2529"/>
      <c r="W19" s="2529"/>
      <c r="X19" s="2529"/>
      <c r="Y19" s="2529"/>
      <c r="Z19" s="2529"/>
      <c r="AA19" s="2529"/>
      <c r="AB19" s="2529"/>
      <c r="AC19" s="2529"/>
      <c r="AD19" s="2529"/>
      <c r="AE19" s="2529"/>
      <c r="AF19" s="2529"/>
      <c r="AG19" s="2529"/>
      <c r="AH19" s="2529"/>
      <c r="AI19" s="2529"/>
      <c r="AJ19" s="2529"/>
      <c r="AK19" s="2529"/>
      <c r="AL19" s="2529"/>
      <c r="AM19" s="2529"/>
      <c r="AN19" s="2529"/>
      <c r="AO19" s="2529"/>
      <c r="AQ19" s="2520" t="s">
        <v>1142</v>
      </c>
      <c r="AR19" s="2520"/>
      <c r="AS19" s="2520"/>
      <c r="AT19" s="2520"/>
      <c r="AU19" s="2520"/>
      <c r="AV19" s="2529"/>
      <c r="AW19" s="2529"/>
      <c r="AX19" s="2529"/>
      <c r="AY19" s="2529"/>
      <c r="AZ19" s="2529"/>
      <c r="BA19" s="2529"/>
      <c r="BB19" s="2529"/>
      <c r="BC19" s="2529"/>
      <c r="BD19" s="2529"/>
      <c r="BE19" s="2529"/>
      <c r="BF19" s="2529"/>
      <c r="BG19" s="2529"/>
      <c r="BH19" s="2529"/>
      <c r="BI19" s="2529"/>
      <c r="BJ19" s="2529"/>
      <c r="BK19" s="2529"/>
      <c r="BL19" s="2529"/>
      <c r="BM19" s="2529"/>
      <c r="BN19" s="2529"/>
      <c r="BO19" s="2529"/>
      <c r="BP19" s="2529"/>
      <c r="BQ19" s="2529"/>
      <c r="BS19" s="544"/>
      <c r="BT19" s="240"/>
      <c r="BU19" s="240"/>
      <c r="BV19" s="240"/>
      <c r="BW19" s="240"/>
      <c r="BX19" s="240"/>
      <c r="BY19" s="240"/>
      <c r="BZ19" s="240"/>
      <c r="CA19" s="240"/>
      <c r="CB19" s="240"/>
      <c r="CC19" s="240"/>
      <c r="CD19" s="543"/>
      <c r="CF19" s="548">
        <f>Repair_Contingency_Amount_Cell</f>
        <v>0</v>
      </c>
      <c r="CH19" s="552">
        <f>Schedule_Sensitivity-CH18+Rehab_Schedule_Rehab_Analyzer</f>
        <v>0</v>
      </c>
    </row>
    <row r="20" spans="1:86" ht="18.75" customHeight="1">
      <c r="B20" s="538"/>
      <c r="C20" s="240"/>
      <c r="D20" s="240"/>
      <c r="E20" s="240"/>
      <c r="F20" s="240"/>
      <c r="G20" s="240"/>
      <c r="H20" s="240"/>
      <c r="I20" s="240"/>
      <c r="J20" s="240"/>
      <c r="K20" s="240"/>
      <c r="L20" s="240"/>
      <c r="M20" s="539"/>
      <c r="O20" s="2521">
        <v>1000</v>
      </c>
      <c r="P20" s="2521"/>
      <c r="Q20" s="2521"/>
      <c r="R20" s="2521"/>
      <c r="S20" s="2521"/>
      <c r="T20" s="2498" t="s">
        <v>1154</v>
      </c>
      <c r="U20" s="2498"/>
      <c r="V20" s="2498"/>
      <c r="W20" s="2498"/>
      <c r="X20" s="2498"/>
      <c r="Y20" s="2498" t="s">
        <v>795</v>
      </c>
      <c r="Z20" s="2498"/>
      <c r="AA20" s="2498"/>
      <c r="AB20" s="2498"/>
      <c r="AC20" s="2498"/>
      <c r="AD20" s="2498" t="s">
        <v>972</v>
      </c>
      <c r="AE20" s="2498"/>
      <c r="AF20" s="2498"/>
      <c r="AG20" s="2498"/>
      <c r="AH20" s="2498"/>
      <c r="AI20" s="2498" t="s">
        <v>1143</v>
      </c>
      <c r="AJ20" s="2498"/>
      <c r="AK20" s="2498"/>
      <c r="AL20" s="2498"/>
      <c r="AM20" s="2498" t="s">
        <v>899</v>
      </c>
      <c r="AN20" s="2498"/>
      <c r="AO20" s="2498"/>
      <c r="AQ20" s="2553">
        <v>1</v>
      </c>
      <c r="AR20" s="2553"/>
      <c r="AS20" s="2553"/>
      <c r="AT20" s="2553"/>
      <c r="AU20" s="2553"/>
      <c r="AV20" s="2498" t="s">
        <v>1140</v>
      </c>
      <c r="AW20" s="2498"/>
      <c r="AX20" s="2498"/>
      <c r="AY20" s="2498"/>
      <c r="AZ20" s="2498"/>
      <c r="BA20" s="2498" t="s">
        <v>1141</v>
      </c>
      <c r="BB20" s="2498"/>
      <c r="BC20" s="2498"/>
      <c r="BD20" s="2498"/>
      <c r="BE20" s="2498"/>
      <c r="BF20" s="2498" t="s">
        <v>972</v>
      </c>
      <c r="BG20" s="2498"/>
      <c r="BH20" s="2498"/>
      <c r="BI20" s="2498"/>
      <c r="BJ20" s="2498"/>
      <c r="BK20" s="2498" t="s">
        <v>1143</v>
      </c>
      <c r="BL20" s="2498"/>
      <c r="BM20" s="2498"/>
      <c r="BN20" s="2498"/>
      <c r="BO20" s="2498" t="s">
        <v>899</v>
      </c>
      <c r="BP20" s="2498"/>
      <c r="BQ20" s="2498"/>
      <c r="BS20" s="2507" t="s">
        <v>1352</v>
      </c>
      <c r="BT20" s="2508"/>
      <c r="BU20" s="2508"/>
      <c r="BV20" s="2508"/>
      <c r="BW20" s="2508"/>
      <c r="BX20" s="2508"/>
      <c r="BY20" s="2508"/>
      <c r="BZ20" s="2511">
        <f>'1 REHAB ANALYZER'!BG57</f>
        <v>0</v>
      </c>
      <c r="CA20" s="2512"/>
      <c r="CB20" s="2512"/>
      <c r="CC20" s="2512"/>
      <c r="CD20" s="2513"/>
      <c r="CF20" s="549">
        <f>BZ21-'1 REHAB ANALYZER'!BG76</f>
        <v>0</v>
      </c>
    </row>
    <row r="21" spans="1:86" ht="18.75" customHeight="1" thickBot="1">
      <c r="B21" s="538"/>
      <c r="C21" s="643"/>
      <c r="D21" s="643"/>
      <c r="E21" s="643"/>
      <c r="F21" s="643"/>
      <c r="G21" s="643"/>
      <c r="H21" s="643"/>
      <c r="I21" s="643"/>
      <c r="J21" s="643"/>
      <c r="K21" s="643"/>
      <c r="L21" s="643"/>
      <c r="M21" s="644"/>
      <c r="O21" s="2522" t="s">
        <v>1008</v>
      </c>
      <c r="P21" s="2522"/>
      <c r="Q21" s="2522"/>
      <c r="R21" s="2522"/>
      <c r="S21" s="2522"/>
      <c r="T21" s="2498"/>
      <c r="U21" s="2498"/>
      <c r="V21" s="2498"/>
      <c r="W21" s="2498"/>
      <c r="X21" s="2498"/>
      <c r="Y21" s="2498"/>
      <c r="Z21" s="2498"/>
      <c r="AA21" s="2498"/>
      <c r="AB21" s="2498"/>
      <c r="AC21" s="2498"/>
      <c r="AD21" s="2498"/>
      <c r="AE21" s="2498"/>
      <c r="AF21" s="2498"/>
      <c r="AG21" s="2498"/>
      <c r="AH21" s="2498"/>
      <c r="AI21" s="2498"/>
      <c r="AJ21" s="2498"/>
      <c r="AK21" s="2498"/>
      <c r="AL21" s="2498"/>
      <c r="AM21" s="2498"/>
      <c r="AN21" s="2498"/>
      <c r="AO21" s="2498"/>
      <c r="AQ21" s="2522" t="s">
        <v>1139</v>
      </c>
      <c r="AR21" s="2522"/>
      <c r="AS21" s="2522"/>
      <c r="AT21" s="2522"/>
      <c r="AU21" s="2522"/>
      <c r="AV21" s="2498"/>
      <c r="AW21" s="2498"/>
      <c r="AX21" s="2498"/>
      <c r="AY21" s="2498"/>
      <c r="AZ21" s="2498"/>
      <c r="BA21" s="2498"/>
      <c r="BB21" s="2498"/>
      <c r="BC21" s="2498"/>
      <c r="BD21" s="2498"/>
      <c r="BE21" s="2498"/>
      <c r="BF21" s="2498"/>
      <c r="BG21" s="2498"/>
      <c r="BH21" s="2498"/>
      <c r="BI21" s="2498"/>
      <c r="BJ21" s="2498"/>
      <c r="BK21" s="2498"/>
      <c r="BL21" s="2498"/>
      <c r="BM21" s="2498"/>
      <c r="BN21" s="2498"/>
      <c r="BO21" s="2498"/>
      <c r="BP21" s="2498"/>
      <c r="BQ21" s="2498"/>
      <c r="BS21" s="2509" t="s">
        <v>1178</v>
      </c>
      <c r="BT21" s="2510"/>
      <c r="BU21" s="2510"/>
      <c r="BV21" s="2510"/>
      <c r="BW21" s="2510"/>
      <c r="BX21" s="2510"/>
      <c r="BY21" s="2510"/>
      <c r="BZ21" s="2514">
        <f>BZ22-BZ20</f>
        <v>0</v>
      </c>
      <c r="CA21" s="2515"/>
      <c r="CB21" s="2515"/>
      <c r="CC21" s="2515"/>
      <c r="CD21" s="2516"/>
      <c r="CF21" s="550" t="e">
        <f>(BZ22/CF18)-1</f>
        <v>#DIV/0!</v>
      </c>
    </row>
    <row r="22" spans="1:86" ht="18.75" customHeight="1" thickTop="1">
      <c r="B22" s="2555" t="str">
        <f>CONCATENATE("Planning on Purchasing the Property for ",TEXT(Purchase_Price_Sensitivity,"$#,###"),","," reselling the property for ",TEXT(ARV_Sensitivity,"$#,###"),","," with a Total Rehab Estimate of ",TEXT(Estimate_Sensitivity,"$#,###"),", ","and a Project Schedule of ",Schedule_Sensitivity," months")</f>
        <v>Planning on Purchasing the Property for $, reselling the property for $, with a Total Rehab Estimate of $, and a Project Schedule of 0 months</v>
      </c>
      <c r="C22" s="2556"/>
      <c r="D22" s="2556"/>
      <c r="E22" s="2556"/>
      <c r="F22" s="2556"/>
      <c r="G22" s="2556"/>
      <c r="H22" s="2556"/>
      <c r="I22" s="2556"/>
      <c r="J22" s="2556"/>
      <c r="K22" s="2556"/>
      <c r="L22" s="2556"/>
      <c r="M22" s="2557"/>
      <c r="O22" s="2499">
        <f>O23-$O$20</f>
        <v>-4000</v>
      </c>
      <c r="P22" s="2499"/>
      <c r="Q22" s="2499"/>
      <c r="R22" s="2499"/>
      <c r="S22" s="2499"/>
      <c r="T22" s="2487">
        <f t="shared" ref="T22:T30" si="10">$I$15</f>
        <v>0</v>
      </c>
      <c r="U22" s="2487"/>
      <c r="V22" s="2487"/>
      <c r="W22" s="2487"/>
      <c r="X22" s="2487"/>
      <c r="Y22" s="2487">
        <f t="shared" ref="Y22:Y30" si="11">O22+Total_Fixed_Costs_Result+$I$13</f>
        <v>-4000</v>
      </c>
      <c r="Z22" s="2488"/>
      <c r="AA22" s="2488"/>
      <c r="AB22" s="2488"/>
      <c r="AC22" s="2488"/>
      <c r="AD22" s="2487">
        <f>T22-Y22</f>
        <v>4000</v>
      </c>
      <c r="AE22" s="2488"/>
      <c r="AF22" s="2488"/>
      <c r="AG22" s="2488"/>
      <c r="AH22" s="2488"/>
      <c r="AI22" s="2487">
        <f>IFERROR(AD22/$I$19,0)</f>
        <v>0</v>
      </c>
      <c r="AJ22" s="2487"/>
      <c r="AK22" s="2487"/>
      <c r="AL22" s="2487"/>
      <c r="AM22" s="2489">
        <f t="shared" ref="AM22:AM30" si="12">IFERROR(IF(Total_Cash_Needed&lt;0,"Infinite ROI",AD22/Total_Cash_Needed),0)</f>
        <v>0</v>
      </c>
      <c r="AN22" s="2489"/>
      <c r="AO22" s="2489"/>
      <c r="AQ22" s="2527">
        <f>IF(AQ23-$AQ$20&lt;0,0,AQ23-$AQ$20)</f>
        <v>0</v>
      </c>
      <c r="AR22" s="2527"/>
      <c r="AS22" s="2527"/>
      <c r="AT22" s="2527"/>
      <c r="AU22" s="2527"/>
      <c r="AV22" s="2487">
        <f t="shared" ref="AV22:AV30" si="13">-Total_Monthly_Holding_Costs</f>
        <v>0</v>
      </c>
      <c r="AW22" s="2487"/>
      <c r="AX22" s="2487"/>
      <c r="AY22" s="2487"/>
      <c r="AZ22" s="2487"/>
      <c r="BA22" s="2487">
        <f>AQ22*AV22</f>
        <v>0</v>
      </c>
      <c r="BB22" s="2488"/>
      <c r="BC22" s="2488"/>
      <c r="BD22" s="2488"/>
      <c r="BE22" s="2488"/>
      <c r="BF22" s="2487">
        <f>-($AQ$26-AQ22)*AV22+$BF$26</f>
        <v>0</v>
      </c>
      <c r="BG22" s="2488"/>
      <c r="BH22" s="2488"/>
      <c r="BI22" s="2488"/>
      <c r="BJ22" s="2488"/>
      <c r="BK22" s="2487">
        <f t="shared" ref="BK22:BK30" si="14">IFERROR(BF22/AQ22,0)</f>
        <v>0</v>
      </c>
      <c r="BL22" s="2487"/>
      <c r="BM22" s="2487"/>
      <c r="BN22" s="2487"/>
      <c r="BO22" s="2489">
        <f t="shared" ref="BO22:BO30" si="15">IFERROR(IF(Total_Cash_Needed&lt;0,"Infinite ROI",BF22/Total_Cash_Needed),0)</f>
        <v>0</v>
      </c>
      <c r="BP22" s="2489"/>
      <c r="BQ22" s="2489"/>
      <c r="BS22" s="2539" t="s">
        <v>1295</v>
      </c>
      <c r="BT22" s="2540"/>
      <c r="BU22" s="2540"/>
      <c r="BV22" s="2540"/>
      <c r="BW22" s="2540"/>
      <c r="BX22" s="2540"/>
      <c r="BY22" s="2540"/>
      <c r="BZ22" s="2501">
        <f>I17</f>
        <v>0</v>
      </c>
      <c r="CA22" s="2502"/>
      <c r="CB22" s="2502"/>
      <c r="CC22" s="2502"/>
      <c r="CD22" s="2503"/>
    </row>
    <row r="23" spans="1:86" ht="18.75" customHeight="1" thickBot="1">
      <c r="B23" s="2558"/>
      <c r="C23" s="2559"/>
      <c r="D23" s="2559"/>
      <c r="E23" s="2559"/>
      <c r="F23" s="2559"/>
      <c r="G23" s="2559"/>
      <c r="H23" s="2559"/>
      <c r="I23" s="2559"/>
      <c r="J23" s="2559"/>
      <c r="K23" s="2559"/>
      <c r="L23" s="2559"/>
      <c r="M23" s="2560"/>
      <c r="O23" s="2499">
        <f>O24-$O$20</f>
        <v>-3000</v>
      </c>
      <c r="P23" s="2499"/>
      <c r="Q23" s="2499"/>
      <c r="R23" s="2499"/>
      <c r="S23" s="2499"/>
      <c r="T23" s="2487">
        <f t="shared" si="10"/>
        <v>0</v>
      </c>
      <c r="U23" s="2487"/>
      <c r="V23" s="2487"/>
      <c r="W23" s="2487"/>
      <c r="X23" s="2487"/>
      <c r="Y23" s="2487">
        <f t="shared" si="11"/>
        <v>-3000</v>
      </c>
      <c r="Z23" s="2488"/>
      <c r="AA23" s="2488"/>
      <c r="AB23" s="2488"/>
      <c r="AC23" s="2488"/>
      <c r="AD23" s="2487">
        <f t="shared" ref="AD23:AD30" si="16">T23-Y23</f>
        <v>3000</v>
      </c>
      <c r="AE23" s="2488"/>
      <c r="AF23" s="2488"/>
      <c r="AG23" s="2488"/>
      <c r="AH23" s="2488"/>
      <c r="AI23" s="2487">
        <f t="shared" ref="AI23:AI30" si="17">IFERROR(AD23/$I$19,0)</f>
        <v>0</v>
      </c>
      <c r="AJ23" s="2487"/>
      <c r="AK23" s="2487"/>
      <c r="AL23" s="2487"/>
      <c r="AM23" s="2489">
        <f t="shared" si="12"/>
        <v>0</v>
      </c>
      <c r="AN23" s="2489"/>
      <c r="AO23" s="2489"/>
      <c r="AQ23" s="2527">
        <f>IF(AQ24-$AQ$20&lt;0,0,AQ24-$AQ$20)</f>
        <v>0</v>
      </c>
      <c r="AR23" s="2527"/>
      <c r="AS23" s="2527"/>
      <c r="AT23" s="2527"/>
      <c r="AU23" s="2527"/>
      <c r="AV23" s="2487">
        <f t="shared" si="13"/>
        <v>0</v>
      </c>
      <c r="AW23" s="2487"/>
      <c r="AX23" s="2487"/>
      <c r="AY23" s="2487"/>
      <c r="AZ23" s="2487"/>
      <c r="BA23" s="2487">
        <f>AQ23*AV23</f>
        <v>0</v>
      </c>
      <c r="BB23" s="2488"/>
      <c r="BC23" s="2488"/>
      <c r="BD23" s="2488"/>
      <c r="BE23" s="2488"/>
      <c r="BF23" s="2487">
        <f>-($AQ$26-AQ23)*AV23+$BF$26</f>
        <v>0</v>
      </c>
      <c r="BG23" s="2488"/>
      <c r="BH23" s="2488"/>
      <c r="BI23" s="2488"/>
      <c r="BJ23" s="2488"/>
      <c r="BK23" s="2487">
        <f t="shared" si="14"/>
        <v>0</v>
      </c>
      <c r="BL23" s="2487"/>
      <c r="BM23" s="2487"/>
      <c r="BN23" s="2487"/>
      <c r="BO23" s="2489">
        <f t="shared" si="15"/>
        <v>0</v>
      </c>
      <c r="BP23" s="2489"/>
      <c r="BQ23" s="2489"/>
      <c r="BS23" s="544"/>
      <c r="BT23" s="240"/>
      <c r="BU23" s="240"/>
      <c r="BV23" s="240"/>
      <c r="BW23" s="240"/>
      <c r="BX23" s="240"/>
      <c r="BY23" s="240"/>
      <c r="BZ23" s="240"/>
      <c r="CA23" s="240"/>
      <c r="CB23" s="240"/>
      <c r="CC23" s="240"/>
      <c r="CD23" s="543"/>
    </row>
    <row r="24" spans="1:86" ht="18.75" customHeight="1" thickTop="1" thickBot="1">
      <c r="B24" s="2558"/>
      <c r="C24" s="2559"/>
      <c r="D24" s="2559"/>
      <c r="E24" s="2559"/>
      <c r="F24" s="2559"/>
      <c r="G24" s="2559"/>
      <c r="H24" s="2559"/>
      <c r="I24" s="2559"/>
      <c r="J24" s="2559"/>
      <c r="K24" s="2559"/>
      <c r="L24" s="2559"/>
      <c r="M24" s="2560"/>
      <c r="O24" s="2499">
        <f>O25-$O$20</f>
        <v>-2000</v>
      </c>
      <c r="P24" s="2499"/>
      <c r="Q24" s="2499"/>
      <c r="R24" s="2499"/>
      <c r="S24" s="2499"/>
      <c r="T24" s="2487">
        <f t="shared" si="10"/>
        <v>0</v>
      </c>
      <c r="U24" s="2487"/>
      <c r="V24" s="2487"/>
      <c r="W24" s="2487"/>
      <c r="X24" s="2487"/>
      <c r="Y24" s="2487">
        <f t="shared" si="11"/>
        <v>-2000</v>
      </c>
      <c r="Z24" s="2488"/>
      <c r="AA24" s="2488"/>
      <c r="AB24" s="2488"/>
      <c r="AC24" s="2488"/>
      <c r="AD24" s="2487">
        <f t="shared" si="16"/>
        <v>2000</v>
      </c>
      <c r="AE24" s="2488"/>
      <c r="AF24" s="2488"/>
      <c r="AG24" s="2488"/>
      <c r="AH24" s="2488"/>
      <c r="AI24" s="2487">
        <f t="shared" si="17"/>
        <v>0</v>
      </c>
      <c r="AJ24" s="2487"/>
      <c r="AK24" s="2487"/>
      <c r="AL24" s="2487"/>
      <c r="AM24" s="2489">
        <f t="shared" si="12"/>
        <v>0</v>
      </c>
      <c r="AN24" s="2489"/>
      <c r="AO24" s="2489"/>
      <c r="AQ24" s="2527">
        <f>IF(AQ25-$AQ$20&lt;0,0,AQ25-$AQ$20)</f>
        <v>0</v>
      </c>
      <c r="AR24" s="2527"/>
      <c r="AS24" s="2527"/>
      <c r="AT24" s="2527"/>
      <c r="AU24" s="2527"/>
      <c r="AV24" s="2487">
        <f t="shared" si="13"/>
        <v>0</v>
      </c>
      <c r="AW24" s="2487"/>
      <c r="AX24" s="2487"/>
      <c r="AY24" s="2487"/>
      <c r="AZ24" s="2487"/>
      <c r="BA24" s="2487">
        <f>AQ24*AV24</f>
        <v>0</v>
      </c>
      <c r="BB24" s="2488"/>
      <c r="BC24" s="2488"/>
      <c r="BD24" s="2488"/>
      <c r="BE24" s="2488"/>
      <c r="BF24" s="2487">
        <f>-($AQ$26-AQ24)*AV24+$BF$26</f>
        <v>0</v>
      </c>
      <c r="BG24" s="2488"/>
      <c r="BH24" s="2488"/>
      <c r="BI24" s="2488"/>
      <c r="BJ24" s="2488"/>
      <c r="BK24" s="2487">
        <f t="shared" si="14"/>
        <v>0</v>
      </c>
      <c r="BL24" s="2487"/>
      <c r="BM24" s="2487"/>
      <c r="BN24" s="2487"/>
      <c r="BO24" s="2489">
        <f t="shared" si="15"/>
        <v>0</v>
      </c>
      <c r="BP24" s="2489"/>
      <c r="BQ24" s="2489"/>
      <c r="BS24" s="2537" t="str">
        <f>IF(Rehab_Analyzer_Calculation_Method="Known Purchase Price","Purchase Price","Profit")</f>
        <v>Profit</v>
      </c>
      <c r="BT24" s="2538"/>
      <c r="BU24" s="2538"/>
      <c r="BV24" s="2538"/>
      <c r="BW24" s="2538"/>
      <c r="BX24" s="2538"/>
      <c r="BY24" s="2538"/>
      <c r="BZ24" s="2504">
        <f>IF(Rehab_Analyzer_Calculation_Method="Known Purchase Price",I13,Total_Profit_Result)</f>
        <v>0</v>
      </c>
      <c r="CA24" s="2505"/>
      <c r="CB24" s="2505"/>
      <c r="CC24" s="2505"/>
      <c r="CD24" s="2506"/>
    </row>
    <row r="25" spans="1:86" ht="18.75" customHeight="1" thickTop="1" thickBot="1">
      <c r="B25" s="2558"/>
      <c r="C25" s="2559"/>
      <c r="D25" s="2559"/>
      <c r="E25" s="2559"/>
      <c r="F25" s="2559"/>
      <c r="G25" s="2559"/>
      <c r="H25" s="2559"/>
      <c r="I25" s="2559"/>
      <c r="J25" s="2559"/>
      <c r="K25" s="2559"/>
      <c r="L25" s="2559"/>
      <c r="M25" s="2560"/>
      <c r="O25" s="2499">
        <f>O26-$O$20</f>
        <v>-1000</v>
      </c>
      <c r="P25" s="2499"/>
      <c r="Q25" s="2499"/>
      <c r="R25" s="2499"/>
      <c r="S25" s="2499"/>
      <c r="T25" s="2499">
        <f t="shared" si="10"/>
        <v>0</v>
      </c>
      <c r="U25" s="2499"/>
      <c r="V25" s="2499"/>
      <c r="W25" s="2499"/>
      <c r="X25" s="2499"/>
      <c r="Y25" s="2499">
        <f t="shared" si="11"/>
        <v>-1000</v>
      </c>
      <c r="Z25" s="2519"/>
      <c r="AA25" s="2519"/>
      <c r="AB25" s="2519"/>
      <c r="AC25" s="2519"/>
      <c r="AD25" s="2499">
        <f t="shared" si="16"/>
        <v>1000</v>
      </c>
      <c r="AE25" s="2519"/>
      <c r="AF25" s="2519"/>
      <c r="AG25" s="2519"/>
      <c r="AH25" s="2519"/>
      <c r="AI25" s="2499">
        <f t="shared" si="17"/>
        <v>0</v>
      </c>
      <c r="AJ25" s="2499"/>
      <c r="AK25" s="2499"/>
      <c r="AL25" s="2499"/>
      <c r="AM25" s="2500">
        <f t="shared" si="12"/>
        <v>0</v>
      </c>
      <c r="AN25" s="2500"/>
      <c r="AO25" s="2500"/>
      <c r="AQ25" s="2554">
        <f>IF(AQ26-$AQ$20&lt;0,0,AQ26-$AQ$20)</f>
        <v>0</v>
      </c>
      <c r="AR25" s="2554"/>
      <c r="AS25" s="2554"/>
      <c r="AT25" s="2554"/>
      <c r="AU25" s="2554"/>
      <c r="AV25" s="2499">
        <f t="shared" si="13"/>
        <v>0</v>
      </c>
      <c r="AW25" s="2499"/>
      <c r="AX25" s="2499"/>
      <c r="AY25" s="2499"/>
      <c r="AZ25" s="2499"/>
      <c r="BA25" s="2499">
        <f>AQ25*AV25</f>
        <v>0</v>
      </c>
      <c r="BB25" s="2519"/>
      <c r="BC25" s="2519"/>
      <c r="BD25" s="2519"/>
      <c r="BE25" s="2519"/>
      <c r="BF25" s="2499">
        <f>-($AQ$26-AQ25)*AV25+$BF$26</f>
        <v>0</v>
      </c>
      <c r="BG25" s="2519"/>
      <c r="BH25" s="2519"/>
      <c r="BI25" s="2519"/>
      <c r="BJ25" s="2519"/>
      <c r="BK25" s="2499">
        <f t="shared" si="14"/>
        <v>0</v>
      </c>
      <c r="BL25" s="2499"/>
      <c r="BM25" s="2499"/>
      <c r="BN25" s="2499"/>
      <c r="BO25" s="2500">
        <f t="shared" si="15"/>
        <v>0</v>
      </c>
      <c r="BP25" s="2500"/>
      <c r="BQ25" s="2500"/>
      <c r="BS25" s="544"/>
      <c r="BT25" s="240"/>
      <c r="BU25" s="240"/>
      <c r="BV25" s="240"/>
      <c r="BW25" s="240"/>
      <c r="BX25" s="240"/>
      <c r="BY25" s="240"/>
      <c r="BZ25" s="240"/>
      <c r="CA25" s="240"/>
      <c r="CB25" s="240"/>
      <c r="CC25" s="240"/>
      <c r="CD25" s="543"/>
    </row>
    <row r="26" spans="1:86" ht="18.75" customHeight="1" thickTop="1" thickBot="1">
      <c r="A26" s="640"/>
      <c r="B26" s="2558"/>
      <c r="C26" s="2559"/>
      <c r="D26" s="2559"/>
      <c r="E26" s="2559"/>
      <c r="F26" s="2559"/>
      <c r="G26" s="2559"/>
      <c r="H26" s="2559"/>
      <c r="I26" s="2559"/>
      <c r="J26" s="2559"/>
      <c r="K26" s="2559"/>
      <c r="L26" s="2559"/>
      <c r="M26" s="2560"/>
      <c r="N26" s="639"/>
      <c r="O26" s="2490">
        <f>I17</f>
        <v>0</v>
      </c>
      <c r="P26" s="2490"/>
      <c r="Q26" s="2490"/>
      <c r="R26" s="2490"/>
      <c r="S26" s="2491"/>
      <c r="T26" s="2492">
        <f t="shared" si="10"/>
        <v>0</v>
      </c>
      <c r="U26" s="2492"/>
      <c r="V26" s="2492"/>
      <c r="W26" s="2492"/>
      <c r="X26" s="2492"/>
      <c r="Y26" s="2492">
        <f t="shared" si="11"/>
        <v>0</v>
      </c>
      <c r="Z26" s="2493"/>
      <c r="AA26" s="2493"/>
      <c r="AB26" s="2493"/>
      <c r="AC26" s="2493"/>
      <c r="AD26" s="2492">
        <f t="shared" si="16"/>
        <v>0</v>
      </c>
      <c r="AE26" s="2492"/>
      <c r="AF26" s="2492"/>
      <c r="AG26" s="2492"/>
      <c r="AH26" s="2492"/>
      <c r="AI26" s="2492">
        <f t="shared" si="17"/>
        <v>0</v>
      </c>
      <c r="AJ26" s="2493"/>
      <c r="AK26" s="2493"/>
      <c r="AL26" s="2493"/>
      <c r="AM26" s="2494">
        <f t="shared" si="12"/>
        <v>0</v>
      </c>
      <c r="AN26" s="2494"/>
      <c r="AO26" s="2518"/>
      <c r="AQ26" s="2524">
        <f>I19</f>
        <v>0</v>
      </c>
      <c r="AR26" s="2525"/>
      <c r="AS26" s="2525"/>
      <c r="AT26" s="2525"/>
      <c r="AU26" s="2525"/>
      <c r="AV26" s="2492">
        <f t="shared" si="13"/>
        <v>0</v>
      </c>
      <c r="AW26" s="2492"/>
      <c r="AX26" s="2492"/>
      <c r="AY26" s="2492"/>
      <c r="AZ26" s="2492"/>
      <c r="BA26" s="2492">
        <f>AV26*AQ26</f>
        <v>0</v>
      </c>
      <c r="BB26" s="2493"/>
      <c r="BC26" s="2493"/>
      <c r="BD26" s="2493"/>
      <c r="BE26" s="2493"/>
      <c r="BF26" s="2492">
        <f>Total_Profit_Result</f>
        <v>0</v>
      </c>
      <c r="BG26" s="2492"/>
      <c r="BH26" s="2492"/>
      <c r="BI26" s="2492"/>
      <c r="BJ26" s="2492"/>
      <c r="BK26" s="2492">
        <f t="shared" si="14"/>
        <v>0</v>
      </c>
      <c r="BL26" s="2493"/>
      <c r="BM26" s="2493"/>
      <c r="BN26" s="2493"/>
      <c r="BO26" s="2494">
        <f t="shared" si="15"/>
        <v>0</v>
      </c>
      <c r="BP26" s="2494"/>
      <c r="BQ26" s="2495"/>
      <c r="BR26" s="541"/>
      <c r="BS26" s="2537" t="str">
        <f>IF(Rehab_Analyzer_Calculation_Method="Known Purchase Price","Profit","Max Purchase Price")</f>
        <v>Max Purchase Price</v>
      </c>
      <c r="BT26" s="2538"/>
      <c r="BU26" s="2538"/>
      <c r="BV26" s="2538"/>
      <c r="BW26" s="2538"/>
      <c r="BX26" s="2538"/>
      <c r="BY26" s="2538"/>
      <c r="BZ26" s="2504">
        <f>IFERROR(IF(Rehab_Analyzer_Calculation_Method="Known Purchase Price",Total_Profit_Result,I13),0)</f>
        <v>0</v>
      </c>
      <c r="CA26" s="2505"/>
      <c r="CB26" s="2505"/>
      <c r="CC26" s="2505"/>
      <c r="CD26" s="2506"/>
    </row>
    <row r="27" spans="1:86" ht="18.75" customHeight="1" thickTop="1">
      <c r="B27" s="2558"/>
      <c r="C27" s="2559"/>
      <c r="D27" s="2559"/>
      <c r="E27" s="2559"/>
      <c r="F27" s="2559"/>
      <c r="G27" s="2559"/>
      <c r="H27" s="2559"/>
      <c r="I27" s="2559"/>
      <c r="J27" s="2559"/>
      <c r="K27" s="2559"/>
      <c r="L27" s="2559"/>
      <c r="M27" s="2560"/>
      <c r="O27" s="2496">
        <f>O26+$O$20</f>
        <v>1000</v>
      </c>
      <c r="P27" s="2496"/>
      <c r="Q27" s="2496"/>
      <c r="R27" s="2496"/>
      <c r="S27" s="2496"/>
      <c r="T27" s="2496">
        <f t="shared" si="10"/>
        <v>0</v>
      </c>
      <c r="U27" s="2496"/>
      <c r="V27" s="2496"/>
      <c r="W27" s="2496"/>
      <c r="X27" s="2496"/>
      <c r="Y27" s="2496">
        <f t="shared" si="11"/>
        <v>1000</v>
      </c>
      <c r="Z27" s="2497"/>
      <c r="AA27" s="2497"/>
      <c r="AB27" s="2497"/>
      <c r="AC27" s="2497"/>
      <c r="AD27" s="2487">
        <f t="shared" si="16"/>
        <v>-1000</v>
      </c>
      <c r="AE27" s="2488"/>
      <c r="AF27" s="2488"/>
      <c r="AG27" s="2488"/>
      <c r="AH27" s="2488"/>
      <c r="AI27" s="2487">
        <f t="shared" si="17"/>
        <v>0</v>
      </c>
      <c r="AJ27" s="2487"/>
      <c r="AK27" s="2487"/>
      <c r="AL27" s="2487"/>
      <c r="AM27" s="2517">
        <f t="shared" si="12"/>
        <v>0</v>
      </c>
      <c r="AN27" s="2517"/>
      <c r="AO27" s="2517"/>
      <c r="AQ27" s="2526">
        <f>AQ26+$AQ$20</f>
        <v>1</v>
      </c>
      <c r="AR27" s="2526"/>
      <c r="AS27" s="2526"/>
      <c r="AT27" s="2526"/>
      <c r="AU27" s="2526"/>
      <c r="AV27" s="2496">
        <f t="shared" si="13"/>
        <v>0</v>
      </c>
      <c r="AW27" s="2496"/>
      <c r="AX27" s="2496"/>
      <c r="AY27" s="2496"/>
      <c r="AZ27" s="2496"/>
      <c r="BA27" s="2496">
        <f>AV27*AQ27</f>
        <v>0</v>
      </c>
      <c r="BB27" s="2497"/>
      <c r="BC27" s="2497"/>
      <c r="BD27" s="2497"/>
      <c r="BE27" s="2497"/>
      <c r="BF27" s="2487">
        <f>-($AQ$26-AQ27)*AV27+$BF$26</f>
        <v>0</v>
      </c>
      <c r="BG27" s="2488"/>
      <c r="BH27" s="2488"/>
      <c r="BI27" s="2488"/>
      <c r="BJ27" s="2488"/>
      <c r="BK27" s="2487">
        <f t="shared" si="14"/>
        <v>0</v>
      </c>
      <c r="BL27" s="2487"/>
      <c r="BM27" s="2487"/>
      <c r="BN27" s="2487"/>
      <c r="BO27" s="2517">
        <f t="shared" si="15"/>
        <v>0</v>
      </c>
      <c r="BP27" s="2517"/>
      <c r="BQ27" s="2517"/>
      <c r="BS27" s="2507" t="s">
        <v>1020</v>
      </c>
      <c r="BT27" s="2508"/>
      <c r="BU27" s="2508"/>
      <c r="BV27" s="2508"/>
      <c r="BW27" s="2508"/>
      <c r="BX27" s="2508"/>
      <c r="BY27" s="2508"/>
      <c r="BZ27" s="2501">
        <f>IFERROR(IF(Rehab_Analyzer_Calculation_Method="Known Purchase Price",BZ26/I19,BZ24/I19),0)</f>
        <v>0</v>
      </c>
      <c r="CA27" s="2502"/>
      <c r="CB27" s="2502"/>
      <c r="CC27" s="2502"/>
      <c r="CD27" s="2503"/>
    </row>
    <row r="28" spans="1:86" ht="18.75" customHeight="1">
      <c r="B28" s="2561"/>
      <c r="C28" s="2562"/>
      <c r="D28" s="2562"/>
      <c r="E28" s="2562"/>
      <c r="F28" s="2562"/>
      <c r="G28" s="2562"/>
      <c r="H28" s="2562"/>
      <c r="I28" s="2562"/>
      <c r="J28" s="2562"/>
      <c r="K28" s="2562"/>
      <c r="L28" s="2562"/>
      <c r="M28" s="2563"/>
      <c r="O28" s="2487">
        <f>O27+$O$20</f>
        <v>2000</v>
      </c>
      <c r="P28" s="2487"/>
      <c r="Q28" s="2487"/>
      <c r="R28" s="2487"/>
      <c r="S28" s="2487"/>
      <c r="T28" s="2487">
        <f t="shared" si="10"/>
        <v>0</v>
      </c>
      <c r="U28" s="2487"/>
      <c r="V28" s="2487"/>
      <c r="W28" s="2487"/>
      <c r="X28" s="2487"/>
      <c r="Y28" s="2487">
        <f t="shared" si="11"/>
        <v>2000</v>
      </c>
      <c r="Z28" s="2488"/>
      <c r="AA28" s="2488"/>
      <c r="AB28" s="2488"/>
      <c r="AC28" s="2488"/>
      <c r="AD28" s="2487">
        <f t="shared" si="16"/>
        <v>-2000</v>
      </c>
      <c r="AE28" s="2488"/>
      <c r="AF28" s="2488"/>
      <c r="AG28" s="2488"/>
      <c r="AH28" s="2488"/>
      <c r="AI28" s="2487">
        <f t="shared" si="17"/>
        <v>0</v>
      </c>
      <c r="AJ28" s="2487"/>
      <c r="AK28" s="2487"/>
      <c r="AL28" s="2487"/>
      <c r="AM28" s="2489">
        <f t="shared" si="12"/>
        <v>0</v>
      </c>
      <c r="AN28" s="2489"/>
      <c r="AO28" s="2489"/>
      <c r="AQ28" s="2527">
        <f>AQ27+$AQ$20</f>
        <v>2</v>
      </c>
      <c r="AR28" s="2527"/>
      <c r="AS28" s="2527"/>
      <c r="AT28" s="2527"/>
      <c r="AU28" s="2527"/>
      <c r="AV28" s="2487">
        <f t="shared" si="13"/>
        <v>0</v>
      </c>
      <c r="AW28" s="2487"/>
      <c r="AX28" s="2487"/>
      <c r="AY28" s="2487"/>
      <c r="AZ28" s="2487"/>
      <c r="BA28" s="2487">
        <f>AV28*AQ28</f>
        <v>0</v>
      </c>
      <c r="BB28" s="2488"/>
      <c r="BC28" s="2488"/>
      <c r="BD28" s="2488"/>
      <c r="BE28" s="2488"/>
      <c r="BF28" s="2487">
        <f>-($AQ$26-AQ28)*AV28+$BF$26</f>
        <v>0</v>
      </c>
      <c r="BG28" s="2488"/>
      <c r="BH28" s="2488"/>
      <c r="BI28" s="2488"/>
      <c r="BJ28" s="2488"/>
      <c r="BK28" s="2487">
        <f t="shared" si="14"/>
        <v>0</v>
      </c>
      <c r="BL28" s="2487"/>
      <c r="BM28" s="2487"/>
      <c r="BN28" s="2487"/>
      <c r="BO28" s="2489">
        <f t="shared" si="15"/>
        <v>0</v>
      </c>
      <c r="BP28" s="2489"/>
      <c r="BQ28" s="2489"/>
      <c r="BS28" s="2507" t="s">
        <v>899</v>
      </c>
      <c r="BT28" s="2508"/>
      <c r="BU28" s="2508"/>
      <c r="BV28" s="2508"/>
      <c r="BW28" s="2508"/>
      <c r="BX28" s="2508"/>
      <c r="BY28" s="2508"/>
      <c r="BZ28" s="2547">
        <f>IFERROR(BZ24/Total_Cash_Needed,0)</f>
        <v>0</v>
      </c>
      <c r="CA28" s="2547"/>
      <c r="CB28" s="2547"/>
      <c r="CC28" s="2547"/>
      <c r="CD28" s="2548"/>
    </row>
    <row r="29" spans="1:86" ht="18.75" customHeight="1">
      <c r="B29" s="642"/>
      <c r="C29" s="643"/>
      <c r="D29" s="643"/>
      <c r="E29" s="643"/>
      <c r="F29" s="643"/>
      <c r="G29" s="643"/>
      <c r="H29" s="643"/>
      <c r="I29" s="643"/>
      <c r="J29" s="643"/>
      <c r="K29" s="643"/>
      <c r="L29" s="643"/>
      <c r="M29" s="644"/>
      <c r="O29" s="2487">
        <f>O28+$O$20</f>
        <v>3000</v>
      </c>
      <c r="P29" s="2487"/>
      <c r="Q29" s="2487"/>
      <c r="R29" s="2487"/>
      <c r="S29" s="2487"/>
      <c r="T29" s="2487">
        <f t="shared" si="10"/>
        <v>0</v>
      </c>
      <c r="U29" s="2487"/>
      <c r="V29" s="2487"/>
      <c r="W29" s="2487"/>
      <c r="X29" s="2487"/>
      <c r="Y29" s="2487">
        <f t="shared" si="11"/>
        <v>3000</v>
      </c>
      <c r="Z29" s="2488"/>
      <c r="AA29" s="2488"/>
      <c r="AB29" s="2488"/>
      <c r="AC29" s="2488"/>
      <c r="AD29" s="2487">
        <f t="shared" si="16"/>
        <v>-3000</v>
      </c>
      <c r="AE29" s="2488"/>
      <c r="AF29" s="2488"/>
      <c r="AG29" s="2488"/>
      <c r="AH29" s="2488"/>
      <c r="AI29" s="2487">
        <f t="shared" si="17"/>
        <v>0</v>
      </c>
      <c r="AJ29" s="2487"/>
      <c r="AK29" s="2487"/>
      <c r="AL29" s="2487"/>
      <c r="AM29" s="2489">
        <f t="shared" si="12"/>
        <v>0</v>
      </c>
      <c r="AN29" s="2489"/>
      <c r="AO29" s="2489"/>
      <c r="AQ29" s="2527">
        <f>AQ28+$AQ$20</f>
        <v>3</v>
      </c>
      <c r="AR29" s="2527"/>
      <c r="AS29" s="2527"/>
      <c r="AT29" s="2527"/>
      <c r="AU29" s="2527"/>
      <c r="AV29" s="2487">
        <f t="shared" si="13"/>
        <v>0</v>
      </c>
      <c r="AW29" s="2487"/>
      <c r="AX29" s="2487"/>
      <c r="AY29" s="2487"/>
      <c r="AZ29" s="2487"/>
      <c r="BA29" s="2487">
        <f>AV29*AQ29</f>
        <v>0</v>
      </c>
      <c r="BB29" s="2488"/>
      <c r="BC29" s="2488"/>
      <c r="BD29" s="2488"/>
      <c r="BE29" s="2488"/>
      <c r="BF29" s="2487">
        <f>-($AQ$26-AQ29)*AV29+$BF$26</f>
        <v>0</v>
      </c>
      <c r="BG29" s="2488"/>
      <c r="BH29" s="2488"/>
      <c r="BI29" s="2488"/>
      <c r="BJ29" s="2488"/>
      <c r="BK29" s="2487">
        <f t="shared" si="14"/>
        <v>0</v>
      </c>
      <c r="BL29" s="2487"/>
      <c r="BM29" s="2487"/>
      <c r="BN29" s="2487"/>
      <c r="BO29" s="2489">
        <f t="shared" si="15"/>
        <v>0</v>
      </c>
      <c r="BP29" s="2489"/>
      <c r="BQ29" s="2489"/>
      <c r="BS29" s="2507" t="s">
        <v>1021</v>
      </c>
      <c r="BT29" s="2508"/>
      <c r="BU29" s="2508"/>
      <c r="BV29" s="2508"/>
      <c r="BW29" s="2508"/>
      <c r="BX29" s="2508"/>
      <c r="BY29" s="2508"/>
      <c r="BZ29" s="2547">
        <f>IFERROR(BZ28/(I19/12),0)</f>
        <v>0</v>
      </c>
      <c r="CA29" s="2547"/>
      <c r="CB29" s="2547"/>
      <c r="CC29" s="2547"/>
      <c r="CD29" s="2548"/>
    </row>
    <row r="30" spans="1:86">
      <c r="B30" s="645"/>
      <c r="C30" s="646"/>
      <c r="D30" s="646"/>
      <c r="E30" s="646"/>
      <c r="F30" s="646"/>
      <c r="G30" s="646"/>
      <c r="H30" s="646"/>
      <c r="I30" s="646"/>
      <c r="J30" s="646"/>
      <c r="K30" s="646"/>
      <c r="L30" s="646"/>
      <c r="M30" s="647"/>
      <c r="O30" s="2487">
        <f>O29+$O$20</f>
        <v>4000</v>
      </c>
      <c r="P30" s="2487"/>
      <c r="Q30" s="2487"/>
      <c r="R30" s="2487"/>
      <c r="S30" s="2487"/>
      <c r="T30" s="2487">
        <f t="shared" si="10"/>
        <v>0</v>
      </c>
      <c r="U30" s="2487"/>
      <c r="V30" s="2487"/>
      <c r="W30" s="2487"/>
      <c r="X30" s="2487"/>
      <c r="Y30" s="2487">
        <f t="shared" si="11"/>
        <v>4000</v>
      </c>
      <c r="Z30" s="2488"/>
      <c r="AA30" s="2488"/>
      <c r="AB30" s="2488"/>
      <c r="AC30" s="2488"/>
      <c r="AD30" s="2487">
        <f t="shared" si="16"/>
        <v>-4000</v>
      </c>
      <c r="AE30" s="2488"/>
      <c r="AF30" s="2488"/>
      <c r="AG30" s="2488"/>
      <c r="AH30" s="2488"/>
      <c r="AI30" s="2487">
        <f t="shared" si="17"/>
        <v>0</v>
      </c>
      <c r="AJ30" s="2487"/>
      <c r="AK30" s="2487"/>
      <c r="AL30" s="2487"/>
      <c r="AM30" s="2489">
        <f t="shared" si="12"/>
        <v>0</v>
      </c>
      <c r="AN30" s="2489"/>
      <c r="AO30" s="2489"/>
      <c r="AQ30" s="2527">
        <f>AQ29+$AQ$20</f>
        <v>4</v>
      </c>
      <c r="AR30" s="2527"/>
      <c r="AS30" s="2527"/>
      <c r="AT30" s="2527"/>
      <c r="AU30" s="2527"/>
      <c r="AV30" s="2487">
        <f t="shared" si="13"/>
        <v>0</v>
      </c>
      <c r="AW30" s="2487"/>
      <c r="AX30" s="2487"/>
      <c r="AY30" s="2487"/>
      <c r="AZ30" s="2487"/>
      <c r="BA30" s="2487">
        <f>AV30*AQ30</f>
        <v>0</v>
      </c>
      <c r="BB30" s="2488"/>
      <c r="BC30" s="2488"/>
      <c r="BD30" s="2488"/>
      <c r="BE30" s="2488"/>
      <c r="BF30" s="2487">
        <f>-($AQ$26-AQ30)*AV30+$BF$26</f>
        <v>0</v>
      </c>
      <c r="BG30" s="2488"/>
      <c r="BH30" s="2488"/>
      <c r="BI30" s="2488"/>
      <c r="BJ30" s="2488"/>
      <c r="BK30" s="2487">
        <f t="shared" si="14"/>
        <v>0</v>
      </c>
      <c r="BL30" s="2487"/>
      <c r="BM30" s="2487"/>
      <c r="BN30" s="2487"/>
      <c r="BO30" s="2489">
        <f t="shared" si="15"/>
        <v>0</v>
      </c>
      <c r="BP30" s="2489"/>
      <c r="BQ30" s="2489"/>
      <c r="BS30" s="545"/>
      <c r="BT30" s="241"/>
      <c r="BU30" s="241"/>
      <c r="BV30" s="241"/>
      <c r="BW30" s="241"/>
      <c r="BX30" s="241"/>
      <c r="BY30" s="241"/>
      <c r="BZ30" s="241"/>
      <c r="CA30" s="241"/>
      <c r="CB30" s="241"/>
      <c r="CC30" s="241"/>
      <c r="CD30" s="546"/>
    </row>
    <row r="31" spans="1:86">
      <c r="K31" s="2541" t="s">
        <v>955</v>
      </c>
      <c r="L31" s="2541"/>
      <c r="M31" s="2541"/>
      <c r="N31" s="2541"/>
      <c r="O31" s="2541"/>
      <c r="P31" s="2541"/>
      <c r="Q31" s="2541"/>
      <c r="R31" s="2541"/>
      <c r="S31" s="2541"/>
      <c r="T31" s="2541"/>
      <c r="U31" s="2541"/>
      <c r="V31" s="2541"/>
      <c r="W31" s="2541"/>
      <c r="X31" s="2541"/>
      <c r="Y31" s="2541"/>
      <c r="Z31" s="2541"/>
      <c r="AA31" s="2541"/>
      <c r="AB31" s="2541"/>
      <c r="AC31" s="2541"/>
      <c r="AD31" s="2541"/>
      <c r="AE31" s="2541"/>
      <c r="AF31" s="2541"/>
      <c r="AG31" s="2541"/>
      <c r="AH31" s="2541"/>
      <c r="AI31" s="2541"/>
      <c r="AJ31" s="2541"/>
      <c r="AK31" s="2541"/>
      <c r="AL31" s="2541"/>
      <c r="AM31" s="2541"/>
      <c r="AN31" s="2541"/>
      <c r="AO31" s="2541"/>
      <c r="AP31" s="2541"/>
      <c r="AQ31" s="2541"/>
      <c r="AR31" s="2541"/>
      <c r="AS31" s="2541"/>
      <c r="AT31" s="2541"/>
      <c r="AU31" s="2541"/>
      <c r="AV31" s="2541"/>
      <c r="AW31" s="2541"/>
      <c r="AX31" s="2541"/>
      <c r="AY31" s="2541"/>
      <c r="AZ31" s="2541"/>
      <c r="BA31" s="2541"/>
      <c r="BB31" s="2541"/>
      <c r="BC31" s="2541"/>
      <c r="BD31" s="2541"/>
      <c r="BE31" s="2541"/>
      <c r="BF31" s="2541"/>
      <c r="BG31" s="2541"/>
      <c r="BH31" s="2541"/>
      <c r="BI31" s="2541"/>
      <c r="BJ31" s="2541"/>
      <c r="BK31" s="2541"/>
      <c r="BL31" s="2541"/>
      <c r="BM31" s="2541"/>
      <c r="BN31" s="2541"/>
      <c r="BO31" s="2541"/>
      <c r="BP31" s="2541"/>
      <c r="BQ31" s="2541"/>
      <c r="BR31" s="2541"/>
      <c r="BS31" s="2541"/>
      <c r="BT31" s="2541"/>
      <c r="BU31" s="2541"/>
      <c r="BV31" s="2541"/>
      <c r="BW31" s="2541"/>
      <c r="BX31" s="2541"/>
      <c r="BY31" s="2541"/>
      <c r="BZ31" s="2541"/>
      <c r="CA31" s="2541"/>
      <c r="CB31" s="2541"/>
      <c r="CC31" s="2541"/>
      <c r="CD31" s="2541"/>
    </row>
    <row r="32" spans="1:86">
      <c r="K32" s="2541"/>
      <c r="L32" s="2541"/>
      <c r="M32" s="2541"/>
      <c r="N32" s="2541"/>
      <c r="O32" s="2541"/>
      <c r="P32" s="2541"/>
      <c r="Q32" s="2541"/>
      <c r="R32" s="2541"/>
      <c r="S32" s="2541"/>
      <c r="T32" s="2541"/>
      <c r="U32" s="2541"/>
      <c r="V32" s="2541"/>
      <c r="W32" s="2541"/>
      <c r="X32" s="2541"/>
      <c r="Y32" s="2541"/>
      <c r="Z32" s="2541"/>
      <c r="AA32" s="2541"/>
      <c r="AB32" s="2541"/>
      <c r="AC32" s="2541"/>
      <c r="AD32" s="2541"/>
      <c r="AE32" s="2541"/>
      <c r="AF32" s="2541"/>
      <c r="AG32" s="2541"/>
      <c r="AH32" s="2541"/>
      <c r="AI32" s="2541"/>
      <c r="AJ32" s="2541"/>
      <c r="AK32" s="2541"/>
      <c r="AL32" s="2541"/>
      <c r="AM32" s="2541"/>
      <c r="AN32" s="2541"/>
      <c r="AO32" s="2541"/>
      <c r="AP32" s="2541"/>
      <c r="AQ32" s="2541"/>
      <c r="AR32" s="2541"/>
      <c r="AS32" s="2541"/>
      <c r="AT32" s="2541"/>
      <c r="AU32" s="2541"/>
      <c r="AV32" s="2541"/>
      <c r="AW32" s="2541"/>
      <c r="AX32" s="2541"/>
      <c r="AY32" s="2541"/>
      <c r="AZ32" s="2541"/>
      <c r="BA32" s="2541"/>
      <c r="BB32" s="2541"/>
      <c r="BC32" s="2541"/>
      <c r="BD32" s="2541"/>
      <c r="BE32" s="2541"/>
      <c r="BF32" s="2541"/>
      <c r="BG32" s="2541"/>
      <c r="BH32" s="2541"/>
      <c r="BI32" s="2541"/>
      <c r="BJ32" s="2541"/>
      <c r="BK32" s="2541"/>
      <c r="BL32" s="2541"/>
      <c r="BM32" s="2541"/>
      <c r="BN32" s="2541"/>
      <c r="BO32" s="2541"/>
      <c r="BP32" s="2541"/>
      <c r="BQ32" s="2541"/>
      <c r="BR32" s="2541"/>
      <c r="BS32" s="2541"/>
      <c r="BT32" s="2541"/>
      <c r="BU32" s="2541"/>
      <c r="BV32" s="2541"/>
      <c r="BW32" s="2541"/>
      <c r="BX32" s="2541"/>
      <c r="BY32" s="2541"/>
      <c r="BZ32" s="2541"/>
      <c r="CA32" s="2541"/>
      <c r="CB32" s="2541"/>
      <c r="CC32" s="2541"/>
      <c r="CD32" s="2541"/>
    </row>
  </sheetData>
  <sheetProtection algorithmName="SHA-512" hashValue="GUjAd/BDtP9ii0GEvjDDCTCOiJXVmmlCdCA6CTliXbkpqLC/pvTtNUAlIZHqeifORCpKXkn6CTuKsGROHuQ0Pg==" saltValue="1mYWeDwD9BiEfrpe+2X4xQ==" spinCount="100000" sheet="1" objects="1" formatCells="0" formatColumns="0" formatRows="0" insertHyperlinks="0" sort="0" autoFilter="0"/>
  <mergeCells count="294">
    <mergeCell ref="B22:M28"/>
    <mergeCell ref="BS7:CD9"/>
    <mergeCell ref="B11:M11"/>
    <mergeCell ref="I13:M13"/>
    <mergeCell ref="I15:M15"/>
    <mergeCell ref="B15:H15"/>
    <mergeCell ref="I17:M17"/>
    <mergeCell ref="I19:M19"/>
    <mergeCell ref="B17:H17"/>
    <mergeCell ref="B19:H19"/>
    <mergeCell ref="B7:M9"/>
    <mergeCell ref="BA10:BE10"/>
    <mergeCell ref="BF10:BJ10"/>
    <mergeCell ref="BK10:BN10"/>
    <mergeCell ref="BO10:BQ10"/>
    <mergeCell ref="AQ9:AU9"/>
    <mergeCell ref="AV9:AZ9"/>
    <mergeCell ref="BA9:BE9"/>
    <mergeCell ref="BF9:BJ9"/>
    <mergeCell ref="BK9:BN9"/>
    <mergeCell ref="AQ8:AU8"/>
    <mergeCell ref="AQ7:AU7"/>
    <mergeCell ref="AV7:AZ8"/>
    <mergeCell ref="BA7:BE8"/>
    <mergeCell ref="BS29:BY29"/>
    <mergeCell ref="BZ29:CD29"/>
    <mergeCell ref="B13:H13"/>
    <mergeCell ref="BK16:BN16"/>
    <mergeCell ref="BO16:BQ16"/>
    <mergeCell ref="BO15:BQ15"/>
    <mergeCell ref="AQ16:AU16"/>
    <mergeCell ref="AV16:AZ16"/>
    <mergeCell ref="BA16:BE16"/>
    <mergeCell ref="BF16:BJ16"/>
    <mergeCell ref="AV22:AZ22"/>
    <mergeCell ref="AV23:AZ23"/>
    <mergeCell ref="AV24:AZ24"/>
    <mergeCell ref="AQ21:AU21"/>
    <mergeCell ref="AV20:AZ21"/>
    <mergeCell ref="AQ20:AU20"/>
    <mergeCell ref="AQ19:AU19"/>
    <mergeCell ref="BF27:BJ27"/>
    <mergeCell ref="BF28:BJ28"/>
    <mergeCell ref="BF29:BJ29"/>
    <mergeCell ref="AQ22:AU22"/>
    <mergeCell ref="AQ23:AU23"/>
    <mergeCell ref="AQ24:AU24"/>
    <mergeCell ref="AQ25:AU25"/>
    <mergeCell ref="A3:H3"/>
    <mergeCell ref="BZ26:CD26"/>
    <mergeCell ref="BS28:BY28"/>
    <mergeCell ref="BZ28:CD28"/>
    <mergeCell ref="BS27:BY27"/>
    <mergeCell ref="BZ27:CD27"/>
    <mergeCell ref="BA14:BE14"/>
    <mergeCell ref="BF14:BJ14"/>
    <mergeCell ref="BK14:BN14"/>
    <mergeCell ref="BO14:BQ14"/>
    <mergeCell ref="AV18:BQ19"/>
    <mergeCell ref="AV12:AZ12"/>
    <mergeCell ref="BA12:BE12"/>
    <mergeCell ref="BF12:BJ12"/>
    <mergeCell ref="BK12:BN12"/>
    <mergeCell ref="BO12:BQ12"/>
    <mergeCell ref="AQ11:AU11"/>
    <mergeCell ref="AV11:AZ11"/>
    <mergeCell ref="BA11:BE11"/>
    <mergeCell ref="BF11:BJ11"/>
    <mergeCell ref="BK11:BN11"/>
    <mergeCell ref="BO9:BQ9"/>
    <mergeCell ref="AQ10:AU10"/>
    <mergeCell ref="AV10:AZ10"/>
    <mergeCell ref="K31:CD32"/>
    <mergeCell ref="BS11:CD11"/>
    <mergeCell ref="BS13:BY13"/>
    <mergeCell ref="BZ13:CD13"/>
    <mergeCell ref="BS15:BY15"/>
    <mergeCell ref="BS16:BY16"/>
    <mergeCell ref="BS17:BY17"/>
    <mergeCell ref="BZ15:CD15"/>
    <mergeCell ref="BZ16:CD16"/>
    <mergeCell ref="BZ17:CD17"/>
    <mergeCell ref="AV15:AZ15"/>
    <mergeCell ref="BA15:BE15"/>
    <mergeCell ref="BF15:BJ15"/>
    <mergeCell ref="BK15:BN15"/>
    <mergeCell ref="BO13:BQ13"/>
    <mergeCell ref="AQ17:AU17"/>
    <mergeCell ref="BS18:BY18"/>
    <mergeCell ref="BZ18:CD18"/>
    <mergeCell ref="BO17:BQ17"/>
    <mergeCell ref="BA13:BE13"/>
    <mergeCell ref="BF13:BJ13"/>
    <mergeCell ref="BK13:BN13"/>
    <mergeCell ref="BO11:BQ11"/>
    <mergeCell ref="AQ12:AU12"/>
    <mergeCell ref="BS24:BY24"/>
    <mergeCell ref="BS26:BY26"/>
    <mergeCell ref="BF22:BJ22"/>
    <mergeCell ref="BF23:BJ23"/>
    <mergeCell ref="BF24:BJ24"/>
    <mergeCell ref="BA22:BE22"/>
    <mergeCell ref="BA23:BE23"/>
    <mergeCell ref="BA24:BE24"/>
    <mergeCell ref="BA20:BE21"/>
    <mergeCell ref="BF20:BJ21"/>
    <mergeCell ref="BF25:BJ25"/>
    <mergeCell ref="BF26:BJ26"/>
    <mergeCell ref="BS22:BY22"/>
    <mergeCell ref="BK30:BN30"/>
    <mergeCell ref="BO20:BQ21"/>
    <mergeCell ref="BO22:BQ22"/>
    <mergeCell ref="BO23:BQ23"/>
    <mergeCell ref="BO24:BQ24"/>
    <mergeCell ref="BO25:BQ25"/>
    <mergeCell ref="BO26:BQ26"/>
    <mergeCell ref="BO27:BQ27"/>
    <mergeCell ref="BO28:BQ28"/>
    <mergeCell ref="BO29:BQ29"/>
    <mergeCell ref="BO30:BQ30"/>
    <mergeCell ref="BK25:BN25"/>
    <mergeCell ref="BK26:BN26"/>
    <mergeCell ref="BK27:BN27"/>
    <mergeCell ref="BK28:BN28"/>
    <mergeCell ref="BK29:BN29"/>
    <mergeCell ref="BK20:BN21"/>
    <mergeCell ref="BK22:BN22"/>
    <mergeCell ref="BK23:BN23"/>
    <mergeCell ref="BK24:BN24"/>
    <mergeCell ref="BA29:BE29"/>
    <mergeCell ref="BA30:BE30"/>
    <mergeCell ref="BA25:BE25"/>
    <mergeCell ref="AV28:AZ28"/>
    <mergeCell ref="AV29:AZ29"/>
    <mergeCell ref="AV30:AZ30"/>
    <mergeCell ref="AV25:AZ25"/>
    <mergeCell ref="AV26:AZ26"/>
    <mergeCell ref="AV27:AZ27"/>
    <mergeCell ref="AQ26:AU26"/>
    <mergeCell ref="AQ27:AU27"/>
    <mergeCell ref="AQ28:AU28"/>
    <mergeCell ref="AQ29:AU29"/>
    <mergeCell ref="AQ30:AU30"/>
    <mergeCell ref="AV5:BQ6"/>
    <mergeCell ref="AQ6:AU6"/>
    <mergeCell ref="BO7:BQ8"/>
    <mergeCell ref="T18:AO19"/>
    <mergeCell ref="T5:AO6"/>
    <mergeCell ref="AQ13:AU13"/>
    <mergeCell ref="AV13:AZ13"/>
    <mergeCell ref="AV17:AZ17"/>
    <mergeCell ref="AQ15:AU15"/>
    <mergeCell ref="AQ14:AU14"/>
    <mergeCell ref="AV14:AZ14"/>
    <mergeCell ref="Y24:AC24"/>
    <mergeCell ref="AD24:AH24"/>
    <mergeCell ref="AI24:AL24"/>
    <mergeCell ref="AM24:AO24"/>
    <mergeCell ref="BF30:BJ30"/>
    <mergeCell ref="BA26:BE26"/>
    <mergeCell ref="BA27:BE27"/>
    <mergeCell ref="BA28:BE28"/>
    <mergeCell ref="T20:X21"/>
    <mergeCell ref="Y20:AC21"/>
    <mergeCell ref="AD20:AH21"/>
    <mergeCell ref="AI20:AL21"/>
    <mergeCell ref="AM20:AO21"/>
    <mergeCell ref="O21:S21"/>
    <mergeCell ref="O10:S10"/>
    <mergeCell ref="T10:X10"/>
    <mergeCell ref="Y10:AC10"/>
    <mergeCell ref="AD10:AH10"/>
    <mergeCell ref="AI10:AL10"/>
    <mergeCell ref="AM10:AO10"/>
    <mergeCell ref="O6:S6"/>
    <mergeCell ref="O7:S7"/>
    <mergeCell ref="T7:X8"/>
    <mergeCell ref="BF7:BJ8"/>
    <mergeCell ref="BK7:BN8"/>
    <mergeCell ref="Y7:AC8"/>
    <mergeCell ref="AD7:AH8"/>
    <mergeCell ref="O25:S25"/>
    <mergeCell ref="T25:X25"/>
    <mergeCell ref="Y25:AC25"/>
    <mergeCell ref="AD25:AH25"/>
    <mergeCell ref="AI25:AL25"/>
    <mergeCell ref="AM25:AO25"/>
    <mergeCell ref="O8:S8"/>
    <mergeCell ref="BF17:BJ17"/>
    <mergeCell ref="BK17:BN17"/>
    <mergeCell ref="Y23:AC23"/>
    <mergeCell ref="AD23:AH23"/>
    <mergeCell ref="AI23:AL23"/>
    <mergeCell ref="AM23:AO23"/>
    <mergeCell ref="O24:S24"/>
    <mergeCell ref="T24:X24"/>
    <mergeCell ref="O19:S19"/>
    <mergeCell ref="O20:S20"/>
    <mergeCell ref="O26:S26"/>
    <mergeCell ref="T26:X26"/>
    <mergeCell ref="Y26:AC26"/>
    <mergeCell ref="AD26:AH26"/>
    <mergeCell ref="AI26:AL26"/>
    <mergeCell ref="AM26:AO26"/>
    <mergeCell ref="T9:X9"/>
    <mergeCell ref="Y9:AC9"/>
    <mergeCell ref="AD9:AH9"/>
    <mergeCell ref="AI9:AL9"/>
    <mergeCell ref="AM9:AO9"/>
    <mergeCell ref="O12:S12"/>
    <mergeCell ref="T12:X12"/>
    <mergeCell ref="Y12:AC12"/>
    <mergeCell ref="AD12:AH12"/>
    <mergeCell ref="T11:X11"/>
    <mergeCell ref="Y11:AC11"/>
    <mergeCell ref="AD11:AH11"/>
    <mergeCell ref="AI11:AL11"/>
    <mergeCell ref="AM11:AO11"/>
    <mergeCell ref="AM14:AO14"/>
    <mergeCell ref="AM22:AO22"/>
    <mergeCell ref="O23:S23"/>
    <mergeCell ref="T23:X23"/>
    <mergeCell ref="O30:S30"/>
    <mergeCell ref="T30:X30"/>
    <mergeCell ref="Y30:AC30"/>
    <mergeCell ref="AD30:AH30"/>
    <mergeCell ref="AI30:AL30"/>
    <mergeCell ref="AM30:AO30"/>
    <mergeCell ref="O27:S27"/>
    <mergeCell ref="T27:X27"/>
    <mergeCell ref="Y27:AC27"/>
    <mergeCell ref="AD27:AH27"/>
    <mergeCell ref="AI27:AL27"/>
    <mergeCell ref="AM27:AO27"/>
    <mergeCell ref="O28:S28"/>
    <mergeCell ref="T28:X28"/>
    <mergeCell ref="Y28:AC28"/>
    <mergeCell ref="AD28:AH28"/>
    <mergeCell ref="AI28:AL28"/>
    <mergeCell ref="AM28:AO28"/>
    <mergeCell ref="O29:S29"/>
    <mergeCell ref="T29:X29"/>
    <mergeCell ref="Y29:AC29"/>
    <mergeCell ref="AD29:AH29"/>
    <mergeCell ref="AI29:AL29"/>
    <mergeCell ref="AM29:AO29"/>
    <mergeCell ref="BZ22:CD22"/>
    <mergeCell ref="BZ24:CD24"/>
    <mergeCell ref="O16:S16"/>
    <mergeCell ref="T16:X16"/>
    <mergeCell ref="Y16:AC16"/>
    <mergeCell ref="AD16:AH16"/>
    <mergeCell ref="AI16:AL16"/>
    <mergeCell ref="AM16:AO16"/>
    <mergeCell ref="O17:S17"/>
    <mergeCell ref="T17:X17"/>
    <mergeCell ref="Y17:AC17"/>
    <mergeCell ref="AD17:AH17"/>
    <mergeCell ref="AI17:AL17"/>
    <mergeCell ref="AM17:AO17"/>
    <mergeCell ref="O22:S22"/>
    <mergeCell ref="T22:X22"/>
    <mergeCell ref="Y22:AC22"/>
    <mergeCell ref="BS20:BY20"/>
    <mergeCell ref="BS21:BY21"/>
    <mergeCell ref="BZ20:CD20"/>
    <mergeCell ref="BZ21:CD21"/>
    <mergeCell ref="AD22:AH22"/>
    <mergeCell ref="AI22:AL22"/>
    <mergeCell ref="BA17:BE17"/>
    <mergeCell ref="I3:U3"/>
    <mergeCell ref="O15:S15"/>
    <mergeCell ref="T15:X15"/>
    <mergeCell ref="Y15:AC15"/>
    <mergeCell ref="AD15:AH15"/>
    <mergeCell ref="AI15:AL15"/>
    <mergeCell ref="AM15:AO15"/>
    <mergeCell ref="O13:S13"/>
    <mergeCell ref="T13:X13"/>
    <mergeCell ref="Y13:AC13"/>
    <mergeCell ref="AD13:AH13"/>
    <mergeCell ref="AI13:AL13"/>
    <mergeCell ref="AM13:AO13"/>
    <mergeCell ref="O14:S14"/>
    <mergeCell ref="T14:X14"/>
    <mergeCell ref="Y14:AC14"/>
    <mergeCell ref="AD14:AH14"/>
    <mergeCell ref="AI14:AL14"/>
    <mergeCell ref="AI7:AL8"/>
    <mergeCell ref="AM7:AO8"/>
    <mergeCell ref="O9:S9"/>
    <mergeCell ref="AI12:AL12"/>
    <mergeCell ref="AM12:AO12"/>
    <mergeCell ref="O11:S11"/>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wsOFFER_TRACKER">
    <tabColor theme="4"/>
  </sheetPr>
  <dimension ref="A1:BV49"/>
  <sheetViews>
    <sheetView showGridLines="0" showRowColHeaders="0" zoomScaleNormal="100" workbookViewId="0">
      <pane ySplit="4" topLeftCell="A5" activePane="bottomLeft" state="frozen"/>
      <selection pane="bottomLeft" activeCell="AB14" sqref="AB14:AJ14"/>
    </sheetView>
  </sheetViews>
  <sheetFormatPr defaultColWidth="2.34765625" defaultRowHeight="15.7"/>
  <cols>
    <col min="1" max="20" width="2.34765625" style="533"/>
    <col min="21" max="21" width="2.34765625" style="534"/>
    <col min="22" max="16384" width="2.34765625" style="533"/>
  </cols>
  <sheetData>
    <row r="1" spans="1:74" s="242" customFormat="1" ht="45" customHeight="1">
      <c r="U1" s="243"/>
    </row>
    <row r="2" spans="1:74" s="433" customFormat="1" ht="7.5" customHeight="1">
      <c r="U2" s="434"/>
    </row>
    <row r="3" spans="1:74" s="433" customFormat="1" ht="22.5" customHeight="1">
      <c r="A3" s="2169"/>
      <c r="B3" s="2169"/>
      <c r="C3" s="2169"/>
      <c r="D3" s="2169"/>
      <c r="E3" s="2169"/>
      <c r="F3" s="2169"/>
      <c r="G3" s="2169"/>
      <c r="H3" s="2169"/>
      <c r="I3" s="1818" t="s">
        <v>1254</v>
      </c>
      <c r="J3" s="1818"/>
      <c r="K3" s="1818"/>
      <c r="L3" s="1818"/>
      <c r="M3" s="1818"/>
      <c r="N3" s="1818"/>
      <c r="O3" s="1818"/>
      <c r="P3" s="1818"/>
      <c r="Q3" s="1818"/>
      <c r="R3" s="1818"/>
      <c r="S3" s="1818"/>
      <c r="T3" s="1818"/>
      <c r="U3" s="1818"/>
    </row>
    <row r="4" spans="1:74" s="435" customFormat="1" ht="7.5" customHeight="1">
      <c r="U4" s="436"/>
    </row>
    <row r="6" spans="1:74" ht="27" customHeight="1">
      <c r="I6" s="2581" t="s">
        <v>1002</v>
      </c>
      <c r="J6" s="2581"/>
      <c r="K6" s="2581"/>
      <c r="L6" s="2581"/>
      <c r="M6" s="2581"/>
      <c r="N6" s="2581"/>
      <c r="O6" s="2581"/>
      <c r="P6" s="2581"/>
      <c r="Q6" s="2581"/>
      <c r="R6" s="2581"/>
      <c r="S6" s="2581"/>
      <c r="T6" s="2581"/>
      <c r="U6" s="2581"/>
      <c r="V6" s="2581"/>
      <c r="W6" s="2581"/>
      <c r="X6" s="2581"/>
      <c r="Y6" s="2581"/>
      <c r="Z6" s="2581"/>
      <c r="AA6" s="2581"/>
      <c r="AB6" s="2581"/>
      <c r="AC6" s="2581"/>
      <c r="AD6" s="2581"/>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1"/>
      <c r="BC6" s="2581"/>
      <c r="BD6" s="2581"/>
      <c r="BE6" s="2581"/>
      <c r="BF6" s="2581"/>
      <c r="BG6" s="2581"/>
      <c r="BH6" s="2581"/>
      <c r="BI6" s="2581"/>
      <c r="BJ6" s="2581"/>
      <c r="BK6" s="2581"/>
      <c r="BL6" s="2581"/>
      <c r="BM6" s="2581"/>
      <c r="BN6" s="2581"/>
      <c r="BO6" s="2581"/>
      <c r="BP6" s="2581"/>
      <c r="BQ6" s="2581"/>
      <c r="BR6" s="2581"/>
      <c r="BS6" s="2581"/>
      <c r="BT6" s="2581"/>
      <c r="BU6" s="2581"/>
    </row>
    <row r="7" spans="1:74">
      <c r="I7" s="240"/>
      <c r="J7" s="554"/>
      <c r="K7" s="554"/>
      <c r="L7" s="554"/>
      <c r="M7" s="554"/>
      <c r="N7" s="554"/>
      <c r="O7" s="554"/>
      <c r="P7" s="554"/>
      <c r="Q7" s="554"/>
      <c r="R7" s="554"/>
      <c r="S7" s="554"/>
      <c r="T7" s="554"/>
      <c r="U7" s="555"/>
      <c r="V7" s="554"/>
      <c r="W7" s="554"/>
      <c r="X7" s="554"/>
      <c r="Y7" s="554"/>
      <c r="Z7" s="554"/>
      <c r="AA7" s="554"/>
      <c r="AB7" s="554"/>
      <c r="AC7" s="554"/>
      <c r="AD7" s="554"/>
      <c r="AE7" s="554"/>
      <c r="AF7" s="554"/>
      <c r="AG7" s="554"/>
      <c r="AH7" s="554"/>
      <c r="AI7" s="554"/>
      <c r="AJ7" s="554"/>
      <c r="AK7" s="554"/>
      <c r="AL7" s="554"/>
      <c r="AM7" s="554"/>
      <c r="AN7" s="554"/>
      <c r="AO7" s="554"/>
      <c r="AP7" s="554"/>
      <c r="AQ7" s="554"/>
      <c r="AR7" s="554"/>
      <c r="AS7" s="554"/>
      <c r="AT7" s="554"/>
      <c r="AU7" s="554"/>
      <c r="AV7" s="554"/>
      <c r="AW7" s="554"/>
      <c r="AX7" s="554"/>
      <c r="AY7" s="554"/>
      <c r="AZ7" s="554"/>
      <c r="BA7" s="554"/>
      <c r="BB7" s="554"/>
      <c r="BC7" s="554"/>
      <c r="BD7" s="554"/>
      <c r="BE7" s="554"/>
      <c r="BF7" s="554"/>
      <c r="BG7" s="554"/>
      <c r="BH7" s="554"/>
      <c r="BI7" s="554"/>
      <c r="BJ7" s="554"/>
      <c r="BK7" s="554"/>
      <c r="BL7" s="554"/>
      <c r="BM7" s="554"/>
      <c r="BN7" s="554"/>
      <c r="BO7" s="554"/>
      <c r="BP7" s="554"/>
      <c r="BQ7" s="554"/>
      <c r="BR7" s="554"/>
      <c r="BS7" s="554"/>
      <c r="BT7" s="554"/>
      <c r="BU7" s="240"/>
    </row>
    <row r="8" spans="1:74">
      <c r="I8" s="240"/>
      <c r="J8" s="554"/>
      <c r="K8" s="554"/>
      <c r="L8" s="554"/>
      <c r="M8" s="554"/>
      <c r="N8" s="554"/>
      <c r="O8" s="554"/>
      <c r="P8" s="554"/>
      <c r="Q8" s="554"/>
      <c r="R8" s="554"/>
      <c r="S8" s="2596" t="s">
        <v>1245</v>
      </c>
      <c r="T8" s="2596"/>
      <c r="U8" s="2596"/>
      <c r="V8" s="2596"/>
      <c r="W8" s="2596"/>
      <c r="X8" s="2596"/>
      <c r="Y8" s="2596"/>
      <c r="Z8" s="2596"/>
      <c r="AA8" s="2596"/>
      <c r="AB8" s="2596" t="s">
        <v>1246</v>
      </c>
      <c r="AC8" s="2596"/>
      <c r="AD8" s="2596"/>
      <c r="AE8" s="2596"/>
      <c r="AF8" s="2596"/>
      <c r="AG8" s="2596"/>
      <c r="AH8" s="2596"/>
      <c r="AI8" s="2596"/>
      <c r="AJ8" s="2596"/>
      <c r="AK8" s="2596" t="s">
        <v>1247</v>
      </c>
      <c r="AL8" s="2596"/>
      <c r="AM8" s="2596"/>
      <c r="AN8" s="2596"/>
      <c r="AO8" s="2596"/>
      <c r="AP8" s="2596"/>
      <c r="AQ8" s="2596"/>
      <c r="AR8" s="2596"/>
      <c r="AS8" s="2596"/>
      <c r="AT8" s="2596" t="s">
        <v>1248</v>
      </c>
      <c r="AU8" s="2596"/>
      <c r="AV8" s="2596"/>
      <c r="AW8" s="2596"/>
      <c r="AX8" s="2596"/>
      <c r="AY8" s="2596"/>
      <c r="AZ8" s="2596"/>
      <c r="BA8" s="2596"/>
      <c r="BB8" s="2596"/>
      <c r="BC8" s="2602" t="s">
        <v>1249</v>
      </c>
      <c r="BD8" s="2603"/>
      <c r="BE8" s="2603"/>
      <c r="BF8" s="2603"/>
      <c r="BG8" s="2603"/>
      <c r="BH8" s="2603"/>
      <c r="BI8" s="2603"/>
      <c r="BJ8" s="2603"/>
      <c r="BK8" s="2604"/>
      <c r="BL8" s="2596" t="s">
        <v>1250</v>
      </c>
      <c r="BM8" s="2596"/>
      <c r="BN8" s="2596"/>
      <c r="BO8" s="2596"/>
      <c r="BP8" s="2596"/>
      <c r="BQ8" s="2596"/>
      <c r="BR8" s="2596"/>
      <c r="BS8" s="2596"/>
      <c r="BT8" s="2596"/>
      <c r="BU8" s="240"/>
    </row>
    <row r="9" spans="1:74">
      <c r="I9" s="240"/>
      <c r="J9" s="554"/>
      <c r="K9" s="554"/>
      <c r="L9" s="554"/>
      <c r="M9" s="554"/>
      <c r="N9" s="554"/>
      <c r="O9" s="554"/>
      <c r="P9" s="554"/>
      <c r="Q9" s="554"/>
      <c r="R9" s="554"/>
      <c r="S9" s="2596"/>
      <c r="T9" s="2596"/>
      <c r="U9" s="2596"/>
      <c r="V9" s="2596"/>
      <c r="W9" s="2596"/>
      <c r="X9" s="2596"/>
      <c r="Y9" s="2596"/>
      <c r="Z9" s="2596"/>
      <c r="AA9" s="2596"/>
      <c r="AB9" s="2596"/>
      <c r="AC9" s="2596"/>
      <c r="AD9" s="2596"/>
      <c r="AE9" s="2596"/>
      <c r="AF9" s="2596"/>
      <c r="AG9" s="2596"/>
      <c r="AH9" s="2596"/>
      <c r="AI9" s="2596"/>
      <c r="AJ9" s="2596"/>
      <c r="AK9" s="2596"/>
      <c r="AL9" s="2596"/>
      <c r="AM9" s="2596"/>
      <c r="AN9" s="2596"/>
      <c r="AO9" s="2596"/>
      <c r="AP9" s="2596"/>
      <c r="AQ9" s="2596"/>
      <c r="AR9" s="2596"/>
      <c r="AS9" s="2596"/>
      <c r="AT9" s="2596"/>
      <c r="AU9" s="2596"/>
      <c r="AV9" s="2596"/>
      <c r="AW9" s="2596"/>
      <c r="AX9" s="2596"/>
      <c r="AY9" s="2596"/>
      <c r="AZ9" s="2596"/>
      <c r="BA9" s="2596"/>
      <c r="BB9" s="2596"/>
      <c r="BC9" s="2605"/>
      <c r="BD9" s="2606"/>
      <c r="BE9" s="2606"/>
      <c r="BF9" s="2606"/>
      <c r="BG9" s="2606"/>
      <c r="BH9" s="2606"/>
      <c r="BI9" s="2606"/>
      <c r="BJ9" s="2606"/>
      <c r="BK9" s="2607"/>
      <c r="BL9" s="2596"/>
      <c r="BM9" s="2596"/>
      <c r="BN9" s="2596"/>
      <c r="BO9" s="2596"/>
      <c r="BP9" s="2596"/>
      <c r="BQ9" s="2596"/>
      <c r="BR9" s="2596"/>
      <c r="BS9" s="2596"/>
      <c r="BT9" s="2596"/>
      <c r="BU9" s="240"/>
    </row>
    <row r="10" spans="1:74">
      <c r="I10" s="240"/>
      <c r="J10" s="554"/>
      <c r="K10" s="554"/>
      <c r="L10" s="554"/>
      <c r="M10" s="554"/>
      <c r="N10" s="554"/>
      <c r="O10" s="554"/>
      <c r="P10" s="554"/>
      <c r="Q10" s="554"/>
      <c r="R10" s="554"/>
      <c r="S10" s="649"/>
      <c r="T10" s="561"/>
      <c r="U10" s="561"/>
      <c r="V10" s="561"/>
      <c r="W10" s="561"/>
      <c r="X10" s="561"/>
      <c r="Y10" s="561"/>
      <c r="Z10" s="561"/>
      <c r="AA10" s="562"/>
      <c r="AB10" s="560"/>
      <c r="AC10" s="561"/>
      <c r="AD10" s="561"/>
      <c r="AE10" s="561"/>
      <c r="AF10" s="561"/>
      <c r="AG10" s="561"/>
      <c r="AH10" s="561"/>
      <c r="AI10" s="561"/>
      <c r="AJ10" s="562"/>
      <c r="AK10" s="560"/>
      <c r="AL10" s="561"/>
      <c r="AM10" s="561"/>
      <c r="AN10" s="561"/>
      <c r="AO10" s="561"/>
      <c r="AP10" s="561"/>
      <c r="AQ10" s="561"/>
      <c r="AR10" s="561"/>
      <c r="AS10" s="562"/>
      <c r="AT10" s="560"/>
      <c r="AU10" s="561"/>
      <c r="AV10" s="561"/>
      <c r="AW10" s="561"/>
      <c r="AX10" s="561"/>
      <c r="AY10" s="561"/>
      <c r="AZ10" s="561"/>
      <c r="BA10" s="561"/>
      <c r="BB10" s="562"/>
      <c r="BC10" s="560"/>
      <c r="BD10" s="561"/>
      <c r="BE10" s="561"/>
      <c r="BF10" s="561"/>
      <c r="BG10" s="561"/>
      <c r="BH10" s="561"/>
      <c r="BI10" s="561"/>
      <c r="BJ10" s="561"/>
      <c r="BK10" s="562"/>
      <c r="BL10" s="560"/>
      <c r="BM10" s="561"/>
      <c r="BN10" s="561"/>
      <c r="BO10" s="561"/>
      <c r="BP10" s="561"/>
      <c r="BQ10" s="561"/>
      <c r="BR10" s="561"/>
      <c r="BS10" s="561"/>
      <c r="BT10" s="650"/>
      <c r="BU10" s="240"/>
    </row>
    <row r="11" spans="1:74">
      <c r="I11" s="240"/>
      <c r="J11" s="554"/>
      <c r="K11" s="554"/>
      <c r="L11" s="554"/>
      <c r="M11" s="554"/>
      <c r="N11" s="554"/>
      <c r="O11" s="554"/>
      <c r="P11" s="554"/>
      <c r="Q11" s="554"/>
      <c r="R11" s="554"/>
      <c r="S11" s="651"/>
      <c r="T11" s="652"/>
      <c r="U11" s="652"/>
      <c r="V11" s="652"/>
      <c r="W11" s="652"/>
      <c r="X11" s="652"/>
      <c r="Y11" s="652"/>
      <c r="Z11" s="652"/>
      <c r="AA11" s="653"/>
      <c r="AB11" s="654"/>
      <c r="AC11" s="652"/>
      <c r="AD11" s="652"/>
      <c r="AE11" s="652"/>
      <c r="AF11" s="652"/>
      <c r="AG11" s="652"/>
      <c r="AH11" s="652"/>
      <c r="AI11" s="652"/>
      <c r="AJ11" s="653"/>
      <c r="AK11" s="654"/>
      <c r="AL11" s="652"/>
      <c r="AM11" s="652"/>
      <c r="AN11" s="652"/>
      <c r="AO11" s="652"/>
      <c r="AP11" s="652"/>
      <c r="AQ11" s="652"/>
      <c r="AR11" s="652"/>
      <c r="AS11" s="653"/>
      <c r="AT11" s="654"/>
      <c r="AU11" s="652"/>
      <c r="AV11" s="652"/>
      <c r="AW11" s="652"/>
      <c r="AX11" s="652"/>
      <c r="AY11" s="652"/>
      <c r="AZ11" s="652"/>
      <c r="BA11" s="652"/>
      <c r="BB11" s="653"/>
      <c r="BC11" s="654"/>
      <c r="BD11" s="652"/>
      <c r="BE11" s="652"/>
      <c r="BF11" s="652"/>
      <c r="BG11" s="652"/>
      <c r="BH11" s="652"/>
      <c r="BI11" s="652"/>
      <c r="BJ11" s="652"/>
      <c r="BK11" s="653"/>
      <c r="BL11" s="654"/>
      <c r="BM11" s="652"/>
      <c r="BN11" s="652"/>
      <c r="BO11" s="652"/>
      <c r="BP11" s="652"/>
      <c r="BQ11" s="652"/>
      <c r="BR11" s="652"/>
      <c r="BS11" s="652"/>
      <c r="BT11" s="655"/>
      <c r="BU11" s="240"/>
    </row>
    <row r="12" spans="1:74">
      <c r="I12" s="240"/>
      <c r="J12" s="554"/>
      <c r="K12" s="554"/>
      <c r="L12" s="554"/>
      <c r="M12" s="554"/>
      <c r="N12" s="554"/>
      <c r="O12" s="554"/>
      <c r="P12" s="554"/>
      <c r="Q12" s="554"/>
      <c r="R12" s="554"/>
      <c r="S12" s="554"/>
      <c r="T12" s="554"/>
      <c r="U12" s="555"/>
      <c r="V12" s="554"/>
      <c r="W12" s="554"/>
      <c r="X12" s="554"/>
      <c r="Y12" s="554"/>
      <c r="Z12" s="554"/>
      <c r="AA12" s="554"/>
      <c r="AB12" s="554"/>
      <c r="AC12" s="554"/>
      <c r="AD12" s="554"/>
      <c r="AE12" s="554"/>
      <c r="AF12" s="554"/>
      <c r="AG12" s="554"/>
      <c r="AH12" s="554"/>
      <c r="AI12" s="554"/>
      <c r="AJ12" s="554"/>
      <c r="AK12" s="554"/>
      <c r="AL12" s="554"/>
      <c r="AM12" s="554"/>
      <c r="AN12" s="554"/>
      <c r="AO12" s="554"/>
      <c r="AP12" s="554"/>
      <c r="AQ12" s="554"/>
      <c r="AR12" s="554"/>
      <c r="AS12" s="554"/>
      <c r="AT12" s="554"/>
      <c r="AU12" s="554"/>
      <c r="AV12" s="554"/>
      <c r="AW12" s="554"/>
      <c r="AX12" s="554"/>
      <c r="AY12" s="554"/>
      <c r="AZ12" s="554"/>
      <c r="BA12" s="554"/>
      <c r="BB12" s="554"/>
      <c r="BC12" s="554"/>
      <c r="BD12" s="554"/>
      <c r="BE12" s="554"/>
      <c r="BF12" s="554"/>
      <c r="BG12" s="554"/>
      <c r="BH12" s="554"/>
      <c r="BI12" s="554"/>
      <c r="BJ12" s="554"/>
      <c r="BK12" s="554"/>
      <c r="BL12" s="554"/>
      <c r="BM12" s="554"/>
      <c r="BN12" s="554"/>
      <c r="BO12" s="554"/>
      <c r="BP12" s="554"/>
      <c r="BQ12" s="554"/>
      <c r="BR12" s="554"/>
      <c r="BS12" s="554"/>
      <c r="BT12" s="554"/>
      <c r="BU12" s="240"/>
    </row>
    <row r="13" spans="1:74" ht="16" thickBot="1">
      <c r="I13" s="240"/>
      <c r="J13" s="554"/>
      <c r="K13" s="554"/>
      <c r="L13" s="554"/>
      <c r="M13" s="554"/>
      <c r="N13" s="554"/>
      <c r="O13" s="554"/>
      <c r="P13" s="554"/>
      <c r="Q13" s="554"/>
      <c r="R13" s="554"/>
      <c r="S13" s="2601" t="s">
        <v>88</v>
      </c>
      <c r="T13" s="2601"/>
      <c r="U13" s="2601"/>
      <c r="V13" s="2601"/>
      <c r="W13" s="2601"/>
      <c r="X13" s="2601"/>
      <c r="Y13" s="2601"/>
      <c r="Z13" s="2601"/>
      <c r="AA13" s="2601"/>
      <c r="AB13" s="2582" t="s">
        <v>1009</v>
      </c>
      <c r="AC13" s="2582"/>
      <c r="AD13" s="2582"/>
      <c r="AE13" s="2582"/>
      <c r="AF13" s="2582"/>
      <c r="AG13" s="2582"/>
      <c r="AH13" s="2582"/>
      <c r="AI13" s="2582"/>
      <c r="AJ13" s="2582"/>
      <c r="AK13" s="2582" t="s">
        <v>1010</v>
      </c>
      <c r="AL13" s="2582"/>
      <c r="AM13" s="2582"/>
      <c r="AN13" s="2582"/>
      <c r="AO13" s="2582"/>
      <c r="AP13" s="2582"/>
      <c r="AQ13" s="2582"/>
      <c r="AR13" s="2582"/>
      <c r="AS13" s="2582"/>
      <c r="AT13" s="2582" t="s">
        <v>1011</v>
      </c>
      <c r="AU13" s="2582"/>
      <c r="AV13" s="2582"/>
      <c r="AW13" s="2582"/>
      <c r="AX13" s="2582"/>
      <c r="AY13" s="2582"/>
      <c r="AZ13" s="2582"/>
      <c r="BA13" s="2582"/>
      <c r="BB13" s="2582"/>
      <c r="BC13" s="2582" t="s">
        <v>1012</v>
      </c>
      <c r="BD13" s="2582"/>
      <c r="BE13" s="2582"/>
      <c r="BF13" s="2582"/>
      <c r="BG13" s="2582"/>
      <c r="BH13" s="2582"/>
      <c r="BI13" s="2582"/>
      <c r="BJ13" s="2582"/>
      <c r="BK13" s="2582"/>
      <c r="BL13" s="2582" t="s">
        <v>1013</v>
      </c>
      <c r="BM13" s="2582"/>
      <c r="BN13" s="2582"/>
      <c r="BO13" s="2582"/>
      <c r="BP13" s="2582"/>
      <c r="BQ13" s="2582"/>
      <c r="BR13" s="2582"/>
      <c r="BS13" s="2582"/>
      <c r="BT13" s="2582"/>
      <c r="BU13" s="907"/>
    </row>
    <row r="14" spans="1:74" ht="22.5" customHeight="1" thickBot="1">
      <c r="I14" s="240"/>
      <c r="J14" s="2583" t="s">
        <v>1005</v>
      </c>
      <c r="K14" s="2583"/>
      <c r="L14" s="2583"/>
      <c r="M14" s="2583"/>
      <c r="N14" s="2583"/>
      <c r="O14" s="2583"/>
      <c r="P14" s="2583"/>
      <c r="Q14" s="2583"/>
      <c r="R14" s="2583"/>
      <c r="S14" s="2584">
        <f>Purchase_Price_Result</f>
        <v>0</v>
      </c>
      <c r="T14" s="2584"/>
      <c r="U14" s="2584"/>
      <c r="V14" s="2584"/>
      <c r="W14" s="2584"/>
      <c r="X14" s="2584"/>
      <c r="Y14" s="2584"/>
      <c r="Z14" s="2584"/>
      <c r="AA14" s="2597"/>
      <c r="AB14" s="2598"/>
      <c r="AC14" s="2599"/>
      <c r="AD14" s="2599"/>
      <c r="AE14" s="2599"/>
      <c r="AF14" s="2599"/>
      <c r="AG14" s="2599"/>
      <c r="AH14" s="2599"/>
      <c r="AI14" s="2599"/>
      <c r="AJ14" s="2599"/>
      <c r="AK14" s="2599"/>
      <c r="AL14" s="2599"/>
      <c r="AM14" s="2599"/>
      <c r="AN14" s="2599"/>
      <c r="AO14" s="2599"/>
      <c r="AP14" s="2599"/>
      <c r="AQ14" s="2599"/>
      <c r="AR14" s="2599"/>
      <c r="AS14" s="2599"/>
      <c r="AT14" s="2599"/>
      <c r="AU14" s="2599"/>
      <c r="AV14" s="2599"/>
      <c r="AW14" s="2599"/>
      <c r="AX14" s="2599"/>
      <c r="AY14" s="2599"/>
      <c r="AZ14" s="2599"/>
      <c r="BA14" s="2599"/>
      <c r="BB14" s="2599"/>
      <c r="BC14" s="2599"/>
      <c r="BD14" s="2599"/>
      <c r="BE14" s="2599"/>
      <c r="BF14" s="2599"/>
      <c r="BG14" s="2599"/>
      <c r="BH14" s="2599"/>
      <c r="BI14" s="2599"/>
      <c r="BJ14" s="2599"/>
      <c r="BK14" s="2599"/>
      <c r="BL14" s="2599"/>
      <c r="BM14" s="2599"/>
      <c r="BN14" s="2599"/>
      <c r="BO14" s="2599"/>
      <c r="BP14" s="2599"/>
      <c r="BQ14" s="2599"/>
      <c r="BR14" s="2599"/>
      <c r="BS14" s="2599"/>
      <c r="BT14" s="2600"/>
      <c r="BU14" s="907"/>
      <c r="BV14" s="648" t="s">
        <v>1251</v>
      </c>
    </row>
    <row r="15" spans="1:74" ht="18" customHeight="1">
      <c r="I15" s="240"/>
      <c r="J15" s="884"/>
      <c r="K15" s="884"/>
      <c r="L15" s="884"/>
      <c r="M15" s="884"/>
      <c r="N15" s="884"/>
      <c r="O15" s="884"/>
      <c r="P15" s="884"/>
      <c r="Q15" s="884"/>
      <c r="R15" s="884"/>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c r="AQ15" s="556"/>
      <c r="AR15" s="556"/>
      <c r="AS15" s="556"/>
      <c r="AT15" s="556"/>
      <c r="AU15" s="556"/>
      <c r="AV15" s="556"/>
      <c r="AW15" s="556"/>
      <c r="AX15" s="556"/>
      <c r="AY15" s="556"/>
      <c r="AZ15" s="556"/>
      <c r="BA15" s="556"/>
      <c r="BB15" s="556"/>
      <c r="BC15" s="556"/>
      <c r="BD15" s="556"/>
      <c r="BE15" s="556"/>
      <c r="BF15" s="556"/>
      <c r="BG15" s="556"/>
      <c r="BH15" s="556"/>
      <c r="BI15" s="556"/>
      <c r="BJ15" s="556"/>
      <c r="BK15" s="556"/>
      <c r="BL15" s="556"/>
      <c r="BM15" s="556"/>
      <c r="BN15" s="556"/>
      <c r="BO15" s="556"/>
      <c r="BP15" s="556"/>
      <c r="BQ15" s="556"/>
      <c r="BR15" s="556"/>
      <c r="BS15" s="556"/>
      <c r="BT15" s="556"/>
      <c r="BU15" s="907"/>
    </row>
    <row r="16" spans="1:74" ht="22.5" customHeight="1">
      <c r="I16" s="240"/>
      <c r="J16" s="2583" t="s">
        <v>336</v>
      </c>
      <c r="K16" s="2583"/>
      <c r="L16" s="2583"/>
      <c r="M16" s="2583"/>
      <c r="N16" s="2583"/>
      <c r="O16" s="2583"/>
      <c r="P16" s="2583"/>
      <c r="Q16" s="2583"/>
      <c r="R16" s="2583"/>
      <c r="S16" s="2584">
        <f>AFTER_REPAIR_VALUE_ESTIMATED</f>
        <v>0</v>
      </c>
      <c r="T16" s="2584"/>
      <c r="U16" s="2584"/>
      <c r="V16" s="2584"/>
      <c r="W16" s="2584"/>
      <c r="X16" s="2584"/>
      <c r="Y16" s="2584"/>
      <c r="Z16" s="2584"/>
      <c r="AA16" s="2584"/>
      <c r="AB16" s="2584">
        <f>AFTER_REPAIR_VALUE_ESTIMATED</f>
        <v>0</v>
      </c>
      <c r="AC16" s="2584"/>
      <c r="AD16" s="2584"/>
      <c r="AE16" s="2584"/>
      <c r="AF16" s="2584"/>
      <c r="AG16" s="2584"/>
      <c r="AH16" s="2584"/>
      <c r="AI16" s="2584"/>
      <c r="AJ16" s="2584"/>
      <c r="AK16" s="2584">
        <f>AFTER_REPAIR_VALUE_ESTIMATED</f>
        <v>0</v>
      </c>
      <c r="AL16" s="2584"/>
      <c r="AM16" s="2584"/>
      <c r="AN16" s="2584"/>
      <c r="AO16" s="2584"/>
      <c r="AP16" s="2584"/>
      <c r="AQ16" s="2584"/>
      <c r="AR16" s="2584"/>
      <c r="AS16" s="2584"/>
      <c r="AT16" s="2584">
        <f>AFTER_REPAIR_VALUE_ESTIMATED</f>
        <v>0</v>
      </c>
      <c r="AU16" s="2584"/>
      <c r="AV16" s="2584"/>
      <c r="AW16" s="2584"/>
      <c r="AX16" s="2584"/>
      <c r="AY16" s="2584"/>
      <c r="AZ16" s="2584"/>
      <c r="BA16" s="2584"/>
      <c r="BB16" s="2584"/>
      <c r="BC16" s="2584">
        <f>AFTER_REPAIR_VALUE_ESTIMATED</f>
        <v>0</v>
      </c>
      <c r="BD16" s="2584"/>
      <c r="BE16" s="2584"/>
      <c r="BF16" s="2584"/>
      <c r="BG16" s="2584"/>
      <c r="BH16" s="2584"/>
      <c r="BI16" s="2584"/>
      <c r="BJ16" s="2584"/>
      <c r="BK16" s="2584"/>
      <c r="BL16" s="2584">
        <f>AFTER_REPAIR_VALUE_ESTIMATED</f>
        <v>0</v>
      </c>
      <c r="BM16" s="2584"/>
      <c r="BN16" s="2584"/>
      <c r="BO16" s="2584"/>
      <c r="BP16" s="2584"/>
      <c r="BQ16" s="2584"/>
      <c r="BR16" s="2584"/>
      <c r="BS16" s="2584"/>
      <c r="BT16" s="2584"/>
      <c r="BU16" s="907"/>
    </row>
    <row r="17" spans="9:73" ht="22.5" customHeight="1">
      <c r="I17" s="240"/>
      <c r="J17" s="884"/>
      <c r="K17" s="884"/>
      <c r="L17" s="884"/>
      <c r="M17" s="884"/>
      <c r="N17" s="884"/>
      <c r="O17" s="884"/>
      <c r="P17" s="884"/>
      <c r="Q17" s="884"/>
      <c r="R17" s="554"/>
      <c r="S17" s="556"/>
      <c r="T17" s="556"/>
      <c r="U17" s="556"/>
      <c r="V17" s="556"/>
      <c r="W17" s="556"/>
      <c r="X17" s="556"/>
      <c r="Y17" s="556"/>
      <c r="Z17" s="556"/>
      <c r="AA17" s="556"/>
      <c r="AB17" s="556"/>
      <c r="AC17" s="556"/>
      <c r="AD17" s="556"/>
      <c r="AE17" s="556"/>
      <c r="AF17" s="556"/>
      <c r="AG17" s="556"/>
      <c r="AH17" s="556"/>
      <c r="AI17" s="556"/>
      <c r="AJ17" s="556"/>
      <c r="AK17" s="556"/>
      <c r="AL17" s="557"/>
      <c r="AM17" s="557"/>
      <c r="AN17" s="557"/>
      <c r="AO17" s="557"/>
      <c r="AP17" s="557"/>
      <c r="AQ17" s="557"/>
      <c r="AR17" s="557"/>
      <c r="AS17" s="557"/>
      <c r="AT17" s="557"/>
      <c r="AU17" s="556"/>
      <c r="AV17" s="556"/>
      <c r="AW17" s="556"/>
      <c r="AX17" s="556"/>
      <c r="AY17" s="556"/>
      <c r="AZ17" s="556"/>
      <c r="BA17" s="556"/>
      <c r="BB17" s="556"/>
      <c r="BC17" s="556"/>
      <c r="BD17" s="556"/>
      <c r="BE17" s="556"/>
      <c r="BF17" s="556"/>
      <c r="BG17" s="556"/>
      <c r="BH17" s="556"/>
      <c r="BI17" s="556"/>
      <c r="BJ17" s="556"/>
      <c r="BK17" s="556"/>
      <c r="BL17" s="556"/>
      <c r="BM17" s="556"/>
      <c r="BN17" s="556"/>
      <c r="BO17" s="556"/>
      <c r="BP17" s="556"/>
      <c r="BQ17" s="556"/>
      <c r="BR17" s="556"/>
      <c r="BS17" s="556"/>
      <c r="BT17" s="556"/>
      <c r="BU17" s="907"/>
    </row>
    <row r="18" spans="9:73" ht="22.5" customHeight="1">
      <c r="I18" s="240"/>
      <c r="J18" s="2583" t="s">
        <v>796</v>
      </c>
      <c r="K18" s="2583"/>
      <c r="L18" s="2583"/>
      <c r="M18" s="2583"/>
      <c r="N18" s="2583"/>
      <c r="O18" s="2583"/>
      <c r="P18" s="2583"/>
      <c r="Q18" s="2583"/>
      <c r="R18" s="2583"/>
      <c r="S18" s="558"/>
      <c r="T18" s="558"/>
      <c r="U18" s="558"/>
      <c r="V18" s="558"/>
      <c r="W18" s="558"/>
      <c r="X18" s="558"/>
      <c r="Y18" s="558"/>
      <c r="Z18" s="558"/>
      <c r="AA18" s="558"/>
      <c r="AB18" s="558"/>
      <c r="AC18" s="558"/>
      <c r="AD18" s="558"/>
      <c r="AE18" s="558"/>
      <c r="AF18" s="558"/>
      <c r="AG18" s="558"/>
      <c r="AH18" s="558"/>
      <c r="AI18" s="558"/>
      <c r="AJ18" s="558"/>
      <c r="AK18" s="558"/>
      <c r="AL18" s="558"/>
      <c r="AM18" s="558"/>
      <c r="AN18" s="558"/>
      <c r="AO18" s="558"/>
      <c r="AP18" s="558"/>
      <c r="AQ18" s="558"/>
      <c r="AR18" s="558"/>
      <c r="AS18" s="558"/>
      <c r="AT18" s="558"/>
      <c r="AU18" s="558"/>
      <c r="AV18" s="558"/>
      <c r="AW18" s="558"/>
      <c r="AX18" s="558"/>
      <c r="AY18" s="558"/>
      <c r="AZ18" s="558"/>
      <c r="BA18" s="558"/>
      <c r="BB18" s="558"/>
      <c r="BC18" s="558"/>
      <c r="BD18" s="558"/>
      <c r="BE18" s="558"/>
      <c r="BF18" s="558"/>
      <c r="BG18" s="558"/>
      <c r="BH18" s="558"/>
      <c r="BI18" s="558"/>
      <c r="BJ18" s="558"/>
      <c r="BK18" s="558"/>
      <c r="BL18" s="558"/>
      <c r="BM18" s="558"/>
      <c r="BN18" s="558"/>
      <c r="BO18" s="558"/>
      <c r="BP18" s="558"/>
      <c r="BQ18" s="558"/>
      <c r="BR18" s="558"/>
      <c r="BS18" s="558"/>
      <c r="BT18" s="558"/>
      <c r="BU18" s="907"/>
    </row>
    <row r="19" spans="9:73" ht="22.5" customHeight="1">
      <c r="I19" s="240"/>
      <c r="J19" s="2579" t="s">
        <v>1006</v>
      </c>
      <c r="K19" s="2579"/>
      <c r="L19" s="2579"/>
      <c r="M19" s="2579"/>
      <c r="N19" s="2579"/>
      <c r="O19" s="2579"/>
      <c r="P19" s="2579"/>
      <c r="Q19" s="2579"/>
      <c r="R19" s="2579"/>
      <c r="S19" s="2587">
        <f>Buying_Costs_Result</f>
        <v>0</v>
      </c>
      <c r="T19" s="2587"/>
      <c r="U19" s="2587"/>
      <c r="V19" s="2587"/>
      <c r="W19" s="2587"/>
      <c r="X19" s="2587"/>
      <c r="Y19" s="2587"/>
      <c r="Z19" s="2587"/>
      <c r="AA19" s="2587"/>
      <c r="AB19" s="2587">
        <f>Buying_Costs_Result</f>
        <v>0</v>
      </c>
      <c r="AC19" s="2587"/>
      <c r="AD19" s="2587"/>
      <c r="AE19" s="2587"/>
      <c r="AF19" s="2587"/>
      <c r="AG19" s="2587"/>
      <c r="AH19" s="2587"/>
      <c r="AI19" s="2587"/>
      <c r="AJ19" s="2587"/>
      <c r="AK19" s="2587">
        <f>Buying_Costs_Result</f>
        <v>0</v>
      </c>
      <c r="AL19" s="2587"/>
      <c r="AM19" s="2587"/>
      <c r="AN19" s="2587"/>
      <c r="AO19" s="2587"/>
      <c r="AP19" s="2587"/>
      <c r="AQ19" s="2587"/>
      <c r="AR19" s="2587"/>
      <c r="AS19" s="2587"/>
      <c r="AT19" s="2587">
        <f>Buying_Costs_Result</f>
        <v>0</v>
      </c>
      <c r="AU19" s="2587"/>
      <c r="AV19" s="2587"/>
      <c r="AW19" s="2587"/>
      <c r="AX19" s="2587"/>
      <c r="AY19" s="2587"/>
      <c r="AZ19" s="2587"/>
      <c r="BA19" s="2587"/>
      <c r="BB19" s="2587"/>
      <c r="BC19" s="2587">
        <f>Buying_Costs_Result</f>
        <v>0</v>
      </c>
      <c r="BD19" s="2587"/>
      <c r="BE19" s="2587"/>
      <c r="BF19" s="2587"/>
      <c r="BG19" s="2587"/>
      <c r="BH19" s="2587"/>
      <c r="BI19" s="2587"/>
      <c r="BJ19" s="2587"/>
      <c r="BK19" s="2587"/>
      <c r="BL19" s="2587">
        <f>Buying_Costs_Result</f>
        <v>0</v>
      </c>
      <c r="BM19" s="2587"/>
      <c r="BN19" s="2587"/>
      <c r="BO19" s="2587"/>
      <c r="BP19" s="2587"/>
      <c r="BQ19" s="2587"/>
      <c r="BR19" s="2587"/>
      <c r="BS19" s="2587"/>
      <c r="BT19" s="2587"/>
      <c r="BU19" s="907"/>
    </row>
    <row r="20" spans="9:73" ht="22.5" customHeight="1">
      <c r="I20" s="240"/>
      <c r="J20" s="2579" t="s">
        <v>75</v>
      </c>
      <c r="K20" s="2579"/>
      <c r="L20" s="2579"/>
      <c r="M20" s="2579"/>
      <c r="N20" s="2579"/>
      <c r="O20" s="2579"/>
      <c r="P20" s="2579"/>
      <c r="Q20" s="2579"/>
      <c r="R20" s="2579"/>
      <c r="S20" s="2587">
        <f>Holding_Costs_Result</f>
        <v>0</v>
      </c>
      <c r="T20" s="2587"/>
      <c r="U20" s="2587"/>
      <c r="V20" s="2587"/>
      <c r="W20" s="2587"/>
      <c r="X20" s="2587"/>
      <c r="Y20" s="2587"/>
      <c r="Z20" s="2587"/>
      <c r="AA20" s="2587"/>
      <c r="AB20" s="2587">
        <f>Holding_Costs_Result</f>
        <v>0</v>
      </c>
      <c r="AC20" s="2587"/>
      <c r="AD20" s="2587"/>
      <c r="AE20" s="2587"/>
      <c r="AF20" s="2587"/>
      <c r="AG20" s="2587"/>
      <c r="AH20" s="2587"/>
      <c r="AI20" s="2587"/>
      <c r="AJ20" s="2587"/>
      <c r="AK20" s="2587">
        <f>Holding_Costs_Result</f>
        <v>0</v>
      </c>
      <c r="AL20" s="2587"/>
      <c r="AM20" s="2587"/>
      <c r="AN20" s="2587"/>
      <c r="AO20" s="2587"/>
      <c r="AP20" s="2587"/>
      <c r="AQ20" s="2587"/>
      <c r="AR20" s="2587"/>
      <c r="AS20" s="2587"/>
      <c r="AT20" s="2587">
        <f>Holding_Costs_Result</f>
        <v>0</v>
      </c>
      <c r="AU20" s="2587"/>
      <c r="AV20" s="2587"/>
      <c r="AW20" s="2587"/>
      <c r="AX20" s="2587"/>
      <c r="AY20" s="2587"/>
      <c r="AZ20" s="2587"/>
      <c r="BA20" s="2587"/>
      <c r="BB20" s="2587"/>
      <c r="BC20" s="2587">
        <f>Holding_Costs_Result</f>
        <v>0</v>
      </c>
      <c r="BD20" s="2587"/>
      <c r="BE20" s="2587"/>
      <c r="BF20" s="2587"/>
      <c r="BG20" s="2587"/>
      <c r="BH20" s="2587"/>
      <c r="BI20" s="2587"/>
      <c r="BJ20" s="2587"/>
      <c r="BK20" s="2587"/>
      <c r="BL20" s="2587">
        <f>Holding_Costs_Result</f>
        <v>0</v>
      </c>
      <c r="BM20" s="2587"/>
      <c r="BN20" s="2587"/>
      <c r="BO20" s="2587"/>
      <c r="BP20" s="2587"/>
      <c r="BQ20" s="2587"/>
      <c r="BR20" s="2587"/>
      <c r="BS20" s="2587"/>
      <c r="BT20" s="2587"/>
      <c r="BU20" s="907"/>
    </row>
    <row r="21" spans="9:73" ht="22.5" customHeight="1" thickBot="1">
      <c r="I21" s="240"/>
      <c r="J21" s="2579" t="s">
        <v>77</v>
      </c>
      <c r="K21" s="2579"/>
      <c r="L21" s="2579"/>
      <c r="M21" s="2579"/>
      <c r="N21" s="2579"/>
      <c r="O21" s="2579"/>
      <c r="P21" s="2579"/>
      <c r="Q21" s="2579"/>
      <c r="R21" s="2579"/>
      <c r="S21" s="2585">
        <f>Selling_Costs_Result</f>
        <v>0</v>
      </c>
      <c r="T21" s="2585"/>
      <c r="U21" s="2585"/>
      <c r="V21" s="2585"/>
      <c r="W21" s="2585"/>
      <c r="X21" s="2585"/>
      <c r="Y21" s="2585"/>
      <c r="Z21" s="2585"/>
      <c r="AA21" s="2585"/>
      <c r="AB21" s="2585">
        <f>Selling_Costs_Result</f>
        <v>0</v>
      </c>
      <c r="AC21" s="2585"/>
      <c r="AD21" s="2585"/>
      <c r="AE21" s="2585"/>
      <c r="AF21" s="2585"/>
      <c r="AG21" s="2585"/>
      <c r="AH21" s="2585"/>
      <c r="AI21" s="2585"/>
      <c r="AJ21" s="2585"/>
      <c r="AK21" s="2585">
        <f>Selling_Costs_Result</f>
        <v>0</v>
      </c>
      <c r="AL21" s="2585"/>
      <c r="AM21" s="2585"/>
      <c r="AN21" s="2585"/>
      <c r="AO21" s="2585"/>
      <c r="AP21" s="2585"/>
      <c r="AQ21" s="2585"/>
      <c r="AR21" s="2585"/>
      <c r="AS21" s="2585"/>
      <c r="AT21" s="2585">
        <f>Selling_Costs_Result</f>
        <v>0</v>
      </c>
      <c r="AU21" s="2585"/>
      <c r="AV21" s="2585"/>
      <c r="AW21" s="2585"/>
      <c r="AX21" s="2585"/>
      <c r="AY21" s="2585"/>
      <c r="AZ21" s="2585"/>
      <c r="BA21" s="2585"/>
      <c r="BB21" s="2585"/>
      <c r="BC21" s="2585">
        <f>Selling_Costs_Result</f>
        <v>0</v>
      </c>
      <c r="BD21" s="2585"/>
      <c r="BE21" s="2585"/>
      <c r="BF21" s="2585"/>
      <c r="BG21" s="2585"/>
      <c r="BH21" s="2585"/>
      <c r="BI21" s="2585"/>
      <c r="BJ21" s="2585"/>
      <c r="BK21" s="2585"/>
      <c r="BL21" s="2585">
        <f>Selling_Costs_Result</f>
        <v>0</v>
      </c>
      <c r="BM21" s="2585"/>
      <c r="BN21" s="2585"/>
      <c r="BO21" s="2585"/>
      <c r="BP21" s="2585"/>
      <c r="BQ21" s="2585"/>
      <c r="BR21" s="2585"/>
      <c r="BS21" s="2585"/>
      <c r="BT21" s="2585"/>
      <c r="BU21" s="907"/>
    </row>
    <row r="22" spans="9:73" ht="22.5" customHeight="1" thickTop="1">
      <c r="I22" s="240"/>
      <c r="J22" s="2580" t="s">
        <v>1007</v>
      </c>
      <c r="K22" s="2580"/>
      <c r="L22" s="2580"/>
      <c r="M22" s="2580"/>
      <c r="N22" s="2580"/>
      <c r="O22" s="2580"/>
      <c r="P22" s="2580"/>
      <c r="Q22" s="2580"/>
      <c r="R22" s="2580"/>
      <c r="S22" s="2586">
        <f>SUM(S19:AA21)</f>
        <v>0</v>
      </c>
      <c r="T22" s="2586"/>
      <c r="U22" s="2586"/>
      <c r="V22" s="2586"/>
      <c r="W22" s="2586"/>
      <c r="X22" s="2586"/>
      <c r="Y22" s="2586"/>
      <c r="Z22" s="2586"/>
      <c r="AA22" s="2586"/>
      <c r="AB22" s="2586">
        <f>SUM(AB19:AJ21)</f>
        <v>0</v>
      </c>
      <c r="AC22" s="2586"/>
      <c r="AD22" s="2586"/>
      <c r="AE22" s="2586"/>
      <c r="AF22" s="2586"/>
      <c r="AG22" s="2586"/>
      <c r="AH22" s="2586"/>
      <c r="AI22" s="2586"/>
      <c r="AJ22" s="2586"/>
      <c r="AK22" s="2586">
        <f>SUM(AK19:AS21)</f>
        <v>0</v>
      </c>
      <c r="AL22" s="2586"/>
      <c r="AM22" s="2586"/>
      <c r="AN22" s="2586"/>
      <c r="AO22" s="2586"/>
      <c r="AP22" s="2586"/>
      <c r="AQ22" s="2586"/>
      <c r="AR22" s="2586"/>
      <c r="AS22" s="2586"/>
      <c r="AT22" s="2586">
        <f>SUM(AT19:BB21)</f>
        <v>0</v>
      </c>
      <c r="AU22" s="2586"/>
      <c r="AV22" s="2586"/>
      <c r="AW22" s="2586"/>
      <c r="AX22" s="2586"/>
      <c r="AY22" s="2586"/>
      <c r="AZ22" s="2586"/>
      <c r="BA22" s="2586"/>
      <c r="BB22" s="2586"/>
      <c r="BC22" s="2586">
        <f>SUM(BC19:BK21)</f>
        <v>0</v>
      </c>
      <c r="BD22" s="2586"/>
      <c r="BE22" s="2586"/>
      <c r="BF22" s="2586"/>
      <c r="BG22" s="2586"/>
      <c r="BH22" s="2586"/>
      <c r="BI22" s="2586"/>
      <c r="BJ22" s="2586"/>
      <c r="BK22" s="2586"/>
      <c r="BL22" s="2586">
        <f>SUM(BL19:BT21)</f>
        <v>0</v>
      </c>
      <c r="BM22" s="2586"/>
      <c r="BN22" s="2586"/>
      <c r="BO22" s="2586"/>
      <c r="BP22" s="2586"/>
      <c r="BQ22" s="2586"/>
      <c r="BR22" s="2586"/>
      <c r="BS22" s="2586"/>
      <c r="BT22" s="2586"/>
      <c r="BU22" s="907"/>
    </row>
    <row r="23" spans="9:73" ht="22.5" customHeight="1">
      <c r="I23" s="240"/>
      <c r="J23" s="884"/>
      <c r="K23" s="884"/>
      <c r="L23" s="884"/>
      <c r="M23" s="884"/>
      <c r="N23" s="884"/>
      <c r="O23" s="884"/>
      <c r="P23" s="884"/>
      <c r="Q23" s="884"/>
      <c r="R23" s="884"/>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c r="BP23" s="559"/>
      <c r="BQ23" s="559"/>
      <c r="BR23" s="559"/>
      <c r="BS23" s="559"/>
      <c r="BT23" s="559"/>
      <c r="BU23" s="907"/>
    </row>
    <row r="24" spans="9:73" ht="22.5" customHeight="1">
      <c r="I24" s="240"/>
      <c r="J24" s="2583" t="s">
        <v>84</v>
      </c>
      <c r="K24" s="2583"/>
      <c r="L24" s="2583"/>
      <c r="M24" s="2583"/>
      <c r="N24" s="2583"/>
      <c r="O24" s="2583"/>
      <c r="P24" s="2583"/>
      <c r="Q24" s="2583"/>
      <c r="R24" s="2583"/>
      <c r="S24" s="2588"/>
      <c r="T24" s="2588"/>
      <c r="U24" s="2588"/>
      <c r="V24" s="2588"/>
      <c r="W24" s="2588"/>
      <c r="X24" s="2588"/>
      <c r="Y24" s="2588"/>
      <c r="Z24" s="2588"/>
      <c r="AA24" s="2588"/>
      <c r="AB24" s="556"/>
      <c r="AC24" s="556"/>
      <c r="AD24" s="556"/>
      <c r="AE24" s="556"/>
      <c r="AF24" s="556"/>
      <c r="AG24" s="556"/>
      <c r="AH24" s="556"/>
      <c r="AI24" s="556"/>
      <c r="AJ24" s="556"/>
      <c r="AK24" s="556"/>
      <c r="AL24" s="556"/>
      <c r="AM24" s="556"/>
      <c r="AN24" s="556"/>
      <c r="AO24" s="556"/>
      <c r="AP24" s="556"/>
      <c r="AQ24" s="556"/>
      <c r="AR24" s="556"/>
      <c r="AS24" s="556"/>
      <c r="AT24" s="556"/>
      <c r="AU24" s="556"/>
      <c r="AV24" s="556"/>
      <c r="AW24" s="556"/>
      <c r="AX24" s="556"/>
      <c r="AY24" s="556"/>
      <c r="AZ24" s="556"/>
      <c r="BA24" s="556"/>
      <c r="BB24" s="556"/>
      <c r="BC24" s="556"/>
      <c r="BD24" s="556"/>
      <c r="BE24" s="556"/>
      <c r="BF24" s="556"/>
      <c r="BG24" s="556"/>
      <c r="BH24" s="556"/>
      <c r="BI24" s="556"/>
      <c r="BJ24" s="556"/>
      <c r="BK24" s="556"/>
      <c r="BL24" s="556"/>
      <c r="BM24" s="556"/>
      <c r="BN24" s="556"/>
      <c r="BO24" s="556"/>
      <c r="BP24" s="556"/>
      <c r="BQ24" s="556"/>
      <c r="BR24" s="556"/>
      <c r="BS24" s="556"/>
      <c r="BT24" s="556"/>
      <c r="BU24" s="907"/>
    </row>
    <row r="25" spans="9:73" ht="22.5" customHeight="1">
      <c r="I25" s="240"/>
      <c r="J25" s="2589" t="s">
        <v>1241</v>
      </c>
      <c r="K25" s="2589"/>
      <c r="L25" s="2589"/>
      <c r="M25" s="2589"/>
      <c r="N25" s="2589"/>
      <c r="O25" s="2589"/>
      <c r="P25" s="2589"/>
      <c r="Q25" s="2589"/>
      <c r="R25" s="2589"/>
      <c r="S25" s="2587">
        <f>SUBTOTAL_ESTIMATE</f>
        <v>0</v>
      </c>
      <c r="T25" s="2587"/>
      <c r="U25" s="2587"/>
      <c r="V25" s="2587"/>
      <c r="W25" s="2587"/>
      <c r="X25" s="2587"/>
      <c r="Y25" s="2587"/>
      <c r="Z25" s="2587"/>
      <c r="AA25" s="2587"/>
      <c r="AB25" s="2587">
        <f>SUBTOTAL_ESTIMATE</f>
        <v>0</v>
      </c>
      <c r="AC25" s="2587"/>
      <c r="AD25" s="2587"/>
      <c r="AE25" s="2587"/>
      <c r="AF25" s="2587"/>
      <c r="AG25" s="2587"/>
      <c r="AH25" s="2587"/>
      <c r="AI25" s="2587"/>
      <c r="AJ25" s="2587"/>
      <c r="AK25" s="2587">
        <f>SUBTOTAL_ESTIMATE</f>
        <v>0</v>
      </c>
      <c r="AL25" s="2587"/>
      <c r="AM25" s="2587"/>
      <c r="AN25" s="2587"/>
      <c r="AO25" s="2587"/>
      <c r="AP25" s="2587"/>
      <c r="AQ25" s="2587"/>
      <c r="AR25" s="2587"/>
      <c r="AS25" s="2587"/>
      <c r="AT25" s="2587">
        <f>SUBTOTAL_ESTIMATE</f>
        <v>0</v>
      </c>
      <c r="AU25" s="2587"/>
      <c r="AV25" s="2587"/>
      <c r="AW25" s="2587"/>
      <c r="AX25" s="2587"/>
      <c r="AY25" s="2587"/>
      <c r="AZ25" s="2587"/>
      <c r="BA25" s="2587"/>
      <c r="BB25" s="2587"/>
      <c r="BC25" s="2587">
        <f>SUBTOTAL_ESTIMATE</f>
        <v>0</v>
      </c>
      <c r="BD25" s="2587"/>
      <c r="BE25" s="2587"/>
      <c r="BF25" s="2587"/>
      <c r="BG25" s="2587"/>
      <c r="BH25" s="2587"/>
      <c r="BI25" s="2587"/>
      <c r="BJ25" s="2587"/>
      <c r="BK25" s="2587"/>
      <c r="BL25" s="2587">
        <f>SUBTOTAL_ESTIMATE</f>
        <v>0</v>
      </c>
      <c r="BM25" s="2587"/>
      <c r="BN25" s="2587"/>
      <c r="BO25" s="2587"/>
      <c r="BP25" s="2587"/>
      <c r="BQ25" s="2587"/>
      <c r="BR25" s="2587"/>
      <c r="BS25" s="2587"/>
      <c r="BT25" s="2587"/>
      <c r="BU25" s="907"/>
    </row>
    <row r="26" spans="9:73" ht="22.5" customHeight="1" thickBot="1">
      <c r="I26" s="240"/>
      <c r="J26" s="2589" t="s">
        <v>1178</v>
      </c>
      <c r="K26" s="2589"/>
      <c r="L26" s="2589"/>
      <c r="M26" s="2589"/>
      <c r="N26" s="2589"/>
      <c r="O26" s="2589"/>
      <c r="P26" s="2589"/>
      <c r="Q26" s="2589"/>
      <c r="R26" s="2589"/>
      <c r="S26" s="2585">
        <f>Adders_Result</f>
        <v>0</v>
      </c>
      <c r="T26" s="2585"/>
      <c r="U26" s="2585"/>
      <c r="V26" s="2585"/>
      <c r="W26" s="2585"/>
      <c r="X26" s="2585"/>
      <c r="Y26" s="2585"/>
      <c r="Z26" s="2585"/>
      <c r="AA26" s="2585"/>
      <c r="AB26" s="2585">
        <f>Adders_Result</f>
        <v>0</v>
      </c>
      <c r="AC26" s="2585"/>
      <c r="AD26" s="2585"/>
      <c r="AE26" s="2585"/>
      <c r="AF26" s="2585"/>
      <c r="AG26" s="2585"/>
      <c r="AH26" s="2585"/>
      <c r="AI26" s="2585"/>
      <c r="AJ26" s="2585"/>
      <c r="AK26" s="2585">
        <f>Adders_Result</f>
        <v>0</v>
      </c>
      <c r="AL26" s="2585"/>
      <c r="AM26" s="2585"/>
      <c r="AN26" s="2585"/>
      <c r="AO26" s="2585"/>
      <c r="AP26" s="2585"/>
      <c r="AQ26" s="2585"/>
      <c r="AR26" s="2585"/>
      <c r="AS26" s="2585"/>
      <c r="AT26" s="2585">
        <f>Adders_Result</f>
        <v>0</v>
      </c>
      <c r="AU26" s="2585"/>
      <c r="AV26" s="2585"/>
      <c r="AW26" s="2585"/>
      <c r="AX26" s="2585"/>
      <c r="AY26" s="2585"/>
      <c r="AZ26" s="2585"/>
      <c r="BA26" s="2585"/>
      <c r="BB26" s="2585"/>
      <c r="BC26" s="2585">
        <f>Adders_Result</f>
        <v>0</v>
      </c>
      <c r="BD26" s="2585"/>
      <c r="BE26" s="2585"/>
      <c r="BF26" s="2585"/>
      <c r="BG26" s="2585"/>
      <c r="BH26" s="2585"/>
      <c r="BI26" s="2585"/>
      <c r="BJ26" s="2585"/>
      <c r="BK26" s="2585"/>
      <c r="BL26" s="2585">
        <f>Adders_Result</f>
        <v>0</v>
      </c>
      <c r="BM26" s="2585"/>
      <c r="BN26" s="2585"/>
      <c r="BO26" s="2585"/>
      <c r="BP26" s="2585"/>
      <c r="BQ26" s="2585"/>
      <c r="BR26" s="2585"/>
      <c r="BS26" s="2585"/>
      <c r="BT26" s="2585"/>
      <c r="BU26" s="907"/>
    </row>
    <row r="27" spans="9:73" ht="22.5" customHeight="1" thickTop="1">
      <c r="I27" s="240"/>
      <c r="J27" s="2580" t="s">
        <v>830</v>
      </c>
      <c r="K27" s="2580"/>
      <c r="L27" s="2580"/>
      <c r="M27" s="2580"/>
      <c r="N27" s="2580"/>
      <c r="O27" s="2580"/>
      <c r="P27" s="2580"/>
      <c r="Q27" s="2580"/>
      <c r="R27" s="2580"/>
      <c r="S27" s="2586">
        <f>SUM(S25:AA26)</f>
        <v>0</v>
      </c>
      <c r="T27" s="2586"/>
      <c r="U27" s="2586"/>
      <c r="V27" s="2586"/>
      <c r="W27" s="2586"/>
      <c r="X27" s="2586"/>
      <c r="Y27" s="2586"/>
      <c r="Z27" s="2586"/>
      <c r="AA27" s="2586"/>
      <c r="AB27" s="2586">
        <f>SUM(AB25:AJ26)</f>
        <v>0</v>
      </c>
      <c r="AC27" s="2586"/>
      <c r="AD27" s="2586"/>
      <c r="AE27" s="2586"/>
      <c r="AF27" s="2586"/>
      <c r="AG27" s="2586"/>
      <c r="AH27" s="2586"/>
      <c r="AI27" s="2586"/>
      <c r="AJ27" s="2586"/>
      <c r="AK27" s="2586">
        <f>SUM(AK25:AS26)</f>
        <v>0</v>
      </c>
      <c r="AL27" s="2586"/>
      <c r="AM27" s="2586"/>
      <c r="AN27" s="2586"/>
      <c r="AO27" s="2586"/>
      <c r="AP27" s="2586"/>
      <c r="AQ27" s="2586"/>
      <c r="AR27" s="2586"/>
      <c r="AS27" s="2586"/>
      <c r="AT27" s="2586">
        <f>SUM(AT25:BB26)</f>
        <v>0</v>
      </c>
      <c r="AU27" s="2586"/>
      <c r="AV27" s="2586"/>
      <c r="AW27" s="2586"/>
      <c r="AX27" s="2586"/>
      <c r="AY27" s="2586"/>
      <c r="AZ27" s="2586"/>
      <c r="BA27" s="2586"/>
      <c r="BB27" s="2586"/>
      <c r="BC27" s="2586">
        <f>SUM(BC25:BK26)</f>
        <v>0</v>
      </c>
      <c r="BD27" s="2586"/>
      <c r="BE27" s="2586"/>
      <c r="BF27" s="2586"/>
      <c r="BG27" s="2586"/>
      <c r="BH27" s="2586"/>
      <c r="BI27" s="2586"/>
      <c r="BJ27" s="2586"/>
      <c r="BK27" s="2586"/>
      <c r="BL27" s="2586">
        <f>SUM(BL25:BT26)</f>
        <v>0</v>
      </c>
      <c r="BM27" s="2586"/>
      <c r="BN27" s="2586"/>
      <c r="BO27" s="2586"/>
      <c r="BP27" s="2586"/>
      <c r="BQ27" s="2586"/>
      <c r="BR27" s="2586"/>
      <c r="BS27" s="2586"/>
      <c r="BT27" s="2586"/>
      <c r="BU27" s="907"/>
    </row>
    <row r="28" spans="9:73" ht="22.5" customHeight="1" thickBot="1">
      <c r="I28" s="240"/>
      <c r="J28" s="884"/>
      <c r="K28" s="884"/>
      <c r="L28" s="884"/>
      <c r="M28" s="884"/>
      <c r="N28" s="884"/>
      <c r="O28" s="884"/>
      <c r="P28" s="884"/>
      <c r="Q28" s="884"/>
      <c r="R28" s="884"/>
      <c r="S28" s="559"/>
      <c r="T28" s="559"/>
      <c r="U28" s="559"/>
      <c r="V28" s="559"/>
      <c r="W28" s="559"/>
      <c r="X28" s="559"/>
      <c r="Y28" s="559"/>
      <c r="Z28" s="559"/>
      <c r="AA28" s="559"/>
      <c r="AB28" s="559"/>
      <c r="AC28" s="559"/>
      <c r="AD28" s="559"/>
      <c r="AE28" s="559"/>
      <c r="AF28" s="559"/>
      <c r="AG28" s="559"/>
      <c r="AH28" s="559"/>
      <c r="AI28" s="559"/>
      <c r="AJ28" s="559"/>
      <c r="AK28" s="559"/>
      <c r="AL28" s="559"/>
      <c r="AM28" s="559"/>
      <c r="AN28" s="559"/>
      <c r="AO28" s="559"/>
      <c r="AP28" s="559"/>
      <c r="AQ28" s="559"/>
      <c r="AR28" s="559"/>
      <c r="AS28" s="559"/>
      <c r="AT28" s="559"/>
      <c r="AU28" s="559"/>
      <c r="AV28" s="559"/>
      <c r="AW28" s="559"/>
      <c r="AX28" s="559"/>
      <c r="AY28" s="559"/>
      <c r="AZ28" s="559"/>
      <c r="BA28" s="559"/>
      <c r="BB28" s="559"/>
      <c r="BC28" s="559"/>
      <c r="BD28" s="559"/>
      <c r="BE28" s="559"/>
      <c r="BF28" s="559"/>
      <c r="BG28" s="559"/>
      <c r="BH28" s="559"/>
      <c r="BI28" s="559"/>
      <c r="BJ28" s="559"/>
      <c r="BK28" s="559"/>
      <c r="BL28" s="559"/>
      <c r="BM28" s="559"/>
      <c r="BN28" s="559"/>
      <c r="BO28" s="559"/>
      <c r="BP28" s="559"/>
      <c r="BQ28" s="559"/>
      <c r="BR28" s="559"/>
      <c r="BS28" s="559"/>
      <c r="BT28" s="559"/>
      <c r="BU28" s="907"/>
    </row>
    <row r="29" spans="9:73" ht="22.5" customHeight="1" thickTop="1" thickBot="1">
      <c r="I29" s="240"/>
      <c r="J29" s="2583" t="s">
        <v>1014</v>
      </c>
      <c r="K29" s="2583"/>
      <c r="L29" s="2583"/>
      <c r="M29" s="2583"/>
      <c r="N29" s="2583"/>
      <c r="O29" s="2583"/>
      <c r="P29" s="2583"/>
      <c r="Q29" s="2583"/>
      <c r="R29" s="2583"/>
      <c r="S29" s="2592">
        <f>S16-S14-S22-S27</f>
        <v>0</v>
      </c>
      <c r="T29" s="2593"/>
      <c r="U29" s="2593"/>
      <c r="V29" s="2593"/>
      <c r="W29" s="2593"/>
      <c r="X29" s="2593"/>
      <c r="Y29" s="2593"/>
      <c r="Z29" s="2593"/>
      <c r="AA29" s="2593"/>
      <c r="AB29" s="2594" t="str">
        <f>IF(AB14=0,"Enter Offer Above",AB16-AB14-AB22-AB27)</f>
        <v>Enter Offer Above</v>
      </c>
      <c r="AC29" s="2594"/>
      <c r="AD29" s="2594"/>
      <c r="AE29" s="2594"/>
      <c r="AF29" s="2594"/>
      <c r="AG29" s="2594"/>
      <c r="AH29" s="2594"/>
      <c r="AI29" s="2594"/>
      <c r="AJ29" s="2594"/>
      <c r="AK29" s="2594" t="str">
        <f>IF(AK14=0,"Enter Offer Above",AK16-AK14-AK22-AK27)</f>
        <v>Enter Offer Above</v>
      </c>
      <c r="AL29" s="2594"/>
      <c r="AM29" s="2594"/>
      <c r="AN29" s="2594"/>
      <c r="AO29" s="2594"/>
      <c r="AP29" s="2594"/>
      <c r="AQ29" s="2594"/>
      <c r="AR29" s="2594"/>
      <c r="AS29" s="2594"/>
      <c r="AT29" s="2594" t="str">
        <f>IF(AT14=0,"Enter Offer Above",AT16-AT14-AT22-AT27)</f>
        <v>Enter Offer Above</v>
      </c>
      <c r="AU29" s="2594"/>
      <c r="AV29" s="2594"/>
      <c r="AW29" s="2594"/>
      <c r="AX29" s="2594"/>
      <c r="AY29" s="2594"/>
      <c r="AZ29" s="2594"/>
      <c r="BA29" s="2594"/>
      <c r="BB29" s="2594"/>
      <c r="BC29" s="2594" t="str">
        <f>IF(BC14=0,"Enter Offer Above",BC16-BC14-BC22-BC27)</f>
        <v>Enter Offer Above</v>
      </c>
      <c r="BD29" s="2594"/>
      <c r="BE29" s="2594"/>
      <c r="BF29" s="2594"/>
      <c r="BG29" s="2594"/>
      <c r="BH29" s="2594"/>
      <c r="BI29" s="2594"/>
      <c r="BJ29" s="2594"/>
      <c r="BK29" s="2594"/>
      <c r="BL29" s="2594" t="str">
        <f>IF(BL14=0,"Enter Offer Above",BL16-BL14-BL22-BL27)</f>
        <v>Enter Offer Above</v>
      </c>
      <c r="BM29" s="2594"/>
      <c r="BN29" s="2594"/>
      <c r="BO29" s="2594"/>
      <c r="BP29" s="2594"/>
      <c r="BQ29" s="2594"/>
      <c r="BR29" s="2594"/>
      <c r="BS29" s="2594"/>
      <c r="BT29" s="2595"/>
      <c r="BU29" s="907"/>
    </row>
    <row r="30" spans="9:73" ht="22.5" customHeight="1" thickTop="1">
      <c r="I30" s="240"/>
      <c r="J30" s="2589" t="s">
        <v>1020</v>
      </c>
      <c r="K30" s="2589"/>
      <c r="L30" s="2589"/>
      <c r="M30" s="2589"/>
      <c r="N30" s="2589"/>
      <c r="O30" s="2589"/>
      <c r="P30" s="2589"/>
      <c r="Q30" s="2589"/>
      <c r="R30" s="2589"/>
      <c r="S30" s="2591" t="str">
        <f>IFERROR(IF(S14="","",S29/Total_Schedule_Cell),"")</f>
        <v/>
      </c>
      <c r="T30" s="2591"/>
      <c r="U30" s="2591"/>
      <c r="V30" s="2591"/>
      <c r="W30" s="2591"/>
      <c r="X30" s="2591"/>
      <c r="Y30" s="2591"/>
      <c r="Z30" s="2591"/>
      <c r="AA30" s="2591"/>
      <c r="AB30" s="2591" t="str">
        <f>IFERROR(IF(AB14="","",AB29/Total_Schedule_Cell),"")</f>
        <v/>
      </c>
      <c r="AC30" s="2591"/>
      <c r="AD30" s="2591"/>
      <c r="AE30" s="2591"/>
      <c r="AF30" s="2591"/>
      <c r="AG30" s="2591"/>
      <c r="AH30" s="2591"/>
      <c r="AI30" s="2591"/>
      <c r="AJ30" s="2591"/>
      <c r="AK30" s="2591" t="str">
        <f>IFERROR(IF(AK14="","",AK29/Total_Schedule_Cell),"")</f>
        <v/>
      </c>
      <c r="AL30" s="2591"/>
      <c r="AM30" s="2591"/>
      <c r="AN30" s="2591"/>
      <c r="AO30" s="2591"/>
      <c r="AP30" s="2591"/>
      <c r="AQ30" s="2591"/>
      <c r="AR30" s="2591"/>
      <c r="AS30" s="2591"/>
      <c r="AT30" s="2591" t="str">
        <f>IFERROR(IF(AT14="","",AT29/Total_Schedule_Cell),"")</f>
        <v/>
      </c>
      <c r="AU30" s="2591"/>
      <c r="AV30" s="2591"/>
      <c r="AW30" s="2591"/>
      <c r="AX30" s="2591"/>
      <c r="AY30" s="2591"/>
      <c r="AZ30" s="2591"/>
      <c r="BA30" s="2591"/>
      <c r="BB30" s="2591"/>
      <c r="BC30" s="2591" t="str">
        <f>IFERROR(IF(BC14="","",BC29/Total_Schedule_Cell),"")</f>
        <v/>
      </c>
      <c r="BD30" s="2591"/>
      <c r="BE30" s="2591"/>
      <c r="BF30" s="2591"/>
      <c r="BG30" s="2591"/>
      <c r="BH30" s="2591"/>
      <c r="BI30" s="2591"/>
      <c r="BJ30" s="2591"/>
      <c r="BK30" s="2591"/>
      <c r="BL30" s="2591" t="str">
        <f>IFERROR(IF(BL14="","",BL29/Total_Schedule_Cell),"")</f>
        <v/>
      </c>
      <c r="BM30" s="2591"/>
      <c r="BN30" s="2591"/>
      <c r="BO30" s="2591"/>
      <c r="BP30" s="2591"/>
      <c r="BQ30" s="2591"/>
      <c r="BR30" s="2591"/>
      <c r="BS30" s="2591"/>
      <c r="BT30" s="2591"/>
      <c r="BU30" s="907"/>
    </row>
    <row r="31" spans="9:73" ht="22.5" customHeight="1">
      <c r="I31" s="240"/>
      <c r="J31" s="2589" t="s">
        <v>914</v>
      </c>
      <c r="K31" s="2589"/>
      <c r="L31" s="2589"/>
      <c r="M31" s="2589"/>
      <c r="N31" s="2589"/>
      <c r="O31" s="2589"/>
      <c r="P31" s="2589"/>
      <c r="Q31" s="2589"/>
      <c r="R31" s="2589"/>
      <c r="S31" s="2590" t="str">
        <f>IFERROR(IF(S14="","",S29/Total_Cash_Needed),"")</f>
        <v/>
      </c>
      <c r="T31" s="2590"/>
      <c r="U31" s="2590"/>
      <c r="V31" s="2590"/>
      <c r="W31" s="2590"/>
      <c r="X31" s="2590"/>
      <c r="Y31" s="2590"/>
      <c r="Z31" s="2590"/>
      <c r="AA31" s="2590"/>
      <c r="AB31" s="2590" t="str">
        <f>IFERROR(IF(AB14="","",AB29/Total_Cash_Needed),"")</f>
        <v/>
      </c>
      <c r="AC31" s="2590"/>
      <c r="AD31" s="2590"/>
      <c r="AE31" s="2590"/>
      <c r="AF31" s="2590"/>
      <c r="AG31" s="2590"/>
      <c r="AH31" s="2590"/>
      <c r="AI31" s="2590"/>
      <c r="AJ31" s="2590"/>
      <c r="AK31" s="2590" t="str">
        <f>IFERROR(IF(AK14="","",AK29/Total_Cash_Needed),"")</f>
        <v/>
      </c>
      <c r="AL31" s="2590"/>
      <c r="AM31" s="2590"/>
      <c r="AN31" s="2590"/>
      <c r="AO31" s="2590"/>
      <c r="AP31" s="2590"/>
      <c r="AQ31" s="2590"/>
      <c r="AR31" s="2590"/>
      <c r="AS31" s="2590"/>
      <c r="AT31" s="2590" t="str">
        <f>IFERROR(IF(AT14="","",AT29/Total_Cash_Needed),"")</f>
        <v/>
      </c>
      <c r="AU31" s="2590"/>
      <c r="AV31" s="2590"/>
      <c r="AW31" s="2590"/>
      <c r="AX31" s="2590"/>
      <c r="AY31" s="2590"/>
      <c r="AZ31" s="2590"/>
      <c r="BA31" s="2590"/>
      <c r="BB31" s="2590"/>
      <c r="BC31" s="2590" t="str">
        <f>IFERROR(IF(BC14="","",BC29/Total_Cash_Needed),"")</f>
        <v/>
      </c>
      <c r="BD31" s="2590"/>
      <c r="BE31" s="2590"/>
      <c r="BF31" s="2590"/>
      <c r="BG31" s="2590"/>
      <c r="BH31" s="2590"/>
      <c r="BI31" s="2590"/>
      <c r="BJ31" s="2590"/>
      <c r="BK31" s="2590"/>
      <c r="BL31" s="2590" t="str">
        <f>IFERROR(IF(BL14="","",BL29/Total_Cash_Needed),"")</f>
        <v/>
      </c>
      <c r="BM31" s="2590"/>
      <c r="BN31" s="2590"/>
      <c r="BO31" s="2590"/>
      <c r="BP31" s="2590"/>
      <c r="BQ31" s="2590"/>
      <c r="BR31" s="2590"/>
      <c r="BS31" s="2590"/>
      <c r="BT31" s="2590"/>
      <c r="BU31" s="907"/>
    </row>
    <row r="32" spans="9:73" ht="22.5" customHeight="1">
      <c r="I32" s="240"/>
      <c r="J32" s="2589" t="s">
        <v>1021</v>
      </c>
      <c r="K32" s="2589"/>
      <c r="L32" s="2589"/>
      <c r="M32" s="2589"/>
      <c r="N32" s="2589"/>
      <c r="O32" s="2589"/>
      <c r="P32" s="2589"/>
      <c r="Q32" s="2589"/>
      <c r="R32" s="2589"/>
      <c r="S32" s="2590" t="str">
        <f>IFERROR(IF(S14="","",S31/(Total_Schedule_Cell/12)),"")</f>
        <v/>
      </c>
      <c r="T32" s="2590"/>
      <c r="U32" s="2590"/>
      <c r="V32" s="2590"/>
      <c r="W32" s="2590"/>
      <c r="X32" s="2590"/>
      <c r="Y32" s="2590"/>
      <c r="Z32" s="2590"/>
      <c r="AA32" s="2590"/>
      <c r="AB32" s="2590" t="str">
        <f>IFERROR(IF(AB14="","",AB31/(Total_Schedule_Cell/12)),"")</f>
        <v/>
      </c>
      <c r="AC32" s="2590"/>
      <c r="AD32" s="2590"/>
      <c r="AE32" s="2590"/>
      <c r="AF32" s="2590"/>
      <c r="AG32" s="2590"/>
      <c r="AH32" s="2590"/>
      <c r="AI32" s="2590"/>
      <c r="AJ32" s="2590"/>
      <c r="AK32" s="2590" t="str">
        <f>IFERROR(IF(AK14="","",AK31/(Total_Schedule_Cell/12)),"")</f>
        <v/>
      </c>
      <c r="AL32" s="2590"/>
      <c r="AM32" s="2590"/>
      <c r="AN32" s="2590"/>
      <c r="AO32" s="2590"/>
      <c r="AP32" s="2590"/>
      <c r="AQ32" s="2590"/>
      <c r="AR32" s="2590"/>
      <c r="AS32" s="2590"/>
      <c r="AT32" s="2590" t="str">
        <f>IFERROR(IF(AT14="","",AT31/(Total_Schedule_Cell/12)),"")</f>
        <v/>
      </c>
      <c r="AU32" s="2590"/>
      <c r="AV32" s="2590"/>
      <c r="AW32" s="2590"/>
      <c r="AX32" s="2590"/>
      <c r="AY32" s="2590"/>
      <c r="AZ32" s="2590"/>
      <c r="BA32" s="2590"/>
      <c r="BB32" s="2590"/>
      <c r="BC32" s="2590" t="str">
        <f>IFERROR(IF(BC14="","",BC31/(Total_Schedule_Cell/12)),"")</f>
        <v/>
      </c>
      <c r="BD32" s="2590"/>
      <c r="BE32" s="2590"/>
      <c r="BF32" s="2590"/>
      <c r="BG32" s="2590"/>
      <c r="BH32" s="2590"/>
      <c r="BI32" s="2590"/>
      <c r="BJ32" s="2590"/>
      <c r="BK32" s="2590"/>
      <c r="BL32" s="2590" t="str">
        <f>IFERROR(IF(BL14="","",BL31/(Total_Schedule_Cell/12)),"")</f>
        <v/>
      </c>
      <c r="BM32" s="2590"/>
      <c r="BN32" s="2590"/>
      <c r="BO32" s="2590"/>
      <c r="BP32" s="2590"/>
      <c r="BQ32" s="2590"/>
      <c r="BR32" s="2590"/>
      <c r="BS32" s="2590"/>
      <c r="BT32" s="2590"/>
      <c r="BU32" s="907"/>
    </row>
    <row r="33" spans="9:73" ht="22.5" customHeight="1">
      <c r="I33" s="240"/>
      <c r="J33" s="554"/>
      <c r="K33" s="554"/>
      <c r="L33" s="554"/>
      <c r="M33" s="554"/>
      <c r="N33" s="554"/>
      <c r="O33" s="554"/>
      <c r="P33" s="554"/>
      <c r="Q33" s="554"/>
      <c r="R33" s="554"/>
      <c r="S33" s="554"/>
      <c r="T33" s="554"/>
      <c r="U33" s="555"/>
      <c r="V33" s="554"/>
      <c r="W33" s="554"/>
      <c r="X33" s="554"/>
      <c r="Y33" s="554"/>
      <c r="Z33" s="554"/>
      <c r="AA33" s="554"/>
      <c r="AB33" s="554"/>
      <c r="AC33" s="554"/>
      <c r="AD33" s="554"/>
      <c r="AE33" s="554"/>
      <c r="AF33" s="554"/>
      <c r="AG33" s="554"/>
      <c r="AH33" s="554"/>
      <c r="AI33" s="554"/>
      <c r="AJ33" s="554"/>
      <c r="AK33" s="554"/>
      <c r="AL33" s="554"/>
      <c r="AM33" s="554"/>
      <c r="AN33" s="554"/>
      <c r="AO33" s="554"/>
      <c r="AP33" s="554"/>
      <c r="AQ33" s="554"/>
      <c r="AR33" s="554"/>
      <c r="AS33" s="554"/>
      <c r="AT33" s="554"/>
      <c r="AU33" s="554"/>
      <c r="AV33" s="554"/>
      <c r="AW33" s="554"/>
      <c r="AX33" s="554"/>
      <c r="AY33" s="554"/>
      <c r="AZ33" s="554"/>
      <c r="BA33" s="554"/>
      <c r="BB33" s="554"/>
      <c r="BC33" s="554"/>
      <c r="BD33" s="554"/>
      <c r="BE33" s="554"/>
      <c r="BF33" s="554"/>
      <c r="BG33" s="554"/>
      <c r="BH33" s="554"/>
      <c r="BI33" s="554"/>
      <c r="BJ33" s="554"/>
      <c r="BK33" s="554"/>
      <c r="BL33" s="554"/>
      <c r="BM33" s="554"/>
      <c r="BN33" s="554"/>
      <c r="BO33" s="554"/>
      <c r="BP33" s="554"/>
      <c r="BQ33" s="554"/>
      <c r="BR33" s="554"/>
      <c r="BS33" s="554"/>
      <c r="BT33" s="554"/>
      <c r="BU33" s="240"/>
    </row>
    <row r="34" spans="9:73" ht="22.5" customHeight="1"/>
    <row r="35" spans="9:73" ht="22.5" customHeight="1"/>
    <row r="36" spans="9:73" ht="22.5" customHeight="1"/>
    <row r="37" spans="9:73" ht="22.5" customHeight="1"/>
    <row r="38" spans="9:73" ht="22.5" customHeight="1"/>
    <row r="39" spans="9:73" ht="22.5" customHeight="1"/>
    <row r="40" spans="9:73" ht="22.5" customHeight="1"/>
    <row r="41" spans="9:73" ht="22.5" customHeight="1"/>
    <row r="42" spans="9:73" ht="22.5" customHeight="1"/>
    <row r="43" spans="9:73" ht="22.5" customHeight="1"/>
    <row r="44" spans="9:73" ht="22.5" customHeight="1"/>
    <row r="45" spans="9:73" ht="22.5" customHeight="1"/>
    <row r="46" spans="9:73" ht="22.5" customHeight="1"/>
    <row r="47" spans="9:73" ht="22.5" customHeight="1"/>
    <row r="48" spans="9:73" ht="17.25" customHeight="1"/>
    <row r="49" ht="17.25" customHeight="1"/>
  </sheetData>
  <sheetProtection algorithmName="SHA-512" hashValue="XmdC0VRsGjVDLdf/v3zyaaPaBtUqCa49TMOqf0j3PFT6BVXY6B6Otym1a9zvuHO4fn67unUKI6zJXjiZwBetoA==" saltValue="Ez/N6Cz1EF/u8n432s7Ewg==" spinCount="100000" sheet="1" objects="1" formatCells="0" formatColumns="0" formatRows="0" insertHyperlinks="0" sort="0" autoFilter="0"/>
  <mergeCells count="109">
    <mergeCell ref="A3:H3"/>
    <mergeCell ref="BL8:BT9"/>
    <mergeCell ref="S14:AA14"/>
    <mergeCell ref="AB14:AJ14"/>
    <mergeCell ref="AK14:AS14"/>
    <mergeCell ref="AT14:BB14"/>
    <mergeCell ref="BC14:BK14"/>
    <mergeCell ref="BL14:BT14"/>
    <mergeCell ref="BL13:BT13"/>
    <mergeCell ref="S13:AA13"/>
    <mergeCell ref="S8:AA9"/>
    <mergeCell ref="AB8:AJ9"/>
    <mergeCell ref="AK8:AS9"/>
    <mergeCell ref="AT8:BB9"/>
    <mergeCell ref="BC8:BK9"/>
    <mergeCell ref="I3:U3"/>
    <mergeCell ref="BC19:BK19"/>
    <mergeCell ref="AK20:AS20"/>
    <mergeCell ref="BL19:BT19"/>
    <mergeCell ref="AT19:BB19"/>
    <mergeCell ref="S19:AA19"/>
    <mergeCell ref="AB19:AJ19"/>
    <mergeCell ref="AK19:AS19"/>
    <mergeCell ref="S20:AA20"/>
    <mergeCell ref="AB20:AJ20"/>
    <mergeCell ref="J29:R29"/>
    <mergeCell ref="S29:AA29"/>
    <mergeCell ref="BC22:BK22"/>
    <mergeCell ref="AT21:BB21"/>
    <mergeCell ref="BC21:BK21"/>
    <mergeCell ref="BL21:BT21"/>
    <mergeCell ref="AB29:AJ29"/>
    <mergeCell ref="AK29:AS29"/>
    <mergeCell ref="AT29:BB29"/>
    <mergeCell ref="BC29:BK29"/>
    <mergeCell ref="BL29:BT29"/>
    <mergeCell ref="BL22:BT22"/>
    <mergeCell ref="AB25:AJ25"/>
    <mergeCell ref="AK25:AS25"/>
    <mergeCell ref="BL27:BT27"/>
    <mergeCell ref="BL25:BT25"/>
    <mergeCell ref="BC26:BK26"/>
    <mergeCell ref="BC27:BK27"/>
    <mergeCell ref="BL26:BT26"/>
    <mergeCell ref="AB22:AJ22"/>
    <mergeCell ref="AK22:AS22"/>
    <mergeCell ref="AT22:BB22"/>
    <mergeCell ref="BC25:BK25"/>
    <mergeCell ref="S21:AA21"/>
    <mergeCell ref="BL32:BT32"/>
    <mergeCell ref="J32:R32"/>
    <mergeCell ref="S32:AA32"/>
    <mergeCell ref="AB32:AJ32"/>
    <mergeCell ref="AK32:AS32"/>
    <mergeCell ref="AT32:BB32"/>
    <mergeCell ref="BC32:BK32"/>
    <mergeCell ref="BC30:BK30"/>
    <mergeCell ref="BL30:BT30"/>
    <mergeCell ref="J31:R31"/>
    <mergeCell ref="S31:AA31"/>
    <mergeCell ref="AB31:AJ31"/>
    <mergeCell ref="AK31:AS31"/>
    <mergeCell ref="AT31:BB31"/>
    <mergeCell ref="BC31:BK31"/>
    <mergeCell ref="BL31:BT31"/>
    <mergeCell ref="J30:R30"/>
    <mergeCell ref="S30:AA30"/>
    <mergeCell ref="AB30:AJ30"/>
    <mergeCell ref="AK30:AS30"/>
    <mergeCell ref="AT30:BB30"/>
    <mergeCell ref="J27:R27"/>
    <mergeCell ref="S24:AA24"/>
    <mergeCell ref="S27:AA27"/>
    <mergeCell ref="AB27:AJ27"/>
    <mergeCell ref="AK27:AS27"/>
    <mergeCell ref="AT27:BB27"/>
    <mergeCell ref="AT25:BB25"/>
    <mergeCell ref="J25:R25"/>
    <mergeCell ref="J24:R24"/>
    <mergeCell ref="J26:R26"/>
    <mergeCell ref="S25:AA25"/>
    <mergeCell ref="S26:AA26"/>
    <mergeCell ref="AB26:AJ26"/>
    <mergeCell ref="AK26:AS26"/>
    <mergeCell ref="AT26:BB26"/>
    <mergeCell ref="J21:R21"/>
    <mergeCell ref="J22:R22"/>
    <mergeCell ref="I6:BU6"/>
    <mergeCell ref="AB13:AJ13"/>
    <mergeCell ref="AK13:AS13"/>
    <mergeCell ref="AT13:BB13"/>
    <mergeCell ref="BC13:BK13"/>
    <mergeCell ref="J14:R14"/>
    <mergeCell ref="BL16:BT16"/>
    <mergeCell ref="J18:R18"/>
    <mergeCell ref="J19:R19"/>
    <mergeCell ref="J20:R20"/>
    <mergeCell ref="J16:R16"/>
    <mergeCell ref="AB21:AJ21"/>
    <mergeCell ref="AK21:AS21"/>
    <mergeCell ref="S22:AA22"/>
    <mergeCell ref="AT20:BB20"/>
    <mergeCell ref="S16:AA16"/>
    <mergeCell ref="AB16:AJ16"/>
    <mergeCell ref="AK16:AS16"/>
    <mergeCell ref="AT16:BB16"/>
    <mergeCell ref="BC16:BK16"/>
    <mergeCell ref="BC20:BK20"/>
    <mergeCell ref="BL20:BT20"/>
  </mergeCells>
  <conditionalFormatting sqref="AB29:AJ29">
    <cfRule type="expression" dxfId="174" priority="2">
      <formula>AB$14=""</formula>
    </cfRule>
  </conditionalFormatting>
  <conditionalFormatting sqref="AK29:BT29">
    <cfRule type="expression" dxfId="173" priority="1">
      <formula>AK$14=""</formula>
    </cfRule>
  </conditionalFormatting>
  <conditionalFormatting sqref="S29:BT29">
    <cfRule type="cellIs" dxfId="172" priority="3" operator="greaterThan">
      <formula>0</formula>
    </cfRule>
    <cfRule type="cellIs" dxfId="171" priority="4" operator="lessThan">
      <formula>0</formula>
    </cfRule>
  </conditionalFormatting>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wsCOMPS">
    <tabColor theme="4"/>
  </sheetPr>
  <dimension ref="I1:BV52"/>
  <sheetViews>
    <sheetView showGridLines="0" showRowColHeaders="0" zoomScaleNormal="100" workbookViewId="0">
      <pane ySplit="2" topLeftCell="A3" activePane="bottomLeft" state="frozen"/>
      <selection pane="bottomLeft" activeCell="AJ6" sqref="AJ6:AV6"/>
    </sheetView>
  </sheetViews>
  <sheetFormatPr defaultColWidth="2.34765625" defaultRowHeight="15.7"/>
  <cols>
    <col min="1" max="13" width="2.34765625" style="533"/>
    <col min="14" max="14" width="2.34765625" style="534"/>
    <col min="15" max="16384" width="2.34765625" style="533"/>
  </cols>
  <sheetData>
    <row r="1" spans="9:74" s="242" customFormat="1" ht="45" customHeight="1">
      <c r="N1" s="243"/>
    </row>
    <row r="2" spans="9:74" s="435" customFormat="1" ht="37.5" customHeight="1">
      <c r="I2" s="2733" t="s">
        <v>1351</v>
      </c>
      <c r="J2" s="2733"/>
      <c r="K2" s="2733"/>
      <c r="L2" s="2733"/>
      <c r="M2" s="2733"/>
      <c r="N2" s="2733"/>
      <c r="O2" s="2733"/>
      <c r="P2" s="2733"/>
      <c r="Q2" s="2733"/>
      <c r="R2" s="2733"/>
      <c r="S2" s="2733"/>
      <c r="T2" s="2733"/>
      <c r="U2" s="2733"/>
    </row>
    <row r="3" spans="9:74" ht="11.25" customHeight="1"/>
    <row r="4" spans="9:74" ht="27" customHeight="1" thickBot="1">
      <c r="M4" s="2737" t="s">
        <v>1257</v>
      </c>
      <c r="N4" s="2737"/>
      <c r="O4" s="2737"/>
      <c r="P4" s="2737"/>
      <c r="Q4" s="2737"/>
      <c r="R4" s="2737"/>
      <c r="S4" s="2737"/>
      <c r="T4" s="2737"/>
      <c r="U4" s="2737"/>
      <c r="V4" s="2737"/>
      <c r="W4" s="2737"/>
      <c r="X4" s="2737"/>
      <c r="Y4" s="2737"/>
      <c r="Z4" s="2737"/>
      <c r="AA4" s="2737"/>
      <c r="AB4" s="2737"/>
      <c r="AC4" s="2737"/>
      <c r="AD4" s="2737"/>
      <c r="AE4" s="2737"/>
      <c r="AF4" s="2737"/>
      <c r="AG4" s="2737"/>
      <c r="AH4" s="2737"/>
      <c r="AI4" s="2737"/>
      <c r="AJ4" s="2737"/>
      <c r="AK4" s="2737"/>
      <c r="AL4" s="2737"/>
      <c r="AM4" s="2737"/>
      <c r="AN4" s="2737"/>
      <c r="AO4" s="2737"/>
      <c r="AP4" s="2737"/>
      <c r="AQ4" s="2737"/>
      <c r="AR4" s="2737"/>
      <c r="AS4" s="2737"/>
      <c r="AT4" s="2737"/>
      <c r="AU4" s="2737"/>
      <c r="AV4" s="2737"/>
      <c r="AW4" s="2737"/>
      <c r="AX4" s="2737"/>
      <c r="AY4" s="2737"/>
      <c r="AZ4" s="2737"/>
      <c r="BA4" s="2737"/>
      <c r="BB4" s="2737"/>
      <c r="BC4" s="2737"/>
      <c r="BD4" s="2737"/>
      <c r="BE4" s="2737"/>
      <c r="BF4" s="2737"/>
      <c r="BG4" s="2737"/>
      <c r="BH4" s="2737"/>
      <c r="BI4" s="2737"/>
      <c r="BJ4" s="2737"/>
      <c r="BK4" s="2737"/>
      <c r="BL4" s="2737"/>
      <c r="BM4" s="2737"/>
      <c r="BN4" s="2737"/>
      <c r="BO4" s="2737"/>
      <c r="BP4" s="2737"/>
      <c r="BQ4" s="2737"/>
      <c r="BR4" s="2737"/>
      <c r="BS4" s="2737"/>
      <c r="BT4" s="2737"/>
      <c r="BU4" s="2737"/>
      <c r="BV4" s="2737"/>
    </row>
    <row r="5" spans="9:74" ht="26.25" customHeight="1">
      <c r="M5" s="2670" t="s">
        <v>1258</v>
      </c>
      <c r="N5" s="2718"/>
      <c r="O5" s="2718"/>
      <c r="P5" s="2718"/>
      <c r="Q5" s="2718"/>
      <c r="R5" s="2718"/>
      <c r="S5" s="2718"/>
      <c r="T5" s="2718"/>
      <c r="U5" s="2718"/>
      <c r="V5" s="2738"/>
      <c r="W5" s="2717" t="s">
        <v>1262</v>
      </c>
      <c r="X5" s="2718"/>
      <c r="Y5" s="2718"/>
      <c r="Z5" s="2718"/>
      <c r="AA5" s="2718"/>
      <c r="AB5" s="2718"/>
      <c r="AC5" s="2718"/>
      <c r="AD5" s="2718"/>
      <c r="AE5" s="2718"/>
      <c r="AF5" s="2718"/>
      <c r="AG5" s="2718"/>
      <c r="AH5" s="2718"/>
      <c r="AI5" s="2719"/>
      <c r="AJ5" s="2720" t="s">
        <v>1263</v>
      </c>
      <c r="AK5" s="2721"/>
      <c r="AL5" s="2721"/>
      <c r="AM5" s="2721"/>
      <c r="AN5" s="2721"/>
      <c r="AO5" s="2721"/>
      <c r="AP5" s="2721"/>
      <c r="AQ5" s="2721"/>
      <c r="AR5" s="2721"/>
      <c r="AS5" s="2721"/>
      <c r="AT5" s="2721"/>
      <c r="AU5" s="2721"/>
      <c r="AV5" s="2722"/>
      <c r="AW5" s="2720" t="s">
        <v>1264</v>
      </c>
      <c r="AX5" s="2721"/>
      <c r="AY5" s="2721"/>
      <c r="AZ5" s="2721"/>
      <c r="BA5" s="2721"/>
      <c r="BB5" s="2721"/>
      <c r="BC5" s="2721"/>
      <c r="BD5" s="2721"/>
      <c r="BE5" s="2721"/>
      <c r="BF5" s="2721"/>
      <c r="BG5" s="2721"/>
      <c r="BH5" s="2721"/>
      <c r="BI5" s="2739"/>
      <c r="BJ5" s="2720" t="s">
        <v>1265</v>
      </c>
      <c r="BK5" s="2721"/>
      <c r="BL5" s="2721"/>
      <c r="BM5" s="2721"/>
      <c r="BN5" s="2721"/>
      <c r="BO5" s="2721"/>
      <c r="BP5" s="2721"/>
      <c r="BQ5" s="2721"/>
      <c r="BR5" s="2721"/>
      <c r="BS5" s="2721"/>
      <c r="BT5" s="2721"/>
      <c r="BU5" s="2721"/>
      <c r="BV5" s="2722"/>
    </row>
    <row r="6" spans="9:74" ht="20.25" customHeight="1">
      <c r="M6" s="2649" t="s">
        <v>609</v>
      </c>
      <c r="N6" s="2488"/>
      <c r="O6" s="2488"/>
      <c r="P6" s="2488"/>
      <c r="Q6" s="2488"/>
      <c r="R6" s="2488"/>
      <c r="S6" s="2488"/>
      <c r="T6" s="2488"/>
      <c r="U6" s="2488"/>
      <c r="V6" s="2650"/>
      <c r="W6" s="2723" t="str">
        <f>T('ANALYSIS DATABASE'!C8)</f>
        <v/>
      </c>
      <c r="X6" s="2724"/>
      <c r="Y6" s="2724"/>
      <c r="Z6" s="2724"/>
      <c r="AA6" s="2724"/>
      <c r="AB6" s="2724"/>
      <c r="AC6" s="2724"/>
      <c r="AD6" s="2724"/>
      <c r="AE6" s="2724"/>
      <c r="AF6" s="2724"/>
      <c r="AG6" s="2724"/>
      <c r="AH6" s="2724"/>
      <c r="AI6" s="2725"/>
      <c r="AJ6" s="2706"/>
      <c r="AK6" s="2707"/>
      <c r="AL6" s="2707"/>
      <c r="AM6" s="2707"/>
      <c r="AN6" s="2707"/>
      <c r="AO6" s="2707"/>
      <c r="AP6" s="2707"/>
      <c r="AQ6" s="2707"/>
      <c r="AR6" s="2707"/>
      <c r="AS6" s="2707"/>
      <c r="AT6" s="2707"/>
      <c r="AU6" s="2707"/>
      <c r="AV6" s="2708"/>
      <c r="AW6" s="2706"/>
      <c r="AX6" s="2707"/>
      <c r="AY6" s="2707"/>
      <c r="AZ6" s="2707"/>
      <c r="BA6" s="2707"/>
      <c r="BB6" s="2707"/>
      <c r="BC6" s="2707"/>
      <c r="BD6" s="2707"/>
      <c r="BE6" s="2707"/>
      <c r="BF6" s="2707"/>
      <c r="BG6" s="2707"/>
      <c r="BH6" s="2707"/>
      <c r="BI6" s="2708"/>
      <c r="BJ6" s="2706"/>
      <c r="BK6" s="2707"/>
      <c r="BL6" s="2707"/>
      <c r="BM6" s="2707"/>
      <c r="BN6" s="2707"/>
      <c r="BO6" s="2707"/>
      <c r="BP6" s="2707"/>
      <c r="BQ6" s="2707"/>
      <c r="BR6" s="2707"/>
      <c r="BS6" s="2707"/>
      <c r="BT6" s="2707"/>
      <c r="BU6" s="2707"/>
      <c r="BV6" s="2708"/>
    </row>
    <row r="7" spans="9:74" ht="20.25" customHeight="1">
      <c r="M7" s="2649" t="s">
        <v>1259</v>
      </c>
      <c r="N7" s="2488"/>
      <c r="O7" s="2488"/>
      <c r="P7" s="2488"/>
      <c r="Q7" s="2488"/>
      <c r="R7" s="2488"/>
      <c r="S7" s="2488"/>
      <c r="T7" s="2488"/>
      <c r="U7" s="2488"/>
      <c r="V7" s="2650"/>
      <c r="W7" s="2723" t="str">
        <f>T('ANALYSIS DATABASE'!C9)</f>
        <v/>
      </c>
      <c r="X7" s="2724"/>
      <c r="Y7" s="2724"/>
      <c r="Z7" s="2724"/>
      <c r="AA7" s="2724"/>
      <c r="AB7" s="2724"/>
      <c r="AC7" s="2724"/>
      <c r="AD7" s="2724"/>
      <c r="AE7" s="2724"/>
      <c r="AF7" s="2724"/>
      <c r="AG7" s="2724"/>
      <c r="AH7" s="2724"/>
      <c r="AI7" s="2725"/>
      <c r="AJ7" s="2706"/>
      <c r="AK7" s="2707"/>
      <c r="AL7" s="2707"/>
      <c r="AM7" s="2707"/>
      <c r="AN7" s="2707"/>
      <c r="AO7" s="2707"/>
      <c r="AP7" s="2707"/>
      <c r="AQ7" s="2707"/>
      <c r="AR7" s="2707"/>
      <c r="AS7" s="2707"/>
      <c r="AT7" s="2707"/>
      <c r="AU7" s="2707"/>
      <c r="AV7" s="2708"/>
      <c r="AW7" s="2706"/>
      <c r="AX7" s="2707"/>
      <c r="AY7" s="2707"/>
      <c r="AZ7" s="2707"/>
      <c r="BA7" s="2707"/>
      <c r="BB7" s="2707"/>
      <c r="BC7" s="2707"/>
      <c r="BD7" s="2707"/>
      <c r="BE7" s="2707"/>
      <c r="BF7" s="2707"/>
      <c r="BG7" s="2707"/>
      <c r="BH7" s="2707"/>
      <c r="BI7" s="2716"/>
      <c r="BJ7" s="2706"/>
      <c r="BK7" s="2707"/>
      <c r="BL7" s="2707"/>
      <c r="BM7" s="2707"/>
      <c r="BN7" s="2707"/>
      <c r="BO7" s="2707"/>
      <c r="BP7" s="2707"/>
      <c r="BQ7" s="2707"/>
      <c r="BR7" s="2707"/>
      <c r="BS7" s="2707"/>
      <c r="BT7" s="2707"/>
      <c r="BU7" s="2707"/>
      <c r="BV7" s="2708"/>
    </row>
    <row r="8" spans="9:74" ht="20.25" customHeight="1">
      <c r="M8" s="2649" t="s">
        <v>1267</v>
      </c>
      <c r="N8" s="2488"/>
      <c r="O8" s="2488"/>
      <c r="P8" s="2488"/>
      <c r="Q8" s="2488"/>
      <c r="R8" s="2488"/>
      <c r="S8" s="2488"/>
      <c r="T8" s="2488"/>
      <c r="U8" s="2488"/>
      <c r="V8" s="2650"/>
      <c r="W8" s="2723" t="str">
        <f>T('ANALYSIS DATABASE'!C11)</f>
        <v/>
      </c>
      <c r="X8" s="2724"/>
      <c r="Y8" s="2724"/>
      <c r="Z8" s="2724"/>
      <c r="AA8" s="2724"/>
      <c r="AB8" s="2724"/>
      <c r="AC8" s="2724"/>
      <c r="AD8" s="2724"/>
      <c r="AE8" s="2724"/>
      <c r="AF8" s="2724"/>
      <c r="AG8" s="2724"/>
      <c r="AH8" s="2724"/>
      <c r="AI8" s="2725"/>
      <c r="AJ8" s="2706"/>
      <c r="AK8" s="2707"/>
      <c r="AL8" s="2707"/>
      <c r="AM8" s="2707"/>
      <c r="AN8" s="2707"/>
      <c r="AO8" s="2707"/>
      <c r="AP8" s="2707"/>
      <c r="AQ8" s="2707"/>
      <c r="AR8" s="2707"/>
      <c r="AS8" s="2707"/>
      <c r="AT8" s="2707"/>
      <c r="AU8" s="2707"/>
      <c r="AV8" s="2708"/>
      <c r="AW8" s="2706"/>
      <c r="AX8" s="2707"/>
      <c r="AY8" s="2707"/>
      <c r="AZ8" s="2707"/>
      <c r="BA8" s="2707"/>
      <c r="BB8" s="2707"/>
      <c r="BC8" s="2707"/>
      <c r="BD8" s="2707"/>
      <c r="BE8" s="2707"/>
      <c r="BF8" s="2707"/>
      <c r="BG8" s="2707"/>
      <c r="BH8" s="2707"/>
      <c r="BI8" s="2716"/>
      <c r="BJ8" s="2706"/>
      <c r="BK8" s="2707"/>
      <c r="BL8" s="2707"/>
      <c r="BM8" s="2707"/>
      <c r="BN8" s="2707"/>
      <c r="BO8" s="2707"/>
      <c r="BP8" s="2707"/>
      <c r="BQ8" s="2707"/>
      <c r="BR8" s="2707"/>
      <c r="BS8" s="2707"/>
      <c r="BT8" s="2707"/>
      <c r="BU8" s="2707"/>
      <c r="BV8" s="2708"/>
    </row>
    <row r="9" spans="9:74" ht="20.25" customHeight="1">
      <c r="M9" s="2649" t="s">
        <v>83</v>
      </c>
      <c r="N9" s="2488"/>
      <c r="O9" s="2488"/>
      <c r="P9" s="2488"/>
      <c r="Q9" s="2488"/>
      <c r="R9" s="2488"/>
      <c r="S9" s="2488"/>
      <c r="T9" s="2488"/>
      <c r="U9" s="2488"/>
      <c r="V9" s="2650"/>
      <c r="W9" s="2723" t="str">
        <f>T('ANALYSIS DATABASE'!C12)</f>
        <v/>
      </c>
      <c r="X9" s="2724"/>
      <c r="Y9" s="2724"/>
      <c r="Z9" s="2724"/>
      <c r="AA9" s="2724"/>
      <c r="AB9" s="2724"/>
      <c r="AC9" s="2724"/>
      <c r="AD9" s="2724"/>
      <c r="AE9" s="2724"/>
      <c r="AF9" s="2724"/>
      <c r="AG9" s="2724"/>
      <c r="AH9" s="2724"/>
      <c r="AI9" s="2725"/>
      <c r="AJ9" s="2706"/>
      <c r="AK9" s="2707"/>
      <c r="AL9" s="2707"/>
      <c r="AM9" s="2707"/>
      <c r="AN9" s="2707"/>
      <c r="AO9" s="2707"/>
      <c r="AP9" s="2707"/>
      <c r="AQ9" s="2707"/>
      <c r="AR9" s="2707"/>
      <c r="AS9" s="2707"/>
      <c r="AT9" s="2707"/>
      <c r="AU9" s="2707"/>
      <c r="AV9" s="2708"/>
      <c r="AW9" s="2706"/>
      <c r="AX9" s="2707"/>
      <c r="AY9" s="2707"/>
      <c r="AZ9" s="2707"/>
      <c r="BA9" s="2707"/>
      <c r="BB9" s="2707"/>
      <c r="BC9" s="2707"/>
      <c r="BD9" s="2707"/>
      <c r="BE9" s="2707"/>
      <c r="BF9" s="2707"/>
      <c r="BG9" s="2707"/>
      <c r="BH9" s="2707"/>
      <c r="BI9" s="2716"/>
      <c r="BJ9" s="2706"/>
      <c r="BK9" s="2707"/>
      <c r="BL9" s="2707"/>
      <c r="BM9" s="2707"/>
      <c r="BN9" s="2707"/>
      <c r="BO9" s="2707"/>
      <c r="BP9" s="2707"/>
      <c r="BQ9" s="2707"/>
      <c r="BR9" s="2707"/>
      <c r="BS9" s="2707"/>
      <c r="BT9" s="2707"/>
      <c r="BU9" s="2707"/>
      <c r="BV9" s="2708"/>
    </row>
    <row r="10" spans="9:74" ht="20.25" customHeight="1">
      <c r="M10" s="2649" t="s">
        <v>1269</v>
      </c>
      <c r="N10" s="2488"/>
      <c r="O10" s="2488"/>
      <c r="P10" s="2488"/>
      <c r="Q10" s="2488"/>
      <c r="R10" s="2488"/>
      <c r="S10" s="2488"/>
      <c r="T10" s="2488"/>
      <c r="U10" s="2488"/>
      <c r="V10" s="2650"/>
      <c r="W10" s="2697">
        <f>After_Repair_Value_Result</f>
        <v>0</v>
      </c>
      <c r="X10" s="2698"/>
      <c r="Y10" s="2698"/>
      <c r="Z10" s="2698"/>
      <c r="AA10" s="2698"/>
      <c r="AB10" s="2698"/>
      <c r="AC10" s="2698"/>
      <c r="AD10" s="2698"/>
      <c r="AE10" s="2698"/>
      <c r="AF10" s="2698"/>
      <c r="AG10" s="2698"/>
      <c r="AH10" s="2698"/>
      <c r="AI10" s="2699"/>
      <c r="AJ10" s="2712"/>
      <c r="AK10" s="2713"/>
      <c r="AL10" s="2713"/>
      <c r="AM10" s="2713"/>
      <c r="AN10" s="2713"/>
      <c r="AO10" s="2713"/>
      <c r="AP10" s="2713"/>
      <c r="AQ10" s="2713"/>
      <c r="AR10" s="2713"/>
      <c r="AS10" s="2713"/>
      <c r="AT10" s="2713"/>
      <c r="AU10" s="2713"/>
      <c r="AV10" s="2715"/>
      <c r="AW10" s="2712"/>
      <c r="AX10" s="2713"/>
      <c r="AY10" s="2713"/>
      <c r="AZ10" s="2713"/>
      <c r="BA10" s="2713"/>
      <c r="BB10" s="2713"/>
      <c r="BC10" s="2713"/>
      <c r="BD10" s="2713"/>
      <c r="BE10" s="2713"/>
      <c r="BF10" s="2713"/>
      <c r="BG10" s="2713"/>
      <c r="BH10" s="2713"/>
      <c r="BI10" s="2714"/>
      <c r="BJ10" s="2712"/>
      <c r="BK10" s="2713"/>
      <c r="BL10" s="2713"/>
      <c r="BM10" s="2713"/>
      <c r="BN10" s="2713"/>
      <c r="BO10" s="2713"/>
      <c r="BP10" s="2713"/>
      <c r="BQ10" s="2713"/>
      <c r="BR10" s="2713"/>
      <c r="BS10" s="2713"/>
      <c r="BT10" s="2713"/>
      <c r="BU10" s="2713"/>
      <c r="BV10" s="2715"/>
    </row>
    <row r="11" spans="9:74" ht="20.25" customHeight="1">
      <c r="M11" s="2649" t="s">
        <v>1271</v>
      </c>
      <c r="N11" s="2488"/>
      <c r="O11" s="2488"/>
      <c r="P11" s="2488"/>
      <c r="Q11" s="2488"/>
      <c r="R11" s="2488"/>
      <c r="S11" s="2488"/>
      <c r="T11" s="2488"/>
      <c r="U11" s="2488"/>
      <c r="V11" s="2650"/>
      <c r="W11" s="2726"/>
      <c r="X11" s="2727"/>
      <c r="Y11" s="2727"/>
      <c r="Z11" s="2727"/>
      <c r="AA11" s="2727"/>
      <c r="AB11" s="2727"/>
      <c r="AC11" s="2727"/>
      <c r="AD11" s="2727"/>
      <c r="AE11" s="2727"/>
      <c r="AF11" s="2727"/>
      <c r="AG11" s="2727"/>
      <c r="AH11" s="2727"/>
      <c r="AI11" s="2728"/>
      <c r="AJ11" s="2706"/>
      <c r="AK11" s="2707"/>
      <c r="AL11" s="2707"/>
      <c r="AM11" s="2707"/>
      <c r="AN11" s="2707"/>
      <c r="AO11" s="2707"/>
      <c r="AP11" s="2707"/>
      <c r="AQ11" s="2707"/>
      <c r="AR11" s="2707"/>
      <c r="AS11" s="2707"/>
      <c r="AT11" s="2707"/>
      <c r="AU11" s="2707"/>
      <c r="AV11" s="2708"/>
      <c r="AW11" s="2706"/>
      <c r="AX11" s="2707"/>
      <c r="AY11" s="2707"/>
      <c r="AZ11" s="2707"/>
      <c r="BA11" s="2707"/>
      <c r="BB11" s="2707"/>
      <c r="BC11" s="2707"/>
      <c r="BD11" s="2707"/>
      <c r="BE11" s="2707"/>
      <c r="BF11" s="2707"/>
      <c r="BG11" s="2707"/>
      <c r="BH11" s="2707"/>
      <c r="BI11" s="2716"/>
      <c r="BJ11" s="2706"/>
      <c r="BK11" s="2707"/>
      <c r="BL11" s="2707"/>
      <c r="BM11" s="2707"/>
      <c r="BN11" s="2707"/>
      <c r="BO11" s="2707"/>
      <c r="BP11" s="2707"/>
      <c r="BQ11" s="2707"/>
      <c r="BR11" s="2707"/>
      <c r="BS11" s="2707"/>
      <c r="BT11" s="2707"/>
      <c r="BU11" s="2707"/>
      <c r="BV11" s="2708"/>
    </row>
    <row r="12" spans="9:74" ht="20.25" customHeight="1">
      <c r="M12" s="2649" t="s">
        <v>1270</v>
      </c>
      <c r="N12" s="2488"/>
      <c r="O12" s="2488"/>
      <c r="P12" s="2488"/>
      <c r="Q12" s="2488"/>
      <c r="R12" s="2488"/>
      <c r="S12" s="2488"/>
      <c r="T12" s="2488"/>
      <c r="U12" s="2488"/>
      <c r="V12" s="2650"/>
      <c r="W12" s="2726"/>
      <c r="X12" s="2727"/>
      <c r="Y12" s="2727"/>
      <c r="Z12" s="2727"/>
      <c r="AA12" s="2727"/>
      <c r="AB12" s="2727"/>
      <c r="AC12" s="2727"/>
      <c r="AD12" s="2727"/>
      <c r="AE12" s="2727"/>
      <c r="AF12" s="2727"/>
      <c r="AG12" s="2727"/>
      <c r="AH12" s="2727"/>
      <c r="AI12" s="2728"/>
      <c r="AJ12" s="2709"/>
      <c r="AK12" s="2710"/>
      <c r="AL12" s="2710"/>
      <c r="AM12" s="2710"/>
      <c r="AN12" s="2710"/>
      <c r="AO12" s="2710"/>
      <c r="AP12" s="2710"/>
      <c r="AQ12" s="2710"/>
      <c r="AR12" s="2710"/>
      <c r="AS12" s="2710"/>
      <c r="AT12" s="2710"/>
      <c r="AU12" s="2710"/>
      <c r="AV12" s="2711"/>
      <c r="AW12" s="2709"/>
      <c r="AX12" s="2710"/>
      <c r="AY12" s="2710"/>
      <c r="AZ12" s="2710"/>
      <c r="BA12" s="2710"/>
      <c r="BB12" s="2710"/>
      <c r="BC12" s="2710"/>
      <c r="BD12" s="2710"/>
      <c r="BE12" s="2710"/>
      <c r="BF12" s="2710"/>
      <c r="BG12" s="2710"/>
      <c r="BH12" s="2710"/>
      <c r="BI12" s="2740"/>
      <c r="BJ12" s="2709"/>
      <c r="BK12" s="2710"/>
      <c r="BL12" s="2710"/>
      <c r="BM12" s="2710"/>
      <c r="BN12" s="2710"/>
      <c r="BO12" s="2710"/>
      <c r="BP12" s="2710"/>
      <c r="BQ12" s="2710"/>
      <c r="BR12" s="2710"/>
      <c r="BS12" s="2710"/>
      <c r="BT12" s="2710"/>
      <c r="BU12" s="2710"/>
      <c r="BV12" s="2711"/>
    </row>
    <row r="13" spans="9:74" ht="20.25" customHeight="1" thickBot="1">
      <c r="M13" s="2730" t="s">
        <v>1268</v>
      </c>
      <c r="N13" s="2731"/>
      <c r="O13" s="2731"/>
      <c r="P13" s="2731"/>
      <c r="Q13" s="2731"/>
      <c r="R13" s="2731"/>
      <c r="S13" s="2731"/>
      <c r="T13" s="2731"/>
      <c r="U13" s="2731"/>
      <c r="V13" s="2732"/>
      <c r="W13" s="2690"/>
      <c r="X13" s="2691"/>
      <c r="Y13" s="2691"/>
      <c r="Z13" s="2691"/>
      <c r="AA13" s="2691"/>
      <c r="AB13" s="2691"/>
      <c r="AC13" s="2691"/>
      <c r="AD13" s="2691"/>
      <c r="AE13" s="2691"/>
      <c r="AF13" s="2691"/>
      <c r="AG13" s="2691"/>
      <c r="AH13" s="2691"/>
      <c r="AI13" s="2692"/>
      <c r="AJ13" s="2693"/>
      <c r="AK13" s="2694"/>
      <c r="AL13" s="2694"/>
      <c r="AM13" s="2694"/>
      <c r="AN13" s="2694"/>
      <c r="AO13" s="2694"/>
      <c r="AP13" s="2694"/>
      <c r="AQ13" s="2694"/>
      <c r="AR13" s="2694"/>
      <c r="AS13" s="2694"/>
      <c r="AT13" s="2694"/>
      <c r="AU13" s="2694"/>
      <c r="AV13" s="2695"/>
      <c r="AW13" s="2693"/>
      <c r="AX13" s="2694"/>
      <c r="AY13" s="2694"/>
      <c r="AZ13" s="2694"/>
      <c r="BA13" s="2694"/>
      <c r="BB13" s="2694"/>
      <c r="BC13" s="2694"/>
      <c r="BD13" s="2694"/>
      <c r="BE13" s="2694"/>
      <c r="BF13" s="2694"/>
      <c r="BG13" s="2694"/>
      <c r="BH13" s="2694"/>
      <c r="BI13" s="2696"/>
      <c r="BJ13" s="2693"/>
      <c r="BK13" s="2694"/>
      <c r="BL13" s="2694"/>
      <c r="BM13" s="2694"/>
      <c r="BN13" s="2694"/>
      <c r="BO13" s="2694"/>
      <c r="BP13" s="2694"/>
      <c r="BQ13" s="2694"/>
      <c r="BR13" s="2694"/>
      <c r="BS13" s="2694"/>
      <c r="BT13" s="2694"/>
      <c r="BU13" s="2694"/>
      <c r="BV13" s="2695"/>
    </row>
    <row r="14" spans="9:74" ht="27" customHeight="1" thickBot="1">
      <c r="M14" s="2729" t="s">
        <v>1275</v>
      </c>
      <c r="N14" s="2729"/>
      <c r="O14" s="2729"/>
      <c r="P14" s="2729"/>
      <c r="Q14" s="2729"/>
      <c r="R14" s="2729"/>
      <c r="S14" s="2729"/>
      <c r="T14" s="2729"/>
      <c r="U14" s="2729"/>
      <c r="V14" s="2729"/>
      <c r="W14" s="2729"/>
      <c r="X14" s="2729"/>
      <c r="Y14" s="2729"/>
      <c r="Z14" s="2729"/>
      <c r="AA14" s="2729"/>
      <c r="AB14" s="2729"/>
      <c r="AC14" s="2729"/>
      <c r="AD14" s="2729"/>
      <c r="AE14" s="2729"/>
      <c r="AF14" s="2729"/>
      <c r="AG14" s="2729"/>
      <c r="AH14" s="2729"/>
      <c r="AI14" s="2729"/>
      <c r="AJ14" s="2729"/>
      <c r="AK14" s="2729"/>
      <c r="AL14" s="2729"/>
      <c r="AM14" s="2729"/>
      <c r="AN14" s="2729"/>
      <c r="AO14" s="2729"/>
      <c r="AP14" s="2729"/>
      <c r="AQ14" s="2729"/>
      <c r="AR14" s="2729"/>
      <c r="AS14" s="2729"/>
      <c r="AT14" s="2729"/>
      <c r="AU14" s="2729"/>
      <c r="AV14" s="2729"/>
      <c r="AW14" s="2729"/>
      <c r="AX14" s="2729"/>
      <c r="AY14" s="2729"/>
      <c r="AZ14" s="2729"/>
      <c r="BA14" s="2729"/>
      <c r="BB14" s="2729"/>
      <c r="BC14" s="2729"/>
      <c r="BD14" s="2729"/>
      <c r="BE14" s="2729"/>
      <c r="BF14" s="2729"/>
      <c r="BG14" s="2729"/>
      <c r="BH14" s="2729"/>
      <c r="BI14" s="2729"/>
      <c r="BJ14" s="2729"/>
      <c r="BK14" s="2729"/>
      <c r="BL14" s="2729"/>
      <c r="BM14" s="2729"/>
      <c r="BN14" s="2729"/>
      <c r="BO14" s="2729"/>
      <c r="BP14" s="2729"/>
      <c r="BQ14" s="2729"/>
      <c r="BR14" s="2729"/>
      <c r="BS14" s="2729"/>
      <c r="BT14" s="2729"/>
      <c r="BU14" s="2729"/>
      <c r="BV14" s="2729"/>
    </row>
    <row r="15" spans="9:74" ht="27" customHeight="1">
      <c r="M15" s="2703" t="s">
        <v>1281</v>
      </c>
      <c r="N15" s="2704"/>
      <c r="O15" s="2704"/>
      <c r="P15" s="2704"/>
      <c r="Q15" s="2704"/>
      <c r="R15" s="2704"/>
      <c r="S15" s="2704"/>
      <c r="T15" s="2704"/>
      <c r="U15" s="2704"/>
      <c r="V15" s="2705"/>
      <c r="W15" s="2669" t="s">
        <v>1282</v>
      </c>
      <c r="X15" s="2667"/>
      <c r="Y15" s="2667"/>
      <c r="Z15" s="2667"/>
      <c r="AA15" s="2667"/>
      <c r="AB15" s="2667"/>
      <c r="AC15" s="2667"/>
      <c r="AD15" s="2670"/>
      <c r="AE15" s="2666" t="s">
        <v>1283</v>
      </c>
      <c r="AF15" s="2667"/>
      <c r="AG15" s="2667"/>
      <c r="AH15" s="2667"/>
      <c r="AI15" s="2668"/>
      <c r="AJ15" s="2669" t="s">
        <v>1282</v>
      </c>
      <c r="AK15" s="2667"/>
      <c r="AL15" s="2667"/>
      <c r="AM15" s="2667"/>
      <c r="AN15" s="2667"/>
      <c r="AO15" s="2667"/>
      <c r="AP15" s="2667"/>
      <c r="AQ15" s="2670"/>
      <c r="AR15" s="2666" t="s">
        <v>1283</v>
      </c>
      <c r="AS15" s="2667"/>
      <c r="AT15" s="2667"/>
      <c r="AU15" s="2667"/>
      <c r="AV15" s="2668"/>
      <c r="AW15" s="2669" t="s">
        <v>1282</v>
      </c>
      <c r="AX15" s="2667"/>
      <c r="AY15" s="2667"/>
      <c r="AZ15" s="2667"/>
      <c r="BA15" s="2667"/>
      <c r="BB15" s="2667"/>
      <c r="BC15" s="2667"/>
      <c r="BD15" s="2670"/>
      <c r="BE15" s="2666" t="s">
        <v>1283</v>
      </c>
      <c r="BF15" s="2667"/>
      <c r="BG15" s="2667"/>
      <c r="BH15" s="2667"/>
      <c r="BI15" s="2667"/>
      <c r="BJ15" s="2669" t="s">
        <v>1282</v>
      </c>
      <c r="BK15" s="2667"/>
      <c r="BL15" s="2667"/>
      <c r="BM15" s="2667"/>
      <c r="BN15" s="2667"/>
      <c r="BO15" s="2667"/>
      <c r="BP15" s="2667"/>
      <c r="BQ15" s="2670"/>
      <c r="BR15" s="2666" t="s">
        <v>1283</v>
      </c>
      <c r="BS15" s="2667"/>
      <c r="BT15" s="2667"/>
      <c r="BU15" s="2667"/>
      <c r="BV15" s="2667"/>
    </row>
    <row r="16" spans="9:74" ht="18.75" customHeight="1">
      <c r="M16" s="2649" t="s">
        <v>984</v>
      </c>
      <c r="N16" s="2488"/>
      <c r="O16" s="2488"/>
      <c r="P16" s="2488"/>
      <c r="Q16" s="2488"/>
      <c r="R16" s="2488"/>
      <c r="S16" s="2488"/>
      <c r="T16" s="2488"/>
      <c r="U16" s="2488"/>
      <c r="V16" s="2650"/>
      <c r="W16" s="2651">
        <f>'ANALYSIS DATABASE'!C13</f>
        <v>0</v>
      </c>
      <c r="X16" s="2652"/>
      <c r="Y16" s="2652"/>
      <c r="Z16" s="2652"/>
      <c r="AA16" s="2652"/>
      <c r="AB16" s="2652"/>
      <c r="AC16" s="2652"/>
      <c r="AD16" s="2653"/>
      <c r="AE16" s="2620"/>
      <c r="AF16" s="2621"/>
      <c r="AG16" s="2621"/>
      <c r="AH16" s="2621"/>
      <c r="AI16" s="2622"/>
      <c r="AJ16" s="2657"/>
      <c r="AK16" s="2658"/>
      <c r="AL16" s="2658"/>
      <c r="AM16" s="2658"/>
      <c r="AN16" s="2658"/>
      <c r="AO16" s="2658"/>
      <c r="AP16" s="2658"/>
      <c r="AQ16" s="2659"/>
      <c r="AR16" s="2620"/>
      <c r="AS16" s="2621"/>
      <c r="AT16" s="2621"/>
      <c r="AU16" s="2621"/>
      <c r="AV16" s="2622"/>
      <c r="AW16" s="2659"/>
      <c r="AX16" s="2635"/>
      <c r="AY16" s="2635"/>
      <c r="AZ16" s="2635"/>
      <c r="BA16" s="2635"/>
      <c r="BB16" s="2635"/>
      <c r="BC16" s="2635"/>
      <c r="BD16" s="2635"/>
      <c r="BE16" s="2648"/>
      <c r="BF16" s="2648"/>
      <c r="BG16" s="2648"/>
      <c r="BH16" s="2648"/>
      <c r="BI16" s="2620"/>
      <c r="BJ16" s="2634"/>
      <c r="BK16" s="2635"/>
      <c r="BL16" s="2635"/>
      <c r="BM16" s="2635"/>
      <c r="BN16" s="2635"/>
      <c r="BO16" s="2635"/>
      <c r="BP16" s="2635"/>
      <c r="BQ16" s="2635"/>
      <c r="BR16" s="2620"/>
      <c r="BS16" s="2621"/>
      <c r="BT16" s="2621"/>
      <c r="BU16" s="2621"/>
      <c r="BV16" s="2621"/>
    </row>
    <row r="17" spans="13:74" ht="18.75" customHeight="1">
      <c r="M17" s="2649" t="s">
        <v>985</v>
      </c>
      <c r="N17" s="2488"/>
      <c r="O17" s="2488"/>
      <c r="P17" s="2488"/>
      <c r="Q17" s="2488"/>
      <c r="R17" s="2488"/>
      <c r="S17" s="2488"/>
      <c r="T17" s="2488"/>
      <c r="U17" s="2488"/>
      <c r="V17" s="2650"/>
      <c r="W17" s="2654">
        <f>'ANALYSIS DATABASE'!C14</f>
        <v>0</v>
      </c>
      <c r="X17" s="2655"/>
      <c r="Y17" s="2655"/>
      <c r="Z17" s="2655"/>
      <c r="AA17" s="2655"/>
      <c r="AB17" s="2655"/>
      <c r="AC17" s="2655"/>
      <c r="AD17" s="2656"/>
      <c r="AE17" s="2620"/>
      <c r="AF17" s="2621"/>
      <c r="AG17" s="2621"/>
      <c r="AH17" s="2621"/>
      <c r="AI17" s="2622"/>
      <c r="AJ17" s="2636"/>
      <c r="AK17" s="2637"/>
      <c r="AL17" s="2637"/>
      <c r="AM17" s="2637"/>
      <c r="AN17" s="2637"/>
      <c r="AO17" s="2637"/>
      <c r="AP17" s="2637"/>
      <c r="AQ17" s="2638"/>
      <c r="AR17" s="2620"/>
      <c r="AS17" s="2621"/>
      <c r="AT17" s="2621"/>
      <c r="AU17" s="2621"/>
      <c r="AV17" s="2622"/>
      <c r="AW17" s="2638"/>
      <c r="AX17" s="2631"/>
      <c r="AY17" s="2631"/>
      <c r="AZ17" s="2631"/>
      <c r="BA17" s="2631"/>
      <c r="BB17" s="2631"/>
      <c r="BC17" s="2631"/>
      <c r="BD17" s="2631"/>
      <c r="BE17" s="2648"/>
      <c r="BF17" s="2648"/>
      <c r="BG17" s="2648"/>
      <c r="BH17" s="2648"/>
      <c r="BI17" s="2620"/>
      <c r="BJ17" s="2630"/>
      <c r="BK17" s="2631"/>
      <c r="BL17" s="2631"/>
      <c r="BM17" s="2631"/>
      <c r="BN17" s="2631"/>
      <c r="BO17" s="2631"/>
      <c r="BP17" s="2631"/>
      <c r="BQ17" s="2631"/>
      <c r="BR17" s="2620"/>
      <c r="BS17" s="2621"/>
      <c r="BT17" s="2621"/>
      <c r="BU17" s="2621"/>
      <c r="BV17" s="2621"/>
    </row>
    <row r="18" spans="13:74" ht="18.75" customHeight="1">
      <c r="M18" s="2649" t="s">
        <v>1277</v>
      </c>
      <c r="N18" s="2488"/>
      <c r="O18" s="2488"/>
      <c r="P18" s="2488"/>
      <c r="Q18" s="2488"/>
      <c r="R18" s="2488"/>
      <c r="S18" s="2488"/>
      <c r="T18" s="2488"/>
      <c r="U18" s="2488"/>
      <c r="V18" s="2650"/>
      <c r="W18" s="2700"/>
      <c r="X18" s="2701"/>
      <c r="Y18" s="2701"/>
      <c r="Z18" s="2701"/>
      <c r="AA18" s="2701"/>
      <c r="AB18" s="2701"/>
      <c r="AC18" s="2701"/>
      <c r="AD18" s="2702"/>
      <c r="AE18" s="2620"/>
      <c r="AF18" s="2621"/>
      <c r="AG18" s="2621"/>
      <c r="AH18" s="2621"/>
      <c r="AI18" s="2622"/>
      <c r="AJ18" s="2639"/>
      <c r="AK18" s="2640"/>
      <c r="AL18" s="2640"/>
      <c r="AM18" s="2640"/>
      <c r="AN18" s="2640"/>
      <c r="AO18" s="2640"/>
      <c r="AP18" s="2640"/>
      <c r="AQ18" s="2641"/>
      <c r="AR18" s="2620"/>
      <c r="AS18" s="2621"/>
      <c r="AT18" s="2621"/>
      <c r="AU18" s="2621"/>
      <c r="AV18" s="2622"/>
      <c r="AW18" s="2641"/>
      <c r="AX18" s="2633"/>
      <c r="AY18" s="2633"/>
      <c r="AZ18" s="2633"/>
      <c r="BA18" s="2633"/>
      <c r="BB18" s="2633"/>
      <c r="BC18" s="2633"/>
      <c r="BD18" s="2633"/>
      <c r="BE18" s="2648"/>
      <c r="BF18" s="2648"/>
      <c r="BG18" s="2648"/>
      <c r="BH18" s="2648"/>
      <c r="BI18" s="2620"/>
      <c r="BJ18" s="2632"/>
      <c r="BK18" s="2633"/>
      <c r="BL18" s="2633"/>
      <c r="BM18" s="2633"/>
      <c r="BN18" s="2633"/>
      <c r="BO18" s="2633"/>
      <c r="BP18" s="2633"/>
      <c r="BQ18" s="2633"/>
      <c r="BR18" s="2620"/>
      <c r="BS18" s="2621"/>
      <c r="BT18" s="2621"/>
      <c r="BU18" s="2621"/>
      <c r="BV18" s="2621"/>
    </row>
    <row r="19" spans="13:74" ht="18.75" customHeight="1">
      <c r="M19" s="2649" t="s">
        <v>1260</v>
      </c>
      <c r="N19" s="2488"/>
      <c r="O19" s="2488"/>
      <c r="P19" s="2488"/>
      <c r="Q19" s="2488"/>
      <c r="R19" s="2488"/>
      <c r="S19" s="2488"/>
      <c r="T19" s="2488"/>
      <c r="U19" s="2488"/>
      <c r="V19" s="2650"/>
      <c r="W19" s="2660">
        <f>'ANALYSIS DATABASE'!C18</f>
        <v>0</v>
      </c>
      <c r="X19" s="2661"/>
      <c r="Y19" s="2661"/>
      <c r="Z19" s="2661"/>
      <c r="AA19" s="2661"/>
      <c r="AB19" s="2661"/>
      <c r="AC19" s="2661"/>
      <c r="AD19" s="2662"/>
      <c r="AE19" s="2620"/>
      <c r="AF19" s="2621"/>
      <c r="AG19" s="2621"/>
      <c r="AH19" s="2621"/>
      <c r="AI19" s="2622"/>
      <c r="AJ19" s="2642"/>
      <c r="AK19" s="2643"/>
      <c r="AL19" s="2643"/>
      <c r="AM19" s="2643"/>
      <c r="AN19" s="2643"/>
      <c r="AO19" s="2643"/>
      <c r="AP19" s="2643"/>
      <c r="AQ19" s="2644"/>
      <c r="AR19" s="2620"/>
      <c r="AS19" s="2621"/>
      <c r="AT19" s="2621"/>
      <c r="AU19" s="2621"/>
      <c r="AV19" s="2622"/>
      <c r="AW19" s="2644"/>
      <c r="AX19" s="2627"/>
      <c r="AY19" s="2627"/>
      <c r="AZ19" s="2627"/>
      <c r="BA19" s="2627"/>
      <c r="BB19" s="2627"/>
      <c r="BC19" s="2627"/>
      <c r="BD19" s="2627"/>
      <c r="BE19" s="2648"/>
      <c r="BF19" s="2648"/>
      <c r="BG19" s="2648"/>
      <c r="BH19" s="2648"/>
      <c r="BI19" s="2620"/>
      <c r="BJ19" s="2626"/>
      <c r="BK19" s="2627"/>
      <c r="BL19" s="2627"/>
      <c r="BM19" s="2627"/>
      <c r="BN19" s="2627"/>
      <c r="BO19" s="2627"/>
      <c r="BP19" s="2627"/>
      <c r="BQ19" s="2627"/>
      <c r="BR19" s="2620"/>
      <c r="BS19" s="2621"/>
      <c r="BT19" s="2621"/>
      <c r="BU19" s="2621"/>
      <c r="BV19" s="2621"/>
    </row>
    <row r="20" spans="13:74" ht="19.5" customHeight="1">
      <c r="M20" s="2649" t="s">
        <v>1276</v>
      </c>
      <c r="N20" s="2488"/>
      <c r="O20" s="2488"/>
      <c r="P20" s="2488"/>
      <c r="Q20" s="2488"/>
      <c r="R20" s="2488"/>
      <c r="S20" s="2488"/>
      <c r="T20" s="2488"/>
      <c r="U20" s="2488"/>
      <c r="V20" s="2650"/>
      <c r="W20" s="2663"/>
      <c r="X20" s="2664"/>
      <c r="Y20" s="2664"/>
      <c r="Z20" s="2664"/>
      <c r="AA20" s="2664"/>
      <c r="AB20" s="2664"/>
      <c r="AC20" s="2664"/>
      <c r="AD20" s="2665"/>
      <c r="AE20" s="2620"/>
      <c r="AF20" s="2621"/>
      <c r="AG20" s="2621"/>
      <c r="AH20" s="2621"/>
      <c r="AI20" s="2622"/>
      <c r="AJ20" s="2645"/>
      <c r="AK20" s="2646"/>
      <c r="AL20" s="2646"/>
      <c r="AM20" s="2646"/>
      <c r="AN20" s="2646"/>
      <c r="AO20" s="2646"/>
      <c r="AP20" s="2646"/>
      <c r="AQ20" s="2647"/>
      <c r="AR20" s="2620"/>
      <c r="AS20" s="2621"/>
      <c r="AT20" s="2621"/>
      <c r="AU20" s="2621"/>
      <c r="AV20" s="2622"/>
      <c r="AW20" s="2647"/>
      <c r="AX20" s="2629"/>
      <c r="AY20" s="2629"/>
      <c r="AZ20" s="2629"/>
      <c r="BA20" s="2629"/>
      <c r="BB20" s="2629"/>
      <c r="BC20" s="2629"/>
      <c r="BD20" s="2629"/>
      <c r="BE20" s="2648"/>
      <c r="BF20" s="2648"/>
      <c r="BG20" s="2648"/>
      <c r="BH20" s="2648"/>
      <c r="BI20" s="2620"/>
      <c r="BJ20" s="2628"/>
      <c r="BK20" s="2629"/>
      <c r="BL20" s="2629"/>
      <c r="BM20" s="2629"/>
      <c r="BN20" s="2629"/>
      <c r="BO20" s="2629"/>
      <c r="BP20" s="2629"/>
      <c r="BQ20" s="2629"/>
      <c r="BR20" s="2620"/>
      <c r="BS20" s="2621"/>
      <c r="BT20" s="2621"/>
      <c r="BU20" s="2621"/>
      <c r="BV20" s="2621"/>
    </row>
    <row r="21" spans="13:74" ht="19.5" customHeight="1">
      <c r="M21" s="2649" t="s">
        <v>1285</v>
      </c>
      <c r="N21" s="2488"/>
      <c r="O21" s="2488"/>
      <c r="P21" s="2488"/>
      <c r="Q21" s="2488"/>
      <c r="R21" s="2488"/>
      <c r="S21" s="2488"/>
      <c r="T21" s="2488"/>
      <c r="U21" s="2488"/>
      <c r="V21" s="2650"/>
      <c r="W21" s="2623"/>
      <c r="X21" s="2624"/>
      <c r="Y21" s="2624"/>
      <c r="Z21" s="2624"/>
      <c r="AA21" s="2624"/>
      <c r="AB21" s="2624"/>
      <c r="AC21" s="2624"/>
      <c r="AD21" s="2625"/>
      <c r="AE21" s="2620"/>
      <c r="AF21" s="2621"/>
      <c r="AG21" s="2621"/>
      <c r="AH21" s="2621"/>
      <c r="AI21" s="2622"/>
      <c r="AJ21" s="2617"/>
      <c r="AK21" s="2618"/>
      <c r="AL21" s="2618"/>
      <c r="AM21" s="2618"/>
      <c r="AN21" s="2618"/>
      <c r="AO21" s="2618"/>
      <c r="AP21" s="2618"/>
      <c r="AQ21" s="2619"/>
      <c r="AR21" s="2620"/>
      <c r="AS21" s="2621"/>
      <c r="AT21" s="2621"/>
      <c r="AU21" s="2621"/>
      <c r="AV21" s="2622"/>
      <c r="AW21" s="2618"/>
      <c r="AX21" s="2618"/>
      <c r="AY21" s="2618"/>
      <c r="AZ21" s="2618"/>
      <c r="BA21" s="2618"/>
      <c r="BB21" s="2618"/>
      <c r="BC21" s="2618"/>
      <c r="BD21" s="2619"/>
      <c r="BE21" s="2620"/>
      <c r="BF21" s="2621"/>
      <c r="BG21" s="2621"/>
      <c r="BH21" s="2621"/>
      <c r="BI21" s="2621"/>
      <c r="BJ21" s="2617"/>
      <c r="BK21" s="2618"/>
      <c r="BL21" s="2618"/>
      <c r="BM21" s="2618"/>
      <c r="BN21" s="2618"/>
      <c r="BO21" s="2618"/>
      <c r="BP21" s="2618"/>
      <c r="BQ21" s="2619"/>
      <c r="BR21" s="2620"/>
      <c r="BS21" s="2621"/>
      <c r="BT21" s="2621"/>
      <c r="BU21" s="2621"/>
      <c r="BV21" s="2621"/>
    </row>
    <row r="22" spans="13:74" ht="18.75" customHeight="1">
      <c r="M22" s="2649" t="s">
        <v>1278</v>
      </c>
      <c r="N22" s="2488"/>
      <c r="O22" s="2488"/>
      <c r="P22" s="2488"/>
      <c r="Q22" s="2488"/>
      <c r="R22" s="2488"/>
      <c r="S22" s="2488"/>
      <c r="T22" s="2488"/>
      <c r="U22" s="2488"/>
      <c r="V22" s="2650"/>
      <c r="W22" s="2623"/>
      <c r="X22" s="2624"/>
      <c r="Y22" s="2624"/>
      <c r="Z22" s="2624"/>
      <c r="AA22" s="2624"/>
      <c r="AB22" s="2624"/>
      <c r="AC22" s="2624"/>
      <c r="AD22" s="2625"/>
      <c r="AE22" s="2620"/>
      <c r="AF22" s="2621"/>
      <c r="AG22" s="2621"/>
      <c r="AH22" s="2621"/>
      <c r="AI22" s="2622"/>
      <c r="AJ22" s="2617"/>
      <c r="AK22" s="2618"/>
      <c r="AL22" s="2618"/>
      <c r="AM22" s="2618"/>
      <c r="AN22" s="2618"/>
      <c r="AO22" s="2618"/>
      <c r="AP22" s="2618"/>
      <c r="AQ22" s="2619"/>
      <c r="AR22" s="2620"/>
      <c r="AS22" s="2621"/>
      <c r="AT22" s="2621"/>
      <c r="AU22" s="2621"/>
      <c r="AV22" s="2622"/>
      <c r="AW22" s="2618"/>
      <c r="AX22" s="2618"/>
      <c r="AY22" s="2618"/>
      <c r="AZ22" s="2618"/>
      <c r="BA22" s="2618"/>
      <c r="BB22" s="2618"/>
      <c r="BC22" s="2618"/>
      <c r="BD22" s="2619"/>
      <c r="BE22" s="2620"/>
      <c r="BF22" s="2621"/>
      <c r="BG22" s="2621"/>
      <c r="BH22" s="2621"/>
      <c r="BI22" s="2621"/>
      <c r="BJ22" s="2617"/>
      <c r="BK22" s="2618"/>
      <c r="BL22" s="2618"/>
      <c r="BM22" s="2618"/>
      <c r="BN22" s="2618"/>
      <c r="BO22" s="2618"/>
      <c r="BP22" s="2618"/>
      <c r="BQ22" s="2619"/>
      <c r="BR22" s="2620"/>
      <c r="BS22" s="2621"/>
      <c r="BT22" s="2621"/>
      <c r="BU22" s="2621"/>
      <c r="BV22" s="2621"/>
    </row>
    <row r="23" spans="13:74" ht="18.75" customHeight="1">
      <c r="M23" s="2649" t="s">
        <v>1279</v>
      </c>
      <c r="N23" s="2488"/>
      <c r="O23" s="2488"/>
      <c r="P23" s="2488"/>
      <c r="Q23" s="2488"/>
      <c r="R23" s="2488"/>
      <c r="S23" s="2488"/>
      <c r="T23" s="2488"/>
      <c r="U23" s="2488"/>
      <c r="V23" s="2650"/>
      <c r="W23" s="2623"/>
      <c r="X23" s="2624"/>
      <c r="Y23" s="2624"/>
      <c r="Z23" s="2624"/>
      <c r="AA23" s="2624"/>
      <c r="AB23" s="2624"/>
      <c r="AC23" s="2624"/>
      <c r="AD23" s="2625"/>
      <c r="AE23" s="2620"/>
      <c r="AF23" s="2621"/>
      <c r="AG23" s="2621"/>
      <c r="AH23" s="2621"/>
      <c r="AI23" s="2622"/>
      <c r="AJ23" s="2617"/>
      <c r="AK23" s="2618"/>
      <c r="AL23" s="2618"/>
      <c r="AM23" s="2618"/>
      <c r="AN23" s="2618"/>
      <c r="AO23" s="2618"/>
      <c r="AP23" s="2618"/>
      <c r="AQ23" s="2619"/>
      <c r="AR23" s="2620"/>
      <c r="AS23" s="2621"/>
      <c r="AT23" s="2621"/>
      <c r="AU23" s="2621"/>
      <c r="AV23" s="2622"/>
      <c r="AW23" s="2618"/>
      <c r="AX23" s="2618"/>
      <c r="AY23" s="2618"/>
      <c r="AZ23" s="2618"/>
      <c r="BA23" s="2618"/>
      <c r="BB23" s="2618"/>
      <c r="BC23" s="2618"/>
      <c r="BD23" s="2619"/>
      <c r="BE23" s="2620"/>
      <c r="BF23" s="2621"/>
      <c r="BG23" s="2621"/>
      <c r="BH23" s="2621"/>
      <c r="BI23" s="2621"/>
      <c r="BJ23" s="2617"/>
      <c r="BK23" s="2618"/>
      <c r="BL23" s="2618"/>
      <c r="BM23" s="2618"/>
      <c r="BN23" s="2618"/>
      <c r="BO23" s="2618"/>
      <c r="BP23" s="2618"/>
      <c r="BQ23" s="2619"/>
      <c r="BR23" s="2620"/>
      <c r="BS23" s="2621"/>
      <c r="BT23" s="2621"/>
      <c r="BU23" s="2621"/>
      <c r="BV23" s="2621"/>
    </row>
    <row r="24" spans="13:74" ht="18.75" customHeight="1">
      <c r="M24" s="2649" t="s">
        <v>1280</v>
      </c>
      <c r="N24" s="2488"/>
      <c r="O24" s="2488"/>
      <c r="P24" s="2488"/>
      <c r="Q24" s="2488"/>
      <c r="R24" s="2488"/>
      <c r="S24" s="2488"/>
      <c r="T24" s="2488"/>
      <c r="U24" s="2488"/>
      <c r="V24" s="2650"/>
      <c r="W24" s="2623"/>
      <c r="X24" s="2624"/>
      <c r="Y24" s="2624"/>
      <c r="Z24" s="2624"/>
      <c r="AA24" s="2624"/>
      <c r="AB24" s="2624"/>
      <c r="AC24" s="2624"/>
      <c r="AD24" s="2625"/>
      <c r="AE24" s="2620"/>
      <c r="AF24" s="2621"/>
      <c r="AG24" s="2621"/>
      <c r="AH24" s="2621"/>
      <c r="AI24" s="2622"/>
      <c r="AJ24" s="2617"/>
      <c r="AK24" s="2618"/>
      <c r="AL24" s="2618"/>
      <c r="AM24" s="2618"/>
      <c r="AN24" s="2618"/>
      <c r="AO24" s="2618"/>
      <c r="AP24" s="2618"/>
      <c r="AQ24" s="2619"/>
      <c r="AR24" s="2620"/>
      <c r="AS24" s="2621"/>
      <c r="AT24" s="2621"/>
      <c r="AU24" s="2621"/>
      <c r="AV24" s="2622"/>
      <c r="AW24" s="2618"/>
      <c r="AX24" s="2618"/>
      <c r="AY24" s="2618"/>
      <c r="AZ24" s="2618"/>
      <c r="BA24" s="2618"/>
      <c r="BB24" s="2618"/>
      <c r="BC24" s="2618"/>
      <c r="BD24" s="2619"/>
      <c r="BE24" s="2620"/>
      <c r="BF24" s="2621"/>
      <c r="BG24" s="2621"/>
      <c r="BH24" s="2621"/>
      <c r="BI24" s="2621"/>
      <c r="BJ24" s="2617"/>
      <c r="BK24" s="2618"/>
      <c r="BL24" s="2618"/>
      <c r="BM24" s="2618"/>
      <c r="BN24" s="2618"/>
      <c r="BO24" s="2618"/>
      <c r="BP24" s="2618"/>
      <c r="BQ24" s="2619"/>
      <c r="BR24" s="2620"/>
      <c r="BS24" s="2621"/>
      <c r="BT24" s="2621"/>
      <c r="BU24" s="2621"/>
      <c r="BV24" s="2621"/>
    </row>
    <row r="25" spans="13:74" ht="54.75" customHeight="1">
      <c r="M25" s="2649" t="s">
        <v>1284</v>
      </c>
      <c r="N25" s="2488"/>
      <c r="O25" s="2488"/>
      <c r="P25" s="2488"/>
      <c r="Q25" s="2488"/>
      <c r="R25" s="2488"/>
      <c r="S25" s="2488"/>
      <c r="T25" s="2488"/>
      <c r="U25" s="2488"/>
      <c r="V25" s="2650"/>
      <c r="W25" s="2623"/>
      <c r="X25" s="2624"/>
      <c r="Y25" s="2624"/>
      <c r="Z25" s="2624"/>
      <c r="AA25" s="2624"/>
      <c r="AB25" s="2624"/>
      <c r="AC25" s="2624"/>
      <c r="AD25" s="2625"/>
      <c r="AE25" s="2620"/>
      <c r="AF25" s="2621"/>
      <c r="AG25" s="2621"/>
      <c r="AH25" s="2621"/>
      <c r="AI25" s="2622"/>
      <c r="AJ25" s="2617"/>
      <c r="AK25" s="2618"/>
      <c r="AL25" s="2618"/>
      <c r="AM25" s="2618"/>
      <c r="AN25" s="2618"/>
      <c r="AO25" s="2618"/>
      <c r="AP25" s="2618"/>
      <c r="AQ25" s="2619"/>
      <c r="AR25" s="2620"/>
      <c r="AS25" s="2621"/>
      <c r="AT25" s="2621"/>
      <c r="AU25" s="2621"/>
      <c r="AV25" s="2622"/>
      <c r="AW25" s="2618"/>
      <c r="AX25" s="2618"/>
      <c r="AY25" s="2618"/>
      <c r="AZ25" s="2618"/>
      <c r="BA25" s="2618"/>
      <c r="BB25" s="2618"/>
      <c r="BC25" s="2618"/>
      <c r="BD25" s="2619"/>
      <c r="BE25" s="2620"/>
      <c r="BF25" s="2621"/>
      <c r="BG25" s="2621"/>
      <c r="BH25" s="2621"/>
      <c r="BI25" s="2621"/>
      <c r="BJ25" s="2617"/>
      <c r="BK25" s="2618"/>
      <c r="BL25" s="2618"/>
      <c r="BM25" s="2618"/>
      <c r="BN25" s="2618"/>
      <c r="BO25" s="2618"/>
      <c r="BP25" s="2618"/>
      <c r="BQ25" s="2619"/>
      <c r="BR25" s="2620"/>
      <c r="BS25" s="2621"/>
      <c r="BT25" s="2621"/>
      <c r="BU25" s="2621"/>
      <c r="BV25" s="2621"/>
    </row>
    <row r="26" spans="13:74" ht="18.75" customHeight="1">
      <c r="M26" s="2649" t="s">
        <v>150</v>
      </c>
      <c r="N26" s="2488"/>
      <c r="O26" s="2488"/>
      <c r="P26" s="2488"/>
      <c r="Q26" s="2488"/>
      <c r="R26" s="2488"/>
      <c r="S26" s="2488"/>
      <c r="T26" s="2488"/>
      <c r="U26" s="2488"/>
      <c r="V26" s="2650"/>
      <c r="W26" s="2671"/>
      <c r="X26" s="2672"/>
      <c r="Y26" s="2672"/>
      <c r="Z26" s="2672"/>
      <c r="AA26" s="2672"/>
      <c r="AB26" s="2672"/>
      <c r="AC26" s="2672"/>
      <c r="AD26" s="2672"/>
      <c r="AE26" s="2672"/>
      <c r="AF26" s="2672"/>
      <c r="AG26" s="2672"/>
      <c r="AH26" s="2672"/>
      <c r="AI26" s="2673"/>
      <c r="AJ26" s="2680"/>
      <c r="AK26" s="2681"/>
      <c r="AL26" s="2681"/>
      <c r="AM26" s="2681"/>
      <c r="AN26" s="2681"/>
      <c r="AO26" s="2681"/>
      <c r="AP26" s="2681"/>
      <c r="AQ26" s="2681"/>
      <c r="AR26" s="2681"/>
      <c r="AS26" s="2681"/>
      <c r="AT26" s="2681"/>
      <c r="AU26" s="2681"/>
      <c r="AV26" s="2682"/>
      <c r="AW26" s="2686"/>
      <c r="AX26" s="2681"/>
      <c r="AY26" s="2681"/>
      <c r="AZ26" s="2681"/>
      <c r="BA26" s="2681"/>
      <c r="BB26" s="2681"/>
      <c r="BC26" s="2681"/>
      <c r="BD26" s="2681"/>
      <c r="BE26" s="2681"/>
      <c r="BF26" s="2681"/>
      <c r="BG26" s="2681"/>
      <c r="BH26" s="2681"/>
      <c r="BI26" s="2687"/>
      <c r="BJ26" s="2680"/>
      <c r="BK26" s="2681"/>
      <c r="BL26" s="2681"/>
      <c r="BM26" s="2681"/>
      <c r="BN26" s="2681"/>
      <c r="BO26" s="2681"/>
      <c r="BP26" s="2681"/>
      <c r="BQ26" s="2681"/>
      <c r="BR26" s="2681"/>
      <c r="BS26" s="2681"/>
      <c r="BT26" s="2681"/>
      <c r="BU26" s="2681"/>
      <c r="BV26" s="2687"/>
    </row>
    <row r="27" spans="13:74" ht="18.75" customHeight="1">
      <c r="M27" s="2649"/>
      <c r="N27" s="2488"/>
      <c r="O27" s="2488"/>
      <c r="P27" s="2488"/>
      <c r="Q27" s="2488"/>
      <c r="R27" s="2488"/>
      <c r="S27" s="2488"/>
      <c r="T27" s="2488"/>
      <c r="U27" s="2488"/>
      <c r="V27" s="2650"/>
      <c r="W27" s="2671"/>
      <c r="X27" s="2672"/>
      <c r="Y27" s="2672"/>
      <c r="Z27" s="2672"/>
      <c r="AA27" s="2672"/>
      <c r="AB27" s="2672"/>
      <c r="AC27" s="2672"/>
      <c r="AD27" s="2672"/>
      <c r="AE27" s="2672"/>
      <c r="AF27" s="2672"/>
      <c r="AG27" s="2672"/>
      <c r="AH27" s="2672"/>
      <c r="AI27" s="2673"/>
      <c r="AJ27" s="2680"/>
      <c r="AK27" s="2681"/>
      <c r="AL27" s="2681"/>
      <c r="AM27" s="2681"/>
      <c r="AN27" s="2681"/>
      <c r="AO27" s="2681"/>
      <c r="AP27" s="2681"/>
      <c r="AQ27" s="2681"/>
      <c r="AR27" s="2681"/>
      <c r="AS27" s="2681"/>
      <c r="AT27" s="2681"/>
      <c r="AU27" s="2681"/>
      <c r="AV27" s="2682"/>
      <c r="AW27" s="2686"/>
      <c r="AX27" s="2681"/>
      <c r="AY27" s="2681"/>
      <c r="AZ27" s="2681"/>
      <c r="BA27" s="2681"/>
      <c r="BB27" s="2681"/>
      <c r="BC27" s="2681"/>
      <c r="BD27" s="2681"/>
      <c r="BE27" s="2681"/>
      <c r="BF27" s="2681"/>
      <c r="BG27" s="2681"/>
      <c r="BH27" s="2681"/>
      <c r="BI27" s="2687"/>
      <c r="BJ27" s="2680"/>
      <c r="BK27" s="2681"/>
      <c r="BL27" s="2681"/>
      <c r="BM27" s="2681"/>
      <c r="BN27" s="2681"/>
      <c r="BO27" s="2681"/>
      <c r="BP27" s="2681"/>
      <c r="BQ27" s="2681"/>
      <c r="BR27" s="2681"/>
      <c r="BS27" s="2681"/>
      <c r="BT27" s="2681"/>
      <c r="BU27" s="2681"/>
      <c r="BV27" s="2687"/>
    </row>
    <row r="28" spans="13:74" ht="18.75" customHeight="1">
      <c r="M28" s="2649"/>
      <c r="N28" s="2488"/>
      <c r="O28" s="2488"/>
      <c r="P28" s="2488"/>
      <c r="Q28" s="2488"/>
      <c r="R28" s="2488"/>
      <c r="S28" s="2488"/>
      <c r="T28" s="2488"/>
      <c r="U28" s="2488"/>
      <c r="V28" s="2650"/>
      <c r="W28" s="2671"/>
      <c r="X28" s="2672"/>
      <c r="Y28" s="2672"/>
      <c r="Z28" s="2672"/>
      <c r="AA28" s="2672"/>
      <c r="AB28" s="2672"/>
      <c r="AC28" s="2672"/>
      <c r="AD28" s="2672"/>
      <c r="AE28" s="2672"/>
      <c r="AF28" s="2672"/>
      <c r="AG28" s="2672"/>
      <c r="AH28" s="2672"/>
      <c r="AI28" s="2673"/>
      <c r="AJ28" s="2680"/>
      <c r="AK28" s="2681"/>
      <c r="AL28" s="2681"/>
      <c r="AM28" s="2681"/>
      <c r="AN28" s="2681"/>
      <c r="AO28" s="2681"/>
      <c r="AP28" s="2681"/>
      <c r="AQ28" s="2681"/>
      <c r="AR28" s="2681"/>
      <c r="AS28" s="2681"/>
      <c r="AT28" s="2681"/>
      <c r="AU28" s="2681"/>
      <c r="AV28" s="2682"/>
      <c r="AW28" s="2686"/>
      <c r="AX28" s="2681"/>
      <c r="AY28" s="2681"/>
      <c r="AZ28" s="2681"/>
      <c r="BA28" s="2681"/>
      <c r="BB28" s="2681"/>
      <c r="BC28" s="2681"/>
      <c r="BD28" s="2681"/>
      <c r="BE28" s="2681"/>
      <c r="BF28" s="2681"/>
      <c r="BG28" s="2681"/>
      <c r="BH28" s="2681"/>
      <c r="BI28" s="2687"/>
      <c r="BJ28" s="2680"/>
      <c r="BK28" s="2681"/>
      <c r="BL28" s="2681"/>
      <c r="BM28" s="2681"/>
      <c r="BN28" s="2681"/>
      <c r="BO28" s="2681"/>
      <c r="BP28" s="2681"/>
      <c r="BQ28" s="2681"/>
      <c r="BR28" s="2681"/>
      <c r="BS28" s="2681"/>
      <c r="BT28" s="2681"/>
      <c r="BU28" s="2681"/>
      <c r="BV28" s="2687"/>
    </row>
    <row r="29" spans="13:74" ht="18.75" customHeight="1">
      <c r="M29" s="2649"/>
      <c r="N29" s="2488"/>
      <c r="O29" s="2488"/>
      <c r="P29" s="2488"/>
      <c r="Q29" s="2488"/>
      <c r="R29" s="2488"/>
      <c r="S29" s="2488"/>
      <c r="T29" s="2488"/>
      <c r="U29" s="2488"/>
      <c r="V29" s="2650"/>
      <c r="W29" s="2671"/>
      <c r="X29" s="2672"/>
      <c r="Y29" s="2672"/>
      <c r="Z29" s="2672"/>
      <c r="AA29" s="2672"/>
      <c r="AB29" s="2672"/>
      <c r="AC29" s="2672"/>
      <c r="AD29" s="2672"/>
      <c r="AE29" s="2672"/>
      <c r="AF29" s="2672"/>
      <c r="AG29" s="2672"/>
      <c r="AH29" s="2672"/>
      <c r="AI29" s="2673"/>
      <c r="AJ29" s="2680"/>
      <c r="AK29" s="2681"/>
      <c r="AL29" s="2681"/>
      <c r="AM29" s="2681"/>
      <c r="AN29" s="2681"/>
      <c r="AO29" s="2681"/>
      <c r="AP29" s="2681"/>
      <c r="AQ29" s="2681"/>
      <c r="AR29" s="2681"/>
      <c r="AS29" s="2681"/>
      <c r="AT29" s="2681"/>
      <c r="AU29" s="2681"/>
      <c r="AV29" s="2682"/>
      <c r="AW29" s="2686"/>
      <c r="AX29" s="2681"/>
      <c r="AY29" s="2681"/>
      <c r="AZ29" s="2681"/>
      <c r="BA29" s="2681"/>
      <c r="BB29" s="2681"/>
      <c r="BC29" s="2681"/>
      <c r="BD29" s="2681"/>
      <c r="BE29" s="2681"/>
      <c r="BF29" s="2681"/>
      <c r="BG29" s="2681"/>
      <c r="BH29" s="2681"/>
      <c r="BI29" s="2687"/>
      <c r="BJ29" s="2680"/>
      <c r="BK29" s="2681"/>
      <c r="BL29" s="2681"/>
      <c r="BM29" s="2681"/>
      <c r="BN29" s="2681"/>
      <c r="BO29" s="2681"/>
      <c r="BP29" s="2681"/>
      <c r="BQ29" s="2681"/>
      <c r="BR29" s="2681"/>
      <c r="BS29" s="2681"/>
      <c r="BT29" s="2681"/>
      <c r="BU29" s="2681"/>
      <c r="BV29" s="2687"/>
    </row>
    <row r="30" spans="13:74" ht="18.75" customHeight="1">
      <c r="M30" s="2649"/>
      <c r="N30" s="2488"/>
      <c r="O30" s="2488"/>
      <c r="P30" s="2488"/>
      <c r="Q30" s="2488"/>
      <c r="R30" s="2488"/>
      <c r="S30" s="2488"/>
      <c r="T30" s="2488"/>
      <c r="U30" s="2488"/>
      <c r="V30" s="2650"/>
      <c r="W30" s="2671"/>
      <c r="X30" s="2672"/>
      <c r="Y30" s="2672"/>
      <c r="Z30" s="2672"/>
      <c r="AA30" s="2672"/>
      <c r="AB30" s="2672"/>
      <c r="AC30" s="2672"/>
      <c r="AD30" s="2672"/>
      <c r="AE30" s="2672"/>
      <c r="AF30" s="2672"/>
      <c r="AG30" s="2672"/>
      <c r="AH30" s="2672"/>
      <c r="AI30" s="2673"/>
      <c r="AJ30" s="2680"/>
      <c r="AK30" s="2681"/>
      <c r="AL30" s="2681"/>
      <c r="AM30" s="2681"/>
      <c r="AN30" s="2681"/>
      <c r="AO30" s="2681"/>
      <c r="AP30" s="2681"/>
      <c r="AQ30" s="2681"/>
      <c r="AR30" s="2681"/>
      <c r="AS30" s="2681"/>
      <c r="AT30" s="2681"/>
      <c r="AU30" s="2681"/>
      <c r="AV30" s="2682"/>
      <c r="AW30" s="2686"/>
      <c r="AX30" s="2681"/>
      <c r="AY30" s="2681"/>
      <c r="AZ30" s="2681"/>
      <c r="BA30" s="2681"/>
      <c r="BB30" s="2681"/>
      <c r="BC30" s="2681"/>
      <c r="BD30" s="2681"/>
      <c r="BE30" s="2681"/>
      <c r="BF30" s="2681"/>
      <c r="BG30" s="2681"/>
      <c r="BH30" s="2681"/>
      <c r="BI30" s="2687"/>
      <c r="BJ30" s="2680"/>
      <c r="BK30" s="2681"/>
      <c r="BL30" s="2681"/>
      <c r="BM30" s="2681"/>
      <c r="BN30" s="2681"/>
      <c r="BO30" s="2681"/>
      <c r="BP30" s="2681"/>
      <c r="BQ30" s="2681"/>
      <c r="BR30" s="2681"/>
      <c r="BS30" s="2681"/>
      <c r="BT30" s="2681"/>
      <c r="BU30" s="2681"/>
      <c r="BV30" s="2687"/>
    </row>
    <row r="31" spans="13:74" ht="18.75" customHeight="1">
      <c r="M31" s="2649"/>
      <c r="N31" s="2488"/>
      <c r="O31" s="2488"/>
      <c r="P31" s="2488"/>
      <c r="Q31" s="2488"/>
      <c r="R31" s="2488"/>
      <c r="S31" s="2488"/>
      <c r="T31" s="2488"/>
      <c r="U31" s="2488"/>
      <c r="V31" s="2650"/>
      <c r="W31" s="2671"/>
      <c r="X31" s="2672"/>
      <c r="Y31" s="2672"/>
      <c r="Z31" s="2672"/>
      <c r="AA31" s="2672"/>
      <c r="AB31" s="2672"/>
      <c r="AC31" s="2672"/>
      <c r="AD31" s="2672"/>
      <c r="AE31" s="2672"/>
      <c r="AF31" s="2672"/>
      <c r="AG31" s="2672"/>
      <c r="AH31" s="2672"/>
      <c r="AI31" s="2673"/>
      <c r="AJ31" s="2680"/>
      <c r="AK31" s="2681"/>
      <c r="AL31" s="2681"/>
      <c r="AM31" s="2681"/>
      <c r="AN31" s="2681"/>
      <c r="AO31" s="2681"/>
      <c r="AP31" s="2681"/>
      <c r="AQ31" s="2681"/>
      <c r="AR31" s="2681"/>
      <c r="AS31" s="2681"/>
      <c r="AT31" s="2681"/>
      <c r="AU31" s="2681"/>
      <c r="AV31" s="2682"/>
      <c r="AW31" s="2686"/>
      <c r="AX31" s="2681"/>
      <c r="AY31" s="2681"/>
      <c r="AZ31" s="2681"/>
      <c r="BA31" s="2681"/>
      <c r="BB31" s="2681"/>
      <c r="BC31" s="2681"/>
      <c r="BD31" s="2681"/>
      <c r="BE31" s="2681"/>
      <c r="BF31" s="2681"/>
      <c r="BG31" s="2681"/>
      <c r="BH31" s="2681"/>
      <c r="BI31" s="2687"/>
      <c r="BJ31" s="2680"/>
      <c r="BK31" s="2681"/>
      <c r="BL31" s="2681"/>
      <c r="BM31" s="2681"/>
      <c r="BN31" s="2681"/>
      <c r="BO31" s="2681"/>
      <c r="BP31" s="2681"/>
      <c r="BQ31" s="2681"/>
      <c r="BR31" s="2681"/>
      <c r="BS31" s="2681"/>
      <c r="BT31" s="2681"/>
      <c r="BU31" s="2681"/>
      <c r="BV31" s="2687"/>
    </row>
    <row r="32" spans="13:74" ht="18.75" customHeight="1" thickBot="1">
      <c r="M32" s="2677"/>
      <c r="N32" s="2678"/>
      <c r="O32" s="2678"/>
      <c r="P32" s="2678"/>
      <c r="Q32" s="2678"/>
      <c r="R32" s="2678"/>
      <c r="S32" s="2678"/>
      <c r="T32" s="2678"/>
      <c r="U32" s="2678"/>
      <c r="V32" s="2679"/>
      <c r="W32" s="2674"/>
      <c r="X32" s="2675"/>
      <c r="Y32" s="2675"/>
      <c r="Z32" s="2675"/>
      <c r="AA32" s="2675"/>
      <c r="AB32" s="2675"/>
      <c r="AC32" s="2675"/>
      <c r="AD32" s="2675"/>
      <c r="AE32" s="2675"/>
      <c r="AF32" s="2675"/>
      <c r="AG32" s="2675"/>
      <c r="AH32" s="2675"/>
      <c r="AI32" s="2676"/>
      <c r="AJ32" s="2683"/>
      <c r="AK32" s="2684"/>
      <c r="AL32" s="2684"/>
      <c r="AM32" s="2684"/>
      <c r="AN32" s="2684"/>
      <c r="AO32" s="2684"/>
      <c r="AP32" s="2684"/>
      <c r="AQ32" s="2684"/>
      <c r="AR32" s="2684"/>
      <c r="AS32" s="2684"/>
      <c r="AT32" s="2684"/>
      <c r="AU32" s="2684"/>
      <c r="AV32" s="2685"/>
      <c r="AW32" s="2688"/>
      <c r="AX32" s="2684"/>
      <c r="AY32" s="2684"/>
      <c r="AZ32" s="2684"/>
      <c r="BA32" s="2684"/>
      <c r="BB32" s="2684"/>
      <c r="BC32" s="2684"/>
      <c r="BD32" s="2684"/>
      <c r="BE32" s="2684"/>
      <c r="BF32" s="2684"/>
      <c r="BG32" s="2684"/>
      <c r="BH32" s="2684"/>
      <c r="BI32" s="2689"/>
      <c r="BJ32" s="2683"/>
      <c r="BK32" s="2684"/>
      <c r="BL32" s="2684"/>
      <c r="BM32" s="2684"/>
      <c r="BN32" s="2684"/>
      <c r="BO32" s="2684"/>
      <c r="BP32" s="2684"/>
      <c r="BQ32" s="2684"/>
      <c r="BR32" s="2684"/>
      <c r="BS32" s="2684"/>
      <c r="BT32" s="2684"/>
      <c r="BU32" s="2684"/>
      <c r="BV32" s="2689"/>
    </row>
    <row r="33" spans="13:74" ht="21.75" customHeight="1" thickTop="1">
      <c r="M33" s="2734" t="s">
        <v>1293</v>
      </c>
      <c r="N33" s="2497"/>
      <c r="O33" s="2497"/>
      <c r="P33" s="2497"/>
      <c r="Q33" s="2497"/>
      <c r="R33" s="2497"/>
      <c r="S33" s="2497"/>
      <c r="T33" s="2497"/>
      <c r="U33" s="2497"/>
      <c r="V33" s="2735"/>
      <c r="W33" s="2608">
        <f>After_Repair_Value_Result+SUM(AE16:AI25)</f>
        <v>0</v>
      </c>
      <c r="X33" s="2609"/>
      <c r="Y33" s="2609"/>
      <c r="Z33" s="2609"/>
      <c r="AA33" s="2609"/>
      <c r="AB33" s="2609"/>
      <c r="AC33" s="2609"/>
      <c r="AD33" s="2609"/>
      <c r="AE33" s="2609"/>
      <c r="AF33" s="2609"/>
      <c r="AG33" s="2609"/>
      <c r="AH33" s="2609"/>
      <c r="AI33" s="2736"/>
      <c r="AJ33" s="2608">
        <f>AJ10+SUM(AR16:AV25)</f>
        <v>0</v>
      </c>
      <c r="AK33" s="2609"/>
      <c r="AL33" s="2609"/>
      <c r="AM33" s="2609"/>
      <c r="AN33" s="2609"/>
      <c r="AO33" s="2609"/>
      <c r="AP33" s="2609"/>
      <c r="AQ33" s="2609"/>
      <c r="AR33" s="2609"/>
      <c r="AS33" s="2609"/>
      <c r="AT33" s="2609"/>
      <c r="AU33" s="2609"/>
      <c r="AV33" s="2736"/>
      <c r="AW33" s="2608">
        <f>AW10+SUM(BE16:BI25)</f>
        <v>0</v>
      </c>
      <c r="AX33" s="2609"/>
      <c r="AY33" s="2609"/>
      <c r="AZ33" s="2609"/>
      <c r="BA33" s="2609"/>
      <c r="BB33" s="2609"/>
      <c r="BC33" s="2609"/>
      <c r="BD33" s="2609"/>
      <c r="BE33" s="2609"/>
      <c r="BF33" s="2609"/>
      <c r="BG33" s="2609"/>
      <c r="BH33" s="2609"/>
      <c r="BI33" s="2736"/>
      <c r="BJ33" s="2608">
        <f>BJ10+SUM(BR16:BV25)</f>
        <v>0</v>
      </c>
      <c r="BK33" s="2609"/>
      <c r="BL33" s="2609"/>
      <c r="BM33" s="2609"/>
      <c r="BN33" s="2609"/>
      <c r="BO33" s="2609"/>
      <c r="BP33" s="2609"/>
      <c r="BQ33" s="2609"/>
      <c r="BR33" s="2609"/>
      <c r="BS33" s="2609"/>
      <c r="BT33" s="2609"/>
      <c r="BU33" s="2609"/>
      <c r="BV33" s="2610"/>
    </row>
    <row r="34" spans="13:74" ht="16.7">
      <c r="M34" s="2611" t="s">
        <v>1261</v>
      </c>
      <c r="N34" s="2519"/>
      <c r="O34" s="2519"/>
      <c r="P34" s="2519"/>
      <c r="Q34" s="2519"/>
      <c r="R34" s="2519"/>
      <c r="S34" s="2519"/>
      <c r="T34" s="2519"/>
      <c r="U34" s="2519"/>
      <c r="V34" s="2612"/>
      <c r="W34" s="2613">
        <f>IFERROR(W33/W19,0)</f>
        <v>0</v>
      </c>
      <c r="X34" s="2614"/>
      <c r="Y34" s="2614"/>
      <c r="Z34" s="2614"/>
      <c r="AA34" s="2614"/>
      <c r="AB34" s="2614"/>
      <c r="AC34" s="2614"/>
      <c r="AD34" s="2614"/>
      <c r="AE34" s="2614"/>
      <c r="AF34" s="2614"/>
      <c r="AG34" s="2614"/>
      <c r="AH34" s="2614"/>
      <c r="AI34" s="2615"/>
      <c r="AJ34" s="2613">
        <f>IFERROR(AJ33/AJ19,0)</f>
        <v>0</v>
      </c>
      <c r="AK34" s="2614"/>
      <c r="AL34" s="2614"/>
      <c r="AM34" s="2614"/>
      <c r="AN34" s="2614"/>
      <c r="AO34" s="2614"/>
      <c r="AP34" s="2614"/>
      <c r="AQ34" s="2614"/>
      <c r="AR34" s="2614"/>
      <c r="AS34" s="2614"/>
      <c r="AT34" s="2614"/>
      <c r="AU34" s="2614"/>
      <c r="AV34" s="2615"/>
      <c r="AW34" s="2613">
        <f>IFERROR(AW33/AW19,0)</f>
        <v>0</v>
      </c>
      <c r="AX34" s="2614"/>
      <c r="AY34" s="2614"/>
      <c r="AZ34" s="2614"/>
      <c r="BA34" s="2614"/>
      <c r="BB34" s="2614"/>
      <c r="BC34" s="2614"/>
      <c r="BD34" s="2614"/>
      <c r="BE34" s="2614"/>
      <c r="BF34" s="2614"/>
      <c r="BG34" s="2614"/>
      <c r="BH34" s="2614"/>
      <c r="BI34" s="2615"/>
      <c r="BJ34" s="2613">
        <f>IFERROR(BJ33/BJ19,0)</f>
        <v>0</v>
      </c>
      <c r="BK34" s="2614"/>
      <c r="BL34" s="2614"/>
      <c r="BM34" s="2614"/>
      <c r="BN34" s="2614"/>
      <c r="BO34" s="2614"/>
      <c r="BP34" s="2614"/>
      <c r="BQ34" s="2614"/>
      <c r="BR34" s="2614"/>
      <c r="BS34" s="2614"/>
      <c r="BT34" s="2614"/>
      <c r="BU34" s="2614"/>
      <c r="BV34" s="2616"/>
    </row>
    <row r="36" spans="13:74" hidden="1"/>
    <row r="37" spans="13:74" hidden="1">
      <c r="W37" s="533" t="s">
        <v>376</v>
      </c>
    </row>
    <row r="38" spans="13:74" hidden="1">
      <c r="W38" s="533" t="s">
        <v>377</v>
      </c>
    </row>
    <row r="39" spans="13:74" hidden="1"/>
    <row r="40" spans="13:74" hidden="1">
      <c r="W40" s="533" t="s">
        <v>1272</v>
      </c>
    </row>
    <row r="41" spans="13:74" hidden="1">
      <c r="W41" s="533" t="s">
        <v>1273</v>
      </c>
    </row>
    <row r="42" spans="13:74" hidden="1">
      <c r="W42" s="533" t="s">
        <v>1274</v>
      </c>
    </row>
    <row r="43" spans="13:74" hidden="1"/>
    <row r="44" spans="13:74" hidden="1">
      <c r="W44" s="533" t="s">
        <v>1286</v>
      </c>
    </row>
    <row r="45" spans="13:74" hidden="1">
      <c r="W45" s="533" t="s">
        <v>1287</v>
      </c>
    </row>
    <row r="46" spans="13:74" hidden="1">
      <c r="W46" s="533" t="s">
        <v>1288</v>
      </c>
    </row>
    <row r="47" spans="13:74" hidden="1">
      <c r="W47" s="533" t="s">
        <v>1289</v>
      </c>
    </row>
    <row r="48" spans="13:74" hidden="1"/>
    <row r="49" spans="23:23" hidden="1">
      <c r="W49" s="533" t="s">
        <v>1290</v>
      </c>
    </row>
    <row r="50" spans="23:23" hidden="1">
      <c r="W50" s="533" t="s">
        <v>1291</v>
      </c>
    </row>
    <row r="51" spans="23:23" hidden="1">
      <c r="W51" s="533" t="s">
        <v>1292</v>
      </c>
    </row>
    <row r="52" spans="23:23" hidden="1"/>
  </sheetData>
  <sheetProtection algorithmName="SHA-512" hashValue="Mg+0q0dpVwcaMYiChshvP0AJxSL37pH/LW6OqimNX3GM8kP/bLUAVyRxKi+fq+NoSE2oqsGN3moGil4pJLNAyQ==" saltValue="mnHhpcWN35EmVai6zbEUUg==" spinCount="100000" sheet="1" objects="1" formatCells="0" formatColumns="0" formatRows="0" insertHyperlinks="0" sort="0" autoFilter="0"/>
  <mergeCells count="162">
    <mergeCell ref="M9:V9"/>
    <mergeCell ref="W9:AI9"/>
    <mergeCell ref="AJ9:AV9"/>
    <mergeCell ref="AW9:BI9"/>
    <mergeCell ref="BJ9:BV9"/>
    <mergeCell ref="I2:U2"/>
    <mergeCell ref="M33:V33"/>
    <mergeCell ref="W33:AI33"/>
    <mergeCell ref="AJ33:AV33"/>
    <mergeCell ref="AW33:BI33"/>
    <mergeCell ref="M4:BV4"/>
    <mergeCell ref="M5:V5"/>
    <mergeCell ref="M6:V6"/>
    <mergeCell ref="M7:V7"/>
    <mergeCell ref="M12:V12"/>
    <mergeCell ref="AW5:BI5"/>
    <mergeCell ref="BJ5:BV5"/>
    <mergeCell ref="AW6:BI6"/>
    <mergeCell ref="AW7:BI7"/>
    <mergeCell ref="AW12:BI12"/>
    <mergeCell ref="AJ10:AV10"/>
    <mergeCell ref="M11:V11"/>
    <mergeCell ref="W11:AI11"/>
    <mergeCell ref="AJ11:AV11"/>
    <mergeCell ref="BJ6:BV6"/>
    <mergeCell ref="BJ7:BV7"/>
    <mergeCell ref="BJ12:BV12"/>
    <mergeCell ref="AW10:BI10"/>
    <mergeCell ref="BJ10:BV10"/>
    <mergeCell ref="AW11:BI11"/>
    <mergeCell ref="BJ11:BV11"/>
    <mergeCell ref="M19:V19"/>
    <mergeCell ref="W5:AI5"/>
    <mergeCell ref="AJ5:AV5"/>
    <mergeCell ref="W6:AI6"/>
    <mergeCell ref="W7:AI7"/>
    <mergeCell ref="W12:AI12"/>
    <mergeCell ref="AJ6:AV6"/>
    <mergeCell ref="AJ7:AV7"/>
    <mergeCell ref="AJ12:AV12"/>
    <mergeCell ref="M16:V16"/>
    <mergeCell ref="M14:BV14"/>
    <mergeCell ref="M8:V8"/>
    <mergeCell ref="W8:AI8"/>
    <mergeCell ref="AJ8:AV8"/>
    <mergeCell ref="AW8:BI8"/>
    <mergeCell ref="BJ8:BV8"/>
    <mergeCell ref="M13:V13"/>
    <mergeCell ref="W13:AI13"/>
    <mergeCell ref="AJ13:AV13"/>
    <mergeCell ref="AW13:BI13"/>
    <mergeCell ref="BJ13:BV13"/>
    <mergeCell ref="M10:V10"/>
    <mergeCell ref="W10:AI10"/>
    <mergeCell ref="BJ15:BQ15"/>
    <mergeCell ref="BR15:BV15"/>
    <mergeCell ref="M25:V25"/>
    <mergeCell ref="W25:AD25"/>
    <mergeCell ref="AE25:AI25"/>
    <mergeCell ref="M24:V24"/>
    <mergeCell ref="M23:V23"/>
    <mergeCell ref="M18:V18"/>
    <mergeCell ref="W18:AD18"/>
    <mergeCell ref="AE18:AI18"/>
    <mergeCell ref="M22:V22"/>
    <mergeCell ref="M20:V20"/>
    <mergeCell ref="AW16:BD16"/>
    <mergeCell ref="BE16:BI16"/>
    <mergeCell ref="AW17:BD17"/>
    <mergeCell ref="W23:AD23"/>
    <mergeCell ref="W24:AD24"/>
    <mergeCell ref="M15:V15"/>
    <mergeCell ref="W26:AI32"/>
    <mergeCell ref="M26:V32"/>
    <mergeCell ref="AJ26:AV32"/>
    <mergeCell ref="AW26:BI32"/>
    <mergeCell ref="BJ26:BV32"/>
    <mergeCell ref="AJ25:AQ25"/>
    <mergeCell ref="AR25:AV25"/>
    <mergeCell ref="BJ25:BQ25"/>
    <mergeCell ref="BR25:BV25"/>
    <mergeCell ref="AE15:AI15"/>
    <mergeCell ref="W15:AD15"/>
    <mergeCell ref="AJ15:AQ15"/>
    <mergeCell ref="AR15:AV15"/>
    <mergeCell ref="AW15:BD15"/>
    <mergeCell ref="BE15:BI15"/>
    <mergeCell ref="BE17:BI17"/>
    <mergeCell ref="AW18:BD18"/>
    <mergeCell ref="BE18:BI18"/>
    <mergeCell ref="AJ20:AQ20"/>
    <mergeCell ref="AR20:AV20"/>
    <mergeCell ref="AJ21:AQ21"/>
    <mergeCell ref="AR21:AV21"/>
    <mergeCell ref="AW19:BD19"/>
    <mergeCell ref="BE19:BI19"/>
    <mergeCell ref="M17:V17"/>
    <mergeCell ref="W16:AD16"/>
    <mergeCell ref="W17:AD17"/>
    <mergeCell ref="AE16:AI16"/>
    <mergeCell ref="AE17:AI17"/>
    <mergeCell ref="M21:V21"/>
    <mergeCell ref="W21:AD21"/>
    <mergeCell ref="AE21:AI21"/>
    <mergeCell ref="AJ16:AQ16"/>
    <mergeCell ref="AR16:AV16"/>
    <mergeCell ref="AE19:AI19"/>
    <mergeCell ref="AE20:AI20"/>
    <mergeCell ref="W19:AD19"/>
    <mergeCell ref="W20:AD20"/>
    <mergeCell ref="AW20:BD20"/>
    <mergeCell ref="BE20:BI20"/>
    <mergeCell ref="AW21:BD21"/>
    <mergeCell ref="BE21:BI21"/>
    <mergeCell ref="AJ23:AQ23"/>
    <mergeCell ref="AR23:AV23"/>
    <mergeCell ref="BJ19:BQ19"/>
    <mergeCell ref="BR19:BV19"/>
    <mergeCell ref="BJ20:BQ20"/>
    <mergeCell ref="BR20:BV20"/>
    <mergeCell ref="BJ21:BQ21"/>
    <mergeCell ref="BR21:BV21"/>
    <mergeCell ref="BR16:BV16"/>
    <mergeCell ref="BJ17:BQ17"/>
    <mergeCell ref="BR17:BV17"/>
    <mergeCell ref="BJ18:BQ18"/>
    <mergeCell ref="BR18:BV18"/>
    <mergeCell ref="BJ16:BQ16"/>
    <mergeCell ref="AJ17:AQ17"/>
    <mergeCell ref="AR17:AV17"/>
    <mergeCell ref="AJ18:AQ18"/>
    <mergeCell ref="AR18:AV18"/>
    <mergeCell ref="AW22:BD22"/>
    <mergeCell ref="BE22:BI22"/>
    <mergeCell ref="AJ22:AQ22"/>
    <mergeCell ref="AR22:AV22"/>
    <mergeCell ref="AJ19:AQ19"/>
    <mergeCell ref="AR19:AV19"/>
    <mergeCell ref="BJ33:BV33"/>
    <mergeCell ref="M34:V34"/>
    <mergeCell ref="W34:AI34"/>
    <mergeCell ref="AJ34:AV34"/>
    <mergeCell ref="AW34:BI34"/>
    <mergeCell ref="BJ34:BV34"/>
    <mergeCell ref="BJ22:BQ22"/>
    <mergeCell ref="BR22:BV22"/>
    <mergeCell ref="BJ23:BQ23"/>
    <mergeCell ref="BR23:BV23"/>
    <mergeCell ref="BJ24:BQ24"/>
    <mergeCell ref="BR24:BV24"/>
    <mergeCell ref="AW23:BD23"/>
    <mergeCell ref="BE23:BI23"/>
    <mergeCell ref="AW24:BD24"/>
    <mergeCell ref="BE24:BI24"/>
    <mergeCell ref="AW25:BD25"/>
    <mergeCell ref="BE25:BI25"/>
    <mergeCell ref="AJ24:AQ24"/>
    <mergeCell ref="AR24:AV24"/>
    <mergeCell ref="AE22:AI22"/>
    <mergeCell ref="AE23:AI23"/>
    <mergeCell ref="AE24:AI24"/>
    <mergeCell ref="W22:AD22"/>
  </mergeCells>
  <conditionalFormatting sqref="AE16:AI20 AE22:AI24">
    <cfRule type="cellIs" dxfId="170" priority="24" operator="greaterThan">
      <formula>0</formula>
    </cfRule>
  </conditionalFormatting>
  <conditionalFormatting sqref="AE16:AI20 AE22:AI24">
    <cfRule type="cellIs" dxfId="169" priority="23" operator="lessThan">
      <formula>0</formula>
    </cfRule>
  </conditionalFormatting>
  <conditionalFormatting sqref="AE25:AI25">
    <cfRule type="cellIs" dxfId="168" priority="22" operator="greaterThan">
      <formula>0</formula>
    </cfRule>
  </conditionalFormatting>
  <conditionalFormatting sqref="AE25:AI25">
    <cfRule type="cellIs" dxfId="167" priority="21" operator="lessThan">
      <formula>0</formula>
    </cfRule>
  </conditionalFormatting>
  <conditionalFormatting sqref="AE21:AI21">
    <cfRule type="cellIs" dxfId="166" priority="20" operator="greaterThan">
      <formula>0</formula>
    </cfRule>
  </conditionalFormatting>
  <conditionalFormatting sqref="AE21:AI21">
    <cfRule type="cellIs" dxfId="165" priority="19" operator="lessThan">
      <formula>0</formula>
    </cfRule>
  </conditionalFormatting>
  <conditionalFormatting sqref="AR16:AV20 AR22:AV24">
    <cfRule type="cellIs" dxfId="164" priority="18" operator="greaterThan">
      <formula>0</formula>
    </cfRule>
  </conditionalFormatting>
  <conditionalFormatting sqref="AR16:AV20 AR22:AV24">
    <cfRule type="cellIs" dxfId="163" priority="17" operator="lessThan">
      <formula>0</formula>
    </cfRule>
  </conditionalFormatting>
  <conditionalFormatting sqref="AR25:AV25">
    <cfRule type="cellIs" dxfId="162" priority="16" operator="greaterThan">
      <formula>0</formula>
    </cfRule>
  </conditionalFormatting>
  <conditionalFormatting sqref="AR25:AV25">
    <cfRule type="cellIs" dxfId="161" priority="15" operator="lessThan">
      <formula>0</formula>
    </cfRule>
  </conditionalFormatting>
  <conditionalFormatting sqref="AR21:AV21">
    <cfRule type="cellIs" dxfId="160" priority="14" operator="greaterThan">
      <formula>0</formula>
    </cfRule>
  </conditionalFormatting>
  <conditionalFormatting sqref="AR21:AV21">
    <cfRule type="cellIs" dxfId="159" priority="13" operator="lessThan">
      <formula>0</formula>
    </cfRule>
  </conditionalFormatting>
  <conditionalFormatting sqref="BE16:BI20 BE22:BI24">
    <cfRule type="cellIs" dxfId="158" priority="12" operator="greaterThan">
      <formula>0</formula>
    </cfRule>
  </conditionalFormatting>
  <conditionalFormatting sqref="BE16:BI20 BE22:BI24">
    <cfRule type="cellIs" dxfId="157" priority="11" operator="lessThan">
      <formula>0</formula>
    </cfRule>
  </conditionalFormatting>
  <conditionalFormatting sqref="BE25:BI25">
    <cfRule type="cellIs" dxfId="156" priority="10" operator="greaterThan">
      <formula>0</formula>
    </cfRule>
  </conditionalFormatting>
  <conditionalFormatting sqref="BE25:BI25">
    <cfRule type="cellIs" dxfId="155" priority="9" operator="lessThan">
      <formula>0</formula>
    </cfRule>
  </conditionalFormatting>
  <conditionalFormatting sqref="BE21:BI21">
    <cfRule type="cellIs" dxfId="154" priority="8" operator="greaterThan">
      <formula>0</formula>
    </cfRule>
  </conditionalFormatting>
  <conditionalFormatting sqref="BE21:BI21">
    <cfRule type="cellIs" dxfId="153" priority="7" operator="lessThan">
      <formula>0</formula>
    </cfRule>
  </conditionalFormatting>
  <conditionalFormatting sqref="BR16:BV20 BR22:BV24">
    <cfRule type="cellIs" dxfId="152" priority="6" operator="greaterThan">
      <formula>0</formula>
    </cfRule>
  </conditionalFormatting>
  <conditionalFormatting sqref="BR16:BV20 BR22:BV24">
    <cfRule type="cellIs" dxfId="151" priority="5" operator="lessThan">
      <formula>0</formula>
    </cfRule>
  </conditionalFormatting>
  <conditionalFormatting sqref="BR25:BV25">
    <cfRule type="cellIs" dxfId="150" priority="4" operator="greaterThan">
      <formula>0</formula>
    </cfRule>
  </conditionalFormatting>
  <conditionalFormatting sqref="BR25:BV25">
    <cfRule type="cellIs" dxfId="149" priority="3" operator="lessThan">
      <formula>0</formula>
    </cfRule>
  </conditionalFormatting>
  <conditionalFormatting sqref="BR21:BV21">
    <cfRule type="cellIs" dxfId="148" priority="2" operator="greaterThan">
      <formula>0</formula>
    </cfRule>
  </conditionalFormatting>
  <conditionalFormatting sqref="BR21:BV21">
    <cfRule type="cellIs" dxfId="147" priority="1" operator="lessThan">
      <formula>0</formula>
    </cfRule>
  </conditionalFormatting>
  <dataValidations count="4">
    <dataValidation type="list" allowBlank="1" showInputMessage="1" showErrorMessage="1" sqref="AJ11:BV11" xr:uid="{00000000-0002-0000-0E00-000000000000}">
      <formula1>$W$40:$W$42</formula1>
    </dataValidation>
    <dataValidation type="list" allowBlank="1" sqref="W22:AD23 AJ22:AQ23 AW22:BD23 BJ22:BQ23" xr:uid="{00000000-0002-0000-0E00-000001000000}">
      <formula1>$W$37:$W$38</formula1>
    </dataValidation>
    <dataValidation type="list" allowBlank="1" sqref="W21:AD21 AJ21:AQ21 AW21:BD21 BJ21:BQ21" xr:uid="{00000000-0002-0000-0E00-000002000000}">
      <formula1>$W$44:$W$47</formula1>
    </dataValidation>
    <dataValidation type="list" allowBlank="1" sqref="W24:AD24 AJ24:AQ24 AW24:BD24 BJ24:BQ24" xr:uid="{00000000-0002-0000-0E00-000003000000}">
      <formula1>$W$49:$W$51</formula1>
    </dataValidation>
  </dataValidation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wsWHOLESALE_CALC">
    <tabColor theme="4"/>
    <pageSetUpPr fitToPage="1"/>
  </sheetPr>
  <dimension ref="A1:CU218"/>
  <sheetViews>
    <sheetView showGridLines="0" showRowColHeaders="0" zoomScaleNormal="100" workbookViewId="0">
      <pane ySplit="2" topLeftCell="A3" activePane="bottomLeft" state="frozen"/>
      <selection pane="bottomLeft" activeCell="B7" sqref="B7:AG13"/>
    </sheetView>
  </sheetViews>
  <sheetFormatPr defaultColWidth="8.8984375" defaultRowHeight="13.7"/>
  <cols>
    <col min="1" max="1" width="9.19921875" style="77" customWidth="1"/>
    <col min="2" max="99" width="1.8984375" style="77" customWidth="1"/>
    <col min="100" max="203" width="1.44921875" style="77" customWidth="1"/>
    <col min="204" max="16384" width="8.8984375" style="77"/>
  </cols>
  <sheetData>
    <row r="1" spans="1:99" s="2793" customFormat="1" ht="45" customHeight="1"/>
    <row r="2" spans="1:99" s="451" customFormat="1" ht="37.5" customHeight="1">
      <c r="E2" s="2733" t="s">
        <v>891</v>
      </c>
      <c r="F2" s="2733"/>
      <c r="G2" s="2733"/>
      <c r="H2" s="2733"/>
      <c r="I2" s="2733"/>
      <c r="J2" s="2733"/>
      <c r="K2" s="2733"/>
      <c r="L2" s="2733"/>
      <c r="M2" s="2733"/>
      <c r="N2" s="2733"/>
      <c r="O2" s="2733"/>
      <c r="P2" s="2733"/>
      <c r="Q2" s="2733"/>
      <c r="R2" s="2733"/>
      <c r="S2" s="2733"/>
    </row>
    <row r="3" spans="1:99" ht="11.25" customHeight="1" thickBot="1">
      <c r="A3" s="76"/>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row>
    <row r="4" spans="1:99" ht="6.75" customHeight="1">
      <c r="A4" s="76"/>
      <c r="B4" s="2809" t="s">
        <v>343</v>
      </c>
      <c r="C4" s="2810"/>
      <c r="D4" s="2810"/>
      <c r="E4" s="2810"/>
      <c r="F4" s="2810"/>
      <c r="G4" s="2810"/>
      <c r="H4" s="2810"/>
      <c r="I4" s="2810"/>
      <c r="J4" s="2810"/>
      <c r="K4" s="2810"/>
      <c r="L4" s="2810"/>
      <c r="M4" s="2810"/>
      <c r="N4" s="2810"/>
      <c r="O4" s="2810"/>
      <c r="P4" s="2810"/>
      <c r="Q4" s="2810"/>
      <c r="R4" s="2810"/>
      <c r="S4" s="2810"/>
      <c r="T4" s="2810"/>
      <c r="U4" s="2810"/>
      <c r="V4" s="2810"/>
      <c r="W4" s="2810"/>
      <c r="X4" s="2810"/>
      <c r="Y4" s="2810"/>
      <c r="Z4" s="2810"/>
      <c r="AA4" s="2810"/>
      <c r="AB4" s="2810"/>
      <c r="AC4" s="2810"/>
      <c r="AD4" s="2810"/>
      <c r="AE4" s="2810"/>
      <c r="AF4" s="2810"/>
      <c r="AG4" s="2811"/>
      <c r="AH4" s="78"/>
      <c r="AI4" s="3010" t="s">
        <v>842</v>
      </c>
      <c r="AJ4" s="3011"/>
      <c r="AK4" s="3011"/>
      <c r="AL4" s="3011"/>
      <c r="AM4" s="3011"/>
      <c r="AN4" s="3011"/>
      <c r="AO4" s="3011"/>
      <c r="AP4" s="3011"/>
      <c r="AQ4" s="3011"/>
      <c r="AR4" s="3011"/>
      <c r="AS4" s="3011"/>
      <c r="AT4" s="3011"/>
      <c r="AU4" s="3011"/>
      <c r="AV4" s="3011"/>
      <c r="AW4" s="3011"/>
      <c r="AX4" s="3011"/>
      <c r="AY4" s="3011"/>
      <c r="AZ4" s="3011"/>
      <c r="BA4" s="3011"/>
      <c r="BB4" s="3011"/>
      <c r="BC4" s="3011"/>
      <c r="BD4" s="3011"/>
      <c r="BE4" s="3011"/>
      <c r="BF4" s="3004" t="s">
        <v>874</v>
      </c>
      <c r="BG4" s="3004"/>
      <c r="BH4" s="3004"/>
      <c r="BI4" s="3004"/>
      <c r="BJ4" s="3004"/>
      <c r="BK4" s="3004"/>
      <c r="BL4" s="3005"/>
      <c r="BM4" s="78"/>
      <c r="BN4" s="2794" t="s">
        <v>583</v>
      </c>
      <c r="BO4" s="2795"/>
      <c r="BP4" s="2795"/>
      <c r="BQ4" s="2795"/>
      <c r="BR4" s="2795"/>
      <c r="BS4" s="2795"/>
      <c r="BT4" s="2795"/>
      <c r="BU4" s="2795"/>
      <c r="BV4" s="2795"/>
      <c r="BW4" s="2795"/>
      <c r="BX4" s="2795"/>
      <c r="BY4" s="2795"/>
      <c r="BZ4" s="2795"/>
      <c r="CA4" s="2795"/>
      <c r="CB4" s="2795"/>
      <c r="CC4" s="2795"/>
      <c r="CD4" s="2795"/>
      <c r="CE4" s="2795"/>
      <c r="CF4" s="2795"/>
      <c r="CG4" s="2795"/>
      <c r="CH4" s="2795"/>
      <c r="CI4" s="2795"/>
      <c r="CJ4" s="2795"/>
      <c r="CK4" s="2795"/>
      <c r="CL4" s="2795"/>
      <c r="CM4" s="2795"/>
      <c r="CN4" s="2795"/>
      <c r="CO4" s="2795"/>
      <c r="CP4" s="2795"/>
      <c r="CQ4" s="2795"/>
      <c r="CR4" s="2795"/>
      <c r="CS4" s="2795"/>
      <c r="CT4" s="2796"/>
    </row>
    <row r="5" spans="1:99" ht="6.75" customHeight="1">
      <c r="A5" s="76"/>
      <c r="B5" s="2812"/>
      <c r="C5" s="2813"/>
      <c r="D5" s="2813"/>
      <c r="E5" s="2813"/>
      <c r="F5" s="2813"/>
      <c r="G5" s="2813"/>
      <c r="H5" s="2813"/>
      <c r="I5" s="2813"/>
      <c r="J5" s="2813"/>
      <c r="K5" s="2813"/>
      <c r="L5" s="2813"/>
      <c r="M5" s="2813"/>
      <c r="N5" s="2813"/>
      <c r="O5" s="2813"/>
      <c r="P5" s="2813"/>
      <c r="Q5" s="2813"/>
      <c r="R5" s="2813"/>
      <c r="S5" s="2813"/>
      <c r="T5" s="2813"/>
      <c r="U5" s="2813"/>
      <c r="V5" s="2813"/>
      <c r="W5" s="2813"/>
      <c r="X5" s="2813"/>
      <c r="Y5" s="2813"/>
      <c r="Z5" s="2813"/>
      <c r="AA5" s="2813"/>
      <c r="AB5" s="2813"/>
      <c r="AC5" s="2813"/>
      <c r="AD5" s="2813"/>
      <c r="AE5" s="2813"/>
      <c r="AF5" s="2813"/>
      <c r="AG5" s="2814"/>
      <c r="AH5" s="78"/>
      <c r="AI5" s="3012"/>
      <c r="AJ5" s="3013"/>
      <c r="AK5" s="3013"/>
      <c r="AL5" s="3013"/>
      <c r="AM5" s="3013"/>
      <c r="AN5" s="3013"/>
      <c r="AO5" s="3013"/>
      <c r="AP5" s="3013"/>
      <c r="AQ5" s="3013"/>
      <c r="AR5" s="3013"/>
      <c r="AS5" s="3013"/>
      <c r="AT5" s="3013"/>
      <c r="AU5" s="3013"/>
      <c r="AV5" s="3013"/>
      <c r="AW5" s="3013"/>
      <c r="AX5" s="3013"/>
      <c r="AY5" s="3013"/>
      <c r="AZ5" s="3013"/>
      <c r="BA5" s="3013"/>
      <c r="BB5" s="3013"/>
      <c r="BC5" s="3013"/>
      <c r="BD5" s="3013"/>
      <c r="BE5" s="3013"/>
      <c r="BF5" s="3006"/>
      <c r="BG5" s="3006"/>
      <c r="BH5" s="3006"/>
      <c r="BI5" s="3006"/>
      <c r="BJ5" s="3006"/>
      <c r="BK5" s="3006"/>
      <c r="BL5" s="3007"/>
      <c r="BM5" s="78"/>
      <c r="BN5" s="2797"/>
      <c r="BO5" s="2798"/>
      <c r="BP5" s="2798"/>
      <c r="BQ5" s="2798"/>
      <c r="BR5" s="2798"/>
      <c r="BS5" s="2798"/>
      <c r="BT5" s="2798"/>
      <c r="BU5" s="2798"/>
      <c r="BV5" s="2798"/>
      <c r="BW5" s="2798"/>
      <c r="BX5" s="2798"/>
      <c r="BY5" s="2798"/>
      <c r="BZ5" s="2798"/>
      <c r="CA5" s="2798"/>
      <c r="CB5" s="2798"/>
      <c r="CC5" s="2798"/>
      <c r="CD5" s="2798"/>
      <c r="CE5" s="2798"/>
      <c r="CF5" s="2798"/>
      <c r="CG5" s="2798"/>
      <c r="CH5" s="2798"/>
      <c r="CI5" s="2798"/>
      <c r="CJ5" s="2798"/>
      <c r="CK5" s="2798"/>
      <c r="CL5" s="2798"/>
      <c r="CM5" s="2798"/>
      <c r="CN5" s="2798"/>
      <c r="CO5" s="2798"/>
      <c r="CP5" s="2798"/>
      <c r="CQ5" s="2798"/>
      <c r="CR5" s="2798"/>
      <c r="CS5" s="2798"/>
      <c r="CT5" s="2799"/>
    </row>
    <row r="6" spans="1:99" ht="6.75" customHeight="1" thickBot="1">
      <c r="A6" s="76"/>
      <c r="B6" s="2812"/>
      <c r="C6" s="2813"/>
      <c r="D6" s="2813"/>
      <c r="E6" s="2813"/>
      <c r="F6" s="2813"/>
      <c r="G6" s="2813"/>
      <c r="H6" s="2813"/>
      <c r="I6" s="2813"/>
      <c r="J6" s="2813"/>
      <c r="K6" s="2813"/>
      <c r="L6" s="2813"/>
      <c r="M6" s="2813"/>
      <c r="N6" s="2813"/>
      <c r="O6" s="2813"/>
      <c r="P6" s="2813"/>
      <c r="Q6" s="2813"/>
      <c r="R6" s="2813"/>
      <c r="S6" s="2813"/>
      <c r="T6" s="2813"/>
      <c r="U6" s="2813"/>
      <c r="V6" s="2813"/>
      <c r="W6" s="2813"/>
      <c r="X6" s="2813"/>
      <c r="Y6" s="2813"/>
      <c r="Z6" s="2813"/>
      <c r="AA6" s="2813"/>
      <c r="AB6" s="2813"/>
      <c r="AC6" s="2813"/>
      <c r="AD6" s="2813"/>
      <c r="AE6" s="2813"/>
      <c r="AF6" s="2813"/>
      <c r="AG6" s="2814"/>
      <c r="AH6" s="78"/>
      <c r="AI6" s="3014"/>
      <c r="AJ6" s="3015"/>
      <c r="AK6" s="3015"/>
      <c r="AL6" s="3015"/>
      <c r="AM6" s="3015"/>
      <c r="AN6" s="3015"/>
      <c r="AO6" s="3015"/>
      <c r="AP6" s="3015"/>
      <c r="AQ6" s="3015"/>
      <c r="AR6" s="3015"/>
      <c r="AS6" s="3015"/>
      <c r="AT6" s="3015"/>
      <c r="AU6" s="3015"/>
      <c r="AV6" s="3015"/>
      <c r="AW6" s="3015"/>
      <c r="AX6" s="3015"/>
      <c r="AY6" s="3015"/>
      <c r="AZ6" s="3015"/>
      <c r="BA6" s="3015"/>
      <c r="BB6" s="3015"/>
      <c r="BC6" s="3015"/>
      <c r="BD6" s="3015"/>
      <c r="BE6" s="3015"/>
      <c r="BF6" s="3008"/>
      <c r="BG6" s="3008"/>
      <c r="BH6" s="3008"/>
      <c r="BI6" s="3008"/>
      <c r="BJ6" s="3008"/>
      <c r="BK6" s="3008"/>
      <c r="BL6" s="3009"/>
      <c r="BM6" s="78"/>
      <c r="BN6" s="2800"/>
      <c r="BO6" s="2801"/>
      <c r="BP6" s="2801"/>
      <c r="BQ6" s="2801"/>
      <c r="BR6" s="2801"/>
      <c r="BS6" s="2801"/>
      <c r="BT6" s="2801"/>
      <c r="BU6" s="2801"/>
      <c r="BV6" s="2801"/>
      <c r="BW6" s="2801"/>
      <c r="BX6" s="2801"/>
      <c r="BY6" s="2801"/>
      <c r="BZ6" s="2801"/>
      <c r="CA6" s="2801"/>
      <c r="CB6" s="2801"/>
      <c r="CC6" s="2801"/>
      <c r="CD6" s="2801"/>
      <c r="CE6" s="2801"/>
      <c r="CF6" s="2801"/>
      <c r="CG6" s="2801"/>
      <c r="CH6" s="2801"/>
      <c r="CI6" s="2801"/>
      <c r="CJ6" s="2801"/>
      <c r="CK6" s="2801"/>
      <c r="CL6" s="2801"/>
      <c r="CM6" s="2801"/>
      <c r="CN6" s="2801"/>
      <c r="CO6" s="2801"/>
      <c r="CP6" s="2801"/>
      <c r="CQ6" s="2801"/>
      <c r="CR6" s="2801"/>
      <c r="CS6" s="2801"/>
      <c r="CT6" s="2802"/>
    </row>
    <row r="7" spans="1:99" ht="6.75" customHeight="1">
      <c r="A7" s="76"/>
      <c r="B7" s="2177"/>
      <c r="C7" s="2178"/>
      <c r="D7" s="2178"/>
      <c r="E7" s="2178"/>
      <c r="F7" s="2178"/>
      <c r="G7" s="2178"/>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9"/>
      <c r="AH7" s="78"/>
      <c r="AI7" s="2815" t="str">
        <f>T('2 REPAIR ESTIMATOR'!N75:T75)</f>
        <v>GENERAL CONDITIONS</v>
      </c>
      <c r="AJ7" s="2807"/>
      <c r="AK7" s="2807"/>
      <c r="AL7" s="2807"/>
      <c r="AM7" s="2807"/>
      <c r="AN7" s="2807"/>
      <c r="AO7" s="2807"/>
      <c r="AP7" s="2807"/>
      <c r="AQ7" s="2807"/>
      <c r="AR7" s="2807"/>
      <c r="AS7" s="2760"/>
      <c r="AT7" s="2761"/>
      <c r="AU7" s="2761"/>
      <c r="AV7" s="2761"/>
      <c r="AW7" s="2762"/>
      <c r="AX7" s="2806" t="str">
        <f>T('2 REPAIR ESTIMATOR'!Y79:AE79)</f>
        <v>FRAMING &amp; DRYWALL</v>
      </c>
      <c r="AY7" s="2807"/>
      <c r="AZ7" s="2807"/>
      <c r="BA7" s="2807"/>
      <c r="BB7" s="2807"/>
      <c r="BC7" s="2807"/>
      <c r="BD7" s="2807"/>
      <c r="BE7" s="2807"/>
      <c r="BF7" s="2807"/>
      <c r="BG7" s="2808"/>
      <c r="BH7" s="2760"/>
      <c r="BI7" s="2761"/>
      <c r="BJ7" s="2761"/>
      <c r="BK7" s="2761"/>
      <c r="BL7" s="2772"/>
      <c r="BM7" s="78"/>
      <c r="BN7" s="96"/>
      <c r="BO7" s="97"/>
      <c r="BP7" s="97"/>
      <c r="BQ7" s="97"/>
      <c r="BR7" s="97"/>
      <c r="BS7" s="97"/>
      <c r="BT7" s="97"/>
      <c r="BU7" s="97"/>
      <c r="BV7" s="97"/>
      <c r="BW7" s="97"/>
      <c r="BX7" s="97"/>
      <c r="BY7" s="97"/>
      <c r="BZ7" s="97"/>
      <c r="CA7" s="97"/>
      <c r="CB7" s="97"/>
      <c r="CC7" s="97"/>
      <c r="CD7" s="97"/>
      <c r="CE7" s="97"/>
      <c r="CF7" s="97"/>
      <c r="CG7" s="97"/>
      <c r="CH7" s="97"/>
      <c r="CI7" s="97"/>
      <c r="CJ7" s="107">
        <v>0.05</v>
      </c>
      <c r="CK7" s="98"/>
      <c r="CL7" s="2010">
        <v>0.15</v>
      </c>
      <c r="CM7" s="2011"/>
      <c r="CN7" s="2011"/>
      <c r="CO7" s="2011"/>
      <c r="CP7" s="2011"/>
      <c r="CQ7" s="2011"/>
      <c r="CR7" s="2011"/>
      <c r="CS7" s="2011"/>
      <c r="CT7" s="2012"/>
    </row>
    <row r="8" spans="1:99" ht="6.75" customHeight="1">
      <c r="A8" s="76"/>
      <c r="B8" s="2177"/>
      <c r="C8" s="2178"/>
      <c r="D8" s="2178"/>
      <c r="E8" s="2178"/>
      <c r="F8" s="2178"/>
      <c r="G8" s="2178"/>
      <c r="H8" s="2178"/>
      <c r="I8" s="2178"/>
      <c r="J8" s="2178"/>
      <c r="K8" s="2178"/>
      <c r="L8" s="2178"/>
      <c r="M8" s="2178"/>
      <c r="N8" s="2178"/>
      <c r="O8" s="2178"/>
      <c r="P8" s="2178"/>
      <c r="Q8" s="2178"/>
      <c r="R8" s="2178"/>
      <c r="S8" s="2178"/>
      <c r="T8" s="2178"/>
      <c r="U8" s="2178"/>
      <c r="V8" s="2178"/>
      <c r="W8" s="2178"/>
      <c r="X8" s="2178"/>
      <c r="Y8" s="2178"/>
      <c r="Z8" s="2178"/>
      <c r="AA8" s="2178"/>
      <c r="AB8" s="2178"/>
      <c r="AC8" s="2178"/>
      <c r="AD8" s="2178"/>
      <c r="AE8" s="2178"/>
      <c r="AF8" s="2178"/>
      <c r="AG8" s="2179"/>
      <c r="AH8" s="78"/>
      <c r="AI8" s="2815"/>
      <c r="AJ8" s="2807"/>
      <c r="AK8" s="2807"/>
      <c r="AL8" s="2807"/>
      <c r="AM8" s="2807"/>
      <c r="AN8" s="2807"/>
      <c r="AO8" s="2807"/>
      <c r="AP8" s="2807"/>
      <c r="AQ8" s="2807"/>
      <c r="AR8" s="2807"/>
      <c r="AS8" s="2763"/>
      <c r="AT8" s="2764"/>
      <c r="AU8" s="2764"/>
      <c r="AV8" s="2764"/>
      <c r="AW8" s="2765"/>
      <c r="AX8" s="2806"/>
      <c r="AY8" s="2807"/>
      <c r="AZ8" s="2807"/>
      <c r="BA8" s="2807"/>
      <c r="BB8" s="2807"/>
      <c r="BC8" s="2807"/>
      <c r="BD8" s="2807"/>
      <c r="BE8" s="2807"/>
      <c r="BF8" s="2807"/>
      <c r="BG8" s="2808"/>
      <c r="BH8" s="2763"/>
      <c r="BI8" s="2764"/>
      <c r="BJ8" s="2764"/>
      <c r="BK8" s="2764"/>
      <c r="BL8" s="2773"/>
      <c r="BM8" s="78"/>
      <c r="BN8" s="96"/>
      <c r="BO8" s="97"/>
      <c r="BP8" s="97"/>
      <c r="BQ8" s="97"/>
      <c r="BR8" s="97"/>
      <c r="BS8" s="97"/>
      <c r="BT8" s="97"/>
      <c r="BU8" s="97"/>
      <c r="BV8" s="97"/>
      <c r="BW8" s="97"/>
      <c r="BX8" s="97"/>
      <c r="BY8" s="97"/>
      <c r="BZ8" s="97"/>
      <c r="CA8" s="97"/>
      <c r="CB8" s="97"/>
      <c r="CC8" s="97"/>
      <c r="CD8" s="97"/>
      <c r="CE8" s="97"/>
      <c r="CF8" s="97"/>
      <c r="CG8" s="97"/>
      <c r="CH8" s="97"/>
      <c r="CI8" s="97"/>
      <c r="CJ8" s="97"/>
      <c r="CK8" s="98"/>
      <c r="CL8" s="2010"/>
      <c r="CM8" s="2011"/>
      <c r="CN8" s="2011"/>
      <c r="CO8" s="2011"/>
      <c r="CP8" s="2011"/>
      <c r="CQ8" s="2011"/>
      <c r="CR8" s="2011"/>
      <c r="CS8" s="2011"/>
      <c r="CT8" s="2012"/>
    </row>
    <row r="9" spans="1:99" ht="6.75" customHeight="1" thickBot="1">
      <c r="A9" s="76"/>
      <c r="B9" s="2177"/>
      <c r="C9" s="2178"/>
      <c r="D9" s="2178"/>
      <c r="E9" s="2178"/>
      <c r="F9" s="2178"/>
      <c r="G9" s="2178"/>
      <c r="H9" s="2178"/>
      <c r="I9" s="2178"/>
      <c r="J9" s="2178"/>
      <c r="K9" s="2178"/>
      <c r="L9" s="2178"/>
      <c r="M9" s="2178"/>
      <c r="N9" s="2178"/>
      <c r="O9" s="2178"/>
      <c r="P9" s="2178"/>
      <c r="Q9" s="2178"/>
      <c r="R9" s="2178"/>
      <c r="S9" s="2178"/>
      <c r="T9" s="2178"/>
      <c r="U9" s="2178"/>
      <c r="V9" s="2178"/>
      <c r="W9" s="2178"/>
      <c r="X9" s="2178"/>
      <c r="Y9" s="2178"/>
      <c r="Z9" s="2178"/>
      <c r="AA9" s="2178"/>
      <c r="AB9" s="2178"/>
      <c r="AC9" s="2178"/>
      <c r="AD9" s="2178"/>
      <c r="AE9" s="2178"/>
      <c r="AF9" s="2178"/>
      <c r="AG9" s="2179"/>
      <c r="AH9" s="78"/>
      <c r="AI9" s="2776" t="str">
        <f>T('2 REPAIR ESTIMATOR'!N76:T76)</f>
        <v>DEMOLITION</v>
      </c>
      <c r="AJ9" s="2777"/>
      <c r="AK9" s="2777"/>
      <c r="AL9" s="2777"/>
      <c r="AM9" s="2777"/>
      <c r="AN9" s="2777"/>
      <c r="AO9" s="2777"/>
      <c r="AP9" s="2777"/>
      <c r="AQ9" s="2777"/>
      <c r="AR9" s="2777"/>
      <c r="AS9" s="2760"/>
      <c r="AT9" s="2761"/>
      <c r="AU9" s="2761"/>
      <c r="AV9" s="2761"/>
      <c r="AW9" s="2762"/>
      <c r="AX9" s="2803" t="str">
        <f>T('2 REPAIR ESTIMATOR'!Y80:AE80)</f>
        <v>CABINETS &amp; COUNTERTOPS</v>
      </c>
      <c r="AY9" s="2804"/>
      <c r="AZ9" s="2804"/>
      <c r="BA9" s="2804"/>
      <c r="BB9" s="2804"/>
      <c r="BC9" s="2804"/>
      <c r="BD9" s="2804"/>
      <c r="BE9" s="2804"/>
      <c r="BF9" s="2804"/>
      <c r="BG9" s="2805"/>
      <c r="BH9" s="2760"/>
      <c r="BI9" s="2761"/>
      <c r="BJ9" s="2761"/>
      <c r="BK9" s="2761"/>
      <c r="BL9" s="2772"/>
      <c r="BM9" s="78"/>
      <c r="BN9" s="96">
        <f>B6*CL6</f>
        <v>0</v>
      </c>
      <c r="BO9" s="97"/>
      <c r="BP9" s="97"/>
      <c r="BQ9" s="97"/>
      <c r="BR9" s="97"/>
      <c r="BS9" s="97"/>
      <c r="BT9" s="97"/>
      <c r="BU9" s="97"/>
      <c r="BV9" s="97"/>
      <c r="BW9" s="97"/>
      <c r="BX9" s="97"/>
      <c r="BY9" s="97"/>
      <c r="BZ9" s="97"/>
      <c r="CA9" s="97"/>
      <c r="CB9" s="97"/>
      <c r="CC9" s="97"/>
      <c r="CD9" s="97"/>
      <c r="CE9" s="97"/>
      <c r="CF9" s="97"/>
      <c r="CG9" s="97"/>
      <c r="CH9" s="97"/>
      <c r="CI9" s="97"/>
      <c r="CJ9" s="97"/>
      <c r="CK9" s="98"/>
      <c r="CL9" s="2010"/>
      <c r="CM9" s="2011"/>
      <c r="CN9" s="2011"/>
      <c r="CO9" s="2011"/>
      <c r="CP9" s="2011"/>
      <c r="CQ9" s="2011"/>
      <c r="CR9" s="2011"/>
      <c r="CS9" s="2011"/>
      <c r="CT9" s="2012"/>
    </row>
    <row r="10" spans="1:99" ht="6.75" customHeight="1">
      <c r="A10" s="76"/>
      <c r="B10" s="2177"/>
      <c r="C10" s="2178"/>
      <c r="D10" s="2178"/>
      <c r="E10" s="2178"/>
      <c r="F10" s="2178"/>
      <c r="G10" s="2178"/>
      <c r="H10" s="2178"/>
      <c r="I10" s="2178"/>
      <c r="J10" s="2178"/>
      <c r="K10" s="2178"/>
      <c r="L10" s="2178"/>
      <c r="M10" s="2178"/>
      <c r="N10" s="2178"/>
      <c r="O10" s="2178"/>
      <c r="P10" s="2178"/>
      <c r="Q10" s="2178"/>
      <c r="R10" s="2178"/>
      <c r="S10" s="2178"/>
      <c r="T10" s="2178"/>
      <c r="U10" s="2178"/>
      <c r="V10" s="2178"/>
      <c r="W10" s="2178"/>
      <c r="X10" s="2178"/>
      <c r="Y10" s="2178"/>
      <c r="Z10" s="2178"/>
      <c r="AA10" s="2178"/>
      <c r="AB10" s="2178"/>
      <c r="AC10" s="2178"/>
      <c r="AD10" s="2178"/>
      <c r="AE10" s="2178"/>
      <c r="AF10" s="2178"/>
      <c r="AG10" s="2179"/>
      <c r="AH10" s="78"/>
      <c r="AI10" s="2776"/>
      <c r="AJ10" s="2777"/>
      <c r="AK10" s="2777"/>
      <c r="AL10" s="2777"/>
      <c r="AM10" s="2777"/>
      <c r="AN10" s="2777"/>
      <c r="AO10" s="2777"/>
      <c r="AP10" s="2777"/>
      <c r="AQ10" s="2777"/>
      <c r="AR10" s="2777"/>
      <c r="AS10" s="2763"/>
      <c r="AT10" s="2764"/>
      <c r="AU10" s="2764"/>
      <c r="AV10" s="2764"/>
      <c r="AW10" s="2765"/>
      <c r="AX10" s="2778"/>
      <c r="AY10" s="2779"/>
      <c r="AZ10" s="2779"/>
      <c r="BA10" s="2779"/>
      <c r="BB10" s="2779"/>
      <c r="BC10" s="2779"/>
      <c r="BD10" s="2779"/>
      <c r="BE10" s="2779"/>
      <c r="BF10" s="2779"/>
      <c r="BG10" s="2780"/>
      <c r="BH10" s="2763"/>
      <c r="BI10" s="2764"/>
      <c r="BJ10" s="2764"/>
      <c r="BK10" s="2764"/>
      <c r="BL10" s="2773"/>
      <c r="BM10" s="78"/>
      <c r="BN10" s="2781">
        <f>AFTER_REPAIR_VALUE_WHOLESALE*Wholesale_Profit_Percentage_Cell</f>
        <v>0</v>
      </c>
      <c r="BO10" s="2782"/>
      <c r="BP10" s="2782"/>
      <c r="BQ10" s="2782"/>
      <c r="BR10" s="2782"/>
      <c r="BS10" s="2782"/>
      <c r="BT10" s="2782"/>
      <c r="BU10" s="2782"/>
      <c r="BV10" s="2782"/>
      <c r="BW10" s="2782"/>
      <c r="BX10" s="2782"/>
      <c r="BY10" s="2782"/>
      <c r="BZ10" s="2782"/>
      <c r="CA10" s="2782"/>
      <c r="CB10" s="2782"/>
      <c r="CC10" s="2782"/>
      <c r="CD10" s="2782"/>
      <c r="CE10" s="2782"/>
      <c r="CF10" s="2782"/>
      <c r="CG10" s="2782"/>
      <c r="CH10" s="2782"/>
      <c r="CI10" s="2782"/>
      <c r="CJ10" s="2782"/>
      <c r="CK10" s="2782"/>
      <c r="CL10" s="2782"/>
      <c r="CM10" s="2782"/>
      <c r="CN10" s="2782"/>
      <c r="CO10" s="2782"/>
      <c r="CP10" s="2782"/>
      <c r="CQ10" s="2782"/>
      <c r="CR10" s="2782"/>
      <c r="CS10" s="2782"/>
      <c r="CT10" s="2783"/>
    </row>
    <row r="11" spans="1:99" ht="6.75" customHeight="1">
      <c r="A11" s="76"/>
      <c r="B11" s="2177"/>
      <c r="C11" s="2178"/>
      <c r="D11" s="2178"/>
      <c r="E11" s="2178"/>
      <c r="F11" s="2178"/>
      <c r="G11" s="2178"/>
      <c r="H11" s="2178"/>
      <c r="I11" s="2178"/>
      <c r="J11" s="2178"/>
      <c r="K11" s="2178"/>
      <c r="L11" s="2178"/>
      <c r="M11" s="2178"/>
      <c r="N11" s="2178"/>
      <c r="O11" s="2178"/>
      <c r="P11" s="2178"/>
      <c r="Q11" s="2178"/>
      <c r="R11" s="2178"/>
      <c r="S11" s="2178"/>
      <c r="T11" s="2178"/>
      <c r="U11" s="2178"/>
      <c r="V11" s="2178"/>
      <c r="W11" s="2178"/>
      <c r="X11" s="2178"/>
      <c r="Y11" s="2178"/>
      <c r="Z11" s="2178"/>
      <c r="AA11" s="2178"/>
      <c r="AB11" s="2178"/>
      <c r="AC11" s="2178"/>
      <c r="AD11" s="2178"/>
      <c r="AE11" s="2178"/>
      <c r="AF11" s="2178"/>
      <c r="AG11" s="2179"/>
      <c r="AH11" s="78"/>
      <c r="AI11" s="2758" t="str">
        <f>T('2 REPAIR ESTIMATOR'!N77:T77)</f>
        <v>STRUCTURAL CONCRETE</v>
      </c>
      <c r="AJ11" s="2759"/>
      <c r="AK11" s="2759"/>
      <c r="AL11" s="2759"/>
      <c r="AM11" s="2759"/>
      <c r="AN11" s="2759"/>
      <c r="AO11" s="2759"/>
      <c r="AP11" s="2759"/>
      <c r="AQ11" s="2759"/>
      <c r="AR11" s="2759"/>
      <c r="AS11" s="2760"/>
      <c r="AT11" s="2761"/>
      <c r="AU11" s="2761"/>
      <c r="AV11" s="2761"/>
      <c r="AW11" s="2762"/>
      <c r="AX11" s="2766" t="str">
        <f>T('2 REPAIR ESTIMATOR'!Y81:AE81)</f>
        <v>DOORS &amp; TRIM</v>
      </c>
      <c r="AY11" s="2767"/>
      <c r="AZ11" s="2767"/>
      <c r="BA11" s="2767"/>
      <c r="BB11" s="2767"/>
      <c r="BC11" s="2767"/>
      <c r="BD11" s="2767"/>
      <c r="BE11" s="2767"/>
      <c r="BF11" s="2767"/>
      <c r="BG11" s="2768"/>
      <c r="BH11" s="2760"/>
      <c r="BI11" s="2761"/>
      <c r="BJ11" s="2761"/>
      <c r="BK11" s="2761"/>
      <c r="BL11" s="2772"/>
      <c r="BM11" s="78"/>
      <c r="BN11" s="2784"/>
      <c r="BO11" s="2785"/>
      <c r="BP11" s="2785"/>
      <c r="BQ11" s="2785"/>
      <c r="BR11" s="2785"/>
      <c r="BS11" s="2785"/>
      <c r="BT11" s="2785"/>
      <c r="BU11" s="2785"/>
      <c r="BV11" s="2785"/>
      <c r="BW11" s="2785"/>
      <c r="BX11" s="2785"/>
      <c r="BY11" s="2785"/>
      <c r="BZ11" s="2785"/>
      <c r="CA11" s="2785"/>
      <c r="CB11" s="2785"/>
      <c r="CC11" s="2785"/>
      <c r="CD11" s="2785"/>
      <c r="CE11" s="2785"/>
      <c r="CF11" s="2785"/>
      <c r="CG11" s="2785"/>
      <c r="CH11" s="2785"/>
      <c r="CI11" s="2785"/>
      <c r="CJ11" s="2785"/>
      <c r="CK11" s="2785"/>
      <c r="CL11" s="2785"/>
      <c r="CM11" s="2785"/>
      <c r="CN11" s="2785"/>
      <c r="CO11" s="2785"/>
      <c r="CP11" s="2785"/>
      <c r="CQ11" s="2785"/>
      <c r="CR11" s="2785"/>
      <c r="CS11" s="2785"/>
      <c r="CT11" s="2786"/>
    </row>
    <row r="12" spans="1:99" ht="6.75" customHeight="1">
      <c r="A12" s="76"/>
      <c r="B12" s="2177"/>
      <c r="C12" s="2178"/>
      <c r="D12" s="2178"/>
      <c r="E12" s="2178"/>
      <c r="F12" s="2178"/>
      <c r="G12" s="2178"/>
      <c r="H12" s="2178"/>
      <c r="I12" s="2178"/>
      <c r="J12" s="2178"/>
      <c r="K12" s="2178"/>
      <c r="L12" s="2178"/>
      <c r="M12" s="2178"/>
      <c r="N12" s="2178"/>
      <c r="O12" s="2178"/>
      <c r="P12" s="2178"/>
      <c r="Q12" s="2178"/>
      <c r="R12" s="2178"/>
      <c r="S12" s="2178"/>
      <c r="T12" s="2178"/>
      <c r="U12" s="2178"/>
      <c r="V12" s="2178"/>
      <c r="W12" s="2178"/>
      <c r="X12" s="2178"/>
      <c r="Y12" s="2178"/>
      <c r="Z12" s="2178"/>
      <c r="AA12" s="2178"/>
      <c r="AB12" s="2178"/>
      <c r="AC12" s="2178"/>
      <c r="AD12" s="2178"/>
      <c r="AE12" s="2178"/>
      <c r="AF12" s="2178"/>
      <c r="AG12" s="2179"/>
      <c r="AH12" s="78"/>
      <c r="AI12" s="2758"/>
      <c r="AJ12" s="2759"/>
      <c r="AK12" s="2759"/>
      <c r="AL12" s="2759"/>
      <c r="AM12" s="2759"/>
      <c r="AN12" s="2759"/>
      <c r="AO12" s="2759"/>
      <c r="AP12" s="2759"/>
      <c r="AQ12" s="2759"/>
      <c r="AR12" s="2759"/>
      <c r="AS12" s="2763"/>
      <c r="AT12" s="2764"/>
      <c r="AU12" s="2764"/>
      <c r="AV12" s="2764"/>
      <c r="AW12" s="2765"/>
      <c r="AX12" s="2769"/>
      <c r="AY12" s="2770"/>
      <c r="AZ12" s="2770"/>
      <c r="BA12" s="2770"/>
      <c r="BB12" s="2770"/>
      <c r="BC12" s="2770"/>
      <c r="BD12" s="2770"/>
      <c r="BE12" s="2770"/>
      <c r="BF12" s="2770"/>
      <c r="BG12" s="2771"/>
      <c r="BH12" s="2763"/>
      <c r="BI12" s="2764"/>
      <c r="BJ12" s="2764"/>
      <c r="BK12" s="2764"/>
      <c r="BL12" s="2773"/>
      <c r="BM12" s="78"/>
      <c r="BN12" s="2784"/>
      <c r="BO12" s="2785"/>
      <c r="BP12" s="2785"/>
      <c r="BQ12" s="2785"/>
      <c r="BR12" s="2785"/>
      <c r="BS12" s="2785"/>
      <c r="BT12" s="2785"/>
      <c r="BU12" s="2785"/>
      <c r="BV12" s="2785"/>
      <c r="BW12" s="2785"/>
      <c r="BX12" s="2785"/>
      <c r="BY12" s="2785"/>
      <c r="BZ12" s="2785"/>
      <c r="CA12" s="2785"/>
      <c r="CB12" s="2785"/>
      <c r="CC12" s="2785"/>
      <c r="CD12" s="2785"/>
      <c r="CE12" s="2785"/>
      <c r="CF12" s="2785"/>
      <c r="CG12" s="2785"/>
      <c r="CH12" s="2785"/>
      <c r="CI12" s="2785"/>
      <c r="CJ12" s="2785"/>
      <c r="CK12" s="2785"/>
      <c r="CL12" s="2785"/>
      <c r="CM12" s="2785"/>
      <c r="CN12" s="2785"/>
      <c r="CO12" s="2785"/>
      <c r="CP12" s="2785"/>
      <c r="CQ12" s="2785"/>
      <c r="CR12" s="2785"/>
      <c r="CS12" s="2785"/>
      <c r="CT12" s="2786"/>
    </row>
    <row r="13" spans="1:99" ht="6.75" customHeight="1" thickBot="1">
      <c r="A13" s="76"/>
      <c r="B13" s="2180"/>
      <c r="C13" s="2181"/>
      <c r="D13" s="2181"/>
      <c r="E13" s="2181"/>
      <c r="F13" s="2181"/>
      <c r="G13" s="2181"/>
      <c r="H13" s="2181"/>
      <c r="I13" s="2181"/>
      <c r="J13" s="2181"/>
      <c r="K13" s="2181"/>
      <c r="L13" s="2181"/>
      <c r="M13" s="2181"/>
      <c r="N13" s="2181"/>
      <c r="O13" s="2181"/>
      <c r="P13" s="2181"/>
      <c r="Q13" s="2181"/>
      <c r="R13" s="2181"/>
      <c r="S13" s="2181"/>
      <c r="T13" s="2181"/>
      <c r="U13" s="2181"/>
      <c r="V13" s="2181"/>
      <c r="W13" s="2181"/>
      <c r="X13" s="2181"/>
      <c r="Y13" s="2181"/>
      <c r="Z13" s="2181"/>
      <c r="AA13" s="2181"/>
      <c r="AB13" s="2181"/>
      <c r="AC13" s="2181"/>
      <c r="AD13" s="2181"/>
      <c r="AE13" s="2181"/>
      <c r="AF13" s="2181"/>
      <c r="AG13" s="2182"/>
      <c r="AH13" s="78"/>
      <c r="AI13" s="2776" t="str">
        <f>T('2 REPAIR ESTIMATOR'!N78:T78)</f>
        <v>CONCRETE &amp; FLATWORK</v>
      </c>
      <c r="AJ13" s="2777"/>
      <c r="AK13" s="2777"/>
      <c r="AL13" s="2777"/>
      <c r="AM13" s="2777"/>
      <c r="AN13" s="2777"/>
      <c r="AO13" s="2777"/>
      <c r="AP13" s="2777"/>
      <c r="AQ13" s="2777"/>
      <c r="AR13" s="2777"/>
      <c r="AS13" s="2760"/>
      <c r="AT13" s="2761"/>
      <c r="AU13" s="2761"/>
      <c r="AV13" s="2761"/>
      <c r="AW13" s="2762"/>
      <c r="AX13" s="2778" t="str">
        <f>T('2 REPAIR ESTIMATOR'!Y82:AE82)</f>
        <v>CARPET &amp; RESILIENT</v>
      </c>
      <c r="AY13" s="2779"/>
      <c r="AZ13" s="2779"/>
      <c r="BA13" s="2779"/>
      <c r="BB13" s="2779"/>
      <c r="BC13" s="2779"/>
      <c r="BD13" s="2779"/>
      <c r="BE13" s="2779"/>
      <c r="BF13" s="2779"/>
      <c r="BG13" s="2780"/>
      <c r="BH13" s="2760"/>
      <c r="BI13" s="2761"/>
      <c r="BJ13" s="2761"/>
      <c r="BK13" s="2761"/>
      <c r="BL13" s="2772"/>
      <c r="BM13" s="78"/>
      <c r="BN13" s="2784"/>
      <c r="BO13" s="2785"/>
      <c r="BP13" s="2785"/>
      <c r="BQ13" s="2785"/>
      <c r="BR13" s="2785"/>
      <c r="BS13" s="2785"/>
      <c r="BT13" s="2785"/>
      <c r="BU13" s="2785"/>
      <c r="BV13" s="2785"/>
      <c r="BW13" s="2785"/>
      <c r="BX13" s="2785"/>
      <c r="BY13" s="2785"/>
      <c r="BZ13" s="2785"/>
      <c r="CA13" s="2785"/>
      <c r="CB13" s="2785"/>
      <c r="CC13" s="2785"/>
      <c r="CD13" s="2785"/>
      <c r="CE13" s="2785"/>
      <c r="CF13" s="2785"/>
      <c r="CG13" s="2785"/>
      <c r="CH13" s="2785"/>
      <c r="CI13" s="2785"/>
      <c r="CJ13" s="2785"/>
      <c r="CK13" s="2785"/>
      <c r="CL13" s="2785"/>
      <c r="CM13" s="2785"/>
      <c r="CN13" s="2785"/>
      <c r="CO13" s="2785"/>
      <c r="CP13" s="2785"/>
      <c r="CQ13" s="2785"/>
      <c r="CR13" s="2785"/>
      <c r="CS13" s="2785"/>
      <c r="CT13" s="2786"/>
    </row>
    <row r="14" spans="1:99" ht="6.75" customHeight="1">
      <c r="A14" s="76"/>
      <c r="B14" s="2789" t="s">
        <v>344</v>
      </c>
      <c r="C14" s="2790"/>
      <c r="D14" s="2790"/>
      <c r="E14" s="2790"/>
      <c r="F14" s="2790"/>
      <c r="G14" s="2790"/>
      <c r="H14" s="2790"/>
      <c r="I14" s="2790"/>
      <c r="J14" s="2790"/>
      <c r="K14" s="2790"/>
      <c r="L14" s="2790"/>
      <c r="M14" s="2790"/>
      <c r="N14" s="2790"/>
      <c r="O14" s="2790"/>
      <c r="P14" s="2790"/>
      <c r="Q14" s="2790"/>
      <c r="R14" s="2790"/>
      <c r="S14" s="2790"/>
      <c r="T14" s="2790"/>
      <c r="U14" s="2790"/>
      <c r="V14" s="2790"/>
      <c r="W14" s="2059" t="s">
        <v>898</v>
      </c>
      <c r="X14" s="2059"/>
      <c r="Y14" s="2059"/>
      <c r="Z14" s="2059"/>
      <c r="AA14" s="2059"/>
      <c r="AB14" s="2753"/>
      <c r="AC14" s="2756"/>
      <c r="AD14" s="2032">
        <v>0.15</v>
      </c>
      <c r="AE14" s="2032"/>
      <c r="AF14" s="2032"/>
      <c r="AG14" s="2787"/>
      <c r="AH14" s="78"/>
      <c r="AI14" s="2776"/>
      <c r="AJ14" s="2777"/>
      <c r="AK14" s="2777"/>
      <c r="AL14" s="2777"/>
      <c r="AM14" s="2777"/>
      <c r="AN14" s="2777"/>
      <c r="AO14" s="2777"/>
      <c r="AP14" s="2777"/>
      <c r="AQ14" s="2777"/>
      <c r="AR14" s="2777"/>
      <c r="AS14" s="2763"/>
      <c r="AT14" s="2764"/>
      <c r="AU14" s="2764"/>
      <c r="AV14" s="2764"/>
      <c r="AW14" s="2765"/>
      <c r="AX14" s="2816"/>
      <c r="AY14" s="2817"/>
      <c r="AZ14" s="2817"/>
      <c r="BA14" s="2817"/>
      <c r="BB14" s="2817"/>
      <c r="BC14" s="2817"/>
      <c r="BD14" s="2817"/>
      <c r="BE14" s="2817"/>
      <c r="BF14" s="2817"/>
      <c r="BG14" s="2818"/>
      <c r="BH14" s="2763"/>
      <c r="BI14" s="2764"/>
      <c r="BJ14" s="2764"/>
      <c r="BK14" s="2764"/>
      <c r="BL14" s="2773"/>
      <c r="BM14" s="78"/>
      <c r="BN14" s="2784"/>
      <c r="BO14" s="2785"/>
      <c r="BP14" s="2785"/>
      <c r="BQ14" s="2785"/>
      <c r="BR14" s="2785"/>
      <c r="BS14" s="2785"/>
      <c r="BT14" s="2785"/>
      <c r="BU14" s="2785"/>
      <c r="BV14" s="2785"/>
      <c r="BW14" s="2785"/>
      <c r="BX14" s="2785"/>
      <c r="BY14" s="2785"/>
      <c r="BZ14" s="2785"/>
      <c r="CA14" s="2785"/>
      <c r="CB14" s="2785"/>
      <c r="CC14" s="2785"/>
      <c r="CD14" s="2785"/>
      <c r="CE14" s="2785"/>
      <c r="CF14" s="2785"/>
      <c r="CG14" s="2785"/>
      <c r="CH14" s="2785"/>
      <c r="CI14" s="2785"/>
      <c r="CJ14" s="2785"/>
      <c r="CK14" s="2785"/>
      <c r="CL14" s="2785"/>
      <c r="CM14" s="2785"/>
      <c r="CN14" s="2785"/>
      <c r="CO14" s="2785"/>
      <c r="CP14" s="2785"/>
      <c r="CQ14" s="2785"/>
      <c r="CR14" s="2785"/>
      <c r="CS14" s="2785"/>
      <c r="CT14" s="2786"/>
    </row>
    <row r="15" spans="1:99" ht="6.75" customHeight="1">
      <c r="A15" s="76"/>
      <c r="B15" s="2789"/>
      <c r="C15" s="2790"/>
      <c r="D15" s="2790"/>
      <c r="E15" s="2790"/>
      <c r="F15" s="2790"/>
      <c r="G15" s="2790"/>
      <c r="H15" s="2790"/>
      <c r="I15" s="2790"/>
      <c r="J15" s="2790"/>
      <c r="K15" s="2790"/>
      <c r="L15" s="2790"/>
      <c r="M15" s="2790"/>
      <c r="N15" s="2790"/>
      <c r="O15" s="2790"/>
      <c r="P15" s="2790"/>
      <c r="Q15" s="2790"/>
      <c r="R15" s="2790"/>
      <c r="S15" s="2790"/>
      <c r="T15" s="2790"/>
      <c r="U15" s="2790"/>
      <c r="V15" s="2790"/>
      <c r="W15" s="2059"/>
      <c r="X15" s="2059"/>
      <c r="Y15" s="2059"/>
      <c r="Z15" s="2059"/>
      <c r="AA15" s="2059"/>
      <c r="AB15" s="2753"/>
      <c r="AC15" s="2756"/>
      <c r="AD15" s="2032"/>
      <c r="AE15" s="2032"/>
      <c r="AF15" s="2032"/>
      <c r="AG15" s="2787"/>
      <c r="AH15" s="78"/>
      <c r="AI15" s="2758" t="str">
        <f>T('2 REPAIR ESTIMATOR'!N79:T79)</f>
        <v>MASONRY</v>
      </c>
      <c r="AJ15" s="2759"/>
      <c r="AK15" s="2759"/>
      <c r="AL15" s="2759"/>
      <c r="AM15" s="2759"/>
      <c r="AN15" s="2759"/>
      <c r="AO15" s="2759"/>
      <c r="AP15" s="2759"/>
      <c r="AQ15" s="2759"/>
      <c r="AR15" s="2759"/>
      <c r="AS15" s="2760"/>
      <c r="AT15" s="2761"/>
      <c r="AU15" s="2761"/>
      <c r="AV15" s="2761"/>
      <c r="AW15" s="2762"/>
      <c r="AX15" s="2806" t="str">
        <f>T('2 REPAIR ESTIMATOR'!AJ75:AP75)</f>
        <v>HARDWOOD FLOORING</v>
      </c>
      <c r="AY15" s="2807"/>
      <c r="AZ15" s="2807"/>
      <c r="BA15" s="2807"/>
      <c r="BB15" s="2807"/>
      <c r="BC15" s="2807"/>
      <c r="BD15" s="2807"/>
      <c r="BE15" s="2807"/>
      <c r="BF15" s="2807"/>
      <c r="BG15" s="2808"/>
      <c r="BH15" s="2760"/>
      <c r="BI15" s="2761"/>
      <c r="BJ15" s="2761"/>
      <c r="BK15" s="2761"/>
      <c r="BL15" s="2772"/>
      <c r="BM15" s="78"/>
      <c r="BN15" s="2784"/>
      <c r="BO15" s="2785"/>
      <c r="BP15" s="2785"/>
      <c r="BQ15" s="2785"/>
      <c r="BR15" s="2785"/>
      <c r="BS15" s="2785"/>
      <c r="BT15" s="2785"/>
      <c r="BU15" s="2785"/>
      <c r="BV15" s="2785"/>
      <c r="BW15" s="2785"/>
      <c r="BX15" s="2785"/>
      <c r="BY15" s="2785"/>
      <c r="BZ15" s="2785"/>
      <c r="CA15" s="2785"/>
      <c r="CB15" s="2785"/>
      <c r="CC15" s="2785"/>
      <c r="CD15" s="2785"/>
      <c r="CE15" s="2785"/>
      <c r="CF15" s="2785"/>
      <c r="CG15" s="2785"/>
      <c r="CH15" s="2785"/>
      <c r="CI15" s="2785"/>
      <c r="CJ15" s="2785"/>
      <c r="CK15" s="2785"/>
      <c r="CL15" s="2785"/>
      <c r="CM15" s="2785"/>
      <c r="CN15" s="2785"/>
      <c r="CO15" s="2785"/>
      <c r="CP15" s="2785"/>
      <c r="CQ15" s="2785"/>
      <c r="CR15" s="2785"/>
      <c r="CS15" s="2785"/>
      <c r="CT15" s="2786"/>
    </row>
    <row r="16" spans="1:99" ht="6.75" customHeight="1" thickBot="1">
      <c r="A16" s="76"/>
      <c r="B16" s="2791"/>
      <c r="C16" s="2792"/>
      <c r="D16" s="2792"/>
      <c r="E16" s="2792"/>
      <c r="F16" s="2792"/>
      <c r="G16" s="2792"/>
      <c r="H16" s="2792"/>
      <c r="I16" s="2792"/>
      <c r="J16" s="2792"/>
      <c r="K16" s="2792"/>
      <c r="L16" s="2792"/>
      <c r="M16" s="2792"/>
      <c r="N16" s="2792"/>
      <c r="O16" s="2792"/>
      <c r="P16" s="2792"/>
      <c r="Q16" s="2792"/>
      <c r="R16" s="2792"/>
      <c r="S16" s="2792"/>
      <c r="T16" s="2792"/>
      <c r="U16" s="2792"/>
      <c r="V16" s="2792"/>
      <c r="W16" s="2754"/>
      <c r="X16" s="2754"/>
      <c r="Y16" s="2754"/>
      <c r="Z16" s="2754"/>
      <c r="AA16" s="2754"/>
      <c r="AB16" s="2755"/>
      <c r="AC16" s="2757"/>
      <c r="AD16" s="2822"/>
      <c r="AE16" s="2822"/>
      <c r="AF16" s="2822"/>
      <c r="AG16" s="2788"/>
      <c r="AH16" s="78"/>
      <c r="AI16" s="2758"/>
      <c r="AJ16" s="2759"/>
      <c r="AK16" s="2759"/>
      <c r="AL16" s="2759"/>
      <c r="AM16" s="2759"/>
      <c r="AN16" s="2759"/>
      <c r="AO16" s="2759"/>
      <c r="AP16" s="2759"/>
      <c r="AQ16" s="2759"/>
      <c r="AR16" s="2759"/>
      <c r="AS16" s="2763"/>
      <c r="AT16" s="2764"/>
      <c r="AU16" s="2764"/>
      <c r="AV16" s="2764"/>
      <c r="AW16" s="2765"/>
      <c r="AX16" s="2806"/>
      <c r="AY16" s="2807"/>
      <c r="AZ16" s="2807"/>
      <c r="BA16" s="2807"/>
      <c r="BB16" s="2807"/>
      <c r="BC16" s="2807"/>
      <c r="BD16" s="2807"/>
      <c r="BE16" s="2807"/>
      <c r="BF16" s="2807"/>
      <c r="BG16" s="2808"/>
      <c r="BH16" s="2763"/>
      <c r="BI16" s="2764"/>
      <c r="BJ16" s="2764"/>
      <c r="BK16" s="2764"/>
      <c r="BL16" s="2773"/>
      <c r="BM16" s="78"/>
      <c r="BN16" s="2784"/>
      <c r="BO16" s="2785"/>
      <c r="BP16" s="2785"/>
      <c r="BQ16" s="2785"/>
      <c r="BR16" s="2785"/>
      <c r="BS16" s="2785"/>
      <c r="BT16" s="2785"/>
      <c r="BU16" s="2785"/>
      <c r="BV16" s="2785"/>
      <c r="BW16" s="2785"/>
      <c r="BX16" s="2785"/>
      <c r="BY16" s="2785"/>
      <c r="BZ16" s="2785"/>
      <c r="CA16" s="2785"/>
      <c r="CB16" s="2785"/>
      <c r="CC16" s="2785"/>
      <c r="CD16" s="2785"/>
      <c r="CE16" s="2785"/>
      <c r="CF16" s="2785"/>
      <c r="CG16" s="2785"/>
      <c r="CH16" s="2785"/>
      <c r="CI16" s="2785"/>
      <c r="CJ16" s="2785"/>
      <c r="CK16" s="2785"/>
      <c r="CL16" s="2785"/>
      <c r="CM16" s="2785"/>
      <c r="CN16" s="2785"/>
      <c r="CO16" s="2785"/>
      <c r="CP16" s="2785"/>
      <c r="CQ16" s="2785"/>
      <c r="CR16" s="2785"/>
      <c r="CS16" s="2785"/>
      <c r="CT16" s="2786"/>
    </row>
    <row r="17" spans="1:98" ht="6.75" customHeight="1">
      <c r="A17" s="76"/>
      <c r="B17" s="2819" t="s">
        <v>347</v>
      </c>
      <c r="C17" s="2820"/>
      <c r="D17" s="2820"/>
      <c r="E17" s="2820"/>
      <c r="F17" s="2820"/>
      <c r="G17" s="2820"/>
      <c r="H17" s="2820"/>
      <c r="I17" s="2820"/>
      <c r="J17" s="2820"/>
      <c r="K17" s="2820"/>
      <c r="L17" s="2820"/>
      <c r="M17" s="2820"/>
      <c r="N17" s="2820"/>
      <c r="O17" s="2820"/>
      <c r="P17" s="2820"/>
      <c r="Q17" s="2820"/>
      <c r="R17" s="2820"/>
      <c r="S17" s="2820"/>
      <c r="T17" s="2820"/>
      <c r="U17" s="2820"/>
      <c r="V17" s="2820"/>
      <c r="W17" s="2820"/>
      <c r="X17" s="2820"/>
      <c r="Y17" s="2820"/>
      <c r="Z17" s="2820"/>
      <c r="AA17" s="2820"/>
      <c r="AB17" s="2820"/>
      <c r="AC17" s="2820"/>
      <c r="AD17" s="2820"/>
      <c r="AE17" s="2820"/>
      <c r="AF17" s="2820"/>
      <c r="AG17" s="2821"/>
      <c r="AH17" s="78"/>
      <c r="AI17" s="2776" t="str">
        <f>T('2 REPAIR ESTIMATOR'!N80:T80)</f>
        <v>SIDING</v>
      </c>
      <c r="AJ17" s="2777"/>
      <c r="AK17" s="2777"/>
      <c r="AL17" s="2777"/>
      <c r="AM17" s="2777"/>
      <c r="AN17" s="2777"/>
      <c r="AO17" s="2777"/>
      <c r="AP17" s="2777"/>
      <c r="AQ17" s="2777"/>
      <c r="AR17" s="2777"/>
      <c r="AS17" s="2760"/>
      <c r="AT17" s="2761"/>
      <c r="AU17" s="2761"/>
      <c r="AV17" s="2761"/>
      <c r="AW17" s="2762"/>
      <c r="AX17" s="2803" t="str">
        <f>T('2 REPAIR ESTIMATOR'!AJ76:AP76)</f>
        <v>TILING</v>
      </c>
      <c r="AY17" s="2804"/>
      <c r="AZ17" s="2804"/>
      <c r="BA17" s="2804"/>
      <c r="BB17" s="2804"/>
      <c r="BC17" s="2804"/>
      <c r="BD17" s="2804"/>
      <c r="BE17" s="2804"/>
      <c r="BF17" s="2804"/>
      <c r="BG17" s="2805"/>
      <c r="BH17" s="2760"/>
      <c r="BI17" s="2761"/>
      <c r="BJ17" s="2761"/>
      <c r="BK17" s="2761"/>
      <c r="BL17" s="2772"/>
      <c r="BM17" s="78"/>
      <c r="BN17" s="1943" t="s">
        <v>354</v>
      </c>
      <c r="BO17" s="1944"/>
      <c r="BP17" s="1944"/>
      <c r="BQ17" s="1944"/>
      <c r="BR17" s="1944"/>
      <c r="BS17" s="1944"/>
      <c r="BT17" s="1944"/>
      <c r="BU17" s="1944"/>
      <c r="BV17" s="1944"/>
      <c r="BW17" s="1944"/>
      <c r="BX17" s="1945"/>
      <c r="BY17" s="1943" t="s">
        <v>393</v>
      </c>
      <c r="BZ17" s="1944"/>
      <c r="CA17" s="1944"/>
      <c r="CB17" s="1944"/>
      <c r="CC17" s="1944"/>
      <c r="CD17" s="1944"/>
      <c r="CE17" s="1944"/>
      <c r="CF17" s="1944"/>
      <c r="CG17" s="1944"/>
      <c r="CH17" s="1944"/>
      <c r="CI17" s="1945"/>
      <c r="CJ17" s="1943" t="s">
        <v>292</v>
      </c>
      <c r="CK17" s="1944"/>
      <c r="CL17" s="1944"/>
      <c r="CM17" s="1944"/>
      <c r="CN17" s="1944"/>
      <c r="CO17" s="1944"/>
      <c r="CP17" s="1944"/>
      <c r="CQ17" s="1944"/>
      <c r="CR17" s="1944"/>
      <c r="CS17" s="1944"/>
      <c r="CT17" s="1945"/>
    </row>
    <row r="18" spans="1:98" ht="6.75" customHeight="1">
      <c r="A18" s="76"/>
      <c r="B18" s="2819"/>
      <c r="C18" s="2820"/>
      <c r="D18" s="2820"/>
      <c r="E18" s="2820"/>
      <c r="F18" s="2820"/>
      <c r="G18" s="2820"/>
      <c r="H18" s="2820"/>
      <c r="I18" s="2820"/>
      <c r="J18" s="2820"/>
      <c r="K18" s="2820"/>
      <c r="L18" s="2820"/>
      <c r="M18" s="2820"/>
      <c r="N18" s="2820"/>
      <c r="O18" s="2820"/>
      <c r="P18" s="2820"/>
      <c r="Q18" s="2820"/>
      <c r="R18" s="2820"/>
      <c r="S18" s="2820"/>
      <c r="T18" s="2820"/>
      <c r="U18" s="2820"/>
      <c r="V18" s="2820"/>
      <c r="W18" s="2820"/>
      <c r="X18" s="2820"/>
      <c r="Y18" s="2820"/>
      <c r="Z18" s="2820"/>
      <c r="AA18" s="2820"/>
      <c r="AB18" s="2820"/>
      <c r="AC18" s="2820"/>
      <c r="AD18" s="2820"/>
      <c r="AE18" s="2820"/>
      <c r="AF18" s="2820"/>
      <c r="AG18" s="2821"/>
      <c r="AH18" s="78"/>
      <c r="AI18" s="2776"/>
      <c r="AJ18" s="2777"/>
      <c r="AK18" s="2777"/>
      <c r="AL18" s="2777"/>
      <c r="AM18" s="2777"/>
      <c r="AN18" s="2777"/>
      <c r="AO18" s="2777"/>
      <c r="AP18" s="2777"/>
      <c r="AQ18" s="2777"/>
      <c r="AR18" s="2777"/>
      <c r="AS18" s="2763"/>
      <c r="AT18" s="2764"/>
      <c r="AU18" s="2764"/>
      <c r="AV18" s="2764"/>
      <c r="AW18" s="2765"/>
      <c r="AX18" s="2816"/>
      <c r="AY18" s="2817"/>
      <c r="AZ18" s="2817"/>
      <c r="BA18" s="2817"/>
      <c r="BB18" s="2817"/>
      <c r="BC18" s="2817"/>
      <c r="BD18" s="2817"/>
      <c r="BE18" s="2817"/>
      <c r="BF18" s="2817"/>
      <c r="BG18" s="2818"/>
      <c r="BH18" s="2763"/>
      <c r="BI18" s="2764"/>
      <c r="BJ18" s="2764"/>
      <c r="BK18" s="2764"/>
      <c r="BL18" s="2773"/>
      <c r="BM18" s="78"/>
      <c r="BN18" s="1946"/>
      <c r="BO18" s="1947"/>
      <c r="BP18" s="1947"/>
      <c r="BQ18" s="1947"/>
      <c r="BR18" s="1947"/>
      <c r="BS18" s="1947"/>
      <c r="BT18" s="1947"/>
      <c r="BU18" s="1947"/>
      <c r="BV18" s="1947"/>
      <c r="BW18" s="1947"/>
      <c r="BX18" s="1948"/>
      <c r="BY18" s="1946"/>
      <c r="BZ18" s="1947"/>
      <c r="CA18" s="1947"/>
      <c r="CB18" s="1947"/>
      <c r="CC18" s="1947"/>
      <c r="CD18" s="1947"/>
      <c r="CE18" s="1947"/>
      <c r="CF18" s="1947"/>
      <c r="CG18" s="1947"/>
      <c r="CH18" s="1947"/>
      <c r="CI18" s="1948"/>
      <c r="CJ18" s="1946"/>
      <c r="CK18" s="1947"/>
      <c r="CL18" s="1947"/>
      <c r="CM18" s="1947"/>
      <c r="CN18" s="1947"/>
      <c r="CO18" s="1947"/>
      <c r="CP18" s="1947"/>
      <c r="CQ18" s="1947"/>
      <c r="CR18" s="1947"/>
      <c r="CS18" s="1947"/>
      <c r="CT18" s="1948"/>
    </row>
    <row r="19" spans="1:98" ht="6.75" customHeight="1" thickBot="1">
      <c r="A19" s="76"/>
      <c r="B19" s="2774" t="s">
        <v>777</v>
      </c>
      <c r="C19" s="2775"/>
      <c r="D19" s="2775"/>
      <c r="E19" s="2775"/>
      <c r="F19" s="2775"/>
      <c r="G19" s="2775"/>
      <c r="H19" s="2775"/>
      <c r="I19" s="2775"/>
      <c r="J19" s="2775"/>
      <c r="K19" s="2775"/>
      <c r="L19" s="2775"/>
      <c r="M19" s="2775"/>
      <c r="N19" s="2775"/>
      <c r="O19" s="2775"/>
      <c r="P19" s="2775"/>
      <c r="Q19" s="2775"/>
      <c r="R19" s="2775"/>
      <c r="S19" s="2775"/>
      <c r="T19" s="2775"/>
      <c r="U19" s="2775"/>
      <c r="V19" s="2775"/>
      <c r="W19" s="2775"/>
      <c r="X19" s="2775"/>
      <c r="Y19" s="2775"/>
      <c r="Z19" s="1830"/>
      <c r="AA19" s="1831"/>
      <c r="AB19" s="1831"/>
      <c r="AC19" s="1831"/>
      <c r="AD19" s="1831"/>
      <c r="AE19" s="1831"/>
      <c r="AF19" s="1831"/>
      <c r="AG19" s="1832"/>
      <c r="AH19" s="78"/>
      <c r="AI19" s="2758" t="str">
        <f>T('2 REPAIR ESTIMATOR'!N81:T81)</f>
        <v>DECKING AND PATIOS</v>
      </c>
      <c r="AJ19" s="2759"/>
      <c r="AK19" s="2759"/>
      <c r="AL19" s="2759"/>
      <c r="AM19" s="2759"/>
      <c r="AN19" s="2759"/>
      <c r="AO19" s="2759"/>
      <c r="AP19" s="2759"/>
      <c r="AQ19" s="2759"/>
      <c r="AR19" s="2759"/>
      <c r="AS19" s="2760"/>
      <c r="AT19" s="2761"/>
      <c r="AU19" s="2761"/>
      <c r="AV19" s="2761"/>
      <c r="AW19" s="2762"/>
      <c r="AX19" s="2766" t="str">
        <f>T('2 REPAIR ESTIMATOR'!AJ77:AP77)</f>
        <v>PAINTING</v>
      </c>
      <c r="AY19" s="2767"/>
      <c r="AZ19" s="2767"/>
      <c r="BA19" s="2767"/>
      <c r="BB19" s="2767"/>
      <c r="BC19" s="2767"/>
      <c r="BD19" s="2767"/>
      <c r="BE19" s="2767"/>
      <c r="BF19" s="2767"/>
      <c r="BG19" s="2768"/>
      <c r="BH19" s="2760"/>
      <c r="BI19" s="2761"/>
      <c r="BJ19" s="2761"/>
      <c r="BK19" s="2761"/>
      <c r="BL19" s="2772"/>
      <c r="BM19" s="78"/>
      <c r="BN19" s="1949"/>
      <c r="BO19" s="1950"/>
      <c r="BP19" s="1950"/>
      <c r="BQ19" s="1950"/>
      <c r="BR19" s="1950"/>
      <c r="BS19" s="1950"/>
      <c r="BT19" s="1950"/>
      <c r="BU19" s="1950"/>
      <c r="BV19" s="1950"/>
      <c r="BW19" s="1950"/>
      <c r="BX19" s="1951"/>
      <c r="BY19" s="1949"/>
      <c r="BZ19" s="1950"/>
      <c r="CA19" s="1950"/>
      <c r="CB19" s="1950"/>
      <c r="CC19" s="1950"/>
      <c r="CD19" s="1950"/>
      <c r="CE19" s="1950"/>
      <c r="CF19" s="1950"/>
      <c r="CG19" s="1950"/>
      <c r="CH19" s="1950"/>
      <c r="CI19" s="1951"/>
      <c r="CJ19" s="1949"/>
      <c r="CK19" s="1950"/>
      <c r="CL19" s="1950"/>
      <c r="CM19" s="1950"/>
      <c r="CN19" s="1950"/>
      <c r="CO19" s="1950"/>
      <c r="CP19" s="1950"/>
      <c r="CQ19" s="1950"/>
      <c r="CR19" s="1950"/>
      <c r="CS19" s="1950"/>
      <c r="CT19" s="1951"/>
    </row>
    <row r="20" spans="1:98" ht="6.75" customHeight="1">
      <c r="A20" s="76"/>
      <c r="B20" s="2774"/>
      <c r="C20" s="2775"/>
      <c r="D20" s="2775"/>
      <c r="E20" s="2775"/>
      <c r="F20" s="2775"/>
      <c r="G20" s="2775"/>
      <c r="H20" s="2775"/>
      <c r="I20" s="2775"/>
      <c r="J20" s="2775"/>
      <c r="K20" s="2775"/>
      <c r="L20" s="2775"/>
      <c r="M20" s="2775"/>
      <c r="N20" s="2775"/>
      <c r="O20" s="2775"/>
      <c r="P20" s="2775"/>
      <c r="Q20" s="2775"/>
      <c r="R20" s="2775"/>
      <c r="S20" s="2775"/>
      <c r="T20" s="2775"/>
      <c r="U20" s="2775"/>
      <c r="V20" s="2775"/>
      <c r="W20" s="2775"/>
      <c r="X20" s="2775"/>
      <c r="Y20" s="2775"/>
      <c r="Z20" s="1833"/>
      <c r="AA20" s="1834"/>
      <c r="AB20" s="1834"/>
      <c r="AC20" s="1834"/>
      <c r="AD20" s="1834"/>
      <c r="AE20" s="1834"/>
      <c r="AF20" s="1834"/>
      <c r="AG20" s="1835"/>
      <c r="AH20" s="78"/>
      <c r="AI20" s="2758"/>
      <c r="AJ20" s="2759"/>
      <c r="AK20" s="2759"/>
      <c r="AL20" s="2759"/>
      <c r="AM20" s="2759"/>
      <c r="AN20" s="2759"/>
      <c r="AO20" s="2759"/>
      <c r="AP20" s="2759"/>
      <c r="AQ20" s="2759"/>
      <c r="AR20" s="2759"/>
      <c r="AS20" s="2763"/>
      <c r="AT20" s="2764"/>
      <c r="AU20" s="2764"/>
      <c r="AV20" s="2764"/>
      <c r="AW20" s="2765"/>
      <c r="AX20" s="2769"/>
      <c r="AY20" s="2770"/>
      <c r="AZ20" s="2770"/>
      <c r="BA20" s="2770"/>
      <c r="BB20" s="2770"/>
      <c r="BC20" s="2770"/>
      <c r="BD20" s="2770"/>
      <c r="BE20" s="2770"/>
      <c r="BF20" s="2770"/>
      <c r="BG20" s="2771"/>
      <c r="BH20" s="2763"/>
      <c r="BI20" s="2764"/>
      <c r="BJ20" s="2764"/>
      <c r="BK20" s="2764"/>
      <c r="BL20" s="2773"/>
      <c r="BM20" s="78"/>
      <c r="BN20" s="1925" t="str">
        <f>IF(Total_Schedule_Cell=0,"",BT10/Total_Schedule_Cell)</f>
        <v/>
      </c>
      <c r="BO20" s="1926"/>
      <c r="BP20" s="1926"/>
      <c r="BQ20" s="1926"/>
      <c r="BR20" s="1926"/>
      <c r="BS20" s="1926"/>
      <c r="BT20" s="1926"/>
      <c r="BU20" s="1926"/>
      <c r="BV20" s="1926"/>
      <c r="BW20" s="1926"/>
      <c r="BX20" s="1927"/>
      <c r="BY20" s="1934">
        <f>IFERROR(IF(Total_Cash_Needed&lt;0,"Infinite ROI",REHAB_PROFIT_ESTIMATED/Total_Cash_Needed),0)</f>
        <v>0</v>
      </c>
      <c r="BZ20" s="1935"/>
      <c r="CA20" s="1935"/>
      <c r="CB20" s="1935"/>
      <c r="CC20" s="1935"/>
      <c r="CD20" s="1935"/>
      <c r="CE20" s="1935"/>
      <c r="CF20" s="1935"/>
      <c r="CG20" s="1935"/>
      <c r="CH20" s="1935"/>
      <c r="CI20" s="1935"/>
      <c r="CJ20" s="1934">
        <f>IFERROR(IF(Total_Cash_Needed&lt;0,"Infinite ROI",((REHAB_PROFIT_ESTIMATED/Total_Cash_Needed)/(Schedule/12))),0)</f>
        <v>0</v>
      </c>
      <c r="CK20" s="1935"/>
      <c r="CL20" s="1935"/>
      <c r="CM20" s="1935"/>
      <c r="CN20" s="1935"/>
      <c r="CO20" s="1935"/>
      <c r="CP20" s="1935"/>
      <c r="CQ20" s="1935"/>
      <c r="CR20" s="1935"/>
      <c r="CS20" s="1935"/>
      <c r="CT20" s="1940"/>
    </row>
    <row r="21" spans="1:98" ht="6.75" customHeight="1">
      <c r="A21" s="76"/>
      <c r="B21" s="2774" t="s">
        <v>778</v>
      </c>
      <c r="C21" s="2775"/>
      <c r="D21" s="2775"/>
      <c r="E21" s="2775"/>
      <c r="F21" s="2775"/>
      <c r="G21" s="2775"/>
      <c r="H21" s="2775"/>
      <c r="I21" s="2775"/>
      <c r="J21" s="2775"/>
      <c r="K21" s="2775"/>
      <c r="L21" s="2775"/>
      <c r="M21" s="2775"/>
      <c r="N21" s="2775"/>
      <c r="O21" s="2775"/>
      <c r="P21" s="2775"/>
      <c r="Q21" s="2775"/>
      <c r="R21" s="2775"/>
      <c r="S21" s="2775"/>
      <c r="T21" s="2775"/>
      <c r="U21" s="2775"/>
      <c r="V21" s="2775"/>
      <c r="W21" s="2775"/>
      <c r="X21" s="2775"/>
      <c r="Y21" s="2775"/>
      <c r="Z21" s="1830"/>
      <c r="AA21" s="1831"/>
      <c r="AB21" s="1831"/>
      <c r="AC21" s="1831"/>
      <c r="AD21" s="1831"/>
      <c r="AE21" s="1831"/>
      <c r="AF21" s="1831"/>
      <c r="AG21" s="1832"/>
      <c r="AH21" s="78"/>
      <c r="AI21" s="2776" t="str">
        <f>T('2 REPAIR ESTIMATOR'!N82:T82)</f>
        <v>ROOFING</v>
      </c>
      <c r="AJ21" s="2777"/>
      <c r="AK21" s="2777"/>
      <c r="AL21" s="2777"/>
      <c r="AM21" s="2777"/>
      <c r="AN21" s="2777"/>
      <c r="AO21" s="2777"/>
      <c r="AP21" s="2777"/>
      <c r="AQ21" s="2777"/>
      <c r="AR21" s="2777"/>
      <c r="AS21" s="2760"/>
      <c r="AT21" s="2761"/>
      <c r="AU21" s="2761"/>
      <c r="AV21" s="2761"/>
      <c r="AW21" s="2762"/>
      <c r="AX21" s="2778" t="str">
        <f>T('2 REPAIR ESTIMATOR'!AJ78:AP78)</f>
        <v>APPLIANCES</v>
      </c>
      <c r="AY21" s="2779"/>
      <c r="AZ21" s="2779"/>
      <c r="BA21" s="2779"/>
      <c r="BB21" s="2779"/>
      <c r="BC21" s="2779"/>
      <c r="BD21" s="2779"/>
      <c r="BE21" s="2779"/>
      <c r="BF21" s="2779"/>
      <c r="BG21" s="2780"/>
      <c r="BH21" s="2760"/>
      <c r="BI21" s="2761"/>
      <c r="BJ21" s="2761"/>
      <c r="BK21" s="2761"/>
      <c r="BL21" s="2772"/>
      <c r="BM21" s="78"/>
      <c r="BN21" s="1928"/>
      <c r="BO21" s="1929"/>
      <c r="BP21" s="1929"/>
      <c r="BQ21" s="1929"/>
      <c r="BR21" s="1929"/>
      <c r="BS21" s="1929"/>
      <c r="BT21" s="1929"/>
      <c r="BU21" s="1929"/>
      <c r="BV21" s="1929"/>
      <c r="BW21" s="1929"/>
      <c r="BX21" s="1930"/>
      <c r="BY21" s="1936"/>
      <c r="BZ21" s="1937"/>
      <c r="CA21" s="1937"/>
      <c r="CB21" s="1937"/>
      <c r="CC21" s="1937"/>
      <c r="CD21" s="1937"/>
      <c r="CE21" s="1937"/>
      <c r="CF21" s="1937"/>
      <c r="CG21" s="1937"/>
      <c r="CH21" s="1937"/>
      <c r="CI21" s="1937"/>
      <c r="CJ21" s="1936"/>
      <c r="CK21" s="1937"/>
      <c r="CL21" s="1937"/>
      <c r="CM21" s="1937"/>
      <c r="CN21" s="1937"/>
      <c r="CO21" s="1937"/>
      <c r="CP21" s="1937"/>
      <c r="CQ21" s="1937"/>
      <c r="CR21" s="1937"/>
      <c r="CS21" s="1937"/>
      <c r="CT21" s="1941"/>
    </row>
    <row r="22" spans="1:98" ht="6.75" customHeight="1">
      <c r="A22" s="76"/>
      <c r="B22" s="2774"/>
      <c r="C22" s="2775"/>
      <c r="D22" s="2775"/>
      <c r="E22" s="2775"/>
      <c r="F22" s="2775"/>
      <c r="G22" s="2775"/>
      <c r="H22" s="2775"/>
      <c r="I22" s="2775"/>
      <c r="J22" s="2775"/>
      <c r="K22" s="2775"/>
      <c r="L22" s="2775"/>
      <c r="M22" s="2775"/>
      <c r="N22" s="2775"/>
      <c r="O22" s="2775"/>
      <c r="P22" s="2775"/>
      <c r="Q22" s="2775"/>
      <c r="R22" s="2775"/>
      <c r="S22" s="2775"/>
      <c r="T22" s="2775"/>
      <c r="U22" s="2775"/>
      <c r="V22" s="2775"/>
      <c r="W22" s="2775"/>
      <c r="X22" s="2775"/>
      <c r="Y22" s="2775"/>
      <c r="Z22" s="1833"/>
      <c r="AA22" s="1834"/>
      <c r="AB22" s="1834"/>
      <c r="AC22" s="1834"/>
      <c r="AD22" s="1834"/>
      <c r="AE22" s="1834"/>
      <c r="AF22" s="1834"/>
      <c r="AG22" s="1835"/>
      <c r="AH22" s="78"/>
      <c r="AI22" s="2776"/>
      <c r="AJ22" s="2777"/>
      <c r="AK22" s="2777"/>
      <c r="AL22" s="2777"/>
      <c r="AM22" s="2777"/>
      <c r="AN22" s="2777"/>
      <c r="AO22" s="2777"/>
      <c r="AP22" s="2777"/>
      <c r="AQ22" s="2777"/>
      <c r="AR22" s="2777"/>
      <c r="AS22" s="2763"/>
      <c r="AT22" s="2764"/>
      <c r="AU22" s="2764"/>
      <c r="AV22" s="2764"/>
      <c r="AW22" s="2765"/>
      <c r="AX22" s="2778"/>
      <c r="AY22" s="2779"/>
      <c r="AZ22" s="2779"/>
      <c r="BA22" s="2779"/>
      <c r="BB22" s="2779"/>
      <c r="BC22" s="2779"/>
      <c r="BD22" s="2779"/>
      <c r="BE22" s="2779"/>
      <c r="BF22" s="2779"/>
      <c r="BG22" s="2780"/>
      <c r="BH22" s="2763"/>
      <c r="BI22" s="2764"/>
      <c r="BJ22" s="2764"/>
      <c r="BK22" s="2764"/>
      <c r="BL22" s="2773"/>
      <c r="BM22" s="78"/>
      <c r="BN22" s="1928"/>
      <c r="BO22" s="1929"/>
      <c r="BP22" s="1929"/>
      <c r="BQ22" s="1929"/>
      <c r="BR22" s="1929"/>
      <c r="BS22" s="1929"/>
      <c r="BT22" s="1929"/>
      <c r="BU22" s="1929"/>
      <c r="BV22" s="1929"/>
      <c r="BW22" s="1929"/>
      <c r="BX22" s="1930"/>
      <c r="BY22" s="1936"/>
      <c r="BZ22" s="1937"/>
      <c r="CA22" s="1937"/>
      <c r="CB22" s="1937"/>
      <c r="CC22" s="1937"/>
      <c r="CD22" s="1937"/>
      <c r="CE22" s="1937"/>
      <c r="CF22" s="1937"/>
      <c r="CG22" s="1937"/>
      <c r="CH22" s="1937"/>
      <c r="CI22" s="1937"/>
      <c r="CJ22" s="1936"/>
      <c r="CK22" s="1937"/>
      <c r="CL22" s="1937"/>
      <c r="CM22" s="1937"/>
      <c r="CN22" s="1937"/>
      <c r="CO22" s="1937"/>
      <c r="CP22" s="1937"/>
      <c r="CQ22" s="1937"/>
      <c r="CR22" s="1937"/>
      <c r="CS22" s="1937"/>
      <c r="CT22" s="1941"/>
    </row>
    <row r="23" spans="1:98" ht="6.75" customHeight="1" thickBot="1">
      <c r="A23" s="76"/>
      <c r="B23" s="2774" t="s">
        <v>779</v>
      </c>
      <c r="C23" s="2775"/>
      <c r="D23" s="2775"/>
      <c r="E23" s="2775"/>
      <c r="F23" s="2775"/>
      <c r="G23" s="2775"/>
      <c r="H23" s="2775"/>
      <c r="I23" s="2775"/>
      <c r="J23" s="2775"/>
      <c r="K23" s="2775"/>
      <c r="L23" s="2775"/>
      <c r="M23" s="2775"/>
      <c r="N23" s="2775"/>
      <c r="O23" s="2775"/>
      <c r="P23" s="2775"/>
      <c r="Q23" s="2775"/>
      <c r="R23" s="2775"/>
      <c r="S23" s="2775"/>
      <c r="T23" s="2775"/>
      <c r="U23" s="2775"/>
      <c r="V23" s="2775"/>
      <c r="W23" s="2775"/>
      <c r="X23" s="2775"/>
      <c r="Y23" s="2775"/>
      <c r="Z23" s="1830"/>
      <c r="AA23" s="1831"/>
      <c r="AB23" s="1831"/>
      <c r="AC23" s="1831"/>
      <c r="AD23" s="1831"/>
      <c r="AE23" s="1831"/>
      <c r="AF23" s="1831"/>
      <c r="AG23" s="1832"/>
      <c r="AH23" s="78"/>
      <c r="AI23" s="2758" t="str">
        <f>T('2 REPAIR ESTIMATOR'!Y75:AE75)</f>
        <v>EXTERIOR DOORS &amp; WINDOWS</v>
      </c>
      <c r="AJ23" s="2759"/>
      <c r="AK23" s="2759"/>
      <c r="AL23" s="2759"/>
      <c r="AM23" s="2759"/>
      <c r="AN23" s="2759"/>
      <c r="AO23" s="2759"/>
      <c r="AP23" s="2759"/>
      <c r="AQ23" s="2759"/>
      <c r="AR23" s="2759"/>
      <c r="AS23" s="2760"/>
      <c r="AT23" s="2761"/>
      <c r="AU23" s="2761"/>
      <c r="AV23" s="2761"/>
      <c r="AW23" s="2762"/>
      <c r="AX23" s="2766" t="str">
        <f>T('2 REPAIR ESTIMATOR'!AJ79:AP79)</f>
        <v>PLUMBING</v>
      </c>
      <c r="AY23" s="2767"/>
      <c r="AZ23" s="2767"/>
      <c r="BA23" s="2767"/>
      <c r="BB23" s="2767"/>
      <c r="BC23" s="2767"/>
      <c r="BD23" s="2767"/>
      <c r="BE23" s="2767"/>
      <c r="BF23" s="2767"/>
      <c r="BG23" s="2768"/>
      <c r="BH23" s="2760"/>
      <c r="BI23" s="2761"/>
      <c r="BJ23" s="2761"/>
      <c r="BK23" s="2761"/>
      <c r="BL23" s="2772"/>
      <c r="BM23" s="78"/>
      <c r="BN23" s="2748"/>
      <c r="BO23" s="2749"/>
      <c r="BP23" s="2749"/>
      <c r="BQ23" s="2749"/>
      <c r="BR23" s="2749"/>
      <c r="BS23" s="2749"/>
      <c r="BT23" s="2749"/>
      <c r="BU23" s="2749"/>
      <c r="BV23" s="2749"/>
      <c r="BW23" s="2749"/>
      <c r="BX23" s="2750"/>
      <c r="BY23" s="2751"/>
      <c r="BZ23" s="2752"/>
      <c r="CA23" s="2752"/>
      <c r="CB23" s="2752"/>
      <c r="CC23" s="2752"/>
      <c r="CD23" s="2752"/>
      <c r="CE23" s="2752"/>
      <c r="CF23" s="1937"/>
      <c r="CG23" s="1937"/>
      <c r="CH23" s="1937"/>
      <c r="CI23" s="1937"/>
      <c r="CJ23" s="1936"/>
      <c r="CK23" s="1937"/>
      <c r="CL23" s="1937"/>
      <c r="CM23" s="1937"/>
      <c r="CN23" s="1937"/>
      <c r="CO23" s="1937"/>
      <c r="CP23" s="1937"/>
      <c r="CQ23" s="1937"/>
      <c r="CR23" s="1937"/>
      <c r="CS23" s="1937"/>
      <c r="CT23" s="1941"/>
    </row>
    <row r="24" spans="1:98" ht="6.75" customHeight="1">
      <c r="B24" s="2774"/>
      <c r="C24" s="2775"/>
      <c r="D24" s="2775"/>
      <c r="E24" s="2775"/>
      <c r="F24" s="2775"/>
      <c r="G24" s="2775"/>
      <c r="H24" s="2775"/>
      <c r="I24" s="2775"/>
      <c r="J24" s="2775"/>
      <c r="K24" s="2775"/>
      <c r="L24" s="2775"/>
      <c r="M24" s="2775"/>
      <c r="N24" s="2775"/>
      <c r="O24" s="2775"/>
      <c r="P24" s="2775"/>
      <c r="Q24" s="2775"/>
      <c r="R24" s="2775"/>
      <c r="S24" s="2775"/>
      <c r="T24" s="2775"/>
      <c r="U24" s="2775"/>
      <c r="V24" s="2775"/>
      <c r="W24" s="2775"/>
      <c r="X24" s="2775"/>
      <c r="Y24" s="2775"/>
      <c r="Z24" s="1833"/>
      <c r="AA24" s="1834"/>
      <c r="AB24" s="1834"/>
      <c r="AC24" s="1834"/>
      <c r="AD24" s="1834"/>
      <c r="AE24" s="1834"/>
      <c r="AF24" s="1834"/>
      <c r="AG24" s="1835"/>
      <c r="AH24" s="78"/>
      <c r="AI24" s="2758"/>
      <c r="AJ24" s="2759"/>
      <c r="AK24" s="2759"/>
      <c r="AL24" s="2759"/>
      <c r="AM24" s="2759"/>
      <c r="AN24" s="2759"/>
      <c r="AO24" s="2759"/>
      <c r="AP24" s="2759"/>
      <c r="AQ24" s="2759"/>
      <c r="AR24" s="2759"/>
      <c r="AS24" s="2763"/>
      <c r="AT24" s="2764"/>
      <c r="AU24" s="2764"/>
      <c r="AV24" s="2764"/>
      <c r="AW24" s="2765"/>
      <c r="AX24" s="2769"/>
      <c r="AY24" s="2770"/>
      <c r="AZ24" s="2770"/>
      <c r="BA24" s="2770"/>
      <c r="BB24" s="2770"/>
      <c r="BC24" s="2770"/>
      <c r="BD24" s="2770"/>
      <c r="BE24" s="2770"/>
      <c r="BF24" s="2770"/>
      <c r="BG24" s="2771"/>
      <c r="BH24" s="2763"/>
      <c r="BI24" s="2764"/>
      <c r="BJ24" s="2764"/>
      <c r="BK24" s="2764"/>
      <c r="BL24" s="2773"/>
      <c r="BM24" s="78"/>
      <c r="BN24" s="573"/>
      <c r="BO24" s="574"/>
      <c r="BP24" s="574"/>
      <c r="BQ24" s="574"/>
      <c r="BR24" s="574"/>
      <c r="BS24" s="575"/>
      <c r="BT24" s="575"/>
      <c r="BU24" s="576"/>
      <c r="BV24" s="2857"/>
      <c r="BW24" s="2857"/>
      <c r="BX24" s="2857"/>
      <c r="BY24" s="2857"/>
      <c r="BZ24" s="576"/>
      <c r="CA24" s="576"/>
      <c r="CB24" s="576"/>
      <c r="CC24" s="576"/>
      <c r="CD24" s="576"/>
      <c r="CE24" s="574"/>
      <c r="CF24" s="2890" t="s">
        <v>357</v>
      </c>
      <c r="CG24" s="2891"/>
      <c r="CH24" s="2891"/>
      <c r="CI24" s="2891"/>
      <c r="CJ24" s="2891"/>
      <c r="CK24" s="2891"/>
      <c r="CL24" s="2891"/>
      <c r="CM24" s="2891"/>
      <c r="CN24" s="2891"/>
      <c r="CO24" s="2891"/>
      <c r="CP24" s="2891"/>
      <c r="CQ24" s="2891"/>
      <c r="CR24" s="2891"/>
      <c r="CS24" s="2891"/>
      <c r="CT24" s="2892"/>
    </row>
    <row r="25" spans="1:98" ht="6.75" customHeight="1">
      <c r="B25" s="2774" t="s">
        <v>780</v>
      </c>
      <c r="C25" s="2775"/>
      <c r="D25" s="2775"/>
      <c r="E25" s="2775"/>
      <c r="F25" s="2775"/>
      <c r="G25" s="2775"/>
      <c r="H25" s="2775"/>
      <c r="I25" s="2775"/>
      <c r="J25" s="2775"/>
      <c r="K25" s="2775"/>
      <c r="L25" s="2775"/>
      <c r="M25" s="2775"/>
      <c r="N25" s="2775"/>
      <c r="O25" s="2775"/>
      <c r="P25" s="2775"/>
      <c r="Q25" s="2775"/>
      <c r="R25" s="2775"/>
      <c r="S25" s="2775"/>
      <c r="T25" s="2775"/>
      <c r="U25" s="2775"/>
      <c r="V25" s="2775"/>
      <c r="W25" s="2775"/>
      <c r="X25" s="2775"/>
      <c r="Y25" s="2775"/>
      <c r="Z25" s="1830"/>
      <c r="AA25" s="1831"/>
      <c r="AB25" s="1831"/>
      <c r="AC25" s="1831"/>
      <c r="AD25" s="1831"/>
      <c r="AE25" s="1831"/>
      <c r="AF25" s="1831"/>
      <c r="AG25" s="1832"/>
      <c r="AH25" s="78"/>
      <c r="AI25" s="2776" t="str">
        <f>T('2 REPAIR ESTIMATOR'!Y76:AE76)</f>
        <v>GARAGE DOORS</v>
      </c>
      <c r="AJ25" s="2777"/>
      <c r="AK25" s="2777"/>
      <c r="AL25" s="2777"/>
      <c r="AM25" s="2777"/>
      <c r="AN25" s="2777"/>
      <c r="AO25" s="2777"/>
      <c r="AP25" s="2777"/>
      <c r="AQ25" s="2777"/>
      <c r="AR25" s="2777"/>
      <c r="AS25" s="2760"/>
      <c r="AT25" s="2761"/>
      <c r="AU25" s="2761"/>
      <c r="AV25" s="2761"/>
      <c r="AW25" s="2762"/>
      <c r="AX25" s="2803" t="str">
        <f>T('2 REPAIR ESTIMATOR'!AJ80:AP80)</f>
        <v>HVAC</v>
      </c>
      <c r="AY25" s="2804"/>
      <c r="AZ25" s="2804"/>
      <c r="BA25" s="2804"/>
      <c r="BB25" s="2804"/>
      <c r="BC25" s="2804"/>
      <c r="BD25" s="2804"/>
      <c r="BE25" s="2804"/>
      <c r="BF25" s="2804"/>
      <c r="BG25" s="2805"/>
      <c r="BH25" s="2760"/>
      <c r="BI25" s="2761"/>
      <c r="BJ25" s="2761"/>
      <c r="BK25" s="2761"/>
      <c r="BL25" s="2772"/>
      <c r="BM25" s="78"/>
      <c r="BN25" s="577"/>
      <c r="BO25" s="79"/>
      <c r="BP25" s="79"/>
      <c r="BQ25" s="79"/>
      <c r="BR25" s="79"/>
      <c r="BS25" s="80"/>
      <c r="BT25" s="80"/>
      <c r="BU25" s="81"/>
      <c r="BV25" s="2858"/>
      <c r="BW25" s="2858"/>
      <c r="BX25" s="2858"/>
      <c r="BY25" s="2858"/>
      <c r="BZ25" s="81"/>
      <c r="CA25" s="81"/>
      <c r="CB25" s="81"/>
      <c r="CC25" s="81"/>
      <c r="CD25" s="81"/>
      <c r="CE25" s="79"/>
      <c r="CF25" s="2893"/>
      <c r="CG25" s="2894"/>
      <c r="CH25" s="2894"/>
      <c r="CI25" s="2894"/>
      <c r="CJ25" s="2894"/>
      <c r="CK25" s="2894"/>
      <c r="CL25" s="2894"/>
      <c r="CM25" s="2894"/>
      <c r="CN25" s="2894"/>
      <c r="CO25" s="2894"/>
      <c r="CP25" s="2894"/>
      <c r="CQ25" s="2894"/>
      <c r="CR25" s="2894"/>
      <c r="CS25" s="2894"/>
      <c r="CT25" s="2895"/>
    </row>
    <row r="26" spans="1:98" ht="6.75" customHeight="1">
      <c r="B26" s="2774"/>
      <c r="C26" s="2775"/>
      <c r="D26" s="2775"/>
      <c r="E26" s="2775"/>
      <c r="F26" s="2775"/>
      <c r="G26" s="2775"/>
      <c r="H26" s="2775"/>
      <c r="I26" s="2775"/>
      <c r="J26" s="2775"/>
      <c r="K26" s="2775"/>
      <c r="L26" s="2775"/>
      <c r="M26" s="2775"/>
      <c r="N26" s="2775"/>
      <c r="O26" s="2775"/>
      <c r="P26" s="2775"/>
      <c r="Q26" s="2775"/>
      <c r="R26" s="2775"/>
      <c r="S26" s="2775"/>
      <c r="T26" s="2775"/>
      <c r="U26" s="2775"/>
      <c r="V26" s="2775"/>
      <c r="W26" s="2775"/>
      <c r="X26" s="2775"/>
      <c r="Y26" s="2775"/>
      <c r="Z26" s="1833"/>
      <c r="AA26" s="1834"/>
      <c r="AB26" s="1834"/>
      <c r="AC26" s="1834"/>
      <c r="AD26" s="1834"/>
      <c r="AE26" s="1834"/>
      <c r="AF26" s="1834"/>
      <c r="AG26" s="1835"/>
      <c r="AH26" s="78"/>
      <c r="AI26" s="2776"/>
      <c r="AJ26" s="2777"/>
      <c r="AK26" s="2777"/>
      <c r="AL26" s="2777"/>
      <c r="AM26" s="2777"/>
      <c r="AN26" s="2777"/>
      <c r="AO26" s="2777"/>
      <c r="AP26" s="2777"/>
      <c r="AQ26" s="2777"/>
      <c r="AR26" s="2777"/>
      <c r="AS26" s="2763"/>
      <c r="AT26" s="2764"/>
      <c r="AU26" s="2764"/>
      <c r="AV26" s="2764"/>
      <c r="AW26" s="2765"/>
      <c r="AX26" s="2778"/>
      <c r="AY26" s="2779"/>
      <c r="AZ26" s="2779"/>
      <c r="BA26" s="2779"/>
      <c r="BB26" s="2779"/>
      <c r="BC26" s="2779"/>
      <c r="BD26" s="2779"/>
      <c r="BE26" s="2779"/>
      <c r="BF26" s="2779"/>
      <c r="BG26" s="2780"/>
      <c r="BH26" s="2763"/>
      <c r="BI26" s="2764"/>
      <c r="BJ26" s="2764"/>
      <c r="BK26" s="2764"/>
      <c r="BL26" s="2773"/>
      <c r="BM26" s="78"/>
      <c r="BN26" s="577"/>
      <c r="BO26" s="79"/>
      <c r="BP26" s="79"/>
      <c r="BQ26" s="79"/>
      <c r="BR26" s="79"/>
      <c r="BS26" s="80"/>
      <c r="BT26" s="99"/>
      <c r="BU26" s="100"/>
      <c r="BV26" s="2896"/>
      <c r="BW26" s="2896"/>
      <c r="BX26" s="2896"/>
      <c r="BY26" s="2896"/>
      <c r="BZ26" s="100"/>
      <c r="CA26" s="100"/>
      <c r="CB26" s="100"/>
      <c r="CC26" s="100"/>
      <c r="CD26" s="100"/>
      <c r="CE26" s="100"/>
      <c r="CF26" s="2893"/>
      <c r="CG26" s="2894"/>
      <c r="CH26" s="2894"/>
      <c r="CI26" s="2894"/>
      <c r="CJ26" s="2894"/>
      <c r="CK26" s="2894"/>
      <c r="CL26" s="2894"/>
      <c r="CM26" s="2894"/>
      <c r="CN26" s="2894"/>
      <c r="CO26" s="2894"/>
      <c r="CP26" s="2894"/>
      <c r="CQ26" s="2894"/>
      <c r="CR26" s="2894"/>
      <c r="CS26" s="2894"/>
      <c r="CT26" s="2895"/>
    </row>
    <row r="27" spans="1:98" ht="6.75" customHeight="1">
      <c r="A27" s="76"/>
      <c r="B27" s="2774" t="s">
        <v>799</v>
      </c>
      <c r="C27" s="2775"/>
      <c r="D27" s="2775"/>
      <c r="E27" s="2775"/>
      <c r="F27" s="2775"/>
      <c r="G27" s="2775"/>
      <c r="H27" s="2775"/>
      <c r="I27" s="2775"/>
      <c r="J27" s="2775"/>
      <c r="K27" s="2775"/>
      <c r="L27" s="2775"/>
      <c r="M27" s="2775"/>
      <c r="N27" s="2775"/>
      <c r="O27" s="2775"/>
      <c r="P27" s="2775"/>
      <c r="Q27" s="2775"/>
      <c r="R27" s="2775"/>
      <c r="S27" s="2775"/>
      <c r="T27" s="2775"/>
      <c r="U27" s="2775"/>
      <c r="V27" s="2775"/>
      <c r="W27" s="2775"/>
      <c r="X27" s="2775"/>
      <c r="Y27" s="2775"/>
      <c r="Z27" s="1830"/>
      <c r="AA27" s="1831"/>
      <c r="AB27" s="1831"/>
      <c r="AC27" s="1831"/>
      <c r="AD27" s="1831"/>
      <c r="AE27" s="1831"/>
      <c r="AF27" s="1831"/>
      <c r="AG27" s="1832"/>
      <c r="AH27" s="78"/>
      <c r="AI27" s="2758" t="str">
        <f>T('2 REPAIR ESTIMATOR'!Y77:AE77)</f>
        <v>LANDSCAPING</v>
      </c>
      <c r="AJ27" s="2759"/>
      <c r="AK27" s="2759"/>
      <c r="AL27" s="2759"/>
      <c r="AM27" s="2759"/>
      <c r="AN27" s="2759"/>
      <c r="AO27" s="2759"/>
      <c r="AP27" s="2759"/>
      <c r="AQ27" s="2759"/>
      <c r="AR27" s="2759"/>
      <c r="AS27" s="2760"/>
      <c r="AT27" s="2761"/>
      <c r="AU27" s="2761"/>
      <c r="AV27" s="2761"/>
      <c r="AW27" s="2762"/>
      <c r="AX27" s="2766" t="str">
        <f>T('2 REPAIR ESTIMATOR'!AJ81:AP81)</f>
        <v>ELECTRICAL</v>
      </c>
      <c r="AY27" s="2767"/>
      <c r="AZ27" s="2767"/>
      <c r="BA27" s="2767"/>
      <c r="BB27" s="2767"/>
      <c r="BC27" s="2767"/>
      <c r="BD27" s="2767"/>
      <c r="BE27" s="2767"/>
      <c r="BF27" s="2767"/>
      <c r="BG27" s="2768"/>
      <c r="BH27" s="2760"/>
      <c r="BI27" s="2761"/>
      <c r="BJ27" s="2761"/>
      <c r="BK27" s="2761"/>
      <c r="BL27" s="2772"/>
      <c r="BM27" s="78"/>
      <c r="BN27" s="577"/>
      <c r="BO27" s="100"/>
      <c r="BP27" s="100"/>
      <c r="BQ27" s="100"/>
      <c r="BR27" s="100"/>
      <c r="BS27" s="99"/>
      <c r="BT27" s="99"/>
      <c r="BU27" s="100"/>
      <c r="BV27" s="553"/>
      <c r="BW27" s="553"/>
      <c r="BX27" s="553"/>
      <c r="BY27" s="553"/>
      <c r="BZ27" s="100"/>
      <c r="CA27" s="100"/>
      <c r="CB27" s="100"/>
      <c r="CC27" s="100"/>
      <c r="CD27" s="100"/>
      <c r="CE27" s="100"/>
      <c r="CF27" s="2884" t="s">
        <v>863</v>
      </c>
      <c r="CG27" s="2885"/>
      <c r="CH27" s="2885"/>
      <c r="CI27" s="2885"/>
      <c r="CJ27" s="2885"/>
      <c r="CK27" s="2885"/>
      <c r="CL27" s="2885"/>
      <c r="CM27" s="2885"/>
      <c r="CN27" s="2885"/>
      <c r="CO27" s="2885"/>
      <c r="CP27" s="2885"/>
      <c r="CQ27" s="2885"/>
      <c r="CR27" s="2885"/>
      <c r="CS27" s="2885"/>
      <c r="CT27" s="2886"/>
    </row>
    <row r="28" spans="1:98" ht="6.75" customHeight="1">
      <c r="A28" s="76"/>
      <c r="B28" s="2774"/>
      <c r="C28" s="2775"/>
      <c r="D28" s="2775"/>
      <c r="E28" s="2775"/>
      <c r="F28" s="2775"/>
      <c r="G28" s="2775"/>
      <c r="H28" s="2775"/>
      <c r="I28" s="2775"/>
      <c r="J28" s="2775"/>
      <c r="K28" s="2775"/>
      <c r="L28" s="2775"/>
      <c r="M28" s="2775"/>
      <c r="N28" s="2775"/>
      <c r="O28" s="2775"/>
      <c r="P28" s="2775"/>
      <c r="Q28" s="2775"/>
      <c r="R28" s="2775"/>
      <c r="S28" s="2775"/>
      <c r="T28" s="2775"/>
      <c r="U28" s="2775"/>
      <c r="V28" s="2775"/>
      <c r="W28" s="2775"/>
      <c r="X28" s="2775"/>
      <c r="Y28" s="2775"/>
      <c r="Z28" s="1833"/>
      <c r="AA28" s="1834"/>
      <c r="AB28" s="1834"/>
      <c r="AC28" s="1834"/>
      <c r="AD28" s="1834"/>
      <c r="AE28" s="1834"/>
      <c r="AF28" s="1834"/>
      <c r="AG28" s="1835"/>
      <c r="AH28" s="78"/>
      <c r="AI28" s="2758"/>
      <c r="AJ28" s="2759"/>
      <c r="AK28" s="2759"/>
      <c r="AL28" s="2759"/>
      <c r="AM28" s="2759"/>
      <c r="AN28" s="2759"/>
      <c r="AO28" s="2759"/>
      <c r="AP28" s="2759"/>
      <c r="AQ28" s="2759"/>
      <c r="AR28" s="2759"/>
      <c r="AS28" s="2763"/>
      <c r="AT28" s="2764"/>
      <c r="AU28" s="2764"/>
      <c r="AV28" s="2764"/>
      <c r="AW28" s="2765"/>
      <c r="AX28" s="2769"/>
      <c r="AY28" s="2770"/>
      <c r="AZ28" s="2770"/>
      <c r="BA28" s="2770"/>
      <c r="BB28" s="2770"/>
      <c r="BC28" s="2770"/>
      <c r="BD28" s="2770"/>
      <c r="BE28" s="2770"/>
      <c r="BF28" s="2770"/>
      <c r="BG28" s="2771"/>
      <c r="BH28" s="2763"/>
      <c r="BI28" s="2764"/>
      <c r="BJ28" s="2764"/>
      <c r="BK28" s="2764"/>
      <c r="BL28" s="2773"/>
      <c r="BM28" s="78"/>
      <c r="BN28" s="577"/>
      <c r="BO28" s="100"/>
      <c r="BP28" s="100"/>
      <c r="BQ28" s="100"/>
      <c r="BR28" s="100"/>
      <c r="BS28" s="163"/>
      <c r="BT28" s="163"/>
      <c r="BU28" s="100"/>
      <c r="BV28" s="100"/>
      <c r="BW28" s="100"/>
      <c r="BX28" s="100"/>
      <c r="BY28" s="100"/>
      <c r="BZ28" s="100"/>
      <c r="CA28" s="100"/>
      <c r="CB28" s="100"/>
      <c r="CC28" s="100"/>
      <c r="CD28" s="100"/>
      <c r="CE28" s="100"/>
      <c r="CF28" s="2884"/>
      <c r="CG28" s="2885"/>
      <c r="CH28" s="2885"/>
      <c r="CI28" s="2885"/>
      <c r="CJ28" s="2885"/>
      <c r="CK28" s="2885"/>
      <c r="CL28" s="2885"/>
      <c r="CM28" s="2885"/>
      <c r="CN28" s="2885"/>
      <c r="CO28" s="2885"/>
      <c r="CP28" s="2885"/>
      <c r="CQ28" s="2885"/>
      <c r="CR28" s="2885"/>
      <c r="CS28" s="2885"/>
      <c r="CT28" s="2886"/>
    </row>
    <row r="29" spans="1:98" ht="6.75" customHeight="1">
      <c r="A29" s="76"/>
      <c r="B29" s="2774" t="s">
        <v>781</v>
      </c>
      <c r="C29" s="2775"/>
      <c r="D29" s="2775"/>
      <c r="E29" s="2775"/>
      <c r="F29" s="2775"/>
      <c r="G29" s="2775"/>
      <c r="H29" s="2775"/>
      <c r="I29" s="2775"/>
      <c r="J29" s="2775"/>
      <c r="K29" s="2775"/>
      <c r="L29" s="2775"/>
      <c r="M29" s="2775"/>
      <c r="N29" s="2775"/>
      <c r="O29" s="2775"/>
      <c r="P29" s="164"/>
      <c r="Q29" s="165"/>
      <c r="R29" s="165"/>
      <c r="S29" s="165"/>
      <c r="T29" s="165"/>
      <c r="U29" s="165"/>
      <c r="V29" s="165"/>
      <c r="W29" s="165"/>
      <c r="X29" s="165"/>
      <c r="Y29" s="166"/>
      <c r="Z29" s="1836">
        <f>'REHAB FINANCING SETUP'!AZ31+'REHAB FINANCING SETUP'!AZ58</f>
        <v>0</v>
      </c>
      <c r="AA29" s="1837"/>
      <c r="AB29" s="1837"/>
      <c r="AC29" s="1837"/>
      <c r="AD29" s="1837"/>
      <c r="AE29" s="1837"/>
      <c r="AF29" s="1837"/>
      <c r="AG29" s="1838"/>
      <c r="AH29" s="78"/>
      <c r="AI29" s="2776" t="str">
        <f>T('2 REPAIR ESTIMATOR'!Y78:AE78)</f>
        <v>MISC. EXTERIOR ITEMS</v>
      </c>
      <c r="AJ29" s="2777"/>
      <c r="AK29" s="2777"/>
      <c r="AL29" s="2777"/>
      <c r="AM29" s="2777"/>
      <c r="AN29" s="2777"/>
      <c r="AO29" s="2777"/>
      <c r="AP29" s="2777"/>
      <c r="AQ29" s="2777"/>
      <c r="AR29" s="2777"/>
      <c r="AS29" s="2760"/>
      <c r="AT29" s="2761"/>
      <c r="AU29" s="2761"/>
      <c r="AV29" s="2761"/>
      <c r="AW29" s="2762"/>
      <c r="AX29" s="2803" t="str">
        <f>T('2 REPAIR ESTIMATOR'!AJ82:AP82)</f>
        <v>MISCELLANEOUS</v>
      </c>
      <c r="AY29" s="2804"/>
      <c r="AZ29" s="2804"/>
      <c r="BA29" s="2804"/>
      <c r="BB29" s="2804"/>
      <c r="BC29" s="2804"/>
      <c r="BD29" s="2804"/>
      <c r="BE29" s="2804"/>
      <c r="BF29" s="2804"/>
      <c r="BG29" s="2805"/>
      <c r="BH29" s="2760"/>
      <c r="BI29" s="2761"/>
      <c r="BJ29" s="2761"/>
      <c r="BK29" s="2761"/>
      <c r="BL29" s="2772"/>
      <c r="BM29" s="78"/>
      <c r="BN29" s="577"/>
      <c r="BO29" s="100"/>
      <c r="BP29" s="100"/>
      <c r="BQ29" s="100"/>
      <c r="BR29" s="100"/>
      <c r="BS29" s="163"/>
      <c r="BT29" s="163"/>
      <c r="BU29" s="100"/>
      <c r="BV29" s="100"/>
      <c r="BW29" s="100"/>
      <c r="BX29" s="100"/>
      <c r="BY29" s="100"/>
      <c r="BZ29" s="100"/>
      <c r="CA29" s="100"/>
      <c r="CB29" s="101"/>
      <c r="CC29" s="102"/>
      <c r="CD29" s="100"/>
      <c r="CE29" s="100"/>
      <c r="CF29" s="2884"/>
      <c r="CG29" s="2885"/>
      <c r="CH29" s="2885"/>
      <c r="CI29" s="2885"/>
      <c r="CJ29" s="2885"/>
      <c r="CK29" s="2885"/>
      <c r="CL29" s="2885"/>
      <c r="CM29" s="2885"/>
      <c r="CN29" s="2885"/>
      <c r="CO29" s="2885"/>
      <c r="CP29" s="2885"/>
      <c r="CQ29" s="2885"/>
      <c r="CR29" s="2885"/>
      <c r="CS29" s="2885"/>
      <c r="CT29" s="2886"/>
    </row>
    <row r="30" spans="1:98" ht="6.75" customHeight="1" thickBot="1">
      <c r="A30" s="76"/>
      <c r="B30" s="2774"/>
      <c r="C30" s="2775"/>
      <c r="D30" s="2775"/>
      <c r="E30" s="2775"/>
      <c r="F30" s="2775"/>
      <c r="G30" s="2775"/>
      <c r="H30" s="2775"/>
      <c r="I30" s="2775"/>
      <c r="J30" s="2775"/>
      <c r="K30" s="2775"/>
      <c r="L30" s="2775"/>
      <c r="M30" s="2775"/>
      <c r="N30" s="2775"/>
      <c r="O30" s="2775"/>
      <c r="P30" s="164"/>
      <c r="Q30" s="165"/>
      <c r="R30" s="165"/>
      <c r="S30" s="165"/>
      <c r="T30" s="165"/>
      <c r="U30" s="165"/>
      <c r="V30" s="165"/>
      <c r="W30" s="165"/>
      <c r="X30" s="165"/>
      <c r="Y30" s="166"/>
      <c r="Z30" s="1839"/>
      <c r="AA30" s="1840"/>
      <c r="AB30" s="1840"/>
      <c r="AC30" s="1840"/>
      <c r="AD30" s="1840"/>
      <c r="AE30" s="1840"/>
      <c r="AF30" s="1840"/>
      <c r="AG30" s="1841"/>
      <c r="AH30" s="78"/>
      <c r="AI30" s="2841"/>
      <c r="AJ30" s="2842"/>
      <c r="AK30" s="2842"/>
      <c r="AL30" s="2842"/>
      <c r="AM30" s="2842"/>
      <c r="AN30" s="2842"/>
      <c r="AO30" s="2842"/>
      <c r="AP30" s="2842"/>
      <c r="AQ30" s="2842"/>
      <c r="AR30" s="2842"/>
      <c r="AS30" s="2763"/>
      <c r="AT30" s="2764"/>
      <c r="AU30" s="2764"/>
      <c r="AV30" s="2764"/>
      <c r="AW30" s="2765"/>
      <c r="AX30" s="2843"/>
      <c r="AY30" s="2844"/>
      <c r="AZ30" s="2844"/>
      <c r="BA30" s="2844"/>
      <c r="BB30" s="2844"/>
      <c r="BC30" s="2844"/>
      <c r="BD30" s="2844"/>
      <c r="BE30" s="2844"/>
      <c r="BF30" s="2844"/>
      <c r="BG30" s="2845"/>
      <c r="BH30" s="2763"/>
      <c r="BI30" s="2764"/>
      <c r="BJ30" s="2764"/>
      <c r="BK30" s="2764"/>
      <c r="BL30" s="2773"/>
      <c r="BM30" s="78"/>
      <c r="BN30" s="577"/>
      <c r="BO30" s="100"/>
      <c r="BP30" s="100"/>
      <c r="BQ30" s="100"/>
      <c r="BR30" s="100"/>
      <c r="BS30" s="163"/>
      <c r="BT30" s="163"/>
      <c r="BU30" s="100"/>
      <c r="BV30" s="100"/>
      <c r="BW30" s="100"/>
      <c r="BX30" s="101"/>
      <c r="BY30" s="100"/>
      <c r="BZ30" s="103"/>
      <c r="CA30" s="103"/>
      <c r="CB30" s="101"/>
      <c r="CC30" s="102"/>
      <c r="CD30" s="100"/>
      <c r="CE30" s="100"/>
      <c r="CF30" s="2887"/>
      <c r="CG30" s="2888"/>
      <c r="CH30" s="2888"/>
      <c r="CI30" s="2888"/>
      <c r="CJ30" s="2888"/>
      <c r="CK30" s="2888"/>
      <c r="CL30" s="2888"/>
      <c r="CM30" s="2888"/>
      <c r="CN30" s="2888"/>
      <c r="CO30" s="2888"/>
      <c r="CP30" s="2888"/>
      <c r="CQ30" s="2888"/>
      <c r="CR30" s="2888"/>
      <c r="CS30" s="2888"/>
      <c r="CT30" s="2889"/>
    </row>
    <row r="31" spans="1:98" ht="6.75" customHeight="1">
      <c r="A31" s="76"/>
      <c r="B31" s="2906" t="s">
        <v>792</v>
      </c>
      <c r="C31" s="2907"/>
      <c r="D31" s="2907"/>
      <c r="E31" s="2907"/>
      <c r="F31" s="2907"/>
      <c r="G31" s="2907"/>
      <c r="H31" s="2907"/>
      <c r="I31" s="2907"/>
      <c r="J31" s="2907"/>
      <c r="K31" s="2907"/>
      <c r="L31" s="2907"/>
      <c r="M31" s="2907"/>
      <c r="N31" s="2907"/>
      <c r="O31" s="2907"/>
      <c r="P31" s="2907"/>
      <c r="Q31" s="2907"/>
      <c r="R31" s="2907"/>
      <c r="S31" s="2907"/>
      <c r="T31" s="2907"/>
      <c r="U31" s="2907"/>
      <c r="V31" s="2907"/>
      <c r="W31" s="2907"/>
      <c r="X31" s="2907"/>
      <c r="Y31" s="2907"/>
      <c r="Z31" s="2243"/>
      <c r="AA31" s="2244"/>
      <c r="AB31" s="2244"/>
      <c r="AC31" s="2244"/>
      <c r="AD31" s="2244"/>
      <c r="AE31" s="2244"/>
      <c r="AF31" s="2244"/>
      <c r="AG31" s="2245"/>
      <c r="AH31" s="78"/>
      <c r="AI31" s="2897" t="s">
        <v>1127</v>
      </c>
      <c r="AJ31" s="2898"/>
      <c r="AK31" s="2898"/>
      <c r="AL31" s="2898"/>
      <c r="AM31" s="2898"/>
      <c r="AN31" s="2898"/>
      <c r="AO31" s="2898"/>
      <c r="AP31" s="2898"/>
      <c r="AQ31" s="2898"/>
      <c r="AR31" s="2898"/>
      <c r="AS31" s="2898"/>
      <c r="AT31" s="2898"/>
      <c r="AU31" s="2898"/>
      <c r="AV31" s="2898"/>
      <c r="AW31" s="2898"/>
      <c r="AX31" s="2898"/>
      <c r="AY31" s="2898"/>
      <c r="AZ31" s="2898"/>
      <c r="BA31" s="2898"/>
      <c r="BB31" s="2898"/>
      <c r="BC31" s="2898"/>
      <c r="BD31" s="2898"/>
      <c r="BE31" s="2898"/>
      <c r="BF31" s="2898"/>
      <c r="BG31" s="2898"/>
      <c r="BH31" s="2898"/>
      <c r="BI31" s="2898"/>
      <c r="BJ31" s="2898"/>
      <c r="BK31" s="2898"/>
      <c r="BL31" s="2899"/>
      <c r="BM31" s="78"/>
      <c r="BN31" s="577"/>
      <c r="BO31" s="100"/>
      <c r="BP31" s="100"/>
      <c r="BQ31" s="100"/>
      <c r="BR31" s="100"/>
      <c r="BS31" s="163"/>
      <c r="BT31" s="163"/>
      <c r="BU31" s="100"/>
      <c r="BV31" s="100"/>
      <c r="BW31" s="100"/>
      <c r="BX31" s="163"/>
      <c r="BY31" s="163"/>
      <c r="BZ31" s="103"/>
      <c r="CA31" s="103"/>
      <c r="CB31" s="101" t="s">
        <v>344</v>
      </c>
      <c r="CC31" s="102">
        <f>TOTAL_FIXED_COSTS_WHOLESALE</f>
        <v>0</v>
      </c>
      <c r="CD31" s="100"/>
      <c r="CE31" s="127"/>
      <c r="CF31" s="2880" t="str">
        <f>IF(AFTER_REPAIR_VALUE_WHOLESALE=0,"",((MAXIMUM_PURCHASE_PRICE_WHOLESALE+TOTAL_REPAIR_ESTIMATE_WHOLESALE)/AFTER_REPAIR_VALUE_WHOLESALE))</f>
        <v/>
      </c>
      <c r="CG31" s="2880"/>
      <c r="CH31" s="2880"/>
      <c r="CI31" s="2880"/>
      <c r="CJ31" s="2880"/>
      <c r="CK31" s="2880"/>
      <c r="CL31" s="2880"/>
      <c r="CM31" s="2880"/>
      <c r="CN31" s="2880"/>
      <c r="CO31" s="2880"/>
      <c r="CP31" s="2880"/>
      <c r="CQ31" s="2880"/>
      <c r="CR31" s="2880"/>
      <c r="CS31" s="2880"/>
      <c r="CT31" s="2881"/>
    </row>
    <row r="32" spans="1:98" ht="6.75" customHeight="1" thickBot="1">
      <c r="A32" s="76"/>
      <c r="B32" s="2906"/>
      <c r="C32" s="2907"/>
      <c r="D32" s="2907"/>
      <c r="E32" s="2907"/>
      <c r="F32" s="2907"/>
      <c r="G32" s="2907"/>
      <c r="H32" s="2907"/>
      <c r="I32" s="2907"/>
      <c r="J32" s="2907"/>
      <c r="K32" s="2907"/>
      <c r="L32" s="2907"/>
      <c r="M32" s="2907"/>
      <c r="N32" s="2907"/>
      <c r="O32" s="2907"/>
      <c r="P32" s="2907"/>
      <c r="Q32" s="2907"/>
      <c r="R32" s="2907"/>
      <c r="S32" s="2907"/>
      <c r="T32" s="2907"/>
      <c r="U32" s="2907"/>
      <c r="V32" s="2907"/>
      <c r="W32" s="2907"/>
      <c r="X32" s="2907"/>
      <c r="Y32" s="2907"/>
      <c r="Z32" s="2243"/>
      <c r="AA32" s="2244"/>
      <c r="AB32" s="2244"/>
      <c r="AC32" s="2244"/>
      <c r="AD32" s="2244"/>
      <c r="AE32" s="2244"/>
      <c r="AF32" s="2244"/>
      <c r="AG32" s="2245"/>
      <c r="AH32" s="78"/>
      <c r="AI32" s="2900"/>
      <c r="AJ32" s="2901"/>
      <c r="AK32" s="2901"/>
      <c r="AL32" s="2901"/>
      <c r="AM32" s="2901"/>
      <c r="AN32" s="2901"/>
      <c r="AO32" s="2901"/>
      <c r="AP32" s="2901"/>
      <c r="AQ32" s="2901"/>
      <c r="AR32" s="2901"/>
      <c r="AS32" s="2901"/>
      <c r="AT32" s="2901"/>
      <c r="AU32" s="2901"/>
      <c r="AV32" s="2901"/>
      <c r="AW32" s="2901"/>
      <c r="AX32" s="2901"/>
      <c r="AY32" s="2901"/>
      <c r="AZ32" s="2901"/>
      <c r="BA32" s="2901"/>
      <c r="BB32" s="2901"/>
      <c r="BC32" s="2901"/>
      <c r="BD32" s="2901"/>
      <c r="BE32" s="2901"/>
      <c r="BF32" s="2901"/>
      <c r="BG32" s="2901"/>
      <c r="BH32" s="2901"/>
      <c r="BI32" s="2901"/>
      <c r="BJ32" s="2901"/>
      <c r="BK32" s="2901"/>
      <c r="BL32" s="2902"/>
      <c r="BM32" s="78"/>
      <c r="BN32" s="577"/>
      <c r="BO32" s="100"/>
      <c r="BP32" s="100"/>
      <c r="BQ32" s="100"/>
      <c r="BR32" s="100"/>
      <c r="BS32" s="99"/>
      <c r="BT32" s="99"/>
      <c r="BU32" s="100"/>
      <c r="BV32" s="100"/>
      <c r="BW32" s="100"/>
      <c r="BX32" s="163"/>
      <c r="BY32" s="163"/>
      <c r="BZ32" s="103"/>
      <c r="CA32" s="103"/>
      <c r="CB32" s="101" t="s">
        <v>397</v>
      </c>
      <c r="CC32" s="102">
        <f>REHABBER_PROFIT_WHOLESALE</f>
        <v>0</v>
      </c>
      <c r="CD32" s="100"/>
      <c r="CE32" s="127"/>
      <c r="CF32" s="2880"/>
      <c r="CG32" s="2880"/>
      <c r="CH32" s="2880"/>
      <c r="CI32" s="2880"/>
      <c r="CJ32" s="2880"/>
      <c r="CK32" s="2880"/>
      <c r="CL32" s="2880"/>
      <c r="CM32" s="2880"/>
      <c r="CN32" s="2880"/>
      <c r="CO32" s="2880"/>
      <c r="CP32" s="2880"/>
      <c r="CQ32" s="2880"/>
      <c r="CR32" s="2880"/>
      <c r="CS32" s="2880"/>
      <c r="CT32" s="2881"/>
    </row>
    <row r="33" spans="1:98" ht="6.75" customHeight="1" thickTop="1" thickBot="1">
      <c r="A33" s="76"/>
      <c r="B33" s="2908" t="s">
        <v>346</v>
      </c>
      <c r="C33" s="2909"/>
      <c r="D33" s="2909"/>
      <c r="E33" s="2909"/>
      <c r="F33" s="2909"/>
      <c r="G33" s="2909"/>
      <c r="H33" s="2909"/>
      <c r="I33" s="2909"/>
      <c r="J33" s="2909"/>
      <c r="K33" s="2909"/>
      <c r="L33" s="2909"/>
      <c r="M33" s="2909"/>
      <c r="N33" s="2909"/>
      <c r="O33" s="2909"/>
      <c r="P33" s="2909"/>
      <c r="Q33" s="2909"/>
      <c r="R33" s="2909"/>
      <c r="S33" s="2909"/>
      <c r="T33" s="2909"/>
      <c r="U33" s="2909"/>
      <c r="V33" s="2909"/>
      <c r="W33" s="2909"/>
      <c r="X33" s="2909"/>
      <c r="Y33" s="2910"/>
      <c r="Z33" s="2911">
        <f>IF(Wholesale_Calculator_Fixed_Cost_Calculation_Method="% OF ARV",TOTAL_FIXED_COSTS_WHOLESALE/3,SUM(Z19:AG32))</f>
        <v>0</v>
      </c>
      <c r="AA33" s="2912"/>
      <c r="AB33" s="2912"/>
      <c r="AC33" s="2912"/>
      <c r="AD33" s="2912"/>
      <c r="AE33" s="2912"/>
      <c r="AF33" s="2912"/>
      <c r="AG33" s="2913"/>
      <c r="AH33" s="78"/>
      <c r="AI33" s="2903"/>
      <c r="AJ33" s="2904"/>
      <c r="AK33" s="2904"/>
      <c r="AL33" s="2904"/>
      <c r="AM33" s="2904"/>
      <c r="AN33" s="2904"/>
      <c r="AO33" s="2904"/>
      <c r="AP33" s="2904"/>
      <c r="AQ33" s="2904"/>
      <c r="AR33" s="2904"/>
      <c r="AS33" s="2904"/>
      <c r="AT33" s="2904"/>
      <c r="AU33" s="2904"/>
      <c r="AV33" s="2904"/>
      <c r="AW33" s="2904"/>
      <c r="AX33" s="2904"/>
      <c r="AY33" s="2904"/>
      <c r="AZ33" s="2904"/>
      <c r="BA33" s="2904"/>
      <c r="BB33" s="2904"/>
      <c r="BC33" s="2904"/>
      <c r="BD33" s="2904"/>
      <c r="BE33" s="2904"/>
      <c r="BF33" s="2904"/>
      <c r="BG33" s="2904"/>
      <c r="BH33" s="2904"/>
      <c r="BI33" s="2904"/>
      <c r="BJ33" s="2904"/>
      <c r="BK33" s="2904"/>
      <c r="BL33" s="2905"/>
      <c r="BM33" s="78"/>
      <c r="BN33" s="577"/>
      <c r="BO33" s="100"/>
      <c r="BP33" s="100"/>
      <c r="BQ33" s="100"/>
      <c r="BR33" s="100"/>
      <c r="BS33" s="100"/>
      <c r="BT33" s="100"/>
      <c r="BU33" s="100"/>
      <c r="BV33" s="100"/>
      <c r="BW33" s="100"/>
      <c r="BX33" s="163"/>
      <c r="BY33" s="163"/>
      <c r="BZ33" s="103"/>
      <c r="CA33" s="103"/>
      <c r="CB33" s="101" t="s">
        <v>842</v>
      </c>
      <c r="CC33" s="102">
        <f>TOTAL_REPAIR_ESTIMATE_WHOLESALE</f>
        <v>50000</v>
      </c>
      <c r="CD33" s="100"/>
      <c r="CE33" s="127"/>
      <c r="CF33" s="2880"/>
      <c r="CG33" s="2880"/>
      <c r="CH33" s="2880"/>
      <c r="CI33" s="2880"/>
      <c r="CJ33" s="2880"/>
      <c r="CK33" s="2880"/>
      <c r="CL33" s="2880"/>
      <c r="CM33" s="2880"/>
      <c r="CN33" s="2880"/>
      <c r="CO33" s="2880"/>
      <c r="CP33" s="2880"/>
      <c r="CQ33" s="2880"/>
      <c r="CR33" s="2880"/>
      <c r="CS33" s="2880"/>
      <c r="CT33" s="2881"/>
    </row>
    <row r="34" spans="1:98" ht="6.75" customHeight="1">
      <c r="A34" s="76"/>
      <c r="B34" s="2908"/>
      <c r="C34" s="2909"/>
      <c r="D34" s="2909"/>
      <c r="E34" s="2909"/>
      <c r="F34" s="2909"/>
      <c r="G34" s="2909"/>
      <c r="H34" s="2909"/>
      <c r="I34" s="2909"/>
      <c r="J34" s="2909"/>
      <c r="K34" s="2909"/>
      <c r="L34" s="2909"/>
      <c r="M34" s="2909"/>
      <c r="N34" s="2909"/>
      <c r="O34" s="2909"/>
      <c r="P34" s="2909"/>
      <c r="Q34" s="2909"/>
      <c r="R34" s="2909"/>
      <c r="S34" s="2909"/>
      <c r="T34" s="2909"/>
      <c r="U34" s="2909"/>
      <c r="V34" s="2909"/>
      <c r="W34" s="2909"/>
      <c r="X34" s="2909"/>
      <c r="Y34" s="2910"/>
      <c r="Z34" s="2914"/>
      <c r="AA34" s="2915"/>
      <c r="AB34" s="2915"/>
      <c r="AC34" s="2915"/>
      <c r="AD34" s="2915"/>
      <c r="AE34" s="2915"/>
      <c r="AF34" s="2915"/>
      <c r="AG34" s="2916"/>
      <c r="AH34" s="78"/>
      <c r="AI34" s="2851" t="s">
        <v>962</v>
      </c>
      <c r="AJ34" s="2852"/>
      <c r="AK34" s="2852"/>
      <c r="AL34" s="2852"/>
      <c r="AM34" s="2852"/>
      <c r="AN34" s="2999">
        <v>50000</v>
      </c>
      <c r="AO34" s="2999"/>
      <c r="AP34" s="2999"/>
      <c r="AQ34" s="2999"/>
      <c r="AR34" s="2999"/>
      <c r="AS34" s="2999"/>
      <c r="AT34" s="2999"/>
      <c r="AU34" s="2999"/>
      <c r="AV34" s="2999"/>
      <c r="AW34" s="2999"/>
      <c r="AX34" s="2999"/>
      <c r="AY34" s="2999"/>
      <c r="AZ34" s="2999"/>
      <c r="BA34" s="2999"/>
      <c r="BB34" s="2999"/>
      <c r="BC34" s="2999"/>
      <c r="BD34" s="2999"/>
      <c r="BE34" s="2999"/>
      <c r="BF34" s="2999"/>
      <c r="BG34" s="2999"/>
      <c r="BH34" s="2852" t="str">
        <f>IF(BH36="","","$/ SF")</f>
        <v/>
      </c>
      <c r="BI34" s="2852"/>
      <c r="BJ34" s="2852"/>
      <c r="BK34" s="2852"/>
      <c r="BL34" s="2994"/>
      <c r="BM34" s="78"/>
      <c r="BN34" s="577"/>
      <c r="BO34" s="100"/>
      <c r="BP34" s="100"/>
      <c r="BQ34" s="100"/>
      <c r="BR34" s="100"/>
      <c r="BS34" s="100"/>
      <c r="BT34" s="100"/>
      <c r="BU34" s="100"/>
      <c r="BV34" s="100"/>
      <c r="BW34" s="100"/>
      <c r="BX34" s="163"/>
      <c r="BY34" s="163"/>
      <c r="BZ34" s="103"/>
      <c r="CA34" s="103"/>
      <c r="CB34" s="101" t="str">
        <f>T(BN51)</f>
        <v>REHABBER MAXIMUM PURCHASE PRICE</v>
      </c>
      <c r="CC34" s="102">
        <f>MAXIMUM_PURCHASE_PRICE_WHOLESALE</f>
        <v>-50000</v>
      </c>
      <c r="CD34" s="100"/>
      <c r="CE34" s="127"/>
      <c r="CF34" s="2880"/>
      <c r="CG34" s="2880"/>
      <c r="CH34" s="2880"/>
      <c r="CI34" s="2880"/>
      <c r="CJ34" s="2880"/>
      <c r="CK34" s="2880"/>
      <c r="CL34" s="2880"/>
      <c r="CM34" s="2880"/>
      <c r="CN34" s="2880"/>
      <c r="CO34" s="2880"/>
      <c r="CP34" s="2880"/>
      <c r="CQ34" s="2880"/>
      <c r="CR34" s="2880"/>
      <c r="CS34" s="2880"/>
      <c r="CT34" s="2881"/>
    </row>
    <row r="35" spans="1:98" ht="6.75" customHeight="1">
      <c r="A35" s="76"/>
      <c r="B35" s="2920" t="s">
        <v>348</v>
      </c>
      <c r="C35" s="2921"/>
      <c r="D35" s="2921"/>
      <c r="E35" s="2921"/>
      <c r="F35" s="2921"/>
      <c r="G35" s="2921"/>
      <c r="H35" s="2921"/>
      <c r="I35" s="2921"/>
      <c r="J35" s="2921"/>
      <c r="K35" s="2037" t="s">
        <v>773</v>
      </c>
      <c r="L35" s="2037"/>
      <c r="M35" s="2037"/>
      <c r="N35" s="2037"/>
      <c r="O35" s="2037"/>
      <c r="P35" s="2037"/>
      <c r="Q35" s="2849" t="s">
        <v>353</v>
      </c>
      <c r="R35" s="2849"/>
      <c r="S35" s="2849"/>
      <c r="T35" s="2849"/>
      <c r="U35" s="2849"/>
      <c r="V35" s="131"/>
      <c r="W35" s="131"/>
      <c r="X35" s="131"/>
      <c r="Y35" s="131"/>
      <c r="Z35" s="131"/>
      <c r="AA35" s="131"/>
      <c r="AB35" s="131"/>
      <c r="AC35" s="131"/>
      <c r="AD35" s="131"/>
      <c r="AE35" s="131"/>
      <c r="AF35" s="131"/>
      <c r="AG35" s="132"/>
      <c r="AH35" s="78"/>
      <c r="AI35" s="2851"/>
      <c r="AJ35" s="2852"/>
      <c r="AK35" s="2852"/>
      <c r="AL35" s="2852"/>
      <c r="AM35" s="2852"/>
      <c r="AN35" s="2999"/>
      <c r="AO35" s="2999"/>
      <c r="AP35" s="2999"/>
      <c r="AQ35" s="2999"/>
      <c r="AR35" s="2999"/>
      <c r="AS35" s="2999"/>
      <c r="AT35" s="2999"/>
      <c r="AU35" s="2999"/>
      <c r="AV35" s="2999"/>
      <c r="AW35" s="2999"/>
      <c r="AX35" s="2999"/>
      <c r="AY35" s="2999"/>
      <c r="AZ35" s="2999"/>
      <c r="BA35" s="2999"/>
      <c r="BB35" s="2999"/>
      <c r="BC35" s="2999"/>
      <c r="BD35" s="2999"/>
      <c r="BE35" s="2999"/>
      <c r="BF35" s="2999"/>
      <c r="BG35" s="2999"/>
      <c r="BH35" s="2852"/>
      <c r="BI35" s="2852"/>
      <c r="BJ35" s="2852"/>
      <c r="BK35" s="2852"/>
      <c r="BL35" s="2994"/>
      <c r="BM35" s="78"/>
      <c r="BN35" s="577"/>
      <c r="BO35" s="100"/>
      <c r="BP35" s="100"/>
      <c r="BQ35" s="100"/>
      <c r="BR35" s="100"/>
      <c r="BS35" s="100"/>
      <c r="BT35" s="100"/>
      <c r="BU35" s="100"/>
      <c r="BV35" s="100"/>
      <c r="BW35" s="100"/>
      <c r="BX35" s="163"/>
      <c r="BY35" s="163"/>
      <c r="BZ35" s="163"/>
      <c r="CA35" s="103"/>
      <c r="CB35" s="103"/>
      <c r="CC35" s="101"/>
      <c r="CD35" s="102"/>
      <c r="CE35" s="127"/>
      <c r="CF35" s="2880"/>
      <c r="CG35" s="2880"/>
      <c r="CH35" s="2880"/>
      <c r="CI35" s="2880"/>
      <c r="CJ35" s="2880"/>
      <c r="CK35" s="2880"/>
      <c r="CL35" s="2880"/>
      <c r="CM35" s="2880"/>
      <c r="CN35" s="2880"/>
      <c r="CO35" s="2880"/>
      <c r="CP35" s="2880"/>
      <c r="CQ35" s="2880"/>
      <c r="CR35" s="2880"/>
      <c r="CS35" s="2880"/>
      <c r="CT35" s="2881"/>
    </row>
    <row r="36" spans="1:98" ht="6.75" customHeight="1">
      <c r="A36" s="76"/>
      <c r="B36" s="2920"/>
      <c r="C36" s="2921"/>
      <c r="D36" s="2921"/>
      <c r="E36" s="2921"/>
      <c r="F36" s="2921"/>
      <c r="G36" s="2921"/>
      <c r="H36" s="2921"/>
      <c r="I36" s="2921"/>
      <c r="J36" s="2921"/>
      <c r="K36" s="2037"/>
      <c r="L36" s="2037"/>
      <c r="M36" s="2037"/>
      <c r="N36" s="2037"/>
      <c r="O36" s="2037"/>
      <c r="P36" s="2037"/>
      <c r="Q36" s="2850"/>
      <c r="R36" s="2850"/>
      <c r="S36" s="2850"/>
      <c r="T36" s="2850"/>
      <c r="U36" s="2850"/>
      <c r="V36" s="131"/>
      <c r="W36" s="131"/>
      <c r="X36" s="131"/>
      <c r="Y36" s="131"/>
      <c r="Z36" s="131"/>
      <c r="AA36" s="131"/>
      <c r="AB36" s="131"/>
      <c r="AC36" s="131"/>
      <c r="AD36" s="131"/>
      <c r="AE36" s="131"/>
      <c r="AF36" s="131"/>
      <c r="AG36" s="132"/>
      <c r="AH36" s="78"/>
      <c r="AI36" s="2853">
        <f>IFERROR(ESTIMATE_SUBTOTAL/AFTER_REPAIR_VALUE_CELL,0)</f>
        <v>0</v>
      </c>
      <c r="AJ36" s="2854"/>
      <c r="AK36" s="2854"/>
      <c r="AL36" s="2854"/>
      <c r="AM36" s="2854"/>
      <c r="AN36" s="2999"/>
      <c r="AO36" s="2999"/>
      <c r="AP36" s="2999"/>
      <c r="AQ36" s="2999"/>
      <c r="AR36" s="2999"/>
      <c r="AS36" s="2999"/>
      <c r="AT36" s="2999"/>
      <c r="AU36" s="2999"/>
      <c r="AV36" s="2999"/>
      <c r="AW36" s="2999"/>
      <c r="AX36" s="2999"/>
      <c r="AY36" s="2999"/>
      <c r="AZ36" s="2999"/>
      <c r="BA36" s="2999"/>
      <c r="BB36" s="2999"/>
      <c r="BC36" s="2999"/>
      <c r="BD36" s="2999"/>
      <c r="BE36" s="2999"/>
      <c r="BF36" s="2999"/>
      <c r="BG36" s="2999"/>
      <c r="BH36" s="2995" t="str">
        <f>IFERROR(ESTIMATE_SUBTOTAL/Square_Feet,"")</f>
        <v/>
      </c>
      <c r="BI36" s="2995"/>
      <c r="BJ36" s="2995"/>
      <c r="BK36" s="2995"/>
      <c r="BL36" s="2996"/>
      <c r="BM36" s="78"/>
      <c r="BN36" s="577"/>
      <c r="BO36" s="100"/>
      <c r="BP36" s="100"/>
      <c r="BQ36" s="100"/>
      <c r="BR36" s="100"/>
      <c r="BS36" s="100"/>
      <c r="BT36" s="100"/>
      <c r="BU36" s="100"/>
      <c r="BV36" s="100"/>
      <c r="BW36" s="100"/>
      <c r="BX36" s="163"/>
      <c r="BY36" s="163"/>
      <c r="BZ36" s="163"/>
      <c r="CA36" s="103"/>
      <c r="CB36" s="103"/>
      <c r="CC36" s="101"/>
      <c r="CD36" s="102"/>
      <c r="CE36" s="127"/>
      <c r="CF36" s="2880"/>
      <c r="CG36" s="2880"/>
      <c r="CH36" s="2880"/>
      <c r="CI36" s="2880"/>
      <c r="CJ36" s="2880"/>
      <c r="CK36" s="2880"/>
      <c r="CL36" s="2880"/>
      <c r="CM36" s="2880"/>
      <c r="CN36" s="2880"/>
      <c r="CO36" s="2880"/>
      <c r="CP36" s="2880"/>
      <c r="CQ36" s="2880"/>
      <c r="CR36" s="2880"/>
      <c r="CS36" s="2880"/>
      <c r="CT36" s="2881"/>
    </row>
    <row r="37" spans="1:98" ht="6.75" customHeight="1">
      <c r="A37" s="76"/>
      <c r="B37" s="2774" t="s">
        <v>793</v>
      </c>
      <c r="C37" s="2775"/>
      <c r="D37" s="2775"/>
      <c r="E37" s="2775"/>
      <c r="F37" s="2775"/>
      <c r="G37" s="2775"/>
      <c r="H37" s="2775"/>
      <c r="I37" s="2775"/>
      <c r="J37" s="2775"/>
      <c r="K37" s="2922" t="s">
        <v>774</v>
      </c>
      <c r="L37" s="2922"/>
      <c r="M37" s="2922"/>
      <c r="N37" s="2922"/>
      <c r="O37" s="2922"/>
      <c r="P37" s="2922"/>
      <c r="Q37" s="2862">
        <f>IFERROR(Z37/L49,0)</f>
        <v>0</v>
      </c>
      <c r="R37" s="2863"/>
      <c r="S37" s="2863"/>
      <c r="T37" s="2863"/>
      <c r="U37" s="2864"/>
      <c r="V37" s="82"/>
      <c r="W37" s="82"/>
      <c r="X37" s="82"/>
      <c r="Y37" s="83"/>
      <c r="Z37" s="2835">
        <f>'REHAB FINANCING SETUP'!BF29+'REHAB FINANCING SETUP'!BF56</f>
        <v>0</v>
      </c>
      <c r="AA37" s="2836"/>
      <c r="AB37" s="2836"/>
      <c r="AC37" s="2836"/>
      <c r="AD37" s="2836"/>
      <c r="AE37" s="2836"/>
      <c r="AF37" s="2836"/>
      <c r="AG37" s="2837"/>
      <c r="AH37" s="78"/>
      <c r="AI37" s="2853"/>
      <c r="AJ37" s="2854"/>
      <c r="AK37" s="2854"/>
      <c r="AL37" s="2854"/>
      <c r="AM37" s="2854"/>
      <c r="AN37" s="2999"/>
      <c r="AO37" s="2999"/>
      <c r="AP37" s="2999"/>
      <c r="AQ37" s="2999"/>
      <c r="AR37" s="2999"/>
      <c r="AS37" s="2999"/>
      <c r="AT37" s="2999"/>
      <c r="AU37" s="2999"/>
      <c r="AV37" s="2999"/>
      <c r="AW37" s="2999"/>
      <c r="AX37" s="2999"/>
      <c r="AY37" s="2999"/>
      <c r="AZ37" s="2999"/>
      <c r="BA37" s="2999"/>
      <c r="BB37" s="2999"/>
      <c r="BC37" s="2999"/>
      <c r="BD37" s="2999"/>
      <c r="BE37" s="2999"/>
      <c r="BF37" s="2999"/>
      <c r="BG37" s="2999"/>
      <c r="BH37" s="2995"/>
      <c r="BI37" s="2995"/>
      <c r="BJ37" s="2995"/>
      <c r="BK37" s="2995"/>
      <c r="BL37" s="2996"/>
      <c r="BM37" s="78"/>
      <c r="BN37" s="577"/>
      <c r="BO37" s="100"/>
      <c r="BP37" s="100"/>
      <c r="BQ37" s="100"/>
      <c r="BR37" s="100"/>
      <c r="BS37" s="100"/>
      <c r="BT37" s="100"/>
      <c r="BU37" s="100"/>
      <c r="BV37" s="100"/>
      <c r="BW37" s="100"/>
      <c r="BX37" s="163"/>
      <c r="BY37" s="163"/>
      <c r="BZ37" s="163"/>
      <c r="CA37" s="103"/>
      <c r="CB37" s="103"/>
      <c r="CC37" s="101"/>
      <c r="CD37" s="102"/>
      <c r="CE37" s="127"/>
      <c r="CF37" s="2880"/>
      <c r="CG37" s="2880"/>
      <c r="CH37" s="2880"/>
      <c r="CI37" s="2880"/>
      <c r="CJ37" s="2880"/>
      <c r="CK37" s="2880"/>
      <c r="CL37" s="2880"/>
      <c r="CM37" s="2880"/>
      <c r="CN37" s="2880"/>
      <c r="CO37" s="2880"/>
      <c r="CP37" s="2880"/>
      <c r="CQ37" s="2880"/>
      <c r="CR37" s="2880"/>
      <c r="CS37" s="2880"/>
      <c r="CT37" s="2881"/>
    </row>
    <row r="38" spans="1:98" ht="6.75" customHeight="1">
      <c r="A38" s="76"/>
      <c r="B38" s="2774"/>
      <c r="C38" s="2775"/>
      <c r="D38" s="2775"/>
      <c r="E38" s="2775"/>
      <c r="F38" s="2775"/>
      <c r="G38" s="2775"/>
      <c r="H38" s="2775"/>
      <c r="I38" s="2775"/>
      <c r="J38" s="2775"/>
      <c r="K38" s="2922"/>
      <c r="L38" s="2922"/>
      <c r="M38" s="2922"/>
      <c r="N38" s="2922"/>
      <c r="O38" s="2922"/>
      <c r="P38" s="2922"/>
      <c r="Q38" s="2865"/>
      <c r="R38" s="2866"/>
      <c r="S38" s="2866"/>
      <c r="T38" s="2866"/>
      <c r="U38" s="2867"/>
      <c r="V38" s="82"/>
      <c r="W38" s="82"/>
      <c r="X38" s="82"/>
      <c r="Y38" s="83"/>
      <c r="Z38" s="2868"/>
      <c r="AA38" s="2869"/>
      <c r="AB38" s="2869"/>
      <c r="AC38" s="2869"/>
      <c r="AD38" s="2869"/>
      <c r="AE38" s="2869"/>
      <c r="AF38" s="2869"/>
      <c r="AG38" s="2870"/>
      <c r="AH38" s="78"/>
      <c r="AI38" s="2853"/>
      <c r="AJ38" s="2854"/>
      <c r="AK38" s="2854"/>
      <c r="AL38" s="2854"/>
      <c r="AM38" s="2854"/>
      <c r="AN38" s="2999"/>
      <c r="AO38" s="2999"/>
      <c r="AP38" s="2999"/>
      <c r="AQ38" s="2999"/>
      <c r="AR38" s="2999"/>
      <c r="AS38" s="2999"/>
      <c r="AT38" s="2999"/>
      <c r="AU38" s="2999"/>
      <c r="AV38" s="2999"/>
      <c r="AW38" s="2999"/>
      <c r="AX38" s="2999"/>
      <c r="AY38" s="2999"/>
      <c r="AZ38" s="2999"/>
      <c r="BA38" s="2999"/>
      <c r="BB38" s="2999"/>
      <c r="BC38" s="2999"/>
      <c r="BD38" s="2999"/>
      <c r="BE38" s="2999"/>
      <c r="BF38" s="2999"/>
      <c r="BG38" s="2999"/>
      <c r="BH38" s="2995"/>
      <c r="BI38" s="2995"/>
      <c r="BJ38" s="2995"/>
      <c r="BK38" s="2995"/>
      <c r="BL38" s="2996"/>
      <c r="BM38" s="78"/>
      <c r="BN38" s="577"/>
      <c r="BO38" s="100"/>
      <c r="BP38" s="100"/>
      <c r="BQ38" s="100"/>
      <c r="BR38" s="100"/>
      <c r="BS38" s="100"/>
      <c r="BT38" s="100"/>
      <c r="BU38" s="100"/>
      <c r="BV38" s="100"/>
      <c r="BW38" s="100"/>
      <c r="BX38" s="163"/>
      <c r="BY38" s="163"/>
      <c r="BZ38" s="163"/>
      <c r="CA38" s="103"/>
      <c r="CB38" s="103"/>
      <c r="CC38" s="101"/>
      <c r="CD38" s="102"/>
      <c r="CE38" s="127"/>
      <c r="CF38" s="2880"/>
      <c r="CG38" s="2880"/>
      <c r="CH38" s="2880"/>
      <c r="CI38" s="2880"/>
      <c r="CJ38" s="2880"/>
      <c r="CK38" s="2880"/>
      <c r="CL38" s="2880"/>
      <c r="CM38" s="2880"/>
      <c r="CN38" s="2880"/>
      <c r="CO38" s="2880"/>
      <c r="CP38" s="2880"/>
      <c r="CQ38" s="2880"/>
      <c r="CR38" s="2880"/>
      <c r="CS38" s="2880"/>
      <c r="CT38" s="2881"/>
    </row>
    <row r="39" spans="1:98" ht="6.75" customHeight="1">
      <c r="A39" s="76"/>
      <c r="B39" s="2774" t="s">
        <v>782</v>
      </c>
      <c r="C39" s="2775"/>
      <c r="D39" s="2775"/>
      <c r="E39" s="2775"/>
      <c r="F39" s="2775"/>
      <c r="G39" s="2775"/>
      <c r="H39" s="2775"/>
      <c r="I39" s="2775"/>
      <c r="J39" s="161"/>
      <c r="K39" s="128"/>
      <c r="L39" s="1842"/>
      <c r="M39" s="1842"/>
      <c r="N39" s="1842"/>
      <c r="O39" s="1842"/>
      <c r="P39" s="14"/>
      <c r="Q39" s="2917"/>
      <c r="R39" s="2918"/>
      <c r="S39" s="2918"/>
      <c r="T39" s="2918"/>
      <c r="U39" s="2919"/>
      <c r="V39" s="80"/>
      <c r="W39" s="80"/>
      <c r="X39" s="80"/>
      <c r="Y39" s="80"/>
      <c r="Z39" s="2823">
        <f>Q39*$L$49</f>
        <v>0</v>
      </c>
      <c r="AA39" s="2824"/>
      <c r="AB39" s="2824"/>
      <c r="AC39" s="2824"/>
      <c r="AD39" s="2824"/>
      <c r="AE39" s="2824"/>
      <c r="AF39" s="2824"/>
      <c r="AG39" s="2825"/>
      <c r="AH39" s="84"/>
      <c r="AI39" s="2853"/>
      <c r="AJ39" s="2854"/>
      <c r="AK39" s="2854"/>
      <c r="AL39" s="2854"/>
      <c r="AM39" s="2854"/>
      <c r="AN39" s="2999"/>
      <c r="AO39" s="2999"/>
      <c r="AP39" s="2999"/>
      <c r="AQ39" s="2999"/>
      <c r="AR39" s="2999"/>
      <c r="AS39" s="2999"/>
      <c r="AT39" s="2999"/>
      <c r="AU39" s="2999"/>
      <c r="AV39" s="2999"/>
      <c r="AW39" s="2999"/>
      <c r="AX39" s="2999"/>
      <c r="AY39" s="2999"/>
      <c r="AZ39" s="2999"/>
      <c r="BA39" s="2999"/>
      <c r="BB39" s="2999"/>
      <c r="BC39" s="2999"/>
      <c r="BD39" s="2999"/>
      <c r="BE39" s="2999"/>
      <c r="BF39" s="2999"/>
      <c r="BG39" s="2999"/>
      <c r="BH39" s="2995"/>
      <c r="BI39" s="2995"/>
      <c r="BJ39" s="2995"/>
      <c r="BK39" s="2995"/>
      <c r="BL39" s="2996"/>
      <c r="BM39" s="78"/>
      <c r="BN39" s="577"/>
      <c r="BO39" s="100"/>
      <c r="BP39" s="100"/>
      <c r="BQ39" s="100"/>
      <c r="BR39" s="100"/>
      <c r="BS39" s="100"/>
      <c r="BT39" s="100"/>
      <c r="BU39" s="100"/>
      <c r="BV39" s="100"/>
      <c r="BW39" s="100"/>
      <c r="BX39" s="163"/>
      <c r="BY39" s="163"/>
      <c r="BZ39" s="103"/>
      <c r="CA39" s="103"/>
      <c r="CB39" s="101"/>
      <c r="CC39" s="102"/>
      <c r="CD39" s="100"/>
      <c r="CE39" s="127"/>
      <c r="CF39" s="2880"/>
      <c r="CG39" s="2880"/>
      <c r="CH39" s="2880"/>
      <c r="CI39" s="2880"/>
      <c r="CJ39" s="2880"/>
      <c r="CK39" s="2880"/>
      <c r="CL39" s="2880"/>
      <c r="CM39" s="2880"/>
      <c r="CN39" s="2880"/>
      <c r="CO39" s="2880"/>
      <c r="CP39" s="2880"/>
      <c r="CQ39" s="2880"/>
      <c r="CR39" s="2880"/>
      <c r="CS39" s="2880"/>
      <c r="CT39" s="2881"/>
    </row>
    <row r="40" spans="1:98" ht="6.75" customHeight="1" thickBot="1">
      <c r="A40" s="76"/>
      <c r="B40" s="2774"/>
      <c r="C40" s="2775"/>
      <c r="D40" s="2775"/>
      <c r="E40" s="2775"/>
      <c r="F40" s="2775"/>
      <c r="G40" s="2775"/>
      <c r="H40" s="2775"/>
      <c r="I40" s="2775"/>
      <c r="J40" s="161"/>
      <c r="K40" s="128"/>
      <c r="L40" s="1842"/>
      <c r="M40" s="1842"/>
      <c r="N40" s="1842"/>
      <c r="O40" s="1842"/>
      <c r="P40" s="14"/>
      <c r="Q40" s="2917"/>
      <c r="R40" s="2918"/>
      <c r="S40" s="2918"/>
      <c r="T40" s="2918"/>
      <c r="U40" s="2919"/>
      <c r="V40" s="80"/>
      <c r="W40" s="80"/>
      <c r="X40" s="80"/>
      <c r="Y40" s="80"/>
      <c r="Z40" s="2846"/>
      <c r="AA40" s="2847"/>
      <c r="AB40" s="2847"/>
      <c r="AC40" s="2847"/>
      <c r="AD40" s="2847"/>
      <c r="AE40" s="2847"/>
      <c r="AF40" s="2847"/>
      <c r="AG40" s="2848"/>
      <c r="AH40" s="78"/>
      <c r="AI40" s="2855"/>
      <c r="AJ40" s="2856"/>
      <c r="AK40" s="2856"/>
      <c r="AL40" s="2856"/>
      <c r="AM40" s="2856"/>
      <c r="AN40" s="3000"/>
      <c r="AO40" s="3000"/>
      <c r="AP40" s="3000"/>
      <c r="AQ40" s="3000"/>
      <c r="AR40" s="3000"/>
      <c r="AS40" s="3000"/>
      <c r="AT40" s="3000"/>
      <c r="AU40" s="3000"/>
      <c r="AV40" s="3000"/>
      <c r="AW40" s="3000"/>
      <c r="AX40" s="3000"/>
      <c r="AY40" s="3000"/>
      <c r="AZ40" s="3000"/>
      <c r="BA40" s="3000"/>
      <c r="BB40" s="3000"/>
      <c r="BC40" s="3000"/>
      <c r="BD40" s="3000"/>
      <c r="BE40" s="3000"/>
      <c r="BF40" s="3000"/>
      <c r="BG40" s="3000"/>
      <c r="BH40" s="2997"/>
      <c r="BI40" s="2997"/>
      <c r="BJ40" s="2997"/>
      <c r="BK40" s="2997"/>
      <c r="BL40" s="2998"/>
      <c r="BM40" s="78"/>
      <c r="BN40" s="577"/>
      <c r="BO40" s="79"/>
      <c r="BP40" s="79"/>
      <c r="BQ40" s="79"/>
      <c r="BR40" s="79"/>
      <c r="BS40" s="79"/>
      <c r="BT40" s="100"/>
      <c r="BU40" s="100"/>
      <c r="BV40" s="100"/>
      <c r="BW40" s="100"/>
      <c r="BX40" s="163"/>
      <c r="BY40" s="163"/>
      <c r="BZ40" s="103"/>
      <c r="CA40" s="104"/>
      <c r="CB40" s="105"/>
      <c r="CC40" s="106"/>
      <c r="CD40" s="100"/>
      <c r="CE40" s="127"/>
      <c r="CF40" s="2880"/>
      <c r="CG40" s="2880"/>
      <c r="CH40" s="2880"/>
      <c r="CI40" s="2880"/>
      <c r="CJ40" s="2880"/>
      <c r="CK40" s="2880"/>
      <c r="CL40" s="2880"/>
      <c r="CM40" s="2880"/>
      <c r="CN40" s="2880"/>
      <c r="CO40" s="2880"/>
      <c r="CP40" s="2880"/>
      <c r="CQ40" s="2880"/>
      <c r="CR40" s="2880"/>
      <c r="CS40" s="2880"/>
      <c r="CT40" s="2881"/>
    </row>
    <row r="41" spans="1:98" ht="6.75" customHeight="1">
      <c r="A41" s="76"/>
      <c r="B41" s="2774" t="s">
        <v>783</v>
      </c>
      <c r="C41" s="2775"/>
      <c r="D41" s="2775"/>
      <c r="E41" s="2775"/>
      <c r="F41" s="2775"/>
      <c r="G41" s="2775"/>
      <c r="H41" s="2775"/>
      <c r="I41" s="2775"/>
      <c r="J41" s="161"/>
      <c r="K41" s="128"/>
      <c r="L41" s="1842"/>
      <c r="M41" s="1842"/>
      <c r="N41" s="1842"/>
      <c r="O41" s="1842"/>
      <c r="P41" s="14"/>
      <c r="Q41" s="2829"/>
      <c r="R41" s="2830"/>
      <c r="S41" s="2830"/>
      <c r="T41" s="2830"/>
      <c r="U41" s="2831"/>
      <c r="V41" s="80"/>
      <c r="W41" s="80"/>
      <c r="X41" s="80"/>
      <c r="Y41" s="80"/>
      <c r="Z41" s="2835">
        <f>Q41*$L$49</f>
        <v>0</v>
      </c>
      <c r="AA41" s="2836"/>
      <c r="AB41" s="2836"/>
      <c r="AC41" s="2836"/>
      <c r="AD41" s="2836"/>
      <c r="AE41" s="2836"/>
      <c r="AF41" s="2836"/>
      <c r="AG41" s="2837"/>
      <c r="AH41" s="78"/>
      <c r="AI41" s="2871" t="s">
        <v>1128</v>
      </c>
      <c r="AJ41" s="2872"/>
      <c r="AK41" s="2872"/>
      <c r="AL41" s="2872"/>
      <c r="AM41" s="2872"/>
      <c r="AN41" s="2872"/>
      <c r="AO41" s="2872"/>
      <c r="AP41" s="2872"/>
      <c r="AQ41" s="2872"/>
      <c r="AR41" s="2872"/>
      <c r="AS41" s="2872"/>
      <c r="AT41" s="2872"/>
      <c r="AU41" s="2872"/>
      <c r="AV41" s="2872"/>
      <c r="AW41" s="2872"/>
      <c r="AX41" s="2872"/>
      <c r="AY41" s="2872"/>
      <c r="AZ41" s="2872"/>
      <c r="BA41" s="2872"/>
      <c r="BB41" s="2872"/>
      <c r="BC41" s="2872"/>
      <c r="BD41" s="2872"/>
      <c r="BE41" s="2872"/>
      <c r="BF41" s="2872"/>
      <c r="BG41" s="2872"/>
      <c r="BH41" s="2872"/>
      <c r="BI41" s="2872"/>
      <c r="BJ41" s="2872"/>
      <c r="BK41" s="2872"/>
      <c r="BL41" s="2873"/>
      <c r="BM41" s="78"/>
      <c r="BN41" s="577"/>
      <c r="BO41" s="79"/>
      <c r="BP41" s="79"/>
      <c r="BQ41" s="79"/>
      <c r="BR41" s="79"/>
      <c r="BS41" s="79"/>
      <c r="BT41" s="100"/>
      <c r="BU41" s="100"/>
      <c r="BV41" s="100"/>
      <c r="BW41" s="100"/>
      <c r="BX41" s="163"/>
      <c r="BY41" s="163"/>
      <c r="BZ41" s="103"/>
      <c r="CA41" s="104"/>
      <c r="CB41" s="105"/>
      <c r="CC41" s="106"/>
      <c r="CD41" s="100"/>
      <c r="CE41" s="127"/>
      <c r="CF41" s="2880"/>
      <c r="CG41" s="2880"/>
      <c r="CH41" s="2880"/>
      <c r="CI41" s="2880"/>
      <c r="CJ41" s="2880"/>
      <c r="CK41" s="2880"/>
      <c r="CL41" s="2880"/>
      <c r="CM41" s="2880"/>
      <c r="CN41" s="2880"/>
      <c r="CO41" s="2880"/>
      <c r="CP41" s="2880"/>
      <c r="CQ41" s="2880"/>
      <c r="CR41" s="2880"/>
      <c r="CS41" s="2880"/>
      <c r="CT41" s="2881"/>
    </row>
    <row r="42" spans="1:98" ht="6.75" customHeight="1">
      <c r="A42" s="76"/>
      <c r="B42" s="2774"/>
      <c r="C42" s="2775"/>
      <c r="D42" s="2775"/>
      <c r="E42" s="2775"/>
      <c r="F42" s="2775"/>
      <c r="G42" s="2775"/>
      <c r="H42" s="2775"/>
      <c r="I42" s="2775"/>
      <c r="J42" s="161"/>
      <c r="K42" s="2922" t="s">
        <v>775</v>
      </c>
      <c r="L42" s="2922"/>
      <c r="M42" s="2922"/>
      <c r="N42" s="2922"/>
      <c r="O42" s="2922"/>
      <c r="P42" s="2922"/>
      <c r="Q42" s="2832"/>
      <c r="R42" s="2833"/>
      <c r="S42" s="2833"/>
      <c r="T42" s="2833"/>
      <c r="U42" s="2834"/>
      <c r="V42" s="80"/>
      <c r="W42" s="80"/>
      <c r="X42" s="80"/>
      <c r="Y42" s="80"/>
      <c r="Z42" s="2868"/>
      <c r="AA42" s="2869"/>
      <c r="AB42" s="2869"/>
      <c r="AC42" s="2869"/>
      <c r="AD42" s="2869"/>
      <c r="AE42" s="2869"/>
      <c r="AF42" s="2869"/>
      <c r="AG42" s="2870"/>
      <c r="AH42" s="78"/>
      <c r="AI42" s="2874"/>
      <c r="AJ42" s="2875"/>
      <c r="AK42" s="2875"/>
      <c r="AL42" s="2875"/>
      <c r="AM42" s="2875"/>
      <c r="AN42" s="2875"/>
      <c r="AO42" s="2875"/>
      <c r="AP42" s="2875"/>
      <c r="AQ42" s="2875"/>
      <c r="AR42" s="2875"/>
      <c r="AS42" s="2875"/>
      <c r="AT42" s="2875"/>
      <c r="AU42" s="2875"/>
      <c r="AV42" s="2875"/>
      <c r="AW42" s="2875"/>
      <c r="AX42" s="2875"/>
      <c r="AY42" s="2875"/>
      <c r="AZ42" s="2875"/>
      <c r="BA42" s="2875"/>
      <c r="BB42" s="2875"/>
      <c r="BC42" s="2875"/>
      <c r="BD42" s="2875"/>
      <c r="BE42" s="2875"/>
      <c r="BF42" s="2875"/>
      <c r="BG42" s="2875"/>
      <c r="BH42" s="2875"/>
      <c r="BI42" s="2875"/>
      <c r="BJ42" s="2875"/>
      <c r="BK42" s="2875"/>
      <c r="BL42" s="2876"/>
      <c r="BM42" s="78"/>
      <c r="BN42" s="577"/>
      <c r="BO42" s="79"/>
      <c r="BP42" s="79"/>
      <c r="BQ42" s="79"/>
      <c r="BR42" s="79"/>
      <c r="BS42" s="79"/>
      <c r="BT42" s="100"/>
      <c r="BU42" s="100"/>
      <c r="BV42" s="100"/>
      <c r="BW42" s="100"/>
      <c r="BX42" s="163"/>
      <c r="BY42" s="163"/>
      <c r="BZ42" s="103"/>
      <c r="CA42" s="104"/>
      <c r="CB42" s="105"/>
      <c r="CC42" s="106"/>
      <c r="CD42" s="100"/>
      <c r="CE42" s="127"/>
      <c r="CF42" s="2880"/>
      <c r="CG42" s="2880"/>
      <c r="CH42" s="2880"/>
      <c r="CI42" s="2880"/>
      <c r="CJ42" s="2880"/>
      <c r="CK42" s="2880"/>
      <c r="CL42" s="2880"/>
      <c r="CM42" s="2880"/>
      <c r="CN42" s="2880"/>
      <c r="CO42" s="2880"/>
      <c r="CP42" s="2880"/>
      <c r="CQ42" s="2880"/>
      <c r="CR42" s="2880"/>
      <c r="CS42" s="2880"/>
      <c r="CT42" s="2881"/>
    </row>
    <row r="43" spans="1:98" ht="6.75" customHeight="1" thickBot="1">
      <c r="A43" s="76"/>
      <c r="B43" s="2774" t="s">
        <v>784</v>
      </c>
      <c r="C43" s="2775"/>
      <c r="D43" s="2775"/>
      <c r="E43" s="2775"/>
      <c r="F43" s="2775"/>
      <c r="G43" s="2775"/>
      <c r="H43" s="2775"/>
      <c r="I43" s="2775"/>
      <c r="J43" s="161"/>
      <c r="K43" s="2922"/>
      <c r="L43" s="2922"/>
      <c r="M43" s="2922"/>
      <c r="N43" s="2922"/>
      <c r="O43" s="2922"/>
      <c r="P43" s="2922"/>
      <c r="Q43" s="2829"/>
      <c r="R43" s="2830"/>
      <c r="S43" s="2830"/>
      <c r="T43" s="2830"/>
      <c r="U43" s="2831"/>
      <c r="V43" s="80"/>
      <c r="W43" s="80"/>
      <c r="X43" s="80"/>
      <c r="Y43" s="80"/>
      <c r="Z43" s="2823">
        <f>Q43*$L$49</f>
        <v>0</v>
      </c>
      <c r="AA43" s="2824"/>
      <c r="AB43" s="2824"/>
      <c r="AC43" s="2824"/>
      <c r="AD43" s="2824"/>
      <c r="AE43" s="2824"/>
      <c r="AF43" s="2824"/>
      <c r="AG43" s="2825"/>
      <c r="AH43" s="78"/>
      <c r="AI43" s="2877"/>
      <c r="AJ43" s="2878"/>
      <c r="AK43" s="2878"/>
      <c r="AL43" s="2878"/>
      <c r="AM43" s="2878"/>
      <c r="AN43" s="2878"/>
      <c r="AO43" s="2878"/>
      <c r="AP43" s="2878"/>
      <c r="AQ43" s="2878"/>
      <c r="AR43" s="2878"/>
      <c r="AS43" s="2878"/>
      <c r="AT43" s="2878"/>
      <c r="AU43" s="2878"/>
      <c r="AV43" s="2878"/>
      <c r="AW43" s="2878"/>
      <c r="AX43" s="2878"/>
      <c r="AY43" s="2878"/>
      <c r="AZ43" s="2878"/>
      <c r="BA43" s="2878"/>
      <c r="BB43" s="2878"/>
      <c r="BC43" s="2878"/>
      <c r="BD43" s="2878"/>
      <c r="BE43" s="2878"/>
      <c r="BF43" s="2878"/>
      <c r="BG43" s="2878"/>
      <c r="BH43" s="2878"/>
      <c r="BI43" s="2878"/>
      <c r="BJ43" s="2878"/>
      <c r="BK43" s="2878"/>
      <c r="BL43" s="2879"/>
      <c r="BM43" s="78"/>
      <c r="BN43" s="577"/>
      <c r="BO43" s="100"/>
      <c r="BP43" s="100"/>
      <c r="BQ43" s="100"/>
      <c r="BR43" s="100"/>
      <c r="BS43" s="100"/>
      <c r="BT43" s="100"/>
      <c r="BU43" s="100"/>
      <c r="BV43" s="100"/>
      <c r="BW43" s="100"/>
      <c r="BX43" s="163"/>
      <c r="BY43" s="163"/>
      <c r="BZ43" s="103"/>
      <c r="CA43" s="103"/>
      <c r="CB43" s="101"/>
      <c r="CC43" s="102"/>
      <c r="CD43" s="100"/>
      <c r="CE43" s="127"/>
      <c r="CF43" s="2880"/>
      <c r="CG43" s="2880"/>
      <c r="CH43" s="2880"/>
      <c r="CI43" s="2880"/>
      <c r="CJ43" s="2880"/>
      <c r="CK43" s="2880"/>
      <c r="CL43" s="2880"/>
      <c r="CM43" s="2880"/>
      <c r="CN43" s="2880"/>
      <c r="CO43" s="2880"/>
      <c r="CP43" s="2880"/>
      <c r="CQ43" s="2880"/>
      <c r="CR43" s="2880"/>
      <c r="CS43" s="2880"/>
      <c r="CT43" s="2881"/>
    </row>
    <row r="44" spans="1:98" ht="6.75" customHeight="1">
      <c r="A44" s="76"/>
      <c r="B44" s="2774"/>
      <c r="C44" s="2775"/>
      <c r="D44" s="2775"/>
      <c r="E44" s="2775"/>
      <c r="F44" s="2775"/>
      <c r="G44" s="2775"/>
      <c r="H44" s="2775"/>
      <c r="I44" s="2775"/>
      <c r="J44" s="161"/>
      <c r="K44" s="153"/>
      <c r="L44" s="1842"/>
      <c r="M44" s="1842"/>
      <c r="N44" s="1842"/>
      <c r="O44" s="1842"/>
      <c r="P44" s="153"/>
      <c r="Q44" s="2832"/>
      <c r="R44" s="2833"/>
      <c r="S44" s="2833"/>
      <c r="T44" s="2833"/>
      <c r="U44" s="2834"/>
      <c r="V44" s="80"/>
      <c r="W44" s="80"/>
      <c r="X44" s="80"/>
      <c r="Y44" s="80"/>
      <c r="Z44" s="2826"/>
      <c r="AA44" s="2827"/>
      <c r="AB44" s="2827"/>
      <c r="AC44" s="2827"/>
      <c r="AD44" s="2827"/>
      <c r="AE44" s="2827"/>
      <c r="AF44" s="2827"/>
      <c r="AG44" s="2828"/>
      <c r="AH44" s="78"/>
      <c r="AI44" s="565"/>
      <c r="AJ44" s="504"/>
      <c r="AK44" s="504"/>
      <c r="AL44" s="504"/>
      <c r="AM44" s="504"/>
      <c r="AN44" s="504"/>
      <c r="AO44" s="504"/>
      <c r="AP44" s="504"/>
      <c r="AQ44" s="504"/>
      <c r="AR44" s="504"/>
      <c r="AS44" s="505"/>
      <c r="AT44" s="505"/>
      <c r="AU44" s="505"/>
      <c r="AV44" s="505"/>
      <c r="AW44" s="505"/>
      <c r="AX44" s="504"/>
      <c r="AY44" s="504"/>
      <c r="AZ44" s="505"/>
      <c r="BA44" s="505"/>
      <c r="BB44" s="505"/>
      <c r="BC44" s="505"/>
      <c r="BD44" s="505"/>
      <c r="BE44" s="564"/>
      <c r="BF44" s="504"/>
      <c r="BG44" s="504"/>
      <c r="BH44" s="504"/>
      <c r="BI44" s="504"/>
      <c r="BJ44" s="504"/>
      <c r="BK44" s="504"/>
      <c r="BL44" s="566"/>
      <c r="BM44" s="78"/>
      <c r="BN44" s="577"/>
      <c r="BO44" s="79"/>
      <c r="BP44" s="79"/>
      <c r="BQ44" s="79"/>
      <c r="BR44" s="79"/>
      <c r="BS44" s="79"/>
      <c r="BT44" s="100"/>
      <c r="BU44" s="100"/>
      <c r="BV44" s="100"/>
      <c r="BW44" s="100"/>
      <c r="BX44" s="163"/>
      <c r="BY44" s="163"/>
      <c r="BZ44" s="103"/>
      <c r="CA44" s="104"/>
      <c r="CB44" s="105"/>
      <c r="CC44" s="106"/>
      <c r="CD44" s="100"/>
      <c r="CE44" s="127"/>
      <c r="CF44" s="2880"/>
      <c r="CG44" s="2880"/>
      <c r="CH44" s="2880"/>
      <c r="CI44" s="2880"/>
      <c r="CJ44" s="2880"/>
      <c r="CK44" s="2880"/>
      <c r="CL44" s="2880"/>
      <c r="CM44" s="2880"/>
      <c r="CN44" s="2880"/>
      <c r="CO44" s="2880"/>
      <c r="CP44" s="2880"/>
      <c r="CQ44" s="2880"/>
      <c r="CR44" s="2880"/>
      <c r="CS44" s="2880"/>
      <c r="CT44" s="2881"/>
    </row>
    <row r="45" spans="1:98" ht="6.75" customHeight="1">
      <c r="A45" s="76"/>
      <c r="B45" s="2774" t="s">
        <v>785</v>
      </c>
      <c r="C45" s="2775"/>
      <c r="D45" s="2775"/>
      <c r="E45" s="2775"/>
      <c r="F45" s="2775"/>
      <c r="G45" s="2775"/>
      <c r="H45" s="2775"/>
      <c r="I45" s="2775"/>
      <c r="J45" s="161"/>
      <c r="K45" s="128"/>
      <c r="L45" s="1842"/>
      <c r="M45" s="1842"/>
      <c r="N45" s="1842"/>
      <c r="O45" s="1842"/>
      <c r="P45" s="14"/>
      <c r="Q45" s="2829"/>
      <c r="R45" s="2830"/>
      <c r="S45" s="2830"/>
      <c r="T45" s="2830"/>
      <c r="U45" s="2831"/>
      <c r="V45" s="80"/>
      <c r="W45" s="80"/>
      <c r="X45" s="80"/>
      <c r="Y45" s="80"/>
      <c r="Z45" s="2835">
        <f>Q45*$L$49</f>
        <v>0</v>
      </c>
      <c r="AA45" s="2836"/>
      <c r="AB45" s="2836"/>
      <c r="AC45" s="2836"/>
      <c r="AD45" s="2836"/>
      <c r="AE45" s="2836"/>
      <c r="AF45" s="2836"/>
      <c r="AG45" s="2837"/>
      <c r="AH45" s="78"/>
      <c r="AI45" s="565"/>
      <c r="AJ45" s="504"/>
      <c r="AK45" s="504"/>
      <c r="AL45" s="504"/>
      <c r="AM45" s="504"/>
      <c r="AN45" s="504"/>
      <c r="AO45" s="504"/>
      <c r="AP45" s="504"/>
      <c r="AQ45" s="504"/>
      <c r="AR45" s="504"/>
      <c r="AS45" s="505"/>
      <c r="AT45" s="505"/>
      <c r="AU45" s="505"/>
      <c r="AV45" s="505"/>
      <c r="AW45" s="505"/>
      <c r="AX45" s="504"/>
      <c r="AY45" s="506"/>
      <c r="AZ45" s="506"/>
      <c r="BA45" s="3001"/>
      <c r="BB45" s="3001"/>
      <c r="BC45" s="3001"/>
      <c r="BD45" s="3001"/>
      <c r="BE45" s="506"/>
      <c r="BF45" s="3001" t="s">
        <v>1132</v>
      </c>
      <c r="BG45" s="3001"/>
      <c r="BH45" s="3001"/>
      <c r="BI45" s="3001"/>
      <c r="BJ45" s="3001"/>
      <c r="BK45" s="3001"/>
      <c r="BL45" s="3003"/>
      <c r="BM45" s="78"/>
      <c r="BN45" s="577"/>
      <c r="BO45" s="79"/>
      <c r="BP45" s="79"/>
      <c r="BQ45" s="79"/>
      <c r="BR45" s="79"/>
      <c r="BS45" s="79"/>
      <c r="BT45" s="100"/>
      <c r="BU45" s="100"/>
      <c r="BV45" s="100"/>
      <c r="BW45" s="100"/>
      <c r="BX45" s="163"/>
      <c r="BY45" s="163"/>
      <c r="BZ45" s="103"/>
      <c r="CA45" s="104"/>
      <c r="CB45" s="105"/>
      <c r="CC45" s="106"/>
      <c r="CD45" s="100"/>
      <c r="CE45" s="127"/>
      <c r="CF45" s="2880"/>
      <c r="CG45" s="2880"/>
      <c r="CH45" s="2880"/>
      <c r="CI45" s="2880"/>
      <c r="CJ45" s="2880"/>
      <c r="CK45" s="2880"/>
      <c r="CL45" s="2880"/>
      <c r="CM45" s="2880"/>
      <c r="CN45" s="2880"/>
      <c r="CO45" s="2880"/>
      <c r="CP45" s="2880"/>
      <c r="CQ45" s="2880"/>
      <c r="CR45" s="2880"/>
      <c r="CS45" s="2880"/>
      <c r="CT45" s="2881"/>
    </row>
    <row r="46" spans="1:98" ht="6.75" customHeight="1">
      <c r="A46" s="76"/>
      <c r="B46" s="2774"/>
      <c r="C46" s="2775"/>
      <c r="D46" s="2775"/>
      <c r="E46" s="2775"/>
      <c r="F46" s="2775"/>
      <c r="G46" s="2775"/>
      <c r="H46" s="2775"/>
      <c r="I46" s="2775"/>
      <c r="J46" s="161"/>
      <c r="K46" s="128"/>
      <c r="L46" s="1842"/>
      <c r="M46" s="1842"/>
      <c r="N46" s="1842"/>
      <c r="O46" s="1842"/>
      <c r="P46" s="14"/>
      <c r="Q46" s="2832"/>
      <c r="R46" s="2833"/>
      <c r="S46" s="2833"/>
      <c r="T46" s="2833"/>
      <c r="U46" s="2834"/>
      <c r="V46" s="80"/>
      <c r="W46" s="80"/>
      <c r="X46" s="80"/>
      <c r="Y46" s="80"/>
      <c r="Z46" s="2838"/>
      <c r="AA46" s="2839"/>
      <c r="AB46" s="2839"/>
      <c r="AC46" s="2839"/>
      <c r="AD46" s="2839"/>
      <c r="AE46" s="2839"/>
      <c r="AF46" s="2839"/>
      <c r="AG46" s="2840"/>
      <c r="AH46" s="78"/>
      <c r="AI46" s="565"/>
      <c r="AJ46" s="504"/>
      <c r="AK46" s="504"/>
      <c r="AL46" s="504"/>
      <c r="AM46" s="504"/>
      <c r="AN46" s="504"/>
      <c r="AO46" s="504"/>
      <c r="AP46" s="504"/>
      <c r="AQ46" s="504"/>
      <c r="AR46" s="504"/>
      <c r="AS46" s="505"/>
      <c r="AT46" s="505"/>
      <c r="AU46" s="505"/>
      <c r="AV46" s="505"/>
      <c r="AW46" s="505"/>
      <c r="AX46" s="504"/>
      <c r="AY46" s="506"/>
      <c r="AZ46" s="506"/>
      <c r="BA46" s="3002"/>
      <c r="BB46" s="3002"/>
      <c r="BC46" s="3002"/>
      <c r="BD46" s="3002"/>
      <c r="BE46" s="506"/>
      <c r="BF46" s="3001"/>
      <c r="BG46" s="3001"/>
      <c r="BH46" s="3001"/>
      <c r="BI46" s="3001"/>
      <c r="BJ46" s="3001"/>
      <c r="BK46" s="3001"/>
      <c r="BL46" s="3003"/>
      <c r="BM46" s="78"/>
      <c r="BN46" s="577"/>
      <c r="BO46" s="79"/>
      <c r="BP46" s="79"/>
      <c r="BQ46" s="79"/>
      <c r="BR46" s="79"/>
      <c r="BS46" s="79"/>
      <c r="BT46" s="100"/>
      <c r="BU46" s="100"/>
      <c r="BV46" s="100"/>
      <c r="BW46" s="100"/>
      <c r="BX46" s="163"/>
      <c r="BY46" s="163"/>
      <c r="BZ46" s="103"/>
      <c r="CA46" s="104"/>
      <c r="CB46" s="105"/>
      <c r="CC46" s="106"/>
      <c r="CD46" s="100"/>
      <c r="CE46" s="127"/>
      <c r="CF46" s="2880"/>
      <c r="CG46" s="2880"/>
      <c r="CH46" s="2880"/>
      <c r="CI46" s="2880"/>
      <c r="CJ46" s="2880"/>
      <c r="CK46" s="2880"/>
      <c r="CL46" s="2880"/>
      <c r="CM46" s="2880"/>
      <c r="CN46" s="2880"/>
      <c r="CO46" s="2880"/>
      <c r="CP46" s="2880"/>
      <c r="CQ46" s="2880"/>
      <c r="CR46" s="2880"/>
      <c r="CS46" s="2880"/>
      <c r="CT46" s="2881"/>
    </row>
    <row r="47" spans="1:98" ht="6.75" customHeight="1">
      <c r="A47" s="76"/>
      <c r="B47" s="2774" t="s">
        <v>786</v>
      </c>
      <c r="C47" s="2775"/>
      <c r="D47" s="2775"/>
      <c r="E47" s="2775"/>
      <c r="F47" s="2775"/>
      <c r="G47" s="2775"/>
      <c r="H47" s="2775"/>
      <c r="I47" s="2775"/>
      <c r="J47" s="161"/>
      <c r="K47" s="2922" t="s">
        <v>776</v>
      </c>
      <c r="L47" s="2922"/>
      <c r="M47" s="2922"/>
      <c r="N47" s="2922"/>
      <c r="O47" s="2922"/>
      <c r="P47" s="2922"/>
      <c r="Q47" s="2829"/>
      <c r="R47" s="2830"/>
      <c r="S47" s="2830"/>
      <c r="T47" s="2830"/>
      <c r="U47" s="2831"/>
      <c r="V47" s="80"/>
      <c r="W47" s="80"/>
      <c r="X47" s="80"/>
      <c r="Y47" s="80"/>
      <c r="Z47" s="2823">
        <f>Q47*$L$49</f>
        <v>0</v>
      </c>
      <c r="AA47" s="2824"/>
      <c r="AB47" s="2824"/>
      <c r="AC47" s="2824"/>
      <c r="AD47" s="2824"/>
      <c r="AE47" s="2824"/>
      <c r="AF47" s="2824"/>
      <c r="AG47" s="2825"/>
      <c r="AH47" s="78"/>
      <c r="AI47" s="3016" t="s">
        <v>1130</v>
      </c>
      <c r="AJ47" s="3017"/>
      <c r="AK47" s="3017"/>
      <c r="AL47" s="3017"/>
      <c r="AM47" s="3017"/>
      <c r="AN47" s="3017"/>
      <c r="AO47" s="3017"/>
      <c r="AP47" s="3017"/>
      <c r="AQ47" s="3017"/>
      <c r="AR47" s="3017"/>
      <c r="AS47" s="3017"/>
      <c r="AT47" s="3017"/>
      <c r="AU47" s="3017"/>
      <c r="AV47" s="3017"/>
      <c r="AW47" s="3017"/>
      <c r="AX47" s="3017"/>
      <c r="AY47" s="3018"/>
      <c r="AZ47" s="3019"/>
      <c r="BA47" s="3021"/>
      <c r="BB47" s="3022"/>
      <c r="BC47" s="3022"/>
      <c r="BD47" s="3023"/>
      <c r="BE47" s="3018"/>
      <c r="BF47" s="3019"/>
      <c r="BG47" s="3030">
        <f>IF(Wholesale_Calculator_Location_Mutiplier=0,0,(BA47-1)*TOTAL_REPAIR_COSTS_WHOLESALE)</f>
        <v>0</v>
      </c>
      <c r="BH47" s="3031"/>
      <c r="BI47" s="3031"/>
      <c r="BJ47" s="3031"/>
      <c r="BK47" s="3032"/>
      <c r="BL47" s="566"/>
      <c r="BM47" s="78"/>
      <c r="BN47" s="577"/>
      <c r="BO47" s="79"/>
      <c r="BP47" s="79"/>
      <c r="BQ47" s="79"/>
      <c r="BR47" s="79"/>
      <c r="BS47" s="79"/>
      <c r="BT47" s="100"/>
      <c r="BU47" s="100"/>
      <c r="BV47" s="100"/>
      <c r="BW47" s="100"/>
      <c r="BX47" s="163"/>
      <c r="BY47" s="163"/>
      <c r="BZ47" s="103"/>
      <c r="CA47" s="104"/>
      <c r="CB47" s="105"/>
      <c r="CC47" s="106"/>
      <c r="CD47" s="100"/>
      <c r="CE47" s="127"/>
      <c r="CF47" s="2880"/>
      <c r="CG47" s="2880"/>
      <c r="CH47" s="2880"/>
      <c r="CI47" s="2880"/>
      <c r="CJ47" s="2880"/>
      <c r="CK47" s="2880"/>
      <c r="CL47" s="2880"/>
      <c r="CM47" s="2880"/>
      <c r="CN47" s="2880"/>
      <c r="CO47" s="2880"/>
      <c r="CP47" s="2880"/>
      <c r="CQ47" s="2880"/>
      <c r="CR47" s="2880"/>
      <c r="CS47" s="2880"/>
      <c r="CT47" s="2881"/>
    </row>
    <row r="48" spans="1:98" ht="6.75" customHeight="1">
      <c r="A48" s="76"/>
      <c r="B48" s="2774"/>
      <c r="C48" s="2775"/>
      <c r="D48" s="2775"/>
      <c r="E48" s="2775"/>
      <c r="F48" s="2775"/>
      <c r="G48" s="2775"/>
      <c r="H48" s="2775"/>
      <c r="I48" s="2775"/>
      <c r="J48" s="161"/>
      <c r="K48" s="2922"/>
      <c r="L48" s="2922"/>
      <c r="M48" s="2922"/>
      <c r="N48" s="2922"/>
      <c r="O48" s="2922"/>
      <c r="P48" s="2922"/>
      <c r="Q48" s="2917"/>
      <c r="R48" s="2918"/>
      <c r="S48" s="2918"/>
      <c r="T48" s="2918"/>
      <c r="U48" s="2919"/>
      <c r="V48" s="80"/>
      <c r="W48" s="80"/>
      <c r="X48" s="80"/>
      <c r="Y48" s="80"/>
      <c r="Z48" s="2826"/>
      <c r="AA48" s="2827"/>
      <c r="AB48" s="2827"/>
      <c r="AC48" s="2827"/>
      <c r="AD48" s="2827"/>
      <c r="AE48" s="2827"/>
      <c r="AF48" s="2827"/>
      <c r="AG48" s="2828"/>
      <c r="AH48" s="78"/>
      <c r="AI48" s="3016"/>
      <c r="AJ48" s="3017"/>
      <c r="AK48" s="3017"/>
      <c r="AL48" s="3017"/>
      <c r="AM48" s="3017"/>
      <c r="AN48" s="3017"/>
      <c r="AO48" s="3017"/>
      <c r="AP48" s="3017"/>
      <c r="AQ48" s="3017"/>
      <c r="AR48" s="3017"/>
      <c r="AS48" s="3017"/>
      <c r="AT48" s="3017"/>
      <c r="AU48" s="3017"/>
      <c r="AV48" s="3017"/>
      <c r="AW48" s="3017"/>
      <c r="AX48" s="3017"/>
      <c r="AY48" s="3020"/>
      <c r="AZ48" s="3019"/>
      <c r="BA48" s="3024"/>
      <c r="BB48" s="3025"/>
      <c r="BC48" s="3025"/>
      <c r="BD48" s="3026"/>
      <c r="BE48" s="3020"/>
      <c r="BF48" s="3019"/>
      <c r="BG48" s="2126"/>
      <c r="BH48" s="2127"/>
      <c r="BI48" s="2127"/>
      <c r="BJ48" s="2127"/>
      <c r="BK48" s="2128"/>
      <c r="BL48" s="566"/>
      <c r="BM48" s="78"/>
      <c r="BN48" s="577"/>
      <c r="BO48" s="79"/>
      <c r="BP48" s="79"/>
      <c r="BQ48" s="79"/>
      <c r="BR48" s="79"/>
      <c r="BS48" s="79"/>
      <c r="BT48" s="100"/>
      <c r="BU48" s="100"/>
      <c r="BV48" s="100"/>
      <c r="BW48" s="100"/>
      <c r="BX48" s="163"/>
      <c r="BY48" s="163"/>
      <c r="BZ48" s="103"/>
      <c r="CA48" s="104"/>
      <c r="CB48" s="105"/>
      <c r="CC48" s="106"/>
      <c r="CD48" s="100"/>
      <c r="CE48" s="127"/>
      <c r="CF48" s="2880"/>
      <c r="CG48" s="2880"/>
      <c r="CH48" s="2880"/>
      <c r="CI48" s="2880"/>
      <c r="CJ48" s="2880"/>
      <c r="CK48" s="2880"/>
      <c r="CL48" s="2880"/>
      <c r="CM48" s="2880"/>
      <c r="CN48" s="2880"/>
      <c r="CO48" s="2880"/>
      <c r="CP48" s="2880"/>
      <c r="CQ48" s="2880"/>
      <c r="CR48" s="2880"/>
      <c r="CS48" s="2880"/>
      <c r="CT48" s="2881"/>
    </row>
    <row r="49" spans="1:98" ht="6.75" customHeight="1">
      <c r="A49" s="76"/>
      <c r="B49" s="2774" t="s">
        <v>524</v>
      </c>
      <c r="C49" s="2775"/>
      <c r="D49" s="2775"/>
      <c r="E49" s="2775"/>
      <c r="F49" s="2775"/>
      <c r="G49" s="2775"/>
      <c r="H49" s="2775"/>
      <c r="I49" s="2775"/>
      <c r="J49" s="2775"/>
      <c r="K49" s="2775"/>
      <c r="L49" s="2953">
        <f>L39+L44</f>
        <v>0</v>
      </c>
      <c r="M49" s="2954"/>
      <c r="N49" s="2954"/>
      <c r="O49" s="2954"/>
      <c r="P49" s="130"/>
      <c r="Q49" s="2829"/>
      <c r="R49" s="2830"/>
      <c r="S49" s="2830"/>
      <c r="T49" s="2830"/>
      <c r="U49" s="2831"/>
      <c r="V49" s="80"/>
      <c r="W49" s="80"/>
      <c r="X49" s="80"/>
      <c r="Y49" s="80"/>
      <c r="Z49" s="2868">
        <f>Q49*$L$49</f>
        <v>0</v>
      </c>
      <c r="AA49" s="2869"/>
      <c r="AB49" s="2869"/>
      <c r="AC49" s="2869"/>
      <c r="AD49" s="2869"/>
      <c r="AE49" s="2869"/>
      <c r="AF49" s="2869"/>
      <c r="AG49" s="2870"/>
      <c r="AH49" s="78"/>
      <c r="AI49" s="3016"/>
      <c r="AJ49" s="3017"/>
      <c r="AK49" s="3017"/>
      <c r="AL49" s="3017"/>
      <c r="AM49" s="3017"/>
      <c r="AN49" s="3017"/>
      <c r="AO49" s="3017"/>
      <c r="AP49" s="3017"/>
      <c r="AQ49" s="3017"/>
      <c r="AR49" s="3017"/>
      <c r="AS49" s="3017"/>
      <c r="AT49" s="3017"/>
      <c r="AU49" s="3017"/>
      <c r="AV49" s="3017"/>
      <c r="AW49" s="3017"/>
      <c r="AX49" s="3017"/>
      <c r="AY49" s="3020"/>
      <c r="AZ49" s="3019"/>
      <c r="BA49" s="3027"/>
      <c r="BB49" s="3028"/>
      <c r="BC49" s="3028"/>
      <c r="BD49" s="3029"/>
      <c r="BE49" s="3020"/>
      <c r="BF49" s="3019"/>
      <c r="BG49" s="2218"/>
      <c r="BH49" s="2219"/>
      <c r="BI49" s="2219"/>
      <c r="BJ49" s="2219"/>
      <c r="BK49" s="2220"/>
      <c r="BL49" s="566"/>
      <c r="BM49" s="78"/>
      <c r="BN49" s="577"/>
      <c r="BO49" s="79"/>
      <c r="BP49" s="79"/>
      <c r="BQ49" s="79"/>
      <c r="BR49" s="79"/>
      <c r="BS49" s="79"/>
      <c r="BT49" s="79"/>
      <c r="BU49" s="79"/>
      <c r="BV49" s="79"/>
      <c r="BW49" s="79"/>
      <c r="BX49" s="79"/>
      <c r="BY49" s="79"/>
      <c r="BZ49" s="79"/>
      <c r="CA49" s="79"/>
      <c r="CB49" s="164"/>
      <c r="CC49" s="164"/>
      <c r="CD49" s="79"/>
      <c r="CE49" s="126"/>
      <c r="CF49" s="2880"/>
      <c r="CG49" s="2880"/>
      <c r="CH49" s="2880"/>
      <c r="CI49" s="2880"/>
      <c r="CJ49" s="2880"/>
      <c r="CK49" s="2880"/>
      <c r="CL49" s="2880"/>
      <c r="CM49" s="2880"/>
      <c r="CN49" s="2880"/>
      <c r="CO49" s="2880"/>
      <c r="CP49" s="2880"/>
      <c r="CQ49" s="2880"/>
      <c r="CR49" s="2880"/>
      <c r="CS49" s="2880"/>
      <c r="CT49" s="2881"/>
    </row>
    <row r="50" spans="1:98" ht="6.75" customHeight="1" thickBot="1">
      <c r="A50" s="76"/>
      <c r="B50" s="2774"/>
      <c r="C50" s="2775"/>
      <c r="D50" s="2775"/>
      <c r="E50" s="2775"/>
      <c r="F50" s="2775"/>
      <c r="G50" s="2775"/>
      <c r="H50" s="2775"/>
      <c r="I50" s="2775"/>
      <c r="J50" s="2775"/>
      <c r="K50" s="2775"/>
      <c r="L50" s="2954"/>
      <c r="M50" s="2954"/>
      <c r="N50" s="2954"/>
      <c r="O50" s="2954"/>
      <c r="P50" s="130"/>
      <c r="Q50" s="2859"/>
      <c r="R50" s="2860"/>
      <c r="S50" s="2860"/>
      <c r="T50" s="2860"/>
      <c r="U50" s="2861"/>
      <c r="V50" s="80"/>
      <c r="W50" s="80"/>
      <c r="X50" s="80"/>
      <c r="Y50" s="80"/>
      <c r="Z50" s="2868"/>
      <c r="AA50" s="2869"/>
      <c r="AB50" s="2869"/>
      <c r="AC50" s="2869"/>
      <c r="AD50" s="2869"/>
      <c r="AE50" s="2869"/>
      <c r="AF50" s="2869"/>
      <c r="AG50" s="2870"/>
      <c r="AH50" s="78"/>
      <c r="AI50" s="3033" t="s">
        <v>1129</v>
      </c>
      <c r="AJ50" s="3034"/>
      <c r="AK50" s="3034"/>
      <c r="AL50" s="3034"/>
      <c r="AM50" s="3034"/>
      <c r="AN50" s="3034"/>
      <c r="AO50" s="3034"/>
      <c r="AP50" s="3034"/>
      <c r="AQ50" s="3034"/>
      <c r="AR50" s="3034"/>
      <c r="AS50" s="3034"/>
      <c r="AT50" s="3034"/>
      <c r="AU50" s="3034"/>
      <c r="AV50" s="3034"/>
      <c r="AW50" s="3034"/>
      <c r="AX50" s="3034"/>
      <c r="AY50" s="3034"/>
      <c r="AZ50" s="494"/>
      <c r="BA50" s="3035"/>
      <c r="BB50" s="3036"/>
      <c r="BC50" s="3036"/>
      <c r="BD50" s="3037"/>
      <c r="BE50" s="3018"/>
      <c r="BF50" s="3019"/>
      <c r="BG50" s="3030">
        <f>(TOTAL_REPAIR_COSTS_WHOLESALE+BG47)*BA50</f>
        <v>0</v>
      </c>
      <c r="BH50" s="3031"/>
      <c r="BI50" s="3031"/>
      <c r="BJ50" s="3031"/>
      <c r="BK50" s="3032"/>
      <c r="BL50" s="566"/>
      <c r="BM50" s="78"/>
      <c r="BN50" s="578"/>
      <c r="BO50" s="571"/>
      <c r="BP50" s="571"/>
      <c r="BQ50" s="571"/>
      <c r="BR50" s="571"/>
      <c r="BS50" s="571"/>
      <c r="BT50" s="571"/>
      <c r="BU50" s="571"/>
      <c r="BV50" s="571"/>
      <c r="BW50" s="571"/>
      <c r="BX50" s="571"/>
      <c r="BY50" s="571"/>
      <c r="BZ50" s="571"/>
      <c r="CA50" s="571"/>
      <c r="CB50" s="571"/>
      <c r="CC50" s="571"/>
      <c r="CD50" s="571"/>
      <c r="CE50" s="572"/>
      <c r="CF50" s="2882"/>
      <c r="CG50" s="2882"/>
      <c r="CH50" s="2882"/>
      <c r="CI50" s="2882"/>
      <c r="CJ50" s="2882"/>
      <c r="CK50" s="2882"/>
      <c r="CL50" s="2882"/>
      <c r="CM50" s="2882"/>
      <c r="CN50" s="2882"/>
      <c r="CO50" s="2882"/>
      <c r="CP50" s="2882"/>
      <c r="CQ50" s="2882"/>
      <c r="CR50" s="2882"/>
      <c r="CS50" s="2882"/>
      <c r="CT50" s="2883"/>
    </row>
    <row r="51" spans="1:98" ht="6.75" customHeight="1" thickTop="1" thickBot="1">
      <c r="A51" s="76"/>
      <c r="B51" s="85"/>
      <c r="C51" s="86"/>
      <c r="D51" s="86"/>
      <c r="E51" s="86"/>
      <c r="F51" s="86"/>
      <c r="G51" s="86"/>
      <c r="H51" s="86"/>
      <c r="I51" s="86"/>
      <c r="J51" s="86"/>
      <c r="K51" s="86"/>
      <c r="L51" s="2954"/>
      <c r="M51" s="2954"/>
      <c r="N51" s="2954"/>
      <c r="O51" s="2954"/>
      <c r="P51" s="130"/>
      <c r="Q51" s="2964">
        <f>SUM(Q37:U50)</f>
        <v>0</v>
      </c>
      <c r="R51" s="2965"/>
      <c r="S51" s="2965"/>
      <c r="T51" s="2965"/>
      <c r="U51" s="2966"/>
      <c r="V51" s="2951" t="s">
        <v>39</v>
      </c>
      <c r="W51" s="2951"/>
      <c r="X51" s="2951"/>
      <c r="Y51" s="2952"/>
      <c r="Z51" s="2911">
        <f>IF(Wholesale_Calculator_Fixed_Cost_Calculation_Method="% of ARV",TOTAL_FIXED_COSTS_WHOLESALE/3,SUM(Z37:AG50))</f>
        <v>0</v>
      </c>
      <c r="AA51" s="2912"/>
      <c r="AB51" s="2912"/>
      <c r="AC51" s="2912"/>
      <c r="AD51" s="2912"/>
      <c r="AE51" s="2912"/>
      <c r="AF51" s="2912"/>
      <c r="AG51" s="2913"/>
      <c r="AH51" s="78"/>
      <c r="AI51" s="3033"/>
      <c r="AJ51" s="3034"/>
      <c r="AK51" s="3034"/>
      <c r="AL51" s="3034"/>
      <c r="AM51" s="3034"/>
      <c r="AN51" s="3034"/>
      <c r="AO51" s="3034"/>
      <c r="AP51" s="3034"/>
      <c r="AQ51" s="3034"/>
      <c r="AR51" s="3034"/>
      <c r="AS51" s="3034"/>
      <c r="AT51" s="3034"/>
      <c r="AU51" s="3034"/>
      <c r="AV51" s="3034"/>
      <c r="AW51" s="3034"/>
      <c r="AX51" s="3034"/>
      <c r="AY51" s="3034"/>
      <c r="AZ51" s="494"/>
      <c r="BA51" s="3038"/>
      <c r="BB51" s="3039"/>
      <c r="BC51" s="3039"/>
      <c r="BD51" s="3040"/>
      <c r="BE51" s="3020"/>
      <c r="BF51" s="3019"/>
      <c r="BG51" s="2126"/>
      <c r="BH51" s="2127"/>
      <c r="BI51" s="2127"/>
      <c r="BJ51" s="2127"/>
      <c r="BK51" s="2128"/>
      <c r="BL51" s="566"/>
      <c r="BM51" s="78"/>
      <c r="BN51" s="2955" t="s">
        <v>585</v>
      </c>
      <c r="BO51" s="2956"/>
      <c r="BP51" s="2956"/>
      <c r="BQ51" s="2956"/>
      <c r="BR51" s="2956"/>
      <c r="BS51" s="2956"/>
      <c r="BT51" s="2956"/>
      <c r="BU51" s="2956"/>
      <c r="BV51" s="2956"/>
      <c r="BW51" s="2956"/>
      <c r="BX51" s="2956"/>
      <c r="BY51" s="2956"/>
      <c r="BZ51" s="2956"/>
      <c r="CA51" s="2956"/>
      <c r="CB51" s="2956"/>
      <c r="CC51" s="2956"/>
      <c r="CD51" s="2956"/>
      <c r="CE51" s="2956"/>
      <c r="CF51" s="2956"/>
      <c r="CG51" s="2956"/>
      <c r="CH51" s="2956"/>
      <c r="CI51" s="2956"/>
      <c r="CJ51" s="2956"/>
      <c r="CK51" s="2956"/>
      <c r="CL51" s="2956"/>
      <c r="CM51" s="2956"/>
      <c r="CN51" s="2956"/>
      <c r="CO51" s="2956"/>
      <c r="CP51" s="2956"/>
      <c r="CQ51" s="2956"/>
      <c r="CR51" s="2956"/>
      <c r="CS51" s="2956"/>
      <c r="CT51" s="2957"/>
    </row>
    <row r="52" spans="1:98" ht="6.75" customHeight="1" thickBot="1">
      <c r="A52" s="76"/>
      <c r="B52" s="85"/>
      <c r="C52" s="86"/>
      <c r="D52" s="86"/>
      <c r="E52" s="86"/>
      <c r="F52" s="86"/>
      <c r="G52" s="86"/>
      <c r="H52" s="86"/>
      <c r="I52" s="86"/>
      <c r="J52" s="86"/>
      <c r="K52" s="86"/>
      <c r="L52" s="129"/>
      <c r="M52" s="129"/>
      <c r="N52" s="129"/>
      <c r="O52" s="129"/>
      <c r="P52" s="130"/>
      <c r="Q52" s="2967"/>
      <c r="R52" s="2968"/>
      <c r="S52" s="2968"/>
      <c r="T52" s="2968"/>
      <c r="U52" s="2969"/>
      <c r="V52" s="2951"/>
      <c r="W52" s="2951"/>
      <c r="X52" s="2951"/>
      <c r="Y52" s="2952"/>
      <c r="Z52" s="2970"/>
      <c r="AA52" s="2971"/>
      <c r="AB52" s="2971"/>
      <c r="AC52" s="2971"/>
      <c r="AD52" s="2971"/>
      <c r="AE52" s="2971"/>
      <c r="AF52" s="2971"/>
      <c r="AG52" s="2972"/>
      <c r="AH52" s="78"/>
      <c r="AI52" s="3033"/>
      <c r="AJ52" s="3034"/>
      <c r="AK52" s="3034"/>
      <c r="AL52" s="3034"/>
      <c r="AM52" s="3034"/>
      <c r="AN52" s="3034"/>
      <c r="AO52" s="3034"/>
      <c r="AP52" s="3034"/>
      <c r="AQ52" s="3034"/>
      <c r="AR52" s="3034"/>
      <c r="AS52" s="3034"/>
      <c r="AT52" s="3034"/>
      <c r="AU52" s="3034"/>
      <c r="AV52" s="3034"/>
      <c r="AW52" s="3034"/>
      <c r="AX52" s="3034"/>
      <c r="AY52" s="3034"/>
      <c r="AZ52" s="494"/>
      <c r="BA52" s="3041"/>
      <c r="BB52" s="3042"/>
      <c r="BC52" s="3042"/>
      <c r="BD52" s="3043"/>
      <c r="BE52" s="3020"/>
      <c r="BF52" s="3019"/>
      <c r="BG52" s="2218"/>
      <c r="BH52" s="2219"/>
      <c r="BI52" s="2219"/>
      <c r="BJ52" s="2219"/>
      <c r="BK52" s="2220"/>
      <c r="BL52" s="566"/>
      <c r="BM52" s="78"/>
      <c r="BN52" s="2958"/>
      <c r="BO52" s="2959"/>
      <c r="BP52" s="2959"/>
      <c r="BQ52" s="2959"/>
      <c r="BR52" s="2959"/>
      <c r="BS52" s="2959"/>
      <c r="BT52" s="2959"/>
      <c r="BU52" s="2959"/>
      <c r="BV52" s="2959"/>
      <c r="BW52" s="2959"/>
      <c r="BX52" s="2959"/>
      <c r="BY52" s="2959"/>
      <c r="BZ52" s="2959"/>
      <c r="CA52" s="2959"/>
      <c r="CB52" s="2959"/>
      <c r="CC52" s="2959"/>
      <c r="CD52" s="2959"/>
      <c r="CE52" s="2959"/>
      <c r="CF52" s="2959"/>
      <c r="CG52" s="2959"/>
      <c r="CH52" s="2959"/>
      <c r="CI52" s="2959"/>
      <c r="CJ52" s="2959"/>
      <c r="CK52" s="2959"/>
      <c r="CL52" s="2959"/>
      <c r="CM52" s="2959"/>
      <c r="CN52" s="2959"/>
      <c r="CO52" s="2959"/>
      <c r="CP52" s="2959"/>
      <c r="CQ52" s="2959"/>
      <c r="CR52" s="2959"/>
      <c r="CS52" s="2959"/>
      <c r="CT52" s="2960"/>
    </row>
    <row r="53" spans="1:98" ht="6.75" customHeight="1" thickBot="1">
      <c r="A53" s="76"/>
      <c r="B53" s="2819" t="s">
        <v>349</v>
      </c>
      <c r="C53" s="2820"/>
      <c r="D53" s="2820"/>
      <c r="E53" s="2820"/>
      <c r="F53" s="2820"/>
      <c r="G53" s="2820"/>
      <c r="H53" s="2820"/>
      <c r="I53" s="2820"/>
      <c r="J53" s="2820"/>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57"/>
      <c r="AH53" s="78"/>
      <c r="AI53" s="3033" t="s">
        <v>1131</v>
      </c>
      <c r="AJ53" s="3034"/>
      <c r="AK53" s="3034"/>
      <c r="AL53" s="3034"/>
      <c r="AM53" s="3034"/>
      <c r="AN53" s="3034"/>
      <c r="AO53" s="3034"/>
      <c r="AP53" s="3034"/>
      <c r="AQ53" s="3034"/>
      <c r="AR53" s="3034"/>
      <c r="AS53" s="3034"/>
      <c r="AT53" s="3034"/>
      <c r="AU53" s="3034"/>
      <c r="AV53" s="3034"/>
      <c r="AW53" s="3034"/>
      <c r="AX53" s="3034"/>
      <c r="AY53" s="3034"/>
      <c r="AZ53" s="494"/>
      <c r="BA53" s="3035"/>
      <c r="BB53" s="3036"/>
      <c r="BC53" s="3036"/>
      <c r="BD53" s="3037"/>
      <c r="BE53" s="3018"/>
      <c r="BF53" s="3019"/>
      <c r="BG53" s="3030">
        <f>(TOTAL_REPAIR_COSTS_WHOLESALE+BG47+BG50)*BA53</f>
        <v>0</v>
      </c>
      <c r="BH53" s="3031"/>
      <c r="BI53" s="3031"/>
      <c r="BJ53" s="3031"/>
      <c r="BK53" s="3032"/>
      <c r="BL53" s="566"/>
      <c r="BM53" s="78"/>
      <c r="BN53" s="2961"/>
      <c r="BO53" s="2962"/>
      <c r="BP53" s="2962"/>
      <c r="BQ53" s="2962"/>
      <c r="BR53" s="2962"/>
      <c r="BS53" s="2962"/>
      <c r="BT53" s="2962"/>
      <c r="BU53" s="2962"/>
      <c r="BV53" s="2962"/>
      <c r="BW53" s="2962"/>
      <c r="BX53" s="2962"/>
      <c r="BY53" s="2962"/>
      <c r="BZ53" s="2962"/>
      <c r="CA53" s="2962"/>
      <c r="CB53" s="2962"/>
      <c r="CC53" s="2962"/>
      <c r="CD53" s="2962"/>
      <c r="CE53" s="2962"/>
      <c r="CF53" s="2962"/>
      <c r="CG53" s="2962"/>
      <c r="CH53" s="2962"/>
      <c r="CI53" s="2962"/>
      <c r="CJ53" s="2962"/>
      <c r="CK53" s="2962"/>
      <c r="CL53" s="2962"/>
      <c r="CM53" s="2962"/>
      <c r="CN53" s="2962"/>
      <c r="CO53" s="2962"/>
      <c r="CP53" s="2962"/>
      <c r="CQ53" s="2962"/>
      <c r="CR53" s="2962"/>
      <c r="CS53" s="2962"/>
      <c r="CT53" s="2963"/>
    </row>
    <row r="54" spans="1:98" ht="6.75" customHeight="1">
      <c r="A54" s="76"/>
      <c r="B54" s="2819"/>
      <c r="C54" s="2820"/>
      <c r="D54" s="2820"/>
      <c r="E54" s="2820"/>
      <c r="F54" s="2820"/>
      <c r="G54" s="2820"/>
      <c r="H54" s="2820"/>
      <c r="I54" s="2820"/>
      <c r="J54" s="2820"/>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57"/>
      <c r="AH54" s="78"/>
      <c r="AI54" s="3033"/>
      <c r="AJ54" s="3034"/>
      <c r="AK54" s="3034"/>
      <c r="AL54" s="3034"/>
      <c r="AM54" s="3034"/>
      <c r="AN54" s="3034"/>
      <c r="AO54" s="3034"/>
      <c r="AP54" s="3034"/>
      <c r="AQ54" s="3034"/>
      <c r="AR54" s="3034"/>
      <c r="AS54" s="3034"/>
      <c r="AT54" s="3034"/>
      <c r="AU54" s="3034"/>
      <c r="AV54" s="3034"/>
      <c r="AW54" s="3034"/>
      <c r="AX54" s="3034"/>
      <c r="AY54" s="3034"/>
      <c r="AZ54" s="494"/>
      <c r="BA54" s="3038"/>
      <c r="BB54" s="3039"/>
      <c r="BC54" s="3039"/>
      <c r="BD54" s="3040"/>
      <c r="BE54" s="3020"/>
      <c r="BF54" s="3019"/>
      <c r="BG54" s="2126"/>
      <c r="BH54" s="2127"/>
      <c r="BI54" s="2127"/>
      <c r="BJ54" s="2127"/>
      <c r="BK54" s="2128"/>
      <c r="BL54" s="566"/>
      <c r="BM54" s="78"/>
      <c r="BN54" s="2979">
        <f>AFTER_REPAIR_VALUE_WHOLESALE-TOTAL_FIXED_COSTS_WHOLESALE-TOTAL_REPAIR_ESTIMATE_WHOLESALE-REHABBER_PROFIT_WHOLESALE</f>
        <v>-50000</v>
      </c>
      <c r="BO54" s="2980"/>
      <c r="BP54" s="2980"/>
      <c r="BQ54" s="2980"/>
      <c r="BR54" s="2980"/>
      <c r="BS54" s="2980"/>
      <c r="BT54" s="2980"/>
      <c r="BU54" s="2980"/>
      <c r="BV54" s="2980"/>
      <c r="BW54" s="2980"/>
      <c r="BX54" s="2980"/>
      <c r="BY54" s="2980"/>
      <c r="BZ54" s="2980"/>
      <c r="CA54" s="2980"/>
      <c r="CB54" s="2980"/>
      <c r="CC54" s="2980"/>
      <c r="CD54" s="2980"/>
      <c r="CE54" s="2980"/>
      <c r="CF54" s="2980"/>
      <c r="CG54" s="2980"/>
      <c r="CH54" s="2980"/>
      <c r="CI54" s="2980"/>
      <c r="CJ54" s="2980"/>
      <c r="CK54" s="2980"/>
      <c r="CL54" s="2980"/>
      <c r="CM54" s="2980"/>
      <c r="CN54" s="2980"/>
      <c r="CO54" s="2980"/>
      <c r="CP54" s="2980"/>
      <c r="CQ54" s="2980"/>
      <c r="CR54" s="2980"/>
      <c r="CS54" s="2980"/>
      <c r="CT54" s="2981"/>
    </row>
    <row r="55" spans="1:98" ht="6.75" customHeight="1">
      <c r="A55" s="76"/>
      <c r="B55" s="2774" t="s">
        <v>787</v>
      </c>
      <c r="C55" s="2775"/>
      <c r="D55" s="2775"/>
      <c r="E55" s="2775"/>
      <c r="F55" s="2775"/>
      <c r="G55" s="2775"/>
      <c r="H55" s="2775"/>
      <c r="I55" s="2775"/>
      <c r="J55" s="2775"/>
      <c r="K55" s="2775"/>
      <c r="L55" s="2775"/>
      <c r="M55" s="2775"/>
      <c r="N55" s="2775"/>
      <c r="O55" s="2775"/>
      <c r="P55" s="164"/>
      <c r="Q55" s="1862">
        <v>0.06</v>
      </c>
      <c r="R55" s="1863"/>
      <c r="S55" s="1863"/>
      <c r="T55" s="1863"/>
      <c r="U55" s="1864"/>
      <c r="V55" s="2949" t="s">
        <v>586</v>
      </c>
      <c r="W55" s="2949"/>
      <c r="X55" s="2949"/>
      <c r="Y55" s="2950"/>
      <c r="Z55" s="2835">
        <f>Q55*B7</f>
        <v>0</v>
      </c>
      <c r="AA55" s="2988"/>
      <c r="AB55" s="2988"/>
      <c r="AC55" s="2988"/>
      <c r="AD55" s="2988"/>
      <c r="AE55" s="2988"/>
      <c r="AF55" s="2988"/>
      <c r="AG55" s="2989"/>
      <c r="AH55" s="78"/>
      <c r="AI55" s="3033"/>
      <c r="AJ55" s="3034"/>
      <c r="AK55" s="3034"/>
      <c r="AL55" s="3034"/>
      <c r="AM55" s="3034"/>
      <c r="AN55" s="3034"/>
      <c r="AO55" s="3034"/>
      <c r="AP55" s="3034"/>
      <c r="AQ55" s="3034"/>
      <c r="AR55" s="3034"/>
      <c r="AS55" s="3034"/>
      <c r="AT55" s="3034"/>
      <c r="AU55" s="3034"/>
      <c r="AV55" s="3034"/>
      <c r="AW55" s="3034"/>
      <c r="AX55" s="3034"/>
      <c r="AY55" s="3034"/>
      <c r="AZ55" s="494"/>
      <c r="BA55" s="3041"/>
      <c r="BB55" s="3042"/>
      <c r="BC55" s="3042"/>
      <c r="BD55" s="3043"/>
      <c r="BE55" s="3020"/>
      <c r="BF55" s="3019"/>
      <c r="BG55" s="2218"/>
      <c r="BH55" s="2219"/>
      <c r="BI55" s="2219"/>
      <c r="BJ55" s="2219"/>
      <c r="BK55" s="2220"/>
      <c r="BL55" s="566"/>
      <c r="BM55" s="78"/>
      <c r="BN55" s="2982"/>
      <c r="BO55" s="2983"/>
      <c r="BP55" s="2983"/>
      <c r="BQ55" s="2983"/>
      <c r="BR55" s="2983"/>
      <c r="BS55" s="2983"/>
      <c r="BT55" s="2983"/>
      <c r="BU55" s="2983"/>
      <c r="BV55" s="2983"/>
      <c r="BW55" s="2983"/>
      <c r="BX55" s="2983"/>
      <c r="BY55" s="2983"/>
      <c r="BZ55" s="2983"/>
      <c r="CA55" s="2983"/>
      <c r="CB55" s="2983"/>
      <c r="CC55" s="2983"/>
      <c r="CD55" s="2983"/>
      <c r="CE55" s="2983"/>
      <c r="CF55" s="2983"/>
      <c r="CG55" s="2983"/>
      <c r="CH55" s="2983"/>
      <c r="CI55" s="2983"/>
      <c r="CJ55" s="2983"/>
      <c r="CK55" s="2983"/>
      <c r="CL55" s="2983"/>
      <c r="CM55" s="2983"/>
      <c r="CN55" s="2983"/>
      <c r="CO55" s="2983"/>
      <c r="CP55" s="2983"/>
      <c r="CQ55" s="2983"/>
      <c r="CR55" s="2983"/>
      <c r="CS55" s="2983"/>
      <c r="CT55" s="2984"/>
    </row>
    <row r="56" spans="1:98" ht="6.75" customHeight="1">
      <c r="A56" s="76"/>
      <c r="B56" s="2774"/>
      <c r="C56" s="2775"/>
      <c r="D56" s="2775"/>
      <c r="E56" s="2775"/>
      <c r="F56" s="2775"/>
      <c r="G56" s="2775"/>
      <c r="H56" s="2775"/>
      <c r="I56" s="2775"/>
      <c r="J56" s="2775"/>
      <c r="K56" s="2775"/>
      <c r="L56" s="2775"/>
      <c r="M56" s="2775"/>
      <c r="N56" s="2775"/>
      <c r="O56" s="2775"/>
      <c r="P56" s="164"/>
      <c r="Q56" s="1865"/>
      <c r="R56" s="1866"/>
      <c r="S56" s="1866"/>
      <c r="T56" s="1866"/>
      <c r="U56" s="1867"/>
      <c r="V56" s="2949"/>
      <c r="W56" s="2949"/>
      <c r="X56" s="2949"/>
      <c r="Y56" s="2950"/>
      <c r="Z56" s="2990"/>
      <c r="AA56" s="2991"/>
      <c r="AB56" s="2991"/>
      <c r="AC56" s="2991"/>
      <c r="AD56" s="2991"/>
      <c r="AE56" s="2991"/>
      <c r="AF56" s="2991"/>
      <c r="AG56" s="2992"/>
      <c r="AH56" s="78"/>
      <c r="AI56" s="3033" t="s">
        <v>1134</v>
      </c>
      <c r="AJ56" s="3034"/>
      <c r="AK56" s="3034"/>
      <c r="AL56" s="3034"/>
      <c r="AM56" s="3034"/>
      <c r="AN56" s="3034"/>
      <c r="AO56" s="3034"/>
      <c r="AP56" s="3034"/>
      <c r="AQ56" s="3034"/>
      <c r="AR56" s="3034"/>
      <c r="AS56" s="3034"/>
      <c r="AT56" s="3034"/>
      <c r="AU56" s="3034"/>
      <c r="AV56" s="3034"/>
      <c r="AW56" s="3034"/>
      <c r="AX56" s="3034"/>
      <c r="AY56" s="3034"/>
      <c r="AZ56" s="494"/>
      <c r="BA56" s="3035"/>
      <c r="BB56" s="3036"/>
      <c r="BC56" s="3036"/>
      <c r="BD56" s="3037"/>
      <c r="BE56" s="3018"/>
      <c r="BF56" s="3019"/>
      <c r="BG56" s="3030">
        <f>(TOTAL_REPAIR_COSTS_WHOLESALE+BG47+BG50+BG53)*Wholesale_Calculator_Contingency</f>
        <v>0</v>
      </c>
      <c r="BH56" s="3031"/>
      <c r="BI56" s="3031"/>
      <c r="BJ56" s="3031"/>
      <c r="BK56" s="3032"/>
      <c r="BL56" s="566"/>
      <c r="BM56" s="78"/>
      <c r="BN56" s="2982"/>
      <c r="BO56" s="2983"/>
      <c r="BP56" s="2983"/>
      <c r="BQ56" s="2983"/>
      <c r="BR56" s="2983"/>
      <c r="BS56" s="2983"/>
      <c r="BT56" s="2983"/>
      <c r="BU56" s="2983"/>
      <c r="BV56" s="2983"/>
      <c r="BW56" s="2983"/>
      <c r="BX56" s="2983"/>
      <c r="BY56" s="2983"/>
      <c r="BZ56" s="2983"/>
      <c r="CA56" s="2983"/>
      <c r="CB56" s="2983"/>
      <c r="CC56" s="2983"/>
      <c r="CD56" s="2983"/>
      <c r="CE56" s="2983"/>
      <c r="CF56" s="2983"/>
      <c r="CG56" s="2983"/>
      <c r="CH56" s="2983"/>
      <c r="CI56" s="2983"/>
      <c r="CJ56" s="2983"/>
      <c r="CK56" s="2983"/>
      <c r="CL56" s="2983"/>
      <c r="CM56" s="2983"/>
      <c r="CN56" s="2983"/>
      <c r="CO56" s="2983"/>
      <c r="CP56" s="2983"/>
      <c r="CQ56" s="2983"/>
      <c r="CR56" s="2983"/>
      <c r="CS56" s="2983"/>
      <c r="CT56" s="2984"/>
    </row>
    <row r="57" spans="1:98" ht="6.75" customHeight="1">
      <c r="A57" s="76"/>
      <c r="B57" s="2774" t="s">
        <v>788</v>
      </c>
      <c r="C57" s="2775"/>
      <c r="D57" s="2775"/>
      <c r="E57" s="2775"/>
      <c r="F57" s="2775"/>
      <c r="G57" s="2775"/>
      <c r="H57" s="2775"/>
      <c r="I57" s="2775"/>
      <c r="J57" s="2775"/>
      <c r="K57" s="2775"/>
      <c r="L57" s="2775"/>
      <c r="M57" s="2775"/>
      <c r="N57" s="2775"/>
      <c r="O57" s="2775"/>
      <c r="P57" s="164"/>
      <c r="Q57" s="1862"/>
      <c r="R57" s="1863"/>
      <c r="S57" s="1863"/>
      <c r="T57" s="1863"/>
      <c r="U57" s="1864"/>
      <c r="V57" s="2949" t="s">
        <v>586</v>
      </c>
      <c r="W57" s="2949"/>
      <c r="X57" s="2949"/>
      <c r="Y57" s="2950"/>
      <c r="Z57" s="2823">
        <f>Q57*B7</f>
        <v>0</v>
      </c>
      <c r="AA57" s="2944"/>
      <c r="AB57" s="2944"/>
      <c r="AC57" s="2944"/>
      <c r="AD57" s="2944"/>
      <c r="AE57" s="2944"/>
      <c r="AF57" s="2944"/>
      <c r="AG57" s="2945"/>
      <c r="AH57" s="78"/>
      <c r="AI57" s="3033"/>
      <c r="AJ57" s="3034"/>
      <c r="AK57" s="3034"/>
      <c r="AL57" s="3034"/>
      <c r="AM57" s="3034"/>
      <c r="AN57" s="3034"/>
      <c r="AO57" s="3034"/>
      <c r="AP57" s="3034"/>
      <c r="AQ57" s="3034"/>
      <c r="AR57" s="3034"/>
      <c r="AS57" s="3034"/>
      <c r="AT57" s="3034"/>
      <c r="AU57" s="3034"/>
      <c r="AV57" s="3034"/>
      <c r="AW57" s="3034"/>
      <c r="AX57" s="3034"/>
      <c r="AY57" s="3034"/>
      <c r="AZ57" s="494"/>
      <c r="BA57" s="3038"/>
      <c r="BB57" s="3039"/>
      <c r="BC57" s="3039"/>
      <c r="BD57" s="3040"/>
      <c r="BE57" s="3020"/>
      <c r="BF57" s="3019"/>
      <c r="BG57" s="2126"/>
      <c r="BH57" s="2127"/>
      <c r="BI57" s="2127"/>
      <c r="BJ57" s="2127"/>
      <c r="BK57" s="2128"/>
      <c r="BL57" s="566"/>
      <c r="BM57" s="78"/>
      <c r="BN57" s="2982"/>
      <c r="BO57" s="2983"/>
      <c r="BP57" s="2983"/>
      <c r="BQ57" s="2983"/>
      <c r="BR57" s="2983"/>
      <c r="BS57" s="2983"/>
      <c r="BT57" s="2983"/>
      <c r="BU57" s="2983"/>
      <c r="BV57" s="2983"/>
      <c r="BW57" s="2983"/>
      <c r="BX57" s="2983"/>
      <c r="BY57" s="2983"/>
      <c r="BZ57" s="2983"/>
      <c r="CA57" s="2983"/>
      <c r="CB57" s="2983"/>
      <c r="CC57" s="2983"/>
      <c r="CD57" s="2983"/>
      <c r="CE57" s="2983"/>
      <c r="CF57" s="2983"/>
      <c r="CG57" s="2983"/>
      <c r="CH57" s="2983"/>
      <c r="CI57" s="2983"/>
      <c r="CJ57" s="2983"/>
      <c r="CK57" s="2983"/>
      <c r="CL57" s="2983"/>
      <c r="CM57" s="2983"/>
      <c r="CN57" s="2983"/>
      <c r="CO57" s="2983"/>
      <c r="CP57" s="2983"/>
      <c r="CQ57" s="2983"/>
      <c r="CR57" s="2983"/>
      <c r="CS57" s="2983"/>
      <c r="CT57" s="2984"/>
    </row>
    <row r="58" spans="1:98" ht="6.75" customHeight="1" thickBot="1">
      <c r="A58" s="76"/>
      <c r="B58" s="2774"/>
      <c r="C58" s="2775"/>
      <c r="D58" s="2775"/>
      <c r="E58" s="2775"/>
      <c r="F58" s="2775"/>
      <c r="G58" s="2775"/>
      <c r="H58" s="2775"/>
      <c r="I58" s="2775"/>
      <c r="J58" s="2775"/>
      <c r="K58" s="2775"/>
      <c r="L58" s="2775"/>
      <c r="M58" s="2775"/>
      <c r="N58" s="2775"/>
      <c r="O58" s="2775"/>
      <c r="P58" s="164"/>
      <c r="Q58" s="1865"/>
      <c r="R58" s="1866"/>
      <c r="S58" s="1866"/>
      <c r="T58" s="1866"/>
      <c r="U58" s="1867"/>
      <c r="V58" s="2949"/>
      <c r="W58" s="2949"/>
      <c r="X58" s="2949"/>
      <c r="Y58" s="2950"/>
      <c r="Z58" s="2946"/>
      <c r="AA58" s="2947"/>
      <c r="AB58" s="2947"/>
      <c r="AC58" s="2947"/>
      <c r="AD58" s="2947"/>
      <c r="AE58" s="2947"/>
      <c r="AF58" s="2947"/>
      <c r="AG58" s="2948"/>
      <c r="AH58" s="78"/>
      <c r="AI58" s="3033"/>
      <c r="AJ58" s="3034"/>
      <c r="AK58" s="3034"/>
      <c r="AL58" s="3034"/>
      <c r="AM58" s="3034"/>
      <c r="AN58" s="3034"/>
      <c r="AO58" s="3034"/>
      <c r="AP58" s="3034"/>
      <c r="AQ58" s="3034"/>
      <c r="AR58" s="3034"/>
      <c r="AS58" s="3034"/>
      <c r="AT58" s="3034"/>
      <c r="AU58" s="3034"/>
      <c r="AV58" s="3034"/>
      <c r="AW58" s="3034"/>
      <c r="AX58" s="3034"/>
      <c r="AY58" s="3034"/>
      <c r="AZ58" s="494"/>
      <c r="BA58" s="3054"/>
      <c r="BB58" s="3055"/>
      <c r="BC58" s="3055"/>
      <c r="BD58" s="3056"/>
      <c r="BE58" s="3020"/>
      <c r="BF58" s="3019"/>
      <c r="BG58" s="2129"/>
      <c r="BH58" s="2130"/>
      <c r="BI58" s="2130"/>
      <c r="BJ58" s="2130"/>
      <c r="BK58" s="2131"/>
      <c r="BL58" s="566"/>
      <c r="BM58" s="78"/>
      <c r="BN58" s="2982"/>
      <c r="BO58" s="2983"/>
      <c r="BP58" s="2983"/>
      <c r="BQ58" s="2983"/>
      <c r="BR58" s="2983"/>
      <c r="BS58" s="2983"/>
      <c r="BT58" s="2983"/>
      <c r="BU58" s="2983"/>
      <c r="BV58" s="2983"/>
      <c r="BW58" s="2983"/>
      <c r="BX58" s="2983"/>
      <c r="BY58" s="2983"/>
      <c r="BZ58" s="2983"/>
      <c r="CA58" s="2983"/>
      <c r="CB58" s="2983"/>
      <c r="CC58" s="2983"/>
      <c r="CD58" s="2983"/>
      <c r="CE58" s="2983"/>
      <c r="CF58" s="2983"/>
      <c r="CG58" s="2983"/>
      <c r="CH58" s="2983"/>
      <c r="CI58" s="2983"/>
      <c r="CJ58" s="2983"/>
      <c r="CK58" s="2983"/>
      <c r="CL58" s="2983"/>
      <c r="CM58" s="2983"/>
      <c r="CN58" s="2983"/>
      <c r="CO58" s="2983"/>
      <c r="CP58" s="2983"/>
      <c r="CQ58" s="2983"/>
      <c r="CR58" s="2983"/>
      <c r="CS58" s="2983"/>
      <c r="CT58" s="2984"/>
    </row>
    <row r="59" spans="1:98" ht="6.75" customHeight="1" thickTop="1">
      <c r="A59" s="76"/>
      <c r="B59" s="2774" t="s">
        <v>777</v>
      </c>
      <c r="C59" s="2775"/>
      <c r="D59" s="2775"/>
      <c r="E59" s="2775"/>
      <c r="F59" s="2775"/>
      <c r="G59" s="2775"/>
      <c r="H59" s="2775"/>
      <c r="I59" s="2775"/>
      <c r="J59" s="2775"/>
      <c r="K59" s="2775"/>
      <c r="L59" s="2775"/>
      <c r="M59" s="2775"/>
      <c r="N59" s="2775"/>
      <c r="O59" s="2775"/>
      <c r="P59" s="2775"/>
      <c r="Q59" s="2775"/>
      <c r="R59" s="2775"/>
      <c r="S59" s="2775"/>
      <c r="T59" s="2775"/>
      <c r="U59" s="2775"/>
      <c r="V59" s="2775"/>
      <c r="W59" s="2775"/>
      <c r="X59" s="2775"/>
      <c r="Y59" s="2775"/>
      <c r="Z59" s="1830"/>
      <c r="AA59" s="1831"/>
      <c r="AB59" s="1831"/>
      <c r="AC59" s="1831"/>
      <c r="AD59" s="1831"/>
      <c r="AE59" s="1831"/>
      <c r="AF59" s="1831"/>
      <c r="AG59" s="1832"/>
      <c r="AH59" s="78"/>
      <c r="AI59" s="3057" t="s">
        <v>1133</v>
      </c>
      <c r="AJ59" s="2124"/>
      <c r="AK59" s="2124"/>
      <c r="AL59" s="2124"/>
      <c r="AM59" s="2124"/>
      <c r="AN59" s="2124"/>
      <c r="AO59" s="2124"/>
      <c r="AP59" s="2124"/>
      <c r="AQ59" s="2124"/>
      <c r="AR59" s="2124"/>
      <c r="AS59" s="2124"/>
      <c r="AT59" s="2124"/>
      <c r="AU59" s="2124"/>
      <c r="AV59" s="2124"/>
      <c r="AW59" s="2124"/>
      <c r="AX59" s="2124"/>
      <c r="AY59" s="2124"/>
      <c r="AZ59" s="2125"/>
      <c r="BA59" s="1888">
        <f>IFERROR(BG59/ESTIMATE_SUBTOTAL,0)</f>
        <v>0</v>
      </c>
      <c r="BB59" s="1889"/>
      <c r="BC59" s="1889"/>
      <c r="BD59" s="1890"/>
      <c r="BE59" s="507"/>
      <c r="BF59" s="508"/>
      <c r="BG59" s="2126">
        <f>SUM(BG47:BK58)</f>
        <v>0</v>
      </c>
      <c r="BH59" s="2127"/>
      <c r="BI59" s="2127"/>
      <c r="BJ59" s="2127"/>
      <c r="BK59" s="2128"/>
      <c r="BL59" s="567"/>
      <c r="BM59" s="78"/>
      <c r="BN59" s="2982"/>
      <c r="BO59" s="2983"/>
      <c r="BP59" s="2983"/>
      <c r="BQ59" s="2983"/>
      <c r="BR59" s="2983"/>
      <c r="BS59" s="2983"/>
      <c r="BT59" s="2983"/>
      <c r="BU59" s="2983"/>
      <c r="BV59" s="2983"/>
      <c r="BW59" s="2983"/>
      <c r="BX59" s="2983"/>
      <c r="BY59" s="2983"/>
      <c r="BZ59" s="2983"/>
      <c r="CA59" s="2983"/>
      <c r="CB59" s="2983"/>
      <c r="CC59" s="2983"/>
      <c r="CD59" s="2983"/>
      <c r="CE59" s="2983"/>
      <c r="CF59" s="2983"/>
      <c r="CG59" s="2983"/>
      <c r="CH59" s="2983"/>
      <c r="CI59" s="2983"/>
      <c r="CJ59" s="2983"/>
      <c r="CK59" s="2983"/>
      <c r="CL59" s="2983"/>
      <c r="CM59" s="2983"/>
      <c r="CN59" s="2983"/>
      <c r="CO59" s="2983"/>
      <c r="CP59" s="2983"/>
      <c r="CQ59" s="2983"/>
      <c r="CR59" s="2983"/>
      <c r="CS59" s="2983"/>
      <c r="CT59" s="2984"/>
    </row>
    <row r="60" spans="1:98" ht="6.75" customHeight="1" thickBot="1">
      <c r="A60" s="76"/>
      <c r="B60" s="2774"/>
      <c r="C60" s="2775"/>
      <c r="D60" s="2775"/>
      <c r="E60" s="2775"/>
      <c r="F60" s="2775"/>
      <c r="G60" s="2775"/>
      <c r="H60" s="2775"/>
      <c r="I60" s="2775"/>
      <c r="J60" s="2775"/>
      <c r="K60" s="2775"/>
      <c r="L60" s="2775"/>
      <c r="M60" s="2775"/>
      <c r="N60" s="2775"/>
      <c r="O60" s="2775"/>
      <c r="P60" s="2775"/>
      <c r="Q60" s="2775"/>
      <c r="R60" s="2775"/>
      <c r="S60" s="2775"/>
      <c r="T60" s="2775"/>
      <c r="U60" s="2775"/>
      <c r="V60" s="2775"/>
      <c r="W60" s="2775"/>
      <c r="X60" s="2775"/>
      <c r="Y60" s="2775"/>
      <c r="Z60" s="1833"/>
      <c r="AA60" s="1834"/>
      <c r="AB60" s="1834"/>
      <c r="AC60" s="1834"/>
      <c r="AD60" s="1834"/>
      <c r="AE60" s="1834"/>
      <c r="AF60" s="1834"/>
      <c r="AG60" s="1835"/>
      <c r="AH60" s="78"/>
      <c r="AI60" s="3057"/>
      <c r="AJ60" s="2124"/>
      <c r="AK60" s="2124"/>
      <c r="AL60" s="2124"/>
      <c r="AM60" s="2124"/>
      <c r="AN60" s="2124"/>
      <c r="AO60" s="2124"/>
      <c r="AP60" s="2124"/>
      <c r="AQ60" s="2124"/>
      <c r="AR60" s="2124"/>
      <c r="AS60" s="2124"/>
      <c r="AT60" s="2124"/>
      <c r="AU60" s="2124"/>
      <c r="AV60" s="2124"/>
      <c r="AW60" s="2124"/>
      <c r="AX60" s="2124"/>
      <c r="AY60" s="2124"/>
      <c r="AZ60" s="2125"/>
      <c r="BA60" s="1888"/>
      <c r="BB60" s="1889"/>
      <c r="BC60" s="1889"/>
      <c r="BD60" s="1890"/>
      <c r="BE60" s="507"/>
      <c r="BF60" s="508"/>
      <c r="BG60" s="2126"/>
      <c r="BH60" s="2127"/>
      <c r="BI60" s="2127"/>
      <c r="BJ60" s="2127"/>
      <c r="BK60" s="2128"/>
      <c r="BL60" s="567"/>
      <c r="BM60" s="78"/>
      <c r="BN60" s="2985"/>
      <c r="BO60" s="2986"/>
      <c r="BP60" s="2986"/>
      <c r="BQ60" s="2986"/>
      <c r="BR60" s="2986"/>
      <c r="BS60" s="2986"/>
      <c r="BT60" s="2986"/>
      <c r="BU60" s="2986"/>
      <c r="BV60" s="2986"/>
      <c r="BW60" s="2986"/>
      <c r="BX60" s="2986"/>
      <c r="BY60" s="2986"/>
      <c r="BZ60" s="2986"/>
      <c r="CA60" s="2986"/>
      <c r="CB60" s="2986"/>
      <c r="CC60" s="2986"/>
      <c r="CD60" s="2986"/>
      <c r="CE60" s="2986"/>
      <c r="CF60" s="2986"/>
      <c r="CG60" s="2986"/>
      <c r="CH60" s="2986"/>
      <c r="CI60" s="2986"/>
      <c r="CJ60" s="2986"/>
      <c r="CK60" s="2986"/>
      <c r="CL60" s="2986"/>
      <c r="CM60" s="2986"/>
      <c r="CN60" s="2986"/>
      <c r="CO60" s="2986"/>
      <c r="CP60" s="2986"/>
      <c r="CQ60" s="2986"/>
      <c r="CR60" s="2986"/>
      <c r="CS60" s="2986"/>
      <c r="CT60" s="2987"/>
    </row>
    <row r="61" spans="1:98" ht="6.75" customHeight="1">
      <c r="A61" s="76"/>
      <c r="B61" s="2774" t="s">
        <v>789</v>
      </c>
      <c r="C61" s="2775"/>
      <c r="D61" s="2775"/>
      <c r="E61" s="2775"/>
      <c r="F61" s="2775"/>
      <c r="G61" s="2775"/>
      <c r="H61" s="2775"/>
      <c r="I61" s="2775"/>
      <c r="J61" s="2775"/>
      <c r="K61" s="2775"/>
      <c r="L61" s="2775"/>
      <c r="M61" s="2775"/>
      <c r="N61" s="2775"/>
      <c r="O61" s="2775"/>
      <c r="P61" s="2775"/>
      <c r="Q61" s="2775"/>
      <c r="R61" s="2775"/>
      <c r="S61" s="2775"/>
      <c r="T61" s="2775"/>
      <c r="U61" s="2775"/>
      <c r="V61" s="2775"/>
      <c r="W61" s="2775"/>
      <c r="X61" s="2775"/>
      <c r="Y61" s="2775"/>
      <c r="Z61" s="1830"/>
      <c r="AA61" s="1831"/>
      <c r="AB61" s="1831"/>
      <c r="AC61" s="1831"/>
      <c r="AD61" s="1831"/>
      <c r="AE61" s="1831"/>
      <c r="AF61" s="1831"/>
      <c r="AG61" s="1832"/>
      <c r="AH61" s="78"/>
      <c r="AI61" s="3057"/>
      <c r="AJ61" s="2124"/>
      <c r="AK61" s="2124"/>
      <c r="AL61" s="2124"/>
      <c r="AM61" s="2124"/>
      <c r="AN61" s="2124"/>
      <c r="AO61" s="2124"/>
      <c r="AP61" s="2124"/>
      <c r="AQ61" s="2124"/>
      <c r="AR61" s="2124"/>
      <c r="AS61" s="2124"/>
      <c r="AT61" s="2124"/>
      <c r="AU61" s="2124"/>
      <c r="AV61" s="2124"/>
      <c r="AW61" s="2124"/>
      <c r="AX61" s="2124"/>
      <c r="AY61" s="2124"/>
      <c r="AZ61" s="2125"/>
      <c r="BA61" s="1891"/>
      <c r="BB61" s="1892"/>
      <c r="BC61" s="1892"/>
      <c r="BD61" s="1893"/>
      <c r="BE61" s="507"/>
      <c r="BF61" s="508"/>
      <c r="BG61" s="2218"/>
      <c r="BH61" s="2219"/>
      <c r="BI61" s="2219"/>
      <c r="BJ61" s="2219"/>
      <c r="BK61" s="2220"/>
      <c r="BL61" s="567"/>
      <c r="BM61" s="78"/>
      <c r="BN61" s="3070" t="s">
        <v>587</v>
      </c>
      <c r="BO61" s="3071"/>
      <c r="BP61" s="3071"/>
      <c r="BQ61" s="3071"/>
      <c r="BR61" s="3071"/>
      <c r="BS61" s="3071"/>
      <c r="BT61" s="3071"/>
      <c r="BU61" s="3071"/>
      <c r="BV61" s="3071"/>
      <c r="BW61" s="3071"/>
      <c r="BX61" s="3071"/>
      <c r="BY61" s="3071"/>
      <c r="BZ61" s="3071"/>
      <c r="CA61" s="3071"/>
      <c r="CB61" s="3071"/>
      <c r="CC61" s="3071"/>
      <c r="CD61" s="3071"/>
      <c r="CE61" s="3071"/>
      <c r="CF61" s="3071"/>
      <c r="CG61" s="3071"/>
      <c r="CH61" s="3071"/>
      <c r="CI61" s="3071"/>
      <c r="CJ61" s="3071"/>
      <c r="CK61" s="3071"/>
      <c r="CL61" s="3071"/>
      <c r="CM61" s="3071"/>
      <c r="CN61" s="3071"/>
      <c r="CO61" s="3071"/>
      <c r="CP61" s="3071"/>
      <c r="CQ61" s="3071"/>
      <c r="CR61" s="3071"/>
      <c r="CS61" s="3071"/>
      <c r="CT61" s="3072"/>
    </row>
    <row r="62" spans="1:98" ht="6.75" customHeight="1">
      <c r="A62" s="76"/>
      <c r="B62" s="2774"/>
      <c r="C62" s="2775"/>
      <c r="D62" s="2775"/>
      <c r="E62" s="2775"/>
      <c r="F62" s="2775"/>
      <c r="G62" s="2775"/>
      <c r="H62" s="2775"/>
      <c r="I62" s="2775"/>
      <c r="J62" s="2775"/>
      <c r="K62" s="2775"/>
      <c r="L62" s="2775"/>
      <c r="M62" s="2775"/>
      <c r="N62" s="2775"/>
      <c r="O62" s="2775"/>
      <c r="P62" s="2775"/>
      <c r="Q62" s="2775"/>
      <c r="R62" s="2775"/>
      <c r="S62" s="2775"/>
      <c r="T62" s="2775"/>
      <c r="U62" s="2775"/>
      <c r="V62" s="2775"/>
      <c r="W62" s="2775"/>
      <c r="X62" s="2775"/>
      <c r="Y62" s="2775"/>
      <c r="Z62" s="1833"/>
      <c r="AA62" s="1834"/>
      <c r="AB62" s="1834"/>
      <c r="AC62" s="1834"/>
      <c r="AD62" s="1834"/>
      <c r="AE62" s="1834"/>
      <c r="AF62" s="1834"/>
      <c r="AG62" s="1835"/>
      <c r="AH62" s="78"/>
      <c r="AI62" s="568"/>
      <c r="AJ62" s="429"/>
      <c r="AK62" s="429"/>
      <c r="AL62" s="504"/>
      <c r="AM62" s="504"/>
      <c r="AN62" s="504"/>
      <c r="AO62" s="504"/>
      <c r="AP62" s="504"/>
      <c r="AQ62" s="504"/>
      <c r="AR62" s="504"/>
      <c r="AS62" s="504"/>
      <c r="AT62" s="429"/>
      <c r="AU62" s="429"/>
      <c r="AV62" s="429"/>
      <c r="AW62" s="429"/>
      <c r="AX62" s="429"/>
      <c r="AY62" s="429"/>
      <c r="AZ62" s="429"/>
      <c r="BA62" s="429"/>
      <c r="BB62" s="429"/>
      <c r="BC62" s="429"/>
      <c r="BD62" s="429"/>
      <c r="BE62" s="429"/>
      <c r="BF62" s="429"/>
      <c r="BG62" s="429"/>
      <c r="BH62" s="429"/>
      <c r="BI62" s="429"/>
      <c r="BJ62" s="429"/>
      <c r="BK62" s="429"/>
      <c r="BL62" s="567"/>
      <c r="BM62" s="78"/>
      <c r="BN62" s="3070"/>
      <c r="BO62" s="3071"/>
      <c r="BP62" s="3071"/>
      <c r="BQ62" s="3071"/>
      <c r="BR62" s="3071"/>
      <c r="BS62" s="3071"/>
      <c r="BT62" s="3071"/>
      <c r="BU62" s="3071"/>
      <c r="BV62" s="3071"/>
      <c r="BW62" s="3071"/>
      <c r="BX62" s="3071"/>
      <c r="BY62" s="3071"/>
      <c r="BZ62" s="3071"/>
      <c r="CA62" s="3071"/>
      <c r="CB62" s="3071"/>
      <c r="CC62" s="3071"/>
      <c r="CD62" s="3071"/>
      <c r="CE62" s="3071"/>
      <c r="CF62" s="3071"/>
      <c r="CG62" s="3071"/>
      <c r="CH62" s="3071"/>
      <c r="CI62" s="3071"/>
      <c r="CJ62" s="3071"/>
      <c r="CK62" s="3071"/>
      <c r="CL62" s="3071"/>
      <c r="CM62" s="3071"/>
      <c r="CN62" s="3071"/>
      <c r="CO62" s="3071"/>
      <c r="CP62" s="3071"/>
      <c r="CQ62" s="3071"/>
      <c r="CR62" s="3071"/>
      <c r="CS62" s="3071"/>
      <c r="CT62" s="3072"/>
    </row>
    <row r="63" spans="1:98" ht="6.75" customHeight="1" thickBot="1">
      <c r="A63" s="76"/>
      <c r="B63" s="2774" t="s">
        <v>799</v>
      </c>
      <c r="C63" s="2775"/>
      <c r="D63" s="2775"/>
      <c r="E63" s="2775"/>
      <c r="F63" s="2775"/>
      <c r="G63" s="2775"/>
      <c r="H63" s="2775"/>
      <c r="I63" s="2775"/>
      <c r="J63" s="2775"/>
      <c r="K63" s="2775"/>
      <c r="L63" s="2775"/>
      <c r="M63" s="2775"/>
      <c r="N63" s="2775"/>
      <c r="O63" s="2775"/>
      <c r="P63" s="2775"/>
      <c r="Q63" s="2775"/>
      <c r="R63" s="2775"/>
      <c r="S63" s="2775"/>
      <c r="T63" s="2775"/>
      <c r="U63" s="2775"/>
      <c r="V63" s="2775"/>
      <c r="W63" s="2775"/>
      <c r="X63" s="2775"/>
      <c r="Y63" s="2775"/>
      <c r="Z63" s="1830"/>
      <c r="AA63" s="1831"/>
      <c r="AB63" s="1831"/>
      <c r="AC63" s="1831"/>
      <c r="AD63" s="1831"/>
      <c r="AE63" s="1831"/>
      <c r="AF63" s="1831"/>
      <c r="AG63" s="1832"/>
      <c r="AH63" s="78"/>
      <c r="AI63" s="568"/>
      <c r="AJ63" s="429"/>
      <c r="AK63" s="429"/>
      <c r="AL63" s="504"/>
      <c r="AM63" s="504"/>
      <c r="AN63" s="504"/>
      <c r="AO63" s="504"/>
      <c r="AP63" s="504"/>
      <c r="AQ63" s="504"/>
      <c r="AR63" s="504"/>
      <c r="AS63" s="504"/>
      <c r="AT63" s="429"/>
      <c r="AU63" s="429"/>
      <c r="AV63" s="429"/>
      <c r="AW63" s="429"/>
      <c r="AX63" s="429"/>
      <c r="AY63" s="429"/>
      <c r="AZ63" s="429"/>
      <c r="BA63" s="429"/>
      <c r="BB63" s="429"/>
      <c r="BC63" s="429"/>
      <c r="BD63" s="429"/>
      <c r="BE63" s="429"/>
      <c r="BF63" s="429"/>
      <c r="BG63" s="430"/>
      <c r="BH63" s="430"/>
      <c r="BI63" s="430"/>
      <c r="BJ63" s="430"/>
      <c r="BK63" s="430"/>
      <c r="BL63" s="567"/>
      <c r="BM63" s="78"/>
      <c r="BN63" s="3073"/>
      <c r="BO63" s="3074"/>
      <c r="BP63" s="3074"/>
      <c r="BQ63" s="3074"/>
      <c r="BR63" s="3074"/>
      <c r="BS63" s="3074"/>
      <c r="BT63" s="3074"/>
      <c r="BU63" s="3074"/>
      <c r="BV63" s="3074"/>
      <c r="BW63" s="3074"/>
      <c r="BX63" s="3074"/>
      <c r="BY63" s="3074"/>
      <c r="BZ63" s="3074"/>
      <c r="CA63" s="3074"/>
      <c r="CB63" s="3074"/>
      <c r="CC63" s="3074"/>
      <c r="CD63" s="3074"/>
      <c r="CE63" s="3074"/>
      <c r="CF63" s="3074"/>
      <c r="CG63" s="3074"/>
      <c r="CH63" s="3074"/>
      <c r="CI63" s="3074"/>
      <c r="CJ63" s="3074"/>
      <c r="CK63" s="3074"/>
      <c r="CL63" s="3074"/>
      <c r="CM63" s="3074"/>
      <c r="CN63" s="3074"/>
      <c r="CO63" s="3074"/>
      <c r="CP63" s="3074"/>
      <c r="CQ63" s="3074"/>
      <c r="CR63" s="3074"/>
      <c r="CS63" s="3074"/>
      <c r="CT63" s="3075"/>
    </row>
    <row r="64" spans="1:98" ht="6.75" customHeight="1">
      <c r="A64" s="76"/>
      <c r="B64" s="2774"/>
      <c r="C64" s="2775"/>
      <c r="D64" s="2775"/>
      <c r="E64" s="2775"/>
      <c r="F64" s="2775"/>
      <c r="G64" s="2775"/>
      <c r="H64" s="2775"/>
      <c r="I64" s="2775"/>
      <c r="J64" s="2775"/>
      <c r="K64" s="2775"/>
      <c r="L64" s="2775"/>
      <c r="M64" s="2775"/>
      <c r="N64" s="2775"/>
      <c r="O64" s="2775"/>
      <c r="P64" s="2775"/>
      <c r="Q64" s="2775"/>
      <c r="R64" s="2775"/>
      <c r="S64" s="2775"/>
      <c r="T64" s="2775"/>
      <c r="U64" s="2775"/>
      <c r="V64" s="2775"/>
      <c r="W64" s="2775"/>
      <c r="X64" s="2775"/>
      <c r="Y64" s="2775"/>
      <c r="Z64" s="1833"/>
      <c r="AA64" s="1834"/>
      <c r="AB64" s="1834"/>
      <c r="AC64" s="1834"/>
      <c r="AD64" s="1834"/>
      <c r="AE64" s="1834"/>
      <c r="AF64" s="1834"/>
      <c r="AG64" s="1835"/>
      <c r="AH64" s="78"/>
      <c r="AI64" s="565"/>
      <c r="AJ64" s="504"/>
      <c r="AK64" s="504"/>
      <c r="AL64" s="504"/>
      <c r="AM64" s="504"/>
      <c r="AN64" s="504"/>
      <c r="AO64" s="504"/>
      <c r="AP64" s="504"/>
      <c r="AQ64" s="504"/>
      <c r="AR64" s="504"/>
      <c r="AS64" s="504"/>
      <c r="AT64" s="504"/>
      <c r="AU64" s="2124" t="s">
        <v>1136</v>
      </c>
      <c r="AV64" s="2124"/>
      <c r="AW64" s="2124"/>
      <c r="AX64" s="2124"/>
      <c r="AY64" s="2124"/>
      <c r="AZ64" s="2124"/>
      <c r="BA64" s="2124"/>
      <c r="BB64" s="2124"/>
      <c r="BC64" s="2124"/>
      <c r="BD64" s="2124"/>
      <c r="BE64" s="2124"/>
      <c r="BF64" s="2125"/>
      <c r="BG64" s="2126">
        <f>TOTAL_REPAIR_COSTS_WHOLESALE</f>
        <v>50000</v>
      </c>
      <c r="BH64" s="2127"/>
      <c r="BI64" s="2127"/>
      <c r="BJ64" s="2127"/>
      <c r="BK64" s="2128"/>
      <c r="BL64" s="566"/>
      <c r="BM64" s="78"/>
      <c r="BN64" s="2973">
        <v>0</v>
      </c>
      <c r="BO64" s="2974"/>
      <c r="BP64" s="2974"/>
      <c r="BQ64" s="2974"/>
      <c r="BR64" s="2974"/>
      <c r="BS64" s="2974"/>
      <c r="BT64" s="2974"/>
      <c r="BU64" s="2974"/>
      <c r="BV64" s="2974"/>
      <c r="BW64" s="2974"/>
      <c r="BX64" s="2974"/>
      <c r="BY64" s="2974"/>
      <c r="BZ64" s="2974"/>
      <c r="CA64" s="2974"/>
      <c r="CB64" s="2974"/>
      <c r="CC64" s="2974"/>
      <c r="CD64" s="2974"/>
      <c r="CE64" s="2974"/>
      <c r="CF64" s="2974"/>
      <c r="CG64" s="2974"/>
      <c r="CH64" s="2974"/>
      <c r="CI64" s="2974"/>
      <c r="CJ64" s="2974"/>
      <c r="CK64" s="2974"/>
      <c r="CL64" s="2974"/>
      <c r="CM64" s="2974"/>
      <c r="CN64" s="2974"/>
      <c r="CO64" s="2974"/>
      <c r="CP64" s="2974"/>
      <c r="CQ64" s="2974"/>
      <c r="CR64" s="2974"/>
      <c r="CS64" s="2974"/>
      <c r="CT64" s="2975"/>
    </row>
    <row r="65" spans="1:98" ht="6.75" customHeight="1">
      <c r="A65" s="76"/>
      <c r="B65" s="2774" t="s">
        <v>790</v>
      </c>
      <c r="C65" s="2775"/>
      <c r="D65" s="2775"/>
      <c r="E65" s="2775"/>
      <c r="F65" s="2775"/>
      <c r="G65" s="2775"/>
      <c r="H65" s="2775"/>
      <c r="I65" s="2775"/>
      <c r="J65" s="2775"/>
      <c r="K65" s="2775"/>
      <c r="L65" s="2775"/>
      <c r="M65" s="2775"/>
      <c r="N65" s="2775"/>
      <c r="O65" s="2775"/>
      <c r="P65" s="2775"/>
      <c r="Q65" s="2775"/>
      <c r="R65" s="2775"/>
      <c r="S65" s="2775"/>
      <c r="T65" s="2775"/>
      <c r="U65" s="2775"/>
      <c r="V65" s="2775"/>
      <c r="W65" s="2775"/>
      <c r="X65" s="2775"/>
      <c r="Y65" s="2775"/>
      <c r="Z65" s="1830"/>
      <c r="AA65" s="1831"/>
      <c r="AB65" s="1831"/>
      <c r="AC65" s="1831"/>
      <c r="AD65" s="1831"/>
      <c r="AE65" s="1831"/>
      <c r="AF65" s="1831"/>
      <c r="AG65" s="1832"/>
      <c r="AH65" s="78"/>
      <c r="AI65" s="565"/>
      <c r="AJ65" s="504"/>
      <c r="AK65" s="504"/>
      <c r="AL65" s="504"/>
      <c r="AM65" s="429"/>
      <c r="AN65" s="429"/>
      <c r="AO65" s="429"/>
      <c r="AP65" s="429"/>
      <c r="AQ65" s="429"/>
      <c r="AR65" s="429"/>
      <c r="AS65" s="429"/>
      <c r="AT65" s="429"/>
      <c r="AU65" s="2124"/>
      <c r="AV65" s="2124"/>
      <c r="AW65" s="2124"/>
      <c r="AX65" s="2124"/>
      <c r="AY65" s="2124"/>
      <c r="AZ65" s="2124"/>
      <c r="BA65" s="2124"/>
      <c r="BB65" s="2124"/>
      <c r="BC65" s="2124"/>
      <c r="BD65" s="2124"/>
      <c r="BE65" s="2124"/>
      <c r="BF65" s="2125"/>
      <c r="BG65" s="2126"/>
      <c r="BH65" s="2127"/>
      <c r="BI65" s="2127"/>
      <c r="BJ65" s="2127"/>
      <c r="BK65" s="2128"/>
      <c r="BL65" s="566"/>
      <c r="BM65" s="78"/>
      <c r="BN65" s="2973"/>
      <c r="BO65" s="2974"/>
      <c r="BP65" s="2974"/>
      <c r="BQ65" s="2974"/>
      <c r="BR65" s="2974"/>
      <c r="BS65" s="2974"/>
      <c r="BT65" s="2974"/>
      <c r="BU65" s="2974"/>
      <c r="BV65" s="2974"/>
      <c r="BW65" s="2974"/>
      <c r="BX65" s="2974"/>
      <c r="BY65" s="2974"/>
      <c r="BZ65" s="2974"/>
      <c r="CA65" s="2974"/>
      <c r="CB65" s="2974"/>
      <c r="CC65" s="2974"/>
      <c r="CD65" s="2974"/>
      <c r="CE65" s="2974"/>
      <c r="CF65" s="2974"/>
      <c r="CG65" s="2974"/>
      <c r="CH65" s="2974"/>
      <c r="CI65" s="2974"/>
      <c r="CJ65" s="2974"/>
      <c r="CK65" s="2974"/>
      <c r="CL65" s="2974"/>
      <c r="CM65" s="2974"/>
      <c r="CN65" s="2974"/>
      <c r="CO65" s="2974"/>
      <c r="CP65" s="2974"/>
      <c r="CQ65" s="2974"/>
      <c r="CR65" s="2974"/>
      <c r="CS65" s="2974"/>
      <c r="CT65" s="2975"/>
    </row>
    <row r="66" spans="1:98" ht="6.75" customHeight="1" thickBot="1">
      <c r="A66" s="76"/>
      <c r="B66" s="2774"/>
      <c r="C66" s="2775"/>
      <c r="D66" s="2775"/>
      <c r="E66" s="2775"/>
      <c r="F66" s="2775"/>
      <c r="G66" s="2775"/>
      <c r="H66" s="2775"/>
      <c r="I66" s="2775"/>
      <c r="J66" s="2775"/>
      <c r="K66" s="2775"/>
      <c r="L66" s="2775"/>
      <c r="M66" s="2775"/>
      <c r="N66" s="2775"/>
      <c r="O66" s="2775"/>
      <c r="P66" s="2775"/>
      <c r="Q66" s="2775"/>
      <c r="R66" s="2775"/>
      <c r="S66" s="2775"/>
      <c r="T66" s="2775"/>
      <c r="U66" s="2775"/>
      <c r="V66" s="2775"/>
      <c r="W66" s="2775"/>
      <c r="X66" s="2775"/>
      <c r="Y66" s="2775"/>
      <c r="Z66" s="1833"/>
      <c r="AA66" s="1834"/>
      <c r="AB66" s="1834"/>
      <c r="AC66" s="1834"/>
      <c r="AD66" s="1834"/>
      <c r="AE66" s="1834"/>
      <c r="AF66" s="1834"/>
      <c r="AG66" s="1835"/>
      <c r="AH66" s="78"/>
      <c r="AI66" s="565"/>
      <c r="AJ66" s="504"/>
      <c r="AK66" s="504"/>
      <c r="AL66" s="504"/>
      <c r="AM66" s="504"/>
      <c r="AN66" s="504"/>
      <c r="AO66" s="504"/>
      <c r="AP66" s="504"/>
      <c r="AQ66" s="504"/>
      <c r="AR66" s="504"/>
      <c r="AS66" s="504"/>
      <c r="AT66" s="504"/>
      <c r="AU66" s="2124"/>
      <c r="AV66" s="2124"/>
      <c r="AW66" s="2124"/>
      <c r="AX66" s="2124"/>
      <c r="AY66" s="2124"/>
      <c r="AZ66" s="2124"/>
      <c r="BA66" s="2124"/>
      <c r="BB66" s="2124"/>
      <c r="BC66" s="2124"/>
      <c r="BD66" s="2124"/>
      <c r="BE66" s="2124"/>
      <c r="BF66" s="2125"/>
      <c r="BG66" s="2129"/>
      <c r="BH66" s="2130"/>
      <c r="BI66" s="2130"/>
      <c r="BJ66" s="2130"/>
      <c r="BK66" s="2131"/>
      <c r="BL66" s="566"/>
      <c r="BM66" s="78"/>
      <c r="BN66" s="2973"/>
      <c r="BO66" s="2974"/>
      <c r="BP66" s="2974"/>
      <c r="BQ66" s="2974"/>
      <c r="BR66" s="2974"/>
      <c r="BS66" s="2974"/>
      <c r="BT66" s="2974"/>
      <c r="BU66" s="2974"/>
      <c r="BV66" s="2974"/>
      <c r="BW66" s="2974"/>
      <c r="BX66" s="2974"/>
      <c r="BY66" s="2974"/>
      <c r="BZ66" s="2974"/>
      <c r="CA66" s="2974"/>
      <c r="CB66" s="2974"/>
      <c r="CC66" s="2974"/>
      <c r="CD66" s="2974"/>
      <c r="CE66" s="2974"/>
      <c r="CF66" s="2974"/>
      <c r="CG66" s="2974"/>
      <c r="CH66" s="2974"/>
      <c r="CI66" s="2974"/>
      <c r="CJ66" s="2974"/>
      <c r="CK66" s="2974"/>
      <c r="CL66" s="2974"/>
      <c r="CM66" s="2974"/>
      <c r="CN66" s="2974"/>
      <c r="CO66" s="2974"/>
      <c r="CP66" s="2974"/>
      <c r="CQ66" s="2974"/>
      <c r="CR66" s="2974"/>
      <c r="CS66" s="2974"/>
      <c r="CT66" s="2975"/>
    </row>
    <row r="67" spans="1:98" ht="6.75" customHeight="1" thickTop="1">
      <c r="A67" s="76"/>
      <c r="B67" s="2774" t="s">
        <v>524</v>
      </c>
      <c r="C67" s="2775"/>
      <c r="D67" s="2775"/>
      <c r="E67" s="2775"/>
      <c r="F67" s="2775"/>
      <c r="G67" s="2775"/>
      <c r="H67" s="2775"/>
      <c r="I67" s="2775"/>
      <c r="J67" s="2775"/>
      <c r="K67" s="2775"/>
      <c r="L67" s="2775"/>
      <c r="M67" s="2775"/>
      <c r="N67" s="2775"/>
      <c r="O67" s="2775"/>
      <c r="P67" s="2775"/>
      <c r="Q67" s="2775"/>
      <c r="R67" s="2775"/>
      <c r="S67" s="2775"/>
      <c r="T67" s="2775"/>
      <c r="U67" s="2775"/>
      <c r="V67" s="2775"/>
      <c r="W67" s="2775"/>
      <c r="X67" s="2775"/>
      <c r="Y67" s="2775"/>
      <c r="Z67" s="1830"/>
      <c r="AA67" s="1831"/>
      <c r="AB67" s="1831"/>
      <c r="AC67" s="1831"/>
      <c r="AD67" s="1831"/>
      <c r="AE67" s="1831"/>
      <c r="AF67" s="1831"/>
      <c r="AG67" s="1832"/>
      <c r="AH67" s="78"/>
      <c r="AI67" s="565"/>
      <c r="AJ67" s="504"/>
      <c r="AK67" s="504"/>
      <c r="AL67" s="504"/>
      <c r="AM67" s="504"/>
      <c r="AN67" s="504"/>
      <c r="AO67" s="504"/>
      <c r="AP67" s="504"/>
      <c r="AQ67" s="504"/>
      <c r="AR67" s="504"/>
      <c r="AS67" s="504"/>
      <c r="AT67" s="504"/>
      <c r="AU67" s="504"/>
      <c r="AV67" s="2124" t="s">
        <v>993</v>
      </c>
      <c r="AW67" s="2124"/>
      <c r="AX67" s="2124"/>
      <c r="AY67" s="2124"/>
      <c r="AZ67" s="2124"/>
      <c r="BA67" s="2124"/>
      <c r="BB67" s="2124"/>
      <c r="BC67" s="2124"/>
      <c r="BD67" s="2124"/>
      <c r="BE67" s="2124"/>
      <c r="BF67" s="2125"/>
      <c r="BG67" s="2126">
        <f>BG59+BG64</f>
        <v>50000</v>
      </c>
      <c r="BH67" s="2127"/>
      <c r="BI67" s="2127"/>
      <c r="BJ67" s="2127"/>
      <c r="BK67" s="2128"/>
      <c r="BL67" s="566"/>
      <c r="BM67" s="78"/>
      <c r="BN67" s="2973"/>
      <c r="BO67" s="2974"/>
      <c r="BP67" s="2974"/>
      <c r="BQ67" s="2974"/>
      <c r="BR67" s="2974"/>
      <c r="BS67" s="2974"/>
      <c r="BT67" s="2974"/>
      <c r="BU67" s="2974"/>
      <c r="BV67" s="2974"/>
      <c r="BW67" s="2974"/>
      <c r="BX67" s="2974"/>
      <c r="BY67" s="2974"/>
      <c r="BZ67" s="2974"/>
      <c r="CA67" s="2974"/>
      <c r="CB67" s="2974"/>
      <c r="CC67" s="2974"/>
      <c r="CD67" s="2974"/>
      <c r="CE67" s="2974"/>
      <c r="CF67" s="2974"/>
      <c r="CG67" s="2974"/>
      <c r="CH67" s="2974"/>
      <c r="CI67" s="2974"/>
      <c r="CJ67" s="2974"/>
      <c r="CK67" s="2974"/>
      <c r="CL67" s="2974"/>
      <c r="CM67" s="2974"/>
      <c r="CN67" s="2974"/>
      <c r="CO67" s="2974"/>
      <c r="CP67" s="2974"/>
      <c r="CQ67" s="2974"/>
      <c r="CR67" s="2974"/>
      <c r="CS67" s="2974"/>
      <c r="CT67" s="2975"/>
    </row>
    <row r="68" spans="1:98" ht="6.75" customHeight="1" thickBot="1">
      <c r="A68" s="76"/>
      <c r="B68" s="2774"/>
      <c r="C68" s="2775"/>
      <c r="D68" s="2775"/>
      <c r="E68" s="2775"/>
      <c r="F68" s="2775"/>
      <c r="G68" s="2775"/>
      <c r="H68" s="2775"/>
      <c r="I68" s="2775"/>
      <c r="J68" s="2775"/>
      <c r="K68" s="2775"/>
      <c r="L68" s="2775"/>
      <c r="M68" s="2775"/>
      <c r="N68" s="2775"/>
      <c r="O68" s="2775"/>
      <c r="P68" s="2775"/>
      <c r="Q68" s="2775"/>
      <c r="R68" s="2775"/>
      <c r="S68" s="2775"/>
      <c r="T68" s="2775"/>
      <c r="U68" s="2775"/>
      <c r="V68" s="2775"/>
      <c r="W68" s="2775"/>
      <c r="X68" s="2775"/>
      <c r="Y68" s="2775"/>
      <c r="Z68" s="1833"/>
      <c r="AA68" s="1834"/>
      <c r="AB68" s="1834"/>
      <c r="AC68" s="1834"/>
      <c r="AD68" s="1834"/>
      <c r="AE68" s="1834"/>
      <c r="AF68" s="1834"/>
      <c r="AG68" s="1835"/>
      <c r="AH68" s="78"/>
      <c r="AI68" s="565"/>
      <c r="AJ68" s="504"/>
      <c r="AK68" s="504"/>
      <c r="AL68" s="504"/>
      <c r="AM68" s="504"/>
      <c r="AN68" s="504"/>
      <c r="AO68" s="504"/>
      <c r="AP68" s="504"/>
      <c r="AQ68" s="504"/>
      <c r="AR68" s="504"/>
      <c r="AS68" s="504"/>
      <c r="AT68" s="504"/>
      <c r="AU68" s="504"/>
      <c r="AV68" s="2124"/>
      <c r="AW68" s="2124"/>
      <c r="AX68" s="2124"/>
      <c r="AY68" s="2124"/>
      <c r="AZ68" s="2124"/>
      <c r="BA68" s="2124"/>
      <c r="BB68" s="2124"/>
      <c r="BC68" s="2124"/>
      <c r="BD68" s="2124"/>
      <c r="BE68" s="2124"/>
      <c r="BF68" s="2125"/>
      <c r="BG68" s="2126"/>
      <c r="BH68" s="2127"/>
      <c r="BI68" s="2127"/>
      <c r="BJ68" s="2127"/>
      <c r="BK68" s="2128"/>
      <c r="BL68" s="566"/>
      <c r="BM68" s="78"/>
      <c r="BN68" s="2973"/>
      <c r="BO68" s="2974"/>
      <c r="BP68" s="2974"/>
      <c r="BQ68" s="2974"/>
      <c r="BR68" s="2974"/>
      <c r="BS68" s="2974"/>
      <c r="BT68" s="2974"/>
      <c r="BU68" s="2974"/>
      <c r="BV68" s="2974"/>
      <c r="BW68" s="2974"/>
      <c r="BX68" s="2974"/>
      <c r="BY68" s="2974"/>
      <c r="BZ68" s="2974"/>
      <c r="CA68" s="2974"/>
      <c r="CB68" s="2974"/>
      <c r="CC68" s="2974"/>
      <c r="CD68" s="2974"/>
      <c r="CE68" s="2974"/>
      <c r="CF68" s="2974"/>
      <c r="CG68" s="2974"/>
      <c r="CH68" s="2974"/>
      <c r="CI68" s="2974"/>
      <c r="CJ68" s="2974"/>
      <c r="CK68" s="2974"/>
      <c r="CL68" s="2974"/>
      <c r="CM68" s="2974"/>
      <c r="CN68" s="2974"/>
      <c r="CO68" s="2974"/>
      <c r="CP68" s="2974"/>
      <c r="CQ68" s="2974"/>
      <c r="CR68" s="2974"/>
      <c r="CS68" s="2974"/>
      <c r="CT68" s="2975"/>
    </row>
    <row r="69" spans="1:98" ht="6.75" customHeight="1" thickTop="1">
      <c r="A69" s="76"/>
      <c r="B69" s="2908" t="s">
        <v>350</v>
      </c>
      <c r="C69" s="2909"/>
      <c r="D69" s="2909"/>
      <c r="E69" s="2909"/>
      <c r="F69" s="2909"/>
      <c r="G69" s="2909"/>
      <c r="H69" s="2909"/>
      <c r="I69" s="2909"/>
      <c r="J69" s="2909"/>
      <c r="K69" s="2909"/>
      <c r="L69" s="2909"/>
      <c r="M69" s="2909"/>
      <c r="N69" s="2909"/>
      <c r="O69" s="2909"/>
      <c r="P69" s="2909"/>
      <c r="Q69" s="2909"/>
      <c r="R69" s="2909"/>
      <c r="S69" s="2909"/>
      <c r="T69" s="2909"/>
      <c r="U69" s="2909"/>
      <c r="V69" s="2909"/>
      <c r="W69" s="2909"/>
      <c r="X69" s="2909"/>
      <c r="Y69" s="2910"/>
      <c r="Z69" s="2911">
        <f>IF(Wholesale_Calculator_Fixed_Cost_Calculation_Method="% of ARV",TOTAL_FIXED_COSTS_WHOLESALE/3,SUM(Z55:AG68))</f>
        <v>0</v>
      </c>
      <c r="AA69" s="2912"/>
      <c r="AB69" s="2912"/>
      <c r="AC69" s="2912"/>
      <c r="AD69" s="2912"/>
      <c r="AE69" s="2912"/>
      <c r="AF69" s="2912"/>
      <c r="AG69" s="2913"/>
      <c r="AH69" s="78"/>
      <c r="AI69" s="568"/>
      <c r="AJ69" s="429"/>
      <c r="AK69" s="429"/>
      <c r="AL69" s="429"/>
      <c r="AM69" s="429"/>
      <c r="AN69" s="429"/>
      <c r="AO69" s="429"/>
      <c r="AP69" s="429"/>
      <c r="AQ69" s="429"/>
      <c r="AR69" s="429"/>
      <c r="AS69" s="429"/>
      <c r="AT69" s="429"/>
      <c r="AU69" s="429"/>
      <c r="AV69" s="2124"/>
      <c r="AW69" s="2124"/>
      <c r="AX69" s="2124"/>
      <c r="AY69" s="2124"/>
      <c r="AZ69" s="2124"/>
      <c r="BA69" s="2124"/>
      <c r="BB69" s="2124"/>
      <c r="BC69" s="2124"/>
      <c r="BD69" s="2124"/>
      <c r="BE69" s="2124"/>
      <c r="BF69" s="2125"/>
      <c r="BG69" s="2218"/>
      <c r="BH69" s="2219"/>
      <c r="BI69" s="2219"/>
      <c r="BJ69" s="2219"/>
      <c r="BK69" s="2220"/>
      <c r="BL69" s="567"/>
      <c r="BM69" s="78"/>
      <c r="BN69" s="2973"/>
      <c r="BO69" s="2974"/>
      <c r="BP69" s="2974"/>
      <c r="BQ69" s="2974"/>
      <c r="BR69" s="2974"/>
      <c r="BS69" s="2974"/>
      <c r="BT69" s="2974"/>
      <c r="BU69" s="2974"/>
      <c r="BV69" s="2974"/>
      <c r="BW69" s="2974"/>
      <c r="BX69" s="2974"/>
      <c r="BY69" s="2974"/>
      <c r="BZ69" s="2974"/>
      <c r="CA69" s="2974"/>
      <c r="CB69" s="2974"/>
      <c r="CC69" s="2974"/>
      <c r="CD69" s="2974"/>
      <c r="CE69" s="2974"/>
      <c r="CF69" s="2974"/>
      <c r="CG69" s="2974"/>
      <c r="CH69" s="2974"/>
      <c r="CI69" s="2974"/>
      <c r="CJ69" s="2974"/>
      <c r="CK69" s="2974"/>
      <c r="CL69" s="2974"/>
      <c r="CM69" s="2974"/>
      <c r="CN69" s="2974"/>
      <c r="CO69" s="2974"/>
      <c r="CP69" s="2974"/>
      <c r="CQ69" s="2974"/>
      <c r="CR69" s="2974"/>
      <c r="CS69" s="2974"/>
      <c r="CT69" s="2975"/>
    </row>
    <row r="70" spans="1:98" ht="6.75" customHeight="1" thickBot="1">
      <c r="A70" s="76"/>
      <c r="B70" s="2908"/>
      <c r="C70" s="2909"/>
      <c r="D70" s="2909"/>
      <c r="E70" s="2909"/>
      <c r="F70" s="2909"/>
      <c r="G70" s="2909"/>
      <c r="H70" s="2909"/>
      <c r="I70" s="2909"/>
      <c r="J70" s="2909"/>
      <c r="K70" s="2909"/>
      <c r="L70" s="2909"/>
      <c r="M70" s="2909"/>
      <c r="N70" s="2909"/>
      <c r="O70" s="2909"/>
      <c r="P70" s="2909"/>
      <c r="Q70" s="2909"/>
      <c r="R70" s="2909"/>
      <c r="S70" s="2909"/>
      <c r="T70" s="2909"/>
      <c r="U70" s="2909"/>
      <c r="V70" s="2909"/>
      <c r="W70" s="2909"/>
      <c r="X70" s="2909"/>
      <c r="Y70" s="2910"/>
      <c r="Z70" s="2914"/>
      <c r="AA70" s="2915"/>
      <c r="AB70" s="2915"/>
      <c r="AC70" s="2915"/>
      <c r="AD70" s="2915"/>
      <c r="AE70" s="2915"/>
      <c r="AF70" s="2915"/>
      <c r="AG70" s="2916"/>
      <c r="AH70" s="78"/>
      <c r="AI70" s="565"/>
      <c r="AJ70" s="504"/>
      <c r="AK70" s="504"/>
      <c r="AL70" s="504"/>
      <c r="AM70" s="504"/>
      <c r="AN70" s="504"/>
      <c r="AO70" s="504"/>
      <c r="AP70" s="504"/>
      <c r="AQ70" s="504"/>
      <c r="AR70" s="504"/>
      <c r="AS70" s="504"/>
      <c r="AT70" s="504"/>
      <c r="AU70" s="504"/>
      <c r="AV70" s="504"/>
      <c r="AW70" s="504"/>
      <c r="AX70" s="504"/>
      <c r="AY70" s="504"/>
      <c r="AZ70" s="504"/>
      <c r="BA70" s="504"/>
      <c r="BB70" s="504"/>
      <c r="BC70" s="504"/>
      <c r="BD70" s="504"/>
      <c r="BE70" s="504"/>
      <c r="BF70" s="504"/>
      <c r="BG70" s="504"/>
      <c r="BH70" s="504"/>
      <c r="BI70" s="504"/>
      <c r="BJ70" s="504"/>
      <c r="BK70" s="504"/>
      <c r="BL70" s="566"/>
      <c r="BM70" s="78"/>
      <c r="BN70" s="2976"/>
      <c r="BO70" s="2977"/>
      <c r="BP70" s="2977"/>
      <c r="BQ70" s="2977"/>
      <c r="BR70" s="2977"/>
      <c r="BS70" s="2977"/>
      <c r="BT70" s="2977"/>
      <c r="BU70" s="2977"/>
      <c r="BV70" s="2977"/>
      <c r="BW70" s="2977"/>
      <c r="BX70" s="2977"/>
      <c r="BY70" s="2977"/>
      <c r="BZ70" s="2977"/>
      <c r="CA70" s="2977"/>
      <c r="CB70" s="2977"/>
      <c r="CC70" s="2977"/>
      <c r="CD70" s="2977"/>
      <c r="CE70" s="2977"/>
      <c r="CF70" s="2977"/>
      <c r="CG70" s="2977"/>
      <c r="CH70" s="2977"/>
      <c r="CI70" s="2977"/>
      <c r="CJ70" s="2977"/>
      <c r="CK70" s="2977"/>
      <c r="CL70" s="2977"/>
      <c r="CM70" s="2977"/>
      <c r="CN70" s="2977"/>
      <c r="CO70" s="2977"/>
      <c r="CP70" s="2977"/>
      <c r="CQ70" s="2977"/>
      <c r="CR70" s="2977"/>
      <c r="CS70" s="2977"/>
      <c r="CT70" s="2978"/>
    </row>
    <row r="71" spans="1:98" ht="6.75" customHeight="1" thickTop="1" thickBot="1">
      <c r="A71" s="76"/>
      <c r="B71" s="3058" t="s">
        <v>351</v>
      </c>
      <c r="C71" s="3059"/>
      <c r="D71" s="3059"/>
      <c r="E71" s="3059"/>
      <c r="F71" s="3059"/>
      <c r="G71" s="3059"/>
      <c r="H71" s="3059"/>
      <c r="I71" s="3059"/>
      <c r="J71" s="3059"/>
      <c r="K71" s="3059"/>
      <c r="L71" s="3059"/>
      <c r="M71" s="3059"/>
      <c r="N71" s="3059"/>
      <c r="O71" s="3059"/>
      <c r="P71" s="3059"/>
      <c r="Q71" s="3059"/>
      <c r="R71" s="3059"/>
      <c r="S71" s="3059"/>
      <c r="T71" s="3059"/>
      <c r="U71" s="3059"/>
      <c r="V71" s="3059"/>
      <c r="W71" s="3059"/>
      <c r="X71" s="3059"/>
      <c r="Y71" s="3059"/>
      <c r="Z71" s="3059"/>
      <c r="AA71" s="3059"/>
      <c r="AB71" s="3059"/>
      <c r="AC71" s="3059"/>
      <c r="AD71" s="3059"/>
      <c r="AE71" s="3059"/>
      <c r="AF71" s="3059"/>
      <c r="AG71" s="3060"/>
      <c r="AH71" s="78"/>
      <c r="AI71" s="2923" t="s">
        <v>703</v>
      </c>
      <c r="AJ71" s="2924"/>
      <c r="AK71" s="2924"/>
      <c r="AL71" s="2924"/>
      <c r="AM71" s="2924"/>
      <c r="AN71" s="2924"/>
      <c r="AO71" s="2924"/>
      <c r="AP71" s="2924"/>
      <c r="AQ71" s="2924"/>
      <c r="AR71" s="2924"/>
      <c r="AS71" s="2924"/>
      <c r="AT71" s="2924"/>
      <c r="AU71" s="2924"/>
      <c r="AV71" s="2924"/>
      <c r="AW71" s="2924"/>
      <c r="AX71" s="2924"/>
      <c r="AY71" s="2924"/>
      <c r="AZ71" s="2924"/>
      <c r="BA71" s="2924"/>
      <c r="BB71" s="2924"/>
      <c r="BC71" s="2924"/>
      <c r="BD71" s="2924"/>
      <c r="BE71" s="2924"/>
      <c r="BF71" s="2924"/>
      <c r="BG71" s="2924"/>
      <c r="BH71" s="2924"/>
      <c r="BI71" s="2924"/>
      <c r="BJ71" s="2924"/>
      <c r="BK71" s="2924"/>
      <c r="BL71" s="2925"/>
      <c r="BM71" s="78"/>
      <c r="BN71" s="3061" t="s">
        <v>588</v>
      </c>
      <c r="BO71" s="3062"/>
      <c r="BP71" s="3062"/>
      <c r="BQ71" s="3062"/>
      <c r="BR71" s="3062"/>
      <c r="BS71" s="3062"/>
      <c r="BT71" s="3062"/>
      <c r="BU71" s="3062"/>
      <c r="BV71" s="3062"/>
      <c r="BW71" s="3062"/>
      <c r="BX71" s="3062"/>
      <c r="BY71" s="3062"/>
      <c r="BZ71" s="3062"/>
      <c r="CA71" s="3062"/>
      <c r="CB71" s="3062"/>
      <c r="CC71" s="3062"/>
      <c r="CD71" s="3062"/>
      <c r="CE71" s="3062"/>
      <c r="CF71" s="3062"/>
      <c r="CG71" s="3062"/>
      <c r="CH71" s="3062"/>
      <c r="CI71" s="3062"/>
      <c r="CJ71" s="3062"/>
      <c r="CK71" s="3062"/>
      <c r="CL71" s="3062"/>
      <c r="CM71" s="3062"/>
      <c r="CN71" s="3062"/>
      <c r="CO71" s="3062"/>
      <c r="CP71" s="3062"/>
      <c r="CQ71" s="3062"/>
      <c r="CR71" s="3062"/>
      <c r="CS71" s="3062"/>
      <c r="CT71" s="3063"/>
    </row>
    <row r="72" spans="1:98" ht="6.75" customHeight="1" thickBot="1">
      <c r="A72" s="76"/>
      <c r="B72" s="3058"/>
      <c r="C72" s="3059"/>
      <c r="D72" s="3059"/>
      <c r="E72" s="3059"/>
      <c r="F72" s="3059"/>
      <c r="G72" s="3059"/>
      <c r="H72" s="3059"/>
      <c r="I72" s="3059"/>
      <c r="J72" s="3059"/>
      <c r="K72" s="3059"/>
      <c r="L72" s="3059"/>
      <c r="M72" s="3059"/>
      <c r="N72" s="3059"/>
      <c r="O72" s="3059"/>
      <c r="P72" s="3059"/>
      <c r="Q72" s="3059"/>
      <c r="R72" s="3059"/>
      <c r="S72" s="3059"/>
      <c r="T72" s="3059"/>
      <c r="U72" s="3059"/>
      <c r="V72" s="3059"/>
      <c r="W72" s="3059"/>
      <c r="X72" s="3059"/>
      <c r="Y72" s="3059"/>
      <c r="Z72" s="3059"/>
      <c r="AA72" s="3059"/>
      <c r="AB72" s="3059"/>
      <c r="AC72" s="3059"/>
      <c r="AD72" s="3059"/>
      <c r="AE72" s="3059"/>
      <c r="AF72" s="3059"/>
      <c r="AG72" s="3060"/>
      <c r="AH72" s="78"/>
      <c r="AI72" s="2926"/>
      <c r="AJ72" s="2927"/>
      <c r="AK72" s="2927"/>
      <c r="AL72" s="2927"/>
      <c r="AM72" s="2927"/>
      <c r="AN72" s="2927"/>
      <c r="AO72" s="2927"/>
      <c r="AP72" s="2927"/>
      <c r="AQ72" s="2927"/>
      <c r="AR72" s="2927"/>
      <c r="AS72" s="2927"/>
      <c r="AT72" s="2927"/>
      <c r="AU72" s="2927"/>
      <c r="AV72" s="2927"/>
      <c r="AW72" s="2927"/>
      <c r="AX72" s="2927"/>
      <c r="AY72" s="2927"/>
      <c r="AZ72" s="2927"/>
      <c r="BA72" s="2927"/>
      <c r="BB72" s="2927"/>
      <c r="BC72" s="2927"/>
      <c r="BD72" s="2927"/>
      <c r="BE72" s="2927"/>
      <c r="BF72" s="2927"/>
      <c r="BG72" s="2927"/>
      <c r="BH72" s="2927"/>
      <c r="BI72" s="2927"/>
      <c r="BJ72" s="2927"/>
      <c r="BK72" s="2927"/>
      <c r="BL72" s="2928"/>
      <c r="BM72" s="78"/>
      <c r="BN72" s="3064"/>
      <c r="BO72" s="3065"/>
      <c r="BP72" s="3065"/>
      <c r="BQ72" s="3065"/>
      <c r="BR72" s="3065"/>
      <c r="BS72" s="3065"/>
      <c r="BT72" s="3065"/>
      <c r="BU72" s="3065"/>
      <c r="BV72" s="3065"/>
      <c r="BW72" s="3065"/>
      <c r="BX72" s="3065"/>
      <c r="BY72" s="3065"/>
      <c r="BZ72" s="3065"/>
      <c r="CA72" s="3065"/>
      <c r="CB72" s="3065"/>
      <c r="CC72" s="3065"/>
      <c r="CD72" s="3065"/>
      <c r="CE72" s="3065"/>
      <c r="CF72" s="3065"/>
      <c r="CG72" s="3065"/>
      <c r="CH72" s="3065"/>
      <c r="CI72" s="3065"/>
      <c r="CJ72" s="3065"/>
      <c r="CK72" s="3065"/>
      <c r="CL72" s="3065"/>
      <c r="CM72" s="3065"/>
      <c r="CN72" s="3065"/>
      <c r="CO72" s="3065"/>
      <c r="CP72" s="3065"/>
      <c r="CQ72" s="3065"/>
      <c r="CR72" s="3065"/>
      <c r="CS72" s="3065"/>
      <c r="CT72" s="3066"/>
    </row>
    <row r="73" spans="1:98" ht="6.75" customHeight="1" thickBot="1">
      <c r="A73" s="76"/>
      <c r="B73" s="3058"/>
      <c r="C73" s="3059"/>
      <c r="D73" s="3059"/>
      <c r="E73" s="3059"/>
      <c r="F73" s="3059"/>
      <c r="G73" s="3059"/>
      <c r="H73" s="3059"/>
      <c r="I73" s="3059"/>
      <c r="J73" s="3059"/>
      <c r="K73" s="3059"/>
      <c r="L73" s="3059"/>
      <c r="M73" s="3059"/>
      <c r="N73" s="3059"/>
      <c r="O73" s="3059"/>
      <c r="P73" s="3059"/>
      <c r="Q73" s="3059"/>
      <c r="R73" s="3059"/>
      <c r="S73" s="3059"/>
      <c r="T73" s="3059"/>
      <c r="U73" s="3059"/>
      <c r="V73" s="3059"/>
      <c r="W73" s="3059"/>
      <c r="X73" s="3059"/>
      <c r="Y73" s="3059"/>
      <c r="Z73" s="3059"/>
      <c r="AA73" s="3059"/>
      <c r="AB73" s="3059"/>
      <c r="AC73" s="3059"/>
      <c r="AD73" s="3059"/>
      <c r="AE73" s="3059"/>
      <c r="AF73" s="3059"/>
      <c r="AG73" s="3060"/>
      <c r="AH73" s="78"/>
      <c r="AI73" s="2929"/>
      <c r="AJ73" s="2930"/>
      <c r="AK73" s="2930"/>
      <c r="AL73" s="2930"/>
      <c r="AM73" s="2930"/>
      <c r="AN73" s="2930"/>
      <c r="AO73" s="2930"/>
      <c r="AP73" s="2930"/>
      <c r="AQ73" s="2930"/>
      <c r="AR73" s="2930"/>
      <c r="AS73" s="2930"/>
      <c r="AT73" s="2930"/>
      <c r="AU73" s="2930"/>
      <c r="AV73" s="2930"/>
      <c r="AW73" s="2930"/>
      <c r="AX73" s="2930"/>
      <c r="AY73" s="2930"/>
      <c r="AZ73" s="2930"/>
      <c r="BA73" s="2930"/>
      <c r="BB73" s="2930"/>
      <c r="BC73" s="2930"/>
      <c r="BD73" s="2930"/>
      <c r="BE73" s="2930"/>
      <c r="BF73" s="2930"/>
      <c r="BG73" s="2930"/>
      <c r="BH73" s="2930"/>
      <c r="BI73" s="2930"/>
      <c r="BJ73" s="2930"/>
      <c r="BK73" s="2930"/>
      <c r="BL73" s="2931"/>
      <c r="BM73" s="78"/>
      <c r="BN73" s="3067"/>
      <c r="BO73" s="3068"/>
      <c r="BP73" s="3068"/>
      <c r="BQ73" s="3068"/>
      <c r="BR73" s="3068"/>
      <c r="BS73" s="3068"/>
      <c r="BT73" s="3068"/>
      <c r="BU73" s="3068"/>
      <c r="BV73" s="3068"/>
      <c r="BW73" s="3068"/>
      <c r="BX73" s="3068"/>
      <c r="BY73" s="3068"/>
      <c r="BZ73" s="3068"/>
      <c r="CA73" s="3068"/>
      <c r="CB73" s="3068"/>
      <c r="CC73" s="3068"/>
      <c r="CD73" s="3068"/>
      <c r="CE73" s="3068"/>
      <c r="CF73" s="3068"/>
      <c r="CG73" s="3068"/>
      <c r="CH73" s="3068"/>
      <c r="CI73" s="3068"/>
      <c r="CJ73" s="3068"/>
      <c r="CK73" s="3068"/>
      <c r="CL73" s="3068"/>
      <c r="CM73" s="3068"/>
      <c r="CN73" s="3068"/>
      <c r="CO73" s="3068"/>
      <c r="CP73" s="3068"/>
      <c r="CQ73" s="3068"/>
      <c r="CR73" s="3068"/>
      <c r="CS73" s="3068"/>
      <c r="CT73" s="3069"/>
    </row>
    <row r="74" spans="1:98" ht="6.75" customHeight="1" thickTop="1">
      <c r="A74" s="76"/>
      <c r="B74" s="2938">
        <f>IF(W14="% OF ARV",(AD14*B7),Z33+Z51+Z69)</f>
        <v>0</v>
      </c>
      <c r="C74" s="2939"/>
      <c r="D74" s="2939"/>
      <c r="E74" s="2939"/>
      <c r="F74" s="2939"/>
      <c r="G74" s="2939"/>
      <c r="H74" s="2939"/>
      <c r="I74" s="2939"/>
      <c r="J74" s="2939"/>
      <c r="K74" s="2939"/>
      <c r="L74" s="2939"/>
      <c r="M74" s="2939"/>
      <c r="N74" s="2939"/>
      <c r="O74" s="2939"/>
      <c r="P74" s="2939"/>
      <c r="Q74" s="2939"/>
      <c r="R74" s="2939"/>
      <c r="S74" s="2939"/>
      <c r="T74" s="2939"/>
      <c r="U74" s="2939"/>
      <c r="V74" s="2939"/>
      <c r="W74" s="2939"/>
      <c r="X74" s="2939"/>
      <c r="Y74" s="2939"/>
      <c r="Z74" s="2939"/>
      <c r="AA74" s="2939"/>
      <c r="AB74" s="2939"/>
      <c r="AC74" s="2939"/>
      <c r="AD74" s="2939"/>
      <c r="AE74" s="2939"/>
      <c r="AF74" s="2939"/>
      <c r="AG74" s="2940"/>
      <c r="AH74" s="78"/>
      <c r="AI74" s="3044" t="s">
        <v>962</v>
      </c>
      <c r="AJ74" s="3045"/>
      <c r="AK74" s="3045"/>
      <c r="AL74" s="3045"/>
      <c r="AM74" s="3045"/>
      <c r="AN74" s="2121">
        <f>BG67</f>
        <v>50000</v>
      </c>
      <c r="AO74" s="2121"/>
      <c r="AP74" s="2121"/>
      <c r="AQ74" s="2121"/>
      <c r="AR74" s="2121"/>
      <c r="AS74" s="2121"/>
      <c r="AT74" s="2121"/>
      <c r="AU74" s="2121"/>
      <c r="AV74" s="2121"/>
      <c r="AW74" s="2121"/>
      <c r="AX74" s="2121"/>
      <c r="AY74" s="2121"/>
      <c r="AZ74" s="2121"/>
      <c r="BA74" s="2121"/>
      <c r="BB74" s="2121"/>
      <c r="BC74" s="2121"/>
      <c r="BD74" s="2121"/>
      <c r="BE74" s="2121"/>
      <c r="BF74" s="2121"/>
      <c r="BG74" s="2121"/>
      <c r="BH74" s="3045" t="str">
        <f>IF(BH76="","","$/ SF")</f>
        <v/>
      </c>
      <c r="BI74" s="3045"/>
      <c r="BJ74" s="3045"/>
      <c r="BK74" s="3045"/>
      <c r="BL74" s="3046"/>
      <c r="BM74" s="78"/>
      <c r="BN74" s="2932">
        <f>MAXIMUM_PURCHASE_PRICE_WHOLESALE-Wholesale_Profit</f>
        <v>-50000</v>
      </c>
      <c r="BO74" s="2933"/>
      <c r="BP74" s="2933"/>
      <c r="BQ74" s="2933"/>
      <c r="BR74" s="2933"/>
      <c r="BS74" s="2933"/>
      <c r="BT74" s="2933"/>
      <c r="BU74" s="2933"/>
      <c r="BV74" s="2933"/>
      <c r="BW74" s="2933"/>
      <c r="BX74" s="2933"/>
      <c r="BY74" s="2933"/>
      <c r="BZ74" s="2933"/>
      <c r="CA74" s="2933"/>
      <c r="CB74" s="2933"/>
      <c r="CC74" s="2933"/>
      <c r="CD74" s="2933"/>
      <c r="CE74" s="2933"/>
      <c r="CF74" s="2933"/>
      <c r="CG74" s="2933"/>
      <c r="CH74" s="2933"/>
      <c r="CI74" s="2933"/>
      <c r="CJ74" s="2933"/>
      <c r="CK74" s="2933"/>
      <c r="CL74" s="2933"/>
      <c r="CM74" s="2933"/>
      <c r="CN74" s="2933"/>
      <c r="CO74" s="2933"/>
      <c r="CP74" s="2933"/>
      <c r="CQ74" s="2933"/>
      <c r="CR74" s="2933"/>
      <c r="CS74" s="2933"/>
      <c r="CT74" s="2934"/>
    </row>
    <row r="75" spans="1:98" ht="6.75" customHeight="1">
      <c r="A75" s="76"/>
      <c r="B75" s="2938"/>
      <c r="C75" s="2939"/>
      <c r="D75" s="2939"/>
      <c r="E75" s="2939"/>
      <c r="F75" s="2939"/>
      <c r="G75" s="2939"/>
      <c r="H75" s="2939"/>
      <c r="I75" s="2939"/>
      <c r="J75" s="2939"/>
      <c r="K75" s="2939"/>
      <c r="L75" s="2939"/>
      <c r="M75" s="2939"/>
      <c r="N75" s="2939"/>
      <c r="O75" s="2939"/>
      <c r="P75" s="2939"/>
      <c r="Q75" s="2939"/>
      <c r="R75" s="2939"/>
      <c r="S75" s="2939"/>
      <c r="T75" s="2939"/>
      <c r="U75" s="2939"/>
      <c r="V75" s="2939"/>
      <c r="W75" s="2939"/>
      <c r="X75" s="2939"/>
      <c r="Y75" s="2939"/>
      <c r="Z75" s="2939"/>
      <c r="AA75" s="2939"/>
      <c r="AB75" s="2939"/>
      <c r="AC75" s="2939"/>
      <c r="AD75" s="2939"/>
      <c r="AE75" s="2939"/>
      <c r="AF75" s="2939"/>
      <c r="AG75" s="2940"/>
      <c r="AH75" s="78"/>
      <c r="AI75" s="3044"/>
      <c r="AJ75" s="3045"/>
      <c r="AK75" s="3045"/>
      <c r="AL75" s="3045"/>
      <c r="AM75" s="3045"/>
      <c r="AN75" s="2121"/>
      <c r="AO75" s="2121"/>
      <c r="AP75" s="2121"/>
      <c r="AQ75" s="2121"/>
      <c r="AR75" s="2121"/>
      <c r="AS75" s="2121"/>
      <c r="AT75" s="2121"/>
      <c r="AU75" s="2121"/>
      <c r="AV75" s="2121"/>
      <c r="AW75" s="2121"/>
      <c r="AX75" s="2121"/>
      <c r="AY75" s="2121"/>
      <c r="AZ75" s="2121"/>
      <c r="BA75" s="2121"/>
      <c r="BB75" s="2121"/>
      <c r="BC75" s="2121"/>
      <c r="BD75" s="2121"/>
      <c r="BE75" s="2121"/>
      <c r="BF75" s="2121"/>
      <c r="BG75" s="2121"/>
      <c r="BH75" s="3045"/>
      <c r="BI75" s="3045"/>
      <c r="BJ75" s="3045"/>
      <c r="BK75" s="3045"/>
      <c r="BL75" s="3046"/>
      <c r="BM75" s="78"/>
      <c r="BN75" s="2932"/>
      <c r="BO75" s="2933"/>
      <c r="BP75" s="2933"/>
      <c r="BQ75" s="2933"/>
      <c r="BR75" s="2933"/>
      <c r="BS75" s="2933"/>
      <c r="BT75" s="2933"/>
      <c r="BU75" s="2933"/>
      <c r="BV75" s="2933"/>
      <c r="BW75" s="2933"/>
      <c r="BX75" s="2933"/>
      <c r="BY75" s="2933"/>
      <c r="BZ75" s="2933"/>
      <c r="CA75" s="2933"/>
      <c r="CB75" s="2933"/>
      <c r="CC75" s="2933"/>
      <c r="CD75" s="2933"/>
      <c r="CE75" s="2933"/>
      <c r="CF75" s="2933"/>
      <c r="CG75" s="2933"/>
      <c r="CH75" s="2933"/>
      <c r="CI75" s="2933"/>
      <c r="CJ75" s="2933"/>
      <c r="CK75" s="2933"/>
      <c r="CL75" s="2933"/>
      <c r="CM75" s="2933"/>
      <c r="CN75" s="2933"/>
      <c r="CO75" s="2933"/>
      <c r="CP75" s="2933"/>
      <c r="CQ75" s="2933"/>
      <c r="CR75" s="2933"/>
      <c r="CS75" s="2933"/>
      <c r="CT75" s="2934"/>
    </row>
    <row r="76" spans="1:98" ht="6.75" customHeight="1">
      <c r="A76" s="76"/>
      <c r="B76" s="2938"/>
      <c r="C76" s="2939"/>
      <c r="D76" s="2939"/>
      <c r="E76" s="2939"/>
      <c r="F76" s="2939"/>
      <c r="G76" s="2939"/>
      <c r="H76" s="2939"/>
      <c r="I76" s="2939"/>
      <c r="J76" s="2939"/>
      <c r="K76" s="2939"/>
      <c r="L76" s="2939"/>
      <c r="M76" s="2939"/>
      <c r="N76" s="2939"/>
      <c r="O76" s="2939"/>
      <c r="P76" s="2939"/>
      <c r="Q76" s="2939"/>
      <c r="R76" s="2939"/>
      <c r="S76" s="2939"/>
      <c r="T76" s="2939"/>
      <c r="U76" s="2939"/>
      <c r="V76" s="2939"/>
      <c r="W76" s="2939"/>
      <c r="X76" s="2939"/>
      <c r="Y76" s="2939"/>
      <c r="Z76" s="2939"/>
      <c r="AA76" s="2939"/>
      <c r="AB76" s="2939"/>
      <c r="AC76" s="2939"/>
      <c r="AD76" s="2939"/>
      <c r="AE76" s="2939"/>
      <c r="AF76" s="2939"/>
      <c r="AG76" s="2940"/>
      <c r="AH76" s="78"/>
      <c r="AI76" s="3047">
        <f>IFERROR(TOTAL_REMODEL_ESTIMATE/AFTER_REPAIR_VALUE_CELL,0)</f>
        <v>0</v>
      </c>
      <c r="AJ76" s="2854"/>
      <c r="AK76" s="2854"/>
      <c r="AL76" s="2854"/>
      <c r="AM76" s="2854"/>
      <c r="AN76" s="2121"/>
      <c r="AO76" s="2121"/>
      <c r="AP76" s="2121"/>
      <c r="AQ76" s="2121"/>
      <c r="AR76" s="2121"/>
      <c r="AS76" s="2121"/>
      <c r="AT76" s="2121"/>
      <c r="AU76" s="2121"/>
      <c r="AV76" s="2121"/>
      <c r="AW76" s="2121"/>
      <c r="AX76" s="2121"/>
      <c r="AY76" s="2121"/>
      <c r="AZ76" s="2121"/>
      <c r="BA76" s="2121"/>
      <c r="BB76" s="2121"/>
      <c r="BC76" s="2121"/>
      <c r="BD76" s="2121"/>
      <c r="BE76" s="2121"/>
      <c r="BF76" s="2121"/>
      <c r="BG76" s="2121"/>
      <c r="BH76" s="2995" t="str">
        <f>IFERROR(TOTAL_REMODEL_ESTIMATE/Square_Feet,"")</f>
        <v/>
      </c>
      <c r="BI76" s="2995"/>
      <c r="BJ76" s="2995"/>
      <c r="BK76" s="2995"/>
      <c r="BL76" s="3050"/>
      <c r="BM76" s="78"/>
      <c r="BN76" s="2932"/>
      <c r="BO76" s="2933"/>
      <c r="BP76" s="2933"/>
      <c r="BQ76" s="2933"/>
      <c r="BR76" s="2933"/>
      <c r="BS76" s="2933"/>
      <c r="BT76" s="2933"/>
      <c r="BU76" s="2933"/>
      <c r="BV76" s="2933"/>
      <c r="BW76" s="2933"/>
      <c r="BX76" s="2933"/>
      <c r="BY76" s="2933"/>
      <c r="BZ76" s="2933"/>
      <c r="CA76" s="2933"/>
      <c r="CB76" s="2933"/>
      <c r="CC76" s="2933"/>
      <c r="CD76" s="2933"/>
      <c r="CE76" s="2933"/>
      <c r="CF76" s="2933"/>
      <c r="CG76" s="2933"/>
      <c r="CH76" s="2933"/>
      <c r="CI76" s="2933"/>
      <c r="CJ76" s="2933"/>
      <c r="CK76" s="2933"/>
      <c r="CL76" s="2933"/>
      <c r="CM76" s="2933"/>
      <c r="CN76" s="2933"/>
      <c r="CO76" s="2933"/>
      <c r="CP76" s="2933"/>
      <c r="CQ76" s="2933"/>
      <c r="CR76" s="2933"/>
      <c r="CS76" s="2933"/>
      <c r="CT76" s="2934"/>
    </row>
    <row r="77" spans="1:98" ht="6.75" customHeight="1">
      <c r="A77" s="76"/>
      <c r="B77" s="2938"/>
      <c r="C77" s="2939"/>
      <c r="D77" s="2939"/>
      <c r="E77" s="2939"/>
      <c r="F77" s="2939"/>
      <c r="G77" s="2939"/>
      <c r="H77" s="2939"/>
      <c r="I77" s="2939"/>
      <c r="J77" s="2939"/>
      <c r="K77" s="2939"/>
      <c r="L77" s="2939"/>
      <c r="M77" s="2939"/>
      <c r="N77" s="2939"/>
      <c r="O77" s="2939"/>
      <c r="P77" s="2939"/>
      <c r="Q77" s="2939"/>
      <c r="R77" s="2939"/>
      <c r="S77" s="2939"/>
      <c r="T77" s="2939"/>
      <c r="U77" s="2939"/>
      <c r="V77" s="2939"/>
      <c r="W77" s="2939"/>
      <c r="X77" s="2939"/>
      <c r="Y77" s="2939"/>
      <c r="Z77" s="2939"/>
      <c r="AA77" s="2939"/>
      <c r="AB77" s="2939"/>
      <c r="AC77" s="2939"/>
      <c r="AD77" s="2939"/>
      <c r="AE77" s="2939"/>
      <c r="AF77" s="2939"/>
      <c r="AG77" s="2940"/>
      <c r="AH77" s="78"/>
      <c r="AI77" s="3047"/>
      <c r="AJ77" s="2854"/>
      <c r="AK77" s="2854"/>
      <c r="AL77" s="2854"/>
      <c r="AM77" s="2854"/>
      <c r="AN77" s="2121"/>
      <c r="AO77" s="2121"/>
      <c r="AP77" s="2121"/>
      <c r="AQ77" s="2121"/>
      <c r="AR77" s="2121"/>
      <c r="AS77" s="2121"/>
      <c r="AT77" s="2121"/>
      <c r="AU77" s="2121"/>
      <c r="AV77" s="2121"/>
      <c r="AW77" s="2121"/>
      <c r="AX77" s="2121"/>
      <c r="AY77" s="2121"/>
      <c r="AZ77" s="2121"/>
      <c r="BA77" s="2121"/>
      <c r="BB77" s="2121"/>
      <c r="BC77" s="2121"/>
      <c r="BD77" s="2121"/>
      <c r="BE77" s="2121"/>
      <c r="BF77" s="2121"/>
      <c r="BG77" s="2121"/>
      <c r="BH77" s="2995"/>
      <c r="BI77" s="2995"/>
      <c r="BJ77" s="2995"/>
      <c r="BK77" s="2995"/>
      <c r="BL77" s="3050"/>
      <c r="BM77" s="78"/>
      <c r="BN77" s="2932"/>
      <c r="BO77" s="2933"/>
      <c r="BP77" s="2933"/>
      <c r="BQ77" s="2933"/>
      <c r="BR77" s="2933"/>
      <c r="BS77" s="2933"/>
      <c r="BT77" s="2933"/>
      <c r="BU77" s="2933"/>
      <c r="BV77" s="2933"/>
      <c r="BW77" s="2933"/>
      <c r="BX77" s="2933"/>
      <c r="BY77" s="2933"/>
      <c r="BZ77" s="2933"/>
      <c r="CA77" s="2933"/>
      <c r="CB77" s="2933"/>
      <c r="CC77" s="2933"/>
      <c r="CD77" s="2933"/>
      <c r="CE77" s="2933"/>
      <c r="CF77" s="2933"/>
      <c r="CG77" s="2933"/>
      <c r="CH77" s="2933"/>
      <c r="CI77" s="2933"/>
      <c r="CJ77" s="2933"/>
      <c r="CK77" s="2933"/>
      <c r="CL77" s="2933"/>
      <c r="CM77" s="2933"/>
      <c r="CN77" s="2933"/>
      <c r="CO77" s="2933"/>
      <c r="CP77" s="2933"/>
      <c r="CQ77" s="2933"/>
      <c r="CR77" s="2933"/>
      <c r="CS77" s="2933"/>
      <c r="CT77" s="2934"/>
    </row>
    <row r="78" spans="1:98" ht="6.75" customHeight="1">
      <c r="A78" s="76"/>
      <c r="B78" s="2938"/>
      <c r="C78" s="2939"/>
      <c r="D78" s="2939"/>
      <c r="E78" s="2939"/>
      <c r="F78" s="2939"/>
      <c r="G78" s="2939"/>
      <c r="H78" s="2939"/>
      <c r="I78" s="2939"/>
      <c r="J78" s="2939"/>
      <c r="K78" s="2939"/>
      <c r="L78" s="2939"/>
      <c r="M78" s="2939"/>
      <c r="N78" s="2939"/>
      <c r="O78" s="2939"/>
      <c r="P78" s="2939"/>
      <c r="Q78" s="2939"/>
      <c r="R78" s="2939"/>
      <c r="S78" s="2939"/>
      <c r="T78" s="2939"/>
      <c r="U78" s="2939"/>
      <c r="V78" s="2939"/>
      <c r="W78" s="2939"/>
      <c r="X78" s="2939"/>
      <c r="Y78" s="2939"/>
      <c r="Z78" s="2939"/>
      <c r="AA78" s="2939"/>
      <c r="AB78" s="2939"/>
      <c r="AC78" s="2939"/>
      <c r="AD78" s="2939"/>
      <c r="AE78" s="2939"/>
      <c r="AF78" s="2939"/>
      <c r="AG78" s="2940"/>
      <c r="AH78" s="78"/>
      <c r="AI78" s="3047"/>
      <c r="AJ78" s="2854"/>
      <c r="AK78" s="2854"/>
      <c r="AL78" s="2854"/>
      <c r="AM78" s="2854"/>
      <c r="AN78" s="2121"/>
      <c r="AO78" s="2121"/>
      <c r="AP78" s="2121"/>
      <c r="AQ78" s="2121"/>
      <c r="AR78" s="2121"/>
      <c r="AS78" s="2121"/>
      <c r="AT78" s="2121"/>
      <c r="AU78" s="2121"/>
      <c r="AV78" s="2121"/>
      <c r="AW78" s="2121"/>
      <c r="AX78" s="2121"/>
      <c r="AY78" s="2121"/>
      <c r="AZ78" s="2121"/>
      <c r="BA78" s="2121"/>
      <c r="BB78" s="2121"/>
      <c r="BC78" s="2121"/>
      <c r="BD78" s="2121"/>
      <c r="BE78" s="2121"/>
      <c r="BF78" s="2121"/>
      <c r="BG78" s="2121"/>
      <c r="BH78" s="2995"/>
      <c r="BI78" s="2995"/>
      <c r="BJ78" s="2995"/>
      <c r="BK78" s="2995"/>
      <c r="BL78" s="3050"/>
      <c r="BM78" s="78"/>
      <c r="BN78" s="2932"/>
      <c r="BO78" s="2933"/>
      <c r="BP78" s="2933"/>
      <c r="BQ78" s="2933"/>
      <c r="BR78" s="2933"/>
      <c r="BS78" s="2933"/>
      <c r="BT78" s="2933"/>
      <c r="BU78" s="2933"/>
      <c r="BV78" s="2933"/>
      <c r="BW78" s="2933"/>
      <c r="BX78" s="2933"/>
      <c r="BY78" s="2933"/>
      <c r="BZ78" s="2933"/>
      <c r="CA78" s="2933"/>
      <c r="CB78" s="2933"/>
      <c r="CC78" s="2933"/>
      <c r="CD78" s="2933"/>
      <c r="CE78" s="2933"/>
      <c r="CF78" s="2933"/>
      <c r="CG78" s="2933"/>
      <c r="CH78" s="2933"/>
      <c r="CI78" s="2933"/>
      <c r="CJ78" s="2933"/>
      <c r="CK78" s="2933"/>
      <c r="CL78" s="2933"/>
      <c r="CM78" s="2933"/>
      <c r="CN78" s="2933"/>
      <c r="CO78" s="2933"/>
      <c r="CP78" s="2933"/>
      <c r="CQ78" s="2933"/>
      <c r="CR78" s="2933"/>
      <c r="CS78" s="2933"/>
      <c r="CT78" s="2934"/>
    </row>
    <row r="79" spans="1:98" ht="6.75" customHeight="1">
      <c r="A79" s="76"/>
      <c r="B79" s="2938"/>
      <c r="C79" s="2939"/>
      <c r="D79" s="2939"/>
      <c r="E79" s="2939"/>
      <c r="F79" s="2939"/>
      <c r="G79" s="2939"/>
      <c r="H79" s="2939"/>
      <c r="I79" s="2939"/>
      <c r="J79" s="2939"/>
      <c r="K79" s="2939"/>
      <c r="L79" s="2939"/>
      <c r="M79" s="2939"/>
      <c r="N79" s="2939"/>
      <c r="O79" s="2939"/>
      <c r="P79" s="2939"/>
      <c r="Q79" s="2939"/>
      <c r="R79" s="2939"/>
      <c r="S79" s="2939"/>
      <c r="T79" s="2939"/>
      <c r="U79" s="2939"/>
      <c r="V79" s="2939"/>
      <c r="W79" s="2939"/>
      <c r="X79" s="2939"/>
      <c r="Y79" s="2939"/>
      <c r="Z79" s="2939"/>
      <c r="AA79" s="2939"/>
      <c r="AB79" s="2939"/>
      <c r="AC79" s="2939"/>
      <c r="AD79" s="2939"/>
      <c r="AE79" s="2939"/>
      <c r="AF79" s="2939"/>
      <c r="AG79" s="2940"/>
      <c r="AH79" s="78"/>
      <c r="AI79" s="3047"/>
      <c r="AJ79" s="2854"/>
      <c r="AK79" s="2854"/>
      <c r="AL79" s="2854"/>
      <c r="AM79" s="2854"/>
      <c r="AN79" s="2121"/>
      <c r="AO79" s="2121"/>
      <c r="AP79" s="2121"/>
      <c r="AQ79" s="2121"/>
      <c r="AR79" s="2121"/>
      <c r="AS79" s="2121"/>
      <c r="AT79" s="2121"/>
      <c r="AU79" s="2121"/>
      <c r="AV79" s="2121"/>
      <c r="AW79" s="2121"/>
      <c r="AX79" s="2121"/>
      <c r="AY79" s="2121"/>
      <c r="AZ79" s="2121"/>
      <c r="BA79" s="2121"/>
      <c r="BB79" s="2121"/>
      <c r="BC79" s="2121"/>
      <c r="BD79" s="2121"/>
      <c r="BE79" s="2121"/>
      <c r="BF79" s="2121"/>
      <c r="BG79" s="2121"/>
      <c r="BH79" s="2995"/>
      <c r="BI79" s="2995"/>
      <c r="BJ79" s="2995"/>
      <c r="BK79" s="2995"/>
      <c r="BL79" s="3050"/>
      <c r="BM79" s="78"/>
      <c r="BN79" s="2932"/>
      <c r="BO79" s="2933"/>
      <c r="BP79" s="2933"/>
      <c r="BQ79" s="2933"/>
      <c r="BR79" s="2933"/>
      <c r="BS79" s="2933"/>
      <c r="BT79" s="2933"/>
      <c r="BU79" s="2933"/>
      <c r="BV79" s="2933"/>
      <c r="BW79" s="2933"/>
      <c r="BX79" s="2933"/>
      <c r="BY79" s="2933"/>
      <c r="BZ79" s="2933"/>
      <c r="CA79" s="2933"/>
      <c r="CB79" s="2933"/>
      <c r="CC79" s="2933"/>
      <c r="CD79" s="2933"/>
      <c r="CE79" s="2933"/>
      <c r="CF79" s="2933"/>
      <c r="CG79" s="2933"/>
      <c r="CH79" s="2933"/>
      <c r="CI79" s="2933"/>
      <c r="CJ79" s="2933"/>
      <c r="CK79" s="2933"/>
      <c r="CL79" s="2933"/>
      <c r="CM79" s="2933"/>
      <c r="CN79" s="2933"/>
      <c r="CO79" s="2933"/>
      <c r="CP79" s="2933"/>
      <c r="CQ79" s="2933"/>
      <c r="CR79" s="2933"/>
      <c r="CS79" s="2933"/>
      <c r="CT79" s="2934"/>
    </row>
    <row r="80" spans="1:98" ht="6.75" customHeight="1" thickBot="1">
      <c r="A80" s="76"/>
      <c r="B80" s="2941"/>
      <c r="C80" s="2942"/>
      <c r="D80" s="2942"/>
      <c r="E80" s="2942"/>
      <c r="F80" s="2942"/>
      <c r="G80" s="2942"/>
      <c r="H80" s="2942"/>
      <c r="I80" s="2942"/>
      <c r="J80" s="2942"/>
      <c r="K80" s="2942"/>
      <c r="L80" s="2942"/>
      <c r="M80" s="2942"/>
      <c r="N80" s="2942"/>
      <c r="O80" s="2942"/>
      <c r="P80" s="2942"/>
      <c r="Q80" s="2942"/>
      <c r="R80" s="2942"/>
      <c r="S80" s="2942"/>
      <c r="T80" s="2942"/>
      <c r="U80" s="2942"/>
      <c r="V80" s="2942"/>
      <c r="W80" s="2942"/>
      <c r="X80" s="2942"/>
      <c r="Y80" s="2942"/>
      <c r="Z80" s="2942"/>
      <c r="AA80" s="2942"/>
      <c r="AB80" s="2942"/>
      <c r="AC80" s="2942"/>
      <c r="AD80" s="2942"/>
      <c r="AE80" s="2942"/>
      <c r="AF80" s="2942"/>
      <c r="AG80" s="2943"/>
      <c r="AH80" s="78"/>
      <c r="AI80" s="3048"/>
      <c r="AJ80" s="3049"/>
      <c r="AK80" s="3049"/>
      <c r="AL80" s="3049"/>
      <c r="AM80" s="3049"/>
      <c r="AN80" s="2122"/>
      <c r="AO80" s="2122"/>
      <c r="AP80" s="2122"/>
      <c r="AQ80" s="2122"/>
      <c r="AR80" s="2122"/>
      <c r="AS80" s="2122"/>
      <c r="AT80" s="2122"/>
      <c r="AU80" s="2122"/>
      <c r="AV80" s="2122"/>
      <c r="AW80" s="2122"/>
      <c r="AX80" s="2122"/>
      <c r="AY80" s="2122"/>
      <c r="AZ80" s="2122"/>
      <c r="BA80" s="2122"/>
      <c r="BB80" s="2122"/>
      <c r="BC80" s="2122"/>
      <c r="BD80" s="2122"/>
      <c r="BE80" s="2122"/>
      <c r="BF80" s="2122"/>
      <c r="BG80" s="2122"/>
      <c r="BH80" s="3051"/>
      <c r="BI80" s="3051"/>
      <c r="BJ80" s="3051"/>
      <c r="BK80" s="3051"/>
      <c r="BL80" s="3052"/>
      <c r="BM80" s="78"/>
      <c r="BN80" s="2935"/>
      <c r="BO80" s="2936"/>
      <c r="BP80" s="2936"/>
      <c r="BQ80" s="2936"/>
      <c r="BR80" s="2936"/>
      <c r="BS80" s="2936"/>
      <c r="BT80" s="2936"/>
      <c r="BU80" s="2936"/>
      <c r="BV80" s="2936"/>
      <c r="BW80" s="2936"/>
      <c r="BX80" s="2936"/>
      <c r="BY80" s="2936"/>
      <c r="BZ80" s="2936"/>
      <c r="CA80" s="2936"/>
      <c r="CB80" s="2936"/>
      <c r="CC80" s="2936"/>
      <c r="CD80" s="2936"/>
      <c r="CE80" s="2936"/>
      <c r="CF80" s="2936"/>
      <c r="CG80" s="2936"/>
      <c r="CH80" s="2936"/>
      <c r="CI80" s="2936"/>
      <c r="CJ80" s="2936"/>
      <c r="CK80" s="2936"/>
      <c r="CL80" s="2936"/>
      <c r="CM80" s="2936"/>
      <c r="CN80" s="2936"/>
      <c r="CO80" s="2936"/>
      <c r="CP80" s="2936"/>
      <c r="CQ80" s="2936"/>
      <c r="CR80" s="2936"/>
      <c r="CS80" s="2936"/>
      <c r="CT80" s="2937"/>
    </row>
    <row r="81" spans="1:99" ht="6.6" customHeight="1">
      <c r="A81" s="76"/>
      <c r="B81" s="3053" t="s">
        <v>955</v>
      </c>
      <c r="C81" s="3053"/>
      <c r="D81" s="3053"/>
      <c r="E81" s="3053"/>
      <c r="F81" s="3053"/>
      <c r="G81" s="3053"/>
      <c r="H81" s="3053"/>
      <c r="I81" s="3053"/>
      <c r="J81" s="3053"/>
      <c r="K81" s="3053"/>
      <c r="L81" s="3053"/>
      <c r="M81" s="3053"/>
      <c r="N81" s="3053"/>
      <c r="O81" s="3053"/>
      <c r="P81" s="3053"/>
      <c r="Q81" s="3053"/>
      <c r="R81" s="3053"/>
      <c r="S81" s="3053"/>
      <c r="T81" s="3053"/>
      <c r="U81" s="3053"/>
      <c r="V81" s="3053"/>
      <c r="W81" s="3053"/>
      <c r="X81" s="3053"/>
      <c r="Y81" s="3053"/>
      <c r="Z81" s="3053"/>
      <c r="AA81" s="3053"/>
      <c r="AB81" s="3053"/>
      <c r="AC81" s="3053"/>
      <c r="AD81" s="3053"/>
      <c r="AE81" s="3053"/>
      <c r="AF81" s="3053"/>
      <c r="AG81" s="3053"/>
      <c r="AH81" s="3053"/>
      <c r="AI81" s="3053"/>
      <c r="AJ81" s="3053"/>
      <c r="AK81" s="3053"/>
      <c r="AL81" s="3053"/>
      <c r="AM81" s="3053"/>
      <c r="AN81" s="3053"/>
      <c r="AO81" s="3053"/>
      <c r="AP81" s="3053"/>
      <c r="AQ81" s="3053"/>
      <c r="AR81" s="3053"/>
      <c r="AS81" s="3053"/>
      <c r="AT81" s="3053"/>
      <c r="AU81" s="3053"/>
      <c r="AV81" s="3053"/>
      <c r="AW81" s="3053"/>
      <c r="AX81" s="3053"/>
      <c r="AY81" s="3053"/>
      <c r="AZ81" s="3053"/>
      <c r="BA81" s="3053"/>
      <c r="BB81" s="3053"/>
      <c r="BC81" s="3053"/>
      <c r="BD81" s="3053"/>
      <c r="BE81" s="3053"/>
      <c r="BF81" s="3053"/>
      <c r="BG81" s="3053"/>
      <c r="BH81" s="3053"/>
      <c r="BI81" s="3053"/>
      <c r="BJ81" s="3053"/>
      <c r="BK81" s="3053"/>
      <c r="BL81" s="3053"/>
      <c r="BM81" s="3053"/>
      <c r="BN81" s="3053"/>
      <c r="BO81" s="3053"/>
      <c r="BP81" s="3053"/>
      <c r="BQ81" s="3053"/>
      <c r="BR81" s="3053"/>
      <c r="BS81" s="3053"/>
      <c r="BT81" s="3053"/>
      <c r="BU81" s="3053"/>
      <c r="BV81" s="3053"/>
      <c r="BW81" s="3053"/>
      <c r="BX81" s="3053"/>
      <c r="BY81" s="3053"/>
      <c r="BZ81" s="3053"/>
      <c r="CA81" s="3053"/>
      <c r="CB81" s="3053"/>
      <c r="CC81" s="3053"/>
      <c r="CD81" s="3053"/>
      <c r="CE81" s="3053"/>
      <c r="CF81" s="3053"/>
      <c r="CG81" s="3053"/>
      <c r="CH81" s="3053"/>
      <c r="CI81" s="3053"/>
      <c r="CJ81" s="3053"/>
      <c r="CK81" s="3053"/>
      <c r="CL81" s="3053"/>
      <c r="CM81" s="3053"/>
      <c r="CN81" s="3053"/>
      <c r="CO81" s="3053"/>
      <c r="CP81" s="3053"/>
      <c r="CQ81" s="3053"/>
      <c r="CR81" s="3053"/>
      <c r="CS81" s="3053"/>
      <c r="CT81" s="3053"/>
    </row>
    <row r="82" spans="1:99" ht="7.5" customHeight="1">
      <c r="A82" s="76"/>
      <c r="B82" s="3053"/>
      <c r="C82" s="3053"/>
      <c r="D82" s="3053"/>
      <c r="E82" s="3053"/>
      <c r="F82" s="3053"/>
      <c r="G82" s="3053"/>
      <c r="H82" s="3053"/>
      <c r="I82" s="3053"/>
      <c r="J82" s="3053"/>
      <c r="K82" s="3053"/>
      <c r="L82" s="3053"/>
      <c r="M82" s="3053"/>
      <c r="N82" s="3053"/>
      <c r="O82" s="3053"/>
      <c r="P82" s="3053"/>
      <c r="Q82" s="3053"/>
      <c r="R82" s="3053"/>
      <c r="S82" s="3053"/>
      <c r="T82" s="3053"/>
      <c r="U82" s="3053"/>
      <c r="V82" s="3053"/>
      <c r="W82" s="3053"/>
      <c r="X82" s="3053"/>
      <c r="Y82" s="3053"/>
      <c r="Z82" s="3053"/>
      <c r="AA82" s="3053"/>
      <c r="AB82" s="3053"/>
      <c r="AC82" s="3053"/>
      <c r="AD82" s="3053"/>
      <c r="AE82" s="3053"/>
      <c r="AF82" s="3053"/>
      <c r="AG82" s="3053"/>
      <c r="AH82" s="3053"/>
      <c r="AI82" s="3053"/>
      <c r="AJ82" s="3053"/>
      <c r="AK82" s="3053"/>
      <c r="AL82" s="3053"/>
      <c r="AM82" s="3053"/>
      <c r="AN82" s="3053"/>
      <c r="AO82" s="3053"/>
      <c r="AP82" s="3053"/>
      <c r="AQ82" s="3053"/>
      <c r="AR82" s="3053"/>
      <c r="AS82" s="3053"/>
      <c r="AT82" s="3053"/>
      <c r="AU82" s="3053"/>
      <c r="AV82" s="3053"/>
      <c r="AW82" s="3053"/>
      <c r="AX82" s="3053"/>
      <c r="AY82" s="3053"/>
      <c r="AZ82" s="3053"/>
      <c r="BA82" s="3053"/>
      <c r="BB82" s="3053"/>
      <c r="BC82" s="3053"/>
      <c r="BD82" s="3053"/>
      <c r="BE82" s="3053"/>
      <c r="BF82" s="3053"/>
      <c r="BG82" s="3053"/>
      <c r="BH82" s="3053"/>
      <c r="BI82" s="3053"/>
      <c r="BJ82" s="3053"/>
      <c r="BK82" s="3053"/>
      <c r="BL82" s="3053"/>
      <c r="BM82" s="3053"/>
      <c r="BN82" s="3053"/>
      <c r="BO82" s="3053"/>
      <c r="BP82" s="3053"/>
      <c r="BQ82" s="3053"/>
      <c r="BR82" s="3053"/>
      <c r="BS82" s="3053"/>
      <c r="BT82" s="3053"/>
      <c r="BU82" s="3053"/>
      <c r="BV82" s="3053"/>
      <c r="BW82" s="3053"/>
      <c r="BX82" s="3053"/>
      <c r="BY82" s="3053"/>
      <c r="BZ82" s="3053"/>
      <c r="CA82" s="3053"/>
      <c r="CB82" s="3053"/>
      <c r="CC82" s="3053"/>
      <c r="CD82" s="3053"/>
      <c r="CE82" s="3053"/>
      <c r="CF82" s="3053"/>
      <c r="CG82" s="3053"/>
      <c r="CH82" s="3053"/>
      <c r="CI82" s="3053"/>
      <c r="CJ82" s="3053"/>
      <c r="CK82" s="3053"/>
      <c r="CL82" s="3053"/>
      <c r="CM82" s="3053"/>
      <c r="CN82" s="3053"/>
      <c r="CO82" s="3053"/>
      <c r="CP82" s="3053"/>
      <c r="CQ82" s="3053"/>
      <c r="CR82" s="3053"/>
      <c r="CS82" s="3053"/>
      <c r="CT82" s="3053"/>
    </row>
    <row r="83" spans="1:99" ht="7.5" customHeight="1">
      <c r="A83" s="76"/>
      <c r="B83" s="3053"/>
      <c r="C83" s="3053"/>
      <c r="D83" s="3053"/>
      <c r="E83" s="3053"/>
      <c r="F83" s="3053"/>
      <c r="G83" s="3053"/>
      <c r="H83" s="3053"/>
      <c r="I83" s="3053"/>
      <c r="J83" s="3053"/>
      <c r="K83" s="3053"/>
      <c r="L83" s="3053"/>
      <c r="M83" s="3053"/>
      <c r="N83" s="3053"/>
      <c r="O83" s="3053"/>
      <c r="P83" s="3053"/>
      <c r="Q83" s="3053"/>
      <c r="R83" s="3053"/>
      <c r="S83" s="3053"/>
      <c r="T83" s="3053"/>
      <c r="U83" s="3053"/>
      <c r="V83" s="3053"/>
      <c r="W83" s="3053"/>
      <c r="X83" s="3053"/>
      <c r="Y83" s="3053"/>
      <c r="Z83" s="3053"/>
      <c r="AA83" s="3053"/>
      <c r="AB83" s="3053"/>
      <c r="AC83" s="3053"/>
      <c r="AD83" s="3053"/>
      <c r="AE83" s="3053"/>
      <c r="AF83" s="3053"/>
      <c r="AG83" s="3053"/>
      <c r="AH83" s="3053"/>
      <c r="AI83" s="3053"/>
      <c r="AJ83" s="3053"/>
      <c r="AK83" s="3053"/>
      <c r="AL83" s="3053"/>
      <c r="AM83" s="3053"/>
      <c r="AN83" s="3053"/>
      <c r="AO83" s="3053"/>
      <c r="AP83" s="3053"/>
      <c r="AQ83" s="3053"/>
      <c r="AR83" s="3053"/>
      <c r="AS83" s="3053"/>
      <c r="AT83" s="3053"/>
      <c r="AU83" s="3053"/>
      <c r="AV83" s="3053"/>
      <c r="AW83" s="3053"/>
      <c r="AX83" s="3053"/>
      <c r="AY83" s="3053"/>
      <c r="AZ83" s="3053"/>
      <c r="BA83" s="3053"/>
      <c r="BB83" s="3053"/>
      <c r="BC83" s="3053"/>
      <c r="BD83" s="3053"/>
      <c r="BE83" s="3053"/>
      <c r="BF83" s="3053"/>
      <c r="BG83" s="3053"/>
      <c r="BH83" s="3053"/>
      <c r="BI83" s="3053"/>
      <c r="BJ83" s="3053"/>
      <c r="BK83" s="3053"/>
      <c r="BL83" s="3053"/>
      <c r="BM83" s="3053"/>
      <c r="BN83" s="3053"/>
      <c r="BO83" s="3053"/>
      <c r="BP83" s="3053"/>
      <c r="BQ83" s="3053"/>
      <c r="BR83" s="3053"/>
      <c r="BS83" s="3053"/>
      <c r="BT83" s="3053"/>
      <c r="BU83" s="3053"/>
      <c r="BV83" s="3053"/>
      <c r="BW83" s="3053"/>
      <c r="BX83" s="3053"/>
      <c r="BY83" s="3053"/>
      <c r="BZ83" s="3053"/>
      <c r="CA83" s="3053"/>
      <c r="CB83" s="3053"/>
      <c r="CC83" s="3053"/>
      <c r="CD83" s="3053"/>
      <c r="CE83" s="3053"/>
      <c r="CF83" s="3053"/>
      <c r="CG83" s="3053"/>
      <c r="CH83" s="3053"/>
      <c r="CI83" s="3053"/>
      <c r="CJ83" s="3053"/>
      <c r="CK83" s="3053"/>
      <c r="CL83" s="3053"/>
      <c r="CM83" s="3053"/>
      <c r="CN83" s="3053"/>
      <c r="CO83" s="3053"/>
      <c r="CP83" s="3053"/>
      <c r="CQ83" s="3053"/>
      <c r="CR83" s="3053"/>
      <c r="CS83" s="3053"/>
      <c r="CT83" s="3053"/>
    </row>
    <row r="84" spans="1:99" ht="6" customHeight="1">
      <c r="A84" s="76"/>
      <c r="B84" s="3053"/>
      <c r="C84" s="3053"/>
      <c r="D84" s="3053"/>
      <c r="E84" s="3053"/>
      <c r="F84" s="3053"/>
      <c r="G84" s="3053"/>
      <c r="H84" s="3053"/>
      <c r="I84" s="3053"/>
      <c r="J84" s="3053"/>
      <c r="K84" s="3053"/>
      <c r="L84" s="3053"/>
      <c r="M84" s="3053"/>
      <c r="N84" s="3053"/>
      <c r="O84" s="3053"/>
      <c r="P84" s="3053"/>
      <c r="Q84" s="3053"/>
      <c r="R84" s="3053"/>
      <c r="S84" s="3053"/>
      <c r="T84" s="3053"/>
      <c r="U84" s="3053"/>
      <c r="V84" s="3053"/>
      <c r="W84" s="3053"/>
      <c r="X84" s="3053"/>
      <c r="Y84" s="3053"/>
      <c r="Z84" s="3053"/>
      <c r="AA84" s="3053"/>
      <c r="AB84" s="3053"/>
      <c r="AC84" s="3053"/>
      <c r="AD84" s="3053"/>
      <c r="AE84" s="3053"/>
      <c r="AF84" s="3053"/>
      <c r="AG84" s="3053"/>
      <c r="AH84" s="3053"/>
      <c r="AI84" s="3053"/>
      <c r="AJ84" s="3053"/>
      <c r="AK84" s="3053"/>
      <c r="AL84" s="3053"/>
      <c r="AM84" s="3053"/>
      <c r="AN84" s="3053"/>
      <c r="AO84" s="3053"/>
      <c r="AP84" s="3053"/>
      <c r="AQ84" s="3053"/>
      <c r="AR84" s="3053"/>
      <c r="AS84" s="3053"/>
      <c r="AT84" s="3053"/>
      <c r="AU84" s="3053"/>
      <c r="AV84" s="3053"/>
      <c r="AW84" s="3053"/>
      <c r="AX84" s="3053"/>
      <c r="AY84" s="3053"/>
      <c r="AZ84" s="3053"/>
      <c r="BA84" s="3053"/>
      <c r="BB84" s="3053"/>
      <c r="BC84" s="3053"/>
      <c r="BD84" s="3053"/>
      <c r="BE84" s="3053"/>
      <c r="BF84" s="3053"/>
      <c r="BG84" s="3053"/>
      <c r="BH84" s="3053"/>
      <c r="BI84" s="3053"/>
      <c r="BJ84" s="3053"/>
      <c r="BK84" s="3053"/>
      <c r="BL84" s="3053"/>
      <c r="BM84" s="3053"/>
      <c r="BN84" s="3053"/>
      <c r="BO84" s="3053"/>
      <c r="BP84" s="3053"/>
      <c r="BQ84" s="3053"/>
      <c r="BR84" s="3053"/>
      <c r="BS84" s="3053"/>
      <c r="BT84" s="3053"/>
      <c r="BU84" s="3053"/>
      <c r="BV84" s="3053"/>
      <c r="BW84" s="3053"/>
      <c r="BX84" s="3053"/>
      <c r="BY84" s="3053"/>
      <c r="BZ84" s="3053"/>
      <c r="CA84" s="3053"/>
      <c r="CB84" s="3053"/>
      <c r="CC84" s="3053"/>
      <c r="CD84" s="3053"/>
      <c r="CE84" s="3053"/>
      <c r="CF84" s="3053"/>
      <c r="CG84" s="3053"/>
      <c r="CH84" s="3053"/>
      <c r="CI84" s="3053"/>
      <c r="CJ84" s="3053"/>
      <c r="CK84" s="3053"/>
      <c r="CL84" s="3053"/>
      <c r="CM84" s="3053"/>
      <c r="CN84" s="3053"/>
      <c r="CO84" s="3053"/>
      <c r="CP84" s="3053"/>
      <c r="CQ84" s="3053"/>
      <c r="CR84" s="3053"/>
      <c r="CS84" s="3053"/>
      <c r="CT84" s="3053"/>
    </row>
    <row r="85" spans="1:99" ht="6"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76"/>
      <c r="BO85" s="76"/>
      <c r="BP85" s="76"/>
      <c r="BQ85" s="76"/>
      <c r="BR85" s="76"/>
      <c r="BS85" s="76"/>
      <c r="BT85" s="76"/>
      <c r="BU85" s="76"/>
      <c r="BV85" s="76"/>
      <c r="BW85" s="76"/>
      <c r="BX85" s="76"/>
      <c r="BY85" s="76"/>
      <c r="BZ85" s="76"/>
      <c r="CA85" s="76"/>
      <c r="CB85" s="76"/>
      <c r="CC85" s="76"/>
      <c r="CD85" s="76"/>
      <c r="CE85" s="76"/>
      <c r="CF85" s="76"/>
      <c r="CG85" s="76"/>
      <c r="CH85" s="76"/>
      <c r="CI85" s="76"/>
      <c r="CJ85" s="76"/>
      <c r="CK85" s="76"/>
      <c r="CL85" s="76"/>
      <c r="CM85" s="76"/>
      <c r="CN85" s="76"/>
      <c r="CO85" s="76"/>
      <c r="CP85" s="76"/>
      <c r="CQ85" s="76"/>
      <c r="CR85" s="76"/>
      <c r="CS85" s="76"/>
      <c r="CT85" s="76"/>
      <c r="CU85" s="76"/>
    </row>
    <row r="86" spans="1:99" hidden="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87"/>
      <c r="BL86" s="87"/>
      <c r="BM86" s="87"/>
      <c r="BN86" s="76"/>
      <c r="BO86" s="76"/>
      <c r="BP86" s="76"/>
      <c r="BQ86" s="76"/>
      <c r="BR86" s="76"/>
      <c r="BS86" s="76"/>
      <c r="BT86" s="76"/>
      <c r="BU86" s="76"/>
      <c r="BV86" s="76"/>
      <c r="BW86" s="76"/>
      <c r="BX86" s="76"/>
      <c r="BY86" s="76"/>
      <c r="BZ86" s="76"/>
      <c r="CA86" s="76"/>
      <c r="CB86" s="76"/>
      <c r="CC86" s="76"/>
      <c r="CD86" s="76"/>
      <c r="CE86" s="76"/>
      <c r="CF86" s="76"/>
      <c r="CG86" s="76"/>
      <c r="CH86" s="76"/>
      <c r="CI86" s="76"/>
      <c r="CJ86" s="76"/>
      <c r="CK86" s="76"/>
      <c r="CL86" s="76"/>
      <c r="CM86" s="76"/>
      <c r="CN86" s="76"/>
      <c r="CO86" s="76"/>
      <c r="CP86" s="76"/>
      <c r="CQ86" s="76"/>
      <c r="CR86" s="76"/>
      <c r="CS86" s="76"/>
      <c r="CT86" s="76"/>
      <c r="CU86" s="76"/>
    </row>
    <row r="87" spans="1:99" hidden="1">
      <c r="A87" s="76"/>
      <c r="B87" s="76"/>
      <c r="C87" s="76"/>
      <c r="D87" s="76"/>
      <c r="E87" s="76"/>
      <c r="F87" s="76"/>
      <c r="G87" s="76"/>
      <c r="H87" s="76"/>
      <c r="I87" s="76"/>
      <c r="J87" s="76"/>
      <c r="K87" s="76"/>
      <c r="L87" s="76"/>
      <c r="M87" s="76"/>
      <c r="N87" s="76"/>
      <c r="O87" s="579" t="s">
        <v>501</v>
      </c>
      <c r="P87" s="579"/>
      <c r="Q87" s="579"/>
      <c r="R87" s="579"/>
      <c r="S87" s="579"/>
      <c r="T87" s="579"/>
      <c r="U87" s="579"/>
      <c r="V87" s="2993" t="s">
        <v>37</v>
      </c>
      <c r="W87" s="2993"/>
      <c r="X87" s="2993"/>
      <c r="Y87" s="2993"/>
      <c r="Z87" s="2993"/>
      <c r="AA87" s="2993" t="s">
        <v>462</v>
      </c>
      <c r="AB87" s="2993"/>
      <c r="AC87" s="2993"/>
      <c r="AD87" s="2993"/>
      <c r="AE87" s="2993"/>
      <c r="AF87" s="2993" t="s">
        <v>38</v>
      </c>
      <c r="AG87" s="2993"/>
      <c r="AH87" s="2993"/>
      <c r="AI87" s="2993"/>
      <c r="AJ87" s="2993"/>
      <c r="AK87" s="2993" t="s">
        <v>413</v>
      </c>
      <c r="AL87" s="2993"/>
      <c r="AM87" s="2993"/>
      <c r="AN87" s="2993"/>
      <c r="AO87" s="2993"/>
      <c r="BL87" s="87"/>
      <c r="BM87" s="87"/>
      <c r="CU87" s="76"/>
    </row>
    <row r="88" spans="1:99" hidden="1">
      <c r="A88" s="76"/>
      <c r="B88" s="76"/>
      <c r="K88" s="76"/>
      <c r="L88" s="76"/>
      <c r="M88" s="76"/>
      <c r="O88" s="2742" t="str">
        <f>'1 REHAB ANALYZER'!K98</f>
        <v>GENERAL CONDITIONS</v>
      </c>
      <c r="P88" s="2743"/>
      <c r="Q88" s="2743"/>
      <c r="R88" s="2743"/>
      <c r="S88" s="2743"/>
      <c r="T88" s="2743"/>
      <c r="U88" s="2744"/>
      <c r="V88" s="2745">
        <f>'1 REHAB ANALYZER'!R98</f>
        <v>0</v>
      </c>
      <c r="W88" s="2746"/>
      <c r="X88" s="2746"/>
      <c r="Y88" s="2746"/>
      <c r="Z88" s="2747"/>
      <c r="AA88" s="2745">
        <f>'1 REHAB ANALYZER'!W98</f>
        <v>0</v>
      </c>
      <c r="AB88" s="2746"/>
      <c r="AC88" s="2746"/>
      <c r="AD88" s="2746"/>
      <c r="AE88" s="2747"/>
      <c r="AF88" s="2745">
        <f>'1 REHAB ANALYZER'!AB98</f>
        <v>0</v>
      </c>
      <c r="AG88" s="2746"/>
      <c r="AH88" s="2746"/>
      <c r="AI88" s="2746"/>
      <c r="AJ88" s="2747"/>
      <c r="AK88" s="2745">
        <f>SUM(V88:AJ88)</f>
        <v>0</v>
      </c>
      <c r="AL88" s="2746"/>
      <c r="AM88" s="2746"/>
      <c r="AN88" s="2746"/>
      <c r="AO88" s="2747"/>
      <c r="BL88" s="570"/>
      <c r="BM88" s="570"/>
    </row>
    <row r="89" spans="1:99" hidden="1">
      <c r="A89" s="76"/>
      <c r="B89" s="76"/>
      <c r="K89" s="76"/>
      <c r="L89" s="76"/>
      <c r="M89" s="76"/>
      <c r="O89" s="2742" t="str">
        <f>'1 REHAB ANALYZER'!K99</f>
        <v>DEMOLITION</v>
      </c>
      <c r="P89" s="2743"/>
      <c r="Q89" s="2743"/>
      <c r="R89" s="2743"/>
      <c r="S89" s="2743"/>
      <c r="T89" s="2743"/>
      <c r="U89" s="2744"/>
      <c r="V89" s="2745">
        <f>'1 REHAB ANALYZER'!R99</f>
        <v>0</v>
      </c>
      <c r="W89" s="2746"/>
      <c r="X89" s="2746"/>
      <c r="Y89" s="2746"/>
      <c r="Z89" s="2747"/>
      <c r="AA89" s="2745">
        <f>'1 REHAB ANALYZER'!W99</f>
        <v>0</v>
      </c>
      <c r="AB89" s="2746"/>
      <c r="AC89" s="2746"/>
      <c r="AD89" s="2746"/>
      <c r="AE89" s="2747"/>
      <c r="AF89" s="2745">
        <f>'1 REHAB ANALYZER'!AB99</f>
        <v>0</v>
      </c>
      <c r="AG89" s="2746"/>
      <c r="AH89" s="2746"/>
      <c r="AI89" s="2746"/>
      <c r="AJ89" s="2747"/>
      <c r="AK89" s="2745">
        <f t="shared" ref="AK89:AK111" si="0">SUM(V89:AJ89)</f>
        <v>0</v>
      </c>
      <c r="AL89" s="2746"/>
      <c r="AM89" s="2746"/>
      <c r="AN89" s="2746"/>
      <c r="AO89" s="2747"/>
      <c r="BL89" s="570"/>
      <c r="BM89" s="570"/>
    </row>
    <row r="90" spans="1:99" ht="14.35" hidden="1">
      <c r="A90" s="76"/>
      <c r="B90" s="76"/>
      <c r="K90" s="76"/>
      <c r="L90" s="76"/>
      <c r="M90" s="76"/>
      <c r="O90" s="2742" t="str">
        <f>'1 REHAB ANALYZER'!K100</f>
        <v>STRUCTURAL CONCRETE</v>
      </c>
      <c r="P90" s="2743"/>
      <c r="Q90" s="2743"/>
      <c r="R90" s="2743"/>
      <c r="S90" s="2743"/>
      <c r="T90" s="2743"/>
      <c r="U90" s="2744"/>
      <c r="V90" s="2745">
        <f>'1 REHAB ANALYZER'!R100</f>
        <v>0</v>
      </c>
      <c r="W90" s="2746"/>
      <c r="X90" s="2746"/>
      <c r="Y90" s="2746"/>
      <c r="Z90" s="2747"/>
      <c r="AA90" s="2745">
        <f>'1 REHAB ANALYZER'!W100</f>
        <v>0</v>
      </c>
      <c r="AB90" s="2746"/>
      <c r="AC90" s="2746"/>
      <c r="AD90" s="2746"/>
      <c r="AE90" s="2747"/>
      <c r="AF90" s="2745">
        <f>'1 REHAB ANALYZER'!AB100</f>
        <v>0</v>
      </c>
      <c r="AG90" s="2746"/>
      <c r="AH90" s="2746"/>
      <c r="AI90" s="2746"/>
      <c r="AJ90" s="2747"/>
      <c r="AK90" s="2745">
        <f t="shared" si="0"/>
        <v>0</v>
      </c>
      <c r="AL90" s="2746"/>
      <c r="AM90" s="2746"/>
      <c r="AN90" s="2746"/>
      <c r="AO90" s="2747"/>
      <c r="AQ90" s="1821" t="s">
        <v>872</v>
      </c>
      <c r="AR90" s="1821"/>
      <c r="AS90" s="1821"/>
      <c r="AT90" s="1821"/>
      <c r="AU90" s="1821"/>
      <c r="BL90" s="570"/>
      <c r="BM90" s="570"/>
    </row>
    <row r="91" spans="1:99" ht="14.35" hidden="1">
      <c r="A91" s="76"/>
      <c r="B91" s="76"/>
      <c r="I91" s="76"/>
      <c r="J91" s="76"/>
      <c r="K91" s="76"/>
      <c r="L91" s="76"/>
      <c r="M91" s="76"/>
      <c r="O91" s="2742" t="str">
        <f>'1 REHAB ANALYZER'!K101</f>
        <v>CONCRETE &amp; FLATWORK</v>
      </c>
      <c r="P91" s="2743"/>
      <c r="Q91" s="2743"/>
      <c r="R91" s="2743"/>
      <c r="S91" s="2743"/>
      <c r="T91" s="2743"/>
      <c r="U91" s="2744"/>
      <c r="V91" s="2745">
        <f>'1 REHAB ANALYZER'!R101</f>
        <v>0</v>
      </c>
      <c r="W91" s="2746"/>
      <c r="X91" s="2746"/>
      <c r="Y91" s="2746"/>
      <c r="Z91" s="2747"/>
      <c r="AA91" s="2745">
        <f>'1 REHAB ANALYZER'!W101</f>
        <v>0</v>
      </c>
      <c r="AB91" s="2746"/>
      <c r="AC91" s="2746"/>
      <c r="AD91" s="2746"/>
      <c r="AE91" s="2747"/>
      <c r="AF91" s="2745">
        <f>'1 REHAB ANALYZER'!AB101</f>
        <v>0</v>
      </c>
      <c r="AG91" s="2746"/>
      <c r="AH91" s="2746"/>
      <c r="AI91" s="2746"/>
      <c r="AJ91" s="2747"/>
      <c r="AK91" s="2745">
        <f t="shared" si="0"/>
        <v>0</v>
      </c>
      <c r="AL91" s="2746"/>
      <c r="AM91" s="2746"/>
      <c r="AN91" s="2746"/>
      <c r="AO91" s="2747"/>
      <c r="AQ91" s="1821" t="s">
        <v>898</v>
      </c>
      <c r="AR91" s="1821"/>
      <c r="AS91" s="1821"/>
      <c r="AT91" s="1821"/>
      <c r="AU91" s="1821"/>
      <c r="BL91" s="570"/>
      <c r="BM91" s="570"/>
    </row>
    <row r="92" spans="1:99" hidden="1">
      <c r="A92" s="76"/>
      <c r="B92" s="76"/>
      <c r="I92" s="76"/>
      <c r="J92" s="76"/>
      <c r="K92" s="76"/>
      <c r="L92" s="76"/>
      <c r="M92" s="76"/>
      <c r="O92" s="2742" t="str">
        <f>'1 REHAB ANALYZER'!K102</f>
        <v>MASONRY</v>
      </c>
      <c r="P92" s="2743"/>
      <c r="Q92" s="2743"/>
      <c r="R92" s="2743"/>
      <c r="S92" s="2743"/>
      <c r="T92" s="2743"/>
      <c r="U92" s="2744"/>
      <c r="V92" s="2745">
        <f>'1 REHAB ANALYZER'!R102</f>
        <v>0</v>
      </c>
      <c r="W92" s="2746"/>
      <c r="X92" s="2746"/>
      <c r="Y92" s="2746"/>
      <c r="Z92" s="2747"/>
      <c r="AA92" s="2745">
        <f>'1 REHAB ANALYZER'!W102</f>
        <v>0</v>
      </c>
      <c r="AB92" s="2746"/>
      <c r="AC92" s="2746"/>
      <c r="AD92" s="2746"/>
      <c r="AE92" s="2747"/>
      <c r="AF92" s="2745">
        <f>'1 REHAB ANALYZER'!AB102</f>
        <v>0</v>
      </c>
      <c r="AG92" s="2746"/>
      <c r="AH92" s="2746"/>
      <c r="AI92" s="2746"/>
      <c r="AJ92" s="2747"/>
      <c r="AK92" s="2745">
        <f t="shared" si="0"/>
        <v>0</v>
      </c>
      <c r="AL92" s="2746"/>
      <c r="AM92" s="2746"/>
      <c r="AN92" s="2746"/>
      <c r="AO92" s="2747"/>
      <c r="BL92" s="570"/>
      <c r="BM92" s="570"/>
    </row>
    <row r="93" spans="1:99" ht="14.35" hidden="1">
      <c r="A93" s="76"/>
      <c r="B93" s="76"/>
      <c r="I93" s="76"/>
      <c r="J93" s="76"/>
      <c r="K93" s="76"/>
      <c r="L93" s="76"/>
      <c r="M93" s="76"/>
      <c r="O93" s="2742" t="str">
        <f>'1 REHAB ANALYZER'!K103</f>
        <v>SIDING</v>
      </c>
      <c r="P93" s="2743"/>
      <c r="Q93" s="2743"/>
      <c r="R93" s="2743"/>
      <c r="S93" s="2743"/>
      <c r="T93" s="2743"/>
      <c r="U93" s="2744"/>
      <c r="V93" s="2745">
        <f>'1 REHAB ANALYZER'!R103</f>
        <v>0</v>
      </c>
      <c r="W93" s="2746"/>
      <c r="X93" s="2746"/>
      <c r="Y93" s="2746"/>
      <c r="Z93" s="2747"/>
      <c r="AA93" s="2745">
        <f>'1 REHAB ANALYZER'!W103</f>
        <v>0</v>
      </c>
      <c r="AB93" s="2746"/>
      <c r="AC93" s="2746"/>
      <c r="AD93" s="2746"/>
      <c r="AE93" s="2747"/>
      <c r="AF93" s="2745">
        <f>'1 REHAB ANALYZER'!AB103</f>
        <v>0</v>
      </c>
      <c r="AG93" s="2746"/>
      <c r="AH93" s="2746"/>
      <c r="AI93" s="2746"/>
      <c r="AJ93" s="2747"/>
      <c r="AK93" s="2745">
        <f t="shared" si="0"/>
        <v>0</v>
      </c>
      <c r="AL93" s="2746"/>
      <c r="AM93" s="2746"/>
      <c r="AN93" s="2746"/>
      <c r="AO93" s="2747"/>
      <c r="AQ93" s="1821" t="s">
        <v>872</v>
      </c>
      <c r="AR93" s="1821"/>
      <c r="AS93" s="1821"/>
      <c r="AT93" s="1821"/>
      <c r="AU93" s="1821"/>
      <c r="BL93" s="570"/>
      <c r="BM93" s="570"/>
    </row>
    <row r="94" spans="1:99" ht="14.35" hidden="1">
      <c r="O94" s="2742" t="str">
        <f>'1 REHAB ANALYZER'!K104</f>
        <v>DECKING AND PATIOS</v>
      </c>
      <c r="P94" s="2743"/>
      <c r="Q94" s="2743"/>
      <c r="R94" s="2743"/>
      <c r="S94" s="2743"/>
      <c r="T94" s="2743"/>
      <c r="U94" s="2744"/>
      <c r="V94" s="2745">
        <f>'1 REHAB ANALYZER'!R104</f>
        <v>0</v>
      </c>
      <c r="W94" s="2746"/>
      <c r="X94" s="2746"/>
      <c r="Y94" s="2746"/>
      <c r="Z94" s="2747"/>
      <c r="AA94" s="2745">
        <f>'1 REHAB ANALYZER'!W104</f>
        <v>0</v>
      </c>
      <c r="AB94" s="2746"/>
      <c r="AC94" s="2746"/>
      <c r="AD94" s="2746"/>
      <c r="AE94" s="2747"/>
      <c r="AF94" s="2745">
        <f>'1 REHAB ANALYZER'!AB104</f>
        <v>0</v>
      </c>
      <c r="AG94" s="2746"/>
      <c r="AH94" s="2746"/>
      <c r="AI94" s="2746"/>
      <c r="AJ94" s="2747"/>
      <c r="AK94" s="2745">
        <f t="shared" si="0"/>
        <v>0</v>
      </c>
      <c r="AL94" s="2746"/>
      <c r="AM94" s="2746"/>
      <c r="AN94" s="2746"/>
      <c r="AO94" s="2747"/>
      <c r="AQ94" s="1821" t="s">
        <v>874</v>
      </c>
      <c r="AR94" s="1821"/>
      <c r="AS94" s="1821"/>
      <c r="AT94" s="1821"/>
      <c r="AU94" s="1821"/>
      <c r="BL94" s="570"/>
      <c r="BM94" s="570"/>
    </row>
    <row r="95" spans="1:99" ht="14.35" hidden="1">
      <c r="O95" s="2742" t="str">
        <f>'1 REHAB ANALYZER'!K105</f>
        <v>ROOFING</v>
      </c>
      <c r="P95" s="2743"/>
      <c r="Q95" s="2743"/>
      <c r="R95" s="2743"/>
      <c r="S95" s="2743"/>
      <c r="T95" s="2743"/>
      <c r="U95" s="2744"/>
      <c r="V95" s="2745">
        <f>'1 REHAB ANALYZER'!R105</f>
        <v>0</v>
      </c>
      <c r="W95" s="2746"/>
      <c r="X95" s="2746"/>
      <c r="Y95" s="2746"/>
      <c r="Z95" s="2747"/>
      <c r="AA95" s="2745">
        <f>'1 REHAB ANALYZER'!W105</f>
        <v>0</v>
      </c>
      <c r="AB95" s="2746"/>
      <c r="AC95" s="2746"/>
      <c r="AD95" s="2746"/>
      <c r="AE95" s="2747"/>
      <c r="AF95" s="2745">
        <f>'1 REHAB ANALYZER'!AB105</f>
        <v>0</v>
      </c>
      <c r="AG95" s="2746"/>
      <c r="AH95" s="2746"/>
      <c r="AI95" s="2746"/>
      <c r="AJ95" s="2747"/>
      <c r="AK95" s="2745">
        <f t="shared" si="0"/>
        <v>0</v>
      </c>
      <c r="AL95" s="2746"/>
      <c r="AM95" s="2746"/>
      <c r="AN95" s="2746"/>
      <c r="AO95" s="2747"/>
      <c r="AQ95" s="1821" t="s">
        <v>873</v>
      </c>
      <c r="AR95" s="1821"/>
      <c r="AS95" s="1821"/>
      <c r="AT95" s="1821"/>
      <c r="AU95" s="1821"/>
      <c r="BL95" s="570"/>
      <c r="BM95" s="570"/>
    </row>
    <row r="96" spans="1:99" hidden="1">
      <c r="O96" s="2742" t="str">
        <f>'1 REHAB ANALYZER'!K106</f>
        <v>EXTERIOR DOORS &amp; WINDOWS</v>
      </c>
      <c r="P96" s="2743"/>
      <c r="Q96" s="2743"/>
      <c r="R96" s="2743"/>
      <c r="S96" s="2743"/>
      <c r="T96" s="2743"/>
      <c r="U96" s="2744"/>
      <c r="V96" s="2745">
        <f>'1 REHAB ANALYZER'!R106</f>
        <v>0</v>
      </c>
      <c r="W96" s="2746"/>
      <c r="X96" s="2746"/>
      <c r="Y96" s="2746"/>
      <c r="Z96" s="2747"/>
      <c r="AA96" s="2745">
        <f>'1 REHAB ANALYZER'!W106</f>
        <v>0</v>
      </c>
      <c r="AB96" s="2746"/>
      <c r="AC96" s="2746"/>
      <c r="AD96" s="2746"/>
      <c r="AE96" s="2747"/>
      <c r="AF96" s="2745">
        <f>'1 REHAB ANALYZER'!AB106</f>
        <v>0</v>
      </c>
      <c r="AG96" s="2746"/>
      <c r="AH96" s="2746"/>
      <c r="AI96" s="2746"/>
      <c r="AJ96" s="2747"/>
      <c r="AK96" s="2745">
        <f t="shared" si="0"/>
        <v>0</v>
      </c>
      <c r="AL96" s="2746"/>
      <c r="AM96" s="2746"/>
      <c r="AN96" s="2746"/>
      <c r="AO96" s="2747"/>
      <c r="BL96" s="570"/>
      <c r="BM96" s="570"/>
    </row>
    <row r="97" spans="15:65" ht="14.35" hidden="1">
      <c r="O97" s="2742" t="str">
        <f>'1 REHAB ANALYZER'!K107</f>
        <v>GARAGE DOORS</v>
      </c>
      <c r="P97" s="2743"/>
      <c r="Q97" s="2743"/>
      <c r="R97" s="2743"/>
      <c r="S97" s="2743"/>
      <c r="T97" s="2743"/>
      <c r="U97" s="2744"/>
      <c r="V97" s="2745">
        <f>'1 REHAB ANALYZER'!R107</f>
        <v>0</v>
      </c>
      <c r="W97" s="2746"/>
      <c r="X97" s="2746"/>
      <c r="Y97" s="2746"/>
      <c r="Z97" s="2747"/>
      <c r="AA97" s="2745">
        <f>'1 REHAB ANALYZER'!W107</f>
        <v>0</v>
      </c>
      <c r="AB97" s="2746"/>
      <c r="AC97" s="2746"/>
      <c r="AD97" s="2746"/>
      <c r="AE97" s="2747"/>
      <c r="AF97" s="2745">
        <f>'1 REHAB ANALYZER'!AB107</f>
        <v>0</v>
      </c>
      <c r="AG97" s="2746"/>
      <c r="AH97" s="2746"/>
      <c r="AI97" s="2746"/>
      <c r="AJ97" s="2747"/>
      <c r="AK97" s="2745">
        <f t="shared" si="0"/>
        <v>0</v>
      </c>
      <c r="AL97" s="2746"/>
      <c r="AM97" s="2746"/>
      <c r="AN97" s="2746"/>
      <c r="AO97" s="2747"/>
      <c r="AQ97" s="2741" t="s">
        <v>1255</v>
      </c>
      <c r="AR97" s="2741"/>
      <c r="AS97" s="2741"/>
      <c r="AT97" s="2741"/>
      <c r="AU97" s="2741"/>
      <c r="AV97" s="2741"/>
      <c r="AW97" s="2741"/>
      <c r="AX97" s="2741"/>
      <c r="AY97" s="2741"/>
      <c r="AZ97" s="2741"/>
      <c r="BA97" s="2741"/>
      <c r="BB97" s="2741"/>
      <c r="BL97" s="570"/>
      <c r="BM97" s="570"/>
    </row>
    <row r="98" spans="15:65" ht="15" hidden="1" customHeight="1">
      <c r="O98" s="2742" t="str">
        <f>'1 REHAB ANALYZER'!K108</f>
        <v>LANDSCAPING</v>
      </c>
      <c r="P98" s="2743"/>
      <c r="Q98" s="2743"/>
      <c r="R98" s="2743"/>
      <c r="S98" s="2743"/>
      <c r="T98" s="2743"/>
      <c r="U98" s="2744"/>
      <c r="V98" s="2745">
        <f>'1 REHAB ANALYZER'!R108</f>
        <v>0</v>
      </c>
      <c r="W98" s="2746"/>
      <c r="X98" s="2746"/>
      <c r="Y98" s="2746"/>
      <c r="Z98" s="2747"/>
      <c r="AA98" s="2745">
        <f>'1 REHAB ANALYZER'!W108</f>
        <v>0</v>
      </c>
      <c r="AB98" s="2746"/>
      <c r="AC98" s="2746"/>
      <c r="AD98" s="2746"/>
      <c r="AE98" s="2747"/>
      <c r="AF98" s="2745">
        <f>'1 REHAB ANALYZER'!AB108</f>
        <v>0</v>
      </c>
      <c r="AG98" s="2746"/>
      <c r="AH98" s="2746"/>
      <c r="AI98" s="2746"/>
      <c r="AJ98" s="2747"/>
      <c r="AK98" s="2745">
        <f t="shared" si="0"/>
        <v>0</v>
      </c>
      <c r="AL98" s="2746"/>
      <c r="AM98" s="2746"/>
      <c r="AN98" s="2746"/>
      <c r="AO98" s="2747"/>
      <c r="AQ98" s="2025" t="s">
        <v>343</v>
      </c>
      <c r="AR98" s="2025"/>
      <c r="AS98" s="2025"/>
      <c r="AT98" s="2025"/>
      <c r="AU98" s="2025"/>
      <c r="AV98" s="2025"/>
      <c r="AW98" s="2025"/>
      <c r="AX98" s="2025"/>
      <c r="AY98" s="2025"/>
      <c r="AZ98" s="1823" t="e">
        <f>1-AZ99</f>
        <v>#DIV/0!</v>
      </c>
      <c r="BA98" s="1823"/>
      <c r="BB98" s="1823"/>
      <c r="BL98" s="570"/>
      <c r="BM98" s="570"/>
    </row>
    <row r="99" spans="15:65" ht="15" hidden="1" customHeight="1">
      <c r="O99" s="2742" t="str">
        <f>'1 REHAB ANALYZER'!K109</f>
        <v>MISC. EXTERIOR ITEMS</v>
      </c>
      <c r="P99" s="2743"/>
      <c r="Q99" s="2743"/>
      <c r="R99" s="2743"/>
      <c r="S99" s="2743"/>
      <c r="T99" s="2743"/>
      <c r="U99" s="2744"/>
      <c r="V99" s="2745">
        <f>'1 REHAB ANALYZER'!R109</f>
        <v>0</v>
      </c>
      <c r="W99" s="2746"/>
      <c r="X99" s="2746"/>
      <c r="Y99" s="2746"/>
      <c r="Z99" s="2747"/>
      <c r="AA99" s="2745">
        <f>'1 REHAB ANALYZER'!W109</f>
        <v>0</v>
      </c>
      <c r="AB99" s="2746"/>
      <c r="AC99" s="2746"/>
      <c r="AD99" s="2746"/>
      <c r="AE99" s="2747"/>
      <c r="AF99" s="2745">
        <f>'1 REHAB ANALYZER'!AB109</f>
        <v>0</v>
      </c>
      <c r="AG99" s="2746"/>
      <c r="AH99" s="2746"/>
      <c r="AI99" s="2746"/>
      <c r="AJ99" s="2747"/>
      <c r="AK99" s="2745">
        <f t="shared" si="0"/>
        <v>0</v>
      </c>
      <c r="AL99" s="2746"/>
      <c r="AM99" s="2746"/>
      <c r="AN99" s="2746"/>
      <c r="AO99" s="2747"/>
      <c r="AQ99" s="2025" t="s">
        <v>344</v>
      </c>
      <c r="AR99" s="2025"/>
      <c r="AS99" s="2025"/>
      <c r="AT99" s="2025"/>
      <c r="AU99" s="2025"/>
      <c r="AV99" s="2025"/>
      <c r="AW99" s="2025"/>
      <c r="AX99" s="2025"/>
      <c r="AY99" s="2025"/>
      <c r="AZ99" s="1823" t="e">
        <f>TOTAL_FIXED_COSTS_WHOLESALE/AFTER_REPAIR_VALUE_WHOLESALE</f>
        <v>#DIV/0!</v>
      </c>
      <c r="BA99" s="1823"/>
      <c r="BB99" s="1823"/>
      <c r="BL99" s="570"/>
      <c r="BM99" s="570"/>
    </row>
    <row r="100" spans="15:65" hidden="1">
      <c r="O100" s="2742" t="str">
        <f>'1 REHAB ANALYZER'!K110</f>
        <v>FRAMING &amp; DRYWALL</v>
      </c>
      <c r="P100" s="2743"/>
      <c r="Q100" s="2743"/>
      <c r="R100" s="2743"/>
      <c r="S100" s="2743"/>
      <c r="T100" s="2743"/>
      <c r="U100" s="2744"/>
      <c r="V100" s="2745">
        <f>'1 REHAB ANALYZER'!R110</f>
        <v>0</v>
      </c>
      <c r="W100" s="2746"/>
      <c r="X100" s="2746"/>
      <c r="Y100" s="2746"/>
      <c r="Z100" s="2747"/>
      <c r="AA100" s="2745">
        <f>'1 REHAB ANALYZER'!W110</f>
        <v>0</v>
      </c>
      <c r="AB100" s="2746"/>
      <c r="AC100" s="2746"/>
      <c r="AD100" s="2746"/>
      <c r="AE100" s="2747"/>
      <c r="AF100" s="2745">
        <f>'1 REHAB ANALYZER'!AB110</f>
        <v>0</v>
      </c>
      <c r="AG100" s="2746"/>
      <c r="AH100" s="2746"/>
      <c r="AI100" s="2746"/>
      <c r="AJ100" s="2747"/>
      <c r="AK100" s="2745">
        <f t="shared" si="0"/>
        <v>0</v>
      </c>
      <c r="AL100" s="2746"/>
      <c r="AM100" s="2746"/>
      <c r="AN100" s="2746"/>
      <c r="AO100" s="2747"/>
      <c r="BL100" s="570"/>
      <c r="BM100" s="570"/>
    </row>
    <row r="101" spans="15:65" hidden="1">
      <c r="O101" s="2742" t="str">
        <f>'1 REHAB ANALYZER'!K111</f>
        <v>CABINETS &amp; COUNTERTOPS</v>
      </c>
      <c r="P101" s="2743"/>
      <c r="Q101" s="2743"/>
      <c r="R101" s="2743"/>
      <c r="S101" s="2743"/>
      <c r="T101" s="2743"/>
      <c r="U101" s="2744"/>
      <c r="V101" s="2745">
        <f>'1 REHAB ANALYZER'!R111</f>
        <v>0</v>
      </c>
      <c r="W101" s="2746"/>
      <c r="X101" s="2746"/>
      <c r="Y101" s="2746"/>
      <c r="Z101" s="2747"/>
      <c r="AA101" s="2745">
        <f>'1 REHAB ANALYZER'!W111</f>
        <v>0</v>
      </c>
      <c r="AB101" s="2746"/>
      <c r="AC101" s="2746"/>
      <c r="AD101" s="2746"/>
      <c r="AE101" s="2747"/>
      <c r="AF101" s="2745">
        <f>'1 REHAB ANALYZER'!AB111</f>
        <v>0</v>
      </c>
      <c r="AG101" s="2746"/>
      <c r="AH101" s="2746"/>
      <c r="AI101" s="2746"/>
      <c r="AJ101" s="2747"/>
      <c r="AK101" s="2745">
        <f t="shared" si="0"/>
        <v>0</v>
      </c>
      <c r="AL101" s="2746"/>
      <c r="AM101" s="2746"/>
      <c r="AN101" s="2746"/>
      <c r="AO101" s="2747"/>
      <c r="BL101" s="570"/>
      <c r="BM101" s="570"/>
    </row>
    <row r="102" spans="15:65" hidden="1">
      <c r="O102" s="2742" t="str">
        <f>'1 REHAB ANALYZER'!K112</f>
        <v>DOORS &amp; TRIM</v>
      </c>
      <c r="P102" s="2743"/>
      <c r="Q102" s="2743"/>
      <c r="R102" s="2743"/>
      <c r="S102" s="2743"/>
      <c r="T102" s="2743"/>
      <c r="U102" s="2744"/>
      <c r="V102" s="2745">
        <f>'1 REHAB ANALYZER'!R112</f>
        <v>0</v>
      </c>
      <c r="W102" s="2746"/>
      <c r="X102" s="2746"/>
      <c r="Y102" s="2746"/>
      <c r="Z102" s="2747"/>
      <c r="AA102" s="2745">
        <f>'1 REHAB ANALYZER'!W112</f>
        <v>0</v>
      </c>
      <c r="AB102" s="2746"/>
      <c r="AC102" s="2746"/>
      <c r="AD102" s="2746"/>
      <c r="AE102" s="2747"/>
      <c r="AF102" s="2745">
        <f>'1 REHAB ANALYZER'!AB112</f>
        <v>0</v>
      </c>
      <c r="AG102" s="2746"/>
      <c r="AH102" s="2746"/>
      <c r="AI102" s="2746"/>
      <c r="AJ102" s="2747"/>
      <c r="AK102" s="2745">
        <f t="shared" si="0"/>
        <v>0</v>
      </c>
      <c r="AL102" s="2746"/>
      <c r="AM102" s="2746"/>
      <c r="AN102" s="2746"/>
      <c r="AO102" s="2747"/>
      <c r="BL102" s="570"/>
      <c r="BM102" s="570"/>
    </row>
    <row r="103" spans="15:65" hidden="1">
      <c r="O103" s="2742" t="str">
        <f>'1 REHAB ANALYZER'!K113</f>
        <v>CARPET &amp; RESILIENT</v>
      </c>
      <c r="P103" s="2743"/>
      <c r="Q103" s="2743"/>
      <c r="R103" s="2743"/>
      <c r="S103" s="2743"/>
      <c r="T103" s="2743"/>
      <c r="U103" s="2744"/>
      <c r="V103" s="2745">
        <f>'1 REHAB ANALYZER'!R113</f>
        <v>0</v>
      </c>
      <c r="W103" s="2746"/>
      <c r="X103" s="2746"/>
      <c r="Y103" s="2746"/>
      <c r="Z103" s="2747"/>
      <c r="AA103" s="2745">
        <f>'1 REHAB ANALYZER'!W113</f>
        <v>0</v>
      </c>
      <c r="AB103" s="2746"/>
      <c r="AC103" s="2746"/>
      <c r="AD103" s="2746"/>
      <c r="AE103" s="2747"/>
      <c r="AF103" s="2745">
        <f>'1 REHAB ANALYZER'!AB113</f>
        <v>0</v>
      </c>
      <c r="AG103" s="2746"/>
      <c r="AH103" s="2746"/>
      <c r="AI103" s="2746"/>
      <c r="AJ103" s="2747"/>
      <c r="AK103" s="2745">
        <f t="shared" si="0"/>
        <v>0</v>
      </c>
      <c r="AL103" s="2746"/>
      <c r="AM103" s="2746"/>
      <c r="AN103" s="2746"/>
      <c r="AO103" s="2747"/>
      <c r="BL103" s="570"/>
      <c r="BM103" s="570"/>
    </row>
    <row r="104" spans="15:65" hidden="1">
      <c r="O104" s="2742" t="str">
        <f>'1 REHAB ANALYZER'!K114</f>
        <v>HARDWOOD FLOORING</v>
      </c>
      <c r="P104" s="2743"/>
      <c r="Q104" s="2743"/>
      <c r="R104" s="2743"/>
      <c r="S104" s="2743"/>
      <c r="T104" s="2743"/>
      <c r="U104" s="2744"/>
      <c r="V104" s="2745">
        <f>'1 REHAB ANALYZER'!R114</f>
        <v>0</v>
      </c>
      <c r="W104" s="2746"/>
      <c r="X104" s="2746"/>
      <c r="Y104" s="2746"/>
      <c r="Z104" s="2747"/>
      <c r="AA104" s="2745">
        <f>'1 REHAB ANALYZER'!W114</f>
        <v>0</v>
      </c>
      <c r="AB104" s="2746"/>
      <c r="AC104" s="2746"/>
      <c r="AD104" s="2746"/>
      <c r="AE104" s="2747"/>
      <c r="AF104" s="2745">
        <f>'1 REHAB ANALYZER'!AB114</f>
        <v>0</v>
      </c>
      <c r="AG104" s="2746"/>
      <c r="AH104" s="2746"/>
      <c r="AI104" s="2746"/>
      <c r="AJ104" s="2747"/>
      <c r="AK104" s="2745">
        <f t="shared" si="0"/>
        <v>0</v>
      </c>
      <c r="AL104" s="2746"/>
      <c r="AM104" s="2746"/>
      <c r="AN104" s="2746"/>
      <c r="AO104" s="2747"/>
      <c r="BL104" s="570"/>
      <c r="BM104" s="570"/>
    </row>
    <row r="105" spans="15:65" hidden="1">
      <c r="O105" s="2742" t="str">
        <f>'1 REHAB ANALYZER'!K115</f>
        <v>TILING</v>
      </c>
      <c r="P105" s="2743"/>
      <c r="Q105" s="2743"/>
      <c r="R105" s="2743"/>
      <c r="S105" s="2743"/>
      <c r="T105" s="2743"/>
      <c r="U105" s="2744"/>
      <c r="V105" s="2745">
        <f>'1 REHAB ANALYZER'!R115</f>
        <v>0</v>
      </c>
      <c r="W105" s="2746"/>
      <c r="X105" s="2746"/>
      <c r="Y105" s="2746"/>
      <c r="Z105" s="2747"/>
      <c r="AA105" s="2745">
        <f>'1 REHAB ANALYZER'!W115</f>
        <v>0</v>
      </c>
      <c r="AB105" s="2746"/>
      <c r="AC105" s="2746"/>
      <c r="AD105" s="2746"/>
      <c r="AE105" s="2747"/>
      <c r="AF105" s="2745">
        <f>'1 REHAB ANALYZER'!AB115</f>
        <v>0</v>
      </c>
      <c r="AG105" s="2746"/>
      <c r="AH105" s="2746"/>
      <c r="AI105" s="2746"/>
      <c r="AJ105" s="2747"/>
      <c r="AK105" s="2745">
        <f t="shared" si="0"/>
        <v>0</v>
      </c>
      <c r="AL105" s="2746"/>
      <c r="AM105" s="2746"/>
      <c r="AN105" s="2746"/>
      <c r="AO105" s="2747"/>
      <c r="BL105" s="570"/>
      <c r="BM105" s="570"/>
    </row>
    <row r="106" spans="15:65" hidden="1">
      <c r="O106" s="2742" t="str">
        <f>'1 REHAB ANALYZER'!K116</f>
        <v>PAINTING</v>
      </c>
      <c r="P106" s="2743"/>
      <c r="Q106" s="2743"/>
      <c r="R106" s="2743"/>
      <c r="S106" s="2743"/>
      <c r="T106" s="2743"/>
      <c r="U106" s="2744"/>
      <c r="V106" s="2745">
        <f>'1 REHAB ANALYZER'!R116</f>
        <v>0</v>
      </c>
      <c r="W106" s="2746"/>
      <c r="X106" s="2746"/>
      <c r="Y106" s="2746"/>
      <c r="Z106" s="2747"/>
      <c r="AA106" s="2745">
        <f>'1 REHAB ANALYZER'!W116</f>
        <v>0</v>
      </c>
      <c r="AB106" s="2746"/>
      <c r="AC106" s="2746"/>
      <c r="AD106" s="2746"/>
      <c r="AE106" s="2747"/>
      <c r="AF106" s="2745">
        <f>'1 REHAB ANALYZER'!AB116</f>
        <v>0</v>
      </c>
      <c r="AG106" s="2746"/>
      <c r="AH106" s="2746"/>
      <c r="AI106" s="2746"/>
      <c r="AJ106" s="2747"/>
      <c r="AK106" s="2745">
        <f t="shared" si="0"/>
        <v>0</v>
      </c>
      <c r="AL106" s="2746"/>
      <c r="AM106" s="2746"/>
      <c r="AN106" s="2746"/>
      <c r="AO106" s="2747"/>
      <c r="BL106" s="570"/>
      <c r="BM106" s="570"/>
    </row>
    <row r="107" spans="15:65" hidden="1">
      <c r="O107" s="2742" t="str">
        <f>'1 REHAB ANALYZER'!K117</f>
        <v>APPLIANCES</v>
      </c>
      <c r="P107" s="2743"/>
      <c r="Q107" s="2743"/>
      <c r="R107" s="2743"/>
      <c r="S107" s="2743"/>
      <c r="T107" s="2743"/>
      <c r="U107" s="2744"/>
      <c r="V107" s="2745">
        <f>'1 REHAB ANALYZER'!R117</f>
        <v>0</v>
      </c>
      <c r="W107" s="2746"/>
      <c r="X107" s="2746"/>
      <c r="Y107" s="2746"/>
      <c r="Z107" s="2747"/>
      <c r="AA107" s="2745">
        <f>'1 REHAB ANALYZER'!W117</f>
        <v>0</v>
      </c>
      <c r="AB107" s="2746"/>
      <c r="AC107" s="2746"/>
      <c r="AD107" s="2746"/>
      <c r="AE107" s="2747"/>
      <c r="AF107" s="2745">
        <f>'1 REHAB ANALYZER'!AB117</f>
        <v>0</v>
      </c>
      <c r="AG107" s="2746"/>
      <c r="AH107" s="2746"/>
      <c r="AI107" s="2746"/>
      <c r="AJ107" s="2747"/>
      <c r="AK107" s="2745">
        <f t="shared" si="0"/>
        <v>0</v>
      </c>
      <c r="AL107" s="2746"/>
      <c r="AM107" s="2746"/>
      <c r="AN107" s="2746"/>
      <c r="AO107" s="2747"/>
      <c r="BL107" s="570"/>
      <c r="BM107" s="570"/>
    </row>
    <row r="108" spans="15:65" hidden="1">
      <c r="O108" s="2742" t="str">
        <f>'1 REHAB ANALYZER'!K118</f>
        <v>PLUMBING</v>
      </c>
      <c r="P108" s="2743"/>
      <c r="Q108" s="2743"/>
      <c r="R108" s="2743"/>
      <c r="S108" s="2743"/>
      <c r="T108" s="2743"/>
      <c r="U108" s="2744"/>
      <c r="V108" s="2745">
        <f>'1 REHAB ANALYZER'!R118</f>
        <v>0</v>
      </c>
      <c r="W108" s="2746"/>
      <c r="X108" s="2746"/>
      <c r="Y108" s="2746"/>
      <c r="Z108" s="2747"/>
      <c r="AA108" s="2745">
        <f>'1 REHAB ANALYZER'!W118</f>
        <v>0</v>
      </c>
      <c r="AB108" s="2746"/>
      <c r="AC108" s="2746"/>
      <c r="AD108" s="2746"/>
      <c r="AE108" s="2747"/>
      <c r="AF108" s="2745">
        <f>'1 REHAB ANALYZER'!AB118</f>
        <v>0</v>
      </c>
      <c r="AG108" s="2746"/>
      <c r="AH108" s="2746"/>
      <c r="AI108" s="2746"/>
      <c r="AJ108" s="2747"/>
      <c r="AK108" s="2745">
        <f t="shared" si="0"/>
        <v>0</v>
      </c>
      <c r="AL108" s="2746"/>
      <c r="AM108" s="2746"/>
      <c r="AN108" s="2746"/>
      <c r="AO108" s="2747"/>
      <c r="BL108" s="570"/>
      <c r="BM108" s="570"/>
    </row>
    <row r="109" spans="15:65" hidden="1">
      <c r="O109" s="2742" t="str">
        <f>'1 REHAB ANALYZER'!K119</f>
        <v>HVAC</v>
      </c>
      <c r="P109" s="2743"/>
      <c r="Q109" s="2743"/>
      <c r="R109" s="2743"/>
      <c r="S109" s="2743"/>
      <c r="T109" s="2743"/>
      <c r="U109" s="2744"/>
      <c r="V109" s="2745">
        <f>'1 REHAB ANALYZER'!R119</f>
        <v>0</v>
      </c>
      <c r="W109" s="2746"/>
      <c r="X109" s="2746"/>
      <c r="Y109" s="2746"/>
      <c r="Z109" s="2747"/>
      <c r="AA109" s="2745">
        <f>'1 REHAB ANALYZER'!W119</f>
        <v>0</v>
      </c>
      <c r="AB109" s="2746"/>
      <c r="AC109" s="2746"/>
      <c r="AD109" s="2746"/>
      <c r="AE109" s="2747"/>
      <c r="AF109" s="2745">
        <f>'1 REHAB ANALYZER'!AB119</f>
        <v>0</v>
      </c>
      <c r="AG109" s="2746"/>
      <c r="AH109" s="2746"/>
      <c r="AI109" s="2746"/>
      <c r="AJ109" s="2747"/>
      <c r="AK109" s="2745">
        <f t="shared" si="0"/>
        <v>0</v>
      </c>
      <c r="AL109" s="2746"/>
      <c r="AM109" s="2746"/>
      <c r="AN109" s="2746"/>
      <c r="AO109" s="2747"/>
      <c r="BL109" s="570"/>
      <c r="BM109" s="570"/>
    </row>
    <row r="110" spans="15:65" hidden="1">
      <c r="O110" s="2742" t="str">
        <f>'1 REHAB ANALYZER'!K120</f>
        <v>ELECTRICAL</v>
      </c>
      <c r="P110" s="2743"/>
      <c r="Q110" s="2743"/>
      <c r="R110" s="2743"/>
      <c r="S110" s="2743"/>
      <c r="T110" s="2743"/>
      <c r="U110" s="2744"/>
      <c r="V110" s="2745">
        <f>'1 REHAB ANALYZER'!R120</f>
        <v>0</v>
      </c>
      <c r="W110" s="2746"/>
      <c r="X110" s="2746"/>
      <c r="Y110" s="2746"/>
      <c r="Z110" s="2747"/>
      <c r="AA110" s="2745">
        <f>'1 REHAB ANALYZER'!W120</f>
        <v>0</v>
      </c>
      <c r="AB110" s="2746"/>
      <c r="AC110" s="2746"/>
      <c r="AD110" s="2746"/>
      <c r="AE110" s="2747"/>
      <c r="AF110" s="2745">
        <f>'1 REHAB ANALYZER'!AB120</f>
        <v>0</v>
      </c>
      <c r="AG110" s="2746"/>
      <c r="AH110" s="2746"/>
      <c r="AI110" s="2746"/>
      <c r="AJ110" s="2747"/>
      <c r="AK110" s="2745">
        <f t="shared" si="0"/>
        <v>0</v>
      </c>
      <c r="AL110" s="2746"/>
      <c r="AM110" s="2746"/>
      <c r="AN110" s="2746"/>
      <c r="AO110" s="2747"/>
      <c r="BL110" s="570"/>
      <c r="BM110" s="570"/>
    </row>
    <row r="111" spans="15:65" hidden="1">
      <c r="O111" s="2742" t="str">
        <f>'1 REHAB ANALYZER'!K121</f>
        <v>MISCELLANEOUS</v>
      </c>
      <c r="P111" s="2743"/>
      <c r="Q111" s="2743"/>
      <c r="R111" s="2743"/>
      <c r="S111" s="2743"/>
      <c r="T111" s="2743"/>
      <c r="U111" s="2744"/>
      <c r="V111" s="2745">
        <f>'1 REHAB ANALYZER'!R121</f>
        <v>0</v>
      </c>
      <c r="W111" s="2746"/>
      <c r="X111" s="2746"/>
      <c r="Y111" s="2746"/>
      <c r="Z111" s="2747"/>
      <c r="AA111" s="2745">
        <f>'1 REHAB ANALYZER'!W121</f>
        <v>0</v>
      </c>
      <c r="AB111" s="2746"/>
      <c r="AC111" s="2746"/>
      <c r="AD111" s="2746"/>
      <c r="AE111" s="2747"/>
      <c r="AF111" s="2745">
        <f>'1 REHAB ANALYZER'!AB121</f>
        <v>0</v>
      </c>
      <c r="AG111" s="2746"/>
      <c r="AH111" s="2746"/>
      <c r="AI111" s="2746"/>
      <c r="AJ111" s="2747"/>
      <c r="AK111" s="2745">
        <f t="shared" si="0"/>
        <v>0</v>
      </c>
      <c r="AL111" s="2746"/>
      <c r="AM111" s="2746"/>
      <c r="AN111" s="2746"/>
      <c r="AO111" s="2747"/>
      <c r="BL111" s="570"/>
      <c r="BM111" s="570"/>
    </row>
    <row r="112" spans="15:65" hidden="1">
      <c r="O112" s="2742" t="s">
        <v>39</v>
      </c>
      <c r="P112" s="2743"/>
      <c r="Q112" s="2743"/>
      <c r="R112" s="2743"/>
      <c r="S112" s="2743"/>
      <c r="T112" s="2743"/>
      <c r="U112" s="2744"/>
      <c r="V112" s="2745">
        <f>SUM(V88:Z111)</f>
        <v>0</v>
      </c>
      <c r="W112" s="2746"/>
      <c r="X112" s="2746"/>
      <c r="Y112" s="2746"/>
      <c r="Z112" s="2747"/>
      <c r="AA112" s="2745">
        <f>SUM(AA88:AE111)</f>
        <v>0</v>
      </c>
      <c r="AB112" s="2746"/>
      <c r="AC112" s="2746"/>
      <c r="AD112" s="2746"/>
      <c r="AE112" s="2747"/>
      <c r="AF112" s="2745">
        <f>SUM(AF88:AJ111)</f>
        <v>0</v>
      </c>
      <c r="AG112" s="2746"/>
      <c r="AH112" s="2746"/>
      <c r="AI112" s="2746"/>
      <c r="AJ112" s="2747"/>
      <c r="AK112" s="2745">
        <f>SUM(AK88:AO111)</f>
        <v>0</v>
      </c>
      <c r="AL112" s="2746"/>
      <c r="AM112" s="2746"/>
      <c r="AN112" s="2746"/>
      <c r="AO112" s="2747"/>
      <c r="AP112" s="570"/>
      <c r="AQ112" s="570"/>
      <c r="AR112" s="570"/>
      <c r="AS112" s="570"/>
      <c r="AT112" s="570"/>
      <c r="AU112" s="570"/>
      <c r="AV112" s="570"/>
      <c r="AW112" s="570"/>
      <c r="AX112" s="570"/>
      <c r="AY112" s="570"/>
      <c r="AZ112" s="570"/>
      <c r="BA112" s="570"/>
      <c r="BB112" s="570"/>
      <c r="BC112" s="570"/>
      <c r="BD112" s="570"/>
      <c r="BE112" s="570"/>
      <c r="BF112" s="570"/>
      <c r="BG112" s="570"/>
      <c r="BH112" s="570"/>
      <c r="BI112" s="570"/>
      <c r="BJ112" s="570"/>
      <c r="BK112" s="570"/>
      <c r="BL112" s="570"/>
      <c r="BM112" s="570"/>
    </row>
    <row r="113" spans="15:42" ht="7.35" hidden="1" customHeight="1">
      <c r="AH113" s="88"/>
    </row>
    <row r="114" spans="15:42" ht="7.35" hidden="1" customHeight="1"/>
    <row r="115" spans="15:42" hidden="1">
      <c r="O115" s="1912" t="str">
        <f>IF(W14="% of ARV",CONCATENATE("Fixed Costs are being Calculated at ",TEXT(AD14,"0%")," of the ARV"),"")</f>
        <v>Fixed Costs are being Calculated at 15% of the ARV</v>
      </c>
      <c r="P115" s="1912"/>
      <c r="Q115" s="1912"/>
      <c r="R115" s="1912"/>
      <c r="S115" s="1912"/>
      <c r="T115" s="1912"/>
      <c r="U115" s="1912"/>
      <c r="V115" s="1912"/>
      <c r="W115" s="1912"/>
      <c r="X115" s="1912"/>
      <c r="Y115" s="1912"/>
      <c r="Z115" s="1912"/>
      <c r="AA115" s="1912"/>
      <c r="AB115" s="1912"/>
      <c r="AC115" s="1912"/>
      <c r="AD115" s="1912"/>
      <c r="AE115" s="1912"/>
      <c r="AF115" s="1912"/>
      <c r="AG115" s="1912"/>
      <c r="AH115" s="1912"/>
      <c r="AI115" s="1912"/>
      <c r="AJ115" s="1912"/>
      <c r="AK115" s="1912"/>
      <c r="AL115" s="1912"/>
      <c r="AM115" s="1912"/>
      <c r="AN115" s="1912"/>
      <c r="AO115" s="1912"/>
      <c r="AP115" s="1912"/>
    </row>
    <row r="116" spans="15:42" ht="7.35" hidden="1" customHeight="1"/>
    <row r="117" spans="15:42" ht="7.35" hidden="1" customHeight="1"/>
    <row r="118" spans="15:42" ht="7.35" hidden="1" customHeight="1"/>
    <row r="119" spans="15:42" ht="7.35" customHeight="1"/>
    <row r="120" spans="15:42" ht="7.35" customHeight="1"/>
    <row r="121" spans="15:42" ht="7.35" customHeight="1"/>
    <row r="122" spans="15:42" ht="7.35" customHeight="1"/>
    <row r="123" spans="15:42" ht="7.35" customHeight="1"/>
    <row r="124" spans="15:42" ht="7.35" customHeight="1"/>
    <row r="125" spans="15:42" ht="7.35" customHeight="1"/>
    <row r="126" spans="15:42" ht="7.35" customHeight="1"/>
    <row r="127" spans="15:42" ht="7.35" customHeight="1"/>
    <row r="128" spans="15:42" ht="7.35" customHeight="1"/>
    <row r="129" spans="34:34" ht="7.35" customHeight="1"/>
    <row r="130" spans="34:34" ht="7.35" customHeight="1"/>
    <row r="131" spans="34:34" ht="7.35" customHeight="1"/>
    <row r="132" spans="34:34" ht="7.35" customHeight="1"/>
    <row r="133" spans="34:34" ht="6.6" customHeight="1"/>
    <row r="134" spans="34:34" ht="7.35" customHeight="1"/>
    <row r="135" spans="34:34" ht="7.35" customHeight="1">
      <c r="AH135" s="88"/>
    </row>
    <row r="136" spans="34:34" ht="7.35" customHeight="1">
      <c r="AH136" s="88"/>
    </row>
    <row r="137" spans="34:34" ht="7.35" customHeight="1">
      <c r="AH137" s="88"/>
    </row>
    <row r="138" spans="34:34" ht="7.35" customHeight="1">
      <c r="AH138" s="88"/>
    </row>
    <row r="139" spans="34:34" ht="7.35" customHeight="1">
      <c r="AH139" s="88"/>
    </row>
    <row r="140" spans="34:34" ht="7.35" customHeight="1">
      <c r="AH140" s="88"/>
    </row>
    <row r="141" spans="34:34" ht="7.35" customHeight="1">
      <c r="AH141" s="88"/>
    </row>
    <row r="142" spans="34:34" ht="7.35" customHeight="1">
      <c r="AH142" s="88"/>
    </row>
    <row r="143" spans="34:34" ht="7.35" customHeight="1">
      <c r="AH143" s="88"/>
    </row>
    <row r="144" spans="34:34" ht="7.35" customHeight="1">
      <c r="AH144" s="88"/>
    </row>
    <row r="145" spans="34:34" ht="7.35" customHeight="1">
      <c r="AH145" s="88"/>
    </row>
    <row r="146" spans="34:34" ht="7.35" customHeight="1">
      <c r="AH146" s="88"/>
    </row>
    <row r="147" spans="34:34" ht="7.35" customHeight="1">
      <c r="AH147" s="88"/>
    </row>
    <row r="148" spans="34:34" ht="7.35" customHeight="1">
      <c r="AH148" s="88"/>
    </row>
    <row r="149" spans="34:34" ht="7.35" customHeight="1">
      <c r="AH149" s="88"/>
    </row>
    <row r="150" spans="34:34" ht="7.35" customHeight="1">
      <c r="AH150" s="88"/>
    </row>
    <row r="151" spans="34:34" ht="7.35" customHeight="1">
      <c r="AH151" s="88"/>
    </row>
    <row r="152" spans="34:34" ht="7.35" customHeight="1">
      <c r="AH152" s="88"/>
    </row>
    <row r="153" spans="34:34" ht="7.35" customHeight="1">
      <c r="AH153" s="88"/>
    </row>
    <row r="154" spans="34:34" ht="7.35" customHeight="1">
      <c r="AH154" s="88"/>
    </row>
    <row r="155" spans="34:34" ht="7.35" customHeight="1">
      <c r="AH155" s="88"/>
    </row>
    <row r="156" spans="34:34" ht="7.35" customHeight="1">
      <c r="AH156" s="88"/>
    </row>
    <row r="157" spans="34:34" ht="7.35" customHeight="1">
      <c r="AH157" s="88"/>
    </row>
    <row r="158" spans="34:34" ht="7.35" customHeight="1">
      <c r="AH158" s="88"/>
    </row>
    <row r="159" spans="34:34" ht="7.35" customHeight="1">
      <c r="AH159" s="88"/>
    </row>
    <row r="160" spans="34:34" ht="7.35" customHeight="1">
      <c r="AH160" s="88"/>
    </row>
    <row r="161" spans="34:34" ht="7.35" customHeight="1">
      <c r="AH161" s="88"/>
    </row>
    <row r="162" spans="34:34" ht="7.35" customHeight="1">
      <c r="AH162" s="88"/>
    </row>
    <row r="163" spans="34:34" ht="7.35" customHeight="1">
      <c r="AH163" s="88"/>
    </row>
    <row r="164" spans="34:34" ht="7.35" customHeight="1">
      <c r="AH164" s="88"/>
    </row>
    <row r="165" spans="34:34" ht="7.35" customHeight="1">
      <c r="AH165" s="88"/>
    </row>
    <row r="166" spans="34:34" ht="7.35" customHeight="1">
      <c r="AH166" s="88"/>
    </row>
    <row r="167" spans="34:34" ht="7.35" customHeight="1">
      <c r="AH167" s="88"/>
    </row>
    <row r="168" spans="34:34" ht="7.35" customHeight="1">
      <c r="AH168" s="88"/>
    </row>
    <row r="169" spans="34:34" ht="7.35" customHeight="1">
      <c r="AH169" s="88"/>
    </row>
    <row r="170" spans="34:34" ht="7.35" customHeight="1">
      <c r="AH170" s="88"/>
    </row>
    <row r="171" spans="34:34" ht="7.35" customHeight="1">
      <c r="AH171" s="88"/>
    </row>
    <row r="172" spans="34:34" ht="7.35" customHeight="1">
      <c r="AH172" s="88"/>
    </row>
    <row r="173" spans="34:34" ht="7.35" customHeight="1">
      <c r="AH173" s="88"/>
    </row>
    <row r="174" spans="34:34" ht="7.35" customHeight="1">
      <c r="AH174" s="88"/>
    </row>
    <row r="175" spans="34:34" ht="7.35" customHeight="1">
      <c r="AH175" s="88"/>
    </row>
    <row r="176" spans="34:34" ht="7.35" customHeight="1">
      <c r="AH176" s="88"/>
    </row>
    <row r="177" spans="34:34" ht="7.35" customHeight="1">
      <c r="AH177" s="88"/>
    </row>
    <row r="178" spans="34:34" ht="7.35" customHeight="1">
      <c r="AH178" s="88"/>
    </row>
    <row r="179" spans="34:34" ht="7.35" customHeight="1">
      <c r="AH179" s="88"/>
    </row>
    <row r="180" spans="34:34" ht="7.35" customHeight="1">
      <c r="AH180" s="88"/>
    </row>
    <row r="181" spans="34:34" ht="7.35" customHeight="1">
      <c r="AH181" s="88"/>
    </row>
    <row r="182" spans="34:34" ht="7.35" customHeight="1">
      <c r="AH182" s="88"/>
    </row>
    <row r="183" spans="34:34" ht="7.35" customHeight="1">
      <c r="AH183" s="88"/>
    </row>
    <row r="184" spans="34:34" ht="7.35" customHeight="1">
      <c r="AH184" s="88"/>
    </row>
    <row r="185" spans="34:34">
      <c r="AH185" s="88"/>
    </row>
    <row r="186" spans="34:34">
      <c r="AH186" s="88"/>
    </row>
    <row r="187" spans="34:34">
      <c r="AH187" s="88"/>
    </row>
    <row r="188" spans="34:34">
      <c r="AH188" s="88"/>
    </row>
    <row r="189" spans="34:34">
      <c r="AH189" s="88"/>
    </row>
    <row r="190" spans="34:34">
      <c r="AH190" s="88"/>
    </row>
    <row r="191" spans="34:34">
      <c r="AH191" s="88"/>
    </row>
    <row r="192" spans="34:34">
      <c r="AH192" s="88"/>
    </row>
    <row r="193" spans="34:34">
      <c r="AH193" s="88"/>
    </row>
    <row r="194" spans="34:34">
      <c r="AH194" s="88"/>
    </row>
    <row r="195" spans="34:34">
      <c r="AH195" s="88"/>
    </row>
    <row r="196" spans="34:34">
      <c r="AH196" s="88"/>
    </row>
    <row r="197" spans="34:34">
      <c r="AH197" s="88"/>
    </row>
    <row r="198" spans="34:34">
      <c r="AH198" s="88"/>
    </row>
    <row r="199" spans="34:34">
      <c r="AH199" s="88"/>
    </row>
    <row r="200" spans="34:34">
      <c r="AH200" s="88"/>
    </row>
    <row r="201" spans="34:34">
      <c r="AH201" s="88"/>
    </row>
    <row r="202" spans="34:34">
      <c r="AH202" s="88"/>
    </row>
    <row r="203" spans="34:34">
      <c r="AH203" s="88"/>
    </row>
    <row r="204" spans="34:34">
      <c r="AH204" s="88"/>
    </row>
    <row r="205" spans="34:34">
      <c r="AH205" s="88"/>
    </row>
    <row r="206" spans="34:34">
      <c r="AH206" s="88"/>
    </row>
    <row r="207" spans="34:34">
      <c r="AH207" s="88"/>
    </row>
    <row r="208" spans="34:34">
      <c r="AH208" s="88"/>
    </row>
    <row r="209" spans="34:34">
      <c r="AH209" s="88"/>
    </row>
    <row r="210" spans="34:34">
      <c r="AH210" s="88"/>
    </row>
    <row r="211" spans="34:34">
      <c r="AH211" s="88"/>
    </row>
    <row r="212" spans="34:34">
      <c r="AH212" s="88"/>
    </row>
    <row r="213" spans="34:34">
      <c r="AH213" s="88"/>
    </row>
    <row r="214" spans="34:34">
      <c r="AH214" s="88"/>
    </row>
    <row r="215" spans="34:34">
      <c r="AH215" s="88"/>
    </row>
    <row r="216" spans="34:34">
      <c r="AH216" s="88"/>
    </row>
    <row r="217" spans="34:34">
      <c r="AH217" s="88"/>
    </row>
    <row r="218" spans="34:34">
      <c r="AH218" s="88"/>
    </row>
  </sheetData>
  <sheetProtection algorithmName="SHA-512" hashValue="+yqUrZLWDYQugp843tAu0/St9cKe3X5FrfxmakOihkKvtctat1TZyaok9XPxCR8SVW+K4bjI+Wv/OTHarJRKew==" saltValue="WijYCzPjr5Ix765pqWw/EQ==" spinCount="100000" sheet="1" objects="1" formatCells="0" formatColumns="0" formatRows="0" insertHyperlinks="0" sort="0" autoFilter="0"/>
  <mergeCells count="332">
    <mergeCell ref="AI74:AM75"/>
    <mergeCell ref="AN74:BG80"/>
    <mergeCell ref="BH74:BL75"/>
    <mergeCell ref="AI76:AM80"/>
    <mergeCell ref="BH76:BL80"/>
    <mergeCell ref="B81:CT84"/>
    <mergeCell ref="AI53:AY55"/>
    <mergeCell ref="BA53:BD55"/>
    <mergeCell ref="BE53:BF55"/>
    <mergeCell ref="BG53:BK55"/>
    <mergeCell ref="AI56:AY58"/>
    <mergeCell ref="BA56:BD58"/>
    <mergeCell ref="BE56:BF58"/>
    <mergeCell ref="BG56:BK58"/>
    <mergeCell ref="AI59:AZ61"/>
    <mergeCell ref="BA59:BD61"/>
    <mergeCell ref="BG59:BK61"/>
    <mergeCell ref="Z67:AG68"/>
    <mergeCell ref="B69:Y70"/>
    <mergeCell ref="Z69:AG70"/>
    <mergeCell ref="B71:AG73"/>
    <mergeCell ref="BN71:CT73"/>
    <mergeCell ref="BN61:CT63"/>
    <mergeCell ref="B61:Y62"/>
    <mergeCell ref="AI47:AX49"/>
    <mergeCell ref="AY47:AZ49"/>
    <mergeCell ref="BA47:BD49"/>
    <mergeCell ref="BE47:BF49"/>
    <mergeCell ref="BG47:BK49"/>
    <mergeCell ref="AI50:AY52"/>
    <mergeCell ref="BA50:BD52"/>
    <mergeCell ref="BE50:BF52"/>
    <mergeCell ref="BG50:BK52"/>
    <mergeCell ref="BH34:BL35"/>
    <mergeCell ref="BH36:BL40"/>
    <mergeCell ref="AN34:BG40"/>
    <mergeCell ref="BA45:BD46"/>
    <mergeCell ref="BF45:BL46"/>
    <mergeCell ref="BF4:BL6"/>
    <mergeCell ref="AI4:BE6"/>
    <mergeCell ref="BH25:BL26"/>
    <mergeCell ref="AS25:AW26"/>
    <mergeCell ref="AI25:AR26"/>
    <mergeCell ref="AI15:AR16"/>
    <mergeCell ref="AS15:AW16"/>
    <mergeCell ref="AX7:BG8"/>
    <mergeCell ref="BH7:BL8"/>
    <mergeCell ref="AI9:AR10"/>
    <mergeCell ref="AI13:AR14"/>
    <mergeCell ref="AX13:BG14"/>
    <mergeCell ref="BH13:BL14"/>
    <mergeCell ref="BH29:BL30"/>
    <mergeCell ref="AI27:AR28"/>
    <mergeCell ref="AS27:AW28"/>
    <mergeCell ref="AX27:BG28"/>
    <mergeCell ref="AX25:BG26"/>
    <mergeCell ref="BH27:BL28"/>
    <mergeCell ref="O109:U109"/>
    <mergeCell ref="V109:Z109"/>
    <mergeCell ref="AA109:AE109"/>
    <mergeCell ref="AF109:AJ109"/>
    <mergeCell ref="AK109:AO109"/>
    <mergeCell ref="V112:Z112"/>
    <mergeCell ref="AA112:AE112"/>
    <mergeCell ref="AF112:AJ112"/>
    <mergeCell ref="AK112:AO112"/>
    <mergeCell ref="O110:U110"/>
    <mergeCell ref="V110:Z110"/>
    <mergeCell ref="AA110:AE110"/>
    <mergeCell ref="AF110:AJ110"/>
    <mergeCell ref="AK110:AO110"/>
    <mergeCell ref="O111:U111"/>
    <mergeCell ref="V111:Z111"/>
    <mergeCell ref="AA111:AE111"/>
    <mergeCell ref="AF111:AJ111"/>
    <mergeCell ref="AK111:AO111"/>
    <mergeCell ref="O112:U112"/>
    <mergeCell ref="O107:U107"/>
    <mergeCell ref="V107:Z107"/>
    <mergeCell ref="AA107:AE107"/>
    <mergeCell ref="AF107:AJ107"/>
    <mergeCell ref="AK107:AO107"/>
    <mergeCell ref="O108:U108"/>
    <mergeCell ref="V108:Z108"/>
    <mergeCell ref="AA108:AE108"/>
    <mergeCell ref="AF108:AJ108"/>
    <mergeCell ref="AK108:AO108"/>
    <mergeCell ref="O105:U105"/>
    <mergeCell ref="V105:Z105"/>
    <mergeCell ref="AA105:AE105"/>
    <mergeCell ref="AF105:AJ105"/>
    <mergeCell ref="AK105:AO105"/>
    <mergeCell ref="O106:U106"/>
    <mergeCell ref="V106:Z106"/>
    <mergeCell ref="AA106:AE106"/>
    <mergeCell ref="AF106:AJ106"/>
    <mergeCell ref="AK106:AO106"/>
    <mergeCell ref="O103:U103"/>
    <mergeCell ref="V103:Z103"/>
    <mergeCell ref="AA103:AE103"/>
    <mergeCell ref="AF103:AJ103"/>
    <mergeCell ref="AK103:AO103"/>
    <mergeCell ref="O104:U104"/>
    <mergeCell ref="V104:Z104"/>
    <mergeCell ref="AA104:AE104"/>
    <mergeCell ref="AF104:AJ104"/>
    <mergeCell ref="AK104:AO104"/>
    <mergeCell ref="O101:U101"/>
    <mergeCell ref="V101:Z101"/>
    <mergeCell ref="AA101:AE101"/>
    <mergeCell ref="AF101:AJ101"/>
    <mergeCell ref="AK101:AO101"/>
    <mergeCell ref="O102:U102"/>
    <mergeCell ref="V102:Z102"/>
    <mergeCell ref="AA102:AE102"/>
    <mergeCell ref="AF102:AJ102"/>
    <mergeCell ref="AK102:AO102"/>
    <mergeCell ref="O99:U99"/>
    <mergeCell ref="V99:Z99"/>
    <mergeCell ref="AA99:AE99"/>
    <mergeCell ref="AF99:AJ99"/>
    <mergeCell ref="AK99:AO99"/>
    <mergeCell ref="O100:U100"/>
    <mergeCell ref="V100:Z100"/>
    <mergeCell ref="AA100:AE100"/>
    <mergeCell ref="AF100:AJ100"/>
    <mergeCell ref="AK100:AO100"/>
    <mergeCell ref="O97:U97"/>
    <mergeCell ref="V97:Z97"/>
    <mergeCell ref="AA97:AE97"/>
    <mergeCell ref="AF97:AJ97"/>
    <mergeCell ref="AK97:AO97"/>
    <mergeCell ref="O98:U98"/>
    <mergeCell ref="V98:Z98"/>
    <mergeCell ref="AA98:AE98"/>
    <mergeCell ref="AF98:AJ98"/>
    <mergeCell ref="AK98:AO98"/>
    <mergeCell ref="O95:U95"/>
    <mergeCell ref="V95:Z95"/>
    <mergeCell ref="AA95:AE95"/>
    <mergeCell ref="AF95:AJ95"/>
    <mergeCell ref="AK95:AO95"/>
    <mergeCell ref="O96:U96"/>
    <mergeCell ref="V96:Z96"/>
    <mergeCell ref="AA96:AE96"/>
    <mergeCell ref="AF96:AJ96"/>
    <mergeCell ref="AK96:AO96"/>
    <mergeCell ref="AF92:AJ92"/>
    <mergeCell ref="AK92:AO92"/>
    <mergeCell ref="O93:U93"/>
    <mergeCell ref="V93:Z93"/>
    <mergeCell ref="AA93:AE93"/>
    <mergeCell ref="AF93:AJ93"/>
    <mergeCell ref="AK93:AO93"/>
    <mergeCell ref="O94:U94"/>
    <mergeCell ref="V94:Z94"/>
    <mergeCell ref="AA94:AE94"/>
    <mergeCell ref="AF94:AJ94"/>
    <mergeCell ref="AK94:AO94"/>
    <mergeCell ref="V87:Z87"/>
    <mergeCell ref="AA87:AE87"/>
    <mergeCell ref="AF87:AJ87"/>
    <mergeCell ref="O88:U88"/>
    <mergeCell ref="V88:Z88"/>
    <mergeCell ref="AA88:AE88"/>
    <mergeCell ref="AF88:AJ88"/>
    <mergeCell ref="AK88:AO88"/>
    <mergeCell ref="O89:U89"/>
    <mergeCell ref="V89:Z89"/>
    <mergeCell ref="AA89:AE89"/>
    <mergeCell ref="AF89:AJ89"/>
    <mergeCell ref="AK89:AO89"/>
    <mergeCell ref="AK87:AO87"/>
    <mergeCell ref="B53:J54"/>
    <mergeCell ref="B55:O56"/>
    <mergeCell ref="BN51:CT53"/>
    <mergeCell ref="Q51:U52"/>
    <mergeCell ref="Z51:AG52"/>
    <mergeCell ref="B67:Y68"/>
    <mergeCell ref="Z61:AG62"/>
    <mergeCell ref="B63:Y64"/>
    <mergeCell ref="Z63:AG64"/>
    <mergeCell ref="BN64:CT70"/>
    <mergeCell ref="B65:Y66"/>
    <mergeCell ref="Z65:AG66"/>
    <mergeCell ref="AU64:BF66"/>
    <mergeCell ref="BG64:BK66"/>
    <mergeCell ref="AV67:BF69"/>
    <mergeCell ref="BG67:BK69"/>
    <mergeCell ref="BN54:CT60"/>
    <mergeCell ref="Q55:U56"/>
    <mergeCell ref="Z55:AG56"/>
    <mergeCell ref="B41:I42"/>
    <mergeCell ref="B43:I44"/>
    <mergeCell ref="B45:I46"/>
    <mergeCell ref="K37:P38"/>
    <mergeCell ref="L39:O41"/>
    <mergeCell ref="L44:O46"/>
    <mergeCell ref="AI71:BL73"/>
    <mergeCell ref="K42:P43"/>
    <mergeCell ref="BN74:CT80"/>
    <mergeCell ref="B74:AG80"/>
    <mergeCell ref="B57:O58"/>
    <mergeCell ref="Q57:U58"/>
    <mergeCell ref="Z57:AG58"/>
    <mergeCell ref="Q47:U48"/>
    <mergeCell ref="Z47:AG48"/>
    <mergeCell ref="B59:Y60"/>
    <mergeCell ref="Z59:AG60"/>
    <mergeCell ref="V55:Y56"/>
    <mergeCell ref="V57:Y58"/>
    <mergeCell ref="B47:I48"/>
    <mergeCell ref="B49:K50"/>
    <mergeCell ref="V51:Y52"/>
    <mergeCell ref="K47:P48"/>
    <mergeCell ref="L49:O51"/>
    <mergeCell ref="K35:P36"/>
    <mergeCell ref="B35:J36"/>
    <mergeCell ref="B21:Y22"/>
    <mergeCell ref="Z21:AG22"/>
    <mergeCell ref="B37:J38"/>
    <mergeCell ref="B39:I40"/>
    <mergeCell ref="B23:Y24"/>
    <mergeCell ref="Z23:AG24"/>
    <mergeCell ref="B29:O30"/>
    <mergeCell ref="B25:Y26"/>
    <mergeCell ref="Z25:AG26"/>
    <mergeCell ref="B27:Y28"/>
    <mergeCell ref="BV24:BY25"/>
    <mergeCell ref="Q49:U50"/>
    <mergeCell ref="Q37:U38"/>
    <mergeCell ref="Z37:AG38"/>
    <mergeCell ref="AI41:BL43"/>
    <mergeCell ref="CF31:CT50"/>
    <mergeCell ref="CF27:CT30"/>
    <mergeCell ref="CF24:CT26"/>
    <mergeCell ref="BV26:BY26"/>
    <mergeCell ref="AX23:BG24"/>
    <mergeCell ref="BH23:BL24"/>
    <mergeCell ref="AI23:AR24"/>
    <mergeCell ref="AS23:AW24"/>
    <mergeCell ref="Z49:AG50"/>
    <mergeCell ref="AI31:BL33"/>
    <mergeCell ref="B31:Y32"/>
    <mergeCell ref="B33:Y34"/>
    <mergeCell ref="Z33:AG34"/>
    <mergeCell ref="Z29:AG30"/>
    <mergeCell ref="Z27:AG28"/>
    <mergeCell ref="Q39:U40"/>
    <mergeCell ref="Q41:U42"/>
    <mergeCell ref="Z41:AG42"/>
    <mergeCell ref="Q43:U44"/>
    <mergeCell ref="Z43:AG44"/>
    <mergeCell ref="Q45:U46"/>
    <mergeCell ref="Z45:AG46"/>
    <mergeCell ref="AI29:AR30"/>
    <mergeCell ref="AS29:AW30"/>
    <mergeCell ref="AX29:BG30"/>
    <mergeCell ref="Z31:AG32"/>
    <mergeCell ref="Z39:AG40"/>
    <mergeCell ref="Q35:U36"/>
    <mergeCell ref="AI34:AM35"/>
    <mergeCell ref="AI36:AM40"/>
    <mergeCell ref="A1:XFD1"/>
    <mergeCell ref="CL7:CT9"/>
    <mergeCell ref="BN4:CT6"/>
    <mergeCell ref="Z19:AG20"/>
    <mergeCell ref="AS9:AW10"/>
    <mergeCell ref="AX9:BG10"/>
    <mergeCell ref="BH9:BL10"/>
    <mergeCell ref="AI11:AR12"/>
    <mergeCell ref="AS11:AW12"/>
    <mergeCell ref="AX11:BG12"/>
    <mergeCell ref="BH11:BL12"/>
    <mergeCell ref="AX15:BG16"/>
    <mergeCell ref="BH15:BL16"/>
    <mergeCell ref="B4:AG6"/>
    <mergeCell ref="B7:AG13"/>
    <mergeCell ref="AI7:AR8"/>
    <mergeCell ref="AS7:AW8"/>
    <mergeCell ref="AS17:AW18"/>
    <mergeCell ref="AX17:BG18"/>
    <mergeCell ref="BH17:BL18"/>
    <mergeCell ref="AI17:AR18"/>
    <mergeCell ref="B17:AG18"/>
    <mergeCell ref="AS13:AW14"/>
    <mergeCell ref="AD14:AF16"/>
    <mergeCell ref="E2:S2"/>
    <mergeCell ref="BN17:BX19"/>
    <mergeCell ref="BY17:CI19"/>
    <mergeCell ref="CJ17:CT19"/>
    <mergeCell ref="BN20:BX23"/>
    <mergeCell ref="BY20:CI23"/>
    <mergeCell ref="CJ20:CT23"/>
    <mergeCell ref="W14:AB16"/>
    <mergeCell ref="AC14:AC16"/>
    <mergeCell ref="AI19:AR20"/>
    <mergeCell ref="AS19:AW20"/>
    <mergeCell ref="AX19:BG20"/>
    <mergeCell ref="BH19:BL20"/>
    <mergeCell ref="B19:Y20"/>
    <mergeCell ref="AI21:AR22"/>
    <mergeCell ref="AS21:AW22"/>
    <mergeCell ref="AX21:BG22"/>
    <mergeCell ref="BH21:BL22"/>
    <mergeCell ref="BN10:CT16"/>
    <mergeCell ref="AG14:AG16"/>
    <mergeCell ref="B14:V16"/>
    <mergeCell ref="AQ98:AY98"/>
    <mergeCell ref="AQ99:AY99"/>
    <mergeCell ref="AZ98:BB98"/>
    <mergeCell ref="AZ99:BB99"/>
    <mergeCell ref="O115:AP115"/>
    <mergeCell ref="AQ90:AU90"/>
    <mergeCell ref="AQ91:AU91"/>
    <mergeCell ref="AQ93:AU93"/>
    <mergeCell ref="AQ94:AU94"/>
    <mergeCell ref="AQ95:AU95"/>
    <mergeCell ref="AQ97:BB97"/>
    <mergeCell ref="O90:U90"/>
    <mergeCell ref="V90:Z90"/>
    <mergeCell ref="AA90:AE90"/>
    <mergeCell ref="AF90:AJ90"/>
    <mergeCell ref="AK90:AO90"/>
    <mergeCell ref="O91:U91"/>
    <mergeCell ref="V91:Z91"/>
    <mergeCell ref="AA91:AE91"/>
    <mergeCell ref="AF91:AJ91"/>
    <mergeCell ref="AK91:AO91"/>
    <mergeCell ref="O92:U92"/>
    <mergeCell ref="V92:Z92"/>
    <mergeCell ref="AA92:AE92"/>
  </mergeCells>
  <conditionalFormatting sqref="AD14:AF16">
    <cfRule type="expression" dxfId="146" priority="13">
      <formula>$W$14="% OF ARV"</formula>
    </cfRule>
  </conditionalFormatting>
  <conditionalFormatting sqref="B17:AG52 B55:AG70 B53 K53:AG54">
    <cfRule type="expression" dxfId="145" priority="12">
      <formula>$W$14="% OF ARV"</formula>
    </cfRule>
  </conditionalFormatting>
  <conditionalFormatting sqref="Z19:AG34 Z55:AG70 Q37:U52 Q55:U58 L39:O41 L44:O46 L49:O51">
    <cfRule type="expression" dxfId="144" priority="11">
      <formula>$W$14="% OF ARV"</formula>
    </cfRule>
  </conditionalFormatting>
  <conditionalFormatting sqref="Z37:AG52">
    <cfRule type="expression" dxfId="143" priority="10">
      <formula>$W$14="% OF ARV"</formula>
    </cfRule>
  </conditionalFormatting>
  <conditionalFormatting sqref="B37:AG52 B55:AG58 B53 K53:AG54">
    <cfRule type="expression" dxfId="142" priority="9">
      <formula>$W$14="% OF ARV"</formula>
    </cfRule>
  </conditionalFormatting>
  <conditionalFormatting sqref="V37:Y58 P44:P46 P49:P51">
    <cfRule type="expression" dxfId="141" priority="8">
      <formula>$W$14="% OF ARV"</formula>
    </cfRule>
  </conditionalFormatting>
  <conditionalFormatting sqref="P39:P41">
    <cfRule type="expression" dxfId="140" priority="7">
      <formula>$W$14="% OF ARV"</formula>
    </cfRule>
  </conditionalFormatting>
  <conditionalFormatting sqref="AS7:AW30">
    <cfRule type="expression" dxfId="139" priority="6">
      <formula>$BF$4="QUICK BID"</formula>
    </cfRule>
  </conditionalFormatting>
  <conditionalFormatting sqref="BH7:BL30">
    <cfRule type="expression" dxfId="138" priority="5">
      <formula>$BF$4="QUICK BID"</formula>
    </cfRule>
  </conditionalFormatting>
  <conditionalFormatting sqref="AN34">
    <cfRule type="expression" dxfId="137" priority="4">
      <formula>$BF$4="LUMP SUM"</formula>
    </cfRule>
  </conditionalFormatting>
  <conditionalFormatting sqref="AI7:BL30">
    <cfRule type="expression" dxfId="136" priority="3">
      <formula>$BF$4="LUMP SUM"</formula>
    </cfRule>
  </conditionalFormatting>
  <conditionalFormatting sqref="AI34:AM40">
    <cfRule type="expression" dxfId="135" priority="2">
      <formula>$BF$7="Lump Sum"</formula>
    </cfRule>
  </conditionalFormatting>
  <conditionalFormatting sqref="BH34:BL40">
    <cfRule type="expression" dxfId="134" priority="1">
      <formula>$BF$7="Lump Sum"</formula>
    </cfRule>
  </conditionalFormatting>
  <dataValidations count="3">
    <dataValidation allowBlank="1" showInputMessage="1" showErrorMessage="1" promptTitle="How is this calculated?" prompt="Repair Cost Contingency = Total Repair Costs x Repair Contingency %" sqref="BG56" xr:uid="{00000000-0002-0000-0F00-000000000000}"/>
    <dataValidation type="list" errorStyle="information" allowBlank="1" showInputMessage="1" showErrorMessage="1" errorTitle="DETAILED OR % OF ARV" error="Input a Detailed List of Fixed Costs or use % of ARV" sqref="W14:AB16" xr:uid="{00000000-0002-0000-0F00-000001000000}">
      <formula1>$AQ$90:$AQ$91</formula1>
    </dataValidation>
    <dataValidation type="list" allowBlank="1" showInputMessage="1" showErrorMessage="1" sqref="BF4:BL6" xr:uid="{00000000-0002-0000-0F00-000002000000}">
      <formula1>$AQ$93:$AQ$95</formula1>
    </dataValidation>
  </dataValidations>
  <printOptions horizontalCentered="1" verticalCentered="1"/>
  <pageMargins left="0.7" right="0.7" top="0.75" bottom="0.75" header="0.3" footer="0.3"/>
  <pageSetup scale="56" orientation="landscape" r:id="rId1"/>
  <headerFooter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05F57-B7F9-4B14-9F85-61ACE2F12BE7}">
  <sheetPr codeName="wsRENTAL_ANALYSIS">
    <tabColor rgb="FF4F81BD"/>
  </sheetPr>
  <dimension ref="A1:BC109"/>
  <sheetViews>
    <sheetView showGridLines="0" showRowColHeaders="0" zoomScaleNormal="100" workbookViewId="0">
      <pane ySplit="4" topLeftCell="A5" activePane="bottomLeft" state="frozen"/>
      <selection pane="bottomLeft" activeCell="D18" sqref="D18:M18"/>
    </sheetView>
  </sheetViews>
  <sheetFormatPr defaultColWidth="11.19921875" defaultRowHeight="15" customHeight="1"/>
  <cols>
    <col min="1" max="11" width="4.6484375" style="1361" customWidth="1"/>
    <col min="12" max="19" width="4.34765625" style="1361" customWidth="1"/>
    <col min="20" max="20" width="2.19921875" style="1361" customWidth="1"/>
    <col min="21" max="22" width="10.546875" style="1361" customWidth="1"/>
    <col min="23" max="23" width="10.19921875" style="1361" customWidth="1"/>
    <col min="24" max="24" width="2.34765625" style="1361" customWidth="1"/>
    <col min="25" max="54" width="9.8984375" style="1361" customWidth="1"/>
    <col min="55" max="55" width="2.8984375" style="1361" customWidth="1"/>
    <col min="56" max="16384" width="11.19921875" style="1361"/>
  </cols>
  <sheetData>
    <row r="1" spans="1:55" s="1439" customFormat="1" ht="45" customHeight="1">
      <c r="A1" s="1012"/>
      <c r="B1" s="1012"/>
      <c r="C1" s="1012"/>
      <c r="D1" s="1013"/>
      <c r="E1" s="1013"/>
      <c r="F1" s="1013"/>
      <c r="G1" s="1013"/>
      <c r="H1" s="1013"/>
      <c r="I1" s="1013"/>
      <c r="J1" s="1013"/>
      <c r="K1" s="1013"/>
      <c r="L1" s="1013"/>
      <c r="M1" s="1013"/>
      <c r="N1" s="1013"/>
      <c r="O1" s="1013"/>
      <c r="P1" s="1013"/>
      <c r="Q1" s="1013"/>
      <c r="R1" s="1013"/>
      <c r="S1" s="1013"/>
      <c r="T1" s="1013"/>
      <c r="U1" s="1013"/>
      <c r="V1" s="1013"/>
      <c r="W1" s="1013"/>
      <c r="X1" s="1013"/>
      <c r="Y1" s="1013"/>
      <c r="Z1" s="1013"/>
      <c r="AA1" s="1013"/>
      <c r="AB1" s="1013"/>
      <c r="AC1" s="1013"/>
      <c r="AD1" s="1013"/>
      <c r="AE1" s="1013"/>
      <c r="AF1" s="1013"/>
      <c r="AG1" s="1013"/>
      <c r="AH1" s="1013"/>
      <c r="AI1" s="1013"/>
      <c r="AJ1" s="1013"/>
      <c r="AK1" s="1013"/>
      <c r="AL1" s="1013"/>
      <c r="AM1" s="1013"/>
      <c r="AN1" s="1013"/>
      <c r="AO1" s="1013"/>
      <c r="AP1" s="1013"/>
      <c r="AQ1" s="1013"/>
      <c r="AR1" s="1013"/>
      <c r="AS1" s="1013"/>
      <c r="AT1" s="1013"/>
      <c r="AU1" s="1013"/>
      <c r="AV1" s="1013"/>
      <c r="AW1" s="1013"/>
      <c r="AX1" s="1013"/>
      <c r="AY1" s="1013"/>
      <c r="AZ1" s="1013"/>
      <c r="BA1" s="1013"/>
      <c r="BB1" s="1013"/>
      <c r="BC1" s="1013"/>
    </row>
    <row r="2" spans="1:55" s="1439" customFormat="1" ht="7.5" customHeight="1">
      <c r="A2" s="3216"/>
      <c r="B2" s="3083"/>
      <c r="C2" s="3083"/>
      <c r="D2" s="3216" t="s">
        <v>1838</v>
      </c>
      <c r="E2" s="3083"/>
      <c r="F2" s="3083"/>
      <c r="G2" s="3083"/>
      <c r="H2" s="3217" t="s">
        <v>1837</v>
      </c>
      <c r="I2" s="3218"/>
      <c r="J2" s="3218"/>
      <c r="K2" s="3218"/>
      <c r="L2" s="3216" t="s">
        <v>1750</v>
      </c>
      <c r="M2" s="3243"/>
      <c r="N2" s="3243"/>
      <c r="O2" s="3243"/>
      <c r="P2" s="1014"/>
      <c r="Q2" s="1014"/>
      <c r="R2" s="1014"/>
      <c r="S2" s="1014"/>
      <c r="T2" s="1014"/>
      <c r="U2" s="1014"/>
      <c r="V2" s="1014"/>
      <c r="W2" s="1014"/>
      <c r="X2" s="1014"/>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4"/>
    </row>
    <row r="3" spans="1:55" s="1439" customFormat="1" ht="21.75" customHeight="1">
      <c r="A3" s="3083"/>
      <c r="B3" s="3083"/>
      <c r="C3" s="3083"/>
      <c r="D3" s="3083"/>
      <c r="E3" s="3083"/>
      <c r="F3" s="3083"/>
      <c r="G3" s="3083"/>
      <c r="H3" s="3218"/>
      <c r="I3" s="3218"/>
      <c r="J3" s="3218"/>
      <c r="K3" s="3218"/>
      <c r="L3" s="3243"/>
      <c r="M3" s="3243"/>
      <c r="N3" s="3243"/>
      <c r="O3" s="3243"/>
      <c r="P3" s="1014"/>
      <c r="Q3" s="1014"/>
      <c r="R3" s="1014"/>
      <c r="S3" s="1014"/>
      <c r="T3" s="1014"/>
      <c r="U3" s="1016" t="s">
        <v>1737</v>
      </c>
      <c r="V3" s="1017">
        <v>30</v>
      </c>
      <c r="W3" s="1014"/>
      <c r="X3" s="1014"/>
      <c r="Y3" s="1018" t="s">
        <v>385</v>
      </c>
      <c r="Z3" s="1018" t="s">
        <v>386</v>
      </c>
      <c r="AA3" s="1018" t="s">
        <v>387</v>
      </c>
      <c r="AB3" s="1018" t="s">
        <v>388</v>
      </c>
      <c r="AC3" s="1018" t="s">
        <v>464</v>
      </c>
      <c r="AD3" s="1018" t="s">
        <v>389</v>
      </c>
      <c r="AE3" s="1018" t="s">
        <v>390</v>
      </c>
      <c r="AF3" s="1018" t="s">
        <v>391</v>
      </c>
      <c r="AG3" s="1018" t="s">
        <v>465</v>
      </c>
      <c r="AH3" s="1018" t="s">
        <v>466</v>
      </c>
      <c r="AI3" s="1018" t="s">
        <v>472</v>
      </c>
      <c r="AJ3" s="1018" t="s">
        <v>473</v>
      </c>
      <c r="AK3" s="1018" t="s">
        <v>474</v>
      </c>
      <c r="AL3" s="1018" t="s">
        <v>505</v>
      </c>
      <c r="AM3" s="1018" t="s">
        <v>506</v>
      </c>
      <c r="AN3" s="1018" t="s">
        <v>507</v>
      </c>
      <c r="AO3" s="1018" t="s">
        <v>508</v>
      </c>
      <c r="AP3" s="1018" t="s">
        <v>509</v>
      </c>
      <c r="AQ3" s="1018" t="s">
        <v>510</v>
      </c>
      <c r="AR3" s="1018" t="s">
        <v>511</v>
      </c>
      <c r="AS3" s="1018" t="s">
        <v>512</v>
      </c>
      <c r="AT3" s="1018" t="s">
        <v>513</v>
      </c>
      <c r="AU3" s="1018" t="s">
        <v>514</v>
      </c>
      <c r="AV3" s="1018" t="s">
        <v>515</v>
      </c>
      <c r="AW3" s="1018" t="s">
        <v>516</v>
      </c>
      <c r="AX3" s="1018" t="s">
        <v>517</v>
      </c>
      <c r="AY3" s="1018" t="s">
        <v>518</v>
      </c>
      <c r="AZ3" s="1018" t="s">
        <v>519</v>
      </c>
      <c r="BA3" s="1018" t="s">
        <v>520</v>
      </c>
      <c r="BB3" s="1018" t="s">
        <v>521</v>
      </c>
      <c r="BC3" s="1014"/>
    </row>
    <row r="4" spans="1:55" s="1439" customFormat="1" ht="6.75" customHeight="1">
      <c r="A4" s="3083"/>
      <c r="B4" s="3083"/>
      <c r="C4" s="3083"/>
      <c r="D4" s="3083"/>
      <c r="E4" s="3083"/>
      <c r="F4" s="3083"/>
      <c r="G4" s="3083"/>
      <c r="H4" s="3218"/>
      <c r="I4" s="3218"/>
      <c r="J4" s="3218"/>
      <c r="K4" s="3218"/>
      <c r="L4" s="3243"/>
      <c r="M4" s="3243"/>
      <c r="N4" s="3243"/>
      <c r="O4" s="3243"/>
      <c r="P4" s="1014"/>
      <c r="Q4" s="1014"/>
      <c r="R4" s="1014"/>
      <c r="S4" s="1014"/>
      <c r="T4" s="1014"/>
      <c r="U4" s="1014"/>
      <c r="V4" s="1014"/>
      <c r="W4" s="1014"/>
      <c r="X4" s="1014"/>
      <c r="Y4" s="1015"/>
      <c r="Z4" s="1019"/>
      <c r="AA4" s="1019"/>
      <c r="AB4" s="1019"/>
      <c r="AC4" s="1019"/>
      <c r="AD4" s="1019"/>
      <c r="AE4" s="1019"/>
      <c r="AF4" s="1019"/>
      <c r="AG4" s="1019"/>
      <c r="AH4" s="1019"/>
      <c r="AI4" s="1019"/>
      <c r="AJ4" s="1019"/>
      <c r="AK4" s="1019"/>
      <c r="AL4" s="1019"/>
      <c r="AM4" s="1019"/>
      <c r="AN4" s="1019"/>
      <c r="AO4" s="1019"/>
      <c r="AP4" s="1019"/>
      <c r="AQ4" s="1019"/>
      <c r="AR4" s="1019"/>
      <c r="AS4" s="1019"/>
      <c r="AT4" s="1019"/>
      <c r="AU4" s="1019"/>
      <c r="AV4" s="1019"/>
      <c r="AW4" s="1019"/>
      <c r="AX4" s="1019"/>
      <c r="AY4" s="1019"/>
      <c r="AZ4" s="1019"/>
      <c r="BA4" s="1019"/>
      <c r="BB4" s="1015"/>
      <c r="BC4" s="1014"/>
    </row>
    <row r="5" spans="1:55" s="1439" customFormat="1" ht="15.75" customHeight="1">
      <c r="A5" s="1020"/>
      <c r="B5" s="1020"/>
      <c r="C5" s="1020"/>
      <c r="D5" s="3219"/>
      <c r="E5" s="3083"/>
      <c r="F5" s="3083"/>
      <c r="G5" s="3083"/>
      <c r="H5" s="3083"/>
      <c r="I5" s="3083"/>
      <c r="J5" s="3083"/>
      <c r="K5" s="3083"/>
      <c r="L5" s="3083"/>
      <c r="M5" s="3083"/>
      <c r="N5" s="3083"/>
      <c r="O5" s="3083"/>
      <c r="P5" s="3083"/>
      <c r="Q5" s="3083"/>
      <c r="R5" s="3083"/>
      <c r="S5" s="3083"/>
      <c r="T5" s="1021"/>
      <c r="U5" s="1022"/>
      <c r="V5" s="1022"/>
      <c r="W5" s="1021"/>
      <c r="X5" s="1021"/>
      <c r="Y5" s="1022"/>
      <c r="Z5" s="1022"/>
      <c r="AA5" s="1022"/>
      <c r="AB5" s="1022"/>
      <c r="AC5" s="1022"/>
      <c r="AD5" s="1022"/>
      <c r="AE5" s="1022"/>
      <c r="AF5" s="1022"/>
      <c r="AG5" s="1022"/>
      <c r="AH5" s="1022"/>
      <c r="AI5" s="1022"/>
      <c r="AJ5" s="1022"/>
      <c r="AK5" s="1022"/>
      <c r="AL5" s="1022"/>
      <c r="AM5" s="1022"/>
      <c r="AN5" s="1022"/>
      <c r="AO5" s="1022"/>
      <c r="AP5" s="1022"/>
      <c r="AQ5" s="1022"/>
      <c r="AR5" s="1022"/>
      <c r="AS5" s="1022"/>
      <c r="AT5" s="1022"/>
      <c r="AU5" s="1022"/>
      <c r="AV5" s="1022"/>
      <c r="AW5" s="1022"/>
      <c r="AX5" s="1022"/>
      <c r="AY5" s="1022"/>
      <c r="AZ5" s="1022"/>
      <c r="BA5" s="1022"/>
      <c r="BB5" s="1022"/>
      <c r="BC5" s="1022"/>
    </row>
    <row r="6" spans="1:55" s="1439" customFormat="1" ht="24" customHeight="1">
      <c r="A6" s="1020"/>
      <c r="B6" s="1020"/>
      <c r="C6" s="1020"/>
      <c r="D6" s="3226" t="s">
        <v>1834</v>
      </c>
      <c r="E6" s="3227"/>
      <c r="F6" s="3227"/>
      <c r="G6" s="3227"/>
      <c r="H6" s="3227"/>
      <c r="I6" s="3227"/>
      <c r="J6" s="3227"/>
      <c r="K6" s="3227"/>
      <c r="L6" s="3227"/>
      <c r="M6" s="3227"/>
      <c r="N6" s="3227"/>
      <c r="O6" s="3227"/>
      <c r="P6" s="3227"/>
      <c r="Q6" s="3227"/>
      <c r="R6" s="3227"/>
      <c r="S6" s="3228"/>
      <c r="T6" s="1021"/>
      <c r="U6" s="1022"/>
      <c r="V6" s="1022"/>
      <c r="W6" s="1021"/>
      <c r="X6" s="1021"/>
      <c r="Y6" s="1022"/>
      <c r="Z6" s="1022"/>
      <c r="AA6" s="1022"/>
      <c r="AB6" s="1022"/>
      <c r="AC6" s="1022"/>
      <c r="AD6" s="1022"/>
      <c r="AE6" s="1022"/>
      <c r="AF6" s="1022"/>
      <c r="AG6" s="1022"/>
      <c r="AH6" s="1022"/>
      <c r="AI6" s="1022"/>
      <c r="AJ6" s="1022"/>
      <c r="AK6" s="1022"/>
      <c r="AL6" s="1022"/>
      <c r="AM6" s="1022"/>
      <c r="AN6" s="1022"/>
      <c r="AO6" s="1022"/>
      <c r="AP6" s="1022"/>
      <c r="AQ6" s="1022"/>
      <c r="AR6" s="1022"/>
      <c r="AS6" s="1022"/>
      <c r="AT6" s="1022"/>
      <c r="AU6" s="1022"/>
      <c r="AV6" s="1022"/>
      <c r="AW6" s="1022"/>
      <c r="AX6" s="1022"/>
      <c r="AY6" s="1022"/>
      <c r="AZ6" s="1022"/>
      <c r="BA6" s="1022"/>
      <c r="BB6" s="1022"/>
      <c r="BC6" s="1022"/>
    </row>
    <row r="7" spans="1:55" s="1439" customFormat="1" ht="24" customHeight="1">
      <c r="A7" s="1020"/>
      <c r="B7" s="1020"/>
      <c r="C7" s="1020"/>
      <c r="D7" s="1354"/>
      <c r="E7" s="1355"/>
      <c r="F7" s="1355"/>
      <c r="G7" s="1355"/>
      <c r="H7" s="1355"/>
      <c r="I7" s="1355"/>
      <c r="J7" s="1355"/>
      <c r="K7" s="1355"/>
      <c r="L7" s="1355"/>
      <c r="M7" s="1355"/>
      <c r="N7" s="1355"/>
      <c r="O7" s="1355"/>
      <c r="P7" s="1355"/>
      <c r="Q7" s="1355"/>
      <c r="R7" s="1355"/>
      <c r="S7" s="1356"/>
      <c r="T7" s="1021"/>
      <c r="U7" s="1022"/>
      <c r="V7" s="1022"/>
      <c r="W7" s="1021"/>
      <c r="X7" s="1021"/>
      <c r="Y7" s="1022"/>
      <c r="Z7" s="1022"/>
      <c r="AA7" s="1022"/>
      <c r="AB7" s="1022"/>
      <c r="AC7" s="1022"/>
      <c r="AD7" s="1022"/>
      <c r="AE7" s="1022"/>
      <c r="AF7" s="1022"/>
      <c r="AG7" s="1022"/>
      <c r="AH7" s="1022"/>
      <c r="AI7" s="1022"/>
      <c r="AJ7" s="1022"/>
      <c r="AK7" s="1022"/>
      <c r="AL7" s="1022"/>
      <c r="AM7" s="1022"/>
      <c r="AN7" s="1022"/>
      <c r="AO7" s="1022"/>
      <c r="AP7" s="1022"/>
      <c r="AQ7" s="1022"/>
      <c r="AR7" s="1022"/>
      <c r="AS7" s="1022"/>
      <c r="AT7" s="1022"/>
      <c r="AU7" s="1022"/>
      <c r="AV7" s="1022"/>
      <c r="AW7" s="1022"/>
      <c r="AX7" s="1022"/>
      <c r="AY7" s="1022"/>
      <c r="AZ7" s="1022"/>
      <c r="BA7" s="1022"/>
      <c r="BB7" s="1022"/>
      <c r="BC7" s="1022"/>
    </row>
    <row r="8" spans="1:55" s="1439" customFormat="1" ht="23.45" customHeight="1">
      <c r="A8" s="1020"/>
      <c r="B8" s="1020"/>
      <c r="C8" s="1020"/>
      <c r="D8" s="3229" t="s">
        <v>1203</v>
      </c>
      <c r="E8" s="3230"/>
      <c r="F8" s="3230"/>
      <c r="G8" s="3230"/>
      <c r="H8" s="3230"/>
      <c r="I8" s="3230"/>
      <c r="J8" s="3230"/>
      <c r="K8" s="3230"/>
      <c r="L8" s="3230"/>
      <c r="M8" s="3230"/>
      <c r="N8" s="3230"/>
      <c r="O8" s="3231">
        <f>'RENTAL PURCHASE SETUP'!AA57</f>
        <v>0</v>
      </c>
      <c r="P8" s="3231"/>
      <c r="Q8" s="3231"/>
      <c r="R8" s="3231"/>
      <c r="S8" s="3232"/>
      <c r="T8" s="1021"/>
      <c r="U8" s="1022"/>
      <c r="V8" s="1022"/>
      <c r="W8" s="1021"/>
      <c r="X8" s="1021"/>
      <c r="Y8" s="1022"/>
      <c r="Z8" s="1022"/>
      <c r="AA8" s="1022"/>
      <c r="AB8" s="1022"/>
      <c r="AC8" s="1022"/>
      <c r="AD8" s="1022"/>
      <c r="AE8" s="1022"/>
      <c r="AF8" s="1022"/>
      <c r="AG8" s="1022"/>
      <c r="AH8" s="1022"/>
      <c r="AI8" s="1022"/>
      <c r="AJ8" s="1022"/>
      <c r="AK8" s="1022"/>
      <c r="AL8" s="1022"/>
      <c r="AM8" s="1022"/>
      <c r="AN8" s="1022"/>
      <c r="AO8" s="1022"/>
      <c r="AP8" s="1022"/>
      <c r="AQ8" s="1022"/>
      <c r="AR8" s="1022"/>
      <c r="AS8" s="1022"/>
      <c r="AT8" s="1022"/>
      <c r="AU8" s="1022"/>
      <c r="AV8" s="1022"/>
      <c r="AW8" s="1022"/>
      <c r="AX8" s="1022"/>
      <c r="AY8" s="1022"/>
      <c r="AZ8" s="1022"/>
      <c r="BA8" s="1022"/>
      <c r="BB8" s="1022"/>
      <c r="BC8" s="1022"/>
    </row>
    <row r="9" spans="1:55" s="1439" customFormat="1" ht="23.45" customHeight="1">
      <c r="A9" s="1020"/>
      <c r="B9" s="1020"/>
      <c r="C9" s="1020"/>
      <c r="D9" s="3233" t="str">
        <f>T('RENTAL PURCHASE SETUP'!K58:Z58)</f>
        <v>- Less Purchase Costs</v>
      </c>
      <c r="E9" s="3234"/>
      <c r="F9" s="3234"/>
      <c r="G9" s="3234"/>
      <c r="H9" s="3234"/>
      <c r="I9" s="3234"/>
      <c r="J9" s="3234"/>
      <c r="K9" s="3234"/>
      <c r="L9" s="3234"/>
      <c r="M9" s="3234"/>
      <c r="N9" s="3234"/>
      <c r="O9" s="3235">
        <f>'RENTAL PURCHASE SETUP'!AA58</f>
        <v>0</v>
      </c>
      <c r="P9" s="3235"/>
      <c r="Q9" s="3235"/>
      <c r="R9" s="3235"/>
      <c r="S9" s="3236"/>
      <c r="T9" s="1021"/>
      <c r="U9" s="1022"/>
      <c r="V9" s="1022"/>
      <c r="W9" s="1021"/>
      <c r="X9" s="1021"/>
      <c r="Y9" s="1022"/>
      <c r="Z9" s="1022"/>
      <c r="AA9" s="1022"/>
      <c r="AB9" s="1022"/>
      <c r="AC9" s="1022"/>
      <c r="AD9" s="1022"/>
      <c r="AE9" s="1022"/>
      <c r="AF9" s="1022"/>
      <c r="AG9" s="1022"/>
      <c r="AH9" s="1022"/>
      <c r="AI9" s="1022"/>
      <c r="AJ9" s="1022"/>
      <c r="AK9" s="1022"/>
      <c r="AL9" s="1022"/>
      <c r="AM9" s="1022"/>
      <c r="AN9" s="1022"/>
      <c r="AO9" s="1022"/>
      <c r="AP9" s="1022"/>
      <c r="AQ9" s="1022"/>
      <c r="AR9" s="1022"/>
      <c r="AS9" s="1022"/>
      <c r="AT9" s="1022"/>
      <c r="AU9" s="1022"/>
      <c r="AV9" s="1022"/>
      <c r="AW9" s="1022"/>
      <c r="AX9" s="1022"/>
      <c r="AY9" s="1022"/>
      <c r="AZ9" s="1022"/>
      <c r="BA9" s="1022"/>
      <c r="BB9" s="1022"/>
      <c r="BC9" s="1022"/>
    </row>
    <row r="10" spans="1:55" s="1439" customFormat="1" ht="23.45" customHeight="1">
      <c r="A10" s="1020"/>
      <c r="B10" s="1020"/>
      <c r="C10" s="1020"/>
      <c r="D10" s="3233" t="str">
        <f>T('RENTAL PURCHASE SETUP'!K59:Z59)</f>
        <v>- Less Construction Costs</v>
      </c>
      <c r="E10" s="3234"/>
      <c r="F10" s="3234"/>
      <c r="G10" s="3234"/>
      <c r="H10" s="3234"/>
      <c r="I10" s="3234"/>
      <c r="J10" s="3234"/>
      <c r="K10" s="3234"/>
      <c r="L10" s="3234"/>
      <c r="M10" s="3234"/>
      <c r="N10" s="3234"/>
      <c r="O10" s="3235">
        <f>'RENTAL PURCHASE SETUP'!AA59</f>
        <v>0</v>
      </c>
      <c r="P10" s="3235"/>
      <c r="Q10" s="3235"/>
      <c r="R10" s="3235"/>
      <c r="S10" s="3236"/>
      <c r="T10" s="1021"/>
      <c r="U10" s="1022"/>
      <c r="V10" s="1022"/>
      <c r="W10" s="1021"/>
      <c r="X10" s="1021"/>
      <c r="Y10" s="1022"/>
      <c r="Z10" s="1022"/>
      <c r="AA10" s="1022"/>
      <c r="AB10" s="1022"/>
      <c r="AC10" s="1022"/>
      <c r="AD10" s="1022"/>
      <c r="AE10" s="1022"/>
      <c r="AF10" s="1022"/>
      <c r="AG10" s="1022"/>
      <c r="AH10" s="1022"/>
      <c r="AI10" s="1022"/>
      <c r="AJ10" s="1022"/>
      <c r="AK10" s="1022"/>
      <c r="AL10" s="1022"/>
      <c r="AM10" s="1022"/>
      <c r="AN10" s="1022"/>
      <c r="AO10" s="1022"/>
      <c r="AP10" s="1022"/>
      <c r="AQ10" s="1022"/>
      <c r="AR10" s="1022"/>
      <c r="AS10" s="1022"/>
      <c r="AT10" s="1022"/>
      <c r="AU10" s="1022"/>
      <c r="AV10" s="1022"/>
      <c r="AW10" s="1022"/>
      <c r="AX10" s="1022"/>
      <c r="AY10" s="1022"/>
      <c r="AZ10" s="1022"/>
      <c r="BA10" s="1022"/>
      <c r="BB10" s="1022"/>
      <c r="BC10" s="1022"/>
    </row>
    <row r="11" spans="1:55" s="1439" customFormat="1" ht="23.45" customHeight="1">
      <c r="A11" s="1020"/>
      <c r="B11" s="1020"/>
      <c r="C11" s="1020"/>
      <c r="D11" s="3233" t="str">
        <f>T('RENTAL PURCHASE SETUP'!K60:Z60)</f>
        <v>- Less Holding Costs</v>
      </c>
      <c r="E11" s="3234"/>
      <c r="F11" s="3234"/>
      <c r="G11" s="3234"/>
      <c r="H11" s="3234"/>
      <c r="I11" s="3234"/>
      <c r="J11" s="3234"/>
      <c r="K11" s="3234"/>
      <c r="L11" s="3234"/>
      <c r="M11" s="3234"/>
      <c r="N11" s="3234"/>
      <c r="O11" s="3235">
        <f>'RENTAL PURCHASE SETUP'!AA60</f>
        <v>0</v>
      </c>
      <c r="P11" s="3235"/>
      <c r="Q11" s="3235"/>
      <c r="R11" s="3235"/>
      <c r="S11" s="3236"/>
      <c r="T11" s="1021"/>
      <c r="U11" s="1022"/>
      <c r="V11" s="1022"/>
      <c r="W11" s="1021"/>
      <c r="X11" s="1021"/>
      <c r="Y11" s="1022"/>
      <c r="Z11" s="1022"/>
      <c r="AA11" s="1022"/>
      <c r="AB11" s="1022"/>
      <c r="AC11" s="1022"/>
      <c r="AD11" s="1022"/>
      <c r="AE11" s="1022"/>
      <c r="AF11" s="1022"/>
      <c r="AG11" s="1022"/>
      <c r="AH11" s="1022"/>
      <c r="AI11" s="1022"/>
      <c r="AJ11" s="1022"/>
      <c r="AK11" s="1022"/>
      <c r="AL11" s="1022"/>
      <c r="AM11" s="1022"/>
      <c r="AN11" s="1022"/>
      <c r="AO11" s="1022"/>
      <c r="AP11" s="1022"/>
      <c r="AQ11" s="1022"/>
      <c r="AR11" s="1022"/>
      <c r="AS11" s="1022"/>
      <c r="AT11" s="1022"/>
      <c r="AU11" s="1022"/>
      <c r="AV11" s="1022"/>
      <c r="AW11" s="1022"/>
      <c r="AX11" s="1022"/>
      <c r="AY11" s="1022"/>
      <c r="AZ11" s="1022"/>
      <c r="BA11" s="1022"/>
      <c r="BB11" s="1022"/>
      <c r="BC11" s="1022"/>
    </row>
    <row r="12" spans="1:55" s="1439" customFormat="1" ht="23.45" customHeight="1">
      <c r="A12" s="1020"/>
      <c r="B12" s="1020"/>
      <c r="C12" s="1020"/>
      <c r="D12" s="3233" t="str">
        <f>T('RENTAL PURCHASE SETUP'!K61:Z61)</f>
        <v>- Less Bridge Loan Financing Costs</v>
      </c>
      <c r="E12" s="3234"/>
      <c r="F12" s="3234"/>
      <c r="G12" s="3234"/>
      <c r="H12" s="3234"/>
      <c r="I12" s="3234"/>
      <c r="J12" s="3234"/>
      <c r="K12" s="3234"/>
      <c r="L12" s="3234"/>
      <c r="M12" s="3234"/>
      <c r="N12" s="3234"/>
      <c r="O12" s="3235">
        <f>'RENTAL PURCHASE SETUP'!AA61</f>
        <v>0</v>
      </c>
      <c r="P12" s="3235"/>
      <c r="Q12" s="3235"/>
      <c r="R12" s="3235"/>
      <c r="S12" s="3236"/>
      <c r="T12" s="1021"/>
      <c r="U12" s="1022"/>
      <c r="V12" s="1022"/>
      <c r="W12" s="1021"/>
      <c r="X12" s="1021"/>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1022"/>
      <c r="AW12" s="1022"/>
      <c r="AX12" s="1022"/>
      <c r="AY12" s="1022"/>
      <c r="AZ12" s="1022"/>
      <c r="BA12" s="1022"/>
      <c r="BB12" s="1022"/>
      <c r="BC12" s="1022"/>
    </row>
    <row r="13" spans="1:55" s="1439" customFormat="1" ht="23.45" customHeight="1" thickBot="1">
      <c r="A13" s="1020"/>
      <c r="B13" s="1020"/>
      <c r="C13" s="1020"/>
      <c r="D13" s="3237" t="str">
        <f>T('RENTAL PURCHASE SETUP'!K62:Z62)</f>
        <v>- Less Selling Costs</v>
      </c>
      <c r="E13" s="3238"/>
      <c r="F13" s="3238"/>
      <c r="G13" s="3238"/>
      <c r="H13" s="3238"/>
      <c r="I13" s="3238"/>
      <c r="J13" s="3238"/>
      <c r="K13" s="3238"/>
      <c r="L13" s="3238"/>
      <c r="M13" s="3238"/>
      <c r="N13" s="3238"/>
      <c r="O13" s="3235">
        <f>'RENTAL PURCHASE SETUP'!AA62</f>
        <v>0</v>
      </c>
      <c r="P13" s="3235"/>
      <c r="Q13" s="3235"/>
      <c r="R13" s="3235"/>
      <c r="S13" s="3236"/>
      <c r="T13" s="1021"/>
      <c r="U13" s="1022"/>
      <c r="V13" s="1022"/>
      <c r="W13" s="1021"/>
      <c r="X13" s="1021"/>
      <c r="Y13" s="1022"/>
      <c r="Z13" s="1022"/>
      <c r="AA13" s="1022"/>
      <c r="AB13" s="1022"/>
      <c r="AC13" s="1022"/>
      <c r="AD13" s="1022"/>
      <c r="AE13" s="1022"/>
      <c r="AF13" s="1022"/>
      <c r="AG13" s="1022"/>
      <c r="AH13" s="1022"/>
      <c r="AI13" s="1022"/>
      <c r="AJ13" s="1022"/>
      <c r="AK13" s="1022"/>
      <c r="AL13" s="1022"/>
      <c r="AM13" s="1022"/>
      <c r="AN13" s="1022"/>
      <c r="AO13" s="1022"/>
      <c r="AP13" s="1022"/>
      <c r="AQ13" s="1022"/>
      <c r="AR13" s="1022"/>
      <c r="AS13" s="1022"/>
      <c r="AT13" s="1022"/>
      <c r="AU13" s="1022"/>
      <c r="AV13" s="1022"/>
      <c r="AW13" s="1022"/>
      <c r="AX13" s="1022"/>
      <c r="AY13" s="1022"/>
      <c r="AZ13" s="1022"/>
      <c r="BA13" s="1022"/>
      <c r="BB13" s="1022"/>
      <c r="BC13" s="1022"/>
    </row>
    <row r="14" spans="1:55" s="1439" customFormat="1" ht="21.7" customHeight="1" thickTop="1">
      <c r="A14" s="1020"/>
      <c r="B14" s="1020"/>
      <c r="C14" s="1020"/>
      <c r="D14" s="3239" t="str">
        <f>T('RENTAL PURCHASE SETUP'!K63:Z63)</f>
        <v>TOTAL PROFIT/EQUITY AFTER REHAB:</v>
      </c>
      <c r="E14" s="3240"/>
      <c r="F14" s="3240"/>
      <c r="G14" s="3240"/>
      <c r="H14" s="3240"/>
      <c r="I14" s="3240"/>
      <c r="J14" s="3240"/>
      <c r="K14" s="3240"/>
      <c r="L14" s="3240"/>
      <c r="M14" s="3240"/>
      <c r="N14" s="3240"/>
      <c r="O14" s="3241">
        <f>'RENTAL PURCHASE SETUP'!AA63</f>
        <v>0</v>
      </c>
      <c r="P14" s="3241"/>
      <c r="Q14" s="3241"/>
      <c r="R14" s="3241"/>
      <c r="S14" s="3242"/>
      <c r="T14" s="1021"/>
      <c r="U14" s="1022"/>
      <c r="V14" s="1022"/>
      <c r="W14" s="1021"/>
      <c r="X14" s="1021"/>
      <c r="Y14" s="1022"/>
      <c r="Z14" s="1022"/>
      <c r="AA14" s="1022"/>
      <c r="AB14" s="1022"/>
      <c r="AC14" s="1022"/>
      <c r="AD14" s="1022"/>
      <c r="AE14" s="1022"/>
      <c r="AF14" s="1022"/>
      <c r="AG14" s="1022"/>
      <c r="AH14" s="1022"/>
      <c r="AI14" s="1022"/>
      <c r="AJ14" s="1022"/>
      <c r="AK14" s="1022"/>
      <c r="AL14" s="1022"/>
      <c r="AM14" s="1022"/>
      <c r="AN14" s="1022"/>
      <c r="AO14" s="1022"/>
      <c r="AP14" s="1022"/>
      <c r="AQ14" s="1022"/>
      <c r="AR14" s="1022"/>
      <c r="AS14" s="1022"/>
      <c r="AT14" s="1022"/>
      <c r="AU14" s="1022"/>
      <c r="AV14" s="1022"/>
      <c r="AW14" s="1022"/>
      <c r="AX14" s="1022"/>
      <c r="AY14" s="1022"/>
      <c r="AZ14" s="1022"/>
      <c r="BA14" s="1022"/>
      <c r="BB14" s="1022"/>
      <c r="BC14" s="1022"/>
    </row>
    <row r="15" spans="1:55" s="1439" customFormat="1" ht="21.7" customHeight="1">
      <c r="A15" s="1020"/>
      <c r="B15" s="1020"/>
      <c r="C15" s="1020"/>
      <c r="D15" s="1357"/>
      <c r="E15" s="1358"/>
      <c r="F15" s="1358"/>
      <c r="G15" s="1358"/>
      <c r="H15" s="1358"/>
      <c r="I15" s="1358"/>
      <c r="J15" s="1358"/>
      <c r="K15" s="1358"/>
      <c r="L15" s="1358"/>
      <c r="M15" s="1358"/>
      <c r="N15" s="1358"/>
      <c r="O15" s="1359"/>
      <c r="P15" s="1359"/>
      <c r="Q15" s="1359"/>
      <c r="R15" s="1359"/>
      <c r="S15" s="1360"/>
      <c r="T15" s="1021"/>
      <c r="U15" s="1022"/>
      <c r="V15" s="1022"/>
      <c r="W15" s="1021"/>
      <c r="X15" s="1021"/>
      <c r="Y15" s="1022"/>
      <c r="Z15" s="1022"/>
      <c r="AA15" s="1022"/>
      <c r="AB15" s="1022"/>
      <c r="AC15" s="1022"/>
      <c r="AD15" s="1022"/>
      <c r="AE15" s="1022"/>
      <c r="AF15" s="1022"/>
      <c r="AG15" s="1022"/>
      <c r="AH15" s="1022"/>
      <c r="AI15" s="1022"/>
      <c r="AJ15" s="1022"/>
      <c r="AK15" s="1022"/>
      <c r="AL15" s="1022"/>
      <c r="AM15" s="1022"/>
      <c r="AN15" s="1022"/>
      <c r="AO15" s="1022"/>
      <c r="AP15" s="1022"/>
      <c r="AQ15" s="1022"/>
      <c r="AR15" s="1022"/>
      <c r="AS15" s="1022"/>
      <c r="AT15" s="1022"/>
      <c r="AU15" s="1022"/>
      <c r="AV15" s="1022"/>
      <c r="AW15" s="1022"/>
      <c r="AX15" s="1022"/>
      <c r="AY15" s="1022"/>
      <c r="AZ15" s="1022"/>
      <c r="BA15" s="1022"/>
      <c r="BB15" s="1022"/>
      <c r="BC15" s="1022"/>
    </row>
    <row r="16" spans="1:55" s="1439" customFormat="1" ht="21.75" customHeight="1">
      <c r="A16" s="1020"/>
      <c r="B16" s="1020"/>
      <c r="C16" s="1020"/>
      <c r="D16" s="1020"/>
      <c r="E16" s="1020"/>
      <c r="F16" s="1020"/>
      <c r="G16" s="1020"/>
      <c r="H16" s="1020"/>
      <c r="I16" s="1020"/>
      <c r="J16" s="1020"/>
      <c r="K16" s="1020"/>
      <c r="L16" s="1020"/>
      <c r="M16" s="1020"/>
      <c r="N16" s="1020"/>
      <c r="O16" s="1020"/>
      <c r="P16" s="1020"/>
      <c r="Q16" s="1020"/>
      <c r="R16" s="1020"/>
      <c r="S16" s="1020"/>
      <c r="T16" s="1023"/>
      <c r="U16" s="3220" t="s">
        <v>618</v>
      </c>
      <c r="V16" s="3221"/>
      <c r="W16" s="3222"/>
      <c r="X16" s="1023"/>
      <c r="Y16" s="1024" t="s">
        <v>385</v>
      </c>
      <c r="Z16" s="1024" t="s">
        <v>386</v>
      </c>
      <c r="AA16" s="1024" t="s">
        <v>387</v>
      </c>
      <c r="AB16" s="1024" t="s">
        <v>388</v>
      </c>
      <c r="AC16" s="1024" t="s">
        <v>464</v>
      </c>
      <c r="AD16" s="1024" t="s">
        <v>389</v>
      </c>
      <c r="AE16" s="1024" t="s">
        <v>390</v>
      </c>
      <c r="AF16" s="1024" t="s">
        <v>391</v>
      </c>
      <c r="AG16" s="1024" t="s">
        <v>465</v>
      </c>
      <c r="AH16" s="1024" t="s">
        <v>466</v>
      </c>
      <c r="AI16" s="1024" t="s">
        <v>472</v>
      </c>
      <c r="AJ16" s="1024" t="s">
        <v>473</v>
      </c>
      <c r="AK16" s="1024" t="s">
        <v>474</v>
      </c>
      <c r="AL16" s="1024" t="s">
        <v>505</v>
      </c>
      <c r="AM16" s="1024" t="s">
        <v>506</v>
      </c>
      <c r="AN16" s="1024" t="s">
        <v>507</v>
      </c>
      <c r="AO16" s="1024" t="s">
        <v>508</v>
      </c>
      <c r="AP16" s="1024" t="s">
        <v>509</v>
      </c>
      <c r="AQ16" s="1024" t="s">
        <v>510</v>
      </c>
      <c r="AR16" s="1024" t="s">
        <v>511</v>
      </c>
      <c r="AS16" s="1024" t="s">
        <v>512</v>
      </c>
      <c r="AT16" s="1024" t="s">
        <v>513</v>
      </c>
      <c r="AU16" s="1024" t="s">
        <v>514</v>
      </c>
      <c r="AV16" s="1024" t="s">
        <v>515</v>
      </c>
      <c r="AW16" s="1024" t="s">
        <v>516</v>
      </c>
      <c r="AX16" s="1024" t="s">
        <v>517</v>
      </c>
      <c r="AY16" s="1024" t="s">
        <v>518</v>
      </c>
      <c r="AZ16" s="1024" t="s">
        <v>519</v>
      </c>
      <c r="BA16" s="1024" t="s">
        <v>520</v>
      </c>
      <c r="BB16" s="1024" t="s">
        <v>521</v>
      </c>
      <c r="BC16" s="1023"/>
    </row>
    <row r="17" spans="1:55" s="1439" customFormat="1" ht="21.75" customHeight="1">
      <c r="A17" s="1020"/>
      <c r="B17" s="1020"/>
      <c r="C17" s="1020"/>
      <c r="D17" s="3204" t="s">
        <v>590</v>
      </c>
      <c r="E17" s="3205"/>
      <c r="F17" s="3205"/>
      <c r="G17" s="3205"/>
      <c r="H17" s="3205"/>
      <c r="I17" s="3205"/>
      <c r="J17" s="3205"/>
      <c r="K17" s="3205"/>
      <c r="L17" s="3205"/>
      <c r="M17" s="3206" t="s">
        <v>1738</v>
      </c>
      <c r="N17" s="3205"/>
      <c r="O17" s="3205"/>
      <c r="P17" s="3205"/>
      <c r="Q17" s="3207">
        <v>0.01</v>
      </c>
      <c r="R17" s="3208"/>
      <c r="S17" s="3209"/>
      <c r="T17" s="1025"/>
      <c r="U17" s="1026" t="s">
        <v>900</v>
      </c>
      <c r="V17" s="1027" t="s">
        <v>901</v>
      </c>
      <c r="W17" s="1028" t="s">
        <v>1739</v>
      </c>
      <c r="X17" s="1025"/>
      <c r="Y17" s="1029"/>
      <c r="Z17" s="1029"/>
      <c r="AA17" s="1030"/>
      <c r="AB17" s="1030"/>
      <c r="AC17" s="1030"/>
      <c r="AD17" s="1030"/>
      <c r="AE17" s="1030"/>
      <c r="AF17" s="1030"/>
      <c r="AG17" s="1030"/>
      <c r="AH17" s="1030"/>
      <c r="AI17" s="1030"/>
      <c r="AJ17" s="1030"/>
      <c r="AK17" s="1030"/>
      <c r="AL17" s="1030"/>
      <c r="AM17" s="1030"/>
      <c r="AN17" s="1030"/>
      <c r="AO17" s="1030"/>
      <c r="AP17" s="1030"/>
      <c r="AQ17" s="1030"/>
      <c r="AR17" s="1030"/>
      <c r="AS17" s="1030"/>
      <c r="AT17" s="1030"/>
      <c r="AU17" s="1030"/>
      <c r="AV17" s="1030"/>
      <c r="AW17" s="1030"/>
      <c r="AX17" s="1030"/>
      <c r="AY17" s="1030"/>
      <c r="AZ17" s="1030"/>
      <c r="BA17" s="1030"/>
      <c r="BB17" s="1031"/>
      <c r="BC17" s="1022"/>
    </row>
    <row r="18" spans="1:55" s="1439" customFormat="1" ht="18" customHeight="1">
      <c r="A18" s="1032"/>
      <c r="B18" s="1032"/>
      <c r="C18" s="1032"/>
      <c r="D18" s="3223" t="s">
        <v>1835</v>
      </c>
      <c r="E18" s="3196"/>
      <c r="F18" s="3196"/>
      <c r="G18" s="3196"/>
      <c r="H18" s="3196"/>
      <c r="I18" s="3196"/>
      <c r="J18" s="3196"/>
      <c r="K18" s="3196"/>
      <c r="L18" s="3196"/>
      <c r="M18" s="3197"/>
      <c r="N18" s="3195"/>
      <c r="O18" s="3196"/>
      <c r="P18" s="3197"/>
      <c r="Q18" s="3224" t="s">
        <v>900</v>
      </c>
      <c r="R18" s="3196"/>
      <c r="S18" s="3225"/>
      <c r="T18" s="1025"/>
      <c r="U18" s="1033">
        <f>IF(Q18="per month",N18,N18/12)</f>
        <v>0</v>
      </c>
      <c r="V18" s="1034">
        <f>U18*12</f>
        <v>0</v>
      </c>
      <c r="W18" s="1035" t="str">
        <f>IFERROR(V18/$V$23,"")</f>
        <v/>
      </c>
      <c r="X18" s="1025"/>
      <c r="Y18" s="1036">
        <f>IF($V$3&gt;=Y$90,V18,"")</f>
        <v>0</v>
      </c>
      <c r="Z18" s="1036">
        <f t="shared" ref="Z18:BB18" si="0">IF($V$3&gt;=Z$90,(Y18*(1+$Q$17)),"")</f>
        <v>0</v>
      </c>
      <c r="AA18" s="1036">
        <f t="shared" si="0"/>
        <v>0</v>
      </c>
      <c r="AB18" s="1036">
        <f t="shared" si="0"/>
        <v>0</v>
      </c>
      <c r="AC18" s="1036">
        <f t="shared" si="0"/>
        <v>0</v>
      </c>
      <c r="AD18" s="1036">
        <f t="shared" si="0"/>
        <v>0</v>
      </c>
      <c r="AE18" s="1036">
        <f t="shared" si="0"/>
        <v>0</v>
      </c>
      <c r="AF18" s="1036">
        <f t="shared" si="0"/>
        <v>0</v>
      </c>
      <c r="AG18" s="1036">
        <f t="shared" si="0"/>
        <v>0</v>
      </c>
      <c r="AH18" s="1036">
        <f t="shared" si="0"/>
        <v>0</v>
      </c>
      <c r="AI18" s="1036">
        <f t="shared" si="0"/>
        <v>0</v>
      </c>
      <c r="AJ18" s="1036">
        <f t="shared" si="0"/>
        <v>0</v>
      </c>
      <c r="AK18" s="1036">
        <f t="shared" si="0"/>
        <v>0</v>
      </c>
      <c r="AL18" s="1036">
        <f t="shared" si="0"/>
        <v>0</v>
      </c>
      <c r="AM18" s="1036">
        <f t="shared" si="0"/>
        <v>0</v>
      </c>
      <c r="AN18" s="1036">
        <f t="shared" si="0"/>
        <v>0</v>
      </c>
      <c r="AO18" s="1036">
        <f t="shared" si="0"/>
        <v>0</v>
      </c>
      <c r="AP18" s="1036">
        <f t="shared" si="0"/>
        <v>0</v>
      </c>
      <c r="AQ18" s="1036">
        <f t="shared" si="0"/>
        <v>0</v>
      </c>
      <c r="AR18" s="1036">
        <f t="shared" si="0"/>
        <v>0</v>
      </c>
      <c r="AS18" s="1036">
        <f t="shared" si="0"/>
        <v>0</v>
      </c>
      <c r="AT18" s="1036">
        <f t="shared" si="0"/>
        <v>0</v>
      </c>
      <c r="AU18" s="1036">
        <f t="shared" si="0"/>
        <v>0</v>
      </c>
      <c r="AV18" s="1036">
        <f t="shared" si="0"/>
        <v>0</v>
      </c>
      <c r="AW18" s="1036">
        <f t="shared" si="0"/>
        <v>0</v>
      </c>
      <c r="AX18" s="1036">
        <f t="shared" si="0"/>
        <v>0</v>
      </c>
      <c r="AY18" s="1036">
        <f t="shared" si="0"/>
        <v>0</v>
      </c>
      <c r="AZ18" s="1036">
        <f t="shared" si="0"/>
        <v>0</v>
      </c>
      <c r="BA18" s="1036">
        <f t="shared" si="0"/>
        <v>0</v>
      </c>
      <c r="BB18" s="1037">
        <f t="shared" si="0"/>
        <v>0</v>
      </c>
      <c r="BC18" s="1022"/>
    </row>
    <row r="19" spans="1:55" s="1439" customFormat="1" ht="18" customHeight="1">
      <c r="A19" s="1032"/>
      <c r="B19" s="1032"/>
      <c r="C19" s="1032"/>
      <c r="D19" s="3194" t="s">
        <v>1817</v>
      </c>
      <c r="E19" s="3161"/>
      <c r="F19" s="3161"/>
      <c r="G19" s="3161"/>
      <c r="H19" s="3161"/>
      <c r="I19" s="3161"/>
      <c r="J19" s="3161"/>
      <c r="K19" s="3161"/>
      <c r="L19" s="3161"/>
      <c r="M19" s="3162"/>
      <c r="N19" s="3176"/>
      <c r="O19" s="3161"/>
      <c r="P19" s="3162"/>
      <c r="Q19" s="3203" t="s">
        <v>900</v>
      </c>
      <c r="R19" s="3161"/>
      <c r="S19" s="3199"/>
      <c r="T19" s="1025"/>
      <c r="U19" s="1038">
        <f>IF(Q19="per month",N19,N19/12)</f>
        <v>0</v>
      </c>
      <c r="V19" s="1036">
        <f>U19*12</f>
        <v>0</v>
      </c>
      <c r="W19" s="1039" t="str">
        <f>IFERROR(V19/$V$23,"")</f>
        <v/>
      </c>
      <c r="X19" s="1025"/>
      <c r="Y19" s="1036">
        <f>IF($V$3&gt;=Y$90,V19,"")</f>
        <v>0</v>
      </c>
      <c r="Z19" s="1036">
        <f t="shared" ref="Z19:BB19" si="1">IF($V$3&gt;=Z$90,(Y19*(1+$Q$17)),"")</f>
        <v>0</v>
      </c>
      <c r="AA19" s="1036">
        <f t="shared" si="1"/>
        <v>0</v>
      </c>
      <c r="AB19" s="1036">
        <f t="shared" si="1"/>
        <v>0</v>
      </c>
      <c r="AC19" s="1036">
        <f t="shared" si="1"/>
        <v>0</v>
      </c>
      <c r="AD19" s="1036">
        <f t="shared" si="1"/>
        <v>0</v>
      </c>
      <c r="AE19" s="1036">
        <f t="shared" si="1"/>
        <v>0</v>
      </c>
      <c r="AF19" s="1036">
        <f t="shared" si="1"/>
        <v>0</v>
      </c>
      <c r="AG19" s="1036">
        <f t="shared" si="1"/>
        <v>0</v>
      </c>
      <c r="AH19" s="1036">
        <f t="shared" si="1"/>
        <v>0</v>
      </c>
      <c r="AI19" s="1036">
        <f t="shared" si="1"/>
        <v>0</v>
      </c>
      <c r="AJ19" s="1036">
        <f t="shared" si="1"/>
        <v>0</v>
      </c>
      <c r="AK19" s="1036">
        <f t="shared" si="1"/>
        <v>0</v>
      </c>
      <c r="AL19" s="1036">
        <f t="shared" si="1"/>
        <v>0</v>
      </c>
      <c r="AM19" s="1036">
        <f t="shared" si="1"/>
        <v>0</v>
      </c>
      <c r="AN19" s="1036">
        <f t="shared" si="1"/>
        <v>0</v>
      </c>
      <c r="AO19" s="1036">
        <f t="shared" si="1"/>
        <v>0</v>
      </c>
      <c r="AP19" s="1036">
        <f t="shared" si="1"/>
        <v>0</v>
      </c>
      <c r="AQ19" s="1036">
        <f t="shared" si="1"/>
        <v>0</v>
      </c>
      <c r="AR19" s="1036">
        <f t="shared" si="1"/>
        <v>0</v>
      </c>
      <c r="AS19" s="1036">
        <f t="shared" si="1"/>
        <v>0</v>
      </c>
      <c r="AT19" s="1036">
        <f t="shared" si="1"/>
        <v>0</v>
      </c>
      <c r="AU19" s="1036">
        <f t="shared" si="1"/>
        <v>0</v>
      </c>
      <c r="AV19" s="1036">
        <f t="shared" si="1"/>
        <v>0</v>
      </c>
      <c r="AW19" s="1036">
        <f t="shared" si="1"/>
        <v>0</v>
      </c>
      <c r="AX19" s="1036">
        <f t="shared" si="1"/>
        <v>0</v>
      </c>
      <c r="AY19" s="1036">
        <f t="shared" si="1"/>
        <v>0</v>
      </c>
      <c r="AZ19" s="1036">
        <f t="shared" si="1"/>
        <v>0</v>
      </c>
      <c r="BA19" s="1036">
        <f t="shared" si="1"/>
        <v>0</v>
      </c>
      <c r="BB19" s="1037">
        <f t="shared" si="1"/>
        <v>0</v>
      </c>
      <c r="BC19" s="1022"/>
    </row>
    <row r="20" spans="1:55" s="1439" customFormat="1" ht="18" customHeight="1">
      <c r="A20" s="1032"/>
      <c r="B20" s="1032"/>
      <c r="C20" s="1032"/>
      <c r="D20" s="3194" t="s">
        <v>1818</v>
      </c>
      <c r="E20" s="3161"/>
      <c r="F20" s="3161"/>
      <c r="G20" s="3161"/>
      <c r="H20" s="3161"/>
      <c r="I20" s="3161"/>
      <c r="J20" s="3161"/>
      <c r="K20" s="3161"/>
      <c r="L20" s="3161"/>
      <c r="M20" s="3162"/>
      <c r="N20" s="3176"/>
      <c r="O20" s="3161"/>
      <c r="P20" s="3162"/>
      <c r="Q20" s="3203" t="s">
        <v>900</v>
      </c>
      <c r="R20" s="3161"/>
      <c r="S20" s="3199"/>
      <c r="T20" s="1025"/>
      <c r="U20" s="1038">
        <f>IF(Q20="per month",N20,N20/12)</f>
        <v>0</v>
      </c>
      <c r="V20" s="1036">
        <f>U20*12</f>
        <v>0</v>
      </c>
      <c r="W20" s="1039" t="str">
        <f>IFERROR(V20/$V$23,"")</f>
        <v/>
      </c>
      <c r="X20" s="1025"/>
      <c r="Y20" s="1036">
        <f>IF($V$3&gt;=Y$90,V20,"")</f>
        <v>0</v>
      </c>
      <c r="Z20" s="1036">
        <f t="shared" ref="Z20:BB20" si="2">IF($V$3&gt;=Z$90,(Y20*(1+$Q$17)),"")</f>
        <v>0</v>
      </c>
      <c r="AA20" s="1036">
        <f t="shared" si="2"/>
        <v>0</v>
      </c>
      <c r="AB20" s="1036">
        <f t="shared" si="2"/>
        <v>0</v>
      </c>
      <c r="AC20" s="1036">
        <f t="shared" si="2"/>
        <v>0</v>
      </c>
      <c r="AD20" s="1036">
        <f t="shared" si="2"/>
        <v>0</v>
      </c>
      <c r="AE20" s="1036">
        <f t="shared" si="2"/>
        <v>0</v>
      </c>
      <c r="AF20" s="1036">
        <f t="shared" si="2"/>
        <v>0</v>
      </c>
      <c r="AG20" s="1036">
        <f t="shared" si="2"/>
        <v>0</v>
      </c>
      <c r="AH20" s="1036">
        <f t="shared" si="2"/>
        <v>0</v>
      </c>
      <c r="AI20" s="1036">
        <f t="shared" si="2"/>
        <v>0</v>
      </c>
      <c r="AJ20" s="1036">
        <f t="shared" si="2"/>
        <v>0</v>
      </c>
      <c r="AK20" s="1036">
        <f t="shared" si="2"/>
        <v>0</v>
      </c>
      <c r="AL20" s="1036">
        <f t="shared" si="2"/>
        <v>0</v>
      </c>
      <c r="AM20" s="1036">
        <f t="shared" si="2"/>
        <v>0</v>
      </c>
      <c r="AN20" s="1036">
        <f t="shared" si="2"/>
        <v>0</v>
      </c>
      <c r="AO20" s="1036">
        <f t="shared" si="2"/>
        <v>0</v>
      </c>
      <c r="AP20" s="1036">
        <f t="shared" si="2"/>
        <v>0</v>
      </c>
      <c r="AQ20" s="1036">
        <f t="shared" si="2"/>
        <v>0</v>
      </c>
      <c r="AR20" s="1036">
        <f t="shared" si="2"/>
        <v>0</v>
      </c>
      <c r="AS20" s="1036">
        <f t="shared" si="2"/>
        <v>0</v>
      </c>
      <c r="AT20" s="1036">
        <f t="shared" si="2"/>
        <v>0</v>
      </c>
      <c r="AU20" s="1036">
        <f t="shared" si="2"/>
        <v>0</v>
      </c>
      <c r="AV20" s="1036">
        <f t="shared" si="2"/>
        <v>0</v>
      </c>
      <c r="AW20" s="1036">
        <f t="shared" si="2"/>
        <v>0</v>
      </c>
      <c r="AX20" s="1036">
        <f t="shared" si="2"/>
        <v>0</v>
      </c>
      <c r="AY20" s="1036">
        <f t="shared" si="2"/>
        <v>0</v>
      </c>
      <c r="AZ20" s="1036">
        <f t="shared" si="2"/>
        <v>0</v>
      </c>
      <c r="BA20" s="1036">
        <f t="shared" si="2"/>
        <v>0</v>
      </c>
      <c r="BB20" s="1037">
        <f t="shared" si="2"/>
        <v>0</v>
      </c>
      <c r="BC20" s="1022"/>
    </row>
    <row r="21" spans="1:55" s="1439" customFormat="1" ht="18" customHeight="1">
      <c r="A21" s="1032"/>
      <c r="B21" s="1032"/>
      <c r="C21" s="1032"/>
      <c r="D21" s="3194" t="s">
        <v>1819</v>
      </c>
      <c r="E21" s="3161"/>
      <c r="F21" s="3161"/>
      <c r="G21" s="3161"/>
      <c r="H21" s="3161"/>
      <c r="I21" s="3161"/>
      <c r="J21" s="3161"/>
      <c r="K21" s="3161"/>
      <c r="L21" s="3161"/>
      <c r="M21" s="3162"/>
      <c r="N21" s="3176"/>
      <c r="O21" s="3161"/>
      <c r="P21" s="3162"/>
      <c r="Q21" s="3203" t="s">
        <v>900</v>
      </c>
      <c r="R21" s="3161"/>
      <c r="S21" s="3199"/>
      <c r="T21" s="1025"/>
      <c r="U21" s="1038">
        <f>IF(Q21="per month",N21,N21/12)</f>
        <v>0</v>
      </c>
      <c r="V21" s="1036">
        <f>U21*12</f>
        <v>0</v>
      </c>
      <c r="W21" s="1039" t="str">
        <f>IFERROR(V21/$V$23,"")</f>
        <v/>
      </c>
      <c r="X21" s="1025"/>
      <c r="Y21" s="1036">
        <f>IF($V$3&gt;=Y$90,V21,"")</f>
        <v>0</v>
      </c>
      <c r="Z21" s="1036">
        <f t="shared" ref="Z21:BB21" si="3">IF($V$3&gt;=Z$90,(Y21*(1+$Q$17)),"")</f>
        <v>0</v>
      </c>
      <c r="AA21" s="1036">
        <f t="shared" si="3"/>
        <v>0</v>
      </c>
      <c r="AB21" s="1036">
        <f t="shared" si="3"/>
        <v>0</v>
      </c>
      <c r="AC21" s="1036">
        <f t="shared" si="3"/>
        <v>0</v>
      </c>
      <c r="AD21" s="1036">
        <f t="shared" si="3"/>
        <v>0</v>
      </c>
      <c r="AE21" s="1036">
        <f t="shared" si="3"/>
        <v>0</v>
      </c>
      <c r="AF21" s="1036">
        <f t="shared" si="3"/>
        <v>0</v>
      </c>
      <c r="AG21" s="1036">
        <f t="shared" si="3"/>
        <v>0</v>
      </c>
      <c r="AH21" s="1036">
        <f t="shared" si="3"/>
        <v>0</v>
      </c>
      <c r="AI21" s="1036">
        <f t="shared" si="3"/>
        <v>0</v>
      </c>
      <c r="AJ21" s="1036">
        <f t="shared" si="3"/>
        <v>0</v>
      </c>
      <c r="AK21" s="1036">
        <f t="shared" si="3"/>
        <v>0</v>
      </c>
      <c r="AL21" s="1036">
        <f t="shared" si="3"/>
        <v>0</v>
      </c>
      <c r="AM21" s="1036">
        <f t="shared" si="3"/>
        <v>0</v>
      </c>
      <c r="AN21" s="1036">
        <f t="shared" si="3"/>
        <v>0</v>
      </c>
      <c r="AO21" s="1036">
        <f t="shared" si="3"/>
        <v>0</v>
      </c>
      <c r="AP21" s="1036">
        <f t="shared" si="3"/>
        <v>0</v>
      </c>
      <c r="AQ21" s="1036">
        <f t="shared" si="3"/>
        <v>0</v>
      </c>
      <c r="AR21" s="1036">
        <f t="shared" si="3"/>
        <v>0</v>
      </c>
      <c r="AS21" s="1036">
        <f t="shared" si="3"/>
        <v>0</v>
      </c>
      <c r="AT21" s="1036">
        <f t="shared" si="3"/>
        <v>0</v>
      </c>
      <c r="AU21" s="1036">
        <f t="shared" si="3"/>
        <v>0</v>
      </c>
      <c r="AV21" s="1036">
        <f t="shared" si="3"/>
        <v>0</v>
      </c>
      <c r="AW21" s="1036">
        <f t="shared" si="3"/>
        <v>0</v>
      </c>
      <c r="AX21" s="1036">
        <f t="shared" si="3"/>
        <v>0</v>
      </c>
      <c r="AY21" s="1036">
        <f t="shared" si="3"/>
        <v>0</v>
      </c>
      <c r="AZ21" s="1036">
        <f t="shared" si="3"/>
        <v>0</v>
      </c>
      <c r="BA21" s="1036">
        <f t="shared" si="3"/>
        <v>0</v>
      </c>
      <c r="BB21" s="1037">
        <f t="shared" si="3"/>
        <v>0</v>
      </c>
      <c r="BC21" s="1022"/>
    </row>
    <row r="22" spans="1:55" s="1439" customFormat="1" ht="18" customHeight="1" thickBot="1">
      <c r="A22" s="1032"/>
      <c r="B22" s="1032"/>
      <c r="C22" s="1032"/>
      <c r="D22" s="3210" t="s">
        <v>1820</v>
      </c>
      <c r="E22" s="3211"/>
      <c r="F22" s="3211"/>
      <c r="G22" s="3211"/>
      <c r="H22" s="3211"/>
      <c r="I22" s="3211"/>
      <c r="J22" s="3211"/>
      <c r="K22" s="3211"/>
      <c r="L22" s="3211"/>
      <c r="M22" s="3212"/>
      <c r="N22" s="3213"/>
      <c r="O22" s="3211"/>
      <c r="P22" s="3212"/>
      <c r="Q22" s="3214" t="s">
        <v>900</v>
      </c>
      <c r="R22" s="3211"/>
      <c r="S22" s="3215"/>
      <c r="T22" s="1025"/>
      <c r="U22" s="1040">
        <f>IF(Q22="per month",N22,N22/12)</f>
        <v>0</v>
      </c>
      <c r="V22" s="1041">
        <f>U22*12</f>
        <v>0</v>
      </c>
      <c r="W22" s="1042" t="str">
        <f>IFERROR(V22/$V$23,"")</f>
        <v/>
      </c>
      <c r="X22" s="1025"/>
      <c r="Y22" s="1041">
        <f>IF($V$3&gt;=Y$90,V22,"")</f>
        <v>0</v>
      </c>
      <c r="Z22" s="1041">
        <f t="shared" ref="Z22:BB22" si="4">IF($V$3&gt;=Z$90,(Y22*(1+$Q$17)),"")</f>
        <v>0</v>
      </c>
      <c r="AA22" s="1041">
        <f t="shared" si="4"/>
        <v>0</v>
      </c>
      <c r="AB22" s="1041">
        <f t="shared" si="4"/>
        <v>0</v>
      </c>
      <c r="AC22" s="1041">
        <f t="shared" si="4"/>
        <v>0</v>
      </c>
      <c r="AD22" s="1041">
        <f t="shared" si="4"/>
        <v>0</v>
      </c>
      <c r="AE22" s="1041">
        <f t="shared" si="4"/>
        <v>0</v>
      </c>
      <c r="AF22" s="1041">
        <f t="shared" si="4"/>
        <v>0</v>
      </c>
      <c r="AG22" s="1041">
        <f t="shared" si="4"/>
        <v>0</v>
      </c>
      <c r="AH22" s="1041">
        <f t="shared" si="4"/>
        <v>0</v>
      </c>
      <c r="AI22" s="1041">
        <f t="shared" si="4"/>
        <v>0</v>
      </c>
      <c r="AJ22" s="1041">
        <f t="shared" si="4"/>
        <v>0</v>
      </c>
      <c r="AK22" s="1041">
        <f t="shared" si="4"/>
        <v>0</v>
      </c>
      <c r="AL22" s="1041">
        <f t="shared" si="4"/>
        <v>0</v>
      </c>
      <c r="AM22" s="1041">
        <f t="shared" si="4"/>
        <v>0</v>
      </c>
      <c r="AN22" s="1041">
        <f t="shared" si="4"/>
        <v>0</v>
      </c>
      <c r="AO22" s="1041">
        <f t="shared" si="4"/>
        <v>0</v>
      </c>
      <c r="AP22" s="1041">
        <f t="shared" si="4"/>
        <v>0</v>
      </c>
      <c r="AQ22" s="1041">
        <f t="shared" si="4"/>
        <v>0</v>
      </c>
      <c r="AR22" s="1041">
        <f t="shared" si="4"/>
        <v>0</v>
      </c>
      <c r="AS22" s="1041">
        <f t="shared" si="4"/>
        <v>0</v>
      </c>
      <c r="AT22" s="1041">
        <f t="shared" si="4"/>
        <v>0</v>
      </c>
      <c r="AU22" s="1041">
        <f t="shared" si="4"/>
        <v>0</v>
      </c>
      <c r="AV22" s="1041">
        <f t="shared" si="4"/>
        <v>0</v>
      </c>
      <c r="AW22" s="1041">
        <f t="shared" si="4"/>
        <v>0</v>
      </c>
      <c r="AX22" s="1041">
        <f t="shared" si="4"/>
        <v>0</v>
      </c>
      <c r="AY22" s="1041">
        <f t="shared" si="4"/>
        <v>0</v>
      </c>
      <c r="AZ22" s="1041">
        <f t="shared" si="4"/>
        <v>0</v>
      </c>
      <c r="BA22" s="1041">
        <f t="shared" si="4"/>
        <v>0</v>
      </c>
      <c r="BB22" s="1043">
        <f t="shared" si="4"/>
        <v>0</v>
      </c>
      <c r="BC22" s="1022"/>
    </row>
    <row r="23" spans="1:55" s="1439" customFormat="1" ht="18" customHeight="1">
      <c r="A23" s="1032"/>
      <c r="B23" s="1032"/>
      <c r="C23" s="1032"/>
      <c r="D23" s="3200" t="s">
        <v>1740</v>
      </c>
      <c r="E23" s="3201"/>
      <c r="F23" s="3201"/>
      <c r="G23" s="3201"/>
      <c r="H23" s="3201"/>
      <c r="I23" s="3201"/>
      <c r="J23" s="3201"/>
      <c r="K23" s="3201"/>
      <c r="L23" s="3201"/>
      <c r="M23" s="3201"/>
      <c r="N23" s="3201"/>
      <c r="O23" s="3201"/>
      <c r="P23" s="3201"/>
      <c r="Q23" s="3201"/>
      <c r="R23" s="3201"/>
      <c r="S23" s="3202"/>
      <c r="T23" s="1044"/>
      <c r="U23" s="1045">
        <f>SUM(U18:U22)</f>
        <v>0</v>
      </c>
      <c r="V23" s="1046">
        <f>SUM(V18:V22)</f>
        <v>0</v>
      </c>
      <c r="W23" s="1047" t="s">
        <v>1774</v>
      </c>
      <c r="X23" s="1025"/>
      <c r="Y23" s="1046">
        <f>IF($V$3&gt;=Y$90,SUM(Y18:Y22),"")</f>
        <v>0</v>
      </c>
      <c r="Z23" s="1046">
        <f t="shared" ref="Z23:BB23" si="5">IF($V$3&gt;=Z$90,SUM(Z18:Z22),"")</f>
        <v>0</v>
      </c>
      <c r="AA23" s="1046">
        <f t="shared" si="5"/>
        <v>0</v>
      </c>
      <c r="AB23" s="1046">
        <f t="shared" si="5"/>
        <v>0</v>
      </c>
      <c r="AC23" s="1046">
        <f t="shared" si="5"/>
        <v>0</v>
      </c>
      <c r="AD23" s="1046">
        <f t="shared" si="5"/>
        <v>0</v>
      </c>
      <c r="AE23" s="1046">
        <f t="shared" si="5"/>
        <v>0</v>
      </c>
      <c r="AF23" s="1046">
        <f t="shared" si="5"/>
        <v>0</v>
      </c>
      <c r="AG23" s="1046">
        <f t="shared" si="5"/>
        <v>0</v>
      </c>
      <c r="AH23" s="1046">
        <f t="shared" si="5"/>
        <v>0</v>
      </c>
      <c r="AI23" s="1046">
        <f t="shared" si="5"/>
        <v>0</v>
      </c>
      <c r="AJ23" s="1046">
        <f t="shared" si="5"/>
        <v>0</v>
      </c>
      <c r="AK23" s="1046">
        <f t="shared" si="5"/>
        <v>0</v>
      </c>
      <c r="AL23" s="1046">
        <f t="shared" si="5"/>
        <v>0</v>
      </c>
      <c r="AM23" s="1046">
        <f t="shared" si="5"/>
        <v>0</v>
      </c>
      <c r="AN23" s="1046">
        <f t="shared" si="5"/>
        <v>0</v>
      </c>
      <c r="AO23" s="1046">
        <f t="shared" si="5"/>
        <v>0</v>
      </c>
      <c r="AP23" s="1046">
        <f t="shared" si="5"/>
        <v>0</v>
      </c>
      <c r="AQ23" s="1046">
        <f t="shared" si="5"/>
        <v>0</v>
      </c>
      <c r="AR23" s="1046">
        <f t="shared" si="5"/>
        <v>0</v>
      </c>
      <c r="AS23" s="1046">
        <f t="shared" si="5"/>
        <v>0</v>
      </c>
      <c r="AT23" s="1046">
        <f t="shared" si="5"/>
        <v>0</v>
      </c>
      <c r="AU23" s="1046">
        <f t="shared" si="5"/>
        <v>0</v>
      </c>
      <c r="AV23" s="1046">
        <f t="shared" si="5"/>
        <v>0</v>
      </c>
      <c r="AW23" s="1046">
        <f t="shared" si="5"/>
        <v>0</v>
      </c>
      <c r="AX23" s="1046">
        <f t="shared" si="5"/>
        <v>0</v>
      </c>
      <c r="AY23" s="1046">
        <f t="shared" si="5"/>
        <v>0</v>
      </c>
      <c r="AZ23" s="1046">
        <f t="shared" si="5"/>
        <v>0</v>
      </c>
      <c r="BA23" s="1046">
        <f t="shared" si="5"/>
        <v>0</v>
      </c>
      <c r="BB23" s="1048">
        <f t="shared" si="5"/>
        <v>0</v>
      </c>
      <c r="BC23" s="1022"/>
    </row>
    <row r="24" spans="1:55" s="1439" customFormat="1" ht="18" customHeight="1">
      <c r="A24" s="1032"/>
      <c r="B24" s="1032"/>
      <c r="C24" s="1032"/>
      <c r="D24" s="3194" t="s">
        <v>591</v>
      </c>
      <c r="E24" s="3161"/>
      <c r="F24" s="3161"/>
      <c r="G24" s="3161"/>
      <c r="H24" s="3161"/>
      <c r="I24" s="3161"/>
      <c r="J24" s="3161"/>
      <c r="K24" s="3161"/>
      <c r="L24" s="3161"/>
      <c r="M24" s="3162"/>
      <c r="N24" s="3195"/>
      <c r="O24" s="3196"/>
      <c r="P24" s="3197"/>
      <c r="Q24" s="3198" t="s">
        <v>1736</v>
      </c>
      <c r="R24" s="3161"/>
      <c r="S24" s="3199"/>
      <c r="T24" s="1022"/>
      <c r="U24" s="1038">
        <f>IF(Q24="# of Months",-(U23*N24)/12,(-U23*(N24/100)))</f>
        <v>0</v>
      </c>
      <c r="V24" s="1036">
        <f>U24*12</f>
        <v>0</v>
      </c>
      <c r="W24" s="1039" t="str">
        <f>IFERROR(V24/$V$23,"")</f>
        <v/>
      </c>
      <c r="X24" s="1022"/>
      <c r="Y24" s="1036">
        <f>IF(Y23="","",V24)</f>
        <v>0</v>
      </c>
      <c r="Z24" s="1036">
        <f t="shared" ref="Z24:BB24" si="6">IF(Z23="","",Y24*(1+Revenue_Increase_Per_Year))</f>
        <v>0</v>
      </c>
      <c r="AA24" s="1036">
        <f t="shared" si="6"/>
        <v>0</v>
      </c>
      <c r="AB24" s="1036">
        <f t="shared" si="6"/>
        <v>0</v>
      </c>
      <c r="AC24" s="1036">
        <f t="shared" si="6"/>
        <v>0</v>
      </c>
      <c r="AD24" s="1036">
        <f t="shared" si="6"/>
        <v>0</v>
      </c>
      <c r="AE24" s="1036">
        <f t="shared" si="6"/>
        <v>0</v>
      </c>
      <c r="AF24" s="1036">
        <f t="shared" si="6"/>
        <v>0</v>
      </c>
      <c r="AG24" s="1036">
        <f t="shared" si="6"/>
        <v>0</v>
      </c>
      <c r="AH24" s="1036">
        <f t="shared" si="6"/>
        <v>0</v>
      </c>
      <c r="AI24" s="1036">
        <f t="shared" si="6"/>
        <v>0</v>
      </c>
      <c r="AJ24" s="1036">
        <f t="shared" si="6"/>
        <v>0</v>
      </c>
      <c r="AK24" s="1036">
        <f t="shared" si="6"/>
        <v>0</v>
      </c>
      <c r="AL24" s="1036">
        <f t="shared" si="6"/>
        <v>0</v>
      </c>
      <c r="AM24" s="1036">
        <f t="shared" si="6"/>
        <v>0</v>
      </c>
      <c r="AN24" s="1036">
        <f t="shared" si="6"/>
        <v>0</v>
      </c>
      <c r="AO24" s="1036">
        <f t="shared" si="6"/>
        <v>0</v>
      </c>
      <c r="AP24" s="1036">
        <f t="shared" si="6"/>
        <v>0</v>
      </c>
      <c r="AQ24" s="1036">
        <f t="shared" si="6"/>
        <v>0</v>
      </c>
      <c r="AR24" s="1036">
        <f t="shared" si="6"/>
        <v>0</v>
      </c>
      <c r="AS24" s="1036">
        <f t="shared" si="6"/>
        <v>0</v>
      </c>
      <c r="AT24" s="1036">
        <f t="shared" si="6"/>
        <v>0</v>
      </c>
      <c r="AU24" s="1036">
        <f t="shared" si="6"/>
        <v>0</v>
      </c>
      <c r="AV24" s="1036">
        <f t="shared" si="6"/>
        <v>0</v>
      </c>
      <c r="AW24" s="1036">
        <f t="shared" si="6"/>
        <v>0</v>
      </c>
      <c r="AX24" s="1036">
        <f t="shared" si="6"/>
        <v>0</v>
      </c>
      <c r="AY24" s="1036">
        <f t="shared" si="6"/>
        <v>0</v>
      </c>
      <c r="AZ24" s="1036">
        <f t="shared" si="6"/>
        <v>0</v>
      </c>
      <c r="BA24" s="1036">
        <f t="shared" si="6"/>
        <v>0</v>
      </c>
      <c r="BB24" s="1037">
        <f t="shared" si="6"/>
        <v>0</v>
      </c>
      <c r="BC24" s="1022"/>
    </row>
    <row r="25" spans="1:55" s="1439" customFormat="1" ht="18" customHeight="1">
      <c r="A25" s="1032"/>
      <c r="B25" s="1032"/>
      <c r="C25" s="1032"/>
      <c r="D25" s="3194" t="s">
        <v>1741</v>
      </c>
      <c r="E25" s="3161"/>
      <c r="F25" s="3161"/>
      <c r="G25" s="3161"/>
      <c r="H25" s="3161"/>
      <c r="I25" s="3161"/>
      <c r="J25" s="3161"/>
      <c r="K25" s="3161"/>
      <c r="L25" s="3161"/>
      <c r="M25" s="3162"/>
      <c r="N25" s="3195"/>
      <c r="O25" s="3196"/>
      <c r="P25" s="3197"/>
      <c r="Q25" s="3198" t="s">
        <v>1736</v>
      </c>
      <c r="R25" s="3161"/>
      <c r="S25" s="3199"/>
      <c r="T25" s="1022"/>
      <c r="U25" s="1038">
        <f>IF(Q25="# of Months",-(U23*N25)/12,(-U23*(N25/100)))</f>
        <v>0</v>
      </c>
      <c r="V25" s="1036">
        <f>U25*12</f>
        <v>0</v>
      </c>
      <c r="W25" s="1042" t="str">
        <f>IFERROR(V25/$V$23,"")</f>
        <v/>
      </c>
      <c r="X25" s="1022"/>
      <c r="Y25" s="1041">
        <f>V25</f>
        <v>0</v>
      </c>
      <c r="Z25" s="1041">
        <f t="shared" ref="Z25:BB25" si="7">IF(Z23="","",Y25*(1+Revenue_Increase_Per_Year))</f>
        <v>0</v>
      </c>
      <c r="AA25" s="1041">
        <f t="shared" si="7"/>
        <v>0</v>
      </c>
      <c r="AB25" s="1041">
        <f t="shared" si="7"/>
        <v>0</v>
      </c>
      <c r="AC25" s="1041">
        <f t="shared" si="7"/>
        <v>0</v>
      </c>
      <c r="AD25" s="1041">
        <f t="shared" si="7"/>
        <v>0</v>
      </c>
      <c r="AE25" s="1041">
        <f t="shared" si="7"/>
        <v>0</v>
      </c>
      <c r="AF25" s="1041">
        <f t="shared" si="7"/>
        <v>0</v>
      </c>
      <c r="AG25" s="1041">
        <f t="shared" si="7"/>
        <v>0</v>
      </c>
      <c r="AH25" s="1041">
        <f t="shared" si="7"/>
        <v>0</v>
      </c>
      <c r="AI25" s="1041">
        <f t="shared" si="7"/>
        <v>0</v>
      </c>
      <c r="AJ25" s="1041">
        <f t="shared" si="7"/>
        <v>0</v>
      </c>
      <c r="AK25" s="1041">
        <f t="shared" si="7"/>
        <v>0</v>
      </c>
      <c r="AL25" s="1041">
        <f t="shared" si="7"/>
        <v>0</v>
      </c>
      <c r="AM25" s="1041">
        <f t="shared" si="7"/>
        <v>0</v>
      </c>
      <c r="AN25" s="1041">
        <f t="shared" si="7"/>
        <v>0</v>
      </c>
      <c r="AO25" s="1041">
        <f t="shared" si="7"/>
        <v>0</v>
      </c>
      <c r="AP25" s="1041">
        <f t="shared" si="7"/>
        <v>0</v>
      </c>
      <c r="AQ25" s="1041">
        <f t="shared" si="7"/>
        <v>0</v>
      </c>
      <c r="AR25" s="1041">
        <f t="shared" si="7"/>
        <v>0</v>
      </c>
      <c r="AS25" s="1041">
        <f t="shared" si="7"/>
        <v>0</v>
      </c>
      <c r="AT25" s="1041">
        <f t="shared" si="7"/>
        <v>0</v>
      </c>
      <c r="AU25" s="1041">
        <f t="shared" si="7"/>
        <v>0</v>
      </c>
      <c r="AV25" s="1041">
        <f t="shared" si="7"/>
        <v>0</v>
      </c>
      <c r="AW25" s="1041">
        <f t="shared" si="7"/>
        <v>0</v>
      </c>
      <c r="AX25" s="1041">
        <f t="shared" si="7"/>
        <v>0</v>
      </c>
      <c r="AY25" s="1041">
        <f t="shared" si="7"/>
        <v>0</v>
      </c>
      <c r="AZ25" s="1041">
        <f t="shared" si="7"/>
        <v>0</v>
      </c>
      <c r="BA25" s="1041">
        <f t="shared" si="7"/>
        <v>0</v>
      </c>
      <c r="BB25" s="1043">
        <f t="shared" si="7"/>
        <v>0</v>
      </c>
      <c r="BC25" s="1022"/>
    </row>
    <row r="26" spans="1:55" s="1439" customFormat="1" ht="18" customHeight="1">
      <c r="A26" s="1032"/>
      <c r="B26" s="1032"/>
      <c r="C26" s="1032"/>
      <c r="D26" s="3194" t="s">
        <v>1742</v>
      </c>
      <c r="E26" s="3161"/>
      <c r="F26" s="3161"/>
      <c r="G26" s="3161"/>
      <c r="H26" s="3161"/>
      <c r="I26" s="3161"/>
      <c r="J26" s="3161"/>
      <c r="K26" s="3161"/>
      <c r="L26" s="3161"/>
      <c r="M26" s="3162"/>
      <c r="N26" s="3195"/>
      <c r="O26" s="3196"/>
      <c r="P26" s="3197"/>
      <c r="Q26" s="3198" t="s">
        <v>900</v>
      </c>
      <c r="R26" s="3161"/>
      <c r="S26" s="3199"/>
      <c r="T26" s="1022"/>
      <c r="U26" s="1040">
        <f>IF(Q26="per month",N26,N26/12)</f>
        <v>0</v>
      </c>
      <c r="V26" s="1041">
        <f>U26*12</f>
        <v>0</v>
      </c>
      <c r="W26" s="1042" t="str">
        <f>IFERROR(V26/$V$23,"")</f>
        <v/>
      </c>
      <c r="X26" s="1022"/>
      <c r="Y26" s="1041">
        <f>IF($V$3&gt;=Y$90,$V$26,"")</f>
        <v>0</v>
      </c>
      <c r="Z26" s="1041">
        <f t="shared" ref="Z26:BB26" si="8">IF($V$3&gt;=Z$90,(Y26+(Y26*$Q$17)),"")</f>
        <v>0</v>
      </c>
      <c r="AA26" s="1041">
        <f t="shared" si="8"/>
        <v>0</v>
      </c>
      <c r="AB26" s="1041">
        <f t="shared" si="8"/>
        <v>0</v>
      </c>
      <c r="AC26" s="1041">
        <f t="shared" si="8"/>
        <v>0</v>
      </c>
      <c r="AD26" s="1041">
        <f t="shared" si="8"/>
        <v>0</v>
      </c>
      <c r="AE26" s="1041">
        <f t="shared" si="8"/>
        <v>0</v>
      </c>
      <c r="AF26" s="1041">
        <f t="shared" si="8"/>
        <v>0</v>
      </c>
      <c r="AG26" s="1041">
        <f t="shared" si="8"/>
        <v>0</v>
      </c>
      <c r="AH26" s="1041">
        <f t="shared" si="8"/>
        <v>0</v>
      </c>
      <c r="AI26" s="1041">
        <f t="shared" si="8"/>
        <v>0</v>
      </c>
      <c r="AJ26" s="1041">
        <f t="shared" si="8"/>
        <v>0</v>
      </c>
      <c r="AK26" s="1041">
        <f t="shared" si="8"/>
        <v>0</v>
      </c>
      <c r="AL26" s="1041">
        <f t="shared" si="8"/>
        <v>0</v>
      </c>
      <c r="AM26" s="1041">
        <f t="shared" si="8"/>
        <v>0</v>
      </c>
      <c r="AN26" s="1041">
        <f t="shared" si="8"/>
        <v>0</v>
      </c>
      <c r="AO26" s="1041">
        <f t="shared" si="8"/>
        <v>0</v>
      </c>
      <c r="AP26" s="1041">
        <f t="shared" si="8"/>
        <v>0</v>
      </c>
      <c r="AQ26" s="1041">
        <f t="shared" si="8"/>
        <v>0</v>
      </c>
      <c r="AR26" s="1041">
        <f t="shared" si="8"/>
        <v>0</v>
      </c>
      <c r="AS26" s="1041">
        <f t="shared" si="8"/>
        <v>0</v>
      </c>
      <c r="AT26" s="1041">
        <f t="shared" si="8"/>
        <v>0</v>
      </c>
      <c r="AU26" s="1041">
        <f t="shared" si="8"/>
        <v>0</v>
      </c>
      <c r="AV26" s="1041">
        <f t="shared" si="8"/>
        <v>0</v>
      </c>
      <c r="AW26" s="1041">
        <f t="shared" si="8"/>
        <v>0</v>
      </c>
      <c r="AX26" s="1041">
        <f t="shared" si="8"/>
        <v>0</v>
      </c>
      <c r="AY26" s="1041">
        <f t="shared" si="8"/>
        <v>0</v>
      </c>
      <c r="AZ26" s="1041">
        <f t="shared" si="8"/>
        <v>0</v>
      </c>
      <c r="BA26" s="1041">
        <f t="shared" si="8"/>
        <v>0</v>
      </c>
      <c r="BB26" s="1043">
        <f t="shared" si="8"/>
        <v>0</v>
      </c>
      <c r="BC26" s="1022"/>
    </row>
    <row r="27" spans="1:55" s="1439" customFormat="1" ht="21.75" customHeight="1">
      <c r="A27" s="1032"/>
      <c r="B27" s="1032"/>
      <c r="C27" s="1032"/>
      <c r="D27" s="3178" t="s">
        <v>1743</v>
      </c>
      <c r="E27" s="3179"/>
      <c r="F27" s="3179"/>
      <c r="G27" s="3179"/>
      <c r="H27" s="3179"/>
      <c r="I27" s="3179"/>
      <c r="J27" s="3179"/>
      <c r="K27" s="3179"/>
      <c r="L27" s="3179"/>
      <c r="M27" s="3179"/>
      <c r="N27" s="3179"/>
      <c r="O27" s="3179"/>
      <c r="P27" s="3179"/>
      <c r="Q27" s="3179"/>
      <c r="R27" s="3179"/>
      <c r="S27" s="3180"/>
      <c r="T27" s="1044"/>
      <c r="U27" s="1049">
        <f>SUM(U23:U26)</f>
        <v>0</v>
      </c>
      <c r="V27" s="1050">
        <f>SUM(V23:V26)</f>
        <v>0</v>
      </c>
      <c r="W27" s="1051">
        <f>SUM(W23:W26)</f>
        <v>0</v>
      </c>
      <c r="X27" s="1044"/>
      <c r="Y27" s="1052">
        <f t="shared" ref="Y27:AX27" si="9">IF(Y23="","",SUM(Y23:Y26))</f>
        <v>0</v>
      </c>
      <c r="Z27" s="1052">
        <f t="shared" si="9"/>
        <v>0</v>
      </c>
      <c r="AA27" s="1053">
        <f t="shared" si="9"/>
        <v>0</v>
      </c>
      <c r="AB27" s="1053">
        <f t="shared" si="9"/>
        <v>0</v>
      </c>
      <c r="AC27" s="1053">
        <f t="shared" si="9"/>
        <v>0</v>
      </c>
      <c r="AD27" s="1053">
        <f t="shared" si="9"/>
        <v>0</v>
      </c>
      <c r="AE27" s="1053">
        <f t="shared" si="9"/>
        <v>0</v>
      </c>
      <c r="AF27" s="1053">
        <f t="shared" si="9"/>
        <v>0</v>
      </c>
      <c r="AG27" s="1053">
        <f t="shared" si="9"/>
        <v>0</v>
      </c>
      <c r="AH27" s="1053">
        <f t="shared" si="9"/>
        <v>0</v>
      </c>
      <c r="AI27" s="1053">
        <f t="shared" si="9"/>
        <v>0</v>
      </c>
      <c r="AJ27" s="1053">
        <f t="shared" si="9"/>
        <v>0</v>
      </c>
      <c r="AK27" s="1053">
        <f t="shared" si="9"/>
        <v>0</v>
      </c>
      <c r="AL27" s="1053">
        <f t="shared" si="9"/>
        <v>0</v>
      </c>
      <c r="AM27" s="1053">
        <f t="shared" si="9"/>
        <v>0</v>
      </c>
      <c r="AN27" s="1053">
        <f t="shared" si="9"/>
        <v>0</v>
      </c>
      <c r="AO27" s="1053">
        <f t="shared" si="9"/>
        <v>0</v>
      </c>
      <c r="AP27" s="1053">
        <f t="shared" si="9"/>
        <v>0</v>
      </c>
      <c r="AQ27" s="1053">
        <f t="shared" si="9"/>
        <v>0</v>
      </c>
      <c r="AR27" s="1053">
        <f t="shared" si="9"/>
        <v>0</v>
      </c>
      <c r="AS27" s="1053">
        <f t="shared" si="9"/>
        <v>0</v>
      </c>
      <c r="AT27" s="1053">
        <f t="shared" si="9"/>
        <v>0</v>
      </c>
      <c r="AU27" s="1053">
        <f t="shared" si="9"/>
        <v>0</v>
      </c>
      <c r="AV27" s="1053">
        <f t="shared" si="9"/>
        <v>0</v>
      </c>
      <c r="AW27" s="1053">
        <f t="shared" si="9"/>
        <v>0</v>
      </c>
      <c r="AX27" s="1053">
        <f t="shared" si="9"/>
        <v>0</v>
      </c>
      <c r="AY27" s="1053">
        <f>IF(AY23="","",SUM(AY23:AY26))</f>
        <v>0</v>
      </c>
      <c r="AZ27" s="1053">
        <f>IF(AZ23="","",SUM(AZ23:AZ26))</f>
        <v>0</v>
      </c>
      <c r="BA27" s="1053">
        <f>IF(BA23="","",SUM(BA23:BA26))</f>
        <v>0</v>
      </c>
      <c r="BB27" s="1054">
        <f>IF(BB23="","",SUM(BB23:BB26))</f>
        <v>0</v>
      </c>
      <c r="BC27" s="1022"/>
    </row>
    <row r="28" spans="1:55" s="1439" customFormat="1" ht="10.5" customHeight="1">
      <c r="A28" s="1032"/>
      <c r="B28" s="1032"/>
      <c r="C28" s="1032"/>
      <c r="D28" s="1055"/>
      <c r="E28" s="1055"/>
      <c r="F28" s="1055"/>
      <c r="G28" s="1055"/>
      <c r="H28" s="1055"/>
      <c r="I28" s="1055"/>
      <c r="J28" s="1055"/>
      <c r="K28" s="1055"/>
      <c r="L28" s="1055"/>
      <c r="M28" s="1055"/>
      <c r="N28" s="1022"/>
      <c r="O28" s="1022"/>
      <c r="P28" s="1022"/>
      <c r="Q28" s="1022"/>
      <c r="R28" s="1022"/>
      <c r="S28" s="1022"/>
      <c r="T28" s="1022"/>
      <c r="U28" s="1022"/>
      <c r="V28" s="1022"/>
      <c r="W28" s="1022"/>
      <c r="X28" s="1022"/>
      <c r="Y28" s="1022"/>
      <c r="Z28" s="1022"/>
      <c r="AA28" s="1022"/>
      <c r="AB28" s="1022"/>
      <c r="AC28" s="1022"/>
      <c r="AD28" s="1022"/>
      <c r="AE28" s="1022"/>
      <c r="AF28" s="1022"/>
      <c r="AG28" s="1022"/>
      <c r="AH28" s="1022"/>
      <c r="AI28" s="1022"/>
      <c r="AJ28" s="1022"/>
      <c r="AK28" s="1022"/>
      <c r="AL28" s="1022"/>
      <c r="AM28" s="1022"/>
      <c r="AN28" s="1022"/>
      <c r="AO28" s="1022"/>
      <c r="AP28" s="1022"/>
      <c r="AQ28" s="1022"/>
      <c r="AR28" s="1022"/>
      <c r="AS28" s="1022"/>
      <c r="AT28" s="1022"/>
      <c r="AU28" s="1022"/>
      <c r="AV28" s="1022"/>
      <c r="AW28" s="1022"/>
      <c r="AX28" s="1022"/>
      <c r="AY28" s="1022"/>
      <c r="AZ28" s="1022"/>
      <c r="BA28" s="1022"/>
      <c r="BB28" s="1022"/>
      <c r="BC28" s="1022"/>
    </row>
    <row r="29" spans="1:55" s="1439" customFormat="1" ht="23.25" customHeight="1">
      <c r="A29" s="1032"/>
      <c r="B29" s="1032"/>
      <c r="C29" s="1032"/>
      <c r="D29" s="3181" t="s">
        <v>594</v>
      </c>
      <c r="E29" s="3182"/>
      <c r="F29" s="3182"/>
      <c r="G29" s="3182"/>
      <c r="H29" s="3182"/>
      <c r="I29" s="3182"/>
      <c r="J29" s="3182"/>
      <c r="K29" s="3182"/>
      <c r="L29" s="3182"/>
      <c r="M29" s="3183" t="s">
        <v>1738</v>
      </c>
      <c r="N29" s="3182"/>
      <c r="O29" s="3182"/>
      <c r="P29" s="3184"/>
      <c r="Q29" s="3185">
        <v>0.01</v>
      </c>
      <c r="R29" s="3186"/>
      <c r="S29" s="3187"/>
      <c r="T29" s="1025"/>
      <c r="U29" s="1056"/>
      <c r="V29" s="1057"/>
      <c r="W29" s="1058"/>
      <c r="X29" s="1025"/>
      <c r="Y29" s="1059"/>
      <c r="Z29" s="1059">
        <f t="shared" ref="Z29:BB29" si="10">$Q$29</f>
        <v>0.01</v>
      </c>
      <c r="AA29" s="1060">
        <f t="shared" si="10"/>
        <v>0.01</v>
      </c>
      <c r="AB29" s="1060">
        <f t="shared" si="10"/>
        <v>0.01</v>
      </c>
      <c r="AC29" s="1060">
        <f t="shared" si="10"/>
        <v>0.01</v>
      </c>
      <c r="AD29" s="1060">
        <f t="shared" si="10"/>
        <v>0.01</v>
      </c>
      <c r="AE29" s="1060">
        <f t="shared" si="10"/>
        <v>0.01</v>
      </c>
      <c r="AF29" s="1060">
        <f t="shared" si="10"/>
        <v>0.01</v>
      </c>
      <c r="AG29" s="1060">
        <f t="shared" si="10"/>
        <v>0.01</v>
      </c>
      <c r="AH29" s="1060">
        <f t="shared" si="10"/>
        <v>0.01</v>
      </c>
      <c r="AI29" s="1060">
        <f t="shared" si="10"/>
        <v>0.01</v>
      </c>
      <c r="AJ29" s="1060">
        <f t="shared" si="10"/>
        <v>0.01</v>
      </c>
      <c r="AK29" s="1060">
        <f t="shared" si="10"/>
        <v>0.01</v>
      </c>
      <c r="AL29" s="1060">
        <f t="shared" si="10"/>
        <v>0.01</v>
      </c>
      <c r="AM29" s="1060">
        <f t="shared" si="10"/>
        <v>0.01</v>
      </c>
      <c r="AN29" s="1060">
        <f t="shared" si="10"/>
        <v>0.01</v>
      </c>
      <c r="AO29" s="1060">
        <f t="shared" si="10"/>
        <v>0.01</v>
      </c>
      <c r="AP29" s="1060">
        <f t="shared" si="10"/>
        <v>0.01</v>
      </c>
      <c r="AQ29" s="1060">
        <f t="shared" si="10"/>
        <v>0.01</v>
      </c>
      <c r="AR29" s="1060">
        <f t="shared" si="10"/>
        <v>0.01</v>
      </c>
      <c r="AS29" s="1060">
        <f t="shared" si="10"/>
        <v>0.01</v>
      </c>
      <c r="AT29" s="1060">
        <f t="shared" si="10"/>
        <v>0.01</v>
      </c>
      <c r="AU29" s="1060">
        <f t="shared" si="10"/>
        <v>0.01</v>
      </c>
      <c r="AV29" s="1060">
        <f t="shared" si="10"/>
        <v>0.01</v>
      </c>
      <c r="AW29" s="1060">
        <f t="shared" si="10"/>
        <v>0.01</v>
      </c>
      <c r="AX29" s="1060">
        <f t="shared" si="10"/>
        <v>0.01</v>
      </c>
      <c r="AY29" s="1060">
        <f t="shared" si="10"/>
        <v>0.01</v>
      </c>
      <c r="AZ29" s="1060">
        <f t="shared" si="10"/>
        <v>0.01</v>
      </c>
      <c r="BA29" s="1060">
        <f t="shared" si="10"/>
        <v>0.01</v>
      </c>
      <c r="BB29" s="1061">
        <f t="shared" si="10"/>
        <v>0.01</v>
      </c>
      <c r="BC29" s="1022"/>
    </row>
    <row r="30" spans="1:55" s="1439" customFormat="1" ht="18" customHeight="1">
      <c r="A30" s="1032"/>
      <c r="B30" s="1032"/>
      <c r="C30" s="1032"/>
      <c r="D30" s="3188" t="s">
        <v>902</v>
      </c>
      <c r="E30" s="3083"/>
      <c r="F30" s="3083"/>
      <c r="G30" s="3083"/>
      <c r="H30" s="3083"/>
      <c r="I30" s="3083"/>
      <c r="J30" s="3083"/>
      <c r="K30" s="3083"/>
      <c r="L30" s="3083"/>
      <c r="M30" s="3083"/>
      <c r="N30" s="3083"/>
      <c r="O30" s="3083"/>
      <c r="P30" s="3083"/>
      <c r="Q30" s="3083"/>
      <c r="R30" s="3083"/>
      <c r="S30" s="3189"/>
      <c r="T30" s="1022"/>
      <c r="U30" s="1062"/>
      <c r="V30" s="1063"/>
      <c r="W30" s="1064"/>
      <c r="X30" s="1022"/>
      <c r="Y30" s="1065"/>
      <c r="Z30" s="1066"/>
      <c r="AA30" s="1066"/>
      <c r="AB30" s="1066"/>
      <c r="AC30" s="1066"/>
      <c r="AD30" s="1066"/>
      <c r="AE30" s="1066"/>
      <c r="AF30" s="1066"/>
      <c r="AG30" s="1066"/>
      <c r="AH30" s="1066"/>
      <c r="AI30" s="1066"/>
      <c r="AJ30" s="1066"/>
      <c r="AK30" s="1066"/>
      <c r="AL30" s="1066"/>
      <c r="AM30" s="1066"/>
      <c r="AN30" s="1066"/>
      <c r="AO30" s="1066"/>
      <c r="AP30" s="1066"/>
      <c r="AQ30" s="1066"/>
      <c r="AR30" s="1066"/>
      <c r="AS30" s="1066"/>
      <c r="AT30" s="1066"/>
      <c r="AU30" s="1066"/>
      <c r="AV30" s="1066"/>
      <c r="AW30" s="1066"/>
      <c r="AX30" s="1066"/>
      <c r="AY30" s="1066"/>
      <c r="AZ30" s="1066"/>
      <c r="BA30" s="1066"/>
      <c r="BB30" s="1067"/>
      <c r="BC30" s="1022"/>
    </row>
    <row r="31" spans="1:55" s="1439" customFormat="1" ht="18" customHeight="1">
      <c r="A31" s="1032"/>
      <c r="B31" s="1032"/>
      <c r="C31" s="1032"/>
      <c r="D31" s="3190" t="s">
        <v>76</v>
      </c>
      <c r="E31" s="3173"/>
      <c r="F31" s="3173"/>
      <c r="G31" s="3173"/>
      <c r="H31" s="3173"/>
      <c r="I31" s="3173"/>
      <c r="J31" s="3173"/>
      <c r="K31" s="3173"/>
      <c r="L31" s="3173"/>
      <c r="M31" s="3174"/>
      <c r="N31" s="3191"/>
      <c r="O31" s="3173"/>
      <c r="P31" s="3174"/>
      <c r="Q31" s="3192" t="s">
        <v>901</v>
      </c>
      <c r="R31" s="3173"/>
      <c r="S31" s="3193"/>
      <c r="T31" s="1025"/>
      <c r="U31" s="1068">
        <f t="shared" ref="U31:U47" si="11">-IF(Q31="per year",N31/12,IF(Q31="% of GSI",(N31/100)*$U$23,IF(Q31="% of GOI",(N31/100)*$U$27,N31)))*1</f>
        <v>0</v>
      </c>
      <c r="V31" s="1034">
        <f>U31*12</f>
        <v>0</v>
      </c>
      <c r="W31" s="1069" t="str">
        <f t="shared" ref="W31:W47" si="12">IFERROR(V31/$V$23,"")</f>
        <v/>
      </c>
      <c r="X31" s="1025"/>
      <c r="Y31" s="1070">
        <f t="shared" ref="Y31:Y47" si="13">IF($V$3&gt;=Y$90,V31*1,"")</f>
        <v>0</v>
      </c>
      <c r="Z31" s="1071">
        <f t="shared" ref="Z31:BB31" si="14">IF($V$3&gt;=Z$90,Y31*(1+$Q$29),"")</f>
        <v>0</v>
      </c>
      <c r="AA31" s="1071">
        <f t="shared" si="14"/>
        <v>0</v>
      </c>
      <c r="AB31" s="1071">
        <f t="shared" si="14"/>
        <v>0</v>
      </c>
      <c r="AC31" s="1071">
        <f t="shared" si="14"/>
        <v>0</v>
      </c>
      <c r="AD31" s="1071">
        <f t="shared" si="14"/>
        <v>0</v>
      </c>
      <c r="AE31" s="1071">
        <f t="shared" si="14"/>
        <v>0</v>
      </c>
      <c r="AF31" s="1071">
        <f t="shared" si="14"/>
        <v>0</v>
      </c>
      <c r="AG31" s="1071">
        <f t="shared" si="14"/>
        <v>0</v>
      </c>
      <c r="AH31" s="1071">
        <f t="shared" si="14"/>
        <v>0</v>
      </c>
      <c r="AI31" s="1071">
        <f t="shared" si="14"/>
        <v>0</v>
      </c>
      <c r="AJ31" s="1071">
        <f t="shared" si="14"/>
        <v>0</v>
      </c>
      <c r="AK31" s="1071">
        <f t="shared" si="14"/>
        <v>0</v>
      </c>
      <c r="AL31" s="1071">
        <f t="shared" si="14"/>
        <v>0</v>
      </c>
      <c r="AM31" s="1071">
        <f t="shared" si="14"/>
        <v>0</v>
      </c>
      <c r="AN31" s="1071">
        <f t="shared" si="14"/>
        <v>0</v>
      </c>
      <c r="AO31" s="1071">
        <f t="shared" si="14"/>
        <v>0</v>
      </c>
      <c r="AP31" s="1071">
        <f t="shared" si="14"/>
        <v>0</v>
      </c>
      <c r="AQ31" s="1071">
        <f t="shared" si="14"/>
        <v>0</v>
      </c>
      <c r="AR31" s="1071">
        <f t="shared" si="14"/>
        <v>0</v>
      </c>
      <c r="AS31" s="1071">
        <f t="shared" si="14"/>
        <v>0</v>
      </c>
      <c r="AT31" s="1071">
        <f t="shared" si="14"/>
        <v>0</v>
      </c>
      <c r="AU31" s="1071">
        <f t="shared" si="14"/>
        <v>0</v>
      </c>
      <c r="AV31" s="1071">
        <f t="shared" si="14"/>
        <v>0</v>
      </c>
      <c r="AW31" s="1071">
        <f t="shared" si="14"/>
        <v>0</v>
      </c>
      <c r="AX31" s="1071">
        <f t="shared" si="14"/>
        <v>0</v>
      </c>
      <c r="AY31" s="1071">
        <f t="shared" si="14"/>
        <v>0</v>
      </c>
      <c r="AZ31" s="1071">
        <f t="shared" si="14"/>
        <v>0</v>
      </c>
      <c r="BA31" s="1071">
        <f t="shared" si="14"/>
        <v>0</v>
      </c>
      <c r="BB31" s="1072">
        <f t="shared" si="14"/>
        <v>0</v>
      </c>
      <c r="BC31" s="1022"/>
    </row>
    <row r="32" spans="1:55" s="1439" customFormat="1" ht="18" customHeight="1">
      <c r="A32" s="1032"/>
      <c r="B32" s="1032"/>
      <c r="C32" s="1032"/>
      <c r="D32" s="3177" t="s">
        <v>595</v>
      </c>
      <c r="E32" s="3161"/>
      <c r="F32" s="3161"/>
      <c r="G32" s="3161"/>
      <c r="H32" s="3161"/>
      <c r="I32" s="3161"/>
      <c r="J32" s="3161"/>
      <c r="K32" s="3161"/>
      <c r="L32" s="3161"/>
      <c r="M32" s="3162"/>
      <c r="N32" s="3176"/>
      <c r="O32" s="3161"/>
      <c r="P32" s="3162"/>
      <c r="Q32" s="3164" t="s">
        <v>901</v>
      </c>
      <c r="R32" s="3161"/>
      <c r="S32" s="3165"/>
      <c r="T32" s="1022"/>
      <c r="U32" s="1073">
        <f t="shared" si="11"/>
        <v>0</v>
      </c>
      <c r="V32" s="1036">
        <f t="shared" ref="V32:V47" si="15">U32*12</f>
        <v>0</v>
      </c>
      <c r="W32" s="1074" t="str">
        <f t="shared" si="12"/>
        <v/>
      </c>
      <c r="X32" s="1022"/>
      <c r="Y32" s="1075">
        <f t="shared" si="13"/>
        <v>0</v>
      </c>
      <c r="Z32" s="1076">
        <f t="shared" ref="Z32:BB32" si="16">IF($V$3&gt;=Z$90,Y32*(1+$Q$29),"")</f>
        <v>0</v>
      </c>
      <c r="AA32" s="1076">
        <f t="shared" si="16"/>
        <v>0</v>
      </c>
      <c r="AB32" s="1076">
        <f t="shared" si="16"/>
        <v>0</v>
      </c>
      <c r="AC32" s="1076">
        <f t="shared" si="16"/>
        <v>0</v>
      </c>
      <c r="AD32" s="1076">
        <f t="shared" si="16"/>
        <v>0</v>
      </c>
      <c r="AE32" s="1076">
        <f t="shared" si="16"/>
        <v>0</v>
      </c>
      <c r="AF32" s="1076">
        <f t="shared" si="16"/>
        <v>0</v>
      </c>
      <c r="AG32" s="1076">
        <f t="shared" si="16"/>
        <v>0</v>
      </c>
      <c r="AH32" s="1076">
        <f t="shared" si="16"/>
        <v>0</v>
      </c>
      <c r="AI32" s="1076">
        <f t="shared" si="16"/>
        <v>0</v>
      </c>
      <c r="AJ32" s="1076">
        <f t="shared" si="16"/>
        <v>0</v>
      </c>
      <c r="AK32" s="1076">
        <f t="shared" si="16"/>
        <v>0</v>
      </c>
      <c r="AL32" s="1076">
        <f t="shared" si="16"/>
        <v>0</v>
      </c>
      <c r="AM32" s="1076">
        <f t="shared" si="16"/>
        <v>0</v>
      </c>
      <c r="AN32" s="1076">
        <f t="shared" si="16"/>
        <v>0</v>
      </c>
      <c r="AO32" s="1076">
        <f t="shared" si="16"/>
        <v>0</v>
      </c>
      <c r="AP32" s="1076">
        <f t="shared" si="16"/>
        <v>0</v>
      </c>
      <c r="AQ32" s="1076">
        <f t="shared" si="16"/>
        <v>0</v>
      </c>
      <c r="AR32" s="1076">
        <f t="shared" si="16"/>
        <v>0</v>
      </c>
      <c r="AS32" s="1076">
        <f t="shared" si="16"/>
        <v>0</v>
      </c>
      <c r="AT32" s="1076">
        <f t="shared" si="16"/>
        <v>0</v>
      </c>
      <c r="AU32" s="1076">
        <f t="shared" si="16"/>
        <v>0</v>
      </c>
      <c r="AV32" s="1076">
        <f t="shared" si="16"/>
        <v>0</v>
      </c>
      <c r="AW32" s="1076">
        <f t="shared" si="16"/>
        <v>0</v>
      </c>
      <c r="AX32" s="1076">
        <f t="shared" si="16"/>
        <v>0</v>
      </c>
      <c r="AY32" s="1076">
        <f t="shared" si="16"/>
        <v>0</v>
      </c>
      <c r="AZ32" s="1076">
        <f t="shared" si="16"/>
        <v>0</v>
      </c>
      <c r="BA32" s="1076">
        <f t="shared" si="16"/>
        <v>0</v>
      </c>
      <c r="BB32" s="1077">
        <f t="shared" si="16"/>
        <v>0</v>
      </c>
      <c r="BC32" s="1022"/>
    </row>
    <row r="33" spans="1:55" s="1439" customFormat="1" ht="18" customHeight="1">
      <c r="A33" s="1032"/>
      <c r="B33" s="1032"/>
      <c r="C33" s="1032"/>
      <c r="D33" s="3177" t="s">
        <v>917</v>
      </c>
      <c r="E33" s="3161"/>
      <c r="F33" s="3161"/>
      <c r="G33" s="3161"/>
      <c r="H33" s="3161"/>
      <c r="I33" s="3161"/>
      <c r="J33" s="3161"/>
      <c r="K33" s="3161"/>
      <c r="L33" s="3161"/>
      <c r="M33" s="3162"/>
      <c r="N33" s="3176"/>
      <c r="O33" s="3161"/>
      <c r="P33" s="3162"/>
      <c r="Q33" s="3164" t="s">
        <v>900</v>
      </c>
      <c r="R33" s="3161"/>
      <c r="S33" s="3165"/>
      <c r="T33" s="1025"/>
      <c r="U33" s="1073">
        <f t="shared" si="11"/>
        <v>0</v>
      </c>
      <c r="V33" s="1036">
        <f t="shared" si="15"/>
        <v>0</v>
      </c>
      <c r="W33" s="1074" t="str">
        <f t="shared" si="12"/>
        <v/>
      </c>
      <c r="X33" s="1025"/>
      <c r="Y33" s="1075">
        <f t="shared" si="13"/>
        <v>0</v>
      </c>
      <c r="Z33" s="1076">
        <f t="shared" ref="Z33:BB33" si="17">IF($V$3&gt;=Z$90,Y33*(1+$Q$29),"")</f>
        <v>0</v>
      </c>
      <c r="AA33" s="1076">
        <f t="shared" si="17"/>
        <v>0</v>
      </c>
      <c r="AB33" s="1076">
        <f t="shared" si="17"/>
        <v>0</v>
      </c>
      <c r="AC33" s="1076">
        <f t="shared" si="17"/>
        <v>0</v>
      </c>
      <c r="AD33" s="1076">
        <f t="shared" si="17"/>
        <v>0</v>
      </c>
      <c r="AE33" s="1076">
        <f t="shared" si="17"/>
        <v>0</v>
      </c>
      <c r="AF33" s="1076">
        <f t="shared" si="17"/>
        <v>0</v>
      </c>
      <c r="AG33" s="1076">
        <f t="shared" si="17"/>
        <v>0</v>
      </c>
      <c r="AH33" s="1076">
        <f t="shared" si="17"/>
        <v>0</v>
      </c>
      <c r="AI33" s="1076">
        <f t="shared" si="17"/>
        <v>0</v>
      </c>
      <c r="AJ33" s="1076">
        <f t="shared" si="17"/>
        <v>0</v>
      </c>
      <c r="AK33" s="1076">
        <f t="shared" si="17"/>
        <v>0</v>
      </c>
      <c r="AL33" s="1076">
        <f t="shared" si="17"/>
        <v>0</v>
      </c>
      <c r="AM33" s="1076">
        <f t="shared" si="17"/>
        <v>0</v>
      </c>
      <c r="AN33" s="1076">
        <f t="shared" si="17"/>
        <v>0</v>
      </c>
      <c r="AO33" s="1076">
        <f t="shared" si="17"/>
        <v>0</v>
      </c>
      <c r="AP33" s="1076">
        <f t="shared" si="17"/>
        <v>0</v>
      </c>
      <c r="AQ33" s="1076">
        <f t="shared" si="17"/>
        <v>0</v>
      </c>
      <c r="AR33" s="1076">
        <f t="shared" si="17"/>
        <v>0</v>
      </c>
      <c r="AS33" s="1076">
        <f t="shared" si="17"/>
        <v>0</v>
      </c>
      <c r="AT33" s="1076">
        <f t="shared" si="17"/>
        <v>0</v>
      </c>
      <c r="AU33" s="1076">
        <f t="shared" si="17"/>
        <v>0</v>
      </c>
      <c r="AV33" s="1076">
        <f t="shared" si="17"/>
        <v>0</v>
      </c>
      <c r="AW33" s="1076">
        <f t="shared" si="17"/>
        <v>0</v>
      </c>
      <c r="AX33" s="1076">
        <f t="shared" si="17"/>
        <v>0</v>
      </c>
      <c r="AY33" s="1076">
        <f t="shared" si="17"/>
        <v>0</v>
      </c>
      <c r="AZ33" s="1076">
        <f t="shared" si="17"/>
        <v>0</v>
      </c>
      <c r="BA33" s="1076">
        <f t="shared" si="17"/>
        <v>0</v>
      </c>
      <c r="BB33" s="1077">
        <f t="shared" si="17"/>
        <v>0</v>
      </c>
      <c r="BC33" s="1022"/>
    </row>
    <row r="34" spans="1:55" s="1439" customFormat="1" ht="18" customHeight="1">
      <c r="A34" s="1032"/>
      <c r="B34" s="1032"/>
      <c r="C34" s="1032"/>
      <c r="D34" s="3177" t="s">
        <v>918</v>
      </c>
      <c r="E34" s="3161"/>
      <c r="F34" s="3161"/>
      <c r="G34" s="3161"/>
      <c r="H34" s="3161"/>
      <c r="I34" s="3161"/>
      <c r="J34" s="3161"/>
      <c r="K34" s="3161"/>
      <c r="L34" s="3161"/>
      <c r="M34" s="3162"/>
      <c r="N34" s="3176"/>
      <c r="O34" s="3161"/>
      <c r="P34" s="3162"/>
      <c r="Q34" s="3164" t="s">
        <v>900</v>
      </c>
      <c r="R34" s="3161"/>
      <c r="S34" s="3165"/>
      <c r="T34" s="1022"/>
      <c r="U34" s="1073">
        <f t="shared" si="11"/>
        <v>0</v>
      </c>
      <c r="V34" s="1036">
        <f t="shared" si="15"/>
        <v>0</v>
      </c>
      <c r="W34" s="1074" t="str">
        <f t="shared" si="12"/>
        <v/>
      </c>
      <c r="X34" s="1022"/>
      <c r="Y34" s="1075">
        <f t="shared" si="13"/>
        <v>0</v>
      </c>
      <c r="Z34" s="1076">
        <f t="shared" ref="Z34:BB34" si="18">IF($V$3&gt;=Z$90,Y34*(1+$Q$29),"")</f>
        <v>0</v>
      </c>
      <c r="AA34" s="1076">
        <f t="shared" si="18"/>
        <v>0</v>
      </c>
      <c r="AB34" s="1076">
        <f t="shared" si="18"/>
        <v>0</v>
      </c>
      <c r="AC34" s="1076">
        <f t="shared" si="18"/>
        <v>0</v>
      </c>
      <c r="AD34" s="1076">
        <f t="shared" si="18"/>
        <v>0</v>
      </c>
      <c r="AE34" s="1076">
        <f t="shared" si="18"/>
        <v>0</v>
      </c>
      <c r="AF34" s="1076">
        <f t="shared" si="18"/>
        <v>0</v>
      </c>
      <c r="AG34" s="1076">
        <f t="shared" si="18"/>
        <v>0</v>
      </c>
      <c r="AH34" s="1076">
        <f t="shared" si="18"/>
        <v>0</v>
      </c>
      <c r="AI34" s="1076">
        <f t="shared" si="18"/>
        <v>0</v>
      </c>
      <c r="AJ34" s="1076">
        <f t="shared" si="18"/>
        <v>0</v>
      </c>
      <c r="AK34" s="1076">
        <f t="shared" si="18"/>
        <v>0</v>
      </c>
      <c r="AL34" s="1076">
        <f t="shared" si="18"/>
        <v>0</v>
      </c>
      <c r="AM34" s="1076">
        <f t="shared" si="18"/>
        <v>0</v>
      </c>
      <c r="AN34" s="1076">
        <f t="shared" si="18"/>
        <v>0</v>
      </c>
      <c r="AO34" s="1076">
        <f t="shared" si="18"/>
        <v>0</v>
      </c>
      <c r="AP34" s="1076">
        <f t="shared" si="18"/>
        <v>0</v>
      </c>
      <c r="AQ34" s="1076">
        <f t="shared" si="18"/>
        <v>0</v>
      </c>
      <c r="AR34" s="1076">
        <f t="shared" si="18"/>
        <v>0</v>
      </c>
      <c r="AS34" s="1076">
        <f t="shared" si="18"/>
        <v>0</v>
      </c>
      <c r="AT34" s="1076">
        <f t="shared" si="18"/>
        <v>0</v>
      </c>
      <c r="AU34" s="1076">
        <f t="shared" si="18"/>
        <v>0</v>
      </c>
      <c r="AV34" s="1076">
        <f t="shared" si="18"/>
        <v>0</v>
      </c>
      <c r="AW34" s="1076">
        <f t="shared" si="18"/>
        <v>0</v>
      </c>
      <c r="AX34" s="1076">
        <f t="shared" si="18"/>
        <v>0</v>
      </c>
      <c r="AY34" s="1076">
        <f t="shared" si="18"/>
        <v>0</v>
      </c>
      <c r="AZ34" s="1076">
        <f t="shared" si="18"/>
        <v>0</v>
      </c>
      <c r="BA34" s="1076">
        <f t="shared" si="18"/>
        <v>0</v>
      </c>
      <c r="BB34" s="1077">
        <f t="shared" si="18"/>
        <v>0</v>
      </c>
      <c r="BC34" s="1022"/>
    </row>
    <row r="35" spans="1:55" s="1439" customFormat="1" ht="18" customHeight="1">
      <c r="A35" s="1020"/>
      <c r="B35" s="1020"/>
      <c r="C35" s="1020"/>
      <c r="D35" s="3160" t="s">
        <v>919</v>
      </c>
      <c r="E35" s="3161"/>
      <c r="F35" s="3161"/>
      <c r="G35" s="3161"/>
      <c r="H35" s="3161"/>
      <c r="I35" s="3161"/>
      <c r="J35" s="3161"/>
      <c r="K35" s="3161"/>
      <c r="L35" s="3161"/>
      <c r="M35" s="3162"/>
      <c r="N35" s="3176"/>
      <c r="O35" s="3161"/>
      <c r="P35" s="3162"/>
      <c r="Q35" s="3164" t="s">
        <v>900</v>
      </c>
      <c r="R35" s="3161"/>
      <c r="S35" s="3165"/>
      <c r="T35" s="1078"/>
      <c r="U35" s="1079">
        <f t="shared" si="11"/>
        <v>0</v>
      </c>
      <c r="V35" s="1080">
        <f t="shared" si="15"/>
        <v>0</v>
      </c>
      <c r="W35" s="1081" t="str">
        <f t="shared" si="12"/>
        <v/>
      </c>
      <c r="X35" s="1078"/>
      <c r="Y35" s="1082">
        <f t="shared" si="13"/>
        <v>0</v>
      </c>
      <c r="Z35" s="1083">
        <f t="shared" ref="Z35:BB35" si="19">IF($V$3&gt;=Z$90,Y35*(1+$Q$29),"")</f>
        <v>0</v>
      </c>
      <c r="AA35" s="1083">
        <f t="shared" si="19"/>
        <v>0</v>
      </c>
      <c r="AB35" s="1083">
        <f t="shared" si="19"/>
        <v>0</v>
      </c>
      <c r="AC35" s="1083">
        <f t="shared" si="19"/>
        <v>0</v>
      </c>
      <c r="AD35" s="1083">
        <f t="shared" si="19"/>
        <v>0</v>
      </c>
      <c r="AE35" s="1083">
        <f t="shared" si="19"/>
        <v>0</v>
      </c>
      <c r="AF35" s="1083">
        <f t="shared" si="19"/>
        <v>0</v>
      </c>
      <c r="AG35" s="1083">
        <f t="shared" si="19"/>
        <v>0</v>
      </c>
      <c r="AH35" s="1083">
        <f t="shared" si="19"/>
        <v>0</v>
      </c>
      <c r="AI35" s="1083">
        <f t="shared" si="19"/>
        <v>0</v>
      </c>
      <c r="AJ35" s="1083">
        <f t="shared" si="19"/>
        <v>0</v>
      </c>
      <c r="AK35" s="1083">
        <f t="shared" si="19"/>
        <v>0</v>
      </c>
      <c r="AL35" s="1083">
        <f t="shared" si="19"/>
        <v>0</v>
      </c>
      <c r="AM35" s="1083">
        <f t="shared" si="19"/>
        <v>0</v>
      </c>
      <c r="AN35" s="1083">
        <f t="shared" si="19"/>
        <v>0</v>
      </c>
      <c r="AO35" s="1083">
        <f t="shared" si="19"/>
        <v>0</v>
      </c>
      <c r="AP35" s="1083">
        <f t="shared" si="19"/>
        <v>0</v>
      </c>
      <c r="AQ35" s="1083">
        <f t="shared" si="19"/>
        <v>0</v>
      </c>
      <c r="AR35" s="1083">
        <f t="shared" si="19"/>
        <v>0</v>
      </c>
      <c r="AS35" s="1083">
        <f t="shared" si="19"/>
        <v>0</v>
      </c>
      <c r="AT35" s="1083">
        <f t="shared" si="19"/>
        <v>0</v>
      </c>
      <c r="AU35" s="1083">
        <f t="shared" si="19"/>
        <v>0</v>
      </c>
      <c r="AV35" s="1083">
        <f t="shared" si="19"/>
        <v>0</v>
      </c>
      <c r="AW35" s="1083">
        <f t="shared" si="19"/>
        <v>0</v>
      </c>
      <c r="AX35" s="1083">
        <f t="shared" si="19"/>
        <v>0</v>
      </c>
      <c r="AY35" s="1083">
        <f t="shared" si="19"/>
        <v>0</v>
      </c>
      <c r="AZ35" s="1083">
        <f t="shared" si="19"/>
        <v>0</v>
      </c>
      <c r="BA35" s="1083">
        <f t="shared" si="19"/>
        <v>0</v>
      </c>
      <c r="BB35" s="1084">
        <f t="shared" si="19"/>
        <v>0</v>
      </c>
      <c r="BC35" s="1085"/>
    </row>
    <row r="36" spans="1:55" s="1439" customFormat="1" ht="18" customHeight="1">
      <c r="A36" s="1020"/>
      <c r="B36" s="1020"/>
      <c r="C36" s="1020"/>
      <c r="D36" s="3160" t="s">
        <v>920</v>
      </c>
      <c r="E36" s="3161"/>
      <c r="F36" s="3161"/>
      <c r="G36" s="3161"/>
      <c r="H36" s="3161"/>
      <c r="I36" s="3161"/>
      <c r="J36" s="3161"/>
      <c r="K36" s="3161"/>
      <c r="L36" s="3161"/>
      <c r="M36" s="3162"/>
      <c r="N36" s="3176"/>
      <c r="O36" s="3161"/>
      <c r="P36" s="3162"/>
      <c r="Q36" s="3164" t="s">
        <v>900</v>
      </c>
      <c r="R36" s="3161"/>
      <c r="S36" s="3165"/>
      <c r="T36" s="1085"/>
      <c r="U36" s="1079">
        <f t="shared" si="11"/>
        <v>0</v>
      </c>
      <c r="V36" s="1080">
        <f t="shared" si="15"/>
        <v>0</v>
      </c>
      <c r="W36" s="1081" t="str">
        <f t="shared" si="12"/>
        <v/>
      </c>
      <c r="X36" s="1085"/>
      <c r="Y36" s="1082">
        <f t="shared" si="13"/>
        <v>0</v>
      </c>
      <c r="Z36" s="1083">
        <f t="shared" ref="Z36:BB36" si="20">IF($V$3&gt;=Z$90,Y36*(1+$Q$29),"")</f>
        <v>0</v>
      </c>
      <c r="AA36" s="1083">
        <f t="shared" si="20"/>
        <v>0</v>
      </c>
      <c r="AB36" s="1083">
        <f t="shared" si="20"/>
        <v>0</v>
      </c>
      <c r="AC36" s="1083">
        <f t="shared" si="20"/>
        <v>0</v>
      </c>
      <c r="AD36" s="1083">
        <f t="shared" si="20"/>
        <v>0</v>
      </c>
      <c r="AE36" s="1083">
        <f t="shared" si="20"/>
        <v>0</v>
      </c>
      <c r="AF36" s="1083">
        <f t="shared" si="20"/>
        <v>0</v>
      </c>
      <c r="AG36" s="1083">
        <f t="shared" si="20"/>
        <v>0</v>
      </c>
      <c r="AH36" s="1083">
        <f t="shared" si="20"/>
        <v>0</v>
      </c>
      <c r="AI36" s="1083">
        <f t="shared" si="20"/>
        <v>0</v>
      </c>
      <c r="AJ36" s="1083">
        <f t="shared" si="20"/>
        <v>0</v>
      </c>
      <c r="AK36" s="1083">
        <f t="shared" si="20"/>
        <v>0</v>
      </c>
      <c r="AL36" s="1083">
        <f t="shared" si="20"/>
        <v>0</v>
      </c>
      <c r="AM36" s="1083">
        <f t="shared" si="20"/>
        <v>0</v>
      </c>
      <c r="AN36" s="1083">
        <f t="shared" si="20"/>
        <v>0</v>
      </c>
      <c r="AO36" s="1083">
        <f t="shared" si="20"/>
        <v>0</v>
      </c>
      <c r="AP36" s="1083">
        <f t="shared" si="20"/>
        <v>0</v>
      </c>
      <c r="AQ36" s="1083">
        <f t="shared" si="20"/>
        <v>0</v>
      </c>
      <c r="AR36" s="1083">
        <f t="shared" si="20"/>
        <v>0</v>
      </c>
      <c r="AS36" s="1083">
        <f t="shared" si="20"/>
        <v>0</v>
      </c>
      <c r="AT36" s="1083">
        <f t="shared" si="20"/>
        <v>0</v>
      </c>
      <c r="AU36" s="1083">
        <f t="shared" si="20"/>
        <v>0</v>
      </c>
      <c r="AV36" s="1083">
        <f t="shared" si="20"/>
        <v>0</v>
      </c>
      <c r="AW36" s="1083">
        <f t="shared" si="20"/>
        <v>0</v>
      </c>
      <c r="AX36" s="1083">
        <f t="shared" si="20"/>
        <v>0</v>
      </c>
      <c r="AY36" s="1083">
        <f t="shared" si="20"/>
        <v>0</v>
      </c>
      <c r="AZ36" s="1083">
        <f t="shared" si="20"/>
        <v>0</v>
      </c>
      <c r="BA36" s="1083">
        <f t="shared" si="20"/>
        <v>0</v>
      </c>
      <c r="BB36" s="1084">
        <f t="shared" si="20"/>
        <v>0</v>
      </c>
      <c r="BC36" s="1085"/>
    </row>
    <row r="37" spans="1:55" s="1439" customFormat="1" ht="18" customHeight="1">
      <c r="A37" s="1020"/>
      <c r="B37" s="1020"/>
      <c r="C37" s="1020"/>
      <c r="D37" s="3160" t="s">
        <v>921</v>
      </c>
      <c r="E37" s="3161"/>
      <c r="F37" s="3161"/>
      <c r="G37" s="3161"/>
      <c r="H37" s="3161"/>
      <c r="I37" s="3161"/>
      <c r="J37" s="3161"/>
      <c r="K37" s="3161"/>
      <c r="L37" s="3161"/>
      <c r="M37" s="3162"/>
      <c r="N37" s="3176"/>
      <c r="O37" s="3161"/>
      <c r="P37" s="3162"/>
      <c r="Q37" s="3164" t="s">
        <v>900</v>
      </c>
      <c r="R37" s="3161"/>
      <c r="S37" s="3165"/>
      <c r="T37" s="1078"/>
      <c r="U37" s="1079">
        <f t="shared" si="11"/>
        <v>0</v>
      </c>
      <c r="V37" s="1080">
        <f t="shared" si="15"/>
        <v>0</v>
      </c>
      <c r="W37" s="1081" t="str">
        <f t="shared" si="12"/>
        <v/>
      </c>
      <c r="X37" s="1078"/>
      <c r="Y37" s="1082">
        <f t="shared" si="13"/>
        <v>0</v>
      </c>
      <c r="Z37" s="1083">
        <f t="shared" ref="Z37:BB37" si="21">IF($V$3&gt;=Z$90,Y37*(1+$Q$29),"")</f>
        <v>0</v>
      </c>
      <c r="AA37" s="1083">
        <f t="shared" si="21"/>
        <v>0</v>
      </c>
      <c r="AB37" s="1083">
        <f t="shared" si="21"/>
        <v>0</v>
      </c>
      <c r="AC37" s="1083">
        <f t="shared" si="21"/>
        <v>0</v>
      </c>
      <c r="AD37" s="1083">
        <f t="shared" si="21"/>
        <v>0</v>
      </c>
      <c r="AE37" s="1083">
        <f t="shared" si="21"/>
        <v>0</v>
      </c>
      <c r="AF37" s="1083">
        <f t="shared" si="21"/>
        <v>0</v>
      </c>
      <c r="AG37" s="1083">
        <f t="shared" si="21"/>
        <v>0</v>
      </c>
      <c r="AH37" s="1083">
        <f t="shared" si="21"/>
        <v>0</v>
      </c>
      <c r="AI37" s="1083">
        <f t="shared" si="21"/>
        <v>0</v>
      </c>
      <c r="AJ37" s="1083">
        <f t="shared" si="21"/>
        <v>0</v>
      </c>
      <c r="AK37" s="1083">
        <f t="shared" si="21"/>
        <v>0</v>
      </c>
      <c r="AL37" s="1083">
        <f t="shared" si="21"/>
        <v>0</v>
      </c>
      <c r="AM37" s="1083">
        <f t="shared" si="21"/>
        <v>0</v>
      </c>
      <c r="AN37" s="1083">
        <f t="shared" si="21"/>
        <v>0</v>
      </c>
      <c r="AO37" s="1083">
        <f t="shared" si="21"/>
        <v>0</v>
      </c>
      <c r="AP37" s="1083">
        <f t="shared" si="21"/>
        <v>0</v>
      </c>
      <c r="AQ37" s="1083">
        <f t="shared" si="21"/>
        <v>0</v>
      </c>
      <c r="AR37" s="1083">
        <f t="shared" si="21"/>
        <v>0</v>
      </c>
      <c r="AS37" s="1083">
        <f t="shared" si="21"/>
        <v>0</v>
      </c>
      <c r="AT37" s="1083">
        <f t="shared" si="21"/>
        <v>0</v>
      </c>
      <c r="AU37" s="1083">
        <f t="shared" si="21"/>
        <v>0</v>
      </c>
      <c r="AV37" s="1083">
        <f t="shared" si="21"/>
        <v>0</v>
      </c>
      <c r="AW37" s="1083">
        <f t="shared" si="21"/>
        <v>0</v>
      </c>
      <c r="AX37" s="1083">
        <f t="shared" si="21"/>
        <v>0</v>
      </c>
      <c r="AY37" s="1083">
        <f t="shared" si="21"/>
        <v>0</v>
      </c>
      <c r="AZ37" s="1083">
        <f t="shared" si="21"/>
        <v>0</v>
      </c>
      <c r="BA37" s="1083">
        <f t="shared" si="21"/>
        <v>0</v>
      </c>
      <c r="BB37" s="1084">
        <f t="shared" si="21"/>
        <v>0</v>
      </c>
      <c r="BC37" s="1085"/>
    </row>
    <row r="38" spans="1:55" s="1439" customFormat="1" ht="18" customHeight="1">
      <c r="A38" s="1020"/>
      <c r="B38" s="1020"/>
      <c r="C38" s="1020"/>
      <c r="D38" s="3160" t="s">
        <v>922</v>
      </c>
      <c r="E38" s="3161"/>
      <c r="F38" s="3161"/>
      <c r="G38" s="3161"/>
      <c r="H38" s="3161"/>
      <c r="I38" s="3161"/>
      <c r="J38" s="3161"/>
      <c r="K38" s="3161"/>
      <c r="L38" s="3161"/>
      <c r="M38" s="3162"/>
      <c r="N38" s="3176"/>
      <c r="O38" s="3161"/>
      <c r="P38" s="3162"/>
      <c r="Q38" s="3164" t="s">
        <v>900</v>
      </c>
      <c r="R38" s="3161"/>
      <c r="S38" s="3165"/>
      <c r="T38" s="1085"/>
      <c r="U38" s="1079">
        <f t="shared" si="11"/>
        <v>0</v>
      </c>
      <c r="V38" s="1080">
        <f t="shared" si="15"/>
        <v>0</v>
      </c>
      <c r="W38" s="1081" t="str">
        <f t="shared" si="12"/>
        <v/>
      </c>
      <c r="X38" s="1085"/>
      <c r="Y38" s="1082">
        <f t="shared" si="13"/>
        <v>0</v>
      </c>
      <c r="Z38" s="1083">
        <f t="shared" ref="Z38:BB38" si="22">IF($V$3&gt;=Z$90,Y38*(1+$Q$29),"")</f>
        <v>0</v>
      </c>
      <c r="AA38" s="1083">
        <f t="shared" si="22"/>
        <v>0</v>
      </c>
      <c r="AB38" s="1083">
        <f t="shared" si="22"/>
        <v>0</v>
      </c>
      <c r="AC38" s="1083">
        <f t="shared" si="22"/>
        <v>0</v>
      </c>
      <c r="AD38" s="1083">
        <f t="shared" si="22"/>
        <v>0</v>
      </c>
      <c r="AE38" s="1083">
        <f t="shared" si="22"/>
        <v>0</v>
      </c>
      <c r="AF38" s="1083">
        <f t="shared" si="22"/>
        <v>0</v>
      </c>
      <c r="AG38" s="1083">
        <f t="shared" si="22"/>
        <v>0</v>
      </c>
      <c r="AH38" s="1083">
        <f t="shared" si="22"/>
        <v>0</v>
      </c>
      <c r="AI38" s="1083">
        <f t="shared" si="22"/>
        <v>0</v>
      </c>
      <c r="AJ38" s="1083">
        <f t="shared" si="22"/>
        <v>0</v>
      </c>
      <c r="AK38" s="1083">
        <f t="shared" si="22"/>
        <v>0</v>
      </c>
      <c r="AL38" s="1083">
        <f t="shared" si="22"/>
        <v>0</v>
      </c>
      <c r="AM38" s="1083">
        <f t="shared" si="22"/>
        <v>0</v>
      </c>
      <c r="AN38" s="1083">
        <f t="shared" si="22"/>
        <v>0</v>
      </c>
      <c r="AO38" s="1083">
        <f t="shared" si="22"/>
        <v>0</v>
      </c>
      <c r="AP38" s="1083">
        <f t="shared" si="22"/>
        <v>0</v>
      </c>
      <c r="AQ38" s="1083">
        <f t="shared" si="22"/>
        <v>0</v>
      </c>
      <c r="AR38" s="1083">
        <f t="shared" si="22"/>
        <v>0</v>
      </c>
      <c r="AS38" s="1083">
        <f t="shared" si="22"/>
        <v>0</v>
      </c>
      <c r="AT38" s="1083">
        <f t="shared" si="22"/>
        <v>0</v>
      </c>
      <c r="AU38" s="1083">
        <f t="shared" si="22"/>
        <v>0</v>
      </c>
      <c r="AV38" s="1083">
        <f t="shared" si="22"/>
        <v>0</v>
      </c>
      <c r="AW38" s="1083">
        <f t="shared" si="22"/>
        <v>0</v>
      </c>
      <c r="AX38" s="1083">
        <f t="shared" si="22"/>
        <v>0</v>
      </c>
      <c r="AY38" s="1083">
        <f t="shared" si="22"/>
        <v>0</v>
      </c>
      <c r="AZ38" s="1083">
        <f t="shared" si="22"/>
        <v>0</v>
      </c>
      <c r="BA38" s="1083">
        <f t="shared" si="22"/>
        <v>0</v>
      </c>
      <c r="BB38" s="1084">
        <f t="shared" si="22"/>
        <v>0</v>
      </c>
      <c r="BC38" s="1085"/>
    </row>
    <row r="39" spans="1:55" s="1439" customFormat="1" ht="18" customHeight="1">
      <c r="A39" s="1020"/>
      <c r="B39" s="1020"/>
      <c r="C39" s="1020"/>
      <c r="D39" s="3160" t="s">
        <v>923</v>
      </c>
      <c r="E39" s="3161"/>
      <c r="F39" s="3161"/>
      <c r="G39" s="3161"/>
      <c r="H39" s="3161"/>
      <c r="I39" s="3161"/>
      <c r="J39" s="3161"/>
      <c r="K39" s="3161"/>
      <c r="L39" s="3161"/>
      <c r="M39" s="3162"/>
      <c r="N39" s="3176"/>
      <c r="O39" s="3161"/>
      <c r="P39" s="3162"/>
      <c r="Q39" s="3164" t="s">
        <v>900</v>
      </c>
      <c r="R39" s="3161"/>
      <c r="S39" s="3165"/>
      <c r="T39" s="1078"/>
      <c r="U39" s="1079">
        <f t="shared" si="11"/>
        <v>0</v>
      </c>
      <c r="V39" s="1080">
        <f t="shared" si="15"/>
        <v>0</v>
      </c>
      <c r="W39" s="1081" t="str">
        <f t="shared" si="12"/>
        <v/>
      </c>
      <c r="X39" s="1078"/>
      <c r="Y39" s="1082">
        <f t="shared" si="13"/>
        <v>0</v>
      </c>
      <c r="Z39" s="1083">
        <f t="shared" ref="Z39:BB39" si="23">IF($V$3&gt;=Z$90,Y39*(1+$Q$29),"")</f>
        <v>0</v>
      </c>
      <c r="AA39" s="1083">
        <f t="shared" si="23"/>
        <v>0</v>
      </c>
      <c r="AB39" s="1083">
        <f t="shared" si="23"/>
        <v>0</v>
      </c>
      <c r="AC39" s="1083">
        <f t="shared" si="23"/>
        <v>0</v>
      </c>
      <c r="AD39" s="1083">
        <f t="shared" si="23"/>
        <v>0</v>
      </c>
      <c r="AE39" s="1083">
        <f t="shared" si="23"/>
        <v>0</v>
      </c>
      <c r="AF39" s="1083">
        <f t="shared" si="23"/>
        <v>0</v>
      </c>
      <c r="AG39" s="1083">
        <f t="shared" si="23"/>
        <v>0</v>
      </c>
      <c r="AH39" s="1083">
        <f t="shared" si="23"/>
        <v>0</v>
      </c>
      <c r="AI39" s="1083">
        <f t="shared" si="23"/>
        <v>0</v>
      </c>
      <c r="AJ39" s="1083">
        <f t="shared" si="23"/>
        <v>0</v>
      </c>
      <c r="AK39" s="1083">
        <f t="shared" si="23"/>
        <v>0</v>
      </c>
      <c r="AL39" s="1083">
        <f t="shared" si="23"/>
        <v>0</v>
      </c>
      <c r="AM39" s="1083">
        <f t="shared" si="23"/>
        <v>0</v>
      </c>
      <c r="AN39" s="1083">
        <f t="shared" si="23"/>
        <v>0</v>
      </c>
      <c r="AO39" s="1083">
        <f t="shared" si="23"/>
        <v>0</v>
      </c>
      <c r="AP39" s="1083">
        <f t="shared" si="23"/>
        <v>0</v>
      </c>
      <c r="AQ39" s="1083">
        <f t="shared" si="23"/>
        <v>0</v>
      </c>
      <c r="AR39" s="1083">
        <f t="shared" si="23"/>
        <v>0</v>
      </c>
      <c r="AS39" s="1083">
        <f t="shared" si="23"/>
        <v>0</v>
      </c>
      <c r="AT39" s="1083">
        <f t="shared" si="23"/>
        <v>0</v>
      </c>
      <c r="AU39" s="1083">
        <f t="shared" si="23"/>
        <v>0</v>
      </c>
      <c r="AV39" s="1083">
        <f t="shared" si="23"/>
        <v>0</v>
      </c>
      <c r="AW39" s="1083">
        <f t="shared" si="23"/>
        <v>0</v>
      </c>
      <c r="AX39" s="1083">
        <f t="shared" si="23"/>
        <v>0</v>
      </c>
      <c r="AY39" s="1083">
        <f t="shared" si="23"/>
        <v>0</v>
      </c>
      <c r="AZ39" s="1083">
        <f t="shared" si="23"/>
        <v>0</v>
      </c>
      <c r="BA39" s="1083">
        <f t="shared" si="23"/>
        <v>0</v>
      </c>
      <c r="BB39" s="1084">
        <f t="shared" si="23"/>
        <v>0</v>
      </c>
      <c r="BC39" s="1085"/>
    </row>
    <row r="40" spans="1:55" s="1439" customFormat="1" ht="18" customHeight="1">
      <c r="A40" s="1020"/>
      <c r="B40" s="1020"/>
      <c r="C40" s="1020"/>
      <c r="D40" s="3160" t="s">
        <v>924</v>
      </c>
      <c r="E40" s="3161"/>
      <c r="F40" s="3161"/>
      <c r="G40" s="3161"/>
      <c r="H40" s="3161"/>
      <c r="I40" s="3161"/>
      <c r="J40" s="3161"/>
      <c r="K40" s="3161"/>
      <c r="L40" s="3161"/>
      <c r="M40" s="3162"/>
      <c r="N40" s="3176"/>
      <c r="O40" s="3161"/>
      <c r="P40" s="3162"/>
      <c r="Q40" s="3164" t="s">
        <v>900</v>
      </c>
      <c r="R40" s="3161"/>
      <c r="S40" s="3165"/>
      <c r="T40" s="1085"/>
      <c r="U40" s="1079">
        <f t="shared" si="11"/>
        <v>0</v>
      </c>
      <c r="V40" s="1080">
        <f t="shared" si="15"/>
        <v>0</v>
      </c>
      <c r="W40" s="1081" t="str">
        <f t="shared" si="12"/>
        <v/>
      </c>
      <c r="X40" s="1085"/>
      <c r="Y40" s="1082">
        <f t="shared" si="13"/>
        <v>0</v>
      </c>
      <c r="Z40" s="1083">
        <f t="shared" ref="Z40:BB40" si="24">IF($V$3&gt;=Z$90,Y40*(1+$Q$29),"")</f>
        <v>0</v>
      </c>
      <c r="AA40" s="1083">
        <f t="shared" si="24"/>
        <v>0</v>
      </c>
      <c r="AB40" s="1083">
        <f t="shared" si="24"/>
        <v>0</v>
      </c>
      <c r="AC40" s="1083">
        <f t="shared" si="24"/>
        <v>0</v>
      </c>
      <c r="AD40" s="1083">
        <f t="shared" si="24"/>
        <v>0</v>
      </c>
      <c r="AE40" s="1083">
        <f t="shared" si="24"/>
        <v>0</v>
      </c>
      <c r="AF40" s="1083">
        <f t="shared" si="24"/>
        <v>0</v>
      </c>
      <c r="AG40" s="1083">
        <f t="shared" si="24"/>
        <v>0</v>
      </c>
      <c r="AH40" s="1083">
        <f t="shared" si="24"/>
        <v>0</v>
      </c>
      <c r="AI40" s="1083">
        <f t="shared" si="24"/>
        <v>0</v>
      </c>
      <c r="AJ40" s="1083">
        <f t="shared" si="24"/>
        <v>0</v>
      </c>
      <c r="AK40" s="1083">
        <f t="shared" si="24"/>
        <v>0</v>
      </c>
      <c r="AL40" s="1083">
        <f t="shared" si="24"/>
        <v>0</v>
      </c>
      <c r="AM40" s="1083">
        <f t="shared" si="24"/>
        <v>0</v>
      </c>
      <c r="AN40" s="1083">
        <f t="shared" si="24"/>
        <v>0</v>
      </c>
      <c r="AO40" s="1083">
        <f t="shared" si="24"/>
        <v>0</v>
      </c>
      <c r="AP40" s="1083">
        <f t="shared" si="24"/>
        <v>0</v>
      </c>
      <c r="AQ40" s="1083">
        <f t="shared" si="24"/>
        <v>0</v>
      </c>
      <c r="AR40" s="1083">
        <f t="shared" si="24"/>
        <v>0</v>
      </c>
      <c r="AS40" s="1083">
        <f t="shared" si="24"/>
        <v>0</v>
      </c>
      <c r="AT40" s="1083">
        <f t="shared" si="24"/>
        <v>0</v>
      </c>
      <c r="AU40" s="1083">
        <f t="shared" si="24"/>
        <v>0</v>
      </c>
      <c r="AV40" s="1083">
        <f t="shared" si="24"/>
        <v>0</v>
      </c>
      <c r="AW40" s="1083">
        <f t="shared" si="24"/>
        <v>0</v>
      </c>
      <c r="AX40" s="1083">
        <f t="shared" si="24"/>
        <v>0</v>
      </c>
      <c r="AY40" s="1083">
        <f t="shared" si="24"/>
        <v>0</v>
      </c>
      <c r="AZ40" s="1083">
        <f t="shared" si="24"/>
        <v>0</v>
      </c>
      <c r="BA40" s="1083">
        <f t="shared" si="24"/>
        <v>0</v>
      </c>
      <c r="BB40" s="1084">
        <f t="shared" si="24"/>
        <v>0</v>
      </c>
      <c r="BC40" s="1085"/>
    </row>
    <row r="41" spans="1:55" s="1439" customFormat="1" ht="18" customHeight="1">
      <c r="A41" s="1020"/>
      <c r="B41" s="1020"/>
      <c r="C41" s="1020"/>
      <c r="D41" s="3160" t="s">
        <v>925</v>
      </c>
      <c r="E41" s="3161"/>
      <c r="F41" s="3161"/>
      <c r="G41" s="3161"/>
      <c r="H41" s="3161"/>
      <c r="I41" s="3161"/>
      <c r="J41" s="3161"/>
      <c r="K41" s="3161"/>
      <c r="L41" s="3161"/>
      <c r="M41" s="3162"/>
      <c r="N41" s="3176"/>
      <c r="O41" s="3161"/>
      <c r="P41" s="3162"/>
      <c r="Q41" s="3164" t="s">
        <v>901</v>
      </c>
      <c r="R41" s="3161"/>
      <c r="S41" s="3165"/>
      <c r="T41" s="1078"/>
      <c r="U41" s="1079">
        <f t="shared" si="11"/>
        <v>0</v>
      </c>
      <c r="V41" s="1080">
        <f t="shared" si="15"/>
        <v>0</v>
      </c>
      <c r="W41" s="1081" t="str">
        <f t="shared" si="12"/>
        <v/>
      </c>
      <c r="X41" s="1078"/>
      <c r="Y41" s="1082">
        <f t="shared" si="13"/>
        <v>0</v>
      </c>
      <c r="Z41" s="1083">
        <f t="shared" ref="Z41:BB41" si="25">IF($V$3&gt;=Z$90,Y41*(1+$Q$29),"")</f>
        <v>0</v>
      </c>
      <c r="AA41" s="1083">
        <f t="shared" si="25"/>
        <v>0</v>
      </c>
      <c r="AB41" s="1083">
        <f t="shared" si="25"/>
        <v>0</v>
      </c>
      <c r="AC41" s="1083">
        <f t="shared" si="25"/>
        <v>0</v>
      </c>
      <c r="AD41" s="1083">
        <f t="shared" si="25"/>
        <v>0</v>
      </c>
      <c r="AE41" s="1083">
        <f t="shared" si="25"/>
        <v>0</v>
      </c>
      <c r="AF41" s="1083">
        <f t="shared" si="25"/>
        <v>0</v>
      </c>
      <c r="AG41" s="1083">
        <f t="shared" si="25"/>
        <v>0</v>
      </c>
      <c r="AH41" s="1083">
        <f t="shared" si="25"/>
        <v>0</v>
      </c>
      <c r="AI41" s="1083">
        <f t="shared" si="25"/>
        <v>0</v>
      </c>
      <c r="AJ41" s="1083">
        <f t="shared" si="25"/>
        <v>0</v>
      </c>
      <c r="AK41" s="1083">
        <f t="shared" si="25"/>
        <v>0</v>
      </c>
      <c r="AL41" s="1083">
        <f t="shared" si="25"/>
        <v>0</v>
      </c>
      <c r="AM41" s="1083">
        <f t="shared" si="25"/>
        <v>0</v>
      </c>
      <c r="AN41" s="1083">
        <f t="shared" si="25"/>
        <v>0</v>
      </c>
      <c r="AO41" s="1083">
        <f t="shared" si="25"/>
        <v>0</v>
      </c>
      <c r="AP41" s="1083">
        <f t="shared" si="25"/>
        <v>0</v>
      </c>
      <c r="AQ41" s="1083">
        <f t="shared" si="25"/>
        <v>0</v>
      </c>
      <c r="AR41" s="1083">
        <f t="shared" si="25"/>
        <v>0</v>
      </c>
      <c r="AS41" s="1083">
        <f t="shared" si="25"/>
        <v>0</v>
      </c>
      <c r="AT41" s="1083">
        <f t="shared" si="25"/>
        <v>0</v>
      </c>
      <c r="AU41" s="1083">
        <f t="shared" si="25"/>
        <v>0</v>
      </c>
      <c r="AV41" s="1083">
        <f t="shared" si="25"/>
        <v>0</v>
      </c>
      <c r="AW41" s="1083">
        <f t="shared" si="25"/>
        <v>0</v>
      </c>
      <c r="AX41" s="1083">
        <f t="shared" si="25"/>
        <v>0</v>
      </c>
      <c r="AY41" s="1083">
        <f t="shared" si="25"/>
        <v>0</v>
      </c>
      <c r="AZ41" s="1083">
        <f t="shared" si="25"/>
        <v>0</v>
      </c>
      <c r="BA41" s="1083">
        <f t="shared" si="25"/>
        <v>0</v>
      </c>
      <c r="BB41" s="1084">
        <f t="shared" si="25"/>
        <v>0</v>
      </c>
      <c r="BC41" s="1085"/>
    </row>
    <row r="42" spans="1:55" s="1439" customFormat="1" ht="18" customHeight="1">
      <c r="A42" s="1020"/>
      <c r="B42" s="1020"/>
      <c r="C42" s="1020"/>
      <c r="D42" s="3160" t="s">
        <v>926</v>
      </c>
      <c r="E42" s="3161"/>
      <c r="F42" s="3161"/>
      <c r="G42" s="3161"/>
      <c r="H42" s="3161"/>
      <c r="I42" s="3161"/>
      <c r="J42" s="3161"/>
      <c r="K42" s="3161"/>
      <c r="L42" s="3161"/>
      <c r="M42" s="3162"/>
      <c r="N42" s="3176"/>
      <c r="O42" s="3161"/>
      <c r="P42" s="3162"/>
      <c r="Q42" s="3164" t="s">
        <v>901</v>
      </c>
      <c r="R42" s="3161"/>
      <c r="S42" s="3165"/>
      <c r="T42" s="1085"/>
      <c r="U42" s="1079">
        <f t="shared" si="11"/>
        <v>0</v>
      </c>
      <c r="V42" s="1080">
        <f t="shared" si="15"/>
        <v>0</v>
      </c>
      <c r="W42" s="1081" t="str">
        <f t="shared" si="12"/>
        <v/>
      </c>
      <c r="X42" s="1085"/>
      <c r="Y42" s="1082">
        <f t="shared" si="13"/>
        <v>0</v>
      </c>
      <c r="Z42" s="1083">
        <f t="shared" ref="Z42:BB42" si="26">IF($V$3&gt;=Z$90,Y42*(1+$Q$29),"")</f>
        <v>0</v>
      </c>
      <c r="AA42" s="1083">
        <f t="shared" si="26"/>
        <v>0</v>
      </c>
      <c r="AB42" s="1083">
        <f t="shared" si="26"/>
        <v>0</v>
      </c>
      <c r="AC42" s="1083">
        <f t="shared" si="26"/>
        <v>0</v>
      </c>
      <c r="AD42" s="1083">
        <f t="shared" si="26"/>
        <v>0</v>
      </c>
      <c r="AE42" s="1083">
        <f t="shared" si="26"/>
        <v>0</v>
      </c>
      <c r="AF42" s="1083">
        <f t="shared" si="26"/>
        <v>0</v>
      </c>
      <c r="AG42" s="1083">
        <f t="shared" si="26"/>
        <v>0</v>
      </c>
      <c r="AH42" s="1083">
        <f t="shared" si="26"/>
        <v>0</v>
      </c>
      <c r="AI42" s="1083">
        <f t="shared" si="26"/>
        <v>0</v>
      </c>
      <c r="AJ42" s="1083">
        <f t="shared" si="26"/>
        <v>0</v>
      </c>
      <c r="AK42" s="1083">
        <f t="shared" si="26"/>
        <v>0</v>
      </c>
      <c r="AL42" s="1083">
        <f t="shared" si="26"/>
        <v>0</v>
      </c>
      <c r="AM42" s="1083">
        <f t="shared" si="26"/>
        <v>0</v>
      </c>
      <c r="AN42" s="1083">
        <f t="shared" si="26"/>
        <v>0</v>
      </c>
      <c r="AO42" s="1083">
        <f t="shared" si="26"/>
        <v>0</v>
      </c>
      <c r="AP42" s="1083">
        <f t="shared" si="26"/>
        <v>0</v>
      </c>
      <c r="AQ42" s="1083">
        <f t="shared" si="26"/>
        <v>0</v>
      </c>
      <c r="AR42" s="1083">
        <f t="shared" si="26"/>
        <v>0</v>
      </c>
      <c r="AS42" s="1083">
        <f t="shared" si="26"/>
        <v>0</v>
      </c>
      <c r="AT42" s="1083">
        <f t="shared" si="26"/>
        <v>0</v>
      </c>
      <c r="AU42" s="1083">
        <f t="shared" si="26"/>
        <v>0</v>
      </c>
      <c r="AV42" s="1083">
        <f t="shared" si="26"/>
        <v>0</v>
      </c>
      <c r="AW42" s="1083">
        <f t="shared" si="26"/>
        <v>0</v>
      </c>
      <c r="AX42" s="1083">
        <f t="shared" si="26"/>
        <v>0</v>
      </c>
      <c r="AY42" s="1083">
        <f t="shared" si="26"/>
        <v>0</v>
      </c>
      <c r="AZ42" s="1083">
        <f t="shared" si="26"/>
        <v>0</v>
      </c>
      <c r="BA42" s="1083">
        <f t="shared" si="26"/>
        <v>0</v>
      </c>
      <c r="BB42" s="1084">
        <f t="shared" si="26"/>
        <v>0</v>
      </c>
      <c r="BC42" s="1085"/>
    </row>
    <row r="43" spans="1:55" s="1439" customFormat="1" ht="18" customHeight="1">
      <c r="A43" s="1020"/>
      <c r="B43" s="1020"/>
      <c r="C43" s="1020"/>
      <c r="D43" s="3160" t="s">
        <v>927</v>
      </c>
      <c r="E43" s="3161"/>
      <c r="F43" s="3161"/>
      <c r="G43" s="3161"/>
      <c r="H43" s="3161"/>
      <c r="I43" s="3161"/>
      <c r="J43" s="3161"/>
      <c r="K43" s="3161"/>
      <c r="L43" s="3161"/>
      <c r="M43" s="3162"/>
      <c r="N43" s="3176"/>
      <c r="O43" s="3161"/>
      <c r="P43" s="3162"/>
      <c r="Q43" s="3164" t="s">
        <v>901</v>
      </c>
      <c r="R43" s="3161"/>
      <c r="S43" s="3165"/>
      <c r="T43" s="1078"/>
      <c r="U43" s="1079">
        <f t="shared" si="11"/>
        <v>0</v>
      </c>
      <c r="V43" s="1080">
        <f t="shared" si="15"/>
        <v>0</v>
      </c>
      <c r="W43" s="1081" t="str">
        <f t="shared" si="12"/>
        <v/>
      </c>
      <c r="X43" s="1078"/>
      <c r="Y43" s="1082">
        <f t="shared" si="13"/>
        <v>0</v>
      </c>
      <c r="Z43" s="1083">
        <f t="shared" ref="Z43:BB43" si="27">IF($V$3&gt;=Z$90,Y43*(1+$Q$29),"")</f>
        <v>0</v>
      </c>
      <c r="AA43" s="1083">
        <f t="shared" si="27"/>
        <v>0</v>
      </c>
      <c r="AB43" s="1083">
        <f t="shared" si="27"/>
        <v>0</v>
      </c>
      <c r="AC43" s="1083">
        <f t="shared" si="27"/>
        <v>0</v>
      </c>
      <c r="AD43" s="1083">
        <f t="shared" si="27"/>
        <v>0</v>
      </c>
      <c r="AE43" s="1083">
        <f t="shared" si="27"/>
        <v>0</v>
      </c>
      <c r="AF43" s="1083">
        <f t="shared" si="27"/>
        <v>0</v>
      </c>
      <c r="AG43" s="1083">
        <f t="shared" si="27"/>
        <v>0</v>
      </c>
      <c r="AH43" s="1083">
        <f t="shared" si="27"/>
        <v>0</v>
      </c>
      <c r="AI43" s="1083">
        <f t="shared" si="27"/>
        <v>0</v>
      </c>
      <c r="AJ43" s="1083">
        <f t="shared" si="27"/>
        <v>0</v>
      </c>
      <c r="AK43" s="1083">
        <f t="shared" si="27"/>
        <v>0</v>
      </c>
      <c r="AL43" s="1083">
        <f t="shared" si="27"/>
        <v>0</v>
      </c>
      <c r="AM43" s="1083">
        <f t="shared" si="27"/>
        <v>0</v>
      </c>
      <c r="AN43" s="1083">
        <f t="shared" si="27"/>
        <v>0</v>
      </c>
      <c r="AO43" s="1083">
        <f t="shared" si="27"/>
        <v>0</v>
      </c>
      <c r="AP43" s="1083">
        <f t="shared" si="27"/>
        <v>0</v>
      </c>
      <c r="AQ43" s="1083">
        <f t="shared" si="27"/>
        <v>0</v>
      </c>
      <c r="AR43" s="1083">
        <f t="shared" si="27"/>
        <v>0</v>
      </c>
      <c r="AS43" s="1083">
        <f t="shared" si="27"/>
        <v>0</v>
      </c>
      <c r="AT43" s="1083">
        <f t="shared" si="27"/>
        <v>0</v>
      </c>
      <c r="AU43" s="1083">
        <f t="shared" si="27"/>
        <v>0</v>
      </c>
      <c r="AV43" s="1083">
        <f t="shared" si="27"/>
        <v>0</v>
      </c>
      <c r="AW43" s="1083">
        <f t="shared" si="27"/>
        <v>0</v>
      </c>
      <c r="AX43" s="1083">
        <f t="shared" si="27"/>
        <v>0</v>
      </c>
      <c r="AY43" s="1083">
        <f t="shared" si="27"/>
        <v>0</v>
      </c>
      <c r="AZ43" s="1083">
        <f t="shared" si="27"/>
        <v>0</v>
      </c>
      <c r="BA43" s="1083">
        <f t="shared" si="27"/>
        <v>0</v>
      </c>
      <c r="BB43" s="1084">
        <f t="shared" si="27"/>
        <v>0</v>
      </c>
      <c r="BC43" s="1085"/>
    </row>
    <row r="44" spans="1:55" s="1439" customFormat="1" ht="18" customHeight="1">
      <c r="A44" s="1020"/>
      <c r="B44" s="1020"/>
      <c r="C44" s="1020"/>
      <c r="D44" s="3166" t="s">
        <v>928</v>
      </c>
      <c r="E44" s="3167"/>
      <c r="F44" s="3167"/>
      <c r="G44" s="3167"/>
      <c r="H44" s="3167"/>
      <c r="I44" s="3167"/>
      <c r="J44" s="3167"/>
      <c r="K44" s="3167"/>
      <c r="L44" s="3167"/>
      <c r="M44" s="3168"/>
      <c r="N44" s="3169"/>
      <c r="O44" s="3167"/>
      <c r="P44" s="3168"/>
      <c r="Q44" s="3170" t="s">
        <v>901</v>
      </c>
      <c r="R44" s="3167"/>
      <c r="S44" s="3171"/>
      <c r="T44" s="1085"/>
      <c r="U44" s="1086">
        <f t="shared" si="11"/>
        <v>0</v>
      </c>
      <c r="V44" s="1087">
        <f t="shared" si="15"/>
        <v>0</v>
      </c>
      <c r="W44" s="1088" t="str">
        <f t="shared" si="12"/>
        <v/>
      </c>
      <c r="X44" s="1085"/>
      <c r="Y44" s="1089">
        <f t="shared" si="13"/>
        <v>0</v>
      </c>
      <c r="Z44" s="1090">
        <f t="shared" ref="Z44:BB44" si="28">IF($V$3&gt;=Z$90,Y44*(1+$Q$29),"")</f>
        <v>0</v>
      </c>
      <c r="AA44" s="1090">
        <f t="shared" si="28"/>
        <v>0</v>
      </c>
      <c r="AB44" s="1090">
        <f t="shared" si="28"/>
        <v>0</v>
      </c>
      <c r="AC44" s="1090">
        <f t="shared" si="28"/>
        <v>0</v>
      </c>
      <c r="AD44" s="1090">
        <f t="shared" si="28"/>
        <v>0</v>
      </c>
      <c r="AE44" s="1090">
        <f t="shared" si="28"/>
        <v>0</v>
      </c>
      <c r="AF44" s="1090">
        <f t="shared" si="28"/>
        <v>0</v>
      </c>
      <c r="AG44" s="1090">
        <f t="shared" si="28"/>
        <v>0</v>
      </c>
      <c r="AH44" s="1090">
        <f t="shared" si="28"/>
        <v>0</v>
      </c>
      <c r="AI44" s="1090">
        <f t="shared" si="28"/>
        <v>0</v>
      </c>
      <c r="AJ44" s="1090">
        <f t="shared" si="28"/>
        <v>0</v>
      </c>
      <c r="AK44" s="1090">
        <f t="shared" si="28"/>
        <v>0</v>
      </c>
      <c r="AL44" s="1090">
        <f t="shared" si="28"/>
        <v>0</v>
      </c>
      <c r="AM44" s="1090">
        <f t="shared" si="28"/>
        <v>0</v>
      </c>
      <c r="AN44" s="1090">
        <f t="shared" si="28"/>
        <v>0</v>
      </c>
      <c r="AO44" s="1090">
        <f t="shared" si="28"/>
        <v>0</v>
      </c>
      <c r="AP44" s="1090">
        <f t="shared" si="28"/>
        <v>0</v>
      </c>
      <c r="AQ44" s="1090">
        <f t="shared" si="28"/>
        <v>0</v>
      </c>
      <c r="AR44" s="1090">
        <f t="shared" si="28"/>
        <v>0</v>
      </c>
      <c r="AS44" s="1090">
        <f t="shared" si="28"/>
        <v>0</v>
      </c>
      <c r="AT44" s="1090">
        <f t="shared" si="28"/>
        <v>0</v>
      </c>
      <c r="AU44" s="1090">
        <f t="shared" si="28"/>
        <v>0</v>
      </c>
      <c r="AV44" s="1090">
        <f t="shared" si="28"/>
        <v>0</v>
      </c>
      <c r="AW44" s="1090">
        <f t="shared" si="28"/>
        <v>0</v>
      </c>
      <c r="AX44" s="1090">
        <f t="shared" si="28"/>
        <v>0</v>
      </c>
      <c r="AY44" s="1090">
        <f t="shared" si="28"/>
        <v>0</v>
      </c>
      <c r="AZ44" s="1090">
        <f t="shared" si="28"/>
        <v>0</v>
      </c>
      <c r="BA44" s="1090">
        <f t="shared" si="28"/>
        <v>0</v>
      </c>
      <c r="BB44" s="1091">
        <f t="shared" si="28"/>
        <v>0</v>
      </c>
      <c r="BC44" s="1085"/>
    </row>
    <row r="45" spans="1:55" s="1439" customFormat="1" ht="18" customHeight="1">
      <c r="A45" s="1020"/>
      <c r="B45" s="1020"/>
      <c r="C45" s="1020"/>
      <c r="D45" s="3172" t="s">
        <v>1744</v>
      </c>
      <c r="E45" s="3173"/>
      <c r="F45" s="3173"/>
      <c r="G45" s="3173"/>
      <c r="H45" s="3173"/>
      <c r="I45" s="3173"/>
      <c r="J45" s="3173"/>
      <c r="K45" s="3173"/>
      <c r="L45" s="3173"/>
      <c r="M45" s="3174"/>
      <c r="N45" s="3175"/>
      <c r="O45" s="3173"/>
      <c r="P45" s="3174"/>
      <c r="Q45" s="3164" t="s">
        <v>1745</v>
      </c>
      <c r="R45" s="3161"/>
      <c r="S45" s="3165"/>
      <c r="T45" s="1085"/>
      <c r="U45" s="1092">
        <f t="shared" si="11"/>
        <v>0</v>
      </c>
      <c r="V45" s="1093">
        <f t="shared" si="15"/>
        <v>0</v>
      </c>
      <c r="W45" s="1094" t="str">
        <f t="shared" si="12"/>
        <v/>
      </c>
      <c r="X45" s="1085"/>
      <c r="Y45" s="1095">
        <f t="shared" si="13"/>
        <v>0</v>
      </c>
      <c r="Z45" s="1096">
        <f t="shared" ref="Z45:BB45" si="29">IF($V$3&gt;=Z$90,Y45*(1+$Q$29),"")</f>
        <v>0</v>
      </c>
      <c r="AA45" s="1096">
        <f t="shared" si="29"/>
        <v>0</v>
      </c>
      <c r="AB45" s="1096">
        <f t="shared" si="29"/>
        <v>0</v>
      </c>
      <c r="AC45" s="1096">
        <f t="shared" si="29"/>
        <v>0</v>
      </c>
      <c r="AD45" s="1096">
        <f t="shared" si="29"/>
        <v>0</v>
      </c>
      <c r="AE45" s="1096">
        <f t="shared" si="29"/>
        <v>0</v>
      </c>
      <c r="AF45" s="1096">
        <f t="shared" si="29"/>
        <v>0</v>
      </c>
      <c r="AG45" s="1096">
        <f t="shared" si="29"/>
        <v>0</v>
      </c>
      <c r="AH45" s="1096">
        <f t="shared" si="29"/>
        <v>0</v>
      </c>
      <c r="AI45" s="1096">
        <f t="shared" si="29"/>
        <v>0</v>
      </c>
      <c r="AJ45" s="1096">
        <f t="shared" si="29"/>
        <v>0</v>
      </c>
      <c r="AK45" s="1096">
        <f t="shared" si="29"/>
        <v>0</v>
      </c>
      <c r="AL45" s="1096">
        <f t="shared" si="29"/>
        <v>0</v>
      </c>
      <c r="AM45" s="1096">
        <f t="shared" si="29"/>
        <v>0</v>
      </c>
      <c r="AN45" s="1096">
        <f t="shared" si="29"/>
        <v>0</v>
      </c>
      <c r="AO45" s="1096">
        <f t="shared" si="29"/>
        <v>0</v>
      </c>
      <c r="AP45" s="1096">
        <f t="shared" si="29"/>
        <v>0</v>
      </c>
      <c r="AQ45" s="1096">
        <f t="shared" si="29"/>
        <v>0</v>
      </c>
      <c r="AR45" s="1096">
        <f t="shared" si="29"/>
        <v>0</v>
      </c>
      <c r="AS45" s="1096">
        <f t="shared" si="29"/>
        <v>0</v>
      </c>
      <c r="AT45" s="1096">
        <f t="shared" si="29"/>
        <v>0</v>
      </c>
      <c r="AU45" s="1096">
        <f t="shared" si="29"/>
        <v>0</v>
      </c>
      <c r="AV45" s="1096">
        <f t="shared" si="29"/>
        <v>0</v>
      </c>
      <c r="AW45" s="1096">
        <f t="shared" si="29"/>
        <v>0</v>
      </c>
      <c r="AX45" s="1096">
        <f t="shared" si="29"/>
        <v>0</v>
      </c>
      <c r="AY45" s="1096">
        <f t="shared" si="29"/>
        <v>0</v>
      </c>
      <c r="AZ45" s="1096">
        <f t="shared" si="29"/>
        <v>0</v>
      </c>
      <c r="BA45" s="1096">
        <f t="shared" si="29"/>
        <v>0</v>
      </c>
      <c r="BB45" s="1097">
        <f t="shared" si="29"/>
        <v>0</v>
      </c>
      <c r="BC45" s="1085"/>
    </row>
    <row r="46" spans="1:55" s="1439" customFormat="1" ht="18" customHeight="1">
      <c r="A46" s="1020"/>
      <c r="B46" s="1020"/>
      <c r="C46" s="1020"/>
      <c r="D46" s="3160" t="s">
        <v>1746</v>
      </c>
      <c r="E46" s="3161"/>
      <c r="F46" s="3161"/>
      <c r="G46" s="3161"/>
      <c r="H46" s="3161"/>
      <c r="I46" s="3161"/>
      <c r="J46" s="3161"/>
      <c r="K46" s="3161"/>
      <c r="L46" s="3161"/>
      <c r="M46" s="3162"/>
      <c r="N46" s="3163"/>
      <c r="O46" s="3161"/>
      <c r="P46" s="3162"/>
      <c r="Q46" s="3164" t="s">
        <v>1745</v>
      </c>
      <c r="R46" s="3161"/>
      <c r="S46" s="3165"/>
      <c r="T46" s="1078"/>
      <c r="U46" s="1079">
        <f t="shared" si="11"/>
        <v>0</v>
      </c>
      <c r="V46" s="1080">
        <f t="shared" si="15"/>
        <v>0</v>
      </c>
      <c r="W46" s="1081" t="str">
        <f t="shared" si="12"/>
        <v/>
      </c>
      <c r="X46" s="1078"/>
      <c r="Y46" s="1082">
        <f t="shared" si="13"/>
        <v>0</v>
      </c>
      <c r="Z46" s="1083">
        <f t="shared" ref="Z46:BB46" si="30">IF($V$3&gt;=Z$90,Y46*(1+$Q$29),"")</f>
        <v>0</v>
      </c>
      <c r="AA46" s="1083">
        <f t="shared" si="30"/>
        <v>0</v>
      </c>
      <c r="AB46" s="1083">
        <f t="shared" si="30"/>
        <v>0</v>
      </c>
      <c r="AC46" s="1083">
        <f t="shared" si="30"/>
        <v>0</v>
      </c>
      <c r="AD46" s="1083">
        <f t="shared" si="30"/>
        <v>0</v>
      </c>
      <c r="AE46" s="1083">
        <f t="shared" si="30"/>
        <v>0</v>
      </c>
      <c r="AF46" s="1083">
        <f t="shared" si="30"/>
        <v>0</v>
      </c>
      <c r="AG46" s="1083">
        <f t="shared" si="30"/>
        <v>0</v>
      </c>
      <c r="AH46" s="1083">
        <f t="shared" si="30"/>
        <v>0</v>
      </c>
      <c r="AI46" s="1083">
        <f t="shared" si="30"/>
        <v>0</v>
      </c>
      <c r="AJ46" s="1083">
        <f t="shared" si="30"/>
        <v>0</v>
      </c>
      <c r="AK46" s="1083">
        <f t="shared" si="30"/>
        <v>0</v>
      </c>
      <c r="AL46" s="1083">
        <f t="shared" si="30"/>
        <v>0</v>
      </c>
      <c r="AM46" s="1083">
        <f t="shared" si="30"/>
        <v>0</v>
      </c>
      <c r="AN46" s="1083">
        <f t="shared" si="30"/>
        <v>0</v>
      </c>
      <c r="AO46" s="1083">
        <f t="shared" si="30"/>
        <v>0</v>
      </c>
      <c r="AP46" s="1083">
        <f t="shared" si="30"/>
        <v>0</v>
      </c>
      <c r="AQ46" s="1083">
        <f t="shared" si="30"/>
        <v>0</v>
      </c>
      <c r="AR46" s="1083">
        <f t="shared" si="30"/>
        <v>0</v>
      </c>
      <c r="AS46" s="1083">
        <f t="shared" si="30"/>
        <v>0</v>
      </c>
      <c r="AT46" s="1083">
        <f t="shared" si="30"/>
        <v>0</v>
      </c>
      <c r="AU46" s="1083">
        <f t="shared" si="30"/>
        <v>0</v>
      </c>
      <c r="AV46" s="1083">
        <f t="shared" si="30"/>
        <v>0</v>
      </c>
      <c r="AW46" s="1083">
        <f t="shared" si="30"/>
        <v>0</v>
      </c>
      <c r="AX46" s="1083">
        <f t="shared" si="30"/>
        <v>0</v>
      </c>
      <c r="AY46" s="1083">
        <f t="shared" si="30"/>
        <v>0</v>
      </c>
      <c r="AZ46" s="1083">
        <f t="shared" si="30"/>
        <v>0</v>
      </c>
      <c r="BA46" s="1083">
        <f t="shared" si="30"/>
        <v>0</v>
      </c>
      <c r="BB46" s="1084">
        <f t="shared" si="30"/>
        <v>0</v>
      </c>
      <c r="BC46" s="1085"/>
    </row>
    <row r="47" spans="1:55" s="1439" customFormat="1" ht="18" customHeight="1" thickBot="1">
      <c r="A47" s="1020"/>
      <c r="B47" s="1020"/>
      <c r="C47" s="1020"/>
      <c r="D47" s="3166" t="s">
        <v>1747</v>
      </c>
      <c r="E47" s="3167"/>
      <c r="F47" s="3167"/>
      <c r="G47" s="3167"/>
      <c r="H47" s="3167"/>
      <c r="I47" s="3167"/>
      <c r="J47" s="3167"/>
      <c r="K47" s="3167"/>
      <c r="L47" s="3167"/>
      <c r="M47" s="3168"/>
      <c r="N47" s="3169"/>
      <c r="O47" s="3167"/>
      <c r="P47" s="3168"/>
      <c r="Q47" s="3164" t="s">
        <v>1745</v>
      </c>
      <c r="R47" s="3161"/>
      <c r="S47" s="3165"/>
      <c r="T47" s="1085"/>
      <c r="U47" s="1079">
        <f t="shared" si="11"/>
        <v>0</v>
      </c>
      <c r="V47" s="1080">
        <f t="shared" si="15"/>
        <v>0</v>
      </c>
      <c r="W47" s="1081" t="str">
        <f t="shared" si="12"/>
        <v/>
      </c>
      <c r="X47" s="1085"/>
      <c r="Y47" s="1098">
        <f t="shared" si="13"/>
        <v>0</v>
      </c>
      <c r="Z47" s="1099">
        <f t="shared" ref="Z47:BB47" si="31">IF($V$3&gt;=Z$90,Y47*(1+$Q$29),"")</f>
        <v>0</v>
      </c>
      <c r="AA47" s="1100">
        <f t="shared" si="31"/>
        <v>0</v>
      </c>
      <c r="AB47" s="1100">
        <f t="shared" si="31"/>
        <v>0</v>
      </c>
      <c r="AC47" s="1099">
        <f t="shared" si="31"/>
        <v>0</v>
      </c>
      <c r="AD47" s="1101">
        <f t="shared" si="31"/>
        <v>0</v>
      </c>
      <c r="AE47" s="1100">
        <f t="shared" si="31"/>
        <v>0</v>
      </c>
      <c r="AF47" s="1100">
        <f t="shared" si="31"/>
        <v>0</v>
      </c>
      <c r="AG47" s="1100">
        <f t="shared" si="31"/>
        <v>0</v>
      </c>
      <c r="AH47" s="1100">
        <f t="shared" si="31"/>
        <v>0</v>
      </c>
      <c r="AI47" s="1100">
        <f t="shared" si="31"/>
        <v>0</v>
      </c>
      <c r="AJ47" s="1100">
        <f t="shared" si="31"/>
        <v>0</v>
      </c>
      <c r="AK47" s="1100">
        <f t="shared" si="31"/>
        <v>0</v>
      </c>
      <c r="AL47" s="1100">
        <f t="shared" si="31"/>
        <v>0</v>
      </c>
      <c r="AM47" s="1099">
        <f t="shared" si="31"/>
        <v>0</v>
      </c>
      <c r="AN47" s="1101">
        <f t="shared" si="31"/>
        <v>0</v>
      </c>
      <c r="AO47" s="1100">
        <f t="shared" si="31"/>
        <v>0</v>
      </c>
      <c r="AP47" s="1100">
        <f t="shared" si="31"/>
        <v>0</v>
      </c>
      <c r="AQ47" s="1100">
        <f t="shared" si="31"/>
        <v>0</v>
      </c>
      <c r="AR47" s="1100">
        <f t="shared" si="31"/>
        <v>0</v>
      </c>
      <c r="AS47" s="1100">
        <f t="shared" si="31"/>
        <v>0</v>
      </c>
      <c r="AT47" s="1100">
        <f t="shared" si="31"/>
        <v>0</v>
      </c>
      <c r="AU47" s="1100">
        <f t="shared" si="31"/>
        <v>0</v>
      </c>
      <c r="AV47" s="1100">
        <f t="shared" si="31"/>
        <v>0</v>
      </c>
      <c r="AW47" s="1100">
        <f t="shared" si="31"/>
        <v>0</v>
      </c>
      <c r="AX47" s="1100">
        <f t="shared" si="31"/>
        <v>0</v>
      </c>
      <c r="AY47" s="1100">
        <f t="shared" si="31"/>
        <v>0</v>
      </c>
      <c r="AZ47" s="1100">
        <f t="shared" si="31"/>
        <v>0</v>
      </c>
      <c r="BA47" s="1100">
        <f t="shared" si="31"/>
        <v>0</v>
      </c>
      <c r="BB47" s="1102">
        <f t="shared" si="31"/>
        <v>0</v>
      </c>
      <c r="BC47" s="1085"/>
    </row>
    <row r="48" spans="1:55" s="1439" customFormat="1" ht="23.25" customHeight="1">
      <c r="A48" s="1020"/>
      <c r="B48" s="1020"/>
      <c r="C48" s="1020"/>
      <c r="D48" s="3131" t="s">
        <v>1748</v>
      </c>
      <c r="E48" s="3132"/>
      <c r="F48" s="3132"/>
      <c r="G48" s="3132"/>
      <c r="H48" s="3132"/>
      <c r="I48" s="3132"/>
      <c r="J48" s="3132"/>
      <c r="K48" s="3132"/>
      <c r="L48" s="3132"/>
      <c r="M48" s="3132"/>
      <c r="N48" s="3132"/>
      <c r="O48" s="3132"/>
      <c r="P48" s="3132"/>
      <c r="Q48" s="3132"/>
      <c r="R48" s="3132"/>
      <c r="S48" s="3133"/>
      <c r="T48" s="1085"/>
      <c r="U48" s="1103">
        <f>SUM(U31:U47)</f>
        <v>0</v>
      </c>
      <c r="V48" s="1104">
        <f>SUM(V31:V47)</f>
        <v>0</v>
      </c>
      <c r="W48" s="1105">
        <f>SUM(W31:W47)</f>
        <v>0</v>
      </c>
      <c r="X48" s="1085"/>
      <c r="Y48" s="1106">
        <f t="shared" ref="Y48:BB48" si="32">IF(Y27="","",SUM(Y31:Y47))</f>
        <v>0</v>
      </c>
      <c r="Z48" s="1106">
        <f t="shared" si="32"/>
        <v>0</v>
      </c>
      <c r="AA48" s="1107">
        <f t="shared" si="32"/>
        <v>0</v>
      </c>
      <c r="AB48" s="1107">
        <f t="shared" si="32"/>
        <v>0</v>
      </c>
      <c r="AC48" s="1107">
        <f t="shared" si="32"/>
        <v>0</v>
      </c>
      <c r="AD48" s="1107">
        <f t="shared" si="32"/>
        <v>0</v>
      </c>
      <c r="AE48" s="1107">
        <f t="shared" si="32"/>
        <v>0</v>
      </c>
      <c r="AF48" s="1107">
        <f t="shared" si="32"/>
        <v>0</v>
      </c>
      <c r="AG48" s="1107">
        <f t="shared" si="32"/>
        <v>0</v>
      </c>
      <c r="AH48" s="1107">
        <f t="shared" si="32"/>
        <v>0</v>
      </c>
      <c r="AI48" s="1107">
        <f t="shared" si="32"/>
        <v>0</v>
      </c>
      <c r="AJ48" s="1107">
        <f t="shared" si="32"/>
        <v>0</v>
      </c>
      <c r="AK48" s="1107">
        <f t="shared" si="32"/>
        <v>0</v>
      </c>
      <c r="AL48" s="1107">
        <f t="shared" si="32"/>
        <v>0</v>
      </c>
      <c r="AM48" s="1107">
        <f t="shared" si="32"/>
        <v>0</v>
      </c>
      <c r="AN48" s="1107">
        <f t="shared" si="32"/>
        <v>0</v>
      </c>
      <c r="AO48" s="1107">
        <f t="shared" si="32"/>
        <v>0</v>
      </c>
      <c r="AP48" s="1107">
        <f t="shared" si="32"/>
        <v>0</v>
      </c>
      <c r="AQ48" s="1107">
        <f t="shared" si="32"/>
        <v>0</v>
      </c>
      <c r="AR48" s="1107">
        <f t="shared" si="32"/>
        <v>0</v>
      </c>
      <c r="AS48" s="1107">
        <f t="shared" si="32"/>
        <v>0</v>
      </c>
      <c r="AT48" s="1107">
        <f t="shared" si="32"/>
        <v>0</v>
      </c>
      <c r="AU48" s="1107">
        <f t="shared" si="32"/>
        <v>0</v>
      </c>
      <c r="AV48" s="1107">
        <f t="shared" si="32"/>
        <v>0</v>
      </c>
      <c r="AW48" s="1107">
        <f t="shared" si="32"/>
        <v>0</v>
      </c>
      <c r="AX48" s="1107">
        <f t="shared" si="32"/>
        <v>0</v>
      </c>
      <c r="AY48" s="1107">
        <f t="shared" si="32"/>
        <v>0</v>
      </c>
      <c r="AZ48" s="1107">
        <f t="shared" si="32"/>
        <v>0</v>
      </c>
      <c r="BA48" s="1107">
        <f t="shared" si="32"/>
        <v>0</v>
      </c>
      <c r="BB48" s="1108">
        <f t="shared" si="32"/>
        <v>0</v>
      </c>
      <c r="BC48" s="1085"/>
    </row>
    <row r="49" spans="1:55" s="1439" customFormat="1" ht="10.5" customHeight="1">
      <c r="A49" s="1020"/>
      <c r="B49" s="1020"/>
      <c r="C49" s="1020"/>
      <c r="D49" s="1109"/>
      <c r="E49" s="1109"/>
      <c r="F49" s="1109"/>
      <c r="G49" s="1109"/>
      <c r="H49" s="1109"/>
      <c r="I49" s="1109"/>
      <c r="J49" s="1109"/>
      <c r="K49" s="1109"/>
      <c r="L49" s="1109"/>
      <c r="M49" s="1109"/>
      <c r="N49" s="1085"/>
      <c r="O49" s="1085"/>
      <c r="P49" s="1085"/>
      <c r="Q49" s="1085"/>
      <c r="R49" s="1085"/>
      <c r="S49" s="1085"/>
      <c r="T49" s="1085"/>
      <c r="U49" s="1085"/>
      <c r="V49" s="1085"/>
      <c r="W49" s="1085"/>
      <c r="X49" s="1085"/>
      <c r="Y49" s="1085"/>
      <c r="Z49" s="1085"/>
      <c r="AA49" s="1085"/>
      <c r="AB49" s="1085"/>
      <c r="AC49" s="1085"/>
      <c r="AD49" s="1085"/>
      <c r="AE49" s="1085"/>
      <c r="AF49" s="1085"/>
      <c r="AG49" s="1085"/>
      <c r="AH49" s="1085"/>
      <c r="AI49" s="1085"/>
      <c r="AJ49" s="1085"/>
      <c r="AK49" s="1085"/>
      <c r="AL49" s="1085"/>
      <c r="AM49" s="1085"/>
      <c r="AN49" s="1085"/>
      <c r="AO49" s="1085"/>
      <c r="AP49" s="1085"/>
      <c r="AQ49" s="1085"/>
      <c r="AR49" s="1085"/>
      <c r="AS49" s="1085"/>
      <c r="AT49" s="1085"/>
      <c r="AU49" s="1085"/>
      <c r="AV49" s="1085"/>
      <c r="AW49" s="1085"/>
      <c r="AX49" s="1085"/>
      <c r="AY49" s="1085"/>
      <c r="AZ49" s="1085"/>
      <c r="BA49" s="1085"/>
      <c r="BB49" s="1085"/>
      <c r="BC49" s="1085"/>
    </row>
    <row r="50" spans="1:55" s="1439" customFormat="1" ht="25.5" customHeight="1">
      <c r="A50" s="1020"/>
      <c r="B50" s="1020"/>
      <c r="C50" s="1020"/>
      <c r="D50" s="3134" t="s">
        <v>1749</v>
      </c>
      <c r="E50" s="3135"/>
      <c r="F50" s="3135"/>
      <c r="G50" s="3135"/>
      <c r="H50" s="3135"/>
      <c r="I50" s="3135"/>
      <c r="J50" s="3135"/>
      <c r="K50" s="3135"/>
      <c r="L50" s="3135"/>
      <c r="M50" s="3135"/>
      <c r="N50" s="3135"/>
      <c r="O50" s="3135"/>
      <c r="P50" s="3135"/>
      <c r="Q50" s="3135"/>
      <c r="R50" s="3135"/>
      <c r="S50" s="3136"/>
      <c r="T50" s="1078"/>
      <c r="U50" s="1110">
        <f>U27+U48</f>
        <v>0</v>
      </c>
      <c r="V50" s="1110">
        <f>V27+V48</f>
        <v>0</v>
      </c>
      <c r="W50" s="1111">
        <f>W27+W48</f>
        <v>0</v>
      </c>
      <c r="X50" s="1078"/>
      <c r="Y50" s="1110">
        <f t="shared" ref="Y50:AX50" si="33">IFERROR(Y27+Y48,"")</f>
        <v>0</v>
      </c>
      <c r="Z50" s="1110">
        <f t="shared" si="33"/>
        <v>0</v>
      </c>
      <c r="AA50" s="1110">
        <f t="shared" si="33"/>
        <v>0</v>
      </c>
      <c r="AB50" s="1110">
        <f t="shared" si="33"/>
        <v>0</v>
      </c>
      <c r="AC50" s="1110">
        <f t="shared" si="33"/>
        <v>0</v>
      </c>
      <c r="AD50" s="1110">
        <f t="shared" si="33"/>
        <v>0</v>
      </c>
      <c r="AE50" s="1110">
        <f t="shared" si="33"/>
        <v>0</v>
      </c>
      <c r="AF50" s="1110">
        <f t="shared" si="33"/>
        <v>0</v>
      </c>
      <c r="AG50" s="1110">
        <f t="shared" si="33"/>
        <v>0</v>
      </c>
      <c r="AH50" s="1110">
        <f t="shared" si="33"/>
        <v>0</v>
      </c>
      <c r="AI50" s="1110">
        <f t="shared" si="33"/>
        <v>0</v>
      </c>
      <c r="AJ50" s="1110">
        <f t="shared" si="33"/>
        <v>0</v>
      </c>
      <c r="AK50" s="1110">
        <f t="shared" si="33"/>
        <v>0</v>
      </c>
      <c r="AL50" s="1110">
        <f t="shared" si="33"/>
        <v>0</v>
      </c>
      <c r="AM50" s="1110">
        <f t="shared" si="33"/>
        <v>0</v>
      </c>
      <c r="AN50" s="1110">
        <f t="shared" si="33"/>
        <v>0</v>
      </c>
      <c r="AO50" s="1110">
        <f t="shared" si="33"/>
        <v>0</v>
      </c>
      <c r="AP50" s="1110">
        <f t="shared" si="33"/>
        <v>0</v>
      </c>
      <c r="AQ50" s="1110">
        <f t="shared" si="33"/>
        <v>0</v>
      </c>
      <c r="AR50" s="1110">
        <f t="shared" si="33"/>
        <v>0</v>
      </c>
      <c r="AS50" s="1110">
        <f t="shared" si="33"/>
        <v>0</v>
      </c>
      <c r="AT50" s="1110">
        <f t="shared" si="33"/>
        <v>0</v>
      </c>
      <c r="AU50" s="1110">
        <f t="shared" si="33"/>
        <v>0</v>
      </c>
      <c r="AV50" s="1110">
        <f t="shared" si="33"/>
        <v>0</v>
      </c>
      <c r="AW50" s="1110">
        <f t="shared" si="33"/>
        <v>0</v>
      </c>
      <c r="AX50" s="1110">
        <f t="shared" si="33"/>
        <v>0</v>
      </c>
      <c r="AY50" s="1110">
        <f>IFERROR(AY27+AY48,"")</f>
        <v>0</v>
      </c>
      <c r="AZ50" s="1110">
        <f>IFERROR(AZ27+AZ48,"")</f>
        <v>0</v>
      </c>
      <c r="BA50" s="1110">
        <f>IFERROR(BA27+BA48,"")</f>
        <v>0</v>
      </c>
      <c r="BB50" s="1110">
        <f>IFERROR(BB27+BB48,"")</f>
        <v>0</v>
      </c>
      <c r="BC50" s="1085"/>
    </row>
    <row r="51" spans="1:55" s="1439" customFormat="1" ht="12.75" customHeight="1">
      <c r="A51" s="1020"/>
      <c r="B51" s="1020"/>
      <c r="C51" s="1020"/>
      <c r="D51" s="1109"/>
      <c r="E51" s="1109"/>
      <c r="F51" s="1109"/>
      <c r="G51" s="1109"/>
      <c r="H51" s="1112"/>
      <c r="I51" s="1112"/>
      <c r="J51" s="1112"/>
      <c r="K51" s="1112"/>
      <c r="L51" s="1113"/>
      <c r="M51" s="1085"/>
      <c r="N51" s="1114"/>
      <c r="O51" s="1085"/>
      <c r="P51" s="1085"/>
      <c r="Q51" s="1085"/>
      <c r="R51" s="1085"/>
      <c r="S51" s="1085"/>
      <c r="T51" s="1085"/>
      <c r="U51" s="1085"/>
      <c r="V51" s="1085"/>
      <c r="W51" s="1085"/>
      <c r="X51" s="1085"/>
      <c r="Y51" s="1085"/>
      <c r="Z51" s="1085"/>
      <c r="AA51" s="1085"/>
      <c r="AB51" s="1085"/>
      <c r="AC51" s="1085"/>
      <c r="AD51" s="1085"/>
      <c r="AE51" s="1085"/>
      <c r="AF51" s="1085"/>
      <c r="AG51" s="1085"/>
      <c r="AH51" s="1085"/>
      <c r="AI51" s="1085"/>
      <c r="AJ51" s="1085"/>
      <c r="AK51" s="1085"/>
      <c r="AL51" s="1085"/>
      <c r="AM51" s="1085"/>
      <c r="AN51" s="1085"/>
      <c r="AO51" s="1085"/>
      <c r="AP51" s="1085"/>
      <c r="AQ51" s="1085"/>
      <c r="AR51" s="1085"/>
      <c r="AS51" s="1085"/>
      <c r="AT51" s="1085"/>
      <c r="AU51" s="1085"/>
      <c r="AV51" s="1085"/>
      <c r="AW51" s="1085"/>
      <c r="AX51" s="1085"/>
      <c r="AY51" s="1085"/>
      <c r="AZ51" s="1085"/>
      <c r="BA51" s="1085"/>
      <c r="BB51" s="1085"/>
      <c r="BC51" s="1085"/>
    </row>
    <row r="52" spans="1:55" s="1439" customFormat="1" ht="22.5" customHeight="1" thickBot="1">
      <c r="A52" s="1020"/>
      <c r="B52" s="3137" t="s">
        <v>1610</v>
      </c>
      <c r="C52" s="3138"/>
      <c r="D52" s="3143" t="s">
        <v>1750</v>
      </c>
      <c r="E52" s="3144"/>
      <c r="F52" s="3144"/>
      <c r="G52" s="3144"/>
      <c r="H52" s="3144"/>
      <c r="I52" s="3144"/>
      <c r="J52" s="3144"/>
      <c r="K52" s="3144"/>
      <c r="L52" s="3144"/>
      <c r="M52" s="3144"/>
      <c r="N52" s="3144"/>
      <c r="O52" s="3144"/>
      <c r="P52" s="3144"/>
      <c r="Q52" s="3144"/>
      <c r="R52" s="3144"/>
      <c r="S52" s="3145"/>
      <c r="T52" s="1078"/>
      <c r="U52" s="3146"/>
      <c r="V52" s="3144"/>
      <c r="W52" s="3145"/>
      <c r="X52" s="1078"/>
      <c r="Y52" s="1115"/>
      <c r="Z52" s="1115"/>
      <c r="AA52" s="1116"/>
      <c r="AB52" s="1116"/>
      <c r="AC52" s="1116"/>
      <c r="AD52" s="1116"/>
      <c r="AE52" s="1116"/>
      <c r="AF52" s="1116"/>
      <c r="AG52" s="1116"/>
      <c r="AH52" s="1116"/>
      <c r="AI52" s="1116"/>
      <c r="AJ52" s="1116"/>
      <c r="AK52" s="1116"/>
      <c r="AL52" s="1116"/>
      <c r="AM52" s="1116"/>
      <c r="AN52" s="1116"/>
      <c r="AO52" s="1116"/>
      <c r="AP52" s="1116"/>
      <c r="AQ52" s="1116"/>
      <c r="AR52" s="1116"/>
      <c r="AS52" s="1116"/>
      <c r="AT52" s="1116"/>
      <c r="AU52" s="1116"/>
      <c r="AV52" s="1116"/>
      <c r="AW52" s="1116"/>
      <c r="AX52" s="1116"/>
      <c r="AY52" s="1116"/>
      <c r="AZ52" s="1116"/>
      <c r="BA52" s="1116"/>
      <c r="BB52" s="1117"/>
      <c r="BC52" s="1085"/>
    </row>
    <row r="53" spans="1:55" s="1439" customFormat="1" ht="18" customHeight="1">
      <c r="A53" s="1020"/>
      <c r="B53" s="3139"/>
      <c r="C53" s="3140"/>
      <c r="D53" s="3147" t="s">
        <v>599</v>
      </c>
      <c r="E53" s="3148"/>
      <c r="F53" s="3148"/>
      <c r="G53" s="3148"/>
      <c r="H53" s="3148"/>
      <c r="I53" s="3148"/>
      <c r="J53" s="3148"/>
      <c r="K53" s="3148"/>
      <c r="L53" s="3148"/>
      <c r="M53" s="3148"/>
      <c r="N53" s="3148"/>
      <c r="O53" s="3148"/>
      <c r="P53" s="3148"/>
      <c r="Q53" s="3148"/>
      <c r="R53" s="3148"/>
      <c r="S53" s="3149"/>
      <c r="T53" s="1078"/>
      <c r="U53" s="1118">
        <f>V53/12</f>
        <v>0</v>
      </c>
      <c r="V53" s="1119">
        <f>IFERROR(CUMIPMT('RENTAL LOAN SETUP'!$V$12/12,'RENTAL LOAN SETUP'!$V$11*12,'RENTAL LOAN SETUP'!$AA$9,Y91,Y92,0),0)</f>
        <v>0</v>
      </c>
      <c r="W53" s="1120" t="str">
        <f>IFERROR(V53/$V$23,"")</f>
        <v/>
      </c>
      <c r="X53" s="1078"/>
      <c r="Y53" s="1121" t="str">
        <f>IFERROR(IF(Long_Term_Loan_Type="Amortized",IF($V$3&gt;=Y90,CUMIPMT('RENTAL LOAN SETUP'!$V$12/12,'RENTAL LOAN SETUP'!$V$11*12,'RENTAL LOAN SETUP'!$AA$9,Y91,Y92,0),""),-'RENTAL LOAN SETUP'!$AA$9*'RENTAL LOAN SETUP'!$V$12),"")</f>
        <v/>
      </c>
      <c r="Z53" s="1122" t="str">
        <f>IFERROR(IF(Long_Term_Loan_Type="Amortized",IF($V$3&gt;=Z90,CUMIPMT('RENTAL LOAN SETUP'!$V$12/12,'RENTAL LOAN SETUP'!$V$11*12,'RENTAL LOAN SETUP'!$AA$9,Z91,Z92,0),""),-'RENTAL LOAN SETUP'!$AA$9*'RENTAL LOAN SETUP'!$V$12),"")</f>
        <v/>
      </c>
      <c r="AA53" s="1122" t="str">
        <f>IFERROR(IF(Long_Term_Loan_Type="Amortized",IF($V$3&gt;=AA90,CUMIPMT('RENTAL LOAN SETUP'!$V$12/12,'RENTAL LOAN SETUP'!$V$11*12,'RENTAL LOAN SETUP'!$AA$9,AA91,AA92,0),""),-'RENTAL LOAN SETUP'!$AA$9*'RENTAL LOAN SETUP'!$V$12),"")</f>
        <v/>
      </c>
      <c r="AB53" s="1122" t="str">
        <f>IFERROR(IF(Long_Term_Loan_Type="Amortized",IF($V$3&gt;=AB90,CUMIPMT('RENTAL LOAN SETUP'!$V$12/12,'RENTAL LOAN SETUP'!$V$11*12,'RENTAL LOAN SETUP'!$AA$9,AB91,AB92,0),""),-'RENTAL LOAN SETUP'!$AA$9*'RENTAL LOAN SETUP'!$V$12),"")</f>
        <v/>
      </c>
      <c r="AC53" s="1122" t="str">
        <f>IFERROR(IF(Long_Term_Loan_Type="Amortized",IF($V$3&gt;=AC90,CUMIPMT('RENTAL LOAN SETUP'!$V$12/12,'RENTAL LOAN SETUP'!$V$11*12,'RENTAL LOAN SETUP'!$AA$9,AC91,AC92,0),""),-'RENTAL LOAN SETUP'!$AA$9*'RENTAL LOAN SETUP'!$V$12),"")</f>
        <v/>
      </c>
      <c r="AD53" s="1122" t="str">
        <f>IFERROR(IF(Long_Term_Loan_Type="Amortized",IF($V$3&gt;=AD90,CUMIPMT('RENTAL LOAN SETUP'!$V$12/12,'RENTAL LOAN SETUP'!$V$11*12,'RENTAL LOAN SETUP'!$AA$9,AD91,AD92,0),""),-'RENTAL LOAN SETUP'!$AA$9*'RENTAL LOAN SETUP'!$V$12),"")</f>
        <v/>
      </c>
      <c r="AE53" s="1122" t="str">
        <f>IFERROR(IF(Long_Term_Loan_Type="Amortized",IF($V$3&gt;=AE90,CUMIPMT('RENTAL LOAN SETUP'!$V$12/12,'RENTAL LOAN SETUP'!$V$11*12,'RENTAL LOAN SETUP'!$AA$9,AE91,AE92,0),""),-'RENTAL LOAN SETUP'!$AA$9*'RENTAL LOAN SETUP'!$V$12),"")</f>
        <v/>
      </c>
      <c r="AF53" s="1122" t="str">
        <f>IFERROR(IF(Long_Term_Loan_Type="Amortized",IF($V$3&gt;=AF90,CUMIPMT('RENTAL LOAN SETUP'!$V$12/12,'RENTAL LOAN SETUP'!$V$11*12,'RENTAL LOAN SETUP'!$AA$9,AF91,AF92,0),""),-'RENTAL LOAN SETUP'!$AA$9*'RENTAL LOAN SETUP'!$V$12),"")</f>
        <v/>
      </c>
      <c r="AG53" s="1122" t="str">
        <f>IFERROR(IF(Long_Term_Loan_Type="Amortized",IF($V$3&gt;=AG90,CUMIPMT('RENTAL LOAN SETUP'!$V$12/12,'RENTAL LOAN SETUP'!$V$11*12,'RENTAL LOAN SETUP'!$AA$9,AG91,AG92,0),""),-'RENTAL LOAN SETUP'!$AA$9*'RENTAL LOAN SETUP'!$V$12),"")</f>
        <v/>
      </c>
      <c r="AH53" s="1122" t="str">
        <f>IFERROR(IF(Long_Term_Loan_Type="Amortized",IF($V$3&gt;=AH90,CUMIPMT('RENTAL LOAN SETUP'!$V$12/12,'RENTAL LOAN SETUP'!$V$11*12,'RENTAL LOAN SETUP'!$AA$9,AH91,AH92,0),""),-'RENTAL LOAN SETUP'!$AA$9*'RENTAL LOAN SETUP'!$V$12),"")</f>
        <v/>
      </c>
      <c r="AI53" s="1122" t="str">
        <f>IFERROR(IF(Long_Term_Loan_Type="Amortized",IF($V$3&gt;=AI90,CUMIPMT('RENTAL LOAN SETUP'!$V$12/12,'RENTAL LOAN SETUP'!$V$11*12,'RENTAL LOAN SETUP'!$AA$9,AI91,AI92,0),""),-'RENTAL LOAN SETUP'!$AA$9*'RENTAL LOAN SETUP'!$V$12),"")</f>
        <v/>
      </c>
      <c r="AJ53" s="1122" t="str">
        <f>IFERROR(IF(Long_Term_Loan_Type="Amortized",IF($V$3&gt;=AJ90,CUMIPMT('RENTAL LOAN SETUP'!$V$12/12,'RENTAL LOAN SETUP'!$V$11*12,'RENTAL LOAN SETUP'!$AA$9,AJ91,AJ92,0),""),-'RENTAL LOAN SETUP'!$AA$9*'RENTAL LOAN SETUP'!$V$12),"")</f>
        <v/>
      </c>
      <c r="AK53" s="1122" t="str">
        <f>IFERROR(IF(Long_Term_Loan_Type="Amortized",IF($V$3&gt;=AK90,CUMIPMT('RENTAL LOAN SETUP'!$V$12/12,'RENTAL LOAN SETUP'!$V$11*12,'RENTAL LOAN SETUP'!$AA$9,AK91,AK92,0),""),-'RENTAL LOAN SETUP'!$AA$9*'RENTAL LOAN SETUP'!$V$12),"")</f>
        <v/>
      </c>
      <c r="AL53" s="1122" t="str">
        <f>IFERROR(IF(Long_Term_Loan_Type="Amortized",IF($V$3&gt;=AL90,CUMIPMT('RENTAL LOAN SETUP'!$V$12/12,'RENTAL LOAN SETUP'!$V$11*12,'RENTAL LOAN SETUP'!$AA$9,AL91,AL92,0),""),-'RENTAL LOAN SETUP'!$AA$9*'RENTAL LOAN SETUP'!$V$12),"")</f>
        <v/>
      </c>
      <c r="AM53" s="1122" t="str">
        <f>IFERROR(IF(Long_Term_Loan_Type="Amortized",IF($V$3&gt;=AM90,CUMIPMT('RENTAL LOAN SETUP'!$V$12/12,'RENTAL LOAN SETUP'!$V$11*12,'RENTAL LOAN SETUP'!$AA$9,AM91,AM92,0),""),-'RENTAL LOAN SETUP'!$AA$9*'RENTAL LOAN SETUP'!$V$12),"")</f>
        <v/>
      </c>
      <c r="AN53" s="1122" t="str">
        <f>IFERROR(IF(Long_Term_Loan_Type="Amortized",IF($V$3&gt;=AN90,CUMIPMT('RENTAL LOAN SETUP'!$V$12/12,'RENTAL LOAN SETUP'!$V$11*12,'RENTAL LOAN SETUP'!$AA$9,AN91,AN92,0),""),-'RENTAL LOAN SETUP'!$AA$9*'RENTAL LOAN SETUP'!$V$12),"")</f>
        <v/>
      </c>
      <c r="AO53" s="1122" t="str">
        <f>IFERROR(IF(Long_Term_Loan_Type="Amortized",IF($V$3&gt;=AO90,CUMIPMT('RENTAL LOAN SETUP'!$V$12/12,'RENTAL LOAN SETUP'!$V$11*12,'RENTAL LOAN SETUP'!$AA$9,AO91,AO92,0),""),-'RENTAL LOAN SETUP'!$AA$9*'RENTAL LOAN SETUP'!$V$12),"")</f>
        <v/>
      </c>
      <c r="AP53" s="1122" t="str">
        <f>IFERROR(IF(Long_Term_Loan_Type="Amortized",IF($V$3&gt;=AP90,CUMIPMT('RENTAL LOAN SETUP'!$V$12/12,'RENTAL LOAN SETUP'!$V$11*12,'RENTAL LOAN SETUP'!$AA$9,AP91,AP92,0),""),-'RENTAL LOAN SETUP'!$AA$9*'RENTAL LOAN SETUP'!$V$12),"")</f>
        <v/>
      </c>
      <c r="AQ53" s="1122" t="str">
        <f>IFERROR(IF(Long_Term_Loan_Type="Amortized",IF($V$3&gt;=AQ90,CUMIPMT('RENTAL LOAN SETUP'!$V$12/12,'RENTAL LOAN SETUP'!$V$11*12,'RENTAL LOAN SETUP'!$AA$9,AQ91,AQ92,0),""),-'RENTAL LOAN SETUP'!$AA$9*'RENTAL LOAN SETUP'!$V$12),"")</f>
        <v/>
      </c>
      <c r="AR53" s="1122" t="str">
        <f>IFERROR(IF(Long_Term_Loan_Type="Amortized",IF($V$3&gt;=AR90,CUMIPMT('RENTAL LOAN SETUP'!$V$12/12,'RENTAL LOAN SETUP'!$V$11*12,'RENTAL LOAN SETUP'!$AA$9,AR91,AR92,0),""),-'RENTAL LOAN SETUP'!$AA$9*'RENTAL LOAN SETUP'!$V$12),"")</f>
        <v/>
      </c>
      <c r="AS53" s="1122" t="str">
        <f>IFERROR(IF(Long_Term_Loan_Type="Amortized",IF($V$3&gt;=AS90,CUMIPMT('RENTAL LOAN SETUP'!$V$12/12,'RENTAL LOAN SETUP'!$V$11*12,'RENTAL LOAN SETUP'!$AA$9,AS91,AS92,0),""),-'RENTAL LOAN SETUP'!$AA$9*'RENTAL LOAN SETUP'!$V$12),"")</f>
        <v/>
      </c>
      <c r="AT53" s="1122" t="str">
        <f>IFERROR(IF(Long_Term_Loan_Type="Amortized",IF($V$3&gt;=AT90,CUMIPMT('RENTAL LOAN SETUP'!$V$12/12,'RENTAL LOAN SETUP'!$V$11*12,'RENTAL LOAN SETUP'!$AA$9,AT91,AT92,0),""),-'RENTAL LOAN SETUP'!$AA$9*'RENTAL LOAN SETUP'!$V$12),"")</f>
        <v/>
      </c>
      <c r="AU53" s="1122" t="str">
        <f>IFERROR(IF(Long_Term_Loan_Type="Amortized",IF($V$3&gt;=AU90,CUMIPMT('RENTAL LOAN SETUP'!$V$12/12,'RENTAL LOAN SETUP'!$V$11*12,'RENTAL LOAN SETUP'!$AA$9,AU91,AU92,0),""),-'RENTAL LOAN SETUP'!$AA$9*'RENTAL LOAN SETUP'!$V$12),"")</f>
        <v/>
      </c>
      <c r="AV53" s="1122" t="str">
        <f>IFERROR(IF(Long_Term_Loan_Type="Amortized",IF($V$3&gt;=AV90,CUMIPMT('RENTAL LOAN SETUP'!$V$12/12,'RENTAL LOAN SETUP'!$V$11*12,'RENTAL LOAN SETUP'!$AA$9,AV91,AV92,0),""),-'RENTAL LOAN SETUP'!$AA$9*'RENTAL LOAN SETUP'!$V$12),"")</f>
        <v/>
      </c>
      <c r="AW53" s="1122" t="str">
        <f>IFERROR(IF(Long_Term_Loan_Type="Amortized",IF($V$3&gt;=AW90,CUMIPMT('RENTAL LOAN SETUP'!$V$12/12,'RENTAL LOAN SETUP'!$V$11*12,'RENTAL LOAN SETUP'!$AA$9,AW91,AW92,0),""),-'RENTAL LOAN SETUP'!$AA$9*'RENTAL LOAN SETUP'!$V$12),"")</f>
        <v/>
      </c>
      <c r="AX53" s="1122" t="str">
        <f>IFERROR(IF(Long_Term_Loan_Type="Amortized",IF($V$3&gt;=AX90,CUMIPMT('RENTAL LOAN SETUP'!$V$12/12,'RENTAL LOAN SETUP'!$V$11*12,'RENTAL LOAN SETUP'!$AA$9,AX91,AX92,0),""),-'RENTAL LOAN SETUP'!$AA$9*'RENTAL LOAN SETUP'!$V$12),"")</f>
        <v/>
      </c>
      <c r="AY53" s="1122" t="str">
        <f>IFERROR(IF(Long_Term_Loan_Type="Amortized",IF($V$3&gt;=AY90,CUMIPMT('RENTAL LOAN SETUP'!$V$12/12,'RENTAL LOAN SETUP'!$V$11*12,'RENTAL LOAN SETUP'!$AA$9,AY91,AY92,0),""),-'RENTAL LOAN SETUP'!$AA$9*'RENTAL LOAN SETUP'!$V$12),"")</f>
        <v/>
      </c>
      <c r="AZ53" s="1122" t="str">
        <f>IFERROR(IF(Long_Term_Loan_Type="Amortized",IF($V$3&gt;=AZ90,CUMIPMT('RENTAL LOAN SETUP'!$V$12/12,'RENTAL LOAN SETUP'!$V$11*12,'RENTAL LOAN SETUP'!$AA$9,AZ91,AZ92,0),""),-'RENTAL LOAN SETUP'!$AA$9*'RENTAL LOAN SETUP'!$V$12),"")</f>
        <v/>
      </c>
      <c r="BA53" s="1123" t="str">
        <f>IFERROR(IF(Long_Term_Loan_Type="Amortized",IF($V$3&gt;=BA90,CUMIPMT('RENTAL LOAN SETUP'!$V$12/12,'RENTAL LOAN SETUP'!$V$11*12,'RENTAL LOAN SETUP'!$AA$9,BA91,BA92,0),""),-'RENTAL LOAN SETUP'!$AA$9*'RENTAL LOAN SETUP'!$V$12),"")</f>
        <v/>
      </c>
      <c r="BB53" s="1124" t="str">
        <f>IFERROR(IF(Long_Term_Loan_Type="Amortized",IF($V$3&gt;=BB90,CUMIPMT('RENTAL LOAN SETUP'!$V$12/12,'RENTAL LOAN SETUP'!$V$11*12,'RENTAL LOAN SETUP'!$AA$9,BB91,BB92,0),""),-'RENTAL LOAN SETUP'!$AA$9*'RENTAL LOAN SETUP'!$V$12),"")</f>
        <v/>
      </c>
      <c r="BC53" s="1125"/>
    </row>
    <row r="54" spans="1:55" s="1439" customFormat="1" ht="18" customHeight="1" thickBot="1">
      <c r="A54" s="1020"/>
      <c r="B54" s="3139"/>
      <c r="C54" s="3140"/>
      <c r="D54" s="3150" t="s">
        <v>600</v>
      </c>
      <c r="E54" s="3151"/>
      <c r="F54" s="3151"/>
      <c r="G54" s="3151"/>
      <c r="H54" s="3151"/>
      <c r="I54" s="3151"/>
      <c r="J54" s="3151"/>
      <c r="K54" s="3151"/>
      <c r="L54" s="3151"/>
      <c r="M54" s="3151"/>
      <c r="N54" s="3151"/>
      <c r="O54" s="3151"/>
      <c r="P54" s="3151"/>
      <c r="Q54" s="3151"/>
      <c r="R54" s="3151"/>
      <c r="S54" s="3140"/>
      <c r="T54" s="1078"/>
      <c r="U54" s="1126">
        <f>V54/12</f>
        <v>0</v>
      </c>
      <c r="V54" s="1127">
        <f>IFERROR(CUMPRINC('RENTAL LOAN SETUP'!$V$12/12,'RENTAL LOAN SETUP'!$V$11*12,'RENTAL LOAN SETUP'!$AA$9,Y91,Y92,0),0)</f>
        <v>0</v>
      </c>
      <c r="W54" s="1128" t="str">
        <f>IFERROR(V54/$V$23,"")</f>
        <v/>
      </c>
      <c r="X54" s="1078"/>
      <c r="Y54" s="1409" t="str">
        <f>IFERROR(IF(Long_Term_Loan_Type="Amortized",IF($V$3&gt;=Y90,CUMPRINC('RENTAL LOAN SETUP'!$V$12/12,'RENTAL LOAN SETUP'!$V$11*12,'RENTAL LOAN SETUP'!$AA$9,Y91,Y92,0),""),0),"")</f>
        <v/>
      </c>
      <c r="Z54" s="1129" t="str">
        <f>IFERROR(IF(Long_Term_Loan_Type="Amortized",IF($V$3&gt;=Z90,CUMPRINC('RENTAL LOAN SETUP'!$V$12/12,'RENTAL LOAN SETUP'!$V$11*12,'RENTAL LOAN SETUP'!$AA$9,Z91,Z92,0),""),0),"")</f>
        <v/>
      </c>
      <c r="AA54" s="1129" t="str">
        <f>IFERROR(IF(Long_Term_Loan_Type="Amortized",IF($V$3&gt;=AA90,CUMPRINC('RENTAL LOAN SETUP'!$V$12/12,'RENTAL LOAN SETUP'!$V$11*12,'RENTAL LOAN SETUP'!$AA$9,AA91,AA92,0),""),0),"")</f>
        <v/>
      </c>
      <c r="AB54" s="1129" t="str">
        <f>IFERROR(IF(Long_Term_Loan_Type="Amortized",IF($V$3&gt;=AB90,CUMPRINC('RENTAL LOAN SETUP'!$V$12/12,'RENTAL LOAN SETUP'!$V$11*12,'RENTAL LOAN SETUP'!$AA$9,AB91,AB92,0),""),0),"")</f>
        <v/>
      </c>
      <c r="AC54" s="1129" t="str">
        <f>IFERROR(IF(Long_Term_Loan_Type="Amortized",IF($V$3&gt;=AC90,CUMPRINC('RENTAL LOAN SETUP'!$V$12/12,'RENTAL LOAN SETUP'!$V$11*12,'RENTAL LOAN SETUP'!$AA$9,AC91,AC92,0),""),0),"")</f>
        <v/>
      </c>
      <c r="AD54" s="1129" t="str">
        <f>IFERROR(IF(Long_Term_Loan_Type="Amortized",IF($V$3&gt;=AD90,CUMPRINC('RENTAL LOAN SETUP'!$V$12/12,'RENTAL LOAN SETUP'!$V$11*12,'RENTAL LOAN SETUP'!$AA$9,AD91,AD92,0),""),0),"")</f>
        <v/>
      </c>
      <c r="AE54" s="1129" t="str">
        <f>IFERROR(IF(Long_Term_Loan_Type="Amortized",IF($V$3&gt;=AE90,CUMPRINC('RENTAL LOAN SETUP'!$V$12/12,'RENTAL LOAN SETUP'!$V$11*12,'RENTAL LOAN SETUP'!$AA$9,AE91,AE92,0),""),0),"")</f>
        <v/>
      </c>
      <c r="AF54" s="1129" t="str">
        <f>IFERROR(IF(Long_Term_Loan_Type="Amortized",IF($V$3&gt;=AF90,CUMPRINC('RENTAL LOAN SETUP'!$V$12/12,'RENTAL LOAN SETUP'!$V$11*12,'RENTAL LOAN SETUP'!$AA$9,AF91,AF92,0),""),0),"")</f>
        <v/>
      </c>
      <c r="AG54" s="1129" t="str">
        <f>IFERROR(IF(Long_Term_Loan_Type="Amortized",IF($V$3&gt;=AG90,CUMPRINC('RENTAL LOAN SETUP'!$V$12/12,'RENTAL LOAN SETUP'!$V$11*12,'RENTAL LOAN SETUP'!$AA$9,AG91,AG92,0),""),0),"")</f>
        <v/>
      </c>
      <c r="AH54" s="1129" t="str">
        <f>IFERROR(IF(Long_Term_Loan_Type="Amortized",IF($V$3&gt;=AH90,CUMPRINC('RENTAL LOAN SETUP'!$V$12/12,'RENTAL LOAN SETUP'!$V$11*12,'RENTAL LOAN SETUP'!$AA$9,AH91,AH92,0),""),0),"")</f>
        <v/>
      </c>
      <c r="AI54" s="1129" t="str">
        <f>IFERROR(IF(Long_Term_Loan_Type="Amortized",IF($V$3&gt;=AI90,CUMPRINC('RENTAL LOAN SETUP'!$V$12/12,'RENTAL LOAN SETUP'!$V$11*12,'RENTAL LOAN SETUP'!$AA$9,AI91,AI92,0),""),0),"")</f>
        <v/>
      </c>
      <c r="AJ54" s="1129" t="str">
        <f>IFERROR(IF(Long_Term_Loan_Type="Amortized",IF($V$3&gt;=AJ90,CUMPRINC('RENTAL LOAN SETUP'!$V$12/12,'RENTAL LOAN SETUP'!$V$11*12,'RENTAL LOAN SETUP'!$AA$9,AJ91,AJ92,0),""),0),"")</f>
        <v/>
      </c>
      <c r="AK54" s="1129" t="str">
        <f>IFERROR(IF(Long_Term_Loan_Type="Amortized",IF($V$3&gt;=AK90,CUMPRINC('RENTAL LOAN SETUP'!$V$12/12,'RENTAL LOAN SETUP'!$V$11*12,'RENTAL LOAN SETUP'!$AA$9,AK91,AK92,0),""),0),"")</f>
        <v/>
      </c>
      <c r="AL54" s="1129" t="str">
        <f>IFERROR(IF(Long_Term_Loan_Type="Amortized",IF($V$3&gt;=AL90,CUMPRINC('RENTAL LOAN SETUP'!$V$12/12,'RENTAL LOAN SETUP'!$V$11*12,'RENTAL LOAN SETUP'!$AA$9,AL91,AL92,0),""),0),"")</f>
        <v/>
      </c>
      <c r="AM54" s="1129" t="str">
        <f>IFERROR(IF(Long_Term_Loan_Type="Amortized",IF($V$3&gt;=AM90,CUMPRINC('RENTAL LOAN SETUP'!$V$12/12,'RENTAL LOAN SETUP'!$V$11*12,'RENTAL LOAN SETUP'!$AA$9,AM91,AM92,0),""),0),"")</f>
        <v/>
      </c>
      <c r="AN54" s="1129" t="str">
        <f>IFERROR(IF(Long_Term_Loan_Type="Amortized",IF($V$3&gt;=AN90,CUMPRINC('RENTAL LOAN SETUP'!$V$12/12,'RENTAL LOAN SETUP'!$V$11*12,'RENTAL LOAN SETUP'!$AA$9,AN91,AN92,0),""),0),"")</f>
        <v/>
      </c>
      <c r="AO54" s="1129" t="str">
        <f>IFERROR(IF(Long_Term_Loan_Type="Amortized",IF($V$3&gt;=AO90,CUMPRINC('RENTAL LOAN SETUP'!$V$12/12,'RENTAL LOAN SETUP'!$V$11*12,'RENTAL LOAN SETUP'!$AA$9,AO91,AO92,0),""),0),"")</f>
        <v/>
      </c>
      <c r="AP54" s="1129" t="str">
        <f>IFERROR(IF(Long_Term_Loan_Type="Amortized",IF($V$3&gt;=AP90,CUMPRINC('RENTAL LOAN SETUP'!$V$12/12,'RENTAL LOAN SETUP'!$V$11*12,'RENTAL LOAN SETUP'!$AA$9,AP91,AP92,0),""),0),"")</f>
        <v/>
      </c>
      <c r="AQ54" s="1129" t="str">
        <f>IFERROR(IF(Long_Term_Loan_Type="Amortized",IF($V$3&gt;=AQ90,CUMPRINC('RENTAL LOAN SETUP'!$V$12/12,'RENTAL LOAN SETUP'!$V$11*12,'RENTAL LOAN SETUP'!$AA$9,AQ91,AQ92,0),""),0),"")</f>
        <v/>
      </c>
      <c r="AR54" s="1129" t="str">
        <f>IFERROR(IF(Long_Term_Loan_Type="Amortized",IF($V$3&gt;=AR90,CUMPRINC('RENTAL LOAN SETUP'!$V$12/12,'RENTAL LOAN SETUP'!$V$11*12,'RENTAL LOAN SETUP'!$AA$9,AR91,AR92,0),""),0),"")</f>
        <v/>
      </c>
      <c r="AS54" s="1129" t="str">
        <f>IFERROR(IF(Long_Term_Loan_Type="Amortized",IF($V$3&gt;=AS90,CUMPRINC('RENTAL LOAN SETUP'!$V$12/12,'RENTAL LOAN SETUP'!$V$11*12,'RENTAL LOAN SETUP'!$AA$9,AS91,AS92,0),""),0),"")</f>
        <v/>
      </c>
      <c r="AT54" s="1129" t="str">
        <f>IFERROR(IF(Long_Term_Loan_Type="Amortized",IF($V$3&gt;=AT90,CUMPRINC('RENTAL LOAN SETUP'!$V$12/12,'RENTAL LOAN SETUP'!$V$11*12,'RENTAL LOAN SETUP'!$AA$9,AT91,AT92,0),""),0),"")</f>
        <v/>
      </c>
      <c r="AU54" s="1129" t="str">
        <f>IFERROR(IF(Long_Term_Loan_Type="Amortized",IF($V$3&gt;=AU90,CUMPRINC('RENTAL LOAN SETUP'!$V$12/12,'RENTAL LOAN SETUP'!$V$11*12,'RENTAL LOAN SETUP'!$AA$9,AU91,AU92,0),""),0),"")</f>
        <v/>
      </c>
      <c r="AV54" s="1129" t="str">
        <f>IFERROR(IF(Long_Term_Loan_Type="Amortized",IF($V$3&gt;=AV90,CUMPRINC('RENTAL LOAN SETUP'!$V$12/12,'RENTAL LOAN SETUP'!$V$11*12,'RENTAL LOAN SETUP'!$AA$9,AV91,AV92,0),""),0),"")</f>
        <v/>
      </c>
      <c r="AW54" s="1129" t="str">
        <f>IFERROR(IF(Long_Term_Loan_Type="Amortized",IF($V$3&gt;=AW90,CUMPRINC('RENTAL LOAN SETUP'!$V$12/12,'RENTAL LOAN SETUP'!$V$11*12,'RENTAL LOAN SETUP'!$AA$9,AW91,AW92,0),""),0),"")</f>
        <v/>
      </c>
      <c r="AX54" s="1129" t="str">
        <f>IFERROR(IF(Long_Term_Loan_Type="Amortized",IF($V$3&gt;=AX90,CUMPRINC('RENTAL LOAN SETUP'!$V$12/12,'RENTAL LOAN SETUP'!$V$11*12,'RENTAL LOAN SETUP'!$AA$9,AX91,AX92,0),""),0),"")</f>
        <v/>
      </c>
      <c r="AY54" s="1129" t="str">
        <f>IFERROR(IF(Long_Term_Loan_Type="Amortized",IF($V$3&gt;=AY90,CUMPRINC('RENTAL LOAN SETUP'!$V$12/12,'RENTAL LOAN SETUP'!$V$11*12,'RENTAL LOAN SETUP'!$AA$9,AY91,AY92,0),""),0),"")</f>
        <v/>
      </c>
      <c r="AZ54" s="1129" t="str">
        <f>IFERROR(IF(Long_Term_Loan_Type="Amortized",IF($V$3&gt;=AZ90,CUMPRINC('RENTAL LOAN SETUP'!$V$12/12,'RENTAL LOAN SETUP'!$V$11*12,'RENTAL LOAN SETUP'!$AA$9,AZ91,AZ92,0),""),0),"")</f>
        <v/>
      </c>
      <c r="BA54" s="1129" t="str">
        <f>IFERROR(IF(Long_Term_Loan_Type="Amortized",IF($V$3&gt;=BA90,CUMPRINC('RENTAL LOAN SETUP'!$V$12/12,'RENTAL LOAN SETUP'!$V$11*12,'RENTAL LOAN SETUP'!$AA$9,BA91,BA92,0),""),0),"")</f>
        <v/>
      </c>
      <c r="BB54" s="1130" t="str">
        <f>IFERROR(IF(Long_Term_Loan_Type="Amortized",IF($V$3&gt;=BB90,CUMPRINC('RENTAL LOAN SETUP'!$V$12/12,'RENTAL LOAN SETUP'!$V$11*12,'RENTAL LOAN SETUP'!$AA$9,BB91,BB92,0),""),0),"")</f>
        <v/>
      </c>
      <c r="BC54" s="1125"/>
    </row>
    <row r="55" spans="1:55" s="1439" customFormat="1" ht="24" customHeight="1">
      <c r="A55" s="1020"/>
      <c r="B55" s="3139"/>
      <c r="C55" s="3140"/>
      <c r="D55" s="3152" t="s">
        <v>1751</v>
      </c>
      <c r="E55" s="3153"/>
      <c r="F55" s="3153"/>
      <c r="G55" s="3153"/>
      <c r="H55" s="3153"/>
      <c r="I55" s="3153"/>
      <c r="J55" s="3153"/>
      <c r="K55" s="3153"/>
      <c r="L55" s="3153"/>
      <c r="M55" s="3153"/>
      <c r="N55" s="3153"/>
      <c r="O55" s="3153"/>
      <c r="P55" s="3153"/>
      <c r="Q55" s="3153"/>
      <c r="R55" s="3153"/>
      <c r="S55" s="3154"/>
      <c r="T55" s="1078"/>
      <c r="U55" s="1131">
        <f>SUM(U53:U54)</f>
        <v>0</v>
      </c>
      <c r="V55" s="1132">
        <f>SUM(V53:V54)</f>
        <v>0</v>
      </c>
      <c r="W55" s="1133" t="str">
        <f>IFERROR(V55/V23,"")</f>
        <v/>
      </c>
      <c r="X55" s="1078"/>
      <c r="Y55" s="1134">
        <f t="shared" ref="Y55:BA55" si="34">IF(Y27="","",SUM(Y53:Y54))</f>
        <v>0</v>
      </c>
      <c r="Z55" s="1134">
        <f t="shared" si="34"/>
        <v>0</v>
      </c>
      <c r="AA55" s="1135">
        <f t="shared" si="34"/>
        <v>0</v>
      </c>
      <c r="AB55" s="1135">
        <f t="shared" si="34"/>
        <v>0</v>
      </c>
      <c r="AC55" s="1135">
        <f t="shared" si="34"/>
        <v>0</v>
      </c>
      <c r="AD55" s="1135">
        <f t="shared" si="34"/>
        <v>0</v>
      </c>
      <c r="AE55" s="1135">
        <f t="shared" si="34"/>
        <v>0</v>
      </c>
      <c r="AF55" s="1135">
        <f t="shared" si="34"/>
        <v>0</v>
      </c>
      <c r="AG55" s="1135">
        <f t="shared" si="34"/>
        <v>0</v>
      </c>
      <c r="AH55" s="1135">
        <f t="shared" si="34"/>
        <v>0</v>
      </c>
      <c r="AI55" s="1135">
        <f t="shared" si="34"/>
        <v>0</v>
      </c>
      <c r="AJ55" s="1135">
        <f t="shared" si="34"/>
        <v>0</v>
      </c>
      <c r="AK55" s="1135">
        <f t="shared" si="34"/>
        <v>0</v>
      </c>
      <c r="AL55" s="1135">
        <f t="shared" si="34"/>
        <v>0</v>
      </c>
      <c r="AM55" s="1135">
        <f t="shared" si="34"/>
        <v>0</v>
      </c>
      <c r="AN55" s="1136">
        <f t="shared" si="34"/>
        <v>0</v>
      </c>
      <c r="AO55" s="1135">
        <f t="shared" si="34"/>
        <v>0</v>
      </c>
      <c r="AP55" s="1135">
        <f t="shared" si="34"/>
        <v>0</v>
      </c>
      <c r="AQ55" s="1135">
        <f t="shared" si="34"/>
        <v>0</v>
      </c>
      <c r="AR55" s="1135">
        <f t="shared" si="34"/>
        <v>0</v>
      </c>
      <c r="AS55" s="1135">
        <f t="shared" si="34"/>
        <v>0</v>
      </c>
      <c r="AT55" s="1135">
        <f t="shared" si="34"/>
        <v>0</v>
      </c>
      <c r="AU55" s="1135">
        <f t="shared" si="34"/>
        <v>0</v>
      </c>
      <c r="AV55" s="1135">
        <f t="shared" si="34"/>
        <v>0</v>
      </c>
      <c r="AW55" s="1135">
        <f t="shared" si="34"/>
        <v>0</v>
      </c>
      <c r="AX55" s="1135">
        <f t="shared" si="34"/>
        <v>0</v>
      </c>
      <c r="AY55" s="1135">
        <f t="shared" si="34"/>
        <v>0</v>
      </c>
      <c r="AZ55" s="1135">
        <f t="shared" si="34"/>
        <v>0</v>
      </c>
      <c r="BA55" s="1135">
        <f t="shared" si="34"/>
        <v>0</v>
      </c>
      <c r="BB55" s="1137">
        <f>IF(BB27="","",SUM(BB53:BB54))</f>
        <v>0</v>
      </c>
      <c r="BC55" s="1085"/>
    </row>
    <row r="56" spans="1:55" s="1439" customFormat="1" ht="18" customHeight="1">
      <c r="A56" s="1020"/>
      <c r="B56" s="3139"/>
      <c r="C56" s="3140"/>
      <c r="D56" s="3155" t="s">
        <v>607</v>
      </c>
      <c r="E56" s="3156"/>
      <c r="F56" s="3156"/>
      <c r="G56" s="3156"/>
      <c r="H56" s="3156"/>
      <c r="I56" s="3156"/>
      <c r="J56" s="3156"/>
      <c r="K56" s="3156"/>
      <c r="L56" s="3156"/>
      <c r="M56" s="3156"/>
      <c r="N56" s="3156"/>
      <c r="O56" s="1440"/>
      <c r="P56" s="3157">
        <f>'RENTAL LOAN SETUP'!AA9</f>
        <v>0</v>
      </c>
      <c r="Q56" s="3156"/>
      <c r="R56" s="3156"/>
      <c r="S56" s="3156"/>
      <c r="T56" s="1138"/>
      <c r="U56" s="1139"/>
      <c r="V56" s="1140"/>
      <c r="W56" s="1141"/>
      <c r="X56" s="1138"/>
      <c r="Y56" s="1142" t="str">
        <f>IFERROR(IF($V$3&gt;=Y90,P56+Y54,""),"")</f>
        <v/>
      </c>
      <c r="Z56" s="1143" t="str">
        <f t="shared" ref="Z56:BB56" si="35">IFERROR(IF($V$3&gt;=Z90,Y56+Z54,""),"")</f>
        <v/>
      </c>
      <c r="AA56" s="1143" t="str">
        <f t="shared" si="35"/>
        <v/>
      </c>
      <c r="AB56" s="1143" t="str">
        <f t="shared" si="35"/>
        <v/>
      </c>
      <c r="AC56" s="1143" t="str">
        <f t="shared" si="35"/>
        <v/>
      </c>
      <c r="AD56" s="1143" t="str">
        <f t="shared" si="35"/>
        <v/>
      </c>
      <c r="AE56" s="1143" t="str">
        <f t="shared" si="35"/>
        <v/>
      </c>
      <c r="AF56" s="1143" t="str">
        <f t="shared" si="35"/>
        <v/>
      </c>
      <c r="AG56" s="1143" t="str">
        <f t="shared" si="35"/>
        <v/>
      </c>
      <c r="AH56" s="1143" t="str">
        <f t="shared" si="35"/>
        <v/>
      </c>
      <c r="AI56" s="1143" t="str">
        <f t="shared" si="35"/>
        <v/>
      </c>
      <c r="AJ56" s="1143" t="str">
        <f t="shared" si="35"/>
        <v/>
      </c>
      <c r="AK56" s="1143" t="str">
        <f t="shared" si="35"/>
        <v/>
      </c>
      <c r="AL56" s="1143" t="str">
        <f t="shared" si="35"/>
        <v/>
      </c>
      <c r="AM56" s="1143" t="str">
        <f t="shared" si="35"/>
        <v/>
      </c>
      <c r="AN56" s="1143" t="str">
        <f t="shared" si="35"/>
        <v/>
      </c>
      <c r="AO56" s="1143" t="str">
        <f t="shared" si="35"/>
        <v/>
      </c>
      <c r="AP56" s="1143" t="str">
        <f t="shared" si="35"/>
        <v/>
      </c>
      <c r="AQ56" s="1143" t="str">
        <f t="shared" si="35"/>
        <v/>
      </c>
      <c r="AR56" s="1143" t="str">
        <f t="shared" si="35"/>
        <v/>
      </c>
      <c r="AS56" s="1143" t="str">
        <f t="shared" si="35"/>
        <v/>
      </c>
      <c r="AT56" s="1143" t="str">
        <f t="shared" si="35"/>
        <v/>
      </c>
      <c r="AU56" s="1143" t="str">
        <f t="shared" si="35"/>
        <v/>
      </c>
      <c r="AV56" s="1143" t="str">
        <f t="shared" si="35"/>
        <v/>
      </c>
      <c r="AW56" s="1143" t="str">
        <f t="shared" si="35"/>
        <v/>
      </c>
      <c r="AX56" s="1143" t="str">
        <f t="shared" si="35"/>
        <v/>
      </c>
      <c r="AY56" s="1143" t="str">
        <f t="shared" si="35"/>
        <v/>
      </c>
      <c r="AZ56" s="1143" t="str">
        <f t="shared" si="35"/>
        <v/>
      </c>
      <c r="BA56" s="1143" t="str">
        <f t="shared" si="35"/>
        <v/>
      </c>
      <c r="BB56" s="1144" t="str">
        <f t="shared" si="35"/>
        <v/>
      </c>
      <c r="BC56" s="1085"/>
    </row>
    <row r="57" spans="1:55" s="1439" customFormat="1" ht="18" customHeight="1">
      <c r="A57" s="1020"/>
      <c r="B57" s="3141"/>
      <c r="C57" s="3142"/>
      <c r="D57" s="3158" t="s">
        <v>1752</v>
      </c>
      <c r="E57" s="3159"/>
      <c r="F57" s="3159"/>
      <c r="G57" s="3159"/>
      <c r="H57" s="3159"/>
      <c r="I57" s="3159"/>
      <c r="J57" s="3159"/>
      <c r="K57" s="3159"/>
      <c r="L57" s="3159"/>
      <c r="M57" s="3159"/>
      <c r="N57" s="3159"/>
      <c r="O57" s="3159"/>
      <c r="P57" s="3159"/>
      <c r="Q57" s="3159"/>
      <c r="R57" s="3159"/>
      <c r="S57" s="3142"/>
      <c r="T57" s="1078"/>
      <c r="U57" s="1145"/>
      <c r="V57" s="1146"/>
      <c r="W57" s="1147"/>
      <c r="X57" s="1078"/>
      <c r="Y57" s="1148" t="str">
        <f>IFERROR(IF(Y50/-Y55=0,"",Y50/-Y55),"")</f>
        <v/>
      </c>
      <c r="Z57" s="1149" t="str">
        <f t="shared" ref="Z57:BB57" si="36">IFERROR(IF(Z50/-Z55=0,"",Z50/-Z55),"")</f>
        <v/>
      </c>
      <c r="AA57" s="1149" t="str">
        <f t="shared" si="36"/>
        <v/>
      </c>
      <c r="AB57" s="1149" t="str">
        <f t="shared" si="36"/>
        <v/>
      </c>
      <c r="AC57" s="1149" t="str">
        <f t="shared" si="36"/>
        <v/>
      </c>
      <c r="AD57" s="1149" t="str">
        <f t="shared" si="36"/>
        <v/>
      </c>
      <c r="AE57" s="1149" t="str">
        <f t="shared" si="36"/>
        <v/>
      </c>
      <c r="AF57" s="1149" t="str">
        <f t="shared" si="36"/>
        <v/>
      </c>
      <c r="AG57" s="1149" t="str">
        <f t="shared" si="36"/>
        <v/>
      </c>
      <c r="AH57" s="1149" t="str">
        <f t="shared" si="36"/>
        <v/>
      </c>
      <c r="AI57" s="1149" t="str">
        <f t="shared" si="36"/>
        <v/>
      </c>
      <c r="AJ57" s="1149" t="str">
        <f t="shared" si="36"/>
        <v/>
      </c>
      <c r="AK57" s="1149" t="str">
        <f t="shared" si="36"/>
        <v/>
      </c>
      <c r="AL57" s="1149" t="str">
        <f t="shared" si="36"/>
        <v/>
      </c>
      <c r="AM57" s="1149" t="str">
        <f t="shared" si="36"/>
        <v/>
      </c>
      <c r="AN57" s="1149" t="str">
        <f t="shared" si="36"/>
        <v/>
      </c>
      <c r="AO57" s="1149" t="str">
        <f t="shared" si="36"/>
        <v/>
      </c>
      <c r="AP57" s="1149" t="str">
        <f t="shared" si="36"/>
        <v/>
      </c>
      <c r="AQ57" s="1149" t="str">
        <f t="shared" si="36"/>
        <v/>
      </c>
      <c r="AR57" s="1149" t="str">
        <f t="shared" si="36"/>
        <v/>
      </c>
      <c r="AS57" s="1149" t="str">
        <f t="shared" si="36"/>
        <v/>
      </c>
      <c r="AT57" s="1149" t="str">
        <f t="shared" si="36"/>
        <v/>
      </c>
      <c r="AU57" s="1149" t="str">
        <f t="shared" si="36"/>
        <v/>
      </c>
      <c r="AV57" s="1149" t="str">
        <f t="shared" si="36"/>
        <v/>
      </c>
      <c r="AW57" s="1149" t="str">
        <f t="shared" si="36"/>
        <v/>
      </c>
      <c r="AX57" s="1149" t="str">
        <f t="shared" si="36"/>
        <v/>
      </c>
      <c r="AY57" s="1149" t="str">
        <f t="shared" si="36"/>
        <v/>
      </c>
      <c r="AZ57" s="1149" t="str">
        <f t="shared" si="36"/>
        <v/>
      </c>
      <c r="BA57" s="1149" t="str">
        <f t="shared" si="36"/>
        <v/>
      </c>
      <c r="BB57" s="1150" t="str">
        <f t="shared" si="36"/>
        <v/>
      </c>
      <c r="BC57" s="1125"/>
    </row>
    <row r="58" spans="1:55" s="1439" customFormat="1" ht="13.5" customHeight="1">
      <c r="A58" s="1020"/>
      <c r="B58" s="1020"/>
      <c r="C58" s="1020"/>
      <c r="D58" s="1151"/>
      <c r="E58" s="1151"/>
      <c r="F58" s="1151"/>
      <c r="G58" s="1151"/>
      <c r="H58" s="1151"/>
      <c r="I58" s="1151"/>
      <c r="J58" s="1151"/>
      <c r="K58" s="1151"/>
      <c r="L58" s="1151"/>
      <c r="M58" s="1151"/>
      <c r="N58" s="1020"/>
      <c r="O58" s="1020"/>
      <c r="P58" s="1020"/>
      <c r="Q58" s="1020"/>
      <c r="R58" s="1020"/>
      <c r="S58" s="1020"/>
      <c r="T58" s="1085"/>
      <c r="U58" s="1020"/>
      <c r="V58" s="1020"/>
      <c r="W58" s="1020"/>
      <c r="X58" s="1085"/>
      <c r="Y58" s="1020"/>
      <c r="Z58" s="1020"/>
      <c r="AA58" s="1020"/>
      <c r="AB58" s="1020"/>
      <c r="AC58" s="1020"/>
      <c r="AD58" s="1020"/>
      <c r="AE58" s="1020"/>
      <c r="AF58" s="1020"/>
      <c r="AG58" s="1020"/>
      <c r="AH58" s="1020"/>
      <c r="AI58" s="1020"/>
      <c r="AJ58" s="1020"/>
      <c r="AK58" s="1020"/>
      <c r="AL58" s="1020"/>
      <c r="AM58" s="1020"/>
      <c r="AN58" s="1020"/>
      <c r="AO58" s="1020"/>
      <c r="AP58" s="1020"/>
      <c r="AQ58" s="1020"/>
      <c r="AR58" s="1020"/>
      <c r="AS58" s="1020"/>
      <c r="AT58" s="1020"/>
      <c r="AU58" s="1020"/>
      <c r="AV58" s="1020"/>
      <c r="AW58" s="1020"/>
      <c r="AX58" s="1020"/>
      <c r="AY58" s="1020"/>
      <c r="AZ58" s="1020"/>
      <c r="BA58" s="1020"/>
      <c r="BB58" s="1020"/>
      <c r="BC58" s="1085"/>
    </row>
    <row r="59" spans="1:55" s="1439" customFormat="1" ht="24.75" customHeight="1">
      <c r="A59" s="1020"/>
      <c r="B59" s="1020"/>
      <c r="C59" s="1020"/>
      <c r="D59" s="3089" t="s">
        <v>1753</v>
      </c>
      <c r="E59" s="3090"/>
      <c r="F59" s="3090"/>
      <c r="G59" s="3090"/>
      <c r="H59" s="3090"/>
      <c r="I59" s="3090"/>
      <c r="J59" s="3090"/>
      <c r="K59" s="3090"/>
      <c r="L59" s="3090"/>
      <c r="M59" s="3090"/>
      <c r="N59" s="3090"/>
      <c r="O59" s="3090"/>
      <c r="P59" s="3090"/>
      <c r="Q59" s="3090"/>
      <c r="R59" s="3090"/>
      <c r="S59" s="3091"/>
      <c r="T59" s="1138"/>
      <c r="U59" s="1152"/>
      <c r="V59" s="1153">
        <f>'RENTAL LOAN SETUP'!AA25</f>
        <v>0</v>
      </c>
      <c r="W59" s="1154"/>
      <c r="X59" s="1138"/>
      <c r="Y59" s="1155">
        <f>IF($V$3&gt;=Y$90,V59,"")</f>
        <v>0</v>
      </c>
      <c r="Z59" s="1155">
        <f t="shared" ref="Z59:BB59" si="37">IF($V$3&gt;=Z$90,Y59,"")</f>
        <v>0</v>
      </c>
      <c r="AA59" s="1155">
        <f t="shared" si="37"/>
        <v>0</v>
      </c>
      <c r="AB59" s="1155">
        <f t="shared" si="37"/>
        <v>0</v>
      </c>
      <c r="AC59" s="1155">
        <f t="shared" si="37"/>
        <v>0</v>
      </c>
      <c r="AD59" s="1155">
        <f t="shared" si="37"/>
        <v>0</v>
      </c>
      <c r="AE59" s="1155">
        <f t="shared" si="37"/>
        <v>0</v>
      </c>
      <c r="AF59" s="1155">
        <f t="shared" si="37"/>
        <v>0</v>
      </c>
      <c r="AG59" s="1155">
        <f t="shared" si="37"/>
        <v>0</v>
      </c>
      <c r="AH59" s="1155">
        <f t="shared" si="37"/>
        <v>0</v>
      </c>
      <c r="AI59" s="1155">
        <f t="shared" si="37"/>
        <v>0</v>
      </c>
      <c r="AJ59" s="1155">
        <f t="shared" si="37"/>
        <v>0</v>
      </c>
      <c r="AK59" s="1155">
        <f t="shared" si="37"/>
        <v>0</v>
      </c>
      <c r="AL59" s="1155">
        <f t="shared" si="37"/>
        <v>0</v>
      </c>
      <c r="AM59" s="1155">
        <f t="shared" si="37"/>
        <v>0</v>
      </c>
      <c r="AN59" s="1155">
        <f t="shared" si="37"/>
        <v>0</v>
      </c>
      <c r="AO59" s="1155">
        <f t="shared" si="37"/>
        <v>0</v>
      </c>
      <c r="AP59" s="1155">
        <f t="shared" si="37"/>
        <v>0</v>
      </c>
      <c r="AQ59" s="1155">
        <f t="shared" si="37"/>
        <v>0</v>
      </c>
      <c r="AR59" s="1155">
        <f t="shared" si="37"/>
        <v>0</v>
      </c>
      <c r="AS59" s="1155">
        <f t="shared" si="37"/>
        <v>0</v>
      </c>
      <c r="AT59" s="1155">
        <f t="shared" si="37"/>
        <v>0</v>
      </c>
      <c r="AU59" s="1155">
        <f t="shared" si="37"/>
        <v>0</v>
      </c>
      <c r="AV59" s="1155">
        <f t="shared" si="37"/>
        <v>0</v>
      </c>
      <c r="AW59" s="1155">
        <f t="shared" si="37"/>
        <v>0</v>
      </c>
      <c r="AX59" s="1155">
        <f t="shared" si="37"/>
        <v>0</v>
      </c>
      <c r="AY59" s="1155">
        <f t="shared" si="37"/>
        <v>0</v>
      </c>
      <c r="AZ59" s="1155">
        <f t="shared" si="37"/>
        <v>0</v>
      </c>
      <c r="BA59" s="1155">
        <f t="shared" si="37"/>
        <v>0</v>
      </c>
      <c r="BB59" s="1155">
        <f t="shared" si="37"/>
        <v>0</v>
      </c>
      <c r="BC59" s="1085"/>
    </row>
    <row r="60" spans="1:55" s="1439" customFormat="1" ht="21.75" customHeight="1">
      <c r="A60" s="1020"/>
      <c r="B60" s="1020"/>
      <c r="C60" s="1020"/>
      <c r="D60" s="3112"/>
      <c r="E60" s="3083"/>
      <c r="F60" s="3083"/>
      <c r="G60" s="3083"/>
      <c r="H60" s="3083"/>
      <c r="I60" s="3083"/>
      <c r="J60" s="3083"/>
      <c r="K60" s="3083"/>
      <c r="L60" s="3083"/>
      <c r="M60" s="3083"/>
      <c r="N60" s="3083"/>
      <c r="O60" s="3083"/>
      <c r="P60" s="3083"/>
      <c r="Q60" s="3083"/>
      <c r="R60" s="3083"/>
      <c r="S60" s="3083"/>
      <c r="T60" s="1085"/>
      <c r="U60" s="1020"/>
      <c r="V60" s="1020"/>
      <c r="W60" s="1020"/>
      <c r="X60" s="1085"/>
      <c r="Y60" s="1020"/>
      <c r="Z60" s="1020"/>
      <c r="AA60" s="1020"/>
      <c r="AB60" s="1020"/>
      <c r="AC60" s="1020"/>
      <c r="AD60" s="1020"/>
      <c r="AE60" s="1020"/>
      <c r="AF60" s="1020"/>
      <c r="AG60" s="1020"/>
      <c r="AH60" s="1020"/>
      <c r="AI60" s="1020"/>
      <c r="AJ60" s="1020"/>
      <c r="AK60" s="1020"/>
      <c r="AL60" s="1020"/>
      <c r="AM60" s="1020"/>
      <c r="AN60" s="1020"/>
      <c r="AO60" s="1020"/>
      <c r="AP60" s="1020"/>
      <c r="AQ60" s="1020"/>
      <c r="AR60" s="1020"/>
      <c r="AS60" s="1020"/>
      <c r="AT60" s="1020"/>
      <c r="AU60" s="1020"/>
      <c r="AV60" s="1020"/>
      <c r="AW60" s="1020"/>
      <c r="AX60" s="1020"/>
      <c r="AY60" s="1020"/>
      <c r="AZ60" s="1020"/>
      <c r="BA60" s="1020"/>
      <c r="BB60" s="1020"/>
      <c r="BC60" s="1085"/>
    </row>
    <row r="61" spans="1:55" s="1439" customFormat="1" ht="32.25" customHeight="1">
      <c r="A61" s="1020"/>
      <c r="B61" s="1020"/>
      <c r="C61" s="1020"/>
      <c r="D61" s="3113" t="s">
        <v>1754</v>
      </c>
      <c r="E61" s="3114"/>
      <c r="F61" s="3114"/>
      <c r="G61" s="3114"/>
      <c r="H61" s="3114"/>
      <c r="I61" s="3114"/>
      <c r="J61" s="3114"/>
      <c r="K61" s="3114"/>
      <c r="L61" s="3114"/>
      <c r="M61" s="3114"/>
      <c r="N61" s="3114"/>
      <c r="O61" s="3114"/>
      <c r="P61" s="3114"/>
      <c r="Q61" s="3114"/>
      <c r="R61" s="3114"/>
      <c r="S61" s="3115"/>
      <c r="T61" s="1085"/>
      <c r="U61" s="1020"/>
      <c r="V61" s="1020"/>
      <c r="W61" s="1020"/>
      <c r="X61" s="1020"/>
      <c r="Y61" s="1020"/>
      <c r="Z61" s="1020"/>
      <c r="AA61" s="1020"/>
      <c r="AB61" s="1020"/>
      <c r="AC61" s="1020"/>
      <c r="AD61" s="1020"/>
      <c r="AE61" s="1020"/>
      <c r="AF61" s="1020"/>
      <c r="AG61" s="1020"/>
      <c r="AH61" s="1020"/>
      <c r="AI61" s="1020"/>
      <c r="AJ61" s="1020"/>
      <c r="AK61" s="1020"/>
      <c r="AL61" s="1020"/>
      <c r="AM61" s="1020"/>
      <c r="AN61" s="1020"/>
      <c r="AO61" s="1020"/>
      <c r="AP61" s="1020"/>
      <c r="AQ61" s="1020"/>
      <c r="AR61" s="1020"/>
      <c r="AS61" s="1020"/>
      <c r="AT61" s="1020"/>
      <c r="AU61" s="1020"/>
      <c r="AV61" s="1020"/>
      <c r="AW61" s="1020"/>
      <c r="AX61" s="1020"/>
      <c r="AY61" s="1020"/>
      <c r="AZ61" s="1020"/>
      <c r="BA61" s="1020"/>
      <c r="BB61" s="1020"/>
      <c r="BC61" s="1085"/>
    </row>
    <row r="62" spans="1:55" s="1439" customFormat="1" ht="20.25" customHeight="1">
      <c r="A62" s="1020"/>
      <c r="B62" s="1020"/>
      <c r="C62" s="1020"/>
      <c r="D62" s="1441"/>
      <c r="E62" s="1441"/>
      <c r="F62" s="1441"/>
      <c r="G62" s="1441"/>
      <c r="H62" s="3116" t="s">
        <v>1755</v>
      </c>
      <c r="I62" s="3116"/>
      <c r="J62" s="3116"/>
      <c r="K62" s="3116"/>
      <c r="L62" s="3116"/>
      <c r="M62" s="1441"/>
      <c r="N62" s="1441"/>
      <c r="O62" s="1441"/>
      <c r="P62" s="1441"/>
      <c r="Q62" s="1441"/>
      <c r="R62" s="1441"/>
      <c r="S62" s="1441"/>
      <c r="T62" s="1085"/>
      <c r="U62" s="1020"/>
      <c r="V62" s="1020"/>
      <c r="W62" s="1020"/>
      <c r="X62" s="1085"/>
      <c r="Y62" s="1020"/>
      <c r="Z62" s="1020"/>
      <c r="AA62" s="1020"/>
      <c r="AB62" s="1020"/>
      <c r="AC62" s="1020"/>
      <c r="AD62" s="1020"/>
      <c r="AE62" s="1020"/>
      <c r="AF62" s="1020"/>
      <c r="AG62" s="1020"/>
      <c r="AH62" s="1020"/>
      <c r="AI62" s="1020"/>
      <c r="AJ62" s="1020"/>
      <c r="AK62" s="1020"/>
      <c r="AL62" s="1020"/>
      <c r="AM62" s="1020"/>
      <c r="AN62" s="1020"/>
      <c r="AO62" s="1020"/>
      <c r="AP62" s="1020"/>
      <c r="AQ62" s="1020"/>
      <c r="AR62" s="1020"/>
      <c r="AS62" s="1020"/>
      <c r="AT62" s="1020"/>
      <c r="AU62" s="1020"/>
      <c r="AV62" s="1020"/>
      <c r="AW62" s="1020"/>
      <c r="AX62" s="1020"/>
      <c r="AY62" s="1020"/>
      <c r="AZ62" s="1020"/>
      <c r="BA62" s="1020"/>
      <c r="BB62" s="1020"/>
      <c r="BC62" s="1085"/>
    </row>
    <row r="63" spans="1:55" s="1439" customFormat="1" ht="24.75" customHeight="1">
      <c r="A63" s="1020"/>
      <c r="B63" s="1020"/>
      <c r="C63" s="1020"/>
      <c r="D63" s="3117" t="s">
        <v>1703</v>
      </c>
      <c r="E63" s="3118"/>
      <c r="F63" s="3118"/>
      <c r="G63" s="3118"/>
      <c r="H63" s="3119"/>
      <c r="I63" s="3120" t="s">
        <v>1756</v>
      </c>
      <c r="J63" s="3121"/>
      <c r="K63" s="3121"/>
      <c r="L63" s="3122" t="str">
        <f>IF(I63="Cap Rate","Input Cap Rate % - &gt;","% Increase per Year")</f>
        <v>% Increase per Year</v>
      </c>
      <c r="M63" s="3123"/>
      <c r="N63" s="3123"/>
      <c r="O63" s="3123"/>
      <c r="P63" s="3124"/>
      <c r="Q63" s="3125">
        <v>2.5000000000000001E-2</v>
      </c>
      <c r="R63" s="3126"/>
      <c r="S63" s="3127"/>
      <c r="T63" s="1138"/>
      <c r="U63" s="1155"/>
      <c r="V63" s="1155">
        <f>After_Repair_Value_Rental</f>
        <v>0</v>
      </c>
      <c r="W63" s="1156"/>
      <c r="X63" s="1138"/>
      <c r="Y63" s="1155">
        <f>IF($V$3&gt;=Y$90,IF($I$63="Cap Rate",Y50/$Q$63,V63*(1+$Q$63)),"")</f>
        <v>0</v>
      </c>
      <c r="Z63" s="1155">
        <f t="shared" ref="Z63:BB63" si="38">IF($V$3&gt;=Z$90,IF($I$63="Cap Rate",Z50/$Q$63,Y63*(1+$Q$63)),"")</f>
        <v>0</v>
      </c>
      <c r="AA63" s="1155">
        <f t="shared" si="38"/>
        <v>0</v>
      </c>
      <c r="AB63" s="1155">
        <f t="shared" si="38"/>
        <v>0</v>
      </c>
      <c r="AC63" s="1155">
        <f t="shared" si="38"/>
        <v>0</v>
      </c>
      <c r="AD63" s="1155">
        <f t="shared" si="38"/>
        <v>0</v>
      </c>
      <c r="AE63" s="1155">
        <f t="shared" si="38"/>
        <v>0</v>
      </c>
      <c r="AF63" s="1155">
        <f t="shared" si="38"/>
        <v>0</v>
      </c>
      <c r="AG63" s="1155">
        <f t="shared" si="38"/>
        <v>0</v>
      </c>
      <c r="AH63" s="1155">
        <f t="shared" si="38"/>
        <v>0</v>
      </c>
      <c r="AI63" s="1155">
        <f t="shared" si="38"/>
        <v>0</v>
      </c>
      <c r="AJ63" s="1155">
        <f t="shared" si="38"/>
        <v>0</v>
      </c>
      <c r="AK63" s="1155">
        <f t="shared" si="38"/>
        <v>0</v>
      </c>
      <c r="AL63" s="1155">
        <f t="shared" si="38"/>
        <v>0</v>
      </c>
      <c r="AM63" s="1155">
        <f t="shared" si="38"/>
        <v>0</v>
      </c>
      <c r="AN63" s="1155">
        <f t="shared" si="38"/>
        <v>0</v>
      </c>
      <c r="AO63" s="1155">
        <f t="shared" si="38"/>
        <v>0</v>
      </c>
      <c r="AP63" s="1155">
        <f t="shared" si="38"/>
        <v>0</v>
      </c>
      <c r="AQ63" s="1155">
        <f t="shared" si="38"/>
        <v>0</v>
      </c>
      <c r="AR63" s="1155">
        <f t="shared" si="38"/>
        <v>0</v>
      </c>
      <c r="AS63" s="1155">
        <f t="shared" si="38"/>
        <v>0</v>
      </c>
      <c r="AT63" s="1155">
        <f t="shared" si="38"/>
        <v>0</v>
      </c>
      <c r="AU63" s="1155">
        <f t="shared" si="38"/>
        <v>0</v>
      </c>
      <c r="AV63" s="1155">
        <f t="shared" si="38"/>
        <v>0</v>
      </c>
      <c r="AW63" s="1155">
        <f t="shared" si="38"/>
        <v>0</v>
      </c>
      <c r="AX63" s="1155">
        <f t="shared" si="38"/>
        <v>0</v>
      </c>
      <c r="AY63" s="1155">
        <f t="shared" si="38"/>
        <v>0</v>
      </c>
      <c r="AZ63" s="1155">
        <f t="shared" si="38"/>
        <v>0</v>
      </c>
      <c r="BA63" s="1155">
        <f t="shared" si="38"/>
        <v>0</v>
      </c>
      <c r="BB63" s="1155">
        <f t="shared" si="38"/>
        <v>0</v>
      </c>
      <c r="BC63" s="1085"/>
    </row>
    <row r="64" spans="1:55" s="1439" customFormat="1" ht="18" customHeight="1">
      <c r="A64" s="1020"/>
      <c r="B64" s="1020"/>
      <c r="C64" s="1020"/>
      <c r="D64" s="3107" t="s">
        <v>1757</v>
      </c>
      <c r="E64" s="3077"/>
      <c r="F64" s="3077"/>
      <c r="G64" s="3077"/>
      <c r="H64" s="3077"/>
      <c r="I64" s="3077"/>
      <c r="J64" s="3077"/>
      <c r="K64" s="3077"/>
      <c r="L64" s="3077"/>
      <c r="M64" s="3077"/>
      <c r="N64" s="3077"/>
      <c r="O64" s="3077"/>
      <c r="P64" s="3077"/>
      <c r="Q64" s="3077"/>
      <c r="R64" s="3077"/>
      <c r="S64" s="3108"/>
      <c r="T64" s="1157"/>
      <c r="U64" s="1158"/>
      <c r="V64" s="1140"/>
      <c r="W64" s="1159"/>
      <c r="X64" s="1157"/>
      <c r="Y64" s="1160" t="str">
        <f>IFERROR(IF(Y50/-'RENTAL PURCHASE SETUP'!#REF!=0,"",Y50/-'RENTAL PURCHASE SETUP'!#REF!),"")</f>
        <v/>
      </c>
      <c r="Z64" s="1161" t="str">
        <f>IFERROR(IF(Z50/-'RENTAL PURCHASE SETUP'!#REF!=0,"",Z50/-'RENTAL PURCHASE SETUP'!#REF!),"")</f>
        <v/>
      </c>
      <c r="AA64" s="1162" t="str">
        <f>IFERROR(IF(AA50/-'RENTAL PURCHASE SETUP'!#REF!=0,"",AA50/-'RENTAL PURCHASE SETUP'!#REF!),"")</f>
        <v/>
      </c>
      <c r="AB64" s="1162" t="str">
        <f>IFERROR(IF(AB50/-'RENTAL PURCHASE SETUP'!#REF!=0,"",AB50/-'RENTAL PURCHASE SETUP'!#REF!),"")</f>
        <v/>
      </c>
      <c r="AC64" s="1163" t="str">
        <f>IFERROR(IF(AC50/-'RENTAL PURCHASE SETUP'!#REF!=0,"",AC50/-'RENTAL PURCHASE SETUP'!#REF!),"")</f>
        <v/>
      </c>
      <c r="AD64" s="1164" t="str">
        <f>IFERROR(IF(AD50/-'RENTAL PURCHASE SETUP'!#REF!=0,"",AD50/-'RENTAL PURCHASE SETUP'!#REF!),"")</f>
        <v/>
      </c>
      <c r="AE64" s="1165" t="str">
        <f>IFERROR(IF(AE50/-'RENTAL PURCHASE SETUP'!#REF!=0,"",AE50/-'RENTAL PURCHASE SETUP'!#REF!),"")</f>
        <v/>
      </c>
      <c r="AF64" s="1166" t="str">
        <f>IFERROR(IF(AF50/-'RENTAL PURCHASE SETUP'!#REF!=0,"",AF50/-'RENTAL PURCHASE SETUP'!#REF!),"")</f>
        <v/>
      </c>
      <c r="AG64" s="1166" t="str">
        <f>IFERROR(IF(AG50/-'RENTAL PURCHASE SETUP'!#REF!=0,"",AG50/-'RENTAL PURCHASE SETUP'!#REF!),"")</f>
        <v/>
      </c>
      <c r="AH64" s="1166" t="str">
        <f>IFERROR(IF(AH50/-'RENTAL PURCHASE SETUP'!#REF!=0,"",AH50/-'RENTAL PURCHASE SETUP'!#REF!),"")</f>
        <v/>
      </c>
      <c r="AI64" s="1166" t="str">
        <f>IFERROR(IF(AI50/-'RENTAL PURCHASE SETUP'!#REF!=0,"",AI50/-'RENTAL PURCHASE SETUP'!#REF!),"")</f>
        <v/>
      </c>
      <c r="AJ64" s="1166" t="str">
        <f>IFERROR(IF(AJ50/-'RENTAL PURCHASE SETUP'!#REF!=0,"",AJ50/-'RENTAL PURCHASE SETUP'!#REF!),"")</f>
        <v/>
      </c>
      <c r="AK64" s="1162" t="str">
        <f>IFERROR(IF(AK50/-'RENTAL PURCHASE SETUP'!#REF!=0,"",AK50/-'RENTAL PURCHASE SETUP'!#REF!),"")</f>
        <v/>
      </c>
      <c r="AL64" s="1165" t="str">
        <f>IFERROR(IF(AL50/-'RENTAL PURCHASE SETUP'!#REF!=0,"",AL50/-'RENTAL PURCHASE SETUP'!#REF!),"")</f>
        <v/>
      </c>
      <c r="AM64" s="1167" t="str">
        <f>IFERROR(IF(AM50/-'RENTAL PURCHASE SETUP'!#REF!=0,"",AM50/-'RENTAL PURCHASE SETUP'!#REF!),"")</f>
        <v/>
      </c>
      <c r="AN64" s="1165" t="str">
        <f>IFERROR(IF(AN50/-'RENTAL PURCHASE SETUP'!#REF!=0,"",AN50/-'RENTAL PURCHASE SETUP'!#REF!),"")</f>
        <v/>
      </c>
      <c r="AO64" s="1166" t="str">
        <f>IFERROR(IF(AO50/-'RENTAL PURCHASE SETUP'!#REF!=0,"",AO50/-'RENTAL PURCHASE SETUP'!#REF!),"")</f>
        <v/>
      </c>
      <c r="AP64" s="1162" t="str">
        <f>IFERROR(IF(AP50/-'RENTAL PURCHASE SETUP'!#REF!=0,"",AP50/-'RENTAL PURCHASE SETUP'!#REF!),"")</f>
        <v/>
      </c>
      <c r="AQ64" s="1162" t="str">
        <f>IFERROR(IF(AQ50/-'RENTAL PURCHASE SETUP'!#REF!=0,"",AQ50/-'RENTAL PURCHASE SETUP'!#REF!),"")</f>
        <v/>
      </c>
      <c r="AR64" s="1165" t="str">
        <f>IFERROR(IF(AR50/-'RENTAL PURCHASE SETUP'!#REF!=0,"",AR50/-'RENTAL PURCHASE SETUP'!#REF!),"")</f>
        <v/>
      </c>
      <c r="AS64" s="1166" t="str">
        <f>IFERROR(IF(AS50/-'RENTAL PURCHASE SETUP'!#REF!=0,"",AS50/-'RENTAL PURCHASE SETUP'!#REF!),"")</f>
        <v/>
      </c>
      <c r="AT64" s="1166" t="str">
        <f>IFERROR(IF(AT50/-'RENTAL PURCHASE SETUP'!#REF!=0,"",AT50/-'RENTAL PURCHASE SETUP'!#REF!),"")</f>
        <v/>
      </c>
      <c r="AU64" s="1162" t="str">
        <f>IFERROR(IF(AU50/-'RENTAL PURCHASE SETUP'!#REF!=0,"",AU50/-'RENTAL PURCHASE SETUP'!#REF!),"")</f>
        <v/>
      </c>
      <c r="AV64" s="1165" t="str">
        <f>IFERROR(IF(AV50/-'RENTAL PURCHASE SETUP'!#REF!=0,"",AV50/-'RENTAL PURCHASE SETUP'!#REF!),"")</f>
        <v/>
      </c>
      <c r="AW64" s="1166" t="str">
        <f>IFERROR(IF(AW50/-'RENTAL PURCHASE SETUP'!#REF!=0,"",AW50/-'RENTAL PURCHASE SETUP'!#REF!),"")</f>
        <v/>
      </c>
      <c r="AX64" s="1166" t="str">
        <f>IFERROR(IF(AX50/-'RENTAL PURCHASE SETUP'!#REF!=0,"",AX50/-'RENTAL PURCHASE SETUP'!#REF!),"")</f>
        <v/>
      </c>
      <c r="AY64" s="1162" t="str">
        <f>IFERROR(IF(AY50/-'RENTAL PURCHASE SETUP'!#REF!=0,"",AY50/-'RENTAL PURCHASE SETUP'!#REF!),"")</f>
        <v/>
      </c>
      <c r="AZ64" s="1165" t="str">
        <f>IFERROR(IF(AZ50/-'RENTAL PURCHASE SETUP'!#REF!=0,"",AZ50/-'RENTAL PURCHASE SETUP'!#REF!),"")</f>
        <v/>
      </c>
      <c r="BA64" s="1166" t="str">
        <f>IFERROR(IF(BA50/-'RENTAL PURCHASE SETUP'!#REF!=0,"",BA50/-'RENTAL PURCHASE SETUP'!#REF!),"")</f>
        <v/>
      </c>
      <c r="BB64" s="1168" t="str">
        <f>IFERROR(IF(BB50/-'RENTAL PURCHASE SETUP'!#REF!=0,"",BB50/-'RENTAL PURCHASE SETUP'!#REF!),"")</f>
        <v/>
      </c>
      <c r="BC64" s="1085"/>
    </row>
    <row r="65" spans="1:55" s="1439" customFormat="1" ht="18" customHeight="1">
      <c r="A65" s="1020"/>
      <c r="B65" s="1020"/>
      <c r="C65" s="1020"/>
      <c r="D65" s="3107" t="s">
        <v>1758</v>
      </c>
      <c r="E65" s="3077"/>
      <c r="F65" s="3077"/>
      <c r="G65" s="3077"/>
      <c r="H65" s="3077"/>
      <c r="I65" s="3077"/>
      <c r="J65" s="3077"/>
      <c r="K65" s="3077"/>
      <c r="L65" s="3077"/>
      <c r="M65" s="3077"/>
      <c r="N65" s="3077"/>
      <c r="O65" s="3077"/>
      <c r="P65" s="3077"/>
      <c r="Q65" s="3077"/>
      <c r="R65" s="3077"/>
      <c r="S65" s="3108"/>
      <c r="T65" s="1157"/>
      <c r="U65" s="1158"/>
      <c r="V65" s="1140"/>
      <c r="W65" s="1159"/>
      <c r="X65" s="1157"/>
      <c r="Y65" s="1160" t="str">
        <f>IFERROR(IF(Y50/Y63=0,"",Y50/Y63),"")</f>
        <v/>
      </c>
      <c r="Z65" s="1161" t="str">
        <f t="shared" ref="Z65:BB65" si="39">IFERROR(IF(Z50/Z63=0,"",Z50/Z63),"")</f>
        <v/>
      </c>
      <c r="AA65" s="1162" t="str">
        <f t="shared" si="39"/>
        <v/>
      </c>
      <c r="AB65" s="1162" t="str">
        <f t="shared" si="39"/>
        <v/>
      </c>
      <c r="AC65" s="1163" t="str">
        <f t="shared" si="39"/>
        <v/>
      </c>
      <c r="AD65" s="1164" t="str">
        <f t="shared" si="39"/>
        <v/>
      </c>
      <c r="AE65" s="1165" t="str">
        <f t="shared" si="39"/>
        <v/>
      </c>
      <c r="AF65" s="1166" t="str">
        <f t="shared" si="39"/>
        <v/>
      </c>
      <c r="AG65" s="1166" t="str">
        <f t="shared" si="39"/>
        <v/>
      </c>
      <c r="AH65" s="1166" t="str">
        <f t="shared" si="39"/>
        <v/>
      </c>
      <c r="AI65" s="1166" t="str">
        <f t="shared" si="39"/>
        <v/>
      </c>
      <c r="AJ65" s="1166" t="str">
        <f t="shared" si="39"/>
        <v/>
      </c>
      <c r="AK65" s="1162" t="str">
        <f t="shared" si="39"/>
        <v/>
      </c>
      <c r="AL65" s="1165" t="str">
        <f t="shared" si="39"/>
        <v/>
      </c>
      <c r="AM65" s="1167" t="str">
        <f t="shared" si="39"/>
        <v/>
      </c>
      <c r="AN65" s="1165" t="str">
        <f t="shared" si="39"/>
        <v/>
      </c>
      <c r="AO65" s="1166" t="str">
        <f t="shared" si="39"/>
        <v/>
      </c>
      <c r="AP65" s="1162" t="str">
        <f t="shared" si="39"/>
        <v/>
      </c>
      <c r="AQ65" s="1162" t="str">
        <f t="shared" si="39"/>
        <v/>
      </c>
      <c r="AR65" s="1165" t="str">
        <f t="shared" si="39"/>
        <v/>
      </c>
      <c r="AS65" s="1166" t="str">
        <f t="shared" si="39"/>
        <v/>
      </c>
      <c r="AT65" s="1166" t="str">
        <f t="shared" si="39"/>
        <v/>
      </c>
      <c r="AU65" s="1162" t="str">
        <f t="shared" si="39"/>
        <v/>
      </c>
      <c r="AV65" s="1165" t="str">
        <f t="shared" si="39"/>
        <v/>
      </c>
      <c r="AW65" s="1166" t="str">
        <f t="shared" si="39"/>
        <v/>
      </c>
      <c r="AX65" s="1166" t="str">
        <f t="shared" si="39"/>
        <v/>
      </c>
      <c r="AY65" s="1162" t="str">
        <f t="shared" si="39"/>
        <v/>
      </c>
      <c r="AZ65" s="1165" t="str">
        <f t="shared" si="39"/>
        <v/>
      </c>
      <c r="BA65" s="1166" t="str">
        <f t="shared" si="39"/>
        <v/>
      </c>
      <c r="BB65" s="1168" t="str">
        <f t="shared" si="39"/>
        <v/>
      </c>
      <c r="BC65" s="1085"/>
    </row>
    <row r="66" spans="1:55" s="1439" customFormat="1" ht="18" customHeight="1">
      <c r="A66" s="1020"/>
      <c r="B66" s="1020"/>
      <c r="C66" s="1020"/>
      <c r="D66" s="3087" t="s">
        <v>1759</v>
      </c>
      <c r="E66" s="3080"/>
      <c r="F66" s="3080"/>
      <c r="G66" s="3080"/>
      <c r="H66" s="3080"/>
      <c r="I66" s="3080"/>
      <c r="J66" s="3080"/>
      <c r="K66" s="3080"/>
      <c r="L66" s="3080"/>
      <c r="M66" s="3080"/>
      <c r="N66" s="3080"/>
      <c r="O66" s="3080"/>
      <c r="P66" s="3080"/>
      <c r="Q66" s="3080"/>
      <c r="R66" s="3080"/>
      <c r="S66" s="3088"/>
      <c r="T66" s="1157"/>
      <c r="U66" s="1169"/>
      <c r="V66" s="1170"/>
      <c r="W66" s="1171"/>
      <c r="X66" s="1157"/>
      <c r="Y66" s="1172" t="str">
        <f>IFERROR(IF(Y63/Y23=0,"",Y63/Y23),"")</f>
        <v/>
      </c>
      <c r="Z66" s="1173" t="str">
        <f t="shared" ref="Z66:BB66" si="40">IFERROR(IF(Z63/Z23=0,"",Z63/Z23),"")</f>
        <v/>
      </c>
      <c r="AA66" s="1174" t="str">
        <f t="shared" si="40"/>
        <v/>
      </c>
      <c r="AB66" s="1174" t="str">
        <f t="shared" si="40"/>
        <v/>
      </c>
      <c r="AC66" s="1175" t="str">
        <f t="shared" si="40"/>
        <v/>
      </c>
      <c r="AD66" s="1176" t="str">
        <f t="shared" si="40"/>
        <v/>
      </c>
      <c r="AE66" s="1177" t="str">
        <f t="shared" si="40"/>
        <v/>
      </c>
      <c r="AF66" s="1178" t="str">
        <f t="shared" si="40"/>
        <v/>
      </c>
      <c r="AG66" s="1178" t="str">
        <f t="shared" si="40"/>
        <v/>
      </c>
      <c r="AH66" s="1178" t="str">
        <f t="shared" si="40"/>
        <v/>
      </c>
      <c r="AI66" s="1178" t="str">
        <f t="shared" si="40"/>
        <v/>
      </c>
      <c r="AJ66" s="1178" t="str">
        <f t="shared" si="40"/>
        <v/>
      </c>
      <c r="AK66" s="1174" t="str">
        <f t="shared" si="40"/>
        <v/>
      </c>
      <c r="AL66" s="1177" t="str">
        <f t="shared" si="40"/>
        <v/>
      </c>
      <c r="AM66" s="1179" t="str">
        <f t="shared" si="40"/>
        <v/>
      </c>
      <c r="AN66" s="1177" t="str">
        <f t="shared" si="40"/>
        <v/>
      </c>
      <c r="AO66" s="1178" t="str">
        <f t="shared" si="40"/>
        <v/>
      </c>
      <c r="AP66" s="1174" t="str">
        <f t="shared" si="40"/>
        <v/>
      </c>
      <c r="AQ66" s="1174" t="str">
        <f t="shared" si="40"/>
        <v/>
      </c>
      <c r="AR66" s="1177" t="str">
        <f t="shared" si="40"/>
        <v/>
      </c>
      <c r="AS66" s="1178" t="str">
        <f t="shared" si="40"/>
        <v/>
      </c>
      <c r="AT66" s="1178" t="str">
        <f t="shared" si="40"/>
        <v/>
      </c>
      <c r="AU66" s="1174" t="str">
        <f t="shared" si="40"/>
        <v/>
      </c>
      <c r="AV66" s="1177" t="str">
        <f t="shared" si="40"/>
        <v/>
      </c>
      <c r="AW66" s="1178" t="str">
        <f t="shared" si="40"/>
        <v/>
      </c>
      <c r="AX66" s="1178" t="str">
        <f t="shared" si="40"/>
        <v/>
      </c>
      <c r="AY66" s="1174" t="str">
        <f t="shared" si="40"/>
        <v/>
      </c>
      <c r="AZ66" s="1177" t="str">
        <f t="shared" si="40"/>
        <v/>
      </c>
      <c r="BA66" s="1178" t="str">
        <f t="shared" si="40"/>
        <v/>
      </c>
      <c r="BB66" s="1180" t="str">
        <f t="shared" si="40"/>
        <v/>
      </c>
      <c r="BC66" s="1085"/>
    </row>
    <row r="67" spans="1:55" s="1439" customFormat="1" ht="15.75" customHeight="1">
      <c r="A67" s="1020"/>
      <c r="B67" s="1020"/>
      <c r="C67" s="1020"/>
      <c r="D67" s="1109"/>
      <c r="E67" s="1109"/>
      <c r="F67" s="1085"/>
      <c r="G67" s="1085"/>
      <c r="H67" s="1181"/>
      <c r="I67" s="1181"/>
      <c r="J67" s="1181"/>
      <c r="K67" s="1181"/>
      <c r="L67" s="1109"/>
      <c r="M67" s="1109"/>
      <c r="N67" s="1085"/>
      <c r="O67" s="1085"/>
      <c r="P67" s="1085"/>
      <c r="Q67" s="1085"/>
      <c r="R67" s="1085"/>
      <c r="S67" s="1085"/>
      <c r="T67" s="1085"/>
      <c r="U67" s="1085"/>
      <c r="V67" s="1085"/>
      <c r="W67" s="1085"/>
      <c r="X67" s="1085"/>
      <c r="Y67" s="1182"/>
      <c r="Z67" s="1182"/>
      <c r="AA67" s="1182"/>
      <c r="AB67" s="1182"/>
      <c r="AC67" s="1182"/>
      <c r="AD67" s="1182"/>
      <c r="AE67" s="1182"/>
      <c r="AF67" s="1182"/>
      <c r="AG67" s="1182"/>
      <c r="AH67" s="1182"/>
      <c r="AI67" s="1182"/>
      <c r="AJ67" s="1182"/>
      <c r="AK67" s="1182"/>
      <c r="AL67" s="1182"/>
      <c r="AM67" s="1182"/>
      <c r="AN67" s="1182"/>
      <c r="AO67" s="1182"/>
      <c r="AP67" s="1182"/>
      <c r="AQ67" s="1182"/>
      <c r="AR67" s="1182"/>
      <c r="AS67" s="1182"/>
      <c r="AT67" s="1182"/>
      <c r="AU67" s="1182"/>
      <c r="AV67" s="1182"/>
      <c r="AW67" s="1182"/>
      <c r="AX67" s="1182"/>
      <c r="AY67" s="1182"/>
      <c r="AZ67" s="1182"/>
      <c r="BA67" s="1182"/>
      <c r="BB67" s="1182"/>
      <c r="BC67" s="1085"/>
    </row>
    <row r="68" spans="1:55" s="1439" customFormat="1" ht="25.5" customHeight="1">
      <c r="A68" s="1020"/>
      <c r="B68" s="1020"/>
      <c r="C68" s="1020"/>
      <c r="D68" s="3095" t="s">
        <v>1760</v>
      </c>
      <c r="E68" s="3096"/>
      <c r="F68" s="3096"/>
      <c r="G68" s="3096"/>
      <c r="H68" s="3096"/>
      <c r="I68" s="3096"/>
      <c r="J68" s="3096"/>
      <c r="K68" s="3096"/>
      <c r="L68" s="3096"/>
      <c r="M68" s="3096"/>
      <c r="N68" s="3096"/>
      <c r="O68" s="3096"/>
      <c r="P68" s="3096"/>
      <c r="Q68" s="3096"/>
      <c r="R68" s="3096"/>
      <c r="S68" s="3097"/>
      <c r="T68" s="1085"/>
      <c r="U68" s="1183"/>
      <c r="V68" s="1184"/>
      <c r="W68" s="1185"/>
      <c r="X68" s="1085"/>
      <c r="Y68" s="1186"/>
      <c r="Z68" s="1187"/>
      <c r="AA68" s="1187"/>
      <c r="AB68" s="1187"/>
      <c r="AC68" s="1187"/>
      <c r="AD68" s="1187"/>
      <c r="AE68" s="1187"/>
      <c r="AF68" s="1187"/>
      <c r="AG68" s="1187"/>
      <c r="AH68" s="1187"/>
      <c r="AI68" s="1187"/>
      <c r="AJ68" s="1187"/>
      <c r="AK68" s="1187"/>
      <c r="AL68" s="1187"/>
      <c r="AM68" s="1187"/>
      <c r="AN68" s="1187"/>
      <c r="AO68" s="1187"/>
      <c r="AP68" s="1187"/>
      <c r="AQ68" s="1187"/>
      <c r="AR68" s="1187"/>
      <c r="AS68" s="1187"/>
      <c r="AT68" s="1187"/>
      <c r="AU68" s="1187"/>
      <c r="AV68" s="1187"/>
      <c r="AW68" s="1187"/>
      <c r="AX68" s="1187"/>
      <c r="AY68" s="1187"/>
      <c r="AZ68" s="1187"/>
      <c r="BA68" s="1187"/>
      <c r="BB68" s="1188"/>
      <c r="BC68" s="1085"/>
    </row>
    <row r="69" spans="1:55" s="1439" customFormat="1" ht="18" customHeight="1">
      <c r="A69" s="1020"/>
      <c r="B69" s="1020"/>
      <c r="C69" s="1020"/>
      <c r="D69" s="3109" t="s">
        <v>1761</v>
      </c>
      <c r="E69" s="3093"/>
      <c r="F69" s="3093"/>
      <c r="G69" s="3093"/>
      <c r="H69" s="3093"/>
      <c r="I69" s="3093"/>
      <c r="J69" s="3093"/>
      <c r="K69" s="3093"/>
      <c r="L69" s="3093"/>
      <c r="M69" s="3093"/>
      <c r="N69" s="3093"/>
      <c r="O69" s="3093"/>
      <c r="P69" s="3093"/>
      <c r="Q69" s="3093"/>
      <c r="R69" s="3093"/>
      <c r="S69" s="3110"/>
      <c r="T69" s="1189"/>
      <c r="U69" s="1190">
        <f>U50</f>
        <v>0</v>
      </c>
      <c r="V69" s="1191">
        <f>V50</f>
        <v>0</v>
      </c>
      <c r="W69" s="1192"/>
      <c r="X69" s="1189"/>
      <c r="Y69" s="1193">
        <f t="shared" ref="Y69:BB69" si="41">Y50</f>
        <v>0</v>
      </c>
      <c r="Z69" s="1194">
        <f t="shared" si="41"/>
        <v>0</v>
      </c>
      <c r="AA69" s="1195">
        <f t="shared" si="41"/>
        <v>0</v>
      </c>
      <c r="AB69" s="1195">
        <f t="shared" si="41"/>
        <v>0</v>
      </c>
      <c r="AC69" s="1196">
        <f t="shared" si="41"/>
        <v>0</v>
      </c>
      <c r="AD69" s="1197">
        <f t="shared" si="41"/>
        <v>0</v>
      </c>
      <c r="AE69" s="1195">
        <f t="shared" si="41"/>
        <v>0</v>
      </c>
      <c r="AF69" s="1195">
        <f t="shared" si="41"/>
        <v>0</v>
      </c>
      <c r="AG69" s="1195">
        <f t="shared" si="41"/>
        <v>0</v>
      </c>
      <c r="AH69" s="1195">
        <f t="shared" si="41"/>
        <v>0</v>
      </c>
      <c r="AI69" s="1195">
        <f t="shared" si="41"/>
        <v>0</v>
      </c>
      <c r="AJ69" s="1195">
        <f t="shared" si="41"/>
        <v>0</v>
      </c>
      <c r="AK69" s="1195">
        <f t="shared" si="41"/>
        <v>0</v>
      </c>
      <c r="AL69" s="1195">
        <f t="shared" si="41"/>
        <v>0</v>
      </c>
      <c r="AM69" s="1196">
        <f t="shared" si="41"/>
        <v>0</v>
      </c>
      <c r="AN69" s="1197">
        <f t="shared" si="41"/>
        <v>0</v>
      </c>
      <c r="AO69" s="1195">
        <f t="shared" si="41"/>
        <v>0</v>
      </c>
      <c r="AP69" s="1195">
        <f t="shared" si="41"/>
        <v>0</v>
      </c>
      <c r="AQ69" s="1195">
        <f t="shared" si="41"/>
        <v>0</v>
      </c>
      <c r="AR69" s="1195">
        <f t="shared" si="41"/>
        <v>0</v>
      </c>
      <c r="AS69" s="1195">
        <f t="shared" si="41"/>
        <v>0</v>
      </c>
      <c r="AT69" s="1195">
        <f t="shared" si="41"/>
        <v>0</v>
      </c>
      <c r="AU69" s="1195">
        <f t="shared" si="41"/>
        <v>0</v>
      </c>
      <c r="AV69" s="1195">
        <f t="shared" si="41"/>
        <v>0</v>
      </c>
      <c r="AW69" s="1195">
        <f t="shared" si="41"/>
        <v>0</v>
      </c>
      <c r="AX69" s="1195">
        <f t="shared" si="41"/>
        <v>0</v>
      </c>
      <c r="AY69" s="1195">
        <f t="shared" si="41"/>
        <v>0</v>
      </c>
      <c r="AZ69" s="1195">
        <f t="shared" si="41"/>
        <v>0</v>
      </c>
      <c r="BA69" s="1195">
        <f t="shared" si="41"/>
        <v>0</v>
      </c>
      <c r="BB69" s="1198">
        <f t="shared" si="41"/>
        <v>0</v>
      </c>
      <c r="BC69" s="1085"/>
    </row>
    <row r="70" spans="1:55" s="1439" customFormat="1" ht="18" customHeight="1">
      <c r="A70" s="1020"/>
      <c r="B70" s="1020"/>
      <c r="C70" s="1020"/>
      <c r="D70" s="3111" t="s">
        <v>1762</v>
      </c>
      <c r="E70" s="3085"/>
      <c r="F70" s="3085"/>
      <c r="G70" s="3085"/>
      <c r="H70" s="3085"/>
      <c r="I70" s="3085"/>
      <c r="J70" s="3085"/>
      <c r="K70" s="3085"/>
      <c r="L70" s="3085"/>
      <c r="M70" s="3085"/>
      <c r="N70" s="3085"/>
      <c r="O70" s="3085"/>
      <c r="P70" s="3085"/>
      <c r="Q70" s="3085"/>
      <c r="R70" s="3085"/>
      <c r="S70" s="3086"/>
      <c r="T70" s="1189"/>
      <c r="U70" s="1199">
        <f>U50+U55</f>
        <v>0</v>
      </c>
      <c r="V70" s="1200">
        <f>V50+V55</f>
        <v>0</v>
      </c>
      <c r="W70" s="1192"/>
      <c r="X70" s="1189"/>
      <c r="Y70" s="1201">
        <f t="shared" ref="Y70:BA70" si="42">IFERROR(Y50+Y55,"")</f>
        <v>0</v>
      </c>
      <c r="Z70" s="1202">
        <f t="shared" si="42"/>
        <v>0</v>
      </c>
      <c r="AA70" s="1203">
        <f t="shared" si="42"/>
        <v>0</v>
      </c>
      <c r="AB70" s="1203">
        <f t="shared" si="42"/>
        <v>0</v>
      </c>
      <c r="AC70" s="1204">
        <f t="shared" si="42"/>
        <v>0</v>
      </c>
      <c r="AD70" s="1205">
        <f t="shared" si="42"/>
        <v>0</v>
      </c>
      <c r="AE70" s="1203">
        <f t="shared" si="42"/>
        <v>0</v>
      </c>
      <c r="AF70" s="1203">
        <f t="shared" si="42"/>
        <v>0</v>
      </c>
      <c r="AG70" s="1203">
        <f t="shared" si="42"/>
        <v>0</v>
      </c>
      <c r="AH70" s="1203">
        <f t="shared" si="42"/>
        <v>0</v>
      </c>
      <c r="AI70" s="1203">
        <f t="shared" si="42"/>
        <v>0</v>
      </c>
      <c r="AJ70" s="1203">
        <f t="shared" si="42"/>
        <v>0</v>
      </c>
      <c r="AK70" s="1203">
        <f t="shared" si="42"/>
        <v>0</v>
      </c>
      <c r="AL70" s="1203">
        <f t="shared" si="42"/>
        <v>0</v>
      </c>
      <c r="AM70" s="1204">
        <f t="shared" si="42"/>
        <v>0</v>
      </c>
      <c r="AN70" s="1205">
        <f t="shared" si="42"/>
        <v>0</v>
      </c>
      <c r="AO70" s="1203">
        <f t="shared" si="42"/>
        <v>0</v>
      </c>
      <c r="AP70" s="1203">
        <f t="shared" si="42"/>
        <v>0</v>
      </c>
      <c r="AQ70" s="1203">
        <f t="shared" si="42"/>
        <v>0</v>
      </c>
      <c r="AR70" s="1203">
        <f t="shared" si="42"/>
        <v>0</v>
      </c>
      <c r="AS70" s="1203">
        <f t="shared" si="42"/>
        <v>0</v>
      </c>
      <c r="AT70" s="1203">
        <f t="shared" si="42"/>
        <v>0</v>
      </c>
      <c r="AU70" s="1203">
        <f t="shared" si="42"/>
        <v>0</v>
      </c>
      <c r="AV70" s="1203">
        <f t="shared" si="42"/>
        <v>0</v>
      </c>
      <c r="AW70" s="1203">
        <f t="shared" si="42"/>
        <v>0</v>
      </c>
      <c r="AX70" s="1203">
        <f t="shared" si="42"/>
        <v>0</v>
      </c>
      <c r="AY70" s="1203">
        <f t="shared" si="42"/>
        <v>0</v>
      </c>
      <c r="AZ70" s="1203">
        <f t="shared" si="42"/>
        <v>0</v>
      </c>
      <c r="BA70" s="1203">
        <f t="shared" si="42"/>
        <v>0</v>
      </c>
      <c r="BB70" s="1206">
        <f>IFERROR(BB50+BB55,"")</f>
        <v>0</v>
      </c>
      <c r="BC70" s="1085"/>
    </row>
    <row r="71" spans="1:55" s="1439" customFormat="1" ht="18" customHeight="1">
      <c r="A71" s="1020"/>
      <c r="B71" s="1020"/>
      <c r="C71" s="1020"/>
      <c r="D71" s="3128" t="s">
        <v>1763</v>
      </c>
      <c r="E71" s="3129"/>
      <c r="F71" s="3129"/>
      <c r="G71" s="3129"/>
      <c r="H71" s="3129"/>
      <c r="I71" s="3129"/>
      <c r="J71" s="3129"/>
      <c r="K71" s="3129"/>
      <c r="L71" s="3129"/>
      <c r="M71" s="3129"/>
      <c r="N71" s="3129"/>
      <c r="O71" s="3129"/>
      <c r="P71" s="3129"/>
      <c r="Q71" s="3129"/>
      <c r="R71" s="3129"/>
      <c r="S71" s="3130"/>
      <c r="T71" s="1157"/>
      <c r="U71" s="1207"/>
      <c r="V71" s="1208"/>
      <c r="W71" s="1209"/>
      <c r="X71" s="1157"/>
      <c r="Y71" s="1210" t="str">
        <f>IFERROR(Y69/'RENTAL PURCHASE SETUP'!$AA$66,"")</f>
        <v/>
      </c>
      <c r="Z71" s="1211" t="str">
        <f>IFERROR(Z69/'RENTAL PURCHASE SETUP'!$AA$66,"")</f>
        <v/>
      </c>
      <c r="AA71" s="1212" t="str">
        <f>IFERROR(AA69/'RENTAL PURCHASE SETUP'!$AA$66,"")</f>
        <v/>
      </c>
      <c r="AB71" s="1212" t="str">
        <f>IFERROR(AB69/'RENTAL PURCHASE SETUP'!$AA$66,"")</f>
        <v/>
      </c>
      <c r="AC71" s="1163" t="str">
        <f>IFERROR(AC69/'RENTAL PURCHASE SETUP'!$AA$66,"")</f>
        <v/>
      </c>
      <c r="AD71" s="1213" t="str">
        <f>IFERROR(AD69/'RENTAL PURCHASE SETUP'!$AA$66,"")</f>
        <v/>
      </c>
      <c r="AE71" s="1165" t="str">
        <f>IFERROR(AE69/'RENTAL PURCHASE SETUP'!$AA$66,"")</f>
        <v/>
      </c>
      <c r="AF71" s="1214" t="str">
        <f>IFERROR(AF69/'RENTAL PURCHASE SETUP'!$AA$66,"")</f>
        <v/>
      </c>
      <c r="AG71" s="1214" t="str">
        <f>IFERROR(AG69/'RENTAL PURCHASE SETUP'!$AA$66,"")</f>
        <v/>
      </c>
      <c r="AH71" s="1214" t="str">
        <f>IFERROR(AH69/'RENTAL PURCHASE SETUP'!$AA$66,"")</f>
        <v/>
      </c>
      <c r="AI71" s="1214" t="str">
        <f>IFERROR(AI69/'RENTAL PURCHASE SETUP'!$AA$66,"")</f>
        <v/>
      </c>
      <c r="AJ71" s="1214" t="str">
        <f>IFERROR(AJ69/'RENTAL PURCHASE SETUP'!$AA$66,"")</f>
        <v/>
      </c>
      <c r="AK71" s="1212" t="str">
        <f>IFERROR(AK69/'RENTAL PURCHASE SETUP'!$AA$66,"")</f>
        <v/>
      </c>
      <c r="AL71" s="1165" t="str">
        <f>IFERROR(AL69/'RENTAL PURCHASE SETUP'!$AA$66,"")</f>
        <v/>
      </c>
      <c r="AM71" s="1215" t="str">
        <f>IFERROR(AM69/'RENTAL PURCHASE SETUP'!$AA$66,"")</f>
        <v/>
      </c>
      <c r="AN71" s="1165" t="str">
        <f>IFERROR(AN69/'RENTAL PURCHASE SETUP'!$AA$66,"")</f>
        <v/>
      </c>
      <c r="AO71" s="1214" t="str">
        <f>IFERROR(AO69/'RENTAL PURCHASE SETUP'!$AA$66,"")</f>
        <v/>
      </c>
      <c r="AP71" s="1212" t="str">
        <f>IFERROR(AP69/'RENTAL PURCHASE SETUP'!$AA$66,"")</f>
        <v/>
      </c>
      <c r="AQ71" s="1212" t="str">
        <f>IFERROR(AQ69/'RENTAL PURCHASE SETUP'!$AA$66,"")</f>
        <v/>
      </c>
      <c r="AR71" s="1165" t="str">
        <f>IFERROR(AR69/'RENTAL PURCHASE SETUP'!$AA$66,"")</f>
        <v/>
      </c>
      <c r="AS71" s="1214" t="str">
        <f>IFERROR(AS69/'RENTAL PURCHASE SETUP'!$AA$66,"")</f>
        <v/>
      </c>
      <c r="AT71" s="1214" t="str">
        <f>IFERROR(AT69/'RENTAL PURCHASE SETUP'!$AA$66,"")</f>
        <v/>
      </c>
      <c r="AU71" s="1212" t="str">
        <f>IFERROR(AU69/'RENTAL PURCHASE SETUP'!$AA$66,"")</f>
        <v/>
      </c>
      <c r="AV71" s="1165" t="str">
        <f>IFERROR(AV69/'RENTAL PURCHASE SETUP'!$AA$66,"")</f>
        <v/>
      </c>
      <c r="AW71" s="1214" t="str">
        <f>IFERROR(AW69/'RENTAL PURCHASE SETUP'!$AA$66,"")</f>
        <v/>
      </c>
      <c r="AX71" s="1214" t="str">
        <f>IFERROR(AX69/'RENTAL PURCHASE SETUP'!$AA$66,"")</f>
        <v/>
      </c>
      <c r="AY71" s="1212" t="str">
        <f>IFERROR(AY69/'RENTAL PURCHASE SETUP'!$AA$66,"")</f>
        <v/>
      </c>
      <c r="AZ71" s="1165" t="str">
        <f>IFERROR(AZ69/'RENTAL PURCHASE SETUP'!$AA$66,"")</f>
        <v/>
      </c>
      <c r="BA71" s="1214" t="str">
        <f>IFERROR(BA69/'RENTAL PURCHASE SETUP'!$AA$66,"")</f>
        <v/>
      </c>
      <c r="BB71" s="1216" t="str">
        <f>IFERROR(BB69/'RENTAL PURCHASE SETUP'!$AA$66,"")</f>
        <v/>
      </c>
      <c r="BC71" s="1085"/>
    </row>
    <row r="72" spans="1:55" s="1439" customFormat="1" ht="18" customHeight="1">
      <c r="A72" s="1020"/>
      <c r="B72" s="1020"/>
      <c r="C72" s="1020"/>
      <c r="D72" s="3087" t="s">
        <v>1764</v>
      </c>
      <c r="E72" s="3080"/>
      <c r="F72" s="3080"/>
      <c r="G72" s="3080"/>
      <c r="H72" s="3080"/>
      <c r="I72" s="3080"/>
      <c r="J72" s="3080"/>
      <c r="K72" s="3080"/>
      <c r="L72" s="3080"/>
      <c r="M72" s="3080"/>
      <c r="N72" s="3080"/>
      <c r="O72" s="3080"/>
      <c r="P72" s="3080"/>
      <c r="Q72" s="3080"/>
      <c r="R72" s="3080"/>
      <c r="S72" s="3088"/>
      <c r="T72" s="1157"/>
      <c r="U72" s="1217"/>
      <c r="V72" s="1218"/>
      <c r="W72" s="1219"/>
      <c r="X72" s="1157"/>
      <c r="Y72" s="1220" t="str">
        <f>IFERROR(IF(Y59&lt;0,"inf %",Y70/Y59),"")</f>
        <v/>
      </c>
      <c r="Z72" s="1221" t="str">
        <f t="shared" ref="Z72:BB72" si="43">IFERROR(IF(Z59&lt;0,"inf %",Z70/Z59),"")</f>
        <v/>
      </c>
      <c r="AA72" s="1222" t="str">
        <f t="shared" si="43"/>
        <v/>
      </c>
      <c r="AB72" s="1222" t="str">
        <f t="shared" si="43"/>
        <v/>
      </c>
      <c r="AC72" s="1223" t="str">
        <f t="shared" si="43"/>
        <v/>
      </c>
      <c r="AD72" s="1224" t="str">
        <f t="shared" si="43"/>
        <v/>
      </c>
      <c r="AE72" s="1225" t="str">
        <f t="shared" si="43"/>
        <v/>
      </c>
      <c r="AF72" s="1226" t="str">
        <f t="shared" si="43"/>
        <v/>
      </c>
      <c r="AG72" s="1226" t="str">
        <f t="shared" si="43"/>
        <v/>
      </c>
      <c r="AH72" s="1226" t="str">
        <f t="shared" si="43"/>
        <v/>
      </c>
      <c r="AI72" s="1226" t="str">
        <f t="shared" si="43"/>
        <v/>
      </c>
      <c r="AJ72" s="1226" t="str">
        <f t="shared" si="43"/>
        <v/>
      </c>
      <c r="AK72" s="1222" t="str">
        <f t="shared" si="43"/>
        <v/>
      </c>
      <c r="AL72" s="1225" t="str">
        <f t="shared" si="43"/>
        <v/>
      </c>
      <c r="AM72" s="1227" t="str">
        <f t="shared" si="43"/>
        <v/>
      </c>
      <c r="AN72" s="1225" t="str">
        <f t="shared" si="43"/>
        <v/>
      </c>
      <c r="AO72" s="1226" t="str">
        <f t="shared" si="43"/>
        <v/>
      </c>
      <c r="AP72" s="1222" t="str">
        <f t="shared" si="43"/>
        <v/>
      </c>
      <c r="AQ72" s="1222" t="str">
        <f t="shared" si="43"/>
        <v/>
      </c>
      <c r="AR72" s="1225" t="str">
        <f t="shared" si="43"/>
        <v/>
      </c>
      <c r="AS72" s="1226" t="str">
        <f t="shared" si="43"/>
        <v/>
      </c>
      <c r="AT72" s="1226" t="str">
        <f t="shared" si="43"/>
        <v/>
      </c>
      <c r="AU72" s="1222" t="str">
        <f t="shared" si="43"/>
        <v/>
      </c>
      <c r="AV72" s="1225" t="str">
        <f t="shared" si="43"/>
        <v/>
      </c>
      <c r="AW72" s="1226" t="str">
        <f t="shared" si="43"/>
        <v/>
      </c>
      <c r="AX72" s="1226" t="str">
        <f t="shared" si="43"/>
        <v/>
      </c>
      <c r="AY72" s="1222" t="str">
        <f t="shared" si="43"/>
        <v/>
      </c>
      <c r="AZ72" s="1225" t="str">
        <f t="shared" si="43"/>
        <v/>
      </c>
      <c r="BA72" s="1226" t="str">
        <f t="shared" si="43"/>
        <v/>
      </c>
      <c r="BB72" s="1228" t="str">
        <f t="shared" si="43"/>
        <v/>
      </c>
      <c r="BC72" s="1085"/>
    </row>
    <row r="73" spans="1:55" s="1439" customFormat="1" ht="15.75" customHeight="1">
      <c r="A73" s="1020"/>
      <c r="B73" s="1020"/>
      <c r="C73" s="1020"/>
      <c r="D73" s="1109"/>
      <c r="E73" s="1109"/>
      <c r="F73" s="1085"/>
      <c r="G73" s="1085"/>
      <c r="H73" s="1181"/>
      <c r="I73" s="1181"/>
      <c r="J73" s="1181"/>
      <c r="K73" s="1181"/>
      <c r="L73" s="1109"/>
      <c r="M73" s="1109"/>
      <c r="N73" s="1085"/>
      <c r="O73" s="1085"/>
      <c r="P73" s="1085"/>
      <c r="Q73" s="1085"/>
      <c r="R73" s="1085"/>
      <c r="S73" s="1085"/>
      <c r="T73" s="1085"/>
      <c r="U73" s="1085"/>
      <c r="V73" s="1085"/>
      <c r="W73" s="1085"/>
      <c r="X73" s="1085"/>
      <c r="Y73" s="1182"/>
      <c r="Z73" s="1182"/>
      <c r="AA73" s="1182"/>
      <c r="AB73" s="1182"/>
      <c r="AC73" s="1182"/>
      <c r="AD73" s="1182"/>
      <c r="AE73" s="1182"/>
      <c r="AF73" s="1182"/>
      <c r="AG73" s="1182"/>
      <c r="AH73" s="1182"/>
      <c r="AI73" s="1182"/>
      <c r="AJ73" s="1182"/>
      <c r="AK73" s="1182"/>
      <c r="AL73" s="1182"/>
      <c r="AM73" s="1182"/>
      <c r="AN73" s="1182"/>
      <c r="AO73" s="1182"/>
      <c r="AP73" s="1182"/>
      <c r="AQ73" s="1182"/>
      <c r="AR73" s="1182"/>
      <c r="AS73" s="1182"/>
      <c r="AT73" s="1182"/>
      <c r="AU73" s="1182"/>
      <c r="AV73" s="1182"/>
      <c r="AW73" s="1182"/>
      <c r="AX73" s="1182"/>
      <c r="AY73" s="1182"/>
      <c r="AZ73" s="1182"/>
      <c r="BA73" s="1182"/>
      <c r="BB73" s="1182"/>
      <c r="BC73" s="1085"/>
    </row>
    <row r="74" spans="1:55" s="1439" customFormat="1" ht="23.25" customHeight="1">
      <c r="A74" s="1020"/>
      <c r="B74" s="1020"/>
      <c r="C74" s="1020"/>
      <c r="D74" s="3095" t="s">
        <v>603</v>
      </c>
      <c r="E74" s="3096"/>
      <c r="F74" s="3096"/>
      <c r="G74" s="3096"/>
      <c r="H74" s="3096"/>
      <c r="I74" s="3096"/>
      <c r="J74" s="3096"/>
      <c r="K74" s="3096"/>
      <c r="L74" s="3096"/>
      <c r="M74" s="3096"/>
      <c r="N74" s="3096"/>
      <c r="O74" s="3096"/>
      <c r="P74" s="3096"/>
      <c r="Q74" s="3096"/>
      <c r="R74" s="3096"/>
      <c r="S74" s="3097"/>
      <c r="T74" s="1229"/>
      <c r="U74" s="1183"/>
      <c r="V74" s="1184"/>
      <c r="W74" s="1185"/>
      <c r="X74" s="1229"/>
      <c r="Y74" s="1186"/>
      <c r="Z74" s="1187"/>
      <c r="AA74" s="1187"/>
      <c r="AB74" s="1187"/>
      <c r="AC74" s="1187"/>
      <c r="AD74" s="1187"/>
      <c r="AE74" s="1187"/>
      <c r="AF74" s="1187"/>
      <c r="AG74" s="1187"/>
      <c r="AH74" s="1187"/>
      <c r="AI74" s="1187"/>
      <c r="AJ74" s="1187"/>
      <c r="AK74" s="1187"/>
      <c r="AL74" s="1187"/>
      <c r="AM74" s="1187"/>
      <c r="AN74" s="1187"/>
      <c r="AO74" s="1187"/>
      <c r="AP74" s="1187"/>
      <c r="AQ74" s="1187"/>
      <c r="AR74" s="1187"/>
      <c r="AS74" s="1187"/>
      <c r="AT74" s="1187"/>
      <c r="AU74" s="1187"/>
      <c r="AV74" s="1187"/>
      <c r="AW74" s="1187"/>
      <c r="AX74" s="1187"/>
      <c r="AY74" s="1187"/>
      <c r="AZ74" s="1187"/>
      <c r="BA74" s="1187"/>
      <c r="BB74" s="1188"/>
      <c r="BC74" s="1085"/>
    </row>
    <row r="75" spans="1:55" s="1439" customFormat="1" ht="18" customHeight="1">
      <c r="A75" s="1020"/>
      <c r="B75" s="1020"/>
      <c r="C75" s="1020"/>
      <c r="D75" s="3098" t="s">
        <v>1765</v>
      </c>
      <c r="E75" s="3099"/>
      <c r="F75" s="3099"/>
      <c r="G75" s="3099"/>
      <c r="H75" s="3099"/>
      <c r="I75" s="3099"/>
      <c r="J75" s="3099"/>
      <c r="K75" s="3099"/>
      <c r="L75" s="3099"/>
      <c r="M75" s="3099"/>
      <c r="N75" s="3099"/>
      <c r="O75" s="3099"/>
      <c r="P75" s="3099"/>
      <c r="Q75" s="3099"/>
      <c r="R75" s="3099"/>
      <c r="S75" s="3100"/>
      <c r="T75" s="1189"/>
      <c r="U75" s="1230">
        <f>V75/12</f>
        <v>0</v>
      </c>
      <c r="V75" s="1231">
        <f>'RENTAL PURCHASE SETUP'!$AA$63</f>
        <v>0</v>
      </c>
      <c r="W75" s="1192"/>
      <c r="X75" s="1189"/>
      <c r="Y75" s="1232">
        <f>'RENTAL PURCHASE SETUP'!$AA$63</f>
        <v>0</v>
      </c>
      <c r="Z75" s="1233">
        <f t="shared" ref="Z75:BA75" si="44">IF(Z27="","",0)</f>
        <v>0</v>
      </c>
      <c r="AA75" s="1234">
        <f t="shared" si="44"/>
        <v>0</v>
      </c>
      <c r="AB75" s="1234">
        <f t="shared" si="44"/>
        <v>0</v>
      </c>
      <c r="AC75" s="1235">
        <f t="shared" si="44"/>
        <v>0</v>
      </c>
      <c r="AD75" s="1236">
        <f t="shared" si="44"/>
        <v>0</v>
      </c>
      <c r="AE75" s="1234">
        <f t="shared" si="44"/>
        <v>0</v>
      </c>
      <c r="AF75" s="1234">
        <f t="shared" si="44"/>
        <v>0</v>
      </c>
      <c r="AG75" s="1234">
        <f t="shared" si="44"/>
        <v>0</v>
      </c>
      <c r="AH75" s="1234">
        <f t="shared" si="44"/>
        <v>0</v>
      </c>
      <c r="AI75" s="1234">
        <f t="shared" si="44"/>
        <v>0</v>
      </c>
      <c r="AJ75" s="1234">
        <f t="shared" si="44"/>
        <v>0</v>
      </c>
      <c r="AK75" s="1234">
        <f t="shared" si="44"/>
        <v>0</v>
      </c>
      <c r="AL75" s="1234">
        <f t="shared" si="44"/>
        <v>0</v>
      </c>
      <c r="AM75" s="1235">
        <f t="shared" si="44"/>
        <v>0</v>
      </c>
      <c r="AN75" s="1236">
        <f t="shared" si="44"/>
        <v>0</v>
      </c>
      <c r="AO75" s="1234">
        <f t="shared" si="44"/>
        <v>0</v>
      </c>
      <c r="AP75" s="1234">
        <f t="shared" si="44"/>
        <v>0</v>
      </c>
      <c r="AQ75" s="1234">
        <f t="shared" si="44"/>
        <v>0</v>
      </c>
      <c r="AR75" s="1234">
        <f t="shared" si="44"/>
        <v>0</v>
      </c>
      <c r="AS75" s="1234">
        <f t="shared" si="44"/>
        <v>0</v>
      </c>
      <c r="AT75" s="1234">
        <f t="shared" si="44"/>
        <v>0</v>
      </c>
      <c r="AU75" s="1234">
        <f t="shared" si="44"/>
        <v>0</v>
      </c>
      <c r="AV75" s="1234">
        <f t="shared" si="44"/>
        <v>0</v>
      </c>
      <c r="AW75" s="1234">
        <f t="shared" si="44"/>
        <v>0</v>
      </c>
      <c r="AX75" s="1234">
        <f t="shared" si="44"/>
        <v>0</v>
      </c>
      <c r="AY75" s="1234">
        <f t="shared" si="44"/>
        <v>0</v>
      </c>
      <c r="AZ75" s="1234">
        <f t="shared" si="44"/>
        <v>0</v>
      </c>
      <c r="BA75" s="1234">
        <f t="shared" si="44"/>
        <v>0</v>
      </c>
      <c r="BB75" s="1237">
        <f>IF(BB27="","",0)</f>
        <v>0</v>
      </c>
      <c r="BC75" s="1085"/>
    </row>
    <row r="76" spans="1:55" s="1439" customFormat="1" ht="18" customHeight="1">
      <c r="A76" s="1020"/>
      <c r="B76" s="1020"/>
      <c r="C76" s="1020"/>
      <c r="D76" s="3101" t="s">
        <v>1766</v>
      </c>
      <c r="E76" s="3102"/>
      <c r="F76" s="3102"/>
      <c r="G76" s="3102"/>
      <c r="H76" s="3102"/>
      <c r="I76" s="3102"/>
      <c r="J76" s="3102"/>
      <c r="K76" s="3102"/>
      <c r="L76" s="3102"/>
      <c r="M76" s="3102"/>
      <c r="N76" s="3102"/>
      <c r="O76" s="3102"/>
      <c r="P76" s="3102"/>
      <c r="Q76" s="3102"/>
      <c r="R76" s="3102"/>
      <c r="S76" s="3103"/>
      <c r="T76" s="1189"/>
      <c r="U76" s="1238">
        <f>-U54</f>
        <v>0</v>
      </c>
      <c r="V76" s="1239">
        <f>-V54</f>
        <v>0</v>
      </c>
      <c r="W76" s="1192"/>
      <c r="X76" s="1189"/>
      <c r="Y76" s="1240" t="str">
        <f t="shared" ref="Y76:BA76" si="45">IFERROR(-Y54,"")</f>
        <v/>
      </c>
      <c r="Z76" s="1241" t="str">
        <f t="shared" si="45"/>
        <v/>
      </c>
      <c r="AA76" s="1242" t="str">
        <f t="shared" si="45"/>
        <v/>
      </c>
      <c r="AB76" s="1242" t="str">
        <f t="shared" si="45"/>
        <v/>
      </c>
      <c r="AC76" s="1243" t="str">
        <f t="shared" si="45"/>
        <v/>
      </c>
      <c r="AD76" s="1244" t="str">
        <f t="shared" si="45"/>
        <v/>
      </c>
      <c r="AE76" s="1242" t="str">
        <f t="shared" si="45"/>
        <v/>
      </c>
      <c r="AF76" s="1242" t="str">
        <f t="shared" si="45"/>
        <v/>
      </c>
      <c r="AG76" s="1242" t="str">
        <f t="shared" si="45"/>
        <v/>
      </c>
      <c r="AH76" s="1242" t="str">
        <f t="shared" si="45"/>
        <v/>
      </c>
      <c r="AI76" s="1242" t="str">
        <f t="shared" si="45"/>
        <v/>
      </c>
      <c r="AJ76" s="1242" t="str">
        <f t="shared" si="45"/>
        <v/>
      </c>
      <c r="AK76" s="1242" t="str">
        <f t="shared" si="45"/>
        <v/>
      </c>
      <c r="AL76" s="1242" t="str">
        <f t="shared" si="45"/>
        <v/>
      </c>
      <c r="AM76" s="1243" t="str">
        <f t="shared" si="45"/>
        <v/>
      </c>
      <c r="AN76" s="1244" t="str">
        <f t="shared" si="45"/>
        <v/>
      </c>
      <c r="AO76" s="1242" t="str">
        <f t="shared" si="45"/>
        <v/>
      </c>
      <c r="AP76" s="1242" t="str">
        <f t="shared" si="45"/>
        <v/>
      </c>
      <c r="AQ76" s="1242" t="str">
        <f t="shared" si="45"/>
        <v/>
      </c>
      <c r="AR76" s="1242" t="str">
        <f t="shared" si="45"/>
        <v/>
      </c>
      <c r="AS76" s="1242" t="str">
        <f t="shared" si="45"/>
        <v/>
      </c>
      <c r="AT76" s="1242" t="str">
        <f t="shared" si="45"/>
        <v/>
      </c>
      <c r="AU76" s="1242" t="str">
        <f t="shared" si="45"/>
        <v/>
      </c>
      <c r="AV76" s="1242" t="str">
        <f t="shared" si="45"/>
        <v/>
      </c>
      <c r="AW76" s="1242" t="str">
        <f t="shared" si="45"/>
        <v/>
      </c>
      <c r="AX76" s="1242" t="str">
        <f t="shared" si="45"/>
        <v/>
      </c>
      <c r="AY76" s="1242" t="str">
        <f t="shared" si="45"/>
        <v/>
      </c>
      <c r="AZ76" s="1242" t="str">
        <f t="shared" si="45"/>
        <v/>
      </c>
      <c r="BA76" s="1242" t="str">
        <f t="shared" si="45"/>
        <v/>
      </c>
      <c r="BB76" s="1245" t="str">
        <f>IFERROR(-BB54,"")</f>
        <v/>
      </c>
      <c r="BC76" s="1085"/>
    </row>
    <row r="77" spans="1:55" s="1439" customFormat="1" ht="18" customHeight="1" thickBot="1">
      <c r="A77" s="1020"/>
      <c r="B77" s="1020"/>
      <c r="C77" s="1020"/>
      <c r="D77" s="3104" t="s">
        <v>1767</v>
      </c>
      <c r="E77" s="3105"/>
      <c r="F77" s="3105"/>
      <c r="G77" s="3105"/>
      <c r="H77" s="3105"/>
      <c r="I77" s="3105"/>
      <c r="J77" s="3105"/>
      <c r="K77" s="3105"/>
      <c r="L77" s="3105"/>
      <c r="M77" s="3105"/>
      <c r="N77" s="3105"/>
      <c r="O77" s="3105"/>
      <c r="P77" s="3105"/>
      <c r="Q77" s="3105"/>
      <c r="R77" s="3105"/>
      <c r="S77" s="3106"/>
      <c r="T77" s="1189"/>
      <c r="U77" s="1246">
        <f>Z77/12</f>
        <v>0</v>
      </c>
      <c r="V77" s="1247">
        <f>U77*12</f>
        <v>0</v>
      </c>
      <c r="W77" s="1192"/>
      <c r="X77" s="1189"/>
      <c r="Y77" s="1248">
        <f>IF($V$3&gt;=Y$90,Y63-V63,"")</f>
        <v>0</v>
      </c>
      <c r="Z77" s="1249">
        <f t="shared" ref="Z77:BB77" si="46">IF($V$3&gt;=Z$90,Z63-Y63,"")</f>
        <v>0</v>
      </c>
      <c r="AA77" s="1250">
        <f t="shared" si="46"/>
        <v>0</v>
      </c>
      <c r="AB77" s="1250">
        <f t="shared" si="46"/>
        <v>0</v>
      </c>
      <c r="AC77" s="1251">
        <f t="shared" si="46"/>
        <v>0</v>
      </c>
      <c r="AD77" s="1252">
        <f t="shared" si="46"/>
        <v>0</v>
      </c>
      <c r="AE77" s="1250">
        <f t="shared" si="46"/>
        <v>0</v>
      </c>
      <c r="AF77" s="1250">
        <f t="shared" si="46"/>
        <v>0</v>
      </c>
      <c r="AG77" s="1250">
        <f t="shared" si="46"/>
        <v>0</v>
      </c>
      <c r="AH77" s="1250">
        <f t="shared" si="46"/>
        <v>0</v>
      </c>
      <c r="AI77" s="1250">
        <f t="shared" si="46"/>
        <v>0</v>
      </c>
      <c r="AJ77" s="1250">
        <f t="shared" si="46"/>
        <v>0</v>
      </c>
      <c r="AK77" s="1250">
        <f t="shared" si="46"/>
        <v>0</v>
      </c>
      <c r="AL77" s="1250">
        <f t="shared" si="46"/>
        <v>0</v>
      </c>
      <c r="AM77" s="1251">
        <f t="shared" si="46"/>
        <v>0</v>
      </c>
      <c r="AN77" s="1252">
        <f t="shared" si="46"/>
        <v>0</v>
      </c>
      <c r="AO77" s="1250">
        <f t="shared" si="46"/>
        <v>0</v>
      </c>
      <c r="AP77" s="1250">
        <f t="shared" si="46"/>
        <v>0</v>
      </c>
      <c r="AQ77" s="1250">
        <f t="shared" si="46"/>
        <v>0</v>
      </c>
      <c r="AR77" s="1250">
        <f t="shared" si="46"/>
        <v>0</v>
      </c>
      <c r="AS77" s="1250">
        <f t="shared" si="46"/>
        <v>0</v>
      </c>
      <c r="AT77" s="1250">
        <f t="shared" si="46"/>
        <v>0</v>
      </c>
      <c r="AU77" s="1250">
        <f t="shared" si="46"/>
        <v>0</v>
      </c>
      <c r="AV77" s="1250">
        <f t="shared" si="46"/>
        <v>0</v>
      </c>
      <c r="AW77" s="1250">
        <f t="shared" si="46"/>
        <v>0</v>
      </c>
      <c r="AX77" s="1250">
        <f t="shared" si="46"/>
        <v>0</v>
      </c>
      <c r="AY77" s="1250">
        <f t="shared" si="46"/>
        <v>0</v>
      </c>
      <c r="AZ77" s="1250">
        <f t="shared" si="46"/>
        <v>0</v>
      </c>
      <c r="BA77" s="1250">
        <f t="shared" si="46"/>
        <v>0</v>
      </c>
      <c r="BB77" s="1253">
        <f t="shared" si="46"/>
        <v>0</v>
      </c>
      <c r="BC77" s="1085"/>
    </row>
    <row r="78" spans="1:55" s="1439" customFormat="1" ht="18" customHeight="1" thickTop="1">
      <c r="A78" s="1020"/>
      <c r="B78" s="1020"/>
      <c r="C78" s="1020"/>
      <c r="D78" s="3084" t="s">
        <v>1768</v>
      </c>
      <c r="E78" s="3085"/>
      <c r="F78" s="3085"/>
      <c r="G78" s="3085"/>
      <c r="H78" s="3085"/>
      <c r="I78" s="3085"/>
      <c r="J78" s="3085"/>
      <c r="K78" s="3085"/>
      <c r="L78" s="3085"/>
      <c r="M78" s="3085"/>
      <c r="N78" s="3085"/>
      <c r="O78" s="3085"/>
      <c r="P78" s="3085"/>
      <c r="Q78" s="3085"/>
      <c r="R78" s="3085"/>
      <c r="S78" s="3086"/>
      <c r="T78" s="1189"/>
      <c r="U78" s="1199">
        <f>SUM(U75:U77)</f>
        <v>0</v>
      </c>
      <c r="V78" s="1200">
        <f>SUM(V75:V77)</f>
        <v>0</v>
      </c>
      <c r="W78" s="1254"/>
      <c r="X78" s="1189"/>
      <c r="Y78" s="1255">
        <f t="shared" ref="Y78:BA78" si="47">IF(Y27="","",SUM(Y75:Y77))</f>
        <v>0</v>
      </c>
      <c r="Z78" s="1256">
        <f t="shared" si="47"/>
        <v>0</v>
      </c>
      <c r="AA78" s="1257">
        <f t="shared" si="47"/>
        <v>0</v>
      </c>
      <c r="AB78" s="1257">
        <f t="shared" si="47"/>
        <v>0</v>
      </c>
      <c r="AC78" s="1258">
        <f t="shared" si="47"/>
        <v>0</v>
      </c>
      <c r="AD78" s="1259">
        <f t="shared" si="47"/>
        <v>0</v>
      </c>
      <c r="AE78" s="1257">
        <f t="shared" si="47"/>
        <v>0</v>
      </c>
      <c r="AF78" s="1257">
        <f t="shared" si="47"/>
        <v>0</v>
      </c>
      <c r="AG78" s="1257">
        <f t="shared" si="47"/>
        <v>0</v>
      </c>
      <c r="AH78" s="1257">
        <f t="shared" si="47"/>
        <v>0</v>
      </c>
      <c r="AI78" s="1257">
        <f t="shared" si="47"/>
        <v>0</v>
      </c>
      <c r="AJ78" s="1257">
        <f t="shared" si="47"/>
        <v>0</v>
      </c>
      <c r="AK78" s="1257">
        <f t="shared" si="47"/>
        <v>0</v>
      </c>
      <c r="AL78" s="1257">
        <f t="shared" si="47"/>
        <v>0</v>
      </c>
      <c r="AM78" s="1258">
        <f t="shared" si="47"/>
        <v>0</v>
      </c>
      <c r="AN78" s="1259">
        <f t="shared" si="47"/>
        <v>0</v>
      </c>
      <c r="AO78" s="1257">
        <f t="shared" si="47"/>
        <v>0</v>
      </c>
      <c r="AP78" s="1257">
        <f t="shared" si="47"/>
        <v>0</v>
      </c>
      <c r="AQ78" s="1257">
        <f t="shared" si="47"/>
        <v>0</v>
      </c>
      <c r="AR78" s="1257">
        <f t="shared" si="47"/>
        <v>0</v>
      </c>
      <c r="AS78" s="1257">
        <f t="shared" si="47"/>
        <v>0</v>
      </c>
      <c r="AT78" s="1257">
        <f t="shared" si="47"/>
        <v>0</v>
      </c>
      <c r="AU78" s="1257">
        <f t="shared" si="47"/>
        <v>0</v>
      </c>
      <c r="AV78" s="1257">
        <f t="shared" si="47"/>
        <v>0</v>
      </c>
      <c r="AW78" s="1257">
        <f t="shared" si="47"/>
        <v>0</v>
      </c>
      <c r="AX78" s="1257">
        <f t="shared" si="47"/>
        <v>0</v>
      </c>
      <c r="AY78" s="1257">
        <f t="shared" si="47"/>
        <v>0</v>
      </c>
      <c r="AZ78" s="1257">
        <f t="shared" si="47"/>
        <v>0</v>
      </c>
      <c r="BA78" s="1257">
        <f t="shared" si="47"/>
        <v>0</v>
      </c>
      <c r="BB78" s="1260">
        <f>IF(BB27="","",SUM(BB75:BB77))</f>
        <v>0</v>
      </c>
      <c r="BC78" s="1085"/>
    </row>
    <row r="79" spans="1:55" s="1439" customFormat="1" ht="18" customHeight="1">
      <c r="A79" s="1020"/>
      <c r="B79" s="1020"/>
      <c r="C79" s="1020"/>
      <c r="D79" s="3087" t="s">
        <v>604</v>
      </c>
      <c r="E79" s="3080"/>
      <c r="F79" s="3080"/>
      <c r="G79" s="3080"/>
      <c r="H79" s="3080"/>
      <c r="I79" s="3080"/>
      <c r="J79" s="3080"/>
      <c r="K79" s="3080"/>
      <c r="L79" s="3080"/>
      <c r="M79" s="3080"/>
      <c r="N79" s="3080"/>
      <c r="O79" s="3080"/>
      <c r="P79" s="3080"/>
      <c r="Q79" s="3080"/>
      <c r="R79" s="3080"/>
      <c r="S79" s="3088"/>
      <c r="T79" s="1157"/>
      <c r="U79" s="1217"/>
      <c r="V79" s="1218"/>
      <c r="W79" s="1261"/>
      <c r="X79" s="1157"/>
      <c r="Y79" s="1220" t="str">
        <f>IFERROR(IF(Y59&lt;0,"inf %",Y78/Y59),"")</f>
        <v/>
      </c>
      <c r="Z79" s="1221" t="str">
        <f t="shared" ref="Z79:BB79" si="48">IFERROR(IF(Z59&lt;0,"inf %",Z78/Z59),"")</f>
        <v/>
      </c>
      <c r="AA79" s="1222" t="str">
        <f t="shared" si="48"/>
        <v/>
      </c>
      <c r="AB79" s="1222" t="str">
        <f t="shared" si="48"/>
        <v/>
      </c>
      <c r="AC79" s="1262" t="str">
        <f t="shared" si="48"/>
        <v/>
      </c>
      <c r="AD79" s="1224" t="str">
        <f t="shared" si="48"/>
        <v/>
      </c>
      <c r="AE79" s="1263" t="str">
        <f t="shared" si="48"/>
        <v/>
      </c>
      <c r="AF79" s="1226" t="str">
        <f t="shared" si="48"/>
        <v/>
      </c>
      <c r="AG79" s="1226" t="str">
        <f t="shared" si="48"/>
        <v/>
      </c>
      <c r="AH79" s="1226" t="str">
        <f t="shared" si="48"/>
        <v/>
      </c>
      <c r="AI79" s="1226" t="str">
        <f t="shared" si="48"/>
        <v/>
      </c>
      <c r="AJ79" s="1226" t="str">
        <f t="shared" si="48"/>
        <v/>
      </c>
      <c r="AK79" s="1222" t="str">
        <f t="shared" si="48"/>
        <v/>
      </c>
      <c r="AL79" s="1263" t="str">
        <f t="shared" si="48"/>
        <v/>
      </c>
      <c r="AM79" s="1227" t="str">
        <f t="shared" si="48"/>
        <v/>
      </c>
      <c r="AN79" s="1263" t="str">
        <f t="shared" si="48"/>
        <v/>
      </c>
      <c r="AO79" s="1226" t="str">
        <f t="shared" si="48"/>
        <v/>
      </c>
      <c r="AP79" s="1222" t="str">
        <f t="shared" si="48"/>
        <v/>
      </c>
      <c r="AQ79" s="1222" t="str">
        <f t="shared" si="48"/>
        <v/>
      </c>
      <c r="AR79" s="1263" t="str">
        <f t="shared" si="48"/>
        <v/>
      </c>
      <c r="AS79" s="1226" t="str">
        <f t="shared" si="48"/>
        <v/>
      </c>
      <c r="AT79" s="1226" t="str">
        <f t="shared" si="48"/>
        <v/>
      </c>
      <c r="AU79" s="1222" t="str">
        <f t="shared" si="48"/>
        <v/>
      </c>
      <c r="AV79" s="1263" t="str">
        <f t="shared" si="48"/>
        <v/>
      </c>
      <c r="AW79" s="1226" t="str">
        <f t="shared" si="48"/>
        <v/>
      </c>
      <c r="AX79" s="1226" t="str">
        <f t="shared" si="48"/>
        <v/>
      </c>
      <c r="AY79" s="1222" t="str">
        <f t="shared" si="48"/>
        <v/>
      </c>
      <c r="AZ79" s="1263" t="str">
        <f t="shared" si="48"/>
        <v/>
      </c>
      <c r="BA79" s="1226" t="str">
        <f t="shared" si="48"/>
        <v/>
      </c>
      <c r="BB79" s="1228" t="str">
        <f t="shared" si="48"/>
        <v/>
      </c>
      <c r="BC79" s="1085"/>
    </row>
    <row r="80" spans="1:55" s="1439" customFormat="1" ht="15.75" customHeight="1">
      <c r="A80" s="1020"/>
      <c r="B80" s="1020"/>
      <c r="C80" s="1020"/>
      <c r="D80" s="1109"/>
      <c r="E80" s="1109"/>
      <c r="F80" s="1085"/>
      <c r="G80" s="1085"/>
      <c r="H80" s="1181"/>
      <c r="I80" s="1181"/>
      <c r="J80" s="1181"/>
      <c r="K80" s="1181"/>
      <c r="L80" s="1109"/>
      <c r="M80" s="1109"/>
      <c r="N80" s="1085"/>
      <c r="O80" s="1085"/>
      <c r="P80" s="1085"/>
      <c r="Q80" s="1085"/>
      <c r="R80" s="1085"/>
      <c r="S80" s="1085"/>
      <c r="T80" s="1085"/>
      <c r="U80" s="1085"/>
      <c r="V80" s="1085"/>
      <c r="W80" s="1085"/>
      <c r="X80" s="1085"/>
      <c r="Y80" s="1182"/>
      <c r="Z80" s="1182"/>
      <c r="AA80" s="1182"/>
      <c r="AB80" s="1182"/>
      <c r="AC80" s="1182"/>
      <c r="AD80" s="1182"/>
      <c r="AE80" s="1182"/>
      <c r="AF80" s="1182"/>
      <c r="AG80" s="1182"/>
      <c r="AH80" s="1182"/>
      <c r="AI80" s="1182"/>
      <c r="AJ80" s="1182"/>
      <c r="AK80" s="1182"/>
      <c r="AL80" s="1182"/>
      <c r="AM80" s="1182"/>
      <c r="AN80" s="1182"/>
      <c r="AO80" s="1182"/>
      <c r="AP80" s="1182"/>
      <c r="AQ80" s="1182"/>
      <c r="AR80" s="1182"/>
      <c r="AS80" s="1182"/>
      <c r="AT80" s="1182"/>
      <c r="AU80" s="1182"/>
      <c r="AV80" s="1182"/>
      <c r="AW80" s="1182"/>
      <c r="AX80" s="1182"/>
      <c r="AY80" s="1182"/>
      <c r="AZ80" s="1182"/>
      <c r="BA80" s="1182"/>
      <c r="BB80" s="1182"/>
      <c r="BC80" s="1085"/>
    </row>
    <row r="81" spans="1:55" s="1439" customFormat="1" ht="24.75" customHeight="1">
      <c r="A81" s="1020"/>
      <c r="B81" s="1020"/>
      <c r="C81" s="1020"/>
      <c r="D81" s="3089" t="s">
        <v>605</v>
      </c>
      <c r="E81" s="3090"/>
      <c r="F81" s="3090"/>
      <c r="G81" s="3090"/>
      <c r="H81" s="3090"/>
      <c r="I81" s="3090"/>
      <c r="J81" s="3090"/>
      <c r="K81" s="3090"/>
      <c r="L81" s="3090"/>
      <c r="M81" s="3090"/>
      <c r="N81" s="3090"/>
      <c r="O81" s="3090"/>
      <c r="P81" s="3090"/>
      <c r="Q81" s="3090"/>
      <c r="R81" s="3090"/>
      <c r="S81" s="3091"/>
      <c r="T81" s="1229"/>
      <c r="U81" s="1183"/>
      <c r="V81" s="1184"/>
      <c r="W81" s="1185"/>
      <c r="X81" s="1229"/>
      <c r="Y81" s="1186"/>
      <c r="Z81" s="1187"/>
      <c r="AA81" s="1187"/>
      <c r="AB81" s="1187"/>
      <c r="AC81" s="1187"/>
      <c r="AD81" s="1187"/>
      <c r="AE81" s="1187"/>
      <c r="AF81" s="1187"/>
      <c r="AG81" s="1187"/>
      <c r="AH81" s="1187"/>
      <c r="AI81" s="1187"/>
      <c r="AJ81" s="1187"/>
      <c r="AK81" s="1187"/>
      <c r="AL81" s="1187"/>
      <c r="AM81" s="1187"/>
      <c r="AN81" s="1187"/>
      <c r="AO81" s="1187"/>
      <c r="AP81" s="1187"/>
      <c r="AQ81" s="1187"/>
      <c r="AR81" s="1187"/>
      <c r="AS81" s="1187"/>
      <c r="AT81" s="1187"/>
      <c r="AU81" s="1187"/>
      <c r="AV81" s="1187"/>
      <c r="AW81" s="1187"/>
      <c r="AX81" s="1187"/>
      <c r="AY81" s="1187"/>
      <c r="AZ81" s="1187"/>
      <c r="BA81" s="1187"/>
      <c r="BB81" s="1188"/>
      <c r="BC81" s="1085"/>
    </row>
    <row r="82" spans="1:55" s="1439" customFormat="1" ht="18" customHeight="1">
      <c r="A82" s="1020"/>
      <c r="B82" s="1020"/>
      <c r="C82" s="1020"/>
      <c r="D82" s="3092" t="s">
        <v>1769</v>
      </c>
      <c r="E82" s="3093"/>
      <c r="F82" s="3093"/>
      <c r="G82" s="3093"/>
      <c r="H82" s="3093"/>
      <c r="I82" s="3093"/>
      <c r="J82" s="3093"/>
      <c r="K82" s="3093"/>
      <c r="L82" s="3093"/>
      <c r="M82" s="3093"/>
      <c r="N82" s="3093"/>
      <c r="O82" s="3093"/>
      <c r="P82" s="3093"/>
      <c r="Q82" s="3093"/>
      <c r="R82" s="3093"/>
      <c r="S82" s="3094"/>
      <c r="T82" s="1189"/>
      <c r="U82" s="1264">
        <f>U70+U78</f>
        <v>0</v>
      </c>
      <c r="V82" s="1265">
        <f>V70+V78</f>
        <v>0</v>
      </c>
      <c r="W82" s="1192"/>
      <c r="X82" s="1189"/>
      <c r="Y82" s="1232">
        <f t="shared" ref="Y82:BA82" si="49">IFERROR(Y70+Y78,"")</f>
        <v>0</v>
      </c>
      <c r="Z82" s="1233">
        <f t="shared" si="49"/>
        <v>0</v>
      </c>
      <c r="AA82" s="1234">
        <f t="shared" si="49"/>
        <v>0</v>
      </c>
      <c r="AB82" s="1234">
        <f t="shared" si="49"/>
        <v>0</v>
      </c>
      <c r="AC82" s="1235">
        <f t="shared" si="49"/>
        <v>0</v>
      </c>
      <c r="AD82" s="1236">
        <f t="shared" si="49"/>
        <v>0</v>
      </c>
      <c r="AE82" s="1234">
        <f t="shared" si="49"/>
        <v>0</v>
      </c>
      <c r="AF82" s="1234">
        <f t="shared" si="49"/>
        <v>0</v>
      </c>
      <c r="AG82" s="1234">
        <f t="shared" si="49"/>
        <v>0</v>
      </c>
      <c r="AH82" s="1234">
        <f t="shared" si="49"/>
        <v>0</v>
      </c>
      <c r="AI82" s="1234">
        <f t="shared" si="49"/>
        <v>0</v>
      </c>
      <c r="AJ82" s="1234">
        <f t="shared" si="49"/>
        <v>0</v>
      </c>
      <c r="AK82" s="1234">
        <f t="shared" si="49"/>
        <v>0</v>
      </c>
      <c r="AL82" s="1234">
        <f t="shared" si="49"/>
        <v>0</v>
      </c>
      <c r="AM82" s="1235">
        <f t="shared" si="49"/>
        <v>0</v>
      </c>
      <c r="AN82" s="1236">
        <f t="shared" si="49"/>
        <v>0</v>
      </c>
      <c r="AO82" s="1234">
        <f t="shared" si="49"/>
        <v>0</v>
      </c>
      <c r="AP82" s="1234">
        <f t="shared" si="49"/>
        <v>0</v>
      </c>
      <c r="AQ82" s="1234">
        <f t="shared" si="49"/>
        <v>0</v>
      </c>
      <c r="AR82" s="1234">
        <f t="shared" si="49"/>
        <v>0</v>
      </c>
      <c r="AS82" s="1234">
        <f t="shared" si="49"/>
        <v>0</v>
      </c>
      <c r="AT82" s="1234">
        <f t="shared" si="49"/>
        <v>0</v>
      </c>
      <c r="AU82" s="1234">
        <f t="shared" si="49"/>
        <v>0</v>
      </c>
      <c r="AV82" s="1234">
        <f t="shared" si="49"/>
        <v>0</v>
      </c>
      <c r="AW82" s="1234">
        <f t="shared" si="49"/>
        <v>0</v>
      </c>
      <c r="AX82" s="1234">
        <f t="shared" si="49"/>
        <v>0</v>
      </c>
      <c r="AY82" s="1234">
        <f t="shared" si="49"/>
        <v>0</v>
      </c>
      <c r="AZ82" s="1234">
        <f t="shared" si="49"/>
        <v>0</v>
      </c>
      <c r="BA82" s="1234">
        <f t="shared" si="49"/>
        <v>0</v>
      </c>
      <c r="BB82" s="1237">
        <f>IFERROR(BB70+BB78,"")</f>
        <v>0</v>
      </c>
      <c r="BC82" s="1085"/>
    </row>
    <row r="83" spans="1:55" s="1439" customFormat="1" ht="18" customHeight="1">
      <c r="A83" s="1020"/>
      <c r="B83" s="1020"/>
      <c r="C83" s="1020"/>
      <c r="D83" s="3076" t="s">
        <v>1770</v>
      </c>
      <c r="E83" s="3077"/>
      <c r="F83" s="3077"/>
      <c r="G83" s="3077"/>
      <c r="H83" s="3077"/>
      <c r="I83" s="3077"/>
      <c r="J83" s="3077"/>
      <c r="K83" s="3077"/>
      <c r="L83" s="3077"/>
      <c r="M83" s="3077"/>
      <c r="N83" s="3077"/>
      <c r="O83" s="3077"/>
      <c r="P83" s="3077"/>
      <c r="Q83" s="3077"/>
      <c r="R83" s="3077"/>
      <c r="S83" s="3078"/>
      <c r="T83" s="1157"/>
      <c r="U83" s="1266"/>
      <c r="V83" s="1267"/>
      <c r="W83" s="1159"/>
      <c r="X83" s="1157"/>
      <c r="Y83" s="1240">
        <f>IF($V$3&gt;=Y$90,Y82,"")</f>
        <v>0</v>
      </c>
      <c r="Z83" s="1241">
        <f t="shared" ref="Z83:BB83" si="50">IF($V$3&gt;=Z$90,Y83+Z82,"")</f>
        <v>0</v>
      </c>
      <c r="AA83" s="1242">
        <f t="shared" si="50"/>
        <v>0</v>
      </c>
      <c r="AB83" s="1242">
        <f t="shared" si="50"/>
        <v>0</v>
      </c>
      <c r="AC83" s="1243">
        <f t="shared" si="50"/>
        <v>0</v>
      </c>
      <c r="AD83" s="1244">
        <f t="shared" si="50"/>
        <v>0</v>
      </c>
      <c r="AE83" s="1242">
        <f t="shared" si="50"/>
        <v>0</v>
      </c>
      <c r="AF83" s="1242">
        <f t="shared" si="50"/>
        <v>0</v>
      </c>
      <c r="AG83" s="1242">
        <f t="shared" si="50"/>
        <v>0</v>
      </c>
      <c r="AH83" s="1242">
        <f t="shared" si="50"/>
        <v>0</v>
      </c>
      <c r="AI83" s="1242">
        <f t="shared" si="50"/>
        <v>0</v>
      </c>
      <c r="AJ83" s="1242">
        <f t="shared" si="50"/>
        <v>0</v>
      </c>
      <c r="AK83" s="1242">
        <f t="shared" si="50"/>
        <v>0</v>
      </c>
      <c r="AL83" s="1242">
        <f t="shared" si="50"/>
        <v>0</v>
      </c>
      <c r="AM83" s="1243">
        <f t="shared" si="50"/>
        <v>0</v>
      </c>
      <c r="AN83" s="1244">
        <f t="shared" si="50"/>
        <v>0</v>
      </c>
      <c r="AO83" s="1242">
        <f t="shared" si="50"/>
        <v>0</v>
      </c>
      <c r="AP83" s="1242">
        <f t="shared" si="50"/>
        <v>0</v>
      </c>
      <c r="AQ83" s="1242">
        <f t="shared" si="50"/>
        <v>0</v>
      </c>
      <c r="AR83" s="1242">
        <f t="shared" si="50"/>
        <v>0</v>
      </c>
      <c r="AS83" s="1242">
        <f t="shared" si="50"/>
        <v>0</v>
      </c>
      <c r="AT83" s="1242">
        <f t="shared" si="50"/>
        <v>0</v>
      </c>
      <c r="AU83" s="1242">
        <f t="shared" si="50"/>
        <v>0</v>
      </c>
      <c r="AV83" s="1242">
        <f t="shared" si="50"/>
        <v>0</v>
      </c>
      <c r="AW83" s="1242">
        <f t="shared" si="50"/>
        <v>0</v>
      </c>
      <c r="AX83" s="1242">
        <f t="shared" si="50"/>
        <v>0</v>
      </c>
      <c r="AY83" s="1242">
        <f t="shared" si="50"/>
        <v>0</v>
      </c>
      <c r="AZ83" s="1242">
        <f t="shared" si="50"/>
        <v>0</v>
      </c>
      <c r="BA83" s="1242">
        <f t="shared" si="50"/>
        <v>0</v>
      </c>
      <c r="BB83" s="1245">
        <f t="shared" si="50"/>
        <v>0</v>
      </c>
      <c r="BC83" s="1085"/>
    </row>
    <row r="84" spans="1:55" s="1439" customFormat="1" ht="18" customHeight="1">
      <c r="A84" s="1020"/>
      <c r="B84" s="1020"/>
      <c r="C84" s="1020"/>
      <c r="D84" s="3076" t="s">
        <v>1771</v>
      </c>
      <c r="E84" s="3077"/>
      <c r="F84" s="3077"/>
      <c r="G84" s="3077"/>
      <c r="H84" s="3077"/>
      <c r="I84" s="3077"/>
      <c r="J84" s="3077"/>
      <c r="K84" s="3077"/>
      <c r="L84" s="3077"/>
      <c r="M84" s="3077"/>
      <c r="N84" s="3077"/>
      <c r="O84" s="3077"/>
      <c r="P84" s="3077"/>
      <c r="Q84" s="3077"/>
      <c r="R84" s="3077"/>
      <c r="S84" s="3078"/>
      <c r="T84" s="1157"/>
      <c r="U84" s="1207"/>
      <c r="V84" s="1208"/>
      <c r="W84" s="1209"/>
      <c r="X84" s="1157"/>
      <c r="Y84" s="1160" t="str">
        <f>IFERROR(IF(Y59&lt;0,"inf %",Y82/Y59),"")</f>
        <v/>
      </c>
      <c r="Z84" s="1268" t="str">
        <f t="shared" ref="Z84:BB84" si="51">IFERROR(IF(Z59&lt;0,"inf %",Z82/Z59),"")</f>
        <v/>
      </c>
      <c r="AA84" s="1162" t="str">
        <f t="shared" si="51"/>
        <v/>
      </c>
      <c r="AB84" s="1162" t="str">
        <f t="shared" si="51"/>
        <v/>
      </c>
      <c r="AC84" s="1167" t="str">
        <f t="shared" si="51"/>
        <v/>
      </c>
      <c r="AD84" s="1164" t="str">
        <f t="shared" si="51"/>
        <v/>
      </c>
      <c r="AE84" s="1162" t="str">
        <f t="shared" si="51"/>
        <v/>
      </c>
      <c r="AF84" s="1162" t="str">
        <f t="shared" si="51"/>
        <v/>
      </c>
      <c r="AG84" s="1162" t="str">
        <f t="shared" si="51"/>
        <v/>
      </c>
      <c r="AH84" s="1162" t="str">
        <f t="shared" si="51"/>
        <v/>
      </c>
      <c r="AI84" s="1162" t="str">
        <f t="shared" si="51"/>
        <v/>
      </c>
      <c r="AJ84" s="1162" t="str">
        <f t="shared" si="51"/>
        <v/>
      </c>
      <c r="AK84" s="1162" t="str">
        <f t="shared" si="51"/>
        <v/>
      </c>
      <c r="AL84" s="1162" t="str">
        <f t="shared" si="51"/>
        <v/>
      </c>
      <c r="AM84" s="1167" t="str">
        <f t="shared" si="51"/>
        <v/>
      </c>
      <c r="AN84" s="1164" t="str">
        <f t="shared" si="51"/>
        <v/>
      </c>
      <c r="AO84" s="1162" t="str">
        <f t="shared" si="51"/>
        <v/>
      </c>
      <c r="AP84" s="1162" t="str">
        <f t="shared" si="51"/>
        <v/>
      </c>
      <c r="AQ84" s="1162" t="str">
        <f t="shared" si="51"/>
        <v/>
      </c>
      <c r="AR84" s="1162" t="str">
        <f t="shared" si="51"/>
        <v/>
      </c>
      <c r="AS84" s="1162" t="str">
        <f t="shared" si="51"/>
        <v/>
      </c>
      <c r="AT84" s="1162" t="str">
        <f t="shared" si="51"/>
        <v/>
      </c>
      <c r="AU84" s="1162" t="str">
        <f t="shared" si="51"/>
        <v/>
      </c>
      <c r="AV84" s="1162" t="str">
        <f t="shared" si="51"/>
        <v/>
      </c>
      <c r="AW84" s="1162" t="str">
        <f t="shared" si="51"/>
        <v/>
      </c>
      <c r="AX84" s="1162" t="str">
        <f t="shared" si="51"/>
        <v/>
      </c>
      <c r="AY84" s="1162" t="str">
        <f t="shared" si="51"/>
        <v/>
      </c>
      <c r="AZ84" s="1162" t="str">
        <f t="shared" si="51"/>
        <v/>
      </c>
      <c r="BA84" s="1162" t="str">
        <f t="shared" si="51"/>
        <v/>
      </c>
      <c r="BB84" s="1168" t="str">
        <f t="shared" si="51"/>
        <v/>
      </c>
      <c r="BC84" s="1085"/>
    </row>
    <row r="85" spans="1:55" s="1439" customFormat="1" ht="18" customHeight="1">
      <c r="A85" s="1020"/>
      <c r="B85" s="1020"/>
      <c r="C85" s="1020"/>
      <c r="D85" s="3076" t="s">
        <v>1772</v>
      </c>
      <c r="E85" s="3077"/>
      <c r="F85" s="3077"/>
      <c r="G85" s="3077"/>
      <c r="H85" s="3077"/>
      <c r="I85" s="3077"/>
      <c r="J85" s="3077"/>
      <c r="K85" s="3077"/>
      <c r="L85" s="3077"/>
      <c r="M85" s="3077"/>
      <c r="N85" s="3077"/>
      <c r="O85" s="3077"/>
      <c r="P85" s="3077"/>
      <c r="Q85" s="3077"/>
      <c r="R85" s="3077"/>
      <c r="S85" s="3078"/>
      <c r="T85" s="1157"/>
      <c r="U85" s="1207"/>
      <c r="V85" s="1208"/>
      <c r="W85" s="1209"/>
      <c r="X85" s="1157"/>
      <c r="Y85" s="1160" t="str">
        <f t="shared" ref="Y85:BB85" si="52">IFERROR(IF(Y59&lt;0,"inf %",Y83/Y59),"")</f>
        <v/>
      </c>
      <c r="Z85" s="1268" t="str">
        <f t="shared" si="52"/>
        <v/>
      </c>
      <c r="AA85" s="1162" t="str">
        <f t="shared" si="52"/>
        <v/>
      </c>
      <c r="AB85" s="1162" t="str">
        <f t="shared" si="52"/>
        <v/>
      </c>
      <c r="AC85" s="1167" t="str">
        <f t="shared" si="52"/>
        <v/>
      </c>
      <c r="AD85" s="1164" t="str">
        <f t="shared" si="52"/>
        <v/>
      </c>
      <c r="AE85" s="1162" t="str">
        <f t="shared" si="52"/>
        <v/>
      </c>
      <c r="AF85" s="1162" t="str">
        <f t="shared" si="52"/>
        <v/>
      </c>
      <c r="AG85" s="1162" t="str">
        <f t="shared" si="52"/>
        <v/>
      </c>
      <c r="AH85" s="1162" t="str">
        <f t="shared" si="52"/>
        <v/>
      </c>
      <c r="AI85" s="1162" t="str">
        <f t="shared" si="52"/>
        <v/>
      </c>
      <c r="AJ85" s="1162" t="str">
        <f t="shared" si="52"/>
        <v/>
      </c>
      <c r="AK85" s="1162" t="str">
        <f t="shared" si="52"/>
        <v/>
      </c>
      <c r="AL85" s="1162" t="str">
        <f t="shared" si="52"/>
        <v/>
      </c>
      <c r="AM85" s="1167" t="str">
        <f t="shared" si="52"/>
        <v/>
      </c>
      <c r="AN85" s="1164" t="str">
        <f t="shared" si="52"/>
        <v/>
      </c>
      <c r="AO85" s="1162" t="str">
        <f t="shared" si="52"/>
        <v/>
      </c>
      <c r="AP85" s="1162" t="str">
        <f t="shared" si="52"/>
        <v/>
      </c>
      <c r="AQ85" s="1162" t="str">
        <f t="shared" si="52"/>
        <v/>
      </c>
      <c r="AR85" s="1162" t="str">
        <f t="shared" si="52"/>
        <v/>
      </c>
      <c r="AS85" s="1162" t="str">
        <f t="shared" si="52"/>
        <v/>
      </c>
      <c r="AT85" s="1162" t="str">
        <f t="shared" si="52"/>
        <v/>
      </c>
      <c r="AU85" s="1162" t="str">
        <f t="shared" si="52"/>
        <v/>
      </c>
      <c r="AV85" s="1162" t="str">
        <f t="shared" si="52"/>
        <v/>
      </c>
      <c r="AW85" s="1162" t="str">
        <f t="shared" si="52"/>
        <v/>
      </c>
      <c r="AX85" s="1162" t="str">
        <f t="shared" si="52"/>
        <v/>
      </c>
      <c r="AY85" s="1162" t="str">
        <f t="shared" si="52"/>
        <v/>
      </c>
      <c r="AZ85" s="1162" t="str">
        <f t="shared" si="52"/>
        <v/>
      </c>
      <c r="BA85" s="1162" t="str">
        <f t="shared" si="52"/>
        <v/>
      </c>
      <c r="BB85" s="1168" t="str">
        <f t="shared" si="52"/>
        <v/>
      </c>
      <c r="BC85" s="1085"/>
    </row>
    <row r="86" spans="1:55" s="1439" customFormat="1" ht="18" hidden="1" customHeight="1">
      <c r="A86" s="1020"/>
      <c r="B86" s="1020"/>
      <c r="C86" s="1020"/>
      <c r="D86" s="3079" t="s">
        <v>1773</v>
      </c>
      <c r="E86" s="3080"/>
      <c r="F86" s="3080"/>
      <c r="G86" s="3080"/>
      <c r="H86" s="3080"/>
      <c r="I86" s="3080"/>
      <c r="J86" s="3080"/>
      <c r="K86" s="3080"/>
      <c r="L86" s="3080"/>
      <c r="M86" s="3080"/>
      <c r="N86" s="3080"/>
      <c r="O86" s="3080"/>
      <c r="P86" s="3080"/>
      <c r="Q86" s="3080"/>
      <c r="R86" s="3080"/>
      <c r="S86" s="3081"/>
      <c r="T86" s="1157"/>
      <c r="U86" s="1217"/>
      <c r="V86" s="1218"/>
      <c r="W86" s="1219"/>
      <c r="X86" s="1157"/>
      <c r="Y86" s="1269" t="s">
        <v>1774</v>
      </c>
      <c r="Z86" s="1270" t="s">
        <v>1774</v>
      </c>
      <c r="AA86" s="1271" t="s">
        <v>1774</v>
      </c>
      <c r="AB86" s="1271" t="s">
        <v>1774</v>
      </c>
      <c r="AC86" s="1272" t="s">
        <v>1774</v>
      </c>
      <c r="AD86" s="1273" t="s">
        <v>1774</v>
      </c>
      <c r="AE86" s="1271" t="s">
        <v>1774</v>
      </c>
      <c r="AF86" s="1271" t="s">
        <v>1774</v>
      </c>
      <c r="AG86" s="1271" t="s">
        <v>1774</v>
      </c>
      <c r="AH86" s="1271" t="s">
        <v>1774</v>
      </c>
      <c r="AI86" s="1271" t="s">
        <v>1774</v>
      </c>
      <c r="AJ86" s="1271" t="s">
        <v>1774</v>
      </c>
      <c r="AK86" s="1271" t="s">
        <v>1774</v>
      </c>
      <c r="AL86" s="1271" t="s">
        <v>1774</v>
      </c>
      <c r="AM86" s="1272" t="s">
        <v>1774</v>
      </c>
      <c r="AN86" s="1273" t="s">
        <v>1774</v>
      </c>
      <c r="AO86" s="1271" t="s">
        <v>1774</v>
      </c>
      <c r="AP86" s="1271" t="s">
        <v>1774</v>
      </c>
      <c r="AQ86" s="1271" t="s">
        <v>1774</v>
      </c>
      <c r="AR86" s="1271" t="s">
        <v>1774</v>
      </c>
      <c r="AS86" s="1271" t="s">
        <v>1774</v>
      </c>
      <c r="AT86" s="1271" t="s">
        <v>1774</v>
      </c>
      <c r="AU86" s="1271" t="s">
        <v>1774</v>
      </c>
      <c r="AV86" s="1271" t="s">
        <v>1774</v>
      </c>
      <c r="AW86" s="1271" t="s">
        <v>1774</v>
      </c>
      <c r="AX86" s="1271" t="s">
        <v>1774</v>
      </c>
      <c r="AY86" s="1271" t="s">
        <v>1774</v>
      </c>
      <c r="AZ86" s="1271" t="s">
        <v>1774</v>
      </c>
      <c r="BA86" s="1271" t="s">
        <v>1774</v>
      </c>
      <c r="BB86" s="1274" t="s">
        <v>1774</v>
      </c>
      <c r="BC86" s="1085"/>
    </row>
    <row r="87" spans="1:55" s="1439" customFormat="1" ht="11.25" customHeight="1">
      <c r="A87" s="1020"/>
      <c r="B87" s="1020"/>
      <c r="C87" s="1020"/>
      <c r="D87" s="1151"/>
      <c r="E87" s="1151"/>
      <c r="F87" s="1151"/>
      <c r="G87" s="1151"/>
      <c r="H87" s="1151"/>
      <c r="I87" s="1151"/>
      <c r="J87" s="1151"/>
      <c r="K87" s="1151"/>
      <c r="L87" s="1151"/>
      <c r="M87" s="1151"/>
      <c r="N87" s="1151"/>
      <c r="O87" s="1151"/>
      <c r="P87" s="1151"/>
      <c r="Q87" s="1151"/>
      <c r="R87" s="1275"/>
      <c r="S87" s="1275"/>
      <c r="T87" s="1275"/>
      <c r="U87" s="1275"/>
      <c r="V87" s="1275"/>
      <c r="W87" s="1275"/>
      <c r="X87" s="1275"/>
      <c r="Y87" s="1275"/>
      <c r="Z87" s="1275"/>
      <c r="AA87" s="1275"/>
      <c r="AB87" s="1275"/>
      <c r="AC87" s="1275"/>
      <c r="AD87" s="1275"/>
      <c r="AE87" s="1275"/>
      <c r="AF87" s="1275"/>
      <c r="AG87" s="1275"/>
      <c r="AH87" s="1275"/>
      <c r="AI87" s="1275"/>
      <c r="AJ87" s="1275"/>
      <c r="AK87" s="1275"/>
      <c r="AL87" s="1275"/>
      <c r="AM87" s="1275"/>
      <c r="AN87" s="1275"/>
      <c r="AO87" s="1275"/>
      <c r="AP87" s="1275"/>
      <c r="AQ87" s="1275"/>
      <c r="AR87" s="1275"/>
      <c r="AS87" s="1275"/>
      <c r="AT87" s="1275"/>
      <c r="AU87" s="1275"/>
      <c r="AV87" s="1275"/>
      <c r="AW87" s="1275"/>
      <c r="AX87" s="1275"/>
      <c r="AY87" s="1275"/>
      <c r="AZ87" s="1275"/>
      <c r="BA87" s="1275"/>
      <c r="BB87" s="1275"/>
      <c r="BC87" s="1085"/>
    </row>
    <row r="88" spans="1:55" s="1439" customFormat="1" ht="11.25" customHeight="1">
      <c r="A88" s="1020"/>
      <c r="B88" s="1020"/>
      <c r="C88" s="1020"/>
      <c r="D88" s="1151"/>
      <c r="E88" s="1151"/>
      <c r="F88" s="1151"/>
      <c r="G88" s="1151"/>
      <c r="H88" s="1151"/>
      <c r="I88" s="1151"/>
      <c r="J88" s="1151"/>
      <c r="K88" s="1151"/>
      <c r="L88" s="1151"/>
      <c r="M88" s="1151"/>
      <c r="N88" s="1151"/>
      <c r="O88" s="1151"/>
      <c r="P88" s="1151"/>
      <c r="Q88" s="1151"/>
      <c r="R88" s="1275"/>
      <c r="S88" s="1275"/>
      <c r="T88" s="1275"/>
      <c r="U88" s="1275"/>
      <c r="V88" s="1275"/>
      <c r="W88" s="1275"/>
      <c r="X88" s="1275"/>
      <c r="Y88" s="1275"/>
      <c r="Z88" s="1275"/>
      <c r="AA88" s="1275"/>
      <c r="AB88" s="1275"/>
      <c r="AC88" s="1275"/>
      <c r="AD88" s="1275"/>
      <c r="AE88" s="1275"/>
      <c r="AF88" s="1275"/>
      <c r="AG88" s="1275"/>
      <c r="AH88" s="1275"/>
      <c r="AI88" s="1275"/>
      <c r="AJ88" s="1138"/>
      <c r="AK88" s="1138"/>
      <c r="AL88" s="1138"/>
      <c r="AM88" s="1138"/>
      <c r="AN88" s="1138"/>
      <c r="AO88" s="1138"/>
      <c r="AP88" s="1138"/>
      <c r="AQ88" s="1138"/>
      <c r="AR88" s="1138"/>
      <c r="AS88" s="1138"/>
      <c r="AT88" s="1138"/>
      <c r="AU88" s="1138"/>
      <c r="AV88" s="1138"/>
      <c r="AW88" s="1138"/>
      <c r="AX88" s="1138"/>
      <c r="AY88" s="1138"/>
      <c r="AZ88" s="1138"/>
      <c r="BA88" s="1138"/>
      <c r="BB88" s="1138"/>
      <c r="BC88" s="1085"/>
    </row>
    <row r="89" spans="1:55" s="1439" customFormat="1" ht="37.5" customHeight="1">
      <c r="A89" s="1442"/>
      <c r="B89" s="1442"/>
      <c r="C89" s="3082" t="s">
        <v>1619</v>
      </c>
      <c r="D89" s="3083"/>
      <c r="E89" s="3083"/>
      <c r="F89" s="3083"/>
      <c r="G89" s="3083"/>
      <c r="H89" s="3083"/>
      <c r="I89" s="3083"/>
      <c r="J89" s="3083"/>
      <c r="K89" s="3083"/>
      <c r="L89" s="3083"/>
      <c r="M89" s="3083"/>
      <c r="N89" s="3083"/>
      <c r="O89" s="3083"/>
      <c r="P89" s="3083"/>
      <c r="Q89" s="3083"/>
      <c r="R89" s="3083"/>
      <c r="S89" s="3083"/>
      <c r="T89" s="3083"/>
      <c r="U89" s="3083"/>
      <c r="V89" s="3083"/>
      <c r="W89" s="3083"/>
      <c r="X89" s="3083"/>
      <c r="Y89" s="3083"/>
      <c r="Z89" s="3083"/>
      <c r="AA89" s="3083"/>
      <c r="AB89" s="3083"/>
      <c r="AC89" s="3083"/>
      <c r="AD89" s="3083"/>
      <c r="AE89" s="3083"/>
      <c r="AF89" s="3083"/>
      <c r="AG89" s="3083"/>
      <c r="AH89" s="3083"/>
      <c r="AI89" s="3083"/>
      <c r="AJ89" s="1276"/>
      <c r="AK89" s="1276"/>
      <c r="AL89" s="1276"/>
      <c r="AM89" s="1276"/>
      <c r="AN89" s="1276"/>
      <c r="AO89" s="1276"/>
      <c r="AP89" s="1276"/>
      <c r="AQ89" s="1276"/>
      <c r="AR89" s="1276"/>
      <c r="AS89" s="1276"/>
      <c r="AT89" s="1276"/>
      <c r="AU89" s="1276"/>
      <c r="AV89" s="1276"/>
      <c r="AW89" s="1276"/>
      <c r="AX89" s="1276"/>
      <c r="AY89" s="1276"/>
      <c r="AZ89" s="1276"/>
      <c r="BA89" s="1276"/>
      <c r="BB89" s="1276"/>
      <c r="BC89" s="1277"/>
    </row>
    <row r="90" spans="1:55" s="1439" customFormat="1" ht="15.75" hidden="1" customHeight="1">
      <c r="A90" s="1020"/>
      <c r="B90" s="1020"/>
      <c r="C90" s="1020"/>
      <c r="D90" s="1109"/>
      <c r="E90" s="1109"/>
      <c r="F90" s="1085"/>
      <c r="G90" s="1085"/>
      <c r="H90" s="1181"/>
      <c r="I90" s="1181"/>
      <c r="J90" s="1181"/>
      <c r="K90" s="1181"/>
      <c r="L90" s="1109"/>
      <c r="M90" s="1109"/>
      <c r="N90" s="1085"/>
      <c r="O90" s="1085"/>
      <c r="P90" s="1085"/>
      <c r="Q90" s="1085"/>
      <c r="R90" s="1085"/>
      <c r="S90" s="1085"/>
      <c r="T90" s="1085"/>
      <c r="U90" s="1182" t="s">
        <v>1775</v>
      </c>
      <c r="V90" s="1085"/>
      <c r="W90" s="1278"/>
      <c r="X90" s="1182">
        <v>0</v>
      </c>
      <c r="Y90" s="1182">
        <v>1</v>
      </c>
      <c r="Z90" s="1182">
        <v>2</v>
      </c>
      <c r="AA90" s="1182">
        <v>3</v>
      </c>
      <c r="AB90" s="1182">
        <v>4</v>
      </c>
      <c r="AC90" s="1182">
        <v>5</v>
      </c>
      <c r="AD90" s="1182">
        <v>6</v>
      </c>
      <c r="AE90" s="1182">
        <v>7</v>
      </c>
      <c r="AF90" s="1182">
        <v>8</v>
      </c>
      <c r="AG90" s="1182">
        <v>9</v>
      </c>
      <c r="AH90" s="1182">
        <v>10</v>
      </c>
      <c r="AI90" s="1182">
        <v>11</v>
      </c>
      <c r="AJ90" s="1182">
        <v>12</v>
      </c>
      <c r="AK90" s="1182">
        <v>13</v>
      </c>
      <c r="AL90" s="1182">
        <v>14</v>
      </c>
      <c r="AM90" s="1182">
        <v>15</v>
      </c>
      <c r="AN90" s="1182">
        <v>16</v>
      </c>
      <c r="AO90" s="1182">
        <v>17</v>
      </c>
      <c r="AP90" s="1182">
        <v>18</v>
      </c>
      <c r="AQ90" s="1182">
        <v>19</v>
      </c>
      <c r="AR90" s="1182">
        <v>20</v>
      </c>
      <c r="AS90" s="1182">
        <v>21</v>
      </c>
      <c r="AT90" s="1182">
        <v>22</v>
      </c>
      <c r="AU90" s="1182">
        <v>23</v>
      </c>
      <c r="AV90" s="1182">
        <v>24</v>
      </c>
      <c r="AW90" s="1182">
        <v>25</v>
      </c>
      <c r="AX90" s="1182">
        <v>26</v>
      </c>
      <c r="AY90" s="1182">
        <v>27</v>
      </c>
      <c r="AZ90" s="1182">
        <v>28</v>
      </c>
      <c r="BA90" s="1182">
        <v>29</v>
      </c>
      <c r="BB90" s="1182">
        <v>30</v>
      </c>
      <c r="BC90" s="1085"/>
    </row>
    <row r="91" spans="1:55" s="1439" customFormat="1" ht="15.7" hidden="1">
      <c r="A91" s="1020"/>
      <c r="B91" s="1020"/>
      <c r="C91" s="1020"/>
      <c r="D91" s="1182" t="s">
        <v>900</v>
      </c>
      <c r="E91" s="1085"/>
      <c r="F91" s="1085"/>
      <c r="G91" s="1085"/>
      <c r="H91" s="1182"/>
      <c r="I91" s="1182"/>
      <c r="J91" s="1182"/>
      <c r="K91" s="1182" t="s">
        <v>1736</v>
      </c>
      <c r="L91" s="1085"/>
      <c r="M91" s="1020"/>
      <c r="N91" s="1020"/>
      <c r="O91" s="1020"/>
      <c r="P91" s="1020"/>
      <c r="Q91" s="1020"/>
      <c r="R91" s="1020"/>
      <c r="S91" s="1020"/>
      <c r="T91" s="1085"/>
      <c r="U91" s="1182" t="s">
        <v>1776</v>
      </c>
      <c r="V91" s="1085"/>
      <c r="W91" s="1278"/>
      <c r="X91" s="1182"/>
      <c r="Y91" s="1182">
        <v>1</v>
      </c>
      <c r="Z91" s="1182">
        <f t="shared" ref="Z91:BB91" si="53">Y91+12</f>
        <v>13</v>
      </c>
      <c r="AA91" s="1182">
        <f t="shared" si="53"/>
        <v>25</v>
      </c>
      <c r="AB91" s="1182">
        <f t="shared" si="53"/>
        <v>37</v>
      </c>
      <c r="AC91" s="1182">
        <f t="shared" si="53"/>
        <v>49</v>
      </c>
      <c r="AD91" s="1182">
        <f t="shared" si="53"/>
        <v>61</v>
      </c>
      <c r="AE91" s="1182">
        <f t="shared" si="53"/>
        <v>73</v>
      </c>
      <c r="AF91" s="1182">
        <f t="shared" si="53"/>
        <v>85</v>
      </c>
      <c r="AG91" s="1182">
        <f t="shared" si="53"/>
        <v>97</v>
      </c>
      <c r="AH91" s="1182">
        <f t="shared" si="53"/>
        <v>109</v>
      </c>
      <c r="AI91" s="1182">
        <f t="shared" si="53"/>
        <v>121</v>
      </c>
      <c r="AJ91" s="1182">
        <f t="shared" si="53"/>
        <v>133</v>
      </c>
      <c r="AK91" s="1182">
        <f t="shared" si="53"/>
        <v>145</v>
      </c>
      <c r="AL91" s="1182">
        <f t="shared" si="53"/>
        <v>157</v>
      </c>
      <c r="AM91" s="1182">
        <f t="shared" si="53"/>
        <v>169</v>
      </c>
      <c r="AN91" s="1182">
        <f t="shared" si="53"/>
        <v>181</v>
      </c>
      <c r="AO91" s="1182">
        <f t="shared" si="53"/>
        <v>193</v>
      </c>
      <c r="AP91" s="1182">
        <f t="shared" si="53"/>
        <v>205</v>
      </c>
      <c r="AQ91" s="1182">
        <f t="shared" si="53"/>
        <v>217</v>
      </c>
      <c r="AR91" s="1182">
        <f t="shared" si="53"/>
        <v>229</v>
      </c>
      <c r="AS91" s="1182">
        <f t="shared" si="53"/>
        <v>241</v>
      </c>
      <c r="AT91" s="1182">
        <f t="shared" si="53"/>
        <v>253</v>
      </c>
      <c r="AU91" s="1182">
        <f t="shared" si="53"/>
        <v>265</v>
      </c>
      <c r="AV91" s="1182">
        <f t="shared" si="53"/>
        <v>277</v>
      </c>
      <c r="AW91" s="1182">
        <f t="shared" si="53"/>
        <v>289</v>
      </c>
      <c r="AX91" s="1182">
        <f t="shared" si="53"/>
        <v>301</v>
      </c>
      <c r="AY91" s="1182">
        <f t="shared" si="53"/>
        <v>313</v>
      </c>
      <c r="AZ91" s="1182">
        <f t="shared" si="53"/>
        <v>325</v>
      </c>
      <c r="BA91" s="1182">
        <f t="shared" si="53"/>
        <v>337</v>
      </c>
      <c r="BB91" s="1182">
        <f t="shared" si="53"/>
        <v>349</v>
      </c>
      <c r="BC91" s="1085"/>
    </row>
    <row r="92" spans="1:55" s="1439" customFormat="1" ht="15.7" hidden="1">
      <c r="A92" s="1020"/>
      <c r="B92" s="1020"/>
      <c r="C92" s="1020"/>
      <c r="D92" s="1182" t="s">
        <v>901</v>
      </c>
      <c r="E92" s="1085"/>
      <c r="F92" s="1085"/>
      <c r="G92" s="1085"/>
      <c r="H92" s="1182"/>
      <c r="I92" s="1182"/>
      <c r="J92" s="1182"/>
      <c r="K92" s="1182" t="s">
        <v>935</v>
      </c>
      <c r="L92" s="1085"/>
      <c r="M92" s="1020"/>
      <c r="N92" s="1020"/>
      <c r="O92" s="1020"/>
      <c r="P92" s="1020"/>
      <c r="Q92" s="1020"/>
      <c r="R92" s="1020"/>
      <c r="S92" s="1020"/>
      <c r="T92" s="1085"/>
      <c r="U92" s="1182" t="s">
        <v>1776</v>
      </c>
      <c r="V92" s="1085"/>
      <c r="W92" s="1278"/>
      <c r="X92" s="1085"/>
      <c r="Y92" s="1182">
        <f t="shared" ref="Y92:BB92" si="54">Y91+11</f>
        <v>12</v>
      </c>
      <c r="Z92" s="1182">
        <f t="shared" si="54"/>
        <v>24</v>
      </c>
      <c r="AA92" s="1182">
        <f t="shared" si="54"/>
        <v>36</v>
      </c>
      <c r="AB92" s="1182">
        <f t="shared" si="54"/>
        <v>48</v>
      </c>
      <c r="AC92" s="1182">
        <f t="shared" si="54"/>
        <v>60</v>
      </c>
      <c r="AD92" s="1182">
        <f t="shared" si="54"/>
        <v>72</v>
      </c>
      <c r="AE92" s="1182">
        <f t="shared" si="54"/>
        <v>84</v>
      </c>
      <c r="AF92" s="1182">
        <f t="shared" si="54"/>
        <v>96</v>
      </c>
      <c r="AG92" s="1182">
        <f t="shared" si="54"/>
        <v>108</v>
      </c>
      <c r="AH92" s="1182">
        <f t="shared" si="54"/>
        <v>120</v>
      </c>
      <c r="AI92" s="1182">
        <f t="shared" si="54"/>
        <v>132</v>
      </c>
      <c r="AJ92" s="1182">
        <f t="shared" si="54"/>
        <v>144</v>
      </c>
      <c r="AK92" s="1182">
        <f t="shared" si="54"/>
        <v>156</v>
      </c>
      <c r="AL92" s="1182">
        <f t="shared" si="54"/>
        <v>168</v>
      </c>
      <c r="AM92" s="1182">
        <f t="shared" si="54"/>
        <v>180</v>
      </c>
      <c r="AN92" s="1182">
        <f t="shared" si="54"/>
        <v>192</v>
      </c>
      <c r="AO92" s="1182">
        <f t="shared" si="54"/>
        <v>204</v>
      </c>
      <c r="AP92" s="1182">
        <f t="shared" si="54"/>
        <v>216</v>
      </c>
      <c r="AQ92" s="1182">
        <f t="shared" si="54"/>
        <v>228</v>
      </c>
      <c r="AR92" s="1182">
        <f t="shared" si="54"/>
        <v>240</v>
      </c>
      <c r="AS92" s="1182">
        <f t="shared" si="54"/>
        <v>252</v>
      </c>
      <c r="AT92" s="1182">
        <f t="shared" si="54"/>
        <v>264</v>
      </c>
      <c r="AU92" s="1182">
        <f t="shared" si="54"/>
        <v>276</v>
      </c>
      <c r="AV92" s="1182">
        <f t="shared" si="54"/>
        <v>288</v>
      </c>
      <c r="AW92" s="1182">
        <f t="shared" si="54"/>
        <v>300</v>
      </c>
      <c r="AX92" s="1182">
        <f t="shared" si="54"/>
        <v>312</v>
      </c>
      <c r="AY92" s="1182">
        <f t="shared" si="54"/>
        <v>324</v>
      </c>
      <c r="AZ92" s="1182">
        <f t="shared" si="54"/>
        <v>336</v>
      </c>
      <c r="BA92" s="1182">
        <f t="shared" si="54"/>
        <v>348</v>
      </c>
      <c r="BB92" s="1182">
        <f t="shared" si="54"/>
        <v>360</v>
      </c>
      <c r="BC92" s="1085"/>
    </row>
    <row r="93" spans="1:55" s="1439" customFormat="1" ht="15.7" hidden="1">
      <c r="A93" s="1020"/>
      <c r="B93" s="1020"/>
      <c r="C93" s="1020"/>
      <c r="D93" s="1085"/>
      <c r="E93" s="1085"/>
      <c r="F93" s="1085"/>
      <c r="G93" s="1085"/>
      <c r="H93" s="1085"/>
      <c r="I93" s="1085"/>
      <c r="J93" s="1085"/>
      <c r="K93" s="1085"/>
      <c r="L93" s="1085"/>
      <c r="M93" s="1020"/>
      <c r="N93" s="1020"/>
      <c r="O93" s="1020"/>
      <c r="P93" s="1020"/>
      <c r="Q93" s="1020"/>
      <c r="R93" s="1020"/>
      <c r="S93" s="1020"/>
      <c r="T93" s="1085"/>
      <c r="U93" s="1085"/>
      <c r="V93" s="1085"/>
      <c r="W93" s="1279"/>
      <c r="X93" s="1085"/>
      <c r="Y93" s="1085"/>
      <c r="Z93" s="1085"/>
      <c r="AA93" s="1085"/>
      <c r="AB93" s="1085"/>
      <c r="AC93" s="1085"/>
      <c r="AD93" s="1085"/>
      <c r="AE93" s="1085"/>
      <c r="AF93" s="1085"/>
      <c r="AG93" s="1085"/>
      <c r="AH93" s="1085"/>
      <c r="AI93" s="1085"/>
      <c r="AJ93" s="1085"/>
      <c r="AK93" s="1085"/>
      <c r="AL93" s="1085"/>
      <c r="AM93" s="1085"/>
      <c r="AN93" s="1085"/>
      <c r="AO93" s="1085"/>
      <c r="AP93" s="1085"/>
      <c r="AQ93" s="1085"/>
      <c r="AR93" s="1085"/>
      <c r="AS93" s="1085"/>
      <c r="AT93" s="1085"/>
      <c r="AU93" s="1085"/>
      <c r="AV93" s="1085"/>
      <c r="AW93" s="1085"/>
      <c r="AX93" s="1085"/>
      <c r="AY93" s="1085"/>
      <c r="AZ93" s="1085"/>
      <c r="BA93" s="1085"/>
      <c r="BB93" s="1085"/>
      <c r="BC93" s="1085"/>
    </row>
    <row r="94" spans="1:55" s="1439" customFormat="1" ht="15.7" hidden="1">
      <c r="A94" s="1020"/>
      <c r="B94" s="1020"/>
      <c r="C94" s="1020"/>
      <c r="D94" s="1020"/>
      <c r="E94" s="1020"/>
      <c r="F94" s="1020"/>
      <c r="G94" s="1020"/>
      <c r="H94" s="1020"/>
      <c r="I94" s="1020"/>
      <c r="J94" s="1020"/>
      <c r="K94" s="1020"/>
      <c r="L94" s="1020"/>
      <c r="M94" s="1020"/>
      <c r="N94" s="1020"/>
      <c r="O94" s="1020"/>
      <c r="P94" s="1020"/>
      <c r="Q94" s="1020"/>
      <c r="R94" s="1020"/>
      <c r="S94" s="1020"/>
      <c r="T94" s="1020"/>
      <c r="U94" s="1280"/>
      <c r="V94" s="1278"/>
      <c r="W94" s="1279"/>
      <c r="X94" s="1085"/>
      <c r="Y94" s="1278"/>
      <c r="Z94" s="1278"/>
      <c r="AA94" s="1278"/>
      <c r="AB94" s="1278"/>
      <c r="AC94" s="1278"/>
      <c r="AD94" s="1278"/>
      <c r="AE94" s="1278"/>
      <c r="AF94" s="1278"/>
      <c r="AG94" s="1278"/>
      <c r="AH94" s="1278"/>
      <c r="AI94" s="1278"/>
      <c r="AJ94" s="1278"/>
      <c r="AK94" s="1278"/>
      <c r="AL94" s="1278"/>
      <c r="AM94" s="1278"/>
      <c r="AN94" s="1278"/>
      <c r="AO94" s="1278"/>
      <c r="AP94" s="1278"/>
      <c r="AQ94" s="1278"/>
      <c r="AR94" s="1278"/>
      <c r="AS94" s="1278"/>
      <c r="AT94" s="1278"/>
      <c r="AU94" s="1278"/>
      <c r="AV94" s="1278"/>
      <c r="AW94" s="1278"/>
      <c r="AX94" s="1278"/>
      <c r="AY94" s="1278"/>
      <c r="AZ94" s="1278"/>
      <c r="BA94" s="1278"/>
      <c r="BB94" s="1278"/>
      <c r="BC94" s="1020"/>
    </row>
    <row r="95" spans="1:55" s="1439" customFormat="1" ht="15.7" hidden="1">
      <c r="A95" s="1020"/>
      <c r="B95" s="1020"/>
      <c r="C95" s="1020"/>
      <c r="D95" s="1020"/>
      <c r="E95" s="1020"/>
      <c r="F95" s="1020"/>
      <c r="G95" s="1020"/>
      <c r="H95" s="1020"/>
      <c r="I95" s="1020"/>
      <c r="J95" s="1020"/>
      <c r="K95" s="1020"/>
      <c r="L95" s="1020"/>
      <c r="M95" s="1020"/>
      <c r="N95" s="1020"/>
      <c r="O95" s="1020"/>
      <c r="P95" s="1020"/>
      <c r="Q95" s="1020"/>
      <c r="R95" s="1020"/>
      <c r="S95" s="1020"/>
      <c r="T95" s="1020"/>
      <c r="U95" s="1278" t="s">
        <v>1703</v>
      </c>
      <c r="V95" s="1085"/>
      <c r="W95" s="1278"/>
      <c r="X95" s="1278" t="e">
        <f>After_Repair_Value</f>
        <v>#NAME?</v>
      </c>
      <c r="Y95" s="1279">
        <f t="shared" ref="Y95:BC95" si="55">Y63</f>
        <v>0</v>
      </c>
      <c r="Z95" s="1279">
        <f t="shared" si="55"/>
        <v>0</v>
      </c>
      <c r="AA95" s="1279">
        <f t="shared" si="55"/>
        <v>0</v>
      </c>
      <c r="AB95" s="1279">
        <f t="shared" si="55"/>
        <v>0</v>
      </c>
      <c r="AC95" s="1279">
        <f t="shared" si="55"/>
        <v>0</v>
      </c>
      <c r="AD95" s="1279">
        <f t="shared" si="55"/>
        <v>0</v>
      </c>
      <c r="AE95" s="1279">
        <f t="shared" si="55"/>
        <v>0</v>
      </c>
      <c r="AF95" s="1279">
        <f t="shared" si="55"/>
        <v>0</v>
      </c>
      <c r="AG95" s="1279">
        <f t="shared" si="55"/>
        <v>0</v>
      </c>
      <c r="AH95" s="1279">
        <f t="shared" si="55"/>
        <v>0</v>
      </c>
      <c r="AI95" s="1279">
        <f t="shared" si="55"/>
        <v>0</v>
      </c>
      <c r="AJ95" s="1279">
        <f t="shared" si="55"/>
        <v>0</v>
      </c>
      <c r="AK95" s="1279">
        <f t="shared" si="55"/>
        <v>0</v>
      </c>
      <c r="AL95" s="1279">
        <f t="shared" si="55"/>
        <v>0</v>
      </c>
      <c r="AM95" s="1279">
        <f t="shared" si="55"/>
        <v>0</v>
      </c>
      <c r="AN95" s="1279">
        <f t="shared" si="55"/>
        <v>0</v>
      </c>
      <c r="AO95" s="1279">
        <f t="shared" si="55"/>
        <v>0</v>
      </c>
      <c r="AP95" s="1279">
        <f t="shared" si="55"/>
        <v>0</v>
      </c>
      <c r="AQ95" s="1279">
        <f t="shared" si="55"/>
        <v>0</v>
      </c>
      <c r="AR95" s="1279">
        <f t="shared" si="55"/>
        <v>0</v>
      </c>
      <c r="AS95" s="1279">
        <f t="shared" si="55"/>
        <v>0</v>
      </c>
      <c r="AT95" s="1279">
        <f t="shared" si="55"/>
        <v>0</v>
      </c>
      <c r="AU95" s="1279">
        <f t="shared" si="55"/>
        <v>0</v>
      </c>
      <c r="AV95" s="1279">
        <f t="shared" si="55"/>
        <v>0</v>
      </c>
      <c r="AW95" s="1279">
        <f t="shared" si="55"/>
        <v>0</v>
      </c>
      <c r="AX95" s="1279">
        <f t="shared" si="55"/>
        <v>0</v>
      </c>
      <c r="AY95" s="1279">
        <f t="shared" si="55"/>
        <v>0</v>
      </c>
      <c r="AZ95" s="1279">
        <f t="shared" si="55"/>
        <v>0</v>
      </c>
      <c r="BA95" s="1279">
        <f t="shared" si="55"/>
        <v>0</v>
      </c>
      <c r="BB95" s="1279">
        <f t="shared" si="55"/>
        <v>0</v>
      </c>
      <c r="BC95" s="1278">
        <f t="shared" si="55"/>
        <v>0</v>
      </c>
    </row>
    <row r="96" spans="1:55" s="1439" customFormat="1" ht="15.7" hidden="1">
      <c r="A96" s="1020"/>
      <c r="B96" s="1020"/>
      <c r="C96" s="1020"/>
      <c r="D96" s="1020"/>
      <c r="E96" s="1020"/>
      <c r="F96" s="1020"/>
      <c r="G96" s="1020"/>
      <c r="H96" s="1020"/>
      <c r="I96" s="1020"/>
      <c r="J96" s="1020"/>
      <c r="K96" s="1020"/>
      <c r="L96" s="1020"/>
      <c r="M96" s="1020"/>
      <c r="N96" s="1020"/>
      <c r="O96" s="1020"/>
      <c r="P96" s="1020"/>
      <c r="Q96" s="1020"/>
      <c r="R96" s="1020"/>
      <c r="S96" s="1020"/>
      <c r="T96" s="1020"/>
      <c r="U96" s="1278" t="s">
        <v>1777</v>
      </c>
      <c r="V96" s="1085"/>
      <c r="W96" s="1278"/>
      <c r="X96" s="1281" t="e">
        <f>-IF('RENTAL PURCHASE SETUP'!$R$27="Lump Sum",'RENTAL PURCHASE SETUP'!$AA$27,'RENTAL PURCHASE SETUP'!$W$27*X95)</f>
        <v>#NAME?</v>
      </c>
      <c r="Y96" s="1281">
        <f>-IF('RENTAL PURCHASE SETUP'!$R$27="Lump Sum",'RENTAL PURCHASE SETUP'!$AA$27,'RENTAL PURCHASE SETUP'!$W$27*Y95)</f>
        <v>0</v>
      </c>
      <c r="Z96" s="1281">
        <f>-IF('RENTAL PURCHASE SETUP'!$R$27="Lump Sum",'RENTAL PURCHASE SETUP'!$AA$27,'RENTAL PURCHASE SETUP'!$W$27*Z95)</f>
        <v>0</v>
      </c>
      <c r="AA96" s="1281">
        <f>-IF('RENTAL PURCHASE SETUP'!$R$27="Lump Sum",'RENTAL PURCHASE SETUP'!$AA$27,'RENTAL PURCHASE SETUP'!$W$27*AA95)</f>
        <v>0</v>
      </c>
      <c r="AB96" s="1281">
        <f>-IF('RENTAL PURCHASE SETUP'!$R$27="Lump Sum",'RENTAL PURCHASE SETUP'!$AA$27,'RENTAL PURCHASE SETUP'!$W$27*AB95)</f>
        <v>0</v>
      </c>
      <c r="AC96" s="1281">
        <f>-IF('RENTAL PURCHASE SETUP'!$R$27="Lump Sum",'RENTAL PURCHASE SETUP'!$AA$27,'RENTAL PURCHASE SETUP'!$W$27*AC95)</f>
        <v>0</v>
      </c>
      <c r="AD96" s="1281">
        <f>-IF('RENTAL PURCHASE SETUP'!$R$27="Lump Sum",'RENTAL PURCHASE SETUP'!$AA$27,'RENTAL PURCHASE SETUP'!$W$27*AD95)</f>
        <v>0</v>
      </c>
      <c r="AE96" s="1281">
        <f>-IF('RENTAL PURCHASE SETUP'!$R$27="Lump Sum",'RENTAL PURCHASE SETUP'!$AA$27,'RENTAL PURCHASE SETUP'!$W$27*AE95)</f>
        <v>0</v>
      </c>
      <c r="AF96" s="1281">
        <f>-IF('RENTAL PURCHASE SETUP'!$R$27="Lump Sum",'RENTAL PURCHASE SETUP'!$AA$27,'RENTAL PURCHASE SETUP'!$W$27*AF95)</f>
        <v>0</v>
      </c>
      <c r="AG96" s="1281">
        <f>-IF('RENTAL PURCHASE SETUP'!$R$27="Lump Sum",'RENTAL PURCHASE SETUP'!$AA$27,'RENTAL PURCHASE SETUP'!$W$27*AG95)</f>
        <v>0</v>
      </c>
      <c r="AH96" s="1281">
        <f>-IF('RENTAL PURCHASE SETUP'!$R$27="Lump Sum",'RENTAL PURCHASE SETUP'!$AA$27,'RENTAL PURCHASE SETUP'!$W$27*AH95)</f>
        <v>0</v>
      </c>
      <c r="AI96" s="1281">
        <f>-IF('RENTAL PURCHASE SETUP'!$R$27="Lump Sum",'RENTAL PURCHASE SETUP'!$AA$27,'RENTAL PURCHASE SETUP'!$W$27*AI95)</f>
        <v>0</v>
      </c>
      <c r="AJ96" s="1281">
        <f>-IF('RENTAL PURCHASE SETUP'!$R$27="Lump Sum",'RENTAL PURCHASE SETUP'!$AA$27,'RENTAL PURCHASE SETUP'!$W$27*AJ95)</f>
        <v>0</v>
      </c>
      <c r="AK96" s="1281">
        <f>-IF('RENTAL PURCHASE SETUP'!$R$27="Lump Sum",'RENTAL PURCHASE SETUP'!$AA$27,'RENTAL PURCHASE SETUP'!$W$27*AK95)</f>
        <v>0</v>
      </c>
      <c r="AL96" s="1281">
        <f>-IF('RENTAL PURCHASE SETUP'!$R$27="Lump Sum",'RENTAL PURCHASE SETUP'!$AA$27,'RENTAL PURCHASE SETUP'!$W$27*AL95)</f>
        <v>0</v>
      </c>
      <c r="AM96" s="1281">
        <f>-IF('RENTAL PURCHASE SETUP'!$R$27="Lump Sum",'RENTAL PURCHASE SETUP'!$AA$27,'RENTAL PURCHASE SETUP'!$W$27*AM95)</f>
        <v>0</v>
      </c>
      <c r="AN96" s="1281">
        <f>-IF('RENTAL PURCHASE SETUP'!$R$27="Lump Sum",'RENTAL PURCHASE SETUP'!$AA$27,'RENTAL PURCHASE SETUP'!$W$27*AN95)</f>
        <v>0</v>
      </c>
      <c r="AO96" s="1281">
        <f>-IF('RENTAL PURCHASE SETUP'!$R$27="Lump Sum",'RENTAL PURCHASE SETUP'!$AA$27,'RENTAL PURCHASE SETUP'!$W$27*AO95)</f>
        <v>0</v>
      </c>
      <c r="AP96" s="1281">
        <f>-IF('RENTAL PURCHASE SETUP'!$R$27="Lump Sum",'RENTAL PURCHASE SETUP'!$AA$27,'RENTAL PURCHASE SETUP'!$W$27*AP95)</f>
        <v>0</v>
      </c>
      <c r="AQ96" s="1281">
        <f>-IF('RENTAL PURCHASE SETUP'!$R$27="Lump Sum",'RENTAL PURCHASE SETUP'!$AA$27,'RENTAL PURCHASE SETUP'!$W$27*AQ95)</f>
        <v>0</v>
      </c>
      <c r="AR96" s="1281">
        <f>-IF('RENTAL PURCHASE SETUP'!$R$27="Lump Sum",'RENTAL PURCHASE SETUP'!$AA$27,'RENTAL PURCHASE SETUP'!$W$27*AR95)</f>
        <v>0</v>
      </c>
      <c r="AS96" s="1281">
        <f>-IF('RENTAL PURCHASE SETUP'!$R$27="Lump Sum",'RENTAL PURCHASE SETUP'!$AA$27,'RENTAL PURCHASE SETUP'!$W$27*AS95)</f>
        <v>0</v>
      </c>
      <c r="AT96" s="1281">
        <f>-IF('RENTAL PURCHASE SETUP'!$R$27="Lump Sum",'RENTAL PURCHASE SETUP'!$AA$27,'RENTAL PURCHASE SETUP'!$W$27*AT95)</f>
        <v>0</v>
      </c>
      <c r="AU96" s="1281">
        <f>-IF('RENTAL PURCHASE SETUP'!$R$27="Lump Sum",'RENTAL PURCHASE SETUP'!$AA$27,'RENTAL PURCHASE SETUP'!$W$27*AU95)</f>
        <v>0</v>
      </c>
      <c r="AV96" s="1281">
        <f>-IF('RENTAL PURCHASE SETUP'!$R$27="Lump Sum",'RENTAL PURCHASE SETUP'!$AA$27,'RENTAL PURCHASE SETUP'!$W$27*AV95)</f>
        <v>0</v>
      </c>
      <c r="AW96" s="1281">
        <f>-IF('RENTAL PURCHASE SETUP'!$R$27="Lump Sum",'RENTAL PURCHASE SETUP'!$AA$27,'RENTAL PURCHASE SETUP'!$W$27*AW95)</f>
        <v>0</v>
      </c>
      <c r="AX96" s="1281">
        <f>-IF('RENTAL PURCHASE SETUP'!$R$27="Lump Sum",'RENTAL PURCHASE SETUP'!$AA$27,'RENTAL PURCHASE SETUP'!$W$27*AX95)</f>
        <v>0</v>
      </c>
      <c r="AY96" s="1281">
        <f>-IF('RENTAL PURCHASE SETUP'!$R$27="Lump Sum",'RENTAL PURCHASE SETUP'!$AA$27,'RENTAL PURCHASE SETUP'!$W$27*AY95)</f>
        <v>0</v>
      </c>
      <c r="AZ96" s="1281">
        <f>-IF('RENTAL PURCHASE SETUP'!$R$27="Lump Sum",'RENTAL PURCHASE SETUP'!$AA$27,'RENTAL PURCHASE SETUP'!$W$27*AZ95)</f>
        <v>0</v>
      </c>
      <c r="BA96" s="1281">
        <f>-IF('RENTAL PURCHASE SETUP'!$R$27="Lump Sum",'RENTAL PURCHASE SETUP'!$AA$27,'RENTAL PURCHASE SETUP'!$W$27*BA95)</f>
        <v>0</v>
      </c>
      <c r="BB96" s="1281">
        <f>-IF('RENTAL PURCHASE SETUP'!$R$27="Lump Sum",'RENTAL PURCHASE SETUP'!$AA$27,'RENTAL PURCHASE SETUP'!$W$27*BB95)</f>
        <v>0</v>
      </c>
      <c r="BC96" s="1278"/>
    </row>
    <row r="97" spans="1:55" s="1439" customFormat="1" ht="15.7" hidden="1">
      <c r="A97" s="1020"/>
      <c r="B97" s="1020"/>
      <c r="C97" s="1020"/>
      <c r="D97" s="1020"/>
      <c r="E97" s="1020"/>
      <c r="F97" s="1020"/>
      <c r="G97" s="1020"/>
      <c r="H97" s="1020"/>
      <c r="I97" s="1020"/>
      <c r="J97" s="1020"/>
      <c r="K97" s="1020"/>
      <c r="L97" s="1020"/>
      <c r="M97" s="1020"/>
      <c r="N97" s="1020"/>
      <c r="O97" s="1020"/>
      <c r="P97" s="1020"/>
      <c r="Q97" s="1020"/>
      <c r="R97" s="1020"/>
      <c r="S97" s="1020"/>
      <c r="T97" s="1020"/>
      <c r="U97" s="1278" t="s">
        <v>1778</v>
      </c>
      <c r="V97" s="1085"/>
      <c r="W97" s="1278"/>
      <c r="X97" s="1282">
        <f>-P56</f>
        <v>0</v>
      </c>
      <c r="Y97" s="1279" t="str">
        <f t="shared" ref="Y97:BB97" si="56">IFERROR(-Y56,"")</f>
        <v/>
      </c>
      <c r="Z97" s="1279" t="str">
        <f t="shared" si="56"/>
        <v/>
      </c>
      <c r="AA97" s="1279" t="str">
        <f t="shared" si="56"/>
        <v/>
      </c>
      <c r="AB97" s="1279" t="str">
        <f t="shared" si="56"/>
        <v/>
      </c>
      <c r="AC97" s="1279" t="str">
        <f t="shared" si="56"/>
        <v/>
      </c>
      <c r="AD97" s="1279" t="str">
        <f t="shared" si="56"/>
        <v/>
      </c>
      <c r="AE97" s="1279" t="str">
        <f t="shared" si="56"/>
        <v/>
      </c>
      <c r="AF97" s="1279" t="str">
        <f t="shared" si="56"/>
        <v/>
      </c>
      <c r="AG97" s="1279" t="str">
        <f t="shared" si="56"/>
        <v/>
      </c>
      <c r="AH97" s="1279" t="str">
        <f t="shared" si="56"/>
        <v/>
      </c>
      <c r="AI97" s="1279" t="str">
        <f t="shared" si="56"/>
        <v/>
      </c>
      <c r="AJ97" s="1279" t="str">
        <f t="shared" si="56"/>
        <v/>
      </c>
      <c r="AK97" s="1279" t="str">
        <f t="shared" si="56"/>
        <v/>
      </c>
      <c r="AL97" s="1279" t="str">
        <f t="shared" si="56"/>
        <v/>
      </c>
      <c r="AM97" s="1279" t="str">
        <f t="shared" si="56"/>
        <v/>
      </c>
      <c r="AN97" s="1279" t="str">
        <f t="shared" si="56"/>
        <v/>
      </c>
      <c r="AO97" s="1279" t="str">
        <f t="shared" si="56"/>
        <v/>
      </c>
      <c r="AP97" s="1279" t="str">
        <f t="shared" si="56"/>
        <v/>
      </c>
      <c r="AQ97" s="1279" t="str">
        <f t="shared" si="56"/>
        <v/>
      </c>
      <c r="AR97" s="1279" t="str">
        <f t="shared" si="56"/>
        <v/>
      </c>
      <c r="AS97" s="1279" t="str">
        <f t="shared" si="56"/>
        <v/>
      </c>
      <c r="AT97" s="1279" t="str">
        <f t="shared" si="56"/>
        <v/>
      </c>
      <c r="AU97" s="1279" t="str">
        <f t="shared" si="56"/>
        <v/>
      </c>
      <c r="AV97" s="1279" t="str">
        <f t="shared" si="56"/>
        <v/>
      </c>
      <c r="AW97" s="1279" t="str">
        <f t="shared" si="56"/>
        <v/>
      </c>
      <c r="AX97" s="1279" t="str">
        <f t="shared" si="56"/>
        <v/>
      </c>
      <c r="AY97" s="1279" t="str">
        <f t="shared" si="56"/>
        <v/>
      </c>
      <c r="AZ97" s="1279" t="str">
        <f t="shared" si="56"/>
        <v/>
      </c>
      <c r="BA97" s="1279" t="str">
        <f t="shared" si="56"/>
        <v/>
      </c>
      <c r="BB97" s="1279" t="str">
        <f t="shared" si="56"/>
        <v/>
      </c>
      <c r="BC97" s="1020"/>
    </row>
    <row r="98" spans="1:55" s="1439" customFormat="1" ht="15.7" hidden="1">
      <c r="A98" s="1020"/>
      <c r="B98" s="1020"/>
      <c r="C98" s="1020"/>
      <c r="D98" s="1020"/>
      <c r="E98" s="1020"/>
      <c r="F98" s="1020"/>
      <c r="G98" s="1020"/>
      <c r="H98" s="1020"/>
      <c r="I98" s="1020"/>
      <c r="J98" s="1020"/>
      <c r="K98" s="1020"/>
      <c r="L98" s="1020"/>
      <c r="M98" s="1020"/>
      <c r="N98" s="1020"/>
      <c r="O98" s="1020"/>
      <c r="P98" s="1020"/>
      <c r="Q98" s="1020"/>
      <c r="R98" s="1020"/>
      <c r="S98" s="1020"/>
      <c r="T98" s="1020"/>
      <c r="U98" s="1278" t="s">
        <v>1779</v>
      </c>
      <c r="V98" s="1085"/>
      <c r="W98" s="1278"/>
      <c r="X98" s="1279">
        <f>-V59</f>
        <v>0</v>
      </c>
      <c r="Y98" s="1279">
        <f t="shared" ref="Y98:BB98" si="57">-Y59</f>
        <v>0</v>
      </c>
      <c r="Z98" s="1279">
        <f t="shared" si="57"/>
        <v>0</v>
      </c>
      <c r="AA98" s="1279">
        <f t="shared" si="57"/>
        <v>0</v>
      </c>
      <c r="AB98" s="1279">
        <f t="shared" si="57"/>
        <v>0</v>
      </c>
      <c r="AC98" s="1279">
        <f t="shared" si="57"/>
        <v>0</v>
      </c>
      <c r="AD98" s="1279">
        <f t="shared" si="57"/>
        <v>0</v>
      </c>
      <c r="AE98" s="1279">
        <f t="shared" si="57"/>
        <v>0</v>
      </c>
      <c r="AF98" s="1279">
        <f t="shared" si="57"/>
        <v>0</v>
      </c>
      <c r="AG98" s="1279">
        <f t="shared" si="57"/>
        <v>0</v>
      </c>
      <c r="AH98" s="1279">
        <f t="shared" si="57"/>
        <v>0</v>
      </c>
      <c r="AI98" s="1279">
        <f t="shared" si="57"/>
        <v>0</v>
      </c>
      <c r="AJ98" s="1279">
        <f t="shared" si="57"/>
        <v>0</v>
      </c>
      <c r="AK98" s="1279">
        <f t="shared" si="57"/>
        <v>0</v>
      </c>
      <c r="AL98" s="1279">
        <f t="shared" si="57"/>
        <v>0</v>
      </c>
      <c r="AM98" s="1279">
        <f t="shared" si="57"/>
        <v>0</v>
      </c>
      <c r="AN98" s="1279">
        <f t="shared" si="57"/>
        <v>0</v>
      </c>
      <c r="AO98" s="1279">
        <f t="shared" si="57"/>
        <v>0</v>
      </c>
      <c r="AP98" s="1279">
        <f t="shared" si="57"/>
        <v>0</v>
      </c>
      <c r="AQ98" s="1279">
        <f t="shared" si="57"/>
        <v>0</v>
      </c>
      <c r="AR98" s="1279">
        <f t="shared" si="57"/>
        <v>0</v>
      </c>
      <c r="AS98" s="1279">
        <f t="shared" si="57"/>
        <v>0</v>
      </c>
      <c r="AT98" s="1279">
        <f t="shared" si="57"/>
        <v>0</v>
      </c>
      <c r="AU98" s="1279">
        <f t="shared" si="57"/>
        <v>0</v>
      </c>
      <c r="AV98" s="1279">
        <f t="shared" si="57"/>
        <v>0</v>
      </c>
      <c r="AW98" s="1279">
        <f t="shared" si="57"/>
        <v>0</v>
      </c>
      <c r="AX98" s="1279">
        <f t="shared" si="57"/>
        <v>0</v>
      </c>
      <c r="AY98" s="1279">
        <f t="shared" si="57"/>
        <v>0</v>
      </c>
      <c r="AZ98" s="1279">
        <f t="shared" si="57"/>
        <v>0</v>
      </c>
      <c r="BA98" s="1279">
        <f t="shared" si="57"/>
        <v>0</v>
      </c>
      <c r="BB98" s="1279">
        <f t="shared" si="57"/>
        <v>0</v>
      </c>
      <c r="BC98" s="1020"/>
    </row>
    <row r="99" spans="1:55" s="1439" customFormat="1" ht="15.7" hidden="1">
      <c r="A99" s="1020"/>
      <c r="B99" s="1020"/>
      <c r="C99" s="1020"/>
      <c r="D99" s="1020"/>
      <c r="E99" s="1020"/>
      <c r="F99" s="1020"/>
      <c r="G99" s="1020"/>
      <c r="H99" s="1020"/>
      <c r="I99" s="1020"/>
      <c r="J99" s="1020"/>
      <c r="K99" s="1020"/>
      <c r="L99" s="1020"/>
      <c r="M99" s="1020"/>
      <c r="N99" s="1020"/>
      <c r="O99" s="1020"/>
      <c r="P99" s="1020"/>
      <c r="Q99" s="1020"/>
      <c r="R99" s="1020"/>
      <c r="S99" s="1020"/>
      <c r="T99" s="1020"/>
      <c r="U99" s="1278" t="s">
        <v>1780</v>
      </c>
      <c r="V99" s="1085"/>
      <c r="W99" s="1279"/>
      <c r="X99" s="1278" t="e">
        <f>SUM(X95:X98)</f>
        <v>#NAME?</v>
      </c>
      <c r="Y99" s="1279">
        <f t="shared" ref="Y99:BB100" si="58">SUM(Y95:Y98)</f>
        <v>0</v>
      </c>
      <c r="Z99" s="1279">
        <f t="shared" si="58"/>
        <v>0</v>
      </c>
      <c r="AA99" s="1279">
        <f t="shared" si="58"/>
        <v>0</v>
      </c>
      <c r="AB99" s="1279">
        <f t="shared" si="58"/>
        <v>0</v>
      </c>
      <c r="AC99" s="1279">
        <f t="shared" si="58"/>
        <v>0</v>
      </c>
      <c r="AD99" s="1279">
        <f t="shared" si="58"/>
        <v>0</v>
      </c>
      <c r="AE99" s="1279">
        <f t="shared" si="58"/>
        <v>0</v>
      </c>
      <c r="AF99" s="1279">
        <f t="shared" si="58"/>
        <v>0</v>
      </c>
      <c r="AG99" s="1279">
        <f t="shared" si="58"/>
        <v>0</v>
      </c>
      <c r="AH99" s="1279">
        <f t="shared" si="58"/>
        <v>0</v>
      </c>
      <c r="AI99" s="1279">
        <f t="shared" si="58"/>
        <v>0</v>
      </c>
      <c r="AJ99" s="1279">
        <f t="shared" si="58"/>
        <v>0</v>
      </c>
      <c r="AK99" s="1279">
        <f t="shared" si="58"/>
        <v>0</v>
      </c>
      <c r="AL99" s="1279">
        <f t="shared" si="58"/>
        <v>0</v>
      </c>
      <c r="AM99" s="1279">
        <f t="shared" si="58"/>
        <v>0</v>
      </c>
      <c r="AN99" s="1279">
        <f t="shared" si="58"/>
        <v>0</v>
      </c>
      <c r="AO99" s="1279">
        <f t="shared" si="58"/>
        <v>0</v>
      </c>
      <c r="AP99" s="1279">
        <f t="shared" si="58"/>
        <v>0</v>
      </c>
      <c r="AQ99" s="1279">
        <f t="shared" si="58"/>
        <v>0</v>
      </c>
      <c r="AR99" s="1279">
        <f t="shared" si="58"/>
        <v>0</v>
      </c>
      <c r="AS99" s="1279">
        <f t="shared" si="58"/>
        <v>0</v>
      </c>
      <c r="AT99" s="1279">
        <f t="shared" si="58"/>
        <v>0</v>
      </c>
      <c r="AU99" s="1279">
        <f t="shared" si="58"/>
        <v>0</v>
      </c>
      <c r="AV99" s="1279">
        <f t="shared" si="58"/>
        <v>0</v>
      </c>
      <c r="AW99" s="1279">
        <f t="shared" si="58"/>
        <v>0</v>
      </c>
      <c r="AX99" s="1279">
        <f t="shared" si="58"/>
        <v>0</v>
      </c>
      <c r="AY99" s="1279">
        <f t="shared" si="58"/>
        <v>0</v>
      </c>
      <c r="AZ99" s="1279">
        <f t="shared" si="58"/>
        <v>0</v>
      </c>
      <c r="BA99" s="1279">
        <f t="shared" si="58"/>
        <v>0</v>
      </c>
      <c r="BB99" s="1279">
        <f t="shared" si="58"/>
        <v>0</v>
      </c>
      <c r="BC99" s="1278"/>
    </row>
    <row r="100" spans="1:55" s="1439" customFormat="1" ht="15.7" hidden="1">
      <c r="A100" s="1020"/>
      <c r="B100" s="1020"/>
      <c r="C100" s="1020"/>
      <c r="D100" s="1020"/>
      <c r="E100" s="1020"/>
      <c r="F100" s="1020"/>
      <c r="G100" s="1020"/>
      <c r="H100" s="1020"/>
      <c r="I100" s="1020"/>
      <c r="J100" s="1020"/>
      <c r="K100" s="1020"/>
      <c r="L100" s="1020"/>
      <c r="M100" s="1020"/>
      <c r="N100" s="1020"/>
      <c r="O100" s="1020"/>
      <c r="P100" s="1020"/>
      <c r="Q100" s="1020"/>
      <c r="R100" s="1020"/>
      <c r="S100" s="1020"/>
      <c r="T100" s="1020"/>
      <c r="U100" s="1278" t="s">
        <v>1760</v>
      </c>
      <c r="V100" s="1085"/>
      <c r="W100" s="1279"/>
      <c r="X100" s="1278" t="e">
        <f>SUM(X96:X99)</f>
        <v>#NAME?</v>
      </c>
      <c r="Y100" s="1279">
        <f t="shared" si="58"/>
        <v>0</v>
      </c>
      <c r="Z100" s="1279">
        <f t="shared" si="58"/>
        <v>0</v>
      </c>
      <c r="AA100" s="1279">
        <f t="shared" si="58"/>
        <v>0</v>
      </c>
      <c r="AB100" s="1279">
        <f t="shared" si="58"/>
        <v>0</v>
      </c>
      <c r="AC100" s="1279">
        <f t="shared" si="58"/>
        <v>0</v>
      </c>
      <c r="AD100" s="1279">
        <f t="shared" si="58"/>
        <v>0</v>
      </c>
      <c r="AE100" s="1279">
        <f t="shared" si="58"/>
        <v>0</v>
      </c>
      <c r="AF100" s="1279">
        <f t="shared" si="58"/>
        <v>0</v>
      </c>
      <c r="AG100" s="1279">
        <f t="shared" si="58"/>
        <v>0</v>
      </c>
      <c r="AH100" s="1279">
        <f t="shared" si="58"/>
        <v>0</v>
      </c>
      <c r="AI100" s="1279">
        <f t="shared" si="58"/>
        <v>0</v>
      </c>
      <c r="AJ100" s="1279">
        <f t="shared" si="58"/>
        <v>0</v>
      </c>
      <c r="AK100" s="1279">
        <f t="shared" si="58"/>
        <v>0</v>
      </c>
      <c r="AL100" s="1279">
        <f t="shared" si="58"/>
        <v>0</v>
      </c>
      <c r="AM100" s="1279">
        <f t="shared" si="58"/>
        <v>0</v>
      </c>
      <c r="AN100" s="1279">
        <f t="shared" si="58"/>
        <v>0</v>
      </c>
      <c r="AO100" s="1279">
        <f t="shared" si="58"/>
        <v>0</v>
      </c>
      <c r="AP100" s="1279">
        <f t="shared" si="58"/>
        <v>0</v>
      </c>
      <c r="AQ100" s="1279">
        <f t="shared" si="58"/>
        <v>0</v>
      </c>
      <c r="AR100" s="1279">
        <f t="shared" si="58"/>
        <v>0</v>
      </c>
      <c r="AS100" s="1279">
        <f t="shared" si="58"/>
        <v>0</v>
      </c>
      <c r="AT100" s="1279">
        <f t="shared" si="58"/>
        <v>0</v>
      </c>
      <c r="AU100" s="1279">
        <f t="shared" si="58"/>
        <v>0</v>
      </c>
      <c r="AV100" s="1279">
        <f t="shared" si="58"/>
        <v>0</v>
      </c>
      <c r="AW100" s="1279">
        <f t="shared" si="58"/>
        <v>0</v>
      </c>
      <c r="AX100" s="1279">
        <f t="shared" si="58"/>
        <v>0</v>
      </c>
      <c r="AY100" s="1279">
        <f t="shared" si="58"/>
        <v>0</v>
      </c>
      <c r="AZ100" s="1279">
        <f t="shared" si="58"/>
        <v>0</v>
      </c>
      <c r="BA100" s="1279">
        <f t="shared" si="58"/>
        <v>0</v>
      </c>
      <c r="BB100" s="1279">
        <f t="shared" si="58"/>
        <v>0</v>
      </c>
      <c r="BC100" s="1278"/>
    </row>
    <row r="101" spans="1:55" s="1439" customFormat="1" ht="15.7" hidden="1">
      <c r="A101" s="1020"/>
      <c r="B101" s="1020"/>
      <c r="C101" s="1020"/>
      <c r="D101" s="1020"/>
      <c r="E101" s="1020"/>
      <c r="F101" s="1020"/>
      <c r="G101" s="1020"/>
      <c r="H101" s="1020"/>
      <c r="I101" s="1020"/>
      <c r="J101" s="1020"/>
      <c r="K101" s="1020"/>
      <c r="L101" s="1020"/>
      <c r="M101" s="1020"/>
      <c r="N101" s="1020"/>
      <c r="O101" s="1020"/>
      <c r="P101" s="1020"/>
      <c r="Q101" s="1020"/>
      <c r="R101" s="1020"/>
      <c r="S101" s="1020"/>
      <c r="T101" s="1020"/>
      <c r="U101" s="1278"/>
      <c r="V101" s="1085"/>
      <c r="W101" s="1278"/>
      <c r="X101" s="1085"/>
      <c r="Y101" s="1279"/>
      <c r="Z101" s="1279"/>
      <c r="AA101" s="1279"/>
      <c r="AB101" s="1279"/>
      <c r="AC101" s="1279"/>
      <c r="AD101" s="1279"/>
      <c r="AE101" s="1279"/>
      <c r="AF101" s="1279"/>
      <c r="AG101" s="1279"/>
      <c r="AH101" s="1279"/>
      <c r="AI101" s="1279"/>
      <c r="AJ101" s="1279"/>
      <c r="AK101" s="1279"/>
      <c r="AL101" s="1279"/>
      <c r="AM101" s="1279"/>
      <c r="AN101" s="1279"/>
      <c r="AO101" s="1279"/>
      <c r="AP101" s="1279"/>
      <c r="AQ101" s="1279"/>
      <c r="AR101" s="1279"/>
      <c r="AS101" s="1279"/>
      <c r="AT101" s="1279"/>
      <c r="AU101" s="1279"/>
      <c r="AV101" s="1279"/>
      <c r="AW101" s="1279"/>
      <c r="AX101" s="1279"/>
      <c r="AY101" s="1279"/>
      <c r="AZ101" s="1279"/>
      <c r="BA101" s="1279"/>
      <c r="BB101" s="1279"/>
      <c r="BC101" s="1278"/>
    </row>
    <row r="102" spans="1:55" s="1439" customFormat="1" ht="15.7" hidden="1">
      <c r="A102" s="1020"/>
      <c r="B102" s="1020"/>
      <c r="C102" s="1020"/>
      <c r="D102" s="1020"/>
      <c r="E102" s="1020"/>
      <c r="F102" s="1020"/>
      <c r="G102" s="1020"/>
      <c r="H102" s="1020"/>
      <c r="I102" s="1020"/>
      <c r="J102" s="1020"/>
      <c r="K102" s="1020"/>
      <c r="L102" s="1020"/>
      <c r="M102" s="1020"/>
      <c r="N102" s="1020"/>
      <c r="O102" s="1020"/>
      <c r="P102" s="1020"/>
      <c r="Q102" s="1020"/>
      <c r="R102" s="1020"/>
      <c r="S102" s="1020"/>
      <c r="T102" s="1020"/>
      <c r="U102" s="1278" t="s">
        <v>1781</v>
      </c>
      <c r="V102" s="1085"/>
      <c r="W102" s="1278"/>
      <c r="X102" s="1085"/>
      <c r="Y102" s="1281">
        <v>1</v>
      </c>
      <c r="Z102" s="1281">
        <v>2</v>
      </c>
      <c r="AA102" s="1281">
        <v>3</v>
      </c>
      <c r="AB102" s="1281">
        <v>4</v>
      </c>
      <c r="AC102" s="1281">
        <v>5</v>
      </c>
      <c r="AD102" s="1281">
        <v>6</v>
      </c>
      <c r="AE102" s="1281">
        <v>7</v>
      </c>
      <c r="AF102" s="1281">
        <v>8</v>
      </c>
      <c r="AG102" s="1281">
        <v>9</v>
      </c>
      <c r="AH102" s="1281">
        <v>10</v>
      </c>
      <c r="AI102" s="1281">
        <v>11</v>
      </c>
      <c r="AJ102" s="1281">
        <v>12</v>
      </c>
      <c r="AK102" s="1281">
        <v>13</v>
      </c>
      <c r="AL102" s="1281">
        <v>14</v>
      </c>
      <c r="AM102" s="1281">
        <v>15</v>
      </c>
      <c r="AN102" s="1281">
        <v>16</v>
      </c>
      <c r="AO102" s="1281">
        <v>17</v>
      </c>
      <c r="AP102" s="1281">
        <v>18</v>
      </c>
      <c r="AQ102" s="1281">
        <v>19</v>
      </c>
      <c r="AR102" s="1281">
        <v>20</v>
      </c>
      <c r="AS102" s="1281">
        <v>21</v>
      </c>
      <c r="AT102" s="1281">
        <v>22</v>
      </c>
      <c r="AU102" s="1281">
        <v>23</v>
      </c>
      <c r="AV102" s="1281">
        <v>24</v>
      </c>
      <c r="AW102" s="1281">
        <v>25</v>
      </c>
      <c r="AX102" s="1281">
        <v>26</v>
      </c>
      <c r="AY102" s="1281">
        <v>27</v>
      </c>
      <c r="AZ102" s="1281">
        <v>28</v>
      </c>
      <c r="BA102" s="1281">
        <v>29</v>
      </c>
      <c r="BB102" s="1281">
        <v>30</v>
      </c>
      <c r="BC102" s="1281"/>
    </row>
    <row r="103" spans="1:55" s="1439" customFormat="1" ht="15.7" hidden="1">
      <c r="A103" s="1020"/>
      <c r="B103" s="1020"/>
      <c r="C103" s="1020"/>
      <c r="D103" s="1020"/>
      <c r="E103" s="1020"/>
      <c r="F103" s="1020"/>
      <c r="G103" s="1020"/>
      <c r="H103" s="1020"/>
      <c r="I103" s="1020"/>
      <c r="J103" s="1020"/>
      <c r="K103" s="1020"/>
      <c r="L103" s="1020"/>
      <c r="M103" s="1020"/>
      <c r="N103" s="1020"/>
      <c r="O103" s="1020"/>
      <c r="P103" s="1020"/>
      <c r="Q103" s="1020"/>
      <c r="R103" s="1020"/>
      <c r="S103" s="1020"/>
      <c r="T103" s="1020"/>
      <c r="U103" s="1278"/>
      <c r="V103" s="1085"/>
      <c r="W103" s="1278"/>
      <c r="X103" s="1085"/>
      <c r="Y103" s="1281"/>
      <c r="Z103" s="1281"/>
      <c r="AA103" s="1281"/>
      <c r="AB103" s="1281"/>
      <c r="AC103" s="1281"/>
      <c r="AD103" s="1281"/>
      <c r="AE103" s="1281"/>
      <c r="AF103" s="1281"/>
      <c r="AG103" s="1281"/>
      <c r="AH103" s="1281"/>
      <c r="AI103" s="1281"/>
      <c r="AJ103" s="1281"/>
      <c r="AK103" s="1281"/>
      <c r="AL103" s="1281"/>
      <c r="AM103" s="1281"/>
      <c r="AN103" s="1281"/>
      <c r="AO103" s="1281"/>
      <c r="AP103" s="1281"/>
      <c r="AQ103" s="1281"/>
      <c r="AR103" s="1281"/>
      <c r="AS103" s="1281"/>
      <c r="AT103" s="1281"/>
      <c r="AU103" s="1281"/>
      <c r="AV103" s="1281"/>
      <c r="AW103" s="1281"/>
      <c r="AX103" s="1281"/>
      <c r="AY103" s="1281"/>
      <c r="AZ103" s="1281"/>
      <c r="BA103" s="1281"/>
      <c r="BB103" s="1281"/>
      <c r="BC103" s="1281"/>
    </row>
    <row r="104" spans="1:55" s="1439" customFormat="1" ht="15.7" hidden="1">
      <c r="A104" s="1020"/>
      <c r="B104" s="1020"/>
      <c r="C104" s="1020"/>
      <c r="D104" s="1020"/>
      <c r="E104" s="1020"/>
      <c r="F104" s="1020"/>
      <c r="G104" s="1020"/>
      <c r="H104" s="1020"/>
      <c r="I104" s="1020"/>
      <c r="J104" s="1020"/>
      <c r="K104" s="1020"/>
      <c r="L104" s="1020"/>
      <c r="M104" s="1020"/>
      <c r="N104" s="1020"/>
      <c r="O104" s="1020"/>
      <c r="P104" s="1020"/>
      <c r="Q104" s="1020"/>
      <c r="R104" s="1020"/>
      <c r="S104" s="1020"/>
      <c r="T104" s="1020"/>
      <c r="U104" s="1278"/>
      <c r="V104" s="1085"/>
      <c r="W104" s="1278"/>
      <c r="X104" s="1085"/>
      <c r="Y104" s="1281">
        <f ca="1">YEAR(TODAY())</f>
        <v>2019</v>
      </c>
      <c r="Z104" s="1281">
        <f ca="1">Y104+1</f>
        <v>2020</v>
      </c>
      <c r="AA104" s="1281">
        <f t="shared" ref="AA104:BB104" ca="1" si="59">Z104+1</f>
        <v>2021</v>
      </c>
      <c r="AB104" s="1281">
        <f t="shared" ca="1" si="59"/>
        <v>2022</v>
      </c>
      <c r="AC104" s="1281">
        <f t="shared" ca="1" si="59"/>
        <v>2023</v>
      </c>
      <c r="AD104" s="1281">
        <f t="shared" ca="1" si="59"/>
        <v>2024</v>
      </c>
      <c r="AE104" s="1281">
        <f t="shared" ca="1" si="59"/>
        <v>2025</v>
      </c>
      <c r="AF104" s="1281">
        <f t="shared" ca="1" si="59"/>
        <v>2026</v>
      </c>
      <c r="AG104" s="1281">
        <f t="shared" ca="1" si="59"/>
        <v>2027</v>
      </c>
      <c r="AH104" s="1281">
        <f t="shared" ca="1" si="59"/>
        <v>2028</v>
      </c>
      <c r="AI104" s="1281">
        <f t="shared" ca="1" si="59"/>
        <v>2029</v>
      </c>
      <c r="AJ104" s="1281">
        <f t="shared" ca="1" si="59"/>
        <v>2030</v>
      </c>
      <c r="AK104" s="1281">
        <f t="shared" ca="1" si="59"/>
        <v>2031</v>
      </c>
      <c r="AL104" s="1281">
        <f t="shared" ca="1" si="59"/>
        <v>2032</v>
      </c>
      <c r="AM104" s="1281">
        <f t="shared" ca="1" si="59"/>
        <v>2033</v>
      </c>
      <c r="AN104" s="1281">
        <f t="shared" ca="1" si="59"/>
        <v>2034</v>
      </c>
      <c r="AO104" s="1281">
        <f t="shared" ca="1" si="59"/>
        <v>2035</v>
      </c>
      <c r="AP104" s="1281">
        <f t="shared" ca="1" si="59"/>
        <v>2036</v>
      </c>
      <c r="AQ104" s="1281">
        <f t="shared" ca="1" si="59"/>
        <v>2037</v>
      </c>
      <c r="AR104" s="1281">
        <f t="shared" ca="1" si="59"/>
        <v>2038</v>
      </c>
      <c r="AS104" s="1281">
        <f t="shared" ca="1" si="59"/>
        <v>2039</v>
      </c>
      <c r="AT104" s="1281">
        <f t="shared" ca="1" si="59"/>
        <v>2040</v>
      </c>
      <c r="AU104" s="1281">
        <f t="shared" ca="1" si="59"/>
        <v>2041</v>
      </c>
      <c r="AV104" s="1281">
        <f t="shared" ca="1" si="59"/>
        <v>2042</v>
      </c>
      <c r="AW104" s="1281">
        <f t="shared" ca="1" si="59"/>
        <v>2043</v>
      </c>
      <c r="AX104" s="1281">
        <f t="shared" ca="1" si="59"/>
        <v>2044</v>
      </c>
      <c r="AY104" s="1281">
        <f t="shared" ca="1" si="59"/>
        <v>2045</v>
      </c>
      <c r="AZ104" s="1281">
        <f t="shared" ca="1" si="59"/>
        <v>2046</v>
      </c>
      <c r="BA104" s="1281">
        <f t="shared" ca="1" si="59"/>
        <v>2047</v>
      </c>
      <c r="BB104" s="1281">
        <f t="shared" ca="1" si="59"/>
        <v>2048</v>
      </c>
      <c r="BC104" s="1281"/>
    </row>
    <row r="105" spans="1:55" s="1439" customFormat="1" ht="15.7" hidden="1">
      <c r="A105" s="1020"/>
      <c r="B105" s="1020"/>
      <c r="C105" s="1020"/>
      <c r="D105" s="1020"/>
      <c r="E105" s="1020"/>
      <c r="F105" s="1020"/>
      <c r="G105" s="1020"/>
      <c r="H105" s="1020"/>
      <c r="I105" s="1020"/>
      <c r="J105" s="1020"/>
      <c r="K105" s="1020"/>
      <c r="L105" s="1020"/>
      <c r="M105" s="1020"/>
      <c r="N105" s="1020"/>
      <c r="O105" s="1020"/>
      <c r="P105" s="1020"/>
      <c r="Q105" s="1020"/>
      <c r="R105" s="1020"/>
      <c r="S105" s="1020"/>
      <c r="T105" s="1020"/>
      <c r="U105" s="1278" t="s">
        <v>1593</v>
      </c>
      <c r="V105" s="1085"/>
      <c r="W105" s="1279"/>
      <c r="X105" s="1279">
        <f>-V59</f>
        <v>0</v>
      </c>
      <c r="Y105" s="1279"/>
      <c r="Z105" s="1279"/>
      <c r="AA105" s="1279"/>
      <c r="AB105" s="1279"/>
      <c r="AC105" s="1279"/>
      <c r="AD105" s="1279"/>
      <c r="AE105" s="1279"/>
      <c r="AF105" s="1279"/>
      <c r="AG105" s="1279"/>
      <c r="AH105" s="1279"/>
      <c r="AI105" s="1279"/>
      <c r="AJ105" s="1279"/>
      <c r="AK105" s="1279"/>
      <c r="AL105" s="1279"/>
      <c r="AM105" s="1279"/>
      <c r="AN105" s="1279"/>
      <c r="AO105" s="1279"/>
      <c r="AP105" s="1279"/>
      <c r="AQ105" s="1279"/>
      <c r="AR105" s="1279"/>
      <c r="AS105" s="1279"/>
      <c r="AT105" s="1279"/>
      <c r="AU105" s="1279"/>
      <c r="AV105" s="1279"/>
      <c r="AW105" s="1279"/>
      <c r="AX105" s="1279"/>
      <c r="AY105" s="1279"/>
      <c r="AZ105" s="1279"/>
      <c r="BA105" s="1279"/>
      <c r="BB105" s="1279"/>
      <c r="BC105" s="1278"/>
    </row>
    <row r="106" spans="1:55" s="1439" customFormat="1" ht="15.7" hidden="1">
      <c r="A106" s="1020"/>
      <c r="B106" s="1020"/>
      <c r="C106" s="1020"/>
      <c r="D106" s="1020"/>
      <c r="E106" s="1020"/>
      <c r="F106" s="1020"/>
      <c r="G106" s="1020"/>
      <c r="H106" s="1020"/>
      <c r="I106" s="1020"/>
      <c r="J106" s="1020"/>
      <c r="K106" s="1020"/>
      <c r="L106" s="1020"/>
      <c r="M106" s="1020"/>
      <c r="N106" s="1020"/>
      <c r="O106" s="1020"/>
      <c r="P106" s="1020"/>
      <c r="Q106" s="1020"/>
      <c r="R106" s="1020"/>
      <c r="S106" s="1020"/>
      <c r="T106" s="1020"/>
      <c r="U106" s="1278" t="s">
        <v>1782</v>
      </c>
      <c r="V106" s="1085"/>
      <c r="W106" s="1279"/>
      <c r="X106" s="1278">
        <f>0</f>
        <v>0</v>
      </c>
      <c r="Y106" s="1279">
        <f t="shared" ref="Y106:BB106" si="60">Y70</f>
        <v>0</v>
      </c>
      <c r="Z106" s="1279">
        <f t="shared" si="60"/>
        <v>0</v>
      </c>
      <c r="AA106" s="1279">
        <f t="shared" si="60"/>
        <v>0</v>
      </c>
      <c r="AB106" s="1279">
        <f t="shared" si="60"/>
        <v>0</v>
      </c>
      <c r="AC106" s="1279">
        <f t="shared" si="60"/>
        <v>0</v>
      </c>
      <c r="AD106" s="1279">
        <f t="shared" si="60"/>
        <v>0</v>
      </c>
      <c r="AE106" s="1279">
        <f t="shared" si="60"/>
        <v>0</v>
      </c>
      <c r="AF106" s="1279">
        <f t="shared" si="60"/>
        <v>0</v>
      </c>
      <c r="AG106" s="1279">
        <f t="shared" si="60"/>
        <v>0</v>
      </c>
      <c r="AH106" s="1279">
        <f t="shared" si="60"/>
        <v>0</v>
      </c>
      <c r="AI106" s="1279">
        <f t="shared" si="60"/>
        <v>0</v>
      </c>
      <c r="AJ106" s="1279">
        <f t="shared" si="60"/>
        <v>0</v>
      </c>
      <c r="AK106" s="1279">
        <f t="shared" si="60"/>
        <v>0</v>
      </c>
      <c r="AL106" s="1279">
        <f t="shared" si="60"/>
        <v>0</v>
      </c>
      <c r="AM106" s="1279">
        <f t="shared" si="60"/>
        <v>0</v>
      </c>
      <c r="AN106" s="1279">
        <f t="shared" si="60"/>
        <v>0</v>
      </c>
      <c r="AO106" s="1279">
        <f t="shared" si="60"/>
        <v>0</v>
      </c>
      <c r="AP106" s="1279">
        <f t="shared" si="60"/>
        <v>0</v>
      </c>
      <c r="AQ106" s="1279">
        <f t="shared" si="60"/>
        <v>0</v>
      </c>
      <c r="AR106" s="1279">
        <f t="shared" si="60"/>
        <v>0</v>
      </c>
      <c r="AS106" s="1279">
        <f t="shared" si="60"/>
        <v>0</v>
      </c>
      <c r="AT106" s="1279">
        <f t="shared" si="60"/>
        <v>0</v>
      </c>
      <c r="AU106" s="1279">
        <f t="shared" si="60"/>
        <v>0</v>
      </c>
      <c r="AV106" s="1279">
        <f t="shared" si="60"/>
        <v>0</v>
      </c>
      <c r="AW106" s="1279">
        <f t="shared" si="60"/>
        <v>0</v>
      </c>
      <c r="AX106" s="1279">
        <f t="shared" si="60"/>
        <v>0</v>
      </c>
      <c r="AY106" s="1279">
        <f t="shared" si="60"/>
        <v>0</v>
      </c>
      <c r="AZ106" s="1279">
        <f t="shared" si="60"/>
        <v>0</v>
      </c>
      <c r="BA106" s="1279">
        <f t="shared" si="60"/>
        <v>0</v>
      </c>
      <c r="BB106" s="1279">
        <f t="shared" si="60"/>
        <v>0</v>
      </c>
      <c r="BC106" s="1278"/>
    </row>
    <row r="107" spans="1:55" s="1439" customFormat="1" ht="15.7" hidden="1">
      <c r="A107" s="1020"/>
      <c r="B107" s="1020"/>
      <c r="C107" s="1020"/>
      <c r="D107" s="1020"/>
      <c r="E107" s="1020"/>
      <c r="F107" s="1020"/>
      <c r="G107" s="1020"/>
      <c r="H107" s="1020"/>
      <c r="I107" s="1020"/>
      <c r="J107" s="1020"/>
      <c r="K107" s="1020"/>
      <c r="L107" s="1020"/>
      <c r="M107" s="1020"/>
      <c r="N107" s="1020"/>
      <c r="O107" s="1020"/>
      <c r="P107" s="1020"/>
      <c r="Q107" s="1020"/>
      <c r="R107" s="1020"/>
      <c r="S107" s="1020"/>
      <c r="T107" s="1020"/>
      <c r="U107" s="1278" t="s">
        <v>1783</v>
      </c>
      <c r="V107" s="1085"/>
      <c r="W107" s="1279"/>
      <c r="X107" s="1278">
        <v>0</v>
      </c>
      <c r="Y107" s="1279">
        <f>Y78</f>
        <v>0</v>
      </c>
      <c r="Z107" s="1279">
        <f t="shared" ref="Z107:BB107" si="61">Y107+Z78</f>
        <v>0</v>
      </c>
      <c r="AA107" s="1279">
        <f t="shared" si="61"/>
        <v>0</v>
      </c>
      <c r="AB107" s="1279">
        <f t="shared" si="61"/>
        <v>0</v>
      </c>
      <c r="AC107" s="1279">
        <f t="shared" si="61"/>
        <v>0</v>
      </c>
      <c r="AD107" s="1279">
        <f t="shared" si="61"/>
        <v>0</v>
      </c>
      <c r="AE107" s="1279">
        <f t="shared" si="61"/>
        <v>0</v>
      </c>
      <c r="AF107" s="1279">
        <f t="shared" si="61"/>
        <v>0</v>
      </c>
      <c r="AG107" s="1279">
        <f t="shared" si="61"/>
        <v>0</v>
      </c>
      <c r="AH107" s="1279">
        <f t="shared" si="61"/>
        <v>0</v>
      </c>
      <c r="AI107" s="1279">
        <f t="shared" si="61"/>
        <v>0</v>
      </c>
      <c r="AJ107" s="1279">
        <f t="shared" si="61"/>
        <v>0</v>
      </c>
      <c r="AK107" s="1279">
        <f t="shared" si="61"/>
        <v>0</v>
      </c>
      <c r="AL107" s="1279">
        <f t="shared" si="61"/>
        <v>0</v>
      </c>
      <c r="AM107" s="1279">
        <f t="shared" si="61"/>
        <v>0</v>
      </c>
      <c r="AN107" s="1279">
        <f t="shared" si="61"/>
        <v>0</v>
      </c>
      <c r="AO107" s="1279">
        <f t="shared" si="61"/>
        <v>0</v>
      </c>
      <c r="AP107" s="1279">
        <f t="shared" si="61"/>
        <v>0</v>
      </c>
      <c r="AQ107" s="1279">
        <f t="shared" si="61"/>
        <v>0</v>
      </c>
      <c r="AR107" s="1279">
        <f t="shared" si="61"/>
        <v>0</v>
      </c>
      <c r="AS107" s="1279">
        <f t="shared" si="61"/>
        <v>0</v>
      </c>
      <c r="AT107" s="1279">
        <f t="shared" si="61"/>
        <v>0</v>
      </c>
      <c r="AU107" s="1279">
        <f t="shared" si="61"/>
        <v>0</v>
      </c>
      <c r="AV107" s="1279">
        <f t="shared" si="61"/>
        <v>0</v>
      </c>
      <c r="AW107" s="1279">
        <f t="shared" si="61"/>
        <v>0</v>
      </c>
      <c r="AX107" s="1279">
        <f t="shared" si="61"/>
        <v>0</v>
      </c>
      <c r="AY107" s="1279">
        <f t="shared" si="61"/>
        <v>0</v>
      </c>
      <c r="AZ107" s="1279">
        <f t="shared" si="61"/>
        <v>0</v>
      </c>
      <c r="BA107" s="1279">
        <f t="shared" si="61"/>
        <v>0</v>
      </c>
      <c r="BB107" s="1279">
        <f t="shared" si="61"/>
        <v>0</v>
      </c>
      <c r="BC107" s="1278"/>
    </row>
    <row r="108" spans="1:55" s="1439" customFormat="1" ht="15.7" hidden="1">
      <c r="A108" s="1020"/>
      <c r="B108" s="1020"/>
      <c r="C108" s="1020"/>
      <c r="D108" s="1020"/>
      <c r="E108" s="1020"/>
      <c r="F108" s="1020"/>
      <c r="G108" s="1020"/>
      <c r="H108" s="1020"/>
      <c r="I108" s="1020"/>
      <c r="J108" s="1020"/>
      <c r="K108" s="1020"/>
      <c r="L108" s="1020"/>
      <c r="M108" s="1020"/>
      <c r="N108" s="1020"/>
      <c r="O108" s="1020"/>
      <c r="P108" s="1020"/>
      <c r="Q108" s="1020"/>
      <c r="R108" s="1020"/>
      <c r="S108" s="1020"/>
      <c r="T108" s="1020"/>
      <c r="U108" s="1278" t="s">
        <v>1784</v>
      </c>
      <c r="V108" s="1278"/>
      <c r="W108" s="1020"/>
      <c r="X108" s="1085"/>
      <c r="Y108" s="1278"/>
      <c r="Z108" s="1278"/>
      <c r="AA108" s="1278"/>
      <c r="AB108" s="1278"/>
      <c r="AC108" s="1278"/>
      <c r="AD108" s="1278"/>
      <c r="AE108" s="1278"/>
      <c r="AF108" s="1278"/>
      <c r="AG108" s="1278"/>
      <c r="AH108" s="1278"/>
      <c r="AI108" s="1278"/>
      <c r="AJ108" s="1278"/>
      <c r="AK108" s="1278"/>
      <c r="AL108" s="1278"/>
      <c r="AM108" s="1278"/>
      <c r="AN108" s="1278"/>
      <c r="AO108" s="1278"/>
      <c r="AP108" s="1278"/>
      <c r="AQ108" s="1278"/>
      <c r="AR108" s="1278"/>
      <c r="AS108" s="1278"/>
      <c r="AT108" s="1278"/>
      <c r="AU108" s="1278"/>
      <c r="AV108" s="1278"/>
      <c r="AW108" s="1278"/>
      <c r="AX108" s="1278"/>
      <c r="AY108" s="1278"/>
      <c r="AZ108" s="1278"/>
      <c r="BA108" s="1278"/>
      <c r="BB108" s="1278"/>
      <c r="BC108" s="1020"/>
    </row>
    <row r="109" spans="1:55" ht="15" customHeight="1">
      <c r="A109" s="1439"/>
      <c r="B109" s="1439"/>
      <c r="C109" s="1439"/>
      <c r="D109" s="1439"/>
      <c r="E109" s="1439"/>
      <c r="F109" s="1439"/>
      <c r="G109" s="1439"/>
      <c r="H109" s="1439"/>
      <c r="I109" s="1439"/>
      <c r="J109" s="1439"/>
      <c r="K109" s="1439"/>
      <c r="L109" s="1439"/>
      <c r="M109" s="1439"/>
      <c r="N109" s="1439"/>
      <c r="O109" s="1439"/>
      <c r="P109" s="1439"/>
      <c r="Q109" s="1439"/>
      <c r="R109" s="1439"/>
      <c r="S109" s="1439"/>
      <c r="T109" s="1439"/>
      <c r="U109" s="1439"/>
      <c r="V109" s="1439"/>
      <c r="W109" s="1439"/>
      <c r="X109" s="1439"/>
      <c r="Y109" s="1439"/>
      <c r="Z109" s="1439"/>
      <c r="AA109" s="1439"/>
      <c r="AB109" s="1439"/>
      <c r="AC109" s="1439"/>
      <c r="AD109" s="1439"/>
      <c r="AE109" s="1439"/>
      <c r="AF109" s="1439"/>
      <c r="AG109" s="1439"/>
      <c r="AH109" s="1439"/>
      <c r="AI109" s="1439"/>
      <c r="AJ109" s="1439"/>
      <c r="AK109" s="1439"/>
      <c r="AL109" s="1439"/>
      <c r="AM109" s="1439"/>
      <c r="AN109" s="1439"/>
      <c r="AO109" s="1439"/>
      <c r="AP109" s="1439"/>
      <c r="AQ109" s="1439"/>
      <c r="AR109" s="1439"/>
      <c r="AS109" s="1439"/>
      <c r="AT109" s="1439"/>
      <c r="AU109" s="1439"/>
      <c r="AV109" s="1439"/>
      <c r="AW109" s="1439"/>
      <c r="AX109" s="1439"/>
      <c r="AY109" s="1439"/>
      <c r="AZ109" s="1439"/>
      <c r="BA109" s="1439"/>
      <c r="BB109" s="1439"/>
      <c r="BC109" s="1439"/>
    </row>
  </sheetData>
  <sheetProtection algorithmName="SHA-512" hashValue="anHNJyeZMzyXyW5d9V0N105DQbMgn8SCBN6Sup26hgSUkZP0puFgGO8WP0UlvzKNr1+mWFHAEFis1UaJyree7A==" saltValue="8WGO4lU0LKYRfHxj+qPEEA==" spinCount="100000" sheet="1" objects="1" formatCells="0" formatColumns="0" formatRows="0" insertHyperlinks="0" sort="0" autoFilter="0"/>
  <mergeCells count="145">
    <mergeCell ref="A2:C4"/>
    <mergeCell ref="D2:G4"/>
    <mergeCell ref="H2:K4"/>
    <mergeCell ref="D5:S5"/>
    <mergeCell ref="U16:W16"/>
    <mergeCell ref="D18:M18"/>
    <mergeCell ref="N18:P18"/>
    <mergeCell ref="Q18:S18"/>
    <mergeCell ref="D6:S6"/>
    <mergeCell ref="D8:N8"/>
    <mergeCell ref="O8:S8"/>
    <mergeCell ref="D9:N9"/>
    <mergeCell ref="O9:S9"/>
    <mergeCell ref="D10:N10"/>
    <mergeCell ref="O10:S10"/>
    <mergeCell ref="D11:N11"/>
    <mergeCell ref="O11:S11"/>
    <mergeCell ref="D12:N12"/>
    <mergeCell ref="D13:N13"/>
    <mergeCell ref="D14:N14"/>
    <mergeCell ref="O12:S12"/>
    <mergeCell ref="O13:S13"/>
    <mergeCell ref="O14:S14"/>
    <mergeCell ref="L2:O4"/>
    <mergeCell ref="D19:M19"/>
    <mergeCell ref="N19:P19"/>
    <mergeCell ref="Q19:S19"/>
    <mergeCell ref="D17:L17"/>
    <mergeCell ref="M17:P17"/>
    <mergeCell ref="Q17:S17"/>
    <mergeCell ref="D22:M22"/>
    <mergeCell ref="N22:P22"/>
    <mergeCell ref="Q22:S22"/>
    <mergeCell ref="D23:S23"/>
    <mergeCell ref="D24:M24"/>
    <mergeCell ref="N24:P24"/>
    <mergeCell ref="Q24:S24"/>
    <mergeCell ref="D20:M20"/>
    <mergeCell ref="N20:P20"/>
    <mergeCell ref="Q20:S20"/>
    <mergeCell ref="D21:M21"/>
    <mergeCell ref="N21:P21"/>
    <mergeCell ref="Q21:S21"/>
    <mergeCell ref="D27:S27"/>
    <mergeCell ref="D29:L29"/>
    <mergeCell ref="M29:P29"/>
    <mergeCell ref="Q29:S29"/>
    <mergeCell ref="D30:S30"/>
    <mergeCell ref="D31:M31"/>
    <mergeCell ref="N31:P31"/>
    <mergeCell ref="Q31:S31"/>
    <mergeCell ref="D25:M25"/>
    <mergeCell ref="N25:P25"/>
    <mergeCell ref="Q25:S25"/>
    <mergeCell ref="D26:M26"/>
    <mergeCell ref="N26:P26"/>
    <mergeCell ref="Q26:S26"/>
    <mergeCell ref="D34:M34"/>
    <mergeCell ref="N34:P34"/>
    <mergeCell ref="Q34:S34"/>
    <mergeCell ref="D35:M35"/>
    <mergeCell ref="N35:P35"/>
    <mergeCell ref="Q35:S35"/>
    <mergeCell ref="D32:M32"/>
    <mergeCell ref="N32:P32"/>
    <mergeCell ref="Q32:S32"/>
    <mergeCell ref="D33:M33"/>
    <mergeCell ref="N33:P33"/>
    <mergeCell ref="Q33:S33"/>
    <mergeCell ref="D38:M38"/>
    <mergeCell ref="N38:P38"/>
    <mergeCell ref="Q38:S38"/>
    <mergeCell ref="D39:M39"/>
    <mergeCell ref="N39:P39"/>
    <mergeCell ref="Q39:S39"/>
    <mergeCell ref="D36:M36"/>
    <mergeCell ref="N36:P36"/>
    <mergeCell ref="Q36:S36"/>
    <mergeCell ref="D37:M37"/>
    <mergeCell ref="N37:P37"/>
    <mergeCell ref="Q37:S37"/>
    <mergeCell ref="D42:M42"/>
    <mergeCell ref="N42:P42"/>
    <mergeCell ref="Q42:S42"/>
    <mergeCell ref="D43:M43"/>
    <mergeCell ref="N43:P43"/>
    <mergeCell ref="Q43:S43"/>
    <mergeCell ref="D40:M40"/>
    <mergeCell ref="N40:P40"/>
    <mergeCell ref="Q40:S40"/>
    <mergeCell ref="D41:M41"/>
    <mergeCell ref="N41:P41"/>
    <mergeCell ref="Q41:S41"/>
    <mergeCell ref="D46:M46"/>
    <mergeCell ref="N46:P46"/>
    <mergeCell ref="Q46:S46"/>
    <mergeCell ref="D47:M47"/>
    <mergeCell ref="N47:P47"/>
    <mergeCell ref="Q47:S47"/>
    <mergeCell ref="D44:M44"/>
    <mergeCell ref="N44:P44"/>
    <mergeCell ref="Q44:S44"/>
    <mergeCell ref="D45:M45"/>
    <mergeCell ref="N45:P45"/>
    <mergeCell ref="Q45:S45"/>
    <mergeCell ref="D48:S48"/>
    <mergeCell ref="D50:S50"/>
    <mergeCell ref="B52:C57"/>
    <mergeCell ref="D52:S52"/>
    <mergeCell ref="U52:W52"/>
    <mergeCell ref="D53:S53"/>
    <mergeCell ref="D54:S54"/>
    <mergeCell ref="D55:S55"/>
    <mergeCell ref="D56:N56"/>
    <mergeCell ref="P56:S56"/>
    <mergeCell ref="D57:S57"/>
    <mergeCell ref="D59:S59"/>
    <mergeCell ref="D60:S60"/>
    <mergeCell ref="D61:S61"/>
    <mergeCell ref="H62:L62"/>
    <mergeCell ref="D63:H63"/>
    <mergeCell ref="I63:K63"/>
    <mergeCell ref="L63:P63"/>
    <mergeCell ref="Q63:S63"/>
    <mergeCell ref="D71:S71"/>
    <mergeCell ref="D72:S72"/>
    <mergeCell ref="D74:S74"/>
    <mergeCell ref="D75:S75"/>
    <mergeCell ref="D76:S76"/>
    <mergeCell ref="D77:S77"/>
    <mergeCell ref="D64:S64"/>
    <mergeCell ref="D65:S65"/>
    <mergeCell ref="D66:S66"/>
    <mergeCell ref="D68:S68"/>
    <mergeCell ref="D69:S69"/>
    <mergeCell ref="D70:S70"/>
    <mergeCell ref="D85:S85"/>
    <mergeCell ref="D86:S86"/>
    <mergeCell ref="C89:AI89"/>
    <mergeCell ref="D78:S78"/>
    <mergeCell ref="D79:S79"/>
    <mergeCell ref="D81:S81"/>
    <mergeCell ref="D82:S82"/>
    <mergeCell ref="D83:S83"/>
    <mergeCell ref="D84:S84"/>
  </mergeCells>
  <conditionalFormatting sqref="O14:S14">
    <cfRule type="cellIs" dxfId="133" priority="1" operator="lessThan">
      <formula>0</formula>
    </cfRule>
    <cfRule type="cellIs" dxfId="132" priority="2" operator="greaterThan">
      <formula>0</formula>
    </cfRule>
  </conditionalFormatting>
  <dataValidations disablePrompts="1" count="5">
    <dataValidation type="list" allowBlank="1" showInputMessage="1" showErrorMessage="1" sqref="I63" xr:uid="{091AC39C-192B-4CCF-8790-24ECA3491FB3}">
      <formula1>"Appreciation, Cap Rate"</formula1>
    </dataValidation>
    <dataValidation type="list" allowBlank="1" showErrorMessage="1" sqref="Q24:Q25" xr:uid="{96B07AB0-EC6F-4A95-A34E-B7970F0BD599}">
      <formula1>$K$91:$K$92</formula1>
    </dataValidation>
    <dataValidation type="list" allowBlank="1" showErrorMessage="1" sqref="Q45:Q47" xr:uid="{D487CC91-BA11-4E8B-BF16-96554DA722AE}">
      <formula1>"per month,per year,% of GSI,% of GOI"</formula1>
    </dataValidation>
    <dataValidation type="list" allowBlank="1" showErrorMessage="1" sqref="Q26 Q18:Q22" xr:uid="{26C2AD46-10E9-4F35-A986-748669F08C8D}">
      <formula1>$D$91:$D$92</formula1>
    </dataValidation>
    <dataValidation type="list" allowBlank="1" showErrorMessage="1" sqref="Q31:Q44" xr:uid="{D4EE3913-F50E-463F-808A-E63DCAC64FC2}">
      <formula1>"per year,per month,% of GSI,% of GOI"</formula1>
    </dataValidation>
  </dataValidations>
  <pageMargins left="0.7" right="0.7" top="0.75" bottom="0.75" header="0.3" footer="0.3"/>
  <pageSetup orientation="portrait" horizontalDpi="200" verticalDpi="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03F02-9841-419A-B2C1-147F6D2DD4AC}">
  <sheetPr codeName="wsPURCHASE_ANALYSIS">
    <tabColor rgb="FF4F81BD"/>
  </sheetPr>
  <dimension ref="A1:AT83"/>
  <sheetViews>
    <sheetView showGridLines="0" showRowColHeaders="0" zoomScaleNormal="100" workbookViewId="0">
      <pane ySplit="4" topLeftCell="A5" activePane="bottomLeft" state="frozen"/>
      <selection pane="bottomLeft" activeCell="AA7" sqref="AA7:AE7"/>
    </sheetView>
  </sheetViews>
  <sheetFormatPr defaultColWidth="11.19921875" defaultRowHeight="15" customHeight="1"/>
  <cols>
    <col min="1" max="33" width="4.6484375" style="1443" customWidth="1"/>
    <col min="34" max="34" width="2" style="1443" customWidth="1"/>
    <col min="35" max="46" width="4.6484375" style="1443" customWidth="1"/>
    <col min="47" max="16384" width="11.19921875" style="1443"/>
  </cols>
  <sheetData>
    <row r="1" spans="1:46" ht="45" customHeight="1">
      <c r="A1" s="977"/>
      <c r="B1" s="977"/>
      <c r="C1" s="977"/>
      <c r="D1" s="977"/>
      <c r="E1" s="977"/>
      <c r="F1" s="977"/>
      <c r="G1" s="977"/>
      <c r="H1" s="977"/>
      <c r="I1" s="977"/>
      <c r="J1" s="977"/>
      <c r="K1" s="977"/>
      <c r="L1" s="977"/>
      <c r="M1" s="978"/>
      <c r="N1" s="978"/>
      <c r="O1" s="978"/>
      <c r="P1" s="978"/>
      <c r="Q1" s="978"/>
      <c r="R1" s="978"/>
      <c r="S1" s="978"/>
      <c r="T1" s="978"/>
      <c r="U1" s="978"/>
      <c r="V1" s="978"/>
      <c r="W1" s="978"/>
      <c r="X1" s="978"/>
      <c r="Y1" s="978"/>
      <c r="Z1" s="978"/>
      <c r="AA1" s="978"/>
      <c r="AB1" s="978"/>
      <c r="AC1" s="978"/>
      <c r="AD1" s="978"/>
      <c r="AE1" s="978"/>
      <c r="AF1" s="978"/>
      <c r="AG1" s="978"/>
      <c r="AH1" s="978"/>
      <c r="AI1" s="978"/>
      <c r="AJ1" s="977"/>
      <c r="AK1" s="977"/>
      <c r="AL1" s="977"/>
      <c r="AM1" s="977"/>
      <c r="AN1" s="977"/>
      <c r="AO1" s="977"/>
      <c r="AP1" s="977"/>
      <c r="AQ1" s="977"/>
      <c r="AR1" s="977"/>
      <c r="AS1" s="977"/>
      <c r="AT1" s="977"/>
    </row>
    <row r="2" spans="1:46" ht="7.5" customHeight="1">
      <c r="A2" s="3359"/>
      <c r="B2" s="3245"/>
      <c r="C2" s="3245"/>
      <c r="D2" s="3360" t="s">
        <v>1838</v>
      </c>
      <c r="E2" s="3361"/>
      <c r="F2" s="3361"/>
      <c r="G2" s="3361"/>
      <c r="H2" s="3359" t="s">
        <v>1837</v>
      </c>
      <c r="I2" s="3245"/>
      <c r="J2" s="3245"/>
      <c r="K2" s="3245"/>
      <c r="L2" s="3359" t="s">
        <v>1750</v>
      </c>
      <c r="M2" s="3245"/>
      <c r="N2" s="3245"/>
      <c r="O2" s="3245"/>
      <c r="P2" s="979"/>
      <c r="Q2" s="979"/>
      <c r="R2" s="979"/>
      <c r="S2" s="979"/>
      <c r="T2" s="980"/>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c r="AT2" s="980"/>
    </row>
    <row r="3" spans="1:46" ht="21.75" customHeight="1">
      <c r="A3" s="3245"/>
      <c r="B3" s="3245"/>
      <c r="C3" s="3245"/>
      <c r="D3" s="3361"/>
      <c r="E3" s="3361"/>
      <c r="F3" s="3361"/>
      <c r="G3" s="3361"/>
      <c r="H3" s="3245"/>
      <c r="I3" s="3245"/>
      <c r="J3" s="3245"/>
      <c r="K3" s="3245"/>
      <c r="L3" s="3245"/>
      <c r="M3" s="3245"/>
      <c r="N3" s="3245"/>
      <c r="O3" s="3245"/>
      <c r="P3" s="979"/>
      <c r="Q3" s="979"/>
      <c r="R3" s="979"/>
      <c r="S3" s="979"/>
      <c r="T3" s="979"/>
      <c r="U3" s="979"/>
      <c r="V3" s="979"/>
      <c r="W3" s="980"/>
      <c r="X3" s="979"/>
      <c r="Y3" s="979"/>
      <c r="Z3" s="979"/>
      <c r="AA3" s="980"/>
      <c r="AB3" s="980"/>
      <c r="AC3" s="980"/>
      <c r="AD3" s="980"/>
      <c r="AE3" s="980"/>
      <c r="AF3" s="980"/>
      <c r="AG3" s="980"/>
      <c r="AH3" s="980"/>
      <c r="AI3" s="980"/>
      <c r="AJ3" s="980"/>
      <c r="AK3" s="980"/>
      <c r="AL3" s="980"/>
      <c r="AM3" s="980"/>
      <c r="AN3" s="980"/>
      <c r="AO3" s="980"/>
      <c r="AP3" s="980"/>
      <c r="AQ3" s="980"/>
      <c r="AR3" s="980"/>
      <c r="AS3" s="980"/>
      <c r="AT3" s="980"/>
    </row>
    <row r="4" spans="1:46" ht="6.75" customHeight="1">
      <c r="A4" s="3245"/>
      <c r="B4" s="3245"/>
      <c r="C4" s="3245"/>
      <c r="D4" s="3361"/>
      <c r="E4" s="3361"/>
      <c r="F4" s="3361"/>
      <c r="G4" s="3361"/>
      <c r="H4" s="3245"/>
      <c r="I4" s="3245"/>
      <c r="J4" s="3245"/>
      <c r="K4" s="3245"/>
      <c r="L4" s="3245"/>
      <c r="M4" s="3245"/>
      <c r="N4" s="3245"/>
      <c r="O4" s="3245"/>
      <c r="P4" s="979"/>
      <c r="Q4" s="979"/>
      <c r="R4" s="979"/>
      <c r="S4" s="979"/>
      <c r="T4" s="980"/>
      <c r="U4" s="980"/>
      <c r="V4" s="980"/>
      <c r="W4" s="980"/>
      <c r="X4" s="980"/>
      <c r="Y4" s="980"/>
      <c r="Z4" s="980"/>
      <c r="AA4" s="980"/>
      <c r="AB4" s="980"/>
      <c r="AC4" s="980"/>
      <c r="AD4" s="980"/>
      <c r="AE4" s="980"/>
      <c r="AF4" s="980"/>
      <c r="AG4" s="980"/>
      <c r="AH4" s="980"/>
      <c r="AI4" s="980"/>
      <c r="AJ4" s="980"/>
      <c r="AK4" s="980"/>
      <c r="AL4" s="980"/>
      <c r="AM4" s="980"/>
      <c r="AN4" s="980"/>
      <c r="AO4" s="980"/>
      <c r="AP4" s="980"/>
      <c r="AQ4" s="980"/>
      <c r="AR4" s="980"/>
      <c r="AS4" s="980"/>
      <c r="AT4" s="980"/>
    </row>
    <row r="5" spans="1:46" ht="17.25" customHeight="1">
      <c r="A5" s="981"/>
      <c r="B5" s="981"/>
      <c r="C5" s="981"/>
      <c r="D5" s="981"/>
      <c r="E5" s="981"/>
      <c r="F5" s="981"/>
      <c r="G5" s="981"/>
      <c r="H5" s="981"/>
      <c r="I5" s="981"/>
      <c r="J5" s="981"/>
      <c r="K5" s="981"/>
      <c r="L5" s="981"/>
      <c r="M5" s="3362"/>
      <c r="N5" s="3245"/>
      <c r="O5" s="3245"/>
      <c r="P5" s="3245"/>
      <c r="Q5" s="3245"/>
      <c r="R5" s="3245"/>
      <c r="S5" s="3245"/>
      <c r="T5" s="3245"/>
      <c r="U5" s="3245"/>
      <c r="V5" s="3245"/>
      <c r="W5" s="3245"/>
      <c r="X5" s="3245"/>
      <c r="Y5" s="3245"/>
      <c r="Z5" s="3245"/>
      <c r="AA5" s="3245"/>
      <c r="AB5" s="3245"/>
      <c r="AC5" s="3245"/>
      <c r="AD5" s="3245"/>
      <c r="AE5" s="3245"/>
      <c r="AF5" s="3245"/>
      <c r="AG5" s="3245"/>
      <c r="AH5" s="982"/>
      <c r="AI5" s="983"/>
      <c r="AJ5" s="982"/>
      <c r="AK5" s="982"/>
      <c r="AL5" s="982"/>
      <c r="AM5" s="982"/>
      <c r="AN5" s="982"/>
      <c r="AO5" s="982"/>
      <c r="AP5" s="982"/>
      <c r="AQ5" s="982"/>
      <c r="AR5" s="982"/>
      <c r="AS5" s="982"/>
      <c r="AT5" s="982"/>
    </row>
    <row r="6" spans="1:46" ht="24.75" customHeight="1">
      <c r="A6" s="981"/>
      <c r="B6" s="3357" t="s">
        <v>1838</v>
      </c>
      <c r="C6" s="3358"/>
      <c r="D6" s="3358"/>
      <c r="E6" s="3358"/>
      <c r="F6" s="3358"/>
      <c r="G6" s="3358"/>
      <c r="H6" s="3358"/>
      <c r="I6" s="3358"/>
      <c r="J6" s="981"/>
      <c r="K6" s="3305" t="s">
        <v>1703</v>
      </c>
      <c r="L6" s="3306"/>
      <c r="M6" s="3306"/>
      <c r="N6" s="3306"/>
      <c r="O6" s="3306"/>
      <c r="P6" s="3306"/>
      <c r="Q6" s="3306"/>
      <c r="R6" s="3306"/>
      <c r="S6" s="3306"/>
      <c r="T6" s="3306"/>
      <c r="U6" s="3306"/>
      <c r="V6" s="3306"/>
      <c r="W6" s="3306"/>
      <c r="X6" s="3306"/>
      <c r="Y6" s="3306"/>
      <c r="Z6" s="3307"/>
      <c r="AA6" s="3308" t="s">
        <v>1704</v>
      </c>
      <c r="AB6" s="3306"/>
      <c r="AC6" s="3306"/>
      <c r="AD6" s="3306"/>
      <c r="AE6" s="3307"/>
      <c r="AF6" s="981"/>
      <c r="AG6" s="981"/>
      <c r="AH6" s="982"/>
      <c r="AI6" s="983"/>
      <c r="AJ6" s="982"/>
      <c r="AK6" s="982"/>
      <c r="AL6" s="982"/>
      <c r="AM6" s="982"/>
      <c r="AN6" s="982"/>
      <c r="AO6" s="982"/>
      <c r="AP6" s="982"/>
      <c r="AQ6" s="982"/>
      <c r="AR6" s="982"/>
      <c r="AS6" s="982"/>
      <c r="AT6" s="982"/>
    </row>
    <row r="7" spans="1:46" ht="24.75" customHeight="1">
      <c r="A7" s="981"/>
      <c r="B7" s="3358"/>
      <c r="C7" s="3358"/>
      <c r="D7" s="3358"/>
      <c r="E7" s="3358"/>
      <c r="F7" s="3358"/>
      <c r="G7" s="3358"/>
      <c r="H7" s="3358"/>
      <c r="I7" s="3358"/>
      <c r="J7" s="984"/>
      <c r="K7" s="3283" t="s">
        <v>1203</v>
      </c>
      <c r="L7" s="3256"/>
      <c r="M7" s="3256"/>
      <c r="N7" s="3256"/>
      <c r="O7" s="3256"/>
      <c r="P7" s="3256"/>
      <c r="Q7" s="3256"/>
      <c r="R7" s="3256"/>
      <c r="S7" s="3256"/>
      <c r="T7" s="3256"/>
      <c r="U7" s="3256"/>
      <c r="V7" s="3256"/>
      <c r="W7" s="3256"/>
      <c r="X7" s="3256"/>
      <c r="Y7" s="3256"/>
      <c r="Z7" s="3257"/>
      <c r="AA7" s="3296"/>
      <c r="AB7" s="3280"/>
      <c r="AC7" s="3280"/>
      <c r="AD7" s="3280"/>
      <c r="AE7" s="3281"/>
      <c r="AF7" s="981"/>
      <c r="AG7" s="981"/>
      <c r="AH7" s="982"/>
      <c r="AI7" s="983"/>
      <c r="AJ7" s="982"/>
      <c r="AK7" s="982"/>
      <c r="AL7" s="982"/>
      <c r="AM7" s="982"/>
      <c r="AN7" s="982"/>
      <c r="AO7" s="982"/>
      <c r="AP7" s="982"/>
      <c r="AQ7" s="982"/>
      <c r="AR7" s="982"/>
      <c r="AS7" s="982"/>
      <c r="AT7" s="982"/>
    </row>
    <row r="8" spans="1:46" ht="24.75" customHeight="1">
      <c r="A8" s="981"/>
      <c r="B8" s="3363" t="s">
        <v>1705</v>
      </c>
      <c r="C8" s="3363"/>
      <c r="D8" s="3363"/>
      <c r="E8" s="3363"/>
      <c r="F8" s="3363"/>
      <c r="G8" s="3363"/>
      <c r="H8" s="3363"/>
      <c r="I8" s="3363"/>
      <c r="J8" s="984"/>
      <c r="K8" s="982"/>
      <c r="L8" s="982"/>
      <c r="M8" s="982"/>
      <c r="N8" s="982"/>
      <c r="O8" s="982"/>
      <c r="P8" s="982"/>
      <c r="Q8" s="982"/>
      <c r="R8" s="982"/>
      <c r="S8" s="982"/>
      <c r="T8" s="982"/>
      <c r="U8" s="982"/>
      <c r="V8" s="982"/>
      <c r="W8" s="982"/>
      <c r="X8" s="982"/>
      <c r="Y8" s="982"/>
      <c r="Z8" s="982"/>
      <c r="AA8" s="982"/>
      <c r="AB8" s="982"/>
      <c r="AC8" s="982"/>
      <c r="AD8" s="982"/>
      <c r="AE8" s="982"/>
      <c r="AF8" s="981"/>
      <c r="AG8" s="981"/>
      <c r="AH8" s="982"/>
      <c r="AI8" s="983"/>
      <c r="AJ8" s="982"/>
      <c r="AK8" s="982"/>
      <c r="AL8" s="982"/>
      <c r="AM8" s="982"/>
      <c r="AN8" s="982"/>
      <c r="AO8" s="982"/>
      <c r="AP8" s="982"/>
      <c r="AQ8" s="982"/>
      <c r="AR8" s="982"/>
      <c r="AS8" s="982"/>
      <c r="AT8" s="982"/>
    </row>
    <row r="9" spans="1:46" ht="24.75" customHeight="1">
      <c r="A9" s="981"/>
      <c r="B9" s="3363"/>
      <c r="C9" s="3363"/>
      <c r="D9" s="3363"/>
      <c r="E9" s="3363"/>
      <c r="F9" s="3363"/>
      <c r="G9" s="3363"/>
      <c r="H9" s="3363"/>
      <c r="I9" s="3363"/>
      <c r="J9" s="984"/>
      <c r="K9" s="3305" t="s">
        <v>74</v>
      </c>
      <c r="L9" s="3306"/>
      <c r="M9" s="3306"/>
      <c r="N9" s="3306"/>
      <c r="O9" s="3306"/>
      <c r="P9" s="3306"/>
      <c r="Q9" s="3306"/>
      <c r="R9" s="3306"/>
      <c r="S9" s="3306"/>
      <c r="T9" s="3306"/>
      <c r="U9" s="3306"/>
      <c r="V9" s="3306"/>
      <c r="W9" s="3306"/>
      <c r="X9" s="3306"/>
      <c r="Y9" s="3306"/>
      <c r="Z9" s="3307"/>
      <c r="AA9" s="3308" t="s">
        <v>1704</v>
      </c>
      <c r="AB9" s="3306"/>
      <c r="AC9" s="3306"/>
      <c r="AD9" s="3306"/>
      <c r="AE9" s="3307"/>
      <c r="AF9" s="981"/>
      <c r="AG9" s="981"/>
      <c r="AH9" s="985"/>
      <c r="AI9" s="3269"/>
      <c r="AJ9" s="3245"/>
      <c r="AK9" s="981"/>
      <c r="AL9" s="981"/>
      <c r="AM9" s="981"/>
      <c r="AN9" s="981"/>
      <c r="AO9" s="981"/>
      <c r="AP9" s="981"/>
      <c r="AQ9" s="981"/>
      <c r="AR9" s="981"/>
      <c r="AS9" s="981"/>
      <c r="AT9" s="981"/>
    </row>
    <row r="10" spans="1:46" ht="24.75" customHeight="1">
      <c r="A10" s="981"/>
      <c r="B10" s="3363"/>
      <c r="C10" s="3363"/>
      <c r="D10" s="3363"/>
      <c r="E10" s="3363"/>
      <c r="F10" s="3363"/>
      <c r="G10" s="3363"/>
      <c r="H10" s="3363"/>
      <c r="I10" s="3363"/>
      <c r="J10" s="984"/>
      <c r="K10" s="3348" t="s">
        <v>794</v>
      </c>
      <c r="L10" s="3249"/>
      <c r="M10" s="3249"/>
      <c r="N10" s="3249"/>
      <c r="O10" s="3249"/>
      <c r="P10" s="3249"/>
      <c r="Q10" s="3249"/>
      <c r="R10" s="986"/>
      <c r="S10" s="986"/>
      <c r="T10" s="986"/>
      <c r="U10" s="986"/>
      <c r="V10" s="986"/>
      <c r="W10" s="3349" t="str">
        <f>IF(R11="% of Purchase","% of Purch","")</f>
        <v>% of Purch</v>
      </c>
      <c r="X10" s="3249"/>
      <c r="Y10" s="3249"/>
      <c r="Z10" s="3249"/>
      <c r="AA10" s="3335"/>
      <c r="AB10" s="3336"/>
      <c r="AC10" s="3336"/>
      <c r="AD10" s="3336"/>
      <c r="AE10" s="3350"/>
      <c r="AF10" s="981"/>
      <c r="AG10" s="981"/>
      <c r="AH10" s="1444"/>
      <c r="AI10" s="3269"/>
      <c r="AJ10" s="3245"/>
      <c r="AK10" s="981"/>
      <c r="AL10" s="981"/>
      <c r="AM10" s="981"/>
      <c r="AN10" s="981"/>
      <c r="AO10" s="981"/>
      <c r="AP10" s="981"/>
      <c r="AQ10" s="981"/>
      <c r="AR10" s="981"/>
      <c r="AS10" s="981"/>
      <c r="AT10" s="981"/>
    </row>
    <row r="11" spans="1:46" ht="24.75" customHeight="1" thickBot="1">
      <c r="A11" s="981"/>
      <c r="B11" s="984"/>
      <c r="C11" s="984"/>
      <c r="D11" s="984"/>
      <c r="E11" s="984"/>
      <c r="F11" s="984"/>
      <c r="G11" s="984"/>
      <c r="H11" s="984"/>
      <c r="I11" s="984"/>
      <c r="J11" s="984"/>
      <c r="K11" s="3351" t="s">
        <v>74</v>
      </c>
      <c r="L11" s="3287"/>
      <c r="M11" s="3287"/>
      <c r="N11" s="3287"/>
      <c r="O11" s="3287"/>
      <c r="P11" s="3287"/>
      <c r="Q11" s="3287"/>
      <c r="R11" s="3352" t="s">
        <v>1706</v>
      </c>
      <c r="S11" s="3353"/>
      <c r="T11" s="3353"/>
      <c r="U11" s="3353"/>
      <c r="V11" s="3353"/>
      <c r="W11" s="3354">
        <v>0.03</v>
      </c>
      <c r="X11" s="3353"/>
      <c r="Y11" s="3353"/>
      <c r="Z11" s="3355"/>
      <c r="AA11" s="3314">
        <f>Purchase_Price*Percent_of_Purchase_Cell</f>
        <v>0</v>
      </c>
      <c r="AB11" s="3287"/>
      <c r="AC11" s="3287"/>
      <c r="AD11" s="3287"/>
      <c r="AE11" s="3356"/>
      <c r="AF11" s="981"/>
      <c r="AG11" s="981"/>
      <c r="AH11" s="1444"/>
      <c r="AI11" s="3269"/>
      <c r="AJ11" s="3245"/>
      <c r="AK11" s="981"/>
      <c r="AL11" s="981"/>
      <c r="AM11" s="981"/>
      <c r="AN11" s="981"/>
      <c r="AO11" s="981"/>
      <c r="AP11" s="981"/>
      <c r="AQ11" s="981"/>
      <c r="AR11" s="981"/>
      <c r="AS11" s="981"/>
      <c r="AT11" s="981"/>
    </row>
    <row r="12" spans="1:46" ht="24.75" customHeight="1" thickTop="1">
      <c r="A12" s="981"/>
      <c r="B12" s="984"/>
      <c r="C12" s="984"/>
      <c r="D12" s="984"/>
      <c r="E12" s="984"/>
      <c r="F12" s="984"/>
      <c r="G12" s="984"/>
      <c r="H12" s="984"/>
      <c r="I12" s="984"/>
      <c r="J12" s="984"/>
      <c r="K12" s="3338" t="s">
        <v>1707</v>
      </c>
      <c r="L12" s="3339"/>
      <c r="M12" s="3339"/>
      <c r="N12" s="3339"/>
      <c r="O12" s="3339"/>
      <c r="P12" s="3339"/>
      <c r="Q12" s="3339"/>
      <c r="R12" s="3339"/>
      <c r="S12" s="3339"/>
      <c r="T12" s="3339"/>
      <c r="U12" s="3339"/>
      <c r="V12" s="3339"/>
      <c r="W12" s="3339"/>
      <c r="X12" s="3339"/>
      <c r="Y12" s="3339"/>
      <c r="Z12" s="3339"/>
      <c r="AA12" s="3340">
        <f>SUM(AA10:AE11)</f>
        <v>0</v>
      </c>
      <c r="AB12" s="3339"/>
      <c r="AC12" s="3339"/>
      <c r="AD12" s="3339"/>
      <c r="AE12" s="3341"/>
      <c r="AF12" s="981"/>
      <c r="AG12" s="981"/>
      <c r="AH12" s="1444"/>
      <c r="AI12" s="3269"/>
      <c r="AJ12" s="3245"/>
      <c r="AK12" s="981"/>
      <c r="AL12" s="981"/>
      <c r="AM12" s="981"/>
      <c r="AN12" s="981"/>
      <c r="AO12" s="981"/>
      <c r="AP12" s="981"/>
      <c r="AQ12" s="981"/>
      <c r="AR12" s="981"/>
      <c r="AS12" s="981"/>
      <c r="AT12" s="981"/>
    </row>
    <row r="13" spans="1:46" ht="24.75" customHeight="1">
      <c r="A13" s="981"/>
      <c r="B13" s="984"/>
      <c r="C13" s="984"/>
      <c r="D13" s="984"/>
      <c r="E13" s="984"/>
      <c r="F13" s="984"/>
      <c r="G13" s="984"/>
      <c r="H13" s="984"/>
      <c r="I13" s="984"/>
      <c r="J13" s="984"/>
      <c r="K13" s="982"/>
      <c r="L13" s="982"/>
      <c r="M13" s="982"/>
      <c r="N13" s="982"/>
      <c r="O13" s="982"/>
      <c r="P13" s="982"/>
      <c r="Q13" s="982"/>
      <c r="R13" s="982"/>
      <c r="S13" s="982"/>
      <c r="T13" s="982"/>
      <c r="U13" s="982"/>
      <c r="V13" s="982"/>
      <c r="W13" s="982"/>
      <c r="X13" s="982"/>
      <c r="Y13" s="982"/>
      <c r="Z13" s="982"/>
      <c r="AA13" s="982"/>
      <c r="AB13" s="982"/>
      <c r="AC13" s="982"/>
      <c r="AD13" s="982"/>
      <c r="AE13" s="982"/>
      <c r="AF13" s="981"/>
      <c r="AG13" s="981"/>
      <c r="AH13" s="982"/>
      <c r="AI13" s="982"/>
      <c r="AJ13" s="982"/>
      <c r="AK13" s="982"/>
      <c r="AL13" s="982"/>
      <c r="AM13" s="982"/>
      <c r="AN13" s="982"/>
      <c r="AO13" s="982"/>
      <c r="AP13" s="982"/>
      <c r="AQ13" s="982"/>
      <c r="AR13" s="982"/>
      <c r="AS13" s="982"/>
      <c r="AT13" s="982"/>
    </row>
    <row r="14" spans="1:46" ht="24.75" customHeight="1">
      <c r="A14" s="981"/>
      <c r="B14" s="984"/>
      <c r="C14" s="984"/>
      <c r="D14" s="984"/>
      <c r="E14" s="984"/>
      <c r="F14" s="984"/>
      <c r="G14" s="984"/>
      <c r="H14" s="984"/>
      <c r="I14" s="984"/>
      <c r="J14" s="984"/>
      <c r="K14" s="3305" t="s">
        <v>84</v>
      </c>
      <c r="L14" s="3306"/>
      <c r="M14" s="3306"/>
      <c r="N14" s="3306"/>
      <c r="O14" s="3306"/>
      <c r="P14" s="3306"/>
      <c r="Q14" s="3306"/>
      <c r="R14" s="3306"/>
      <c r="S14" s="3306"/>
      <c r="T14" s="3306"/>
      <c r="U14" s="3306"/>
      <c r="V14" s="3306"/>
      <c r="W14" s="3306"/>
      <c r="X14" s="3306"/>
      <c r="Y14" s="3306"/>
      <c r="Z14" s="3307"/>
      <c r="AA14" s="3308" t="s">
        <v>1704</v>
      </c>
      <c r="AB14" s="3306"/>
      <c r="AC14" s="3306"/>
      <c r="AD14" s="3306"/>
      <c r="AE14" s="3307"/>
      <c r="AF14" s="981"/>
      <c r="AG14" s="981"/>
      <c r="AH14" s="981"/>
      <c r="AI14" s="981"/>
      <c r="AJ14" s="981"/>
      <c r="AK14" s="982"/>
      <c r="AL14" s="982"/>
      <c r="AM14" s="982"/>
      <c r="AN14" s="982"/>
      <c r="AO14" s="982"/>
      <c r="AP14" s="982"/>
      <c r="AQ14" s="982"/>
      <c r="AR14" s="982"/>
      <c r="AS14" s="982"/>
      <c r="AT14" s="982"/>
    </row>
    <row r="15" spans="1:46" ht="24.75" customHeight="1">
      <c r="A15" s="981"/>
      <c r="B15" s="984"/>
      <c r="C15" s="984"/>
      <c r="D15" s="984"/>
      <c r="E15" s="984"/>
      <c r="F15" s="984"/>
      <c r="G15" s="984"/>
      <c r="H15" s="984"/>
      <c r="I15" s="984"/>
      <c r="J15" s="984"/>
      <c r="K15" s="3283" t="s">
        <v>1708</v>
      </c>
      <c r="L15" s="3256"/>
      <c r="M15" s="3256"/>
      <c r="N15" s="3256"/>
      <c r="O15" s="3256"/>
      <c r="P15" s="3256"/>
      <c r="Q15" s="3257"/>
      <c r="R15" s="3342" t="s">
        <v>1830</v>
      </c>
      <c r="S15" s="3280"/>
      <c r="T15" s="3280"/>
      <c r="U15" s="3280"/>
      <c r="V15" s="3281"/>
      <c r="W15" s="3343">
        <v>35</v>
      </c>
      <c r="X15" s="3280"/>
      <c r="Y15" s="3280"/>
      <c r="Z15" s="3281"/>
      <c r="AA15" s="3344">
        <f>Property_Size*Construction_Costs_Dollar_per_SF</f>
        <v>0</v>
      </c>
      <c r="AB15" s="3249"/>
      <c r="AC15" s="3249"/>
      <c r="AD15" s="3249"/>
      <c r="AE15" s="3345"/>
      <c r="AF15" s="3346" t="str">
        <f>IF(Construction_Costs_Dropdown="$ per SF","Note: Construction Costs are calculated by mutiplying $ per SF * Square Footage",IF(Construction_Costs_Dropdown="Detailed","Note: Detailed Estimate information feeds from Estimator tool",""))</f>
        <v>Note: Construction Costs are calculated by mutiplying $ per SF * Square Footage</v>
      </c>
      <c r="AG15" s="3347"/>
      <c r="AH15" s="3347"/>
      <c r="AI15" s="3347"/>
      <c r="AJ15" s="3347"/>
      <c r="AK15" s="3347"/>
      <c r="AL15" s="3347"/>
      <c r="AM15" s="3347"/>
      <c r="AN15" s="3347"/>
      <c r="AO15" s="3347"/>
      <c r="AP15" s="3347"/>
      <c r="AQ15" s="3347"/>
      <c r="AR15" s="3347"/>
      <c r="AS15" s="3347"/>
      <c r="AT15" s="3347"/>
    </row>
    <row r="16" spans="1:46" ht="24.75" customHeight="1">
      <c r="A16" s="981"/>
      <c r="B16" s="984"/>
      <c r="C16" s="984"/>
      <c r="D16" s="984"/>
      <c r="E16" s="984"/>
      <c r="F16" s="984"/>
      <c r="G16" s="984"/>
      <c r="H16" s="984"/>
      <c r="I16" s="984"/>
      <c r="J16" s="984"/>
      <c r="K16" s="982"/>
      <c r="L16" s="982"/>
      <c r="M16" s="982"/>
      <c r="N16" s="982"/>
      <c r="O16" s="982"/>
      <c r="P16" s="982"/>
      <c r="Q16" s="982"/>
      <c r="R16" s="982"/>
      <c r="S16" s="982"/>
      <c r="T16" s="982"/>
      <c r="U16" s="982"/>
      <c r="V16" s="982"/>
      <c r="W16" s="982"/>
      <c r="X16" s="982"/>
      <c r="Y16" s="982"/>
      <c r="Z16" s="982"/>
      <c r="AA16" s="982"/>
      <c r="AB16" s="982"/>
      <c r="AC16" s="982"/>
      <c r="AD16" s="982"/>
      <c r="AE16" s="982"/>
      <c r="AF16" s="981"/>
      <c r="AG16" s="981"/>
      <c r="AH16" s="982"/>
      <c r="AI16" s="982"/>
      <c r="AJ16" s="982"/>
      <c r="AK16" s="982"/>
      <c r="AL16" s="982"/>
      <c r="AM16" s="982"/>
      <c r="AN16" s="982"/>
      <c r="AO16" s="982"/>
      <c r="AP16" s="982"/>
      <c r="AQ16" s="982"/>
      <c r="AR16" s="982"/>
      <c r="AS16" s="982"/>
      <c r="AT16" s="982"/>
    </row>
    <row r="17" spans="1:46" ht="24.75" customHeight="1">
      <c r="A17" s="981"/>
      <c r="B17" s="981"/>
      <c r="C17" s="981"/>
      <c r="D17" s="981"/>
      <c r="E17" s="981"/>
      <c r="F17" s="981"/>
      <c r="G17" s="981"/>
      <c r="H17" s="981"/>
      <c r="I17" s="981"/>
      <c r="J17" s="981"/>
      <c r="K17" s="3305" t="s">
        <v>1709</v>
      </c>
      <c r="L17" s="3306"/>
      <c r="M17" s="3306"/>
      <c r="N17" s="3306"/>
      <c r="O17" s="3306"/>
      <c r="P17" s="3306"/>
      <c r="Q17" s="3306"/>
      <c r="R17" s="3306"/>
      <c r="S17" s="3306"/>
      <c r="T17" s="3306"/>
      <c r="U17" s="3306"/>
      <c r="V17" s="3306"/>
      <c r="W17" s="3333" t="s">
        <v>1710</v>
      </c>
      <c r="X17" s="3306"/>
      <c r="Y17" s="3306"/>
      <c r="Z17" s="3306"/>
      <c r="AA17" s="3308" t="s">
        <v>1704</v>
      </c>
      <c r="AB17" s="3306"/>
      <c r="AC17" s="3306"/>
      <c r="AD17" s="3306"/>
      <c r="AE17" s="3307"/>
      <c r="AF17" s="981"/>
      <c r="AG17" s="981"/>
      <c r="AH17" s="982"/>
      <c r="AI17" s="982"/>
      <c r="AJ17" s="982"/>
      <c r="AK17" s="981"/>
      <c r="AL17" s="981"/>
      <c r="AM17" s="981"/>
      <c r="AN17" s="981"/>
      <c r="AO17" s="981"/>
      <c r="AP17" s="982"/>
      <c r="AQ17" s="982"/>
      <c r="AR17" s="981"/>
      <c r="AS17" s="981"/>
      <c r="AT17" s="982"/>
    </row>
    <row r="18" spans="1:46" ht="24.75" customHeight="1">
      <c r="A18" s="981"/>
      <c r="B18" s="981"/>
      <c r="C18" s="981"/>
      <c r="D18" s="981"/>
      <c r="E18" s="981"/>
      <c r="F18" s="981"/>
      <c r="G18" s="981"/>
      <c r="H18" s="981"/>
      <c r="I18" s="981"/>
      <c r="J18" s="981"/>
      <c r="K18" s="3328" t="s">
        <v>76</v>
      </c>
      <c r="L18" s="3245"/>
      <c r="M18" s="3245"/>
      <c r="N18" s="3245"/>
      <c r="O18" s="3245"/>
      <c r="P18" s="3245"/>
      <c r="Q18" s="3245"/>
      <c r="R18" s="3334" t="s">
        <v>1711</v>
      </c>
      <c r="S18" s="3245"/>
      <c r="T18" s="3245"/>
      <c r="U18" s="3245"/>
      <c r="W18" s="3335"/>
      <c r="X18" s="3336"/>
      <c r="Y18" s="3336"/>
      <c r="Z18" s="3337"/>
      <c r="AA18" s="3329">
        <f t="shared" ref="AA18:AA23" si="0">$R$20*W18</f>
        <v>0</v>
      </c>
      <c r="AB18" s="3249"/>
      <c r="AC18" s="3249"/>
      <c r="AD18" s="3249"/>
      <c r="AE18" s="3250"/>
      <c r="AF18" s="981"/>
      <c r="AG18" s="981"/>
      <c r="AH18" s="1444"/>
      <c r="AI18" s="3269"/>
      <c r="AJ18" s="3245"/>
      <c r="AK18" s="981"/>
      <c r="AL18" s="981"/>
      <c r="AM18" s="981"/>
      <c r="AN18" s="981"/>
      <c r="AO18" s="981"/>
      <c r="AP18" s="981"/>
      <c r="AQ18" s="981"/>
      <c r="AR18" s="981"/>
      <c r="AS18" s="981"/>
      <c r="AT18" s="981"/>
    </row>
    <row r="19" spans="1:46" ht="24.75" customHeight="1">
      <c r="A19" s="981"/>
      <c r="B19" s="981"/>
      <c r="C19" s="981"/>
      <c r="D19" s="981"/>
      <c r="E19" s="981"/>
      <c r="F19" s="981"/>
      <c r="G19" s="981"/>
      <c r="H19" s="981"/>
      <c r="I19" s="981"/>
      <c r="J19" s="981"/>
      <c r="K19" s="3328" t="s">
        <v>1712</v>
      </c>
      <c r="L19" s="3245"/>
      <c r="M19" s="3245"/>
      <c r="N19" s="3245"/>
      <c r="O19" s="3245"/>
      <c r="P19" s="3245"/>
      <c r="Q19" s="3245"/>
      <c r="R19" s="3245"/>
      <c r="S19" s="3245"/>
      <c r="T19" s="3245"/>
      <c r="U19" s="3245"/>
      <c r="W19" s="3296"/>
      <c r="X19" s="3280"/>
      <c r="Y19" s="3280"/>
      <c r="Z19" s="3281"/>
      <c r="AA19" s="3329">
        <f t="shared" si="0"/>
        <v>0</v>
      </c>
      <c r="AB19" s="3249"/>
      <c r="AC19" s="3249"/>
      <c r="AD19" s="3249"/>
      <c r="AE19" s="3250"/>
      <c r="AF19" s="981"/>
      <c r="AG19" s="981"/>
      <c r="AH19" s="1444"/>
      <c r="AI19" s="3269"/>
      <c r="AJ19" s="3245"/>
      <c r="AK19" s="981"/>
      <c r="AL19" s="981"/>
      <c r="AM19" s="981"/>
      <c r="AN19" s="981"/>
      <c r="AO19" s="981"/>
      <c r="AP19" s="981"/>
      <c r="AQ19" s="981"/>
      <c r="AR19" s="981"/>
      <c r="AS19" s="981"/>
      <c r="AT19" s="981"/>
    </row>
    <row r="20" spans="1:46" ht="24.75" customHeight="1">
      <c r="A20" s="981"/>
      <c r="B20" s="981"/>
      <c r="C20" s="981"/>
      <c r="D20" s="981"/>
      <c r="E20" s="981"/>
      <c r="F20" s="981"/>
      <c r="G20" s="981"/>
      <c r="H20" s="981"/>
      <c r="I20" s="981"/>
      <c r="J20" s="981"/>
      <c r="K20" s="3328" t="s">
        <v>1713</v>
      </c>
      <c r="L20" s="3245"/>
      <c r="M20" s="3245"/>
      <c r="N20" s="3245"/>
      <c r="O20" s="3245"/>
      <c r="P20" s="3245"/>
      <c r="Q20" s="3245"/>
      <c r="R20" s="3330"/>
      <c r="S20" s="3331"/>
      <c r="T20" s="3331"/>
      <c r="U20" s="3332"/>
      <c r="W20" s="3296"/>
      <c r="X20" s="3280"/>
      <c r="Y20" s="3280"/>
      <c r="Z20" s="3281"/>
      <c r="AA20" s="3329">
        <f t="shared" si="0"/>
        <v>0</v>
      </c>
      <c r="AB20" s="3249"/>
      <c r="AC20" s="3249"/>
      <c r="AD20" s="3249"/>
      <c r="AE20" s="3250"/>
      <c r="AF20" s="981"/>
      <c r="AG20" s="981"/>
      <c r="AH20" s="1444"/>
      <c r="AI20" s="3269"/>
      <c r="AJ20" s="3245"/>
      <c r="AK20" s="982"/>
      <c r="AL20" s="982"/>
      <c r="AM20" s="982"/>
      <c r="AN20" s="982"/>
      <c r="AO20" s="982"/>
      <c r="AP20" s="981"/>
      <c r="AQ20" s="981"/>
      <c r="AR20" s="982"/>
      <c r="AS20" s="982"/>
      <c r="AT20" s="981"/>
    </row>
    <row r="21" spans="1:46" ht="24.75" customHeight="1">
      <c r="A21" s="981"/>
      <c r="B21" s="981"/>
      <c r="C21" s="981"/>
      <c r="D21" s="981"/>
      <c r="E21" s="981"/>
      <c r="F21" s="981"/>
      <c r="G21" s="981"/>
      <c r="H21" s="981"/>
      <c r="I21" s="981"/>
      <c r="J21" s="981"/>
      <c r="K21" s="3328" t="s">
        <v>1714</v>
      </c>
      <c r="L21" s="3245"/>
      <c r="M21" s="3245"/>
      <c r="N21" s="3245"/>
      <c r="O21" s="3245"/>
      <c r="P21" s="3245"/>
      <c r="Q21" s="3245"/>
      <c r="W21" s="3296"/>
      <c r="X21" s="3280"/>
      <c r="Y21" s="3280"/>
      <c r="Z21" s="3281"/>
      <c r="AA21" s="3329">
        <f t="shared" si="0"/>
        <v>0</v>
      </c>
      <c r="AB21" s="3249"/>
      <c r="AC21" s="3249"/>
      <c r="AD21" s="3249"/>
      <c r="AE21" s="3250"/>
      <c r="AF21" s="981"/>
      <c r="AG21" s="981"/>
      <c r="AH21" s="1444"/>
      <c r="AI21" s="3269"/>
      <c r="AJ21" s="3245"/>
      <c r="AK21" s="981"/>
      <c r="AL21" s="981"/>
      <c r="AM21" s="981"/>
      <c r="AN21" s="981"/>
      <c r="AO21" s="981"/>
      <c r="AP21" s="981"/>
      <c r="AQ21" s="981"/>
      <c r="AR21" s="981"/>
      <c r="AS21" s="981"/>
      <c r="AT21" s="981"/>
    </row>
    <row r="22" spans="1:46" ht="24.75" customHeight="1">
      <c r="A22" s="981"/>
      <c r="B22" s="981"/>
      <c r="C22" s="981"/>
      <c r="D22" s="981"/>
      <c r="E22" s="981"/>
      <c r="F22" s="981"/>
      <c r="G22" s="981"/>
      <c r="H22" s="981"/>
      <c r="I22" s="981"/>
      <c r="J22" s="981"/>
      <c r="K22" s="3328" t="s">
        <v>1715</v>
      </c>
      <c r="L22" s="3245"/>
      <c r="M22" s="3245"/>
      <c r="N22" s="3245"/>
      <c r="O22" s="3245"/>
      <c r="P22" s="3245"/>
      <c r="Q22" s="3245"/>
      <c r="W22" s="3296"/>
      <c r="X22" s="3280"/>
      <c r="Y22" s="3280"/>
      <c r="Z22" s="3281"/>
      <c r="AA22" s="3329">
        <f t="shared" si="0"/>
        <v>0</v>
      </c>
      <c r="AB22" s="3249"/>
      <c r="AC22" s="3249"/>
      <c r="AD22" s="3249"/>
      <c r="AE22" s="3250"/>
      <c r="AF22" s="981"/>
      <c r="AG22" s="981"/>
      <c r="AH22" s="1444"/>
      <c r="AI22" s="3269"/>
      <c r="AJ22" s="3245"/>
      <c r="AK22" s="981"/>
      <c r="AL22" s="981"/>
      <c r="AM22" s="981"/>
      <c r="AN22" s="981"/>
      <c r="AO22" s="981"/>
      <c r="AP22" s="982"/>
      <c r="AQ22" s="982"/>
      <c r="AR22" s="981"/>
      <c r="AS22" s="981"/>
      <c r="AT22" s="982"/>
    </row>
    <row r="23" spans="1:46" ht="24.75" customHeight="1" thickBot="1">
      <c r="A23" s="981"/>
      <c r="B23" s="981"/>
      <c r="C23" s="981"/>
      <c r="D23" s="981"/>
      <c r="E23" s="981"/>
      <c r="F23" s="981"/>
      <c r="G23" s="981"/>
      <c r="H23" s="981"/>
      <c r="I23" s="981"/>
      <c r="J23" s="981"/>
      <c r="K23" s="3315" t="s">
        <v>1716</v>
      </c>
      <c r="L23" s="3316"/>
      <c r="M23" s="3316"/>
      <c r="N23" s="3316"/>
      <c r="O23" s="3316"/>
      <c r="P23" s="3316"/>
      <c r="Q23" s="3316"/>
      <c r="R23" s="1445"/>
      <c r="S23" s="1445"/>
      <c r="T23" s="1445"/>
      <c r="U23" s="1445"/>
      <c r="V23" s="1445"/>
      <c r="W23" s="3317"/>
      <c r="X23" s="3318"/>
      <c r="Y23" s="3318"/>
      <c r="Z23" s="3319"/>
      <c r="AA23" s="3320">
        <f t="shared" si="0"/>
        <v>0</v>
      </c>
      <c r="AB23" s="3316"/>
      <c r="AC23" s="3316"/>
      <c r="AD23" s="3316"/>
      <c r="AE23" s="3321"/>
      <c r="AF23" s="981"/>
      <c r="AG23" s="981"/>
      <c r="AH23" s="1444"/>
      <c r="AI23" s="3269"/>
      <c r="AJ23" s="3245"/>
      <c r="AK23" s="981"/>
      <c r="AL23" s="981"/>
      <c r="AM23" s="981"/>
      <c r="AN23" s="981"/>
      <c r="AO23" s="981"/>
      <c r="AP23" s="982"/>
      <c r="AQ23" s="982"/>
      <c r="AR23" s="981"/>
      <c r="AS23" s="981"/>
      <c r="AT23" s="982"/>
    </row>
    <row r="24" spans="1:46" ht="24.75" customHeight="1" thickTop="1">
      <c r="A24" s="981"/>
      <c r="B24" s="981"/>
      <c r="C24" s="981"/>
      <c r="D24" s="981"/>
      <c r="E24" s="981"/>
      <c r="F24" s="981"/>
      <c r="G24" s="981"/>
      <c r="H24" s="981"/>
      <c r="I24" s="981"/>
      <c r="J24" s="981"/>
      <c r="K24" s="3322" t="s">
        <v>1717</v>
      </c>
      <c r="L24" s="3323"/>
      <c r="M24" s="3323"/>
      <c r="N24" s="3323"/>
      <c r="O24" s="3323"/>
      <c r="P24" s="3323"/>
      <c r="Q24" s="3323"/>
      <c r="R24" s="3323"/>
      <c r="S24" s="3323"/>
      <c r="T24" s="3323"/>
      <c r="U24" s="3323"/>
      <c r="V24" s="3324"/>
      <c r="W24" s="3325">
        <f>SUM(W18:Z23)</f>
        <v>0</v>
      </c>
      <c r="X24" s="3326"/>
      <c r="Y24" s="3326"/>
      <c r="Z24" s="3327"/>
      <c r="AA24" s="3251">
        <f>SUM(AA18:AE23)</f>
        <v>0</v>
      </c>
      <c r="AB24" s="3249"/>
      <c r="AC24" s="3249"/>
      <c r="AD24" s="3249"/>
      <c r="AE24" s="3250"/>
      <c r="AF24" s="981"/>
      <c r="AG24" s="981"/>
      <c r="AH24" s="1444"/>
      <c r="AI24" s="3269"/>
      <c r="AJ24" s="3245"/>
      <c r="AK24" s="982"/>
      <c r="AL24" s="982"/>
      <c r="AM24" s="982"/>
      <c r="AN24" s="982"/>
      <c r="AO24" s="982"/>
      <c r="AP24" s="981"/>
      <c r="AQ24" s="981"/>
      <c r="AR24" s="982"/>
      <c r="AS24" s="982"/>
      <c r="AT24" s="981"/>
    </row>
    <row r="25" spans="1:46" ht="24.75" customHeight="1">
      <c r="A25" s="981"/>
      <c r="B25" s="981"/>
      <c r="C25" s="981"/>
      <c r="D25" s="981"/>
      <c r="E25" s="981"/>
      <c r="F25" s="981"/>
      <c r="G25" s="981"/>
      <c r="H25" s="981"/>
      <c r="I25" s="981"/>
      <c r="J25" s="981"/>
      <c r="K25" s="982"/>
      <c r="L25" s="982"/>
      <c r="M25" s="982"/>
      <c r="N25" s="982"/>
      <c r="O25" s="982"/>
      <c r="P25" s="982"/>
      <c r="Q25" s="982"/>
      <c r="R25" s="982"/>
      <c r="S25" s="982"/>
      <c r="T25" s="982"/>
      <c r="U25" s="982"/>
      <c r="V25" s="982"/>
      <c r="W25" s="982"/>
      <c r="X25" s="982"/>
      <c r="Y25" s="982"/>
      <c r="Z25" s="982"/>
      <c r="AA25" s="982"/>
      <c r="AB25" s="982"/>
      <c r="AC25" s="982"/>
      <c r="AD25" s="982"/>
      <c r="AE25" s="982"/>
      <c r="AF25" s="981"/>
      <c r="AG25" s="981"/>
      <c r="AH25" s="981"/>
      <c r="AI25" s="981"/>
      <c r="AJ25" s="981"/>
      <c r="AK25" s="981"/>
      <c r="AL25" s="981"/>
      <c r="AM25" s="981"/>
      <c r="AN25" s="981"/>
      <c r="AO25" s="981"/>
      <c r="AP25" s="981"/>
      <c r="AQ25" s="981"/>
      <c r="AR25" s="981"/>
      <c r="AS25" s="981"/>
      <c r="AT25" s="981"/>
    </row>
    <row r="26" spans="1:46" ht="24.75" customHeight="1">
      <c r="A26" s="981"/>
      <c r="B26" s="981"/>
      <c r="C26" s="981"/>
      <c r="D26" s="981"/>
      <c r="E26" s="981"/>
      <c r="F26" s="981"/>
      <c r="G26" s="981"/>
      <c r="H26" s="981"/>
      <c r="I26" s="981"/>
      <c r="J26" s="981"/>
      <c r="K26" s="3305" t="s">
        <v>77</v>
      </c>
      <c r="L26" s="3306"/>
      <c r="M26" s="3306"/>
      <c r="N26" s="3306"/>
      <c r="O26" s="3306"/>
      <c r="P26" s="3306"/>
      <c r="Q26" s="3306"/>
      <c r="R26" s="3306"/>
      <c r="S26" s="3306"/>
      <c r="T26" s="3306"/>
      <c r="U26" s="3306"/>
      <c r="V26" s="3306"/>
      <c r="W26" s="3306"/>
      <c r="X26" s="3306"/>
      <c r="Y26" s="3306"/>
      <c r="Z26" s="3307"/>
      <c r="AA26" s="3308" t="s">
        <v>1704</v>
      </c>
      <c r="AB26" s="3306"/>
      <c r="AC26" s="3306"/>
      <c r="AD26" s="3306"/>
      <c r="AE26" s="3307"/>
      <c r="AF26" s="981"/>
      <c r="AG26" s="981"/>
      <c r="AH26" s="982"/>
      <c r="AI26" s="3269"/>
      <c r="AJ26" s="3245"/>
      <c r="AK26" s="981"/>
      <c r="AL26" s="981"/>
      <c r="AM26" s="981"/>
      <c r="AN26" s="981"/>
      <c r="AO26" s="981"/>
      <c r="AP26" s="982"/>
      <c r="AQ26" s="982"/>
      <c r="AR26" s="981"/>
      <c r="AS26" s="981"/>
      <c r="AT26" s="982"/>
    </row>
    <row r="27" spans="1:46" ht="24.75" customHeight="1" thickBot="1">
      <c r="A27" s="981"/>
      <c r="B27" s="981"/>
      <c r="C27" s="981"/>
      <c r="D27" s="981"/>
      <c r="E27" s="981"/>
      <c r="F27" s="981"/>
      <c r="G27" s="981"/>
      <c r="H27" s="981"/>
      <c r="I27" s="981"/>
      <c r="J27" s="981"/>
      <c r="K27" s="3286" t="s">
        <v>1718</v>
      </c>
      <c r="L27" s="3287"/>
      <c r="M27" s="3287"/>
      <c r="N27" s="3287"/>
      <c r="O27" s="3287"/>
      <c r="P27" s="3287"/>
      <c r="Q27" s="3287"/>
      <c r="R27" s="3312" t="s">
        <v>962</v>
      </c>
      <c r="S27" s="3289"/>
      <c r="T27" s="3289"/>
      <c r="U27" s="3289"/>
      <c r="V27" s="3289"/>
      <c r="W27" s="3313">
        <v>7.0000000000000007E-2</v>
      </c>
      <c r="X27" s="3289"/>
      <c r="Y27" s="3289"/>
      <c r="Z27" s="3290"/>
      <c r="AA27" s="3314">
        <f>Selling_Costs_Percent*After_Repair_Value_Rental</f>
        <v>0</v>
      </c>
      <c r="AB27" s="3287"/>
      <c r="AC27" s="3287"/>
      <c r="AD27" s="3287"/>
      <c r="AE27" s="3292"/>
      <c r="AF27" s="981"/>
      <c r="AG27" s="981"/>
      <c r="AH27" s="1444"/>
      <c r="AI27" s="3269"/>
      <c r="AJ27" s="3245"/>
      <c r="AK27" s="981"/>
      <c r="AL27" s="981"/>
      <c r="AM27" s="981"/>
      <c r="AN27" s="981"/>
      <c r="AO27" s="981"/>
      <c r="AP27" s="981"/>
      <c r="AQ27" s="981"/>
      <c r="AR27" s="981"/>
      <c r="AS27" s="981"/>
      <c r="AT27" s="981"/>
    </row>
    <row r="28" spans="1:46" ht="24.75" customHeight="1" thickTop="1">
      <c r="A28" s="981"/>
      <c r="B28" s="981"/>
      <c r="C28" s="981"/>
      <c r="D28" s="981"/>
      <c r="E28" s="981"/>
      <c r="F28" s="981"/>
      <c r="G28" s="981"/>
      <c r="H28" s="981"/>
      <c r="I28" s="981"/>
      <c r="J28" s="981"/>
      <c r="K28" s="3248" t="s">
        <v>350</v>
      </c>
      <c r="L28" s="3249"/>
      <c r="M28" s="3249"/>
      <c r="N28" s="3249"/>
      <c r="O28" s="3249"/>
      <c r="P28" s="3249"/>
      <c r="Q28" s="3249"/>
      <c r="R28" s="3249"/>
      <c r="S28" s="3249"/>
      <c r="T28" s="3249"/>
      <c r="U28" s="3249"/>
      <c r="V28" s="3249"/>
      <c r="W28" s="3249"/>
      <c r="X28" s="3249"/>
      <c r="Y28" s="3249"/>
      <c r="Z28" s="3249"/>
      <c r="AA28" s="3251">
        <f>SUM(AA25:AE27)</f>
        <v>0</v>
      </c>
      <c r="AB28" s="3249"/>
      <c r="AC28" s="3249"/>
      <c r="AD28" s="3249"/>
      <c r="AE28" s="3250"/>
      <c r="AF28" s="981"/>
      <c r="AG28" s="981"/>
      <c r="AH28" s="1444"/>
      <c r="AI28" s="3269"/>
      <c r="AJ28" s="3245"/>
      <c r="AK28" s="982"/>
      <c r="AL28" s="982"/>
      <c r="AM28" s="982"/>
      <c r="AN28" s="982"/>
      <c r="AO28" s="982"/>
      <c r="AP28" s="981"/>
      <c r="AQ28" s="981"/>
      <c r="AR28" s="982"/>
      <c r="AS28" s="982"/>
      <c r="AT28" s="981"/>
    </row>
    <row r="29" spans="1:46" ht="24.75" customHeight="1">
      <c r="A29" s="981"/>
      <c r="B29" s="981"/>
      <c r="C29" s="981"/>
      <c r="D29" s="981"/>
      <c r="E29" s="981"/>
      <c r="F29" s="981"/>
      <c r="G29" s="981"/>
      <c r="H29" s="981"/>
      <c r="I29" s="981"/>
      <c r="J29" s="981"/>
      <c r="K29" s="982"/>
      <c r="L29" s="982"/>
      <c r="M29" s="982"/>
      <c r="N29" s="982"/>
      <c r="O29" s="982"/>
      <c r="P29" s="982"/>
      <c r="Q29" s="982"/>
      <c r="R29" s="982"/>
      <c r="S29" s="982"/>
      <c r="T29" s="982"/>
      <c r="U29" s="982"/>
      <c r="V29" s="982"/>
      <c r="W29" s="982"/>
      <c r="X29" s="982"/>
      <c r="Y29" s="982"/>
      <c r="Z29" s="982"/>
      <c r="AA29" s="982"/>
      <c r="AB29" s="982"/>
      <c r="AC29" s="982"/>
      <c r="AD29" s="982"/>
      <c r="AE29" s="982"/>
      <c r="AF29" s="981"/>
      <c r="AG29" s="981"/>
      <c r="AH29" s="1444"/>
      <c r="AI29" s="1444"/>
      <c r="AJ29" s="981"/>
      <c r="AK29" s="982"/>
      <c r="AL29" s="982"/>
      <c r="AM29" s="982"/>
      <c r="AN29" s="982"/>
      <c r="AO29" s="982"/>
      <c r="AP29" s="981"/>
      <c r="AQ29" s="981"/>
      <c r="AR29" s="982"/>
      <c r="AS29" s="982"/>
      <c r="AT29" s="981"/>
    </row>
    <row r="30" spans="1:46" ht="24.75" customHeight="1">
      <c r="A30" s="981"/>
      <c r="B30" s="981"/>
      <c r="C30" s="981"/>
      <c r="D30" s="981"/>
      <c r="E30" s="981"/>
      <c r="F30" s="981"/>
      <c r="G30" s="981"/>
      <c r="H30" s="981"/>
      <c r="I30" s="981"/>
      <c r="J30" s="981"/>
      <c r="K30" s="3252" t="s">
        <v>1209</v>
      </c>
      <c r="L30" s="3309"/>
      <c r="M30" s="3309"/>
      <c r="N30" s="3309"/>
      <c r="O30" s="3309"/>
      <c r="P30" s="3309"/>
      <c r="Q30" s="3309"/>
      <c r="R30" s="3309"/>
      <c r="S30" s="3309"/>
      <c r="T30" s="3309"/>
      <c r="U30" s="3309"/>
      <c r="V30" s="3309"/>
      <c r="W30" s="3309"/>
      <c r="X30" s="3309"/>
      <c r="Y30" s="3309"/>
      <c r="Z30" s="3309"/>
      <c r="AA30" s="3309"/>
      <c r="AB30" s="3309"/>
      <c r="AC30" s="3309"/>
      <c r="AD30" s="3309"/>
      <c r="AE30" s="3310"/>
      <c r="AF30" s="981"/>
      <c r="AG30" s="981"/>
      <c r="AH30" s="1444"/>
      <c r="AI30" s="1444"/>
      <c r="AJ30" s="981"/>
      <c r="AK30" s="982"/>
      <c r="AL30" s="982"/>
      <c r="AM30" s="982"/>
      <c r="AN30" s="982"/>
      <c r="AO30" s="982"/>
      <c r="AP30" s="981"/>
      <c r="AQ30" s="981"/>
      <c r="AR30" s="982"/>
      <c r="AS30" s="982"/>
      <c r="AT30" s="981"/>
    </row>
    <row r="31" spans="1:46" ht="24.75" customHeight="1">
      <c r="A31" s="981"/>
      <c r="B31" s="981"/>
      <c r="C31" s="981"/>
      <c r="D31" s="981"/>
      <c r="E31" s="981"/>
      <c r="F31" s="981"/>
      <c r="G31" s="981"/>
      <c r="H31" s="981"/>
      <c r="I31" s="981"/>
      <c r="J31" s="981"/>
      <c r="K31" s="3299" t="s">
        <v>1815</v>
      </c>
      <c r="L31" s="3300"/>
      <c r="M31" s="3300"/>
      <c r="N31" s="3300"/>
      <c r="O31" s="3300"/>
      <c r="P31" s="3300"/>
      <c r="Q31" s="3300"/>
      <c r="R31" s="3300"/>
      <c r="S31" s="3300"/>
      <c r="T31" s="3300"/>
      <c r="U31" s="3300"/>
      <c r="V31" s="3300"/>
      <c r="W31" s="3300"/>
      <c r="X31" s="3300"/>
      <c r="Y31" s="3300"/>
      <c r="Z31" s="3300"/>
      <c r="AA31" s="3300"/>
      <c r="AB31" s="3300"/>
      <c r="AC31" s="3300"/>
      <c r="AD31" s="3300"/>
      <c r="AE31" s="3301"/>
      <c r="AF31" s="981"/>
      <c r="AG31" s="981"/>
      <c r="AH31" s="1444"/>
      <c r="AI31" s="1444"/>
      <c r="AJ31" s="981"/>
      <c r="AK31" s="982"/>
      <c r="AL31" s="982"/>
      <c r="AM31" s="982"/>
      <c r="AN31" s="982"/>
      <c r="AO31" s="982"/>
      <c r="AP31" s="981"/>
      <c r="AQ31" s="981"/>
      <c r="AR31" s="982"/>
      <c r="AS31" s="982"/>
      <c r="AT31" s="981"/>
    </row>
    <row r="32" spans="1:46" ht="18" customHeight="1">
      <c r="A32" s="981"/>
      <c r="B32" s="981"/>
      <c r="C32" s="981"/>
      <c r="D32" s="981"/>
      <c r="E32" s="981"/>
      <c r="F32" s="981"/>
      <c r="G32" s="981"/>
      <c r="H32" s="981"/>
      <c r="I32" s="981"/>
      <c r="J32" s="981"/>
      <c r="K32" s="987"/>
      <c r="L32" s="988"/>
      <c r="M32" s="988"/>
      <c r="N32" s="988"/>
      <c r="O32" s="988"/>
      <c r="P32" s="988"/>
      <c r="Q32" s="988"/>
      <c r="R32" s="988"/>
      <c r="S32" s="988"/>
      <c r="T32" s="988"/>
      <c r="U32" s="988"/>
      <c r="V32" s="988"/>
      <c r="W32" s="988"/>
      <c r="X32" s="988"/>
      <c r="Y32" s="988"/>
      <c r="Z32" s="988"/>
      <c r="AA32" s="988"/>
      <c r="AB32" s="988"/>
      <c r="AC32" s="988"/>
      <c r="AD32" s="988"/>
      <c r="AE32" s="989"/>
      <c r="AF32" s="981"/>
      <c r="AG32" s="981"/>
      <c r="AH32" s="1444"/>
      <c r="AI32" s="1444"/>
      <c r="AJ32" s="981"/>
      <c r="AK32" s="982"/>
      <c r="AL32" s="982"/>
      <c r="AM32" s="982"/>
      <c r="AN32" s="982"/>
      <c r="AO32" s="982"/>
      <c r="AP32" s="981"/>
      <c r="AQ32" s="981"/>
      <c r="AR32" s="982"/>
      <c r="AS32" s="982"/>
      <c r="AT32" s="981"/>
    </row>
    <row r="33" spans="1:46" ht="25.5" customHeight="1">
      <c r="A33" s="981"/>
      <c r="B33" s="981"/>
      <c r="C33" s="981"/>
      <c r="D33" s="981"/>
      <c r="E33" s="981"/>
      <c r="F33" s="981"/>
      <c r="G33" s="981"/>
      <c r="H33" s="981"/>
      <c r="I33" s="981"/>
      <c r="J33" s="981"/>
      <c r="K33" s="990"/>
      <c r="L33" s="991"/>
      <c r="M33" s="991"/>
      <c r="N33" s="991"/>
      <c r="O33" s="992"/>
      <c r="P33" s="3302" t="s">
        <v>1719</v>
      </c>
      <c r="Q33" s="3303"/>
      <c r="R33" s="3303"/>
      <c r="S33" s="3303"/>
      <c r="T33" s="3304"/>
      <c r="U33" s="991"/>
      <c r="V33" s="992"/>
      <c r="W33" s="3302" t="s">
        <v>1720</v>
      </c>
      <c r="X33" s="3303"/>
      <c r="Y33" s="3303"/>
      <c r="Z33" s="3303"/>
      <c r="AA33" s="3304"/>
      <c r="AB33" s="991"/>
      <c r="AC33" s="991"/>
      <c r="AD33" s="991"/>
      <c r="AE33" s="993"/>
      <c r="AF33" s="981"/>
      <c r="AG33" s="981"/>
      <c r="AH33" s="1444"/>
      <c r="AI33" s="1444"/>
      <c r="AJ33" s="981"/>
      <c r="AK33" s="994"/>
      <c r="AL33" s="982"/>
      <c r="AM33" s="982"/>
      <c r="AN33" s="982"/>
      <c r="AO33" s="982"/>
      <c r="AP33" s="981"/>
      <c r="AQ33" s="981"/>
      <c r="AR33" s="982"/>
      <c r="AS33" s="982"/>
      <c r="AT33" s="981"/>
    </row>
    <row r="34" spans="1:46" ht="15.75" customHeight="1">
      <c r="A34" s="981"/>
      <c r="B34" s="981"/>
      <c r="C34" s="981"/>
      <c r="D34" s="981"/>
      <c r="E34" s="981"/>
      <c r="F34" s="981"/>
      <c r="G34" s="981"/>
      <c r="H34" s="981"/>
      <c r="I34" s="981"/>
      <c r="J34" s="981"/>
      <c r="K34" s="995"/>
      <c r="L34" s="996"/>
      <c r="M34" s="996"/>
      <c r="N34" s="996"/>
      <c r="O34" s="996"/>
      <c r="P34" s="996"/>
      <c r="Q34" s="996"/>
      <c r="R34" s="996"/>
      <c r="S34" s="996"/>
      <c r="T34" s="996"/>
      <c r="U34" s="996"/>
      <c r="V34" s="996"/>
      <c r="W34" s="996"/>
      <c r="X34" s="996"/>
      <c r="Y34" s="996"/>
      <c r="Z34" s="996"/>
      <c r="AA34" s="996"/>
      <c r="AB34" s="996"/>
      <c r="AC34" s="996"/>
      <c r="AD34" s="996"/>
      <c r="AE34" s="997"/>
      <c r="AF34" s="981"/>
      <c r="AG34" s="981"/>
      <c r="AH34" s="1444"/>
      <c r="AI34" s="1444"/>
      <c r="AJ34" s="981"/>
      <c r="AK34" s="982"/>
      <c r="AL34" s="982"/>
      <c r="AM34" s="982"/>
      <c r="AN34" s="982"/>
      <c r="AO34" s="982"/>
      <c r="AP34" s="981"/>
      <c r="AQ34" s="981"/>
      <c r="AR34" s="982"/>
      <c r="AS34" s="982"/>
      <c r="AT34" s="981"/>
    </row>
    <row r="35" spans="1:46" ht="24.75" hidden="1" customHeight="1">
      <c r="A35" s="981"/>
      <c r="B35" s="981"/>
      <c r="C35" s="981"/>
      <c r="D35" s="981"/>
      <c r="E35" s="981"/>
      <c r="F35" s="981"/>
      <c r="G35" s="981"/>
      <c r="H35" s="981"/>
      <c r="I35" s="981"/>
      <c r="J35" s="981"/>
      <c r="K35" s="3299" t="s">
        <v>1721</v>
      </c>
      <c r="L35" s="3300"/>
      <c r="M35" s="3300"/>
      <c r="N35" s="3300"/>
      <c r="O35" s="3300"/>
      <c r="P35" s="3300"/>
      <c r="Q35" s="3300"/>
      <c r="R35" s="3300"/>
      <c r="S35" s="3300"/>
      <c r="T35" s="3300"/>
      <c r="U35" s="3300"/>
      <c r="V35" s="3300"/>
      <c r="W35" s="3300"/>
      <c r="X35" s="3300"/>
      <c r="Y35" s="3300"/>
      <c r="Z35" s="3300"/>
      <c r="AA35" s="3300"/>
      <c r="AB35" s="3300"/>
      <c r="AC35" s="3300"/>
      <c r="AD35" s="3300"/>
      <c r="AE35" s="3301"/>
      <c r="AF35" s="981"/>
      <c r="AG35" s="981"/>
      <c r="AH35" s="1444"/>
      <c r="AI35" s="1444"/>
      <c r="AJ35" s="981"/>
      <c r="AK35" s="982"/>
      <c r="AL35" s="982"/>
      <c r="AM35" s="982"/>
      <c r="AN35" s="982"/>
      <c r="AO35" s="982"/>
      <c r="AP35" s="981"/>
      <c r="AQ35" s="981"/>
      <c r="AR35" s="982"/>
      <c r="AS35" s="982"/>
      <c r="AT35" s="981"/>
    </row>
    <row r="36" spans="1:46" ht="18" hidden="1" customHeight="1">
      <c r="A36" s="981"/>
      <c r="B36" s="981"/>
      <c r="C36" s="981"/>
      <c r="D36" s="981"/>
      <c r="E36" s="981"/>
      <c r="F36" s="981"/>
      <c r="G36" s="981"/>
      <c r="H36" s="981"/>
      <c r="I36" s="981"/>
      <c r="J36" s="981"/>
      <c r="K36" s="987"/>
      <c r="L36" s="988"/>
      <c r="M36" s="988"/>
      <c r="N36" s="988"/>
      <c r="O36" s="988"/>
      <c r="P36" s="988"/>
      <c r="Q36" s="988"/>
      <c r="R36" s="988"/>
      <c r="S36" s="988"/>
      <c r="T36" s="988"/>
      <c r="U36" s="988"/>
      <c r="V36" s="988"/>
      <c r="W36" s="988"/>
      <c r="X36" s="988"/>
      <c r="Y36" s="988"/>
      <c r="Z36" s="988"/>
      <c r="AA36" s="988"/>
      <c r="AB36" s="988"/>
      <c r="AC36" s="988"/>
      <c r="AD36" s="988"/>
      <c r="AE36" s="989"/>
      <c r="AF36" s="981"/>
      <c r="AG36" s="981"/>
      <c r="AH36" s="1444"/>
      <c r="AI36" s="1444"/>
      <c r="AJ36" s="981"/>
      <c r="AK36" s="982"/>
      <c r="AL36" s="982"/>
      <c r="AM36" s="982"/>
      <c r="AN36" s="982"/>
      <c r="AO36" s="982"/>
      <c r="AP36" s="981"/>
      <c r="AQ36" s="981"/>
      <c r="AR36" s="982"/>
      <c r="AS36" s="982"/>
      <c r="AT36" s="981"/>
    </row>
    <row r="37" spans="1:46" ht="25.5" hidden="1" customHeight="1">
      <c r="A37" s="981"/>
      <c r="B37" s="981"/>
      <c r="C37" s="981"/>
      <c r="D37" s="981"/>
      <c r="E37" s="981"/>
      <c r="F37" s="981"/>
      <c r="G37" s="981"/>
      <c r="H37" s="981"/>
      <c r="I37" s="981"/>
      <c r="J37" s="981"/>
      <c r="K37" s="990"/>
      <c r="O37" s="992"/>
      <c r="P37" s="3302" t="s">
        <v>1825</v>
      </c>
      <c r="Q37" s="3303"/>
      <c r="R37" s="3303"/>
      <c r="S37" s="3303"/>
      <c r="T37" s="3304"/>
      <c r="V37" s="992"/>
      <c r="W37" s="3302" t="s">
        <v>1722</v>
      </c>
      <c r="X37" s="3303"/>
      <c r="Y37" s="3303"/>
      <c r="Z37" s="3303"/>
      <c r="AA37" s="3304"/>
      <c r="AB37" s="991"/>
      <c r="AC37" s="991"/>
      <c r="AD37" s="991"/>
      <c r="AE37" s="993"/>
      <c r="AF37" s="981"/>
      <c r="AG37" s="981"/>
      <c r="AH37" s="1444"/>
      <c r="AI37" s="1444"/>
      <c r="AJ37" s="981"/>
      <c r="AK37" s="982"/>
      <c r="AL37" s="982"/>
      <c r="AM37" s="982"/>
      <c r="AN37" s="982"/>
      <c r="AO37" s="982"/>
      <c r="AP37" s="981"/>
      <c r="AQ37" s="981"/>
      <c r="AR37" s="982"/>
      <c r="AS37" s="982"/>
      <c r="AT37" s="981"/>
    </row>
    <row r="38" spans="1:46" ht="15.75" hidden="1" customHeight="1">
      <c r="A38" s="981"/>
      <c r="B38" s="981"/>
      <c r="C38" s="981"/>
      <c r="D38" s="981"/>
      <c r="E38" s="981"/>
      <c r="F38" s="981"/>
      <c r="G38" s="981"/>
      <c r="H38" s="981"/>
      <c r="I38" s="981"/>
      <c r="J38" s="981"/>
      <c r="K38" s="995"/>
      <c r="L38" s="996"/>
      <c r="M38" s="996"/>
      <c r="N38" s="996"/>
      <c r="O38" s="996"/>
      <c r="P38" s="996"/>
      <c r="Q38" s="996"/>
      <c r="R38" s="996"/>
      <c r="S38" s="996"/>
      <c r="T38" s="996"/>
      <c r="U38" s="996"/>
      <c r="V38" s="996"/>
      <c r="W38" s="996"/>
      <c r="X38" s="996"/>
      <c r="Y38" s="996"/>
      <c r="Z38" s="996"/>
      <c r="AA38" s="996"/>
      <c r="AB38" s="996"/>
      <c r="AC38" s="996"/>
      <c r="AD38" s="996"/>
      <c r="AE38" s="997"/>
      <c r="AF38" s="981"/>
      <c r="AG38" s="981"/>
      <c r="AH38" s="1444"/>
      <c r="AI38" s="1444"/>
      <c r="AJ38" s="981"/>
      <c r="AK38" s="982"/>
      <c r="AL38" s="982"/>
      <c r="AM38" s="982"/>
      <c r="AN38" s="982"/>
      <c r="AO38" s="982"/>
      <c r="AP38" s="981"/>
      <c r="AQ38" s="981"/>
      <c r="AR38" s="982"/>
      <c r="AS38" s="982"/>
      <c r="AT38" s="981"/>
    </row>
    <row r="39" spans="1:46" ht="24.75" hidden="1" customHeight="1">
      <c r="A39" s="981"/>
      <c r="B39" s="981"/>
      <c r="C39" s="981"/>
      <c r="D39" s="981"/>
      <c r="E39" s="981"/>
      <c r="F39" s="981"/>
      <c r="G39" s="981"/>
      <c r="H39" s="981"/>
      <c r="I39" s="981"/>
      <c r="J39" s="981"/>
      <c r="K39" s="982"/>
      <c r="L39" s="982"/>
      <c r="M39" s="982"/>
      <c r="N39" s="982"/>
      <c r="O39" s="982"/>
      <c r="P39" s="982"/>
      <c r="Q39" s="982"/>
      <c r="R39" s="982"/>
      <c r="S39" s="982"/>
      <c r="T39" s="982"/>
      <c r="U39" s="982"/>
      <c r="V39" s="982"/>
      <c r="W39" s="982"/>
      <c r="X39" s="982"/>
      <c r="Y39" s="982"/>
      <c r="Z39" s="982"/>
      <c r="AA39" s="982"/>
      <c r="AB39" s="982"/>
      <c r="AC39" s="982"/>
      <c r="AD39" s="982"/>
      <c r="AE39" s="982"/>
      <c r="AF39" s="981"/>
      <c r="AG39" s="981"/>
      <c r="AH39" s="1444"/>
      <c r="AI39" s="1444"/>
      <c r="AJ39" s="981"/>
      <c r="AK39" s="982"/>
      <c r="AL39" s="982"/>
      <c r="AM39" s="982"/>
      <c r="AN39" s="982"/>
      <c r="AO39" s="982"/>
      <c r="AP39" s="981"/>
      <c r="AQ39" s="981"/>
      <c r="AR39" s="981"/>
      <c r="AS39" s="981"/>
      <c r="AT39" s="981"/>
    </row>
    <row r="40" spans="1:46" ht="15.75" hidden="1" customHeight="1">
      <c r="A40" s="981"/>
      <c r="B40" s="981"/>
      <c r="C40" s="981"/>
      <c r="D40" s="981"/>
      <c r="E40" s="981"/>
      <c r="F40" s="981"/>
      <c r="G40" s="981"/>
      <c r="H40" s="981"/>
      <c r="I40" s="981"/>
      <c r="J40" s="981"/>
      <c r="K40" s="3311" t="s">
        <v>1824</v>
      </c>
      <c r="L40" s="3311"/>
      <c r="M40" s="3311"/>
      <c r="N40" s="3311"/>
      <c r="O40" s="3311"/>
      <c r="P40" s="3311"/>
      <c r="Q40" s="3311"/>
      <c r="R40" s="3311"/>
      <c r="S40" s="3311"/>
      <c r="T40" s="3311"/>
      <c r="U40" s="3311"/>
      <c r="V40" s="3311"/>
      <c r="W40" s="3311"/>
      <c r="X40" s="3311"/>
      <c r="Y40" s="3311"/>
      <c r="Z40" s="3311"/>
      <c r="AA40" s="3311"/>
      <c r="AB40" s="3311"/>
      <c r="AC40" s="3311"/>
      <c r="AD40" s="3311"/>
      <c r="AE40" s="3311"/>
      <c r="AF40" s="981"/>
      <c r="AG40" s="981"/>
      <c r="AH40" s="1444"/>
      <c r="AI40" s="1444"/>
      <c r="AJ40" s="981"/>
      <c r="AK40" s="982"/>
      <c r="AL40" s="982"/>
      <c r="AM40" s="982"/>
      <c r="AN40" s="982"/>
      <c r="AO40" s="982"/>
      <c r="AP40" s="981"/>
      <c r="AQ40" s="981"/>
      <c r="AR40" s="982"/>
      <c r="AS40" s="982"/>
      <c r="AT40" s="981"/>
    </row>
    <row r="41" spans="1:46" ht="26.45" hidden="1" customHeight="1">
      <c r="A41" s="981"/>
      <c r="B41" s="981"/>
      <c r="C41" s="981"/>
      <c r="D41" s="981"/>
      <c r="E41" s="981"/>
      <c r="F41" s="981"/>
      <c r="G41" s="981"/>
      <c r="H41" s="981"/>
      <c r="I41" s="981"/>
      <c r="J41" s="981"/>
      <c r="K41" s="3311"/>
      <c r="L41" s="3311"/>
      <c r="M41" s="3311"/>
      <c r="N41" s="3311"/>
      <c r="O41" s="3311"/>
      <c r="P41" s="3311"/>
      <c r="Q41" s="3311"/>
      <c r="R41" s="3311"/>
      <c r="S41" s="3311"/>
      <c r="T41" s="3311"/>
      <c r="U41" s="3311"/>
      <c r="V41" s="3311"/>
      <c r="W41" s="3311"/>
      <c r="X41" s="3311"/>
      <c r="Y41" s="3311"/>
      <c r="Z41" s="3311"/>
      <c r="AA41" s="3311"/>
      <c r="AB41" s="3311"/>
      <c r="AC41" s="3311"/>
      <c r="AD41" s="3311"/>
      <c r="AE41" s="3311"/>
      <c r="AF41" s="981"/>
      <c r="AG41" s="981"/>
      <c r="AH41" s="1444"/>
      <c r="AI41" s="1444"/>
      <c r="AJ41" s="981"/>
      <c r="AK41" s="982"/>
      <c r="AL41" s="982"/>
      <c r="AM41" s="982"/>
      <c r="AN41" s="982"/>
      <c r="AO41" s="982"/>
      <c r="AP41" s="981"/>
      <c r="AQ41" s="981"/>
      <c r="AR41" s="982"/>
      <c r="AS41" s="982"/>
      <c r="AT41" s="981"/>
    </row>
    <row r="42" spans="1:46" ht="26.45" hidden="1" customHeight="1">
      <c r="A42" s="981"/>
      <c r="B42" s="981"/>
      <c r="C42" s="981"/>
      <c r="D42" s="981"/>
      <c r="E42" s="981"/>
      <c r="F42" s="981"/>
      <c r="G42" s="981"/>
      <c r="H42" s="981"/>
      <c r="I42" s="981"/>
      <c r="J42" s="981"/>
      <c r="K42" s="1353"/>
      <c r="L42" s="1353"/>
      <c r="M42" s="1353"/>
      <c r="N42" s="1353"/>
      <c r="O42" s="1353"/>
      <c r="P42" s="1353"/>
      <c r="Q42" s="1353"/>
      <c r="R42" s="1353"/>
      <c r="S42" s="1353"/>
      <c r="T42" s="1353"/>
      <c r="U42" s="1353"/>
      <c r="V42" s="1353"/>
      <c r="W42" s="1353"/>
      <c r="X42" s="1353"/>
      <c r="Y42" s="1353"/>
      <c r="Z42" s="1353"/>
      <c r="AA42" s="1353"/>
      <c r="AB42" s="1353"/>
      <c r="AC42" s="1353"/>
      <c r="AD42" s="1353"/>
      <c r="AE42" s="1353"/>
      <c r="AF42" s="981"/>
      <c r="AG42" s="981"/>
      <c r="AH42" s="1444"/>
      <c r="AI42" s="1444"/>
      <c r="AJ42" s="981"/>
      <c r="AK42" s="982"/>
      <c r="AL42" s="982"/>
      <c r="AM42" s="982"/>
      <c r="AN42" s="982"/>
      <c r="AO42" s="982"/>
      <c r="AP42" s="981"/>
      <c r="AQ42" s="981"/>
      <c r="AR42" s="982"/>
      <c r="AS42" s="982"/>
      <c r="AT42" s="981"/>
    </row>
    <row r="43" spans="1:46" ht="26.45" hidden="1" customHeight="1">
      <c r="A43" s="981"/>
      <c r="B43" s="981"/>
      <c r="C43" s="981"/>
      <c r="D43" s="981"/>
      <c r="E43" s="981"/>
      <c r="F43" s="981"/>
      <c r="G43" s="981"/>
      <c r="H43" s="981"/>
      <c r="I43" s="981"/>
      <c r="J43" s="981"/>
      <c r="K43" s="1353"/>
      <c r="L43" s="1353"/>
      <c r="M43" s="1353"/>
      <c r="N43" s="1353"/>
      <c r="O43" s="1353"/>
      <c r="P43" s="1353"/>
      <c r="Q43" s="1353"/>
      <c r="R43" s="1353"/>
      <c r="S43" s="1353"/>
      <c r="T43" s="1353"/>
      <c r="U43" s="1353"/>
      <c r="V43" s="1353"/>
      <c r="W43" s="1353"/>
      <c r="X43" s="1353"/>
      <c r="Y43" s="1353"/>
      <c r="Z43" s="1353"/>
      <c r="AA43" s="1353"/>
      <c r="AB43" s="1353"/>
      <c r="AC43" s="1353"/>
      <c r="AD43" s="1353"/>
      <c r="AE43" s="1353"/>
      <c r="AF43" s="981"/>
      <c r="AG43" s="994"/>
      <c r="AH43" s="994"/>
      <c r="AI43" s="994"/>
      <c r="AJ43" s="994"/>
      <c r="AK43" s="994"/>
      <c r="AL43" s="982"/>
      <c r="AM43" s="982"/>
      <c r="AN43" s="982"/>
      <c r="AO43" s="982"/>
      <c r="AP43" s="981"/>
      <c r="AQ43" s="981"/>
      <c r="AR43" s="982"/>
      <c r="AS43" s="982"/>
      <c r="AT43" s="981"/>
    </row>
    <row r="44" spans="1:46" ht="15.75" hidden="1" customHeight="1">
      <c r="A44" s="981"/>
      <c r="B44" s="981"/>
      <c r="C44" s="981"/>
      <c r="D44" s="981"/>
      <c r="E44" s="981"/>
      <c r="F44" s="981"/>
      <c r="G44" s="981"/>
      <c r="H44" s="981"/>
      <c r="I44" s="981"/>
      <c r="J44" s="981"/>
      <c r="K44" s="1353"/>
      <c r="L44" s="1353"/>
      <c r="M44" s="1353"/>
      <c r="N44" s="1353"/>
      <c r="O44" s="1353"/>
      <c r="P44" s="1353"/>
      <c r="Q44" s="1353"/>
      <c r="R44" s="1353"/>
      <c r="S44" s="1353"/>
      <c r="T44" s="1353"/>
      <c r="U44" s="1353"/>
      <c r="V44" s="1353"/>
      <c r="W44" s="1353"/>
      <c r="X44" s="1353"/>
      <c r="Y44" s="1353"/>
      <c r="Z44" s="1353"/>
      <c r="AA44" s="1353"/>
      <c r="AB44" s="1353"/>
      <c r="AC44" s="1353"/>
      <c r="AD44" s="1353"/>
      <c r="AE44" s="1353"/>
      <c r="AF44" s="981"/>
      <c r="AG44" s="994"/>
      <c r="AH44" s="994"/>
      <c r="AI44" s="994"/>
      <c r="AJ44" s="994"/>
      <c r="AK44" s="994"/>
      <c r="AL44" s="982"/>
      <c r="AM44" s="982"/>
      <c r="AN44" s="982"/>
      <c r="AO44" s="982"/>
      <c r="AP44" s="981"/>
      <c r="AQ44" s="981"/>
      <c r="AR44" s="982"/>
      <c r="AS44" s="982"/>
      <c r="AT44" s="981"/>
    </row>
    <row r="45" spans="1:46" ht="24.75" hidden="1" customHeight="1">
      <c r="A45" s="981"/>
      <c r="B45" s="981"/>
      <c r="C45" s="981"/>
      <c r="D45" s="981"/>
      <c r="E45" s="981"/>
      <c r="F45" s="981"/>
      <c r="G45" s="981"/>
      <c r="H45" s="981"/>
      <c r="I45" s="981"/>
      <c r="J45" s="981"/>
      <c r="K45" s="982"/>
      <c r="L45" s="982"/>
      <c r="M45" s="982"/>
      <c r="N45" s="982"/>
      <c r="O45" s="982"/>
      <c r="P45" s="982"/>
      <c r="Q45" s="982"/>
      <c r="R45" s="982"/>
      <c r="S45" s="982"/>
      <c r="T45" s="982"/>
      <c r="U45" s="982"/>
      <c r="V45" s="982"/>
      <c r="W45" s="982"/>
      <c r="X45" s="982"/>
      <c r="Y45" s="982"/>
      <c r="Z45" s="982"/>
      <c r="AA45" s="982"/>
      <c r="AB45" s="982"/>
      <c r="AC45" s="982"/>
      <c r="AD45" s="982"/>
      <c r="AE45" s="982"/>
      <c r="AF45" s="981"/>
      <c r="AG45" s="981"/>
      <c r="AH45" s="1444"/>
      <c r="AI45" s="1444"/>
      <c r="AJ45" s="981"/>
      <c r="AK45" s="982"/>
      <c r="AL45" s="982"/>
      <c r="AM45" s="982"/>
      <c r="AN45" s="982"/>
      <c r="AO45" s="982"/>
      <c r="AP45" s="981"/>
      <c r="AQ45" s="981"/>
      <c r="AR45" s="981"/>
      <c r="AS45" s="981"/>
      <c r="AT45" s="981"/>
    </row>
    <row r="46" spans="1:46" ht="24.75" hidden="1" customHeight="1">
      <c r="A46" s="981"/>
      <c r="B46" s="981"/>
      <c r="C46" s="981"/>
      <c r="D46" s="981"/>
      <c r="E46" s="981"/>
      <c r="F46" s="981"/>
      <c r="G46" s="981"/>
      <c r="H46" s="981"/>
      <c r="I46" s="981"/>
      <c r="J46" s="998"/>
      <c r="K46" s="3305" t="s">
        <v>1723</v>
      </c>
      <c r="L46" s="3306"/>
      <c r="M46" s="3306"/>
      <c r="N46" s="3306"/>
      <c r="O46" s="3306"/>
      <c r="P46" s="3306"/>
      <c r="Q46" s="3306"/>
      <c r="R46" s="3306"/>
      <c r="S46" s="3306"/>
      <c r="T46" s="3306"/>
      <c r="U46" s="3306"/>
      <c r="V46" s="3306"/>
      <c r="W46" s="3306"/>
      <c r="X46" s="3306"/>
      <c r="Y46" s="3306"/>
      <c r="Z46" s="3307"/>
      <c r="AA46" s="3308" t="s">
        <v>1704</v>
      </c>
      <c r="AB46" s="3306"/>
      <c r="AC46" s="3306"/>
      <c r="AD46" s="3306"/>
      <c r="AE46" s="3307"/>
      <c r="AF46" s="981"/>
      <c r="AG46" s="981"/>
      <c r="AH46" s="1444"/>
      <c r="AI46" s="1444"/>
      <c r="AJ46" s="981"/>
      <c r="AK46" s="982"/>
      <c r="AL46" s="982"/>
      <c r="AM46" s="982"/>
      <c r="AN46" s="982"/>
      <c r="AO46" s="982"/>
      <c r="AP46" s="982"/>
      <c r="AQ46" s="982"/>
      <c r="AR46" s="982"/>
      <c r="AS46" s="982"/>
      <c r="AT46" s="982"/>
    </row>
    <row r="47" spans="1:46" ht="24.75" hidden="1" customHeight="1">
      <c r="A47" s="981"/>
      <c r="B47" s="3293" t="s">
        <v>1724</v>
      </c>
      <c r="C47" s="3271"/>
      <c r="D47" s="3271"/>
      <c r="E47" s="3271"/>
      <c r="F47" s="3271"/>
      <c r="G47" s="3271"/>
      <c r="H47" s="3271"/>
      <c r="I47" s="3272"/>
      <c r="J47" s="998"/>
      <c r="K47" s="3283" t="s">
        <v>1725</v>
      </c>
      <c r="L47" s="3256"/>
      <c r="M47" s="3256"/>
      <c r="N47" s="3256"/>
      <c r="O47" s="3256"/>
      <c r="P47" s="3256"/>
      <c r="Q47" s="3256"/>
      <c r="R47" s="3256"/>
      <c r="S47" s="3256"/>
      <c r="T47" s="3256"/>
      <c r="U47" s="3256"/>
      <c r="V47" s="3296"/>
      <c r="W47" s="3280"/>
      <c r="X47" s="3280"/>
      <c r="Y47" s="3280"/>
      <c r="Z47" s="3281"/>
      <c r="AA47" s="3285">
        <f>IF(V47="Purchase",AA12,IF(V47="Purchase + Repairs",AA12+AA15,IF(V47="After Repair Value",After_Repair_Value_Rental,V47)))</f>
        <v>0</v>
      </c>
      <c r="AB47" s="3256"/>
      <c r="AC47" s="3256"/>
      <c r="AD47" s="3256"/>
      <c r="AE47" s="3257"/>
      <c r="AF47" s="981"/>
      <c r="AG47" s="981"/>
      <c r="AH47" s="1444"/>
      <c r="AI47" s="1444"/>
      <c r="AJ47" s="981"/>
      <c r="AK47" s="982"/>
      <c r="AL47" s="982"/>
      <c r="AM47" s="982"/>
      <c r="AN47" s="982"/>
      <c r="AO47" s="982"/>
      <c r="AP47" s="982"/>
      <c r="AQ47" s="982"/>
      <c r="AR47" s="982"/>
      <c r="AS47" s="982"/>
      <c r="AT47" s="982"/>
    </row>
    <row r="48" spans="1:46" ht="24.75" hidden="1" customHeight="1" thickBot="1">
      <c r="A48" s="981"/>
      <c r="B48" s="3294"/>
      <c r="C48" s="3245"/>
      <c r="D48" s="3245"/>
      <c r="E48" s="3245"/>
      <c r="F48" s="3245"/>
      <c r="G48" s="3245"/>
      <c r="H48" s="3245"/>
      <c r="I48" s="3295"/>
      <c r="J48" s="998"/>
      <c r="K48" s="3286" t="s">
        <v>1726</v>
      </c>
      <c r="L48" s="3287"/>
      <c r="M48" s="3287"/>
      <c r="N48" s="3287"/>
      <c r="O48" s="3287"/>
      <c r="P48" s="3287"/>
      <c r="Q48" s="3287"/>
      <c r="R48" s="3287"/>
      <c r="S48" s="3287"/>
      <c r="T48" s="3287"/>
      <c r="U48" s="3287"/>
      <c r="V48" s="3288">
        <v>1</v>
      </c>
      <c r="W48" s="3289"/>
      <c r="X48" s="3289"/>
      <c r="Y48" s="3289"/>
      <c r="Z48" s="3290"/>
      <c r="AA48" s="3291">
        <f>IF(V48="",0,(V48-1)*AA47)</f>
        <v>0</v>
      </c>
      <c r="AB48" s="3297"/>
      <c r="AC48" s="3297"/>
      <c r="AD48" s="3297"/>
      <c r="AE48" s="3298"/>
      <c r="AF48" s="981"/>
      <c r="AG48" s="981"/>
      <c r="AH48" s="982"/>
      <c r="AI48" s="982"/>
      <c r="AJ48" s="982"/>
      <c r="AK48" s="982"/>
      <c r="AL48" s="982"/>
      <c r="AM48" s="982"/>
      <c r="AN48" s="982"/>
      <c r="AO48" s="982"/>
      <c r="AP48" s="982"/>
      <c r="AQ48" s="982"/>
      <c r="AR48" s="982"/>
      <c r="AS48" s="982"/>
      <c r="AT48" s="982"/>
    </row>
    <row r="49" spans="1:46" ht="24.75" hidden="1" customHeight="1" thickTop="1">
      <c r="A49" s="981"/>
      <c r="B49" s="3294"/>
      <c r="C49" s="3245"/>
      <c r="D49" s="3245"/>
      <c r="E49" s="3245"/>
      <c r="F49" s="3245"/>
      <c r="G49" s="3245"/>
      <c r="H49" s="3245"/>
      <c r="I49" s="3295"/>
      <c r="J49" s="984"/>
      <c r="K49" s="3248" t="s">
        <v>1727</v>
      </c>
      <c r="L49" s="3249"/>
      <c r="M49" s="3249"/>
      <c r="N49" s="3249"/>
      <c r="O49" s="3249"/>
      <c r="P49" s="3249"/>
      <c r="Q49" s="3249"/>
      <c r="R49" s="3249"/>
      <c r="S49" s="3249"/>
      <c r="T49" s="3249"/>
      <c r="U49" s="3249"/>
      <c r="V49" s="3249"/>
      <c r="W49" s="3249"/>
      <c r="X49" s="3249"/>
      <c r="Y49" s="3249"/>
      <c r="Z49" s="3249"/>
      <c r="AA49" s="3251">
        <f>SUM(AA47:AE48)</f>
        <v>0</v>
      </c>
      <c r="AB49" s="3249"/>
      <c r="AC49" s="3249"/>
      <c r="AD49" s="3249"/>
      <c r="AE49" s="3250"/>
      <c r="AF49" s="981"/>
      <c r="AG49" s="981"/>
      <c r="AH49" s="982"/>
      <c r="AI49" s="982"/>
      <c r="AJ49" s="982"/>
      <c r="AK49" s="982"/>
      <c r="AL49" s="982"/>
      <c r="AM49" s="982"/>
      <c r="AN49" s="982"/>
      <c r="AO49" s="982"/>
      <c r="AP49" s="982"/>
      <c r="AQ49" s="982"/>
      <c r="AR49" s="982"/>
      <c r="AS49" s="982"/>
      <c r="AT49" s="982"/>
    </row>
    <row r="50" spans="1:46" ht="24.75" hidden="1" customHeight="1">
      <c r="A50" s="981"/>
      <c r="B50" s="3294"/>
      <c r="C50" s="3245"/>
      <c r="D50" s="3245"/>
      <c r="E50" s="3245"/>
      <c r="F50" s="3245"/>
      <c r="G50" s="3245"/>
      <c r="H50" s="3245"/>
      <c r="I50" s="3295"/>
      <c r="J50" s="998"/>
      <c r="K50" s="3283" t="s">
        <v>1728</v>
      </c>
      <c r="L50" s="3256"/>
      <c r="M50" s="3256"/>
      <c r="N50" s="3256"/>
      <c r="O50" s="3256"/>
      <c r="P50" s="3256"/>
      <c r="Q50" s="3256"/>
      <c r="R50" s="3256"/>
      <c r="S50" s="3256"/>
      <c r="T50" s="3256"/>
      <c r="U50" s="3256"/>
      <c r="V50" s="3279">
        <v>6</v>
      </c>
      <c r="W50" s="3280"/>
      <c r="X50" s="3280"/>
      <c r="Y50" s="3280"/>
      <c r="Z50" s="3281"/>
      <c r="AA50" s="3282" t="str">
        <f>IF(R50="$/SF",W50*#REF!,"")</f>
        <v/>
      </c>
      <c r="AB50" s="3256"/>
      <c r="AC50" s="3256"/>
      <c r="AD50" s="3256"/>
      <c r="AE50" s="3257"/>
      <c r="AF50" s="981"/>
      <c r="AG50" s="981"/>
      <c r="AH50" s="982"/>
      <c r="AI50" s="982"/>
      <c r="AJ50" s="982"/>
      <c r="AK50" s="982"/>
      <c r="AL50" s="982"/>
      <c r="AM50" s="982"/>
      <c r="AN50" s="982"/>
      <c r="AO50" s="982"/>
      <c r="AP50" s="982"/>
      <c r="AQ50" s="982"/>
      <c r="AR50" s="982"/>
      <c r="AS50" s="982"/>
      <c r="AT50" s="982"/>
    </row>
    <row r="51" spans="1:46" ht="24.75" hidden="1" customHeight="1">
      <c r="A51" s="981"/>
      <c r="B51" s="3273"/>
      <c r="C51" s="3274"/>
      <c r="D51" s="3274"/>
      <c r="E51" s="3274"/>
      <c r="F51" s="3274"/>
      <c r="G51" s="3274"/>
      <c r="H51" s="3274"/>
      <c r="I51" s="3275"/>
      <c r="J51" s="998"/>
      <c r="K51" s="3283" t="s">
        <v>1729</v>
      </c>
      <c r="L51" s="3256"/>
      <c r="M51" s="3256"/>
      <c r="N51" s="3256"/>
      <c r="O51" s="3256"/>
      <c r="P51" s="3256"/>
      <c r="Q51" s="3256"/>
      <c r="R51" s="3256"/>
      <c r="S51" s="3256"/>
      <c r="T51" s="3256"/>
      <c r="U51" s="3256"/>
      <c r="V51" s="3284">
        <v>0.12</v>
      </c>
      <c r="W51" s="3280"/>
      <c r="X51" s="3280"/>
      <c r="Y51" s="3280"/>
      <c r="Z51" s="3281"/>
      <c r="AA51" s="3285">
        <f>((V51*AA49)/12)*V50</f>
        <v>0</v>
      </c>
      <c r="AB51" s="3256"/>
      <c r="AC51" s="3256"/>
      <c r="AD51" s="3256"/>
      <c r="AE51" s="3257"/>
      <c r="AF51" s="981"/>
      <c r="AG51" s="981"/>
      <c r="AH51" s="982"/>
      <c r="AI51" s="982"/>
      <c r="AJ51" s="982"/>
      <c r="AK51" s="982"/>
      <c r="AL51" s="982"/>
      <c r="AM51" s="982"/>
      <c r="AN51" s="982"/>
      <c r="AO51" s="982"/>
      <c r="AP51" s="982"/>
      <c r="AQ51" s="982"/>
      <c r="AR51" s="982"/>
      <c r="AS51" s="982"/>
      <c r="AT51" s="982"/>
    </row>
    <row r="52" spans="1:46" ht="24.75" hidden="1" customHeight="1" thickBot="1">
      <c r="A52" s="981"/>
      <c r="B52" s="981"/>
      <c r="C52" s="981"/>
      <c r="D52" s="984"/>
      <c r="E52" s="984"/>
      <c r="F52" s="984"/>
      <c r="G52" s="984"/>
      <c r="H52" s="984"/>
      <c r="I52" s="984"/>
      <c r="J52" s="984"/>
      <c r="K52" s="3286" t="s">
        <v>1730</v>
      </c>
      <c r="L52" s="3287"/>
      <c r="M52" s="3287"/>
      <c r="N52" s="3287"/>
      <c r="O52" s="3287"/>
      <c r="P52" s="3287"/>
      <c r="Q52" s="3287"/>
      <c r="R52" s="3287"/>
      <c r="S52" s="3287"/>
      <c r="T52" s="3287"/>
      <c r="U52" s="3287"/>
      <c r="V52" s="3288">
        <v>0.02</v>
      </c>
      <c r="W52" s="3289"/>
      <c r="X52" s="3289"/>
      <c r="Y52" s="3289"/>
      <c r="Z52" s="3290"/>
      <c r="AA52" s="3291">
        <f>V52*AA49</f>
        <v>0</v>
      </c>
      <c r="AB52" s="3287"/>
      <c r="AC52" s="3287"/>
      <c r="AD52" s="3287"/>
      <c r="AE52" s="3292"/>
      <c r="AF52" s="981"/>
      <c r="AG52" s="981"/>
      <c r="AH52" s="982"/>
      <c r="AI52" s="982"/>
      <c r="AJ52" s="982"/>
      <c r="AK52" s="982"/>
      <c r="AL52" s="982"/>
      <c r="AM52" s="982"/>
      <c r="AN52" s="982"/>
      <c r="AO52" s="982"/>
      <c r="AP52" s="982"/>
      <c r="AQ52" s="982"/>
      <c r="AR52" s="982"/>
      <c r="AS52" s="982"/>
      <c r="AT52" s="982"/>
    </row>
    <row r="53" spans="1:46" ht="24.75" hidden="1" customHeight="1" thickTop="1">
      <c r="A53" s="981"/>
      <c r="B53" s="981"/>
      <c r="C53" s="981"/>
      <c r="D53" s="981"/>
      <c r="E53" s="981"/>
      <c r="F53" s="981"/>
      <c r="G53" s="981"/>
      <c r="H53" s="981"/>
      <c r="I53" s="981"/>
      <c r="J53" s="981"/>
      <c r="K53" s="3248" t="s">
        <v>1606</v>
      </c>
      <c r="L53" s="3249"/>
      <c r="M53" s="3249"/>
      <c r="N53" s="3249"/>
      <c r="O53" s="3249"/>
      <c r="P53" s="3249"/>
      <c r="Q53" s="3249"/>
      <c r="R53" s="3249"/>
      <c r="S53" s="3249"/>
      <c r="T53" s="3249"/>
      <c r="U53" s="3249"/>
      <c r="V53" s="3249"/>
      <c r="W53" s="3249"/>
      <c r="X53" s="3249"/>
      <c r="Y53" s="3249"/>
      <c r="Z53" s="3249"/>
      <c r="AA53" s="3251">
        <f>SUM(AA51:AE52)</f>
        <v>0</v>
      </c>
      <c r="AB53" s="3249"/>
      <c r="AC53" s="3249"/>
      <c r="AD53" s="3249"/>
      <c r="AE53" s="3250"/>
      <c r="AF53" s="981"/>
      <c r="AG53" s="981"/>
      <c r="AH53" s="1444"/>
      <c r="AI53" s="3269"/>
      <c r="AJ53" s="3245"/>
      <c r="AK53" s="982"/>
      <c r="AL53" s="982"/>
      <c r="AM53" s="982"/>
      <c r="AN53" s="982"/>
      <c r="AO53" s="982"/>
      <c r="AP53" s="981"/>
      <c r="AQ53" s="981"/>
      <c r="AR53" s="982"/>
      <c r="AS53" s="982"/>
      <c r="AT53" s="981"/>
    </row>
    <row r="54" spans="1:46" ht="24.75" customHeight="1" thickBot="1">
      <c r="A54" s="981"/>
      <c r="B54" s="999"/>
      <c r="C54" s="999"/>
      <c r="D54" s="999"/>
      <c r="E54" s="999"/>
      <c r="F54" s="999"/>
      <c r="G54" s="999"/>
      <c r="H54" s="999"/>
      <c r="I54" s="999"/>
      <c r="J54" s="999"/>
      <c r="K54" s="1000"/>
      <c r="L54" s="1000"/>
      <c r="M54" s="1000"/>
      <c r="N54" s="1000"/>
      <c r="O54" s="1000"/>
      <c r="P54" s="1000"/>
      <c r="Q54" s="1000"/>
      <c r="R54" s="1000"/>
      <c r="S54" s="1000"/>
      <c r="T54" s="1000"/>
      <c r="U54" s="1000"/>
      <c r="V54" s="1000"/>
      <c r="W54" s="1000"/>
      <c r="X54" s="1000"/>
      <c r="Y54" s="1000"/>
      <c r="Z54" s="1000"/>
      <c r="AA54" s="1000"/>
      <c r="AB54" s="1000"/>
      <c r="AC54" s="1000"/>
      <c r="AD54" s="1000"/>
      <c r="AE54" s="1000"/>
      <c r="AF54" s="999"/>
      <c r="AG54" s="999"/>
      <c r="AH54" s="1000"/>
      <c r="AI54" s="1000"/>
      <c r="AJ54" s="1000"/>
      <c r="AK54" s="1000"/>
      <c r="AL54" s="1000"/>
      <c r="AM54" s="1000"/>
      <c r="AN54" s="1000"/>
      <c r="AO54" s="1000"/>
      <c r="AP54" s="1000"/>
      <c r="AQ54" s="1000"/>
      <c r="AR54" s="982"/>
      <c r="AS54" s="982"/>
      <c r="AT54" s="982"/>
    </row>
    <row r="55" spans="1:46" ht="24.75" customHeight="1">
      <c r="A55" s="981"/>
      <c r="B55" s="1001"/>
      <c r="C55" s="1001"/>
      <c r="D55" s="1001"/>
      <c r="E55" s="1001"/>
      <c r="F55" s="1001"/>
      <c r="G55" s="1001"/>
      <c r="H55" s="1001"/>
      <c r="I55" s="1001"/>
      <c r="J55" s="1001"/>
      <c r="K55" s="983"/>
      <c r="L55" s="983"/>
      <c r="M55" s="983"/>
      <c r="N55" s="983"/>
      <c r="O55" s="983"/>
      <c r="P55" s="983"/>
      <c r="Q55" s="983"/>
      <c r="R55" s="983"/>
      <c r="S55" s="983"/>
      <c r="T55" s="983"/>
      <c r="U55" s="983"/>
      <c r="V55" s="983"/>
      <c r="W55" s="983"/>
      <c r="X55" s="983"/>
      <c r="Y55" s="983"/>
      <c r="Z55" s="983"/>
      <c r="AA55" s="983"/>
      <c r="AB55" s="983"/>
      <c r="AC55" s="983"/>
      <c r="AD55" s="983"/>
      <c r="AE55" s="983"/>
      <c r="AF55" s="1001"/>
      <c r="AG55" s="1001"/>
      <c r="AH55" s="983"/>
      <c r="AI55" s="983"/>
      <c r="AJ55" s="983"/>
      <c r="AK55" s="983"/>
      <c r="AL55" s="983"/>
      <c r="AM55" s="983"/>
      <c r="AN55" s="983"/>
      <c r="AO55" s="983"/>
      <c r="AP55" s="983"/>
      <c r="AQ55" s="983"/>
      <c r="AR55" s="982"/>
      <c r="AS55" s="982"/>
      <c r="AT55" s="982"/>
    </row>
    <row r="56" spans="1:46" ht="24.75" customHeight="1">
      <c r="A56" s="981"/>
      <c r="B56" s="981"/>
      <c r="C56" s="981"/>
      <c r="D56" s="981"/>
      <c r="E56" s="981"/>
      <c r="F56" s="981"/>
      <c r="G56" s="981"/>
      <c r="H56" s="981"/>
      <c r="I56" s="981"/>
      <c r="J56" s="981"/>
      <c r="K56" s="3252" t="s">
        <v>1731</v>
      </c>
      <c r="L56" s="3253"/>
      <c r="M56" s="3253"/>
      <c r="N56" s="3253"/>
      <c r="O56" s="3253"/>
      <c r="P56" s="3253"/>
      <c r="Q56" s="3253"/>
      <c r="R56" s="3253"/>
      <c r="S56" s="3253"/>
      <c r="T56" s="3253"/>
      <c r="U56" s="3253"/>
      <c r="V56" s="3253"/>
      <c r="W56" s="3253"/>
      <c r="X56" s="3253"/>
      <c r="Y56" s="3253"/>
      <c r="Z56" s="3253"/>
      <c r="AA56" s="3253"/>
      <c r="AB56" s="3253"/>
      <c r="AC56" s="3253"/>
      <c r="AD56" s="3253"/>
      <c r="AE56" s="3254"/>
      <c r="AF56" s="981"/>
      <c r="AG56" s="981"/>
      <c r="AH56" s="982"/>
      <c r="AI56" s="982"/>
      <c r="AJ56" s="982"/>
      <c r="AK56" s="981"/>
      <c r="AL56" s="981"/>
      <c r="AM56" s="981"/>
      <c r="AN56" s="981"/>
      <c r="AO56" s="981"/>
      <c r="AP56" s="982"/>
      <c r="AQ56" s="982"/>
      <c r="AR56" s="981"/>
      <c r="AS56" s="981"/>
      <c r="AT56" s="982"/>
    </row>
    <row r="57" spans="1:46" ht="24.75" customHeight="1">
      <c r="A57" s="981"/>
      <c r="B57" s="3270" t="s">
        <v>1732</v>
      </c>
      <c r="C57" s="3271"/>
      <c r="D57" s="3271"/>
      <c r="E57" s="3271"/>
      <c r="F57" s="3271"/>
      <c r="G57" s="3271"/>
      <c r="H57" s="3271"/>
      <c r="I57" s="3272"/>
      <c r="J57" s="981"/>
      <c r="K57" s="3276" t="s">
        <v>1203</v>
      </c>
      <c r="L57" s="3277"/>
      <c r="M57" s="3277"/>
      <c r="N57" s="3277"/>
      <c r="O57" s="3277"/>
      <c r="P57" s="3277"/>
      <c r="Q57" s="3277"/>
      <c r="R57" s="3277"/>
      <c r="S57" s="3277"/>
      <c r="T57" s="3277"/>
      <c r="U57" s="3277"/>
      <c r="V57" s="3277"/>
      <c r="W57" s="3277"/>
      <c r="X57" s="3277"/>
      <c r="Y57" s="3277"/>
      <c r="Z57" s="3278"/>
      <c r="AA57" s="3258">
        <f>AA7</f>
        <v>0</v>
      </c>
      <c r="AB57" s="3256"/>
      <c r="AC57" s="3256"/>
      <c r="AD57" s="3256"/>
      <c r="AE57" s="3257"/>
      <c r="AF57" s="981"/>
      <c r="AG57" s="981"/>
      <c r="AH57" s="982"/>
      <c r="AI57" s="982"/>
      <c r="AJ57" s="982"/>
      <c r="AK57" s="982"/>
      <c r="AL57" s="982"/>
      <c r="AM57" s="982"/>
      <c r="AN57" s="982"/>
      <c r="AO57" s="982"/>
      <c r="AP57" s="982"/>
      <c r="AQ57" s="982"/>
      <c r="AR57" s="982"/>
      <c r="AS57" s="982"/>
      <c r="AT57" s="982"/>
    </row>
    <row r="58" spans="1:46" ht="24.75" customHeight="1">
      <c r="A58" s="981"/>
      <c r="B58" s="3273"/>
      <c r="C58" s="3274"/>
      <c r="D58" s="3274"/>
      <c r="E58" s="3274"/>
      <c r="F58" s="3274"/>
      <c r="G58" s="3274"/>
      <c r="H58" s="3274"/>
      <c r="I58" s="3275"/>
      <c r="J58" s="981"/>
      <c r="K58" s="3263" t="s">
        <v>1827</v>
      </c>
      <c r="L58" s="3256"/>
      <c r="M58" s="3256"/>
      <c r="N58" s="3256"/>
      <c r="O58" s="3256"/>
      <c r="P58" s="3256"/>
      <c r="Q58" s="3256"/>
      <c r="R58" s="3256"/>
      <c r="S58" s="3256"/>
      <c r="T58" s="3256"/>
      <c r="U58" s="3256"/>
      <c r="V58" s="3256"/>
      <c r="W58" s="3256"/>
      <c r="X58" s="3256"/>
      <c r="Y58" s="3256"/>
      <c r="Z58" s="3257"/>
      <c r="AA58" s="3264">
        <f>-AA12</f>
        <v>0</v>
      </c>
      <c r="AB58" s="3256"/>
      <c r="AC58" s="3256"/>
      <c r="AD58" s="3256"/>
      <c r="AE58" s="3257"/>
      <c r="AF58" s="981"/>
      <c r="AG58" s="981"/>
      <c r="AH58" s="982"/>
      <c r="AI58" s="982"/>
      <c r="AJ58" s="982"/>
      <c r="AK58" s="982"/>
      <c r="AL58" s="982"/>
      <c r="AM58" s="982"/>
      <c r="AN58" s="982"/>
      <c r="AO58" s="982"/>
      <c r="AP58" s="982"/>
      <c r="AQ58" s="982"/>
      <c r="AR58" s="982"/>
      <c r="AS58" s="982"/>
      <c r="AT58" s="982"/>
    </row>
    <row r="59" spans="1:46" ht="24.75" customHeight="1">
      <c r="A59" s="981"/>
      <c r="B59" s="981"/>
      <c r="C59" s="981"/>
      <c r="D59" s="981"/>
      <c r="E59" s="981"/>
      <c r="F59" s="981"/>
      <c r="G59" s="981"/>
      <c r="H59" s="981"/>
      <c r="I59" s="981"/>
      <c r="J59" s="981"/>
      <c r="K59" s="3263" t="s">
        <v>1839</v>
      </c>
      <c r="L59" s="3256"/>
      <c r="M59" s="3256"/>
      <c r="N59" s="3256"/>
      <c r="O59" s="3256"/>
      <c r="P59" s="3256"/>
      <c r="Q59" s="3256"/>
      <c r="R59" s="3256"/>
      <c r="S59" s="3256"/>
      <c r="T59" s="3256"/>
      <c r="U59" s="3256"/>
      <c r="V59" s="3256"/>
      <c r="W59" s="3256"/>
      <c r="X59" s="3256"/>
      <c r="Y59" s="3256"/>
      <c r="Z59" s="3257"/>
      <c r="AA59" s="3264">
        <f>-Construction_Costs_Lump_Sum</f>
        <v>0</v>
      </c>
      <c r="AB59" s="3256"/>
      <c r="AC59" s="3256"/>
      <c r="AD59" s="3256"/>
      <c r="AE59" s="3257"/>
      <c r="AF59" s="981"/>
      <c r="AG59" s="981"/>
      <c r="AH59" s="982"/>
      <c r="AI59" s="982"/>
      <c r="AJ59" s="982"/>
      <c r="AK59" s="982"/>
      <c r="AL59" s="982"/>
      <c r="AM59" s="982"/>
      <c r="AN59" s="982"/>
      <c r="AO59" s="982"/>
      <c r="AP59" s="982"/>
      <c r="AQ59" s="982"/>
      <c r="AR59" s="982"/>
      <c r="AS59" s="982"/>
      <c r="AT59" s="982"/>
    </row>
    <row r="60" spans="1:46" ht="24.75" customHeight="1">
      <c r="A60" s="981"/>
      <c r="B60" s="981"/>
      <c r="C60" s="981"/>
      <c r="D60" s="981"/>
      <c r="E60" s="981"/>
      <c r="F60" s="981"/>
      <c r="G60" s="981"/>
      <c r="H60" s="981"/>
      <c r="I60" s="981"/>
      <c r="J60" s="981"/>
      <c r="K60" s="3263" t="s">
        <v>1826</v>
      </c>
      <c r="L60" s="3256"/>
      <c r="M60" s="3256"/>
      <c r="N60" s="3256"/>
      <c r="O60" s="3256"/>
      <c r="P60" s="3256"/>
      <c r="Q60" s="3256"/>
      <c r="R60" s="3256"/>
      <c r="S60" s="3256"/>
      <c r="T60" s="3256"/>
      <c r="U60" s="3256"/>
      <c r="V60" s="3256"/>
      <c r="W60" s="3256"/>
      <c r="X60" s="3256"/>
      <c r="Y60" s="3256"/>
      <c r="Z60" s="3257"/>
      <c r="AA60" s="3264">
        <f>-AA24</f>
        <v>0</v>
      </c>
      <c r="AB60" s="3256"/>
      <c r="AC60" s="3256"/>
      <c r="AD60" s="3256"/>
      <c r="AE60" s="3257"/>
      <c r="AF60" s="981"/>
      <c r="AG60" s="981"/>
      <c r="AH60" s="982"/>
      <c r="AI60" s="982"/>
      <c r="AJ60" s="982"/>
      <c r="AK60" s="982"/>
      <c r="AL60" s="982"/>
      <c r="AM60" s="982"/>
      <c r="AN60" s="982"/>
      <c r="AO60" s="982"/>
      <c r="AP60" s="982"/>
      <c r="AQ60" s="982"/>
      <c r="AR60" s="982"/>
      <c r="AS60" s="982"/>
      <c r="AT60" s="982"/>
    </row>
    <row r="61" spans="1:46" ht="24.75" customHeight="1">
      <c r="A61" s="981"/>
      <c r="B61" s="981"/>
      <c r="C61" s="981"/>
      <c r="D61" s="981"/>
      <c r="E61" s="981"/>
      <c r="F61" s="981"/>
      <c r="G61" s="981"/>
      <c r="H61" s="981"/>
      <c r="I61" s="981"/>
      <c r="J61" s="981"/>
      <c r="K61" s="3263" t="s">
        <v>1831</v>
      </c>
      <c r="L61" s="3256"/>
      <c r="M61" s="3256"/>
      <c r="N61" s="3256"/>
      <c r="O61" s="3256"/>
      <c r="P61" s="3256"/>
      <c r="Q61" s="3256"/>
      <c r="R61" s="3256"/>
      <c r="S61" s="3256"/>
      <c r="T61" s="3256"/>
      <c r="U61" s="3256"/>
      <c r="V61" s="3256"/>
      <c r="W61" s="3256"/>
      <c r="X61" s="3256"/>
      <c r="Y61" s="3256"/>
      <c r="Z61" s="3257"/>
      <c r="AA61" s="3264">
        <f>-AA53</f>
        <v>0</v>
      </c>
      <c r="AB61" s="3256"/>
      <c r="AC61" s="3256"/>
      <c r="AD61" s="3256"/>
      <c r="AE61" s="3257"/>
      <c r="AF61" s="981"/>
      <c r="AG61" s="981"/>
      <c r="AH61" s="982"/>
      <c r="AI61" s="982"/>
      <c r="AJ61" s="982"/>
      <c r="AK61" s="982"/>
      <c r="AL61" s="982"/>
      <c r="AM61" s="982"/>
      <c r="AN61" s="982"/>
      <c r="AO61" s="982"/>
      <c r="AP61" s="982"/>
      <c r="AQ61" s="982"/>
      <c r="AR61" s="982"/>
      <c r="AS61" s="982"/>
      <c r="AT61" s="982"/>
    </row>
    <row r="62" spans="1:46" ht="24.75" customHeight="1" thickBot="1">
      <c r="A62" s="981"/>
      <c r="B62" s="981"/>
      <c r="C62" s="981"/>
      <c r="D62" s="981"/>
      <c r="E62" s="981"/>
      <c r="F62" s="981"/>
      <c r="G62" s="981"/>
      <c r="H62" s="981"/>
      <c r="I62" s="981"/>
      <c r="J62" s="981"/>
      <c r="K62" s="3265" t="s">
        <v>1828</v>
      </c>
      <c r="L62" s="3266"/>
      <c r="M62" s="3266"/>
      <c r="N62" s="3266"/>
      <c r="O62" s="3266"/>
      <c r="P62" s="3266"/>
      <c r="Q62" s="3266"/>
      <c r="R62" s="3266"/>
      <c r="S62" s="3266"/>
      <c r="T62" s="3266"/>
      <c r="U62" s="3266"/>
      <c r="V62" s="3266"/>
      <c r="W62" s="3266"/>
      <c r="X62" s="3266"/>
      <c r="Y62" s="3266"/>
      <c r="Z62" s="3267"/>
      <c r="AA62" s="3268">
        <f>-AA28</f>
        <v>0</v>
      </c>
      <c r="AB62" s="3266"/>
      <c r="AC62" s="3266"/>
      <c r="AD62" s="3266"/>
      <c r="AE62" s="3267"/>
      <c r="AF62" s="981"/>
      <c r="AG62" s="981"/>
      <c r="AH62" s="982"/>
      <c r="AI62" s="982"/>
      <c r="AJ62" s="982"/>
      <c r="AK62" s="982"/>
      <c r="AL62" s="982"/>
      <c r="AM62" s="982"/>
      <c r="AN62" s="982"/>
      <c r="AO62" s="982"/>
      <c r="AP62" s="982"/>
      <c r="AQ62" s="982"/>
      <c r="AR62" s="982"/>
      <c r="AS62" s="982"/>
      <c r="AT62" s="982"/>
    </row>
    <row r="63" spans="1:46" ht="24.75" customHeight="1" thickTop="1">
      <c r="A63" s="981"/>
      <c r="B63" s="981"/>
      <c r="C63" s="981"/>
      <c r="D63" s="981"/>
      <c r="E63" s="981"/>
      <c r="F63" s="981"/>
      <c r="G63" s="981"/>
      <c r="H63" s="981"/>
      <c r="I63" s="981"/>
      <c r="J63" s="981"/>
      <c r="K63" s="3248" t="s">
        <v>1733</v>
      </c>
      <c r="L63" s="3249"/>
      <c r="M63" s="3249"/>
      <c r="N63" s="3249"/>
      <c r="O63" s="3249"/>
      <c r="P63" s="3249"/>
      <c r="Q63" s="3249"/>
      <c r="R63" s="3249"/>
      <c r="S63" s="3249"/>
      <c r="T63" s="3249"/>
      <c r="U63" s="3249"/>
      <c r="V63" s="3249"/>
      <c r="W63" s="3249"/>
      <c r="X63" s="3249"/>
      <c r="Y63" s="3249"/>
      <c r="Z63" s="3250"/>
      <c r="AA63" s="3251">
        <f>SUM(AA57:AE62)</f>
        <v>0</v>
      </c>
      <c r="AB63" s="3249"/>
      <c r="AC63" s="3249"/>
      <c r="AD63" s="3249"/>
      <c r="AE63" s="3250"/>
      <c r="AF63" s="981"/>
      <c r="AG63" s="981"/>
      <c r="AH63" s="982"/>
      <c r="AI63" s="1002"/>
      <c r="AJ63" s="982"/>
      <c r="AK63" s="982"/>
      <c r="AL63" s="982"/>
      <c r="AM63" s="982"/>
      <c r="AN63" s="982"/>
      <c r="AO63" s="982"/>
      <c r="AP63" s="982"/>
      <c r="AQ63" s="982"/>
      <c r="AR63" s="982"/>
      <c r="AS63" s="982"/>
      <c r="AT63" s="982"/>
    </row>
    <row r="64" spans="1:46" ht="24.75" customHeight="1">
      <c r="A64" s="981"/>
      <c r="B64" s="981"/>
      <c r="C64" s="981"/>
      <c r="D64" s="981"/>
      <c r="E64" s="981"/>
      <c r="F64" s="981"/>
      <c r="G64" s="981"/>
      <c r="H64" s="981"/>
      <c r="I64" s="981"/>
      <c r="J64" s="981"/>
      <c r="K64" s="982"/>
      <c r="L64" s="982"/>
      <c r="M64" s="982"/>
      <c r="N64" s="982"/>
      <c r="O64" s="982"/>
      <c r="P64" s="982"/>
      <c r="Q64" s="982"/>
      <c r="R64" s="982"/>
      <c r="S64" s="982"/>
      <c r="T64" s="982"/>
      <c r="U64" s="982"/>
      <c r="V64" s="982"/>
      <c r="W64" s="982"/>
      <c r="X64" s="982"/>
      <c r="Y64" s="982"/>
      <c r="Z64" s="982"/>
      <c r="AA64" s="982"/>
      <c r="AB64" s="982"/>
      <c r="AC64" s="982"/>
      <c r="AD64" s="982"/>
      <c r="AE64" s="982"/>
      <c r="AF64" s="981"/>
      <c r="AG64" s="981"/>
      <c r="AH64" s="982"/>
      <c r="AI64" s="982"/>
      <c r="AJ64" s="982"/>
      <c r="AK64" s="981"/>
      <c r="AL64" s="981"/>
      <c r="AM64" s="981"/>
      <c r="AN64" s="981"/>
      <c r="AO64" s="982"/>
      <c r="AP64" s="982"/>
      <c r="AQ64" s="982"/>
      <c r="AR64" s="982"/>
      <c r="AS64" s="982"/>
      <c r="AT64" s="982"/>
    </row>
    <row r="65" spans="1:46" ht="24.75" customHeight="1">
      <c r="A65" s="981"/>
      <c r="B65" s="981"/>
      <c r="C65" s="981"/>
      <c r="D65" s="981"/>
      <c r="E65" s="981"/>
      <c r="F65" s="981"/>
      <c r="G65" s="981"/>
      <c r="H65" s="981"/>
      <c r="I65" s="981"/>
      <c r="J65" s="981"/>
      <c r="K65" s="3252" t="s">
        <v>1734</v>
      </c>
      <c r="L65" s="3253"/>
      <c r="M65" s="3253"/>
      <c r="N65" s="3253"/>
      <c r="O65" s="3253"/>
      <c r="P65" s="3253"/>
      <c r="Q65" s="3253"/>
      <c r="R65" s="3253"/>
      <c r="S65" s="3253"/>
      <c r="T65" s="3253"/>
      <c r="U65" s="3253"/>
      <c r="V65" s="3253"/>
      <c r="W65" s="3253"/>
      <c r="X65" s="3253"/>
      <c r="Y65" s="3253"/>
      <c r="Z65" s="3253"/>
      <c r="AA65" s="3253"/>
      <c r="AB65" s="3253"/>
      <c r="AC65" s="3253"/>
      <c r="AD65" s="3253"/>
      <c r="AE65" s="3254"/>
      <c r="AF65" s="981"/>
      <c r="AG65" s="981"/>
      <c r="AH65" s="982"/>
      <c r="AI65" s="982"/>
      <c r="AJ65" s="982"/>
      <c r="AK65" s="982"/>
      <c r="AL65" s="982"/>
      <c r="AM65" s="982"/>
      <c r="AN65" s="982"/>
      <c r="AO65" s="981"/>
      <c r="AP65" s="982"/>
      <c r="AQ65" s="982"/>
      <c r="AR65" s="981"/>
      <c r="AS65" s="981"/>
      <c r="AT65" s="982"/>
    </row>
    <row r="66" spans="1:46" ht="24.75" customHeight="1">
      <c r="A66" s="981"/>
      <c r="B66" s="981"/>
      <c r="C66" s="981"/>
      <c r="D66" s="981"/>
      <c r="E66" s="981"/>
      <c r="F66" s="981"/>
      <c r="G66" s="981"/>
      <c r="H66" s="981"/>
      <c r="I66" s="981"/>
      <c r="J66" s="981"/>
      <c r="K66" s="3255" t="s">
        <v>1832</v>
      </c>
      <c r="L66" s="3256"/>
      <c r="M66" s="3256"/>
      <c r="N66" s="3256"/>
      <c r="O66" s="3256"/>
      <c r="P66" s="3256"/>
      <c r="Q66" s="3256"/>
      <c r="R66" s="3256"/>
      <c r="S66" s="3256"/>
      <c r="T66" s="3256"/>
      <c r="U66" s="3256"/>
      <c r="V66" s="3256"/>
      <c r="W66" s="3256"/>
      <c r="X66" s="3256"/>
      <c r="Y66" s="3256"/>
      <c r="Z66" s="3257"/>
      <c r="AA66" s="3258">
        <f>IF(Rental_Funding_Strategy="All Cash",AA12+AA15+AA24,AA12+AA15+AA24+AA53)</f>
        <v>0</v>
      </c>
      <c r="AB66" s="3256"/>
      <c r="AC66" s="3256"/>
      <c r="AD66" s="3256"/>
      <c r="AE66" s="3257"/>
      <c r="AF66" s="981"/>
      <c r="AG66" s="3244" t="s">
        <v>1829</v>
      </c>
      <c r="AH66" s="3245"/>
      <c r="AI66" s="3245"/>
      <c r="AJ66" s="3245"/>
      <c r="AK66" s="3245"/>
      <c r="AL66" s="982"/>
      <c r="AM66" s="982"/>
      <c r="AN66" s="982"/>
      <c r="AO66" s="982"/>
      <c r="AP66" s="982"/>
      <c r="AQ66" s="982"/>
      <c r="AR66" s="982"/>
      <c r="AS66" s="982"/>
      <c r="AT66" s="982"/>
    </row>
    <row r="67" spans="1:46" ht="24.75" hidden="1" customHeight="1" thickBot="1">
      <c r="A67" s="981"/>
      <c r="B67" s="981"/>
      <c r="C67" s="981"/>
      <c r="D67" s="981"/>
      <c r="E67" s="981"/>
      <c r="F67" s="981"/>
      <c r="G67" s="981"/>
      <c r="H67" s="981"/>
      <c r="I67" s="981"/>
      <c r="J67" s="981"/>
      <c r="K67" s="3259" t="s">
        <v>1833</v>
      </c>
      <c r="L67" s="3260"/>
      <c r="M67" s="3260"/>
      <c r="N67" s="3260"/>
      <c r="O67" s="3260"/>
      <c r="P67" s="3260"/>
      <c r="Q67" s="3260"/>
      <c r="R67" s="3260"/>
      <c r="S67" s="3260"/>
      <c r="T67" s="3260"/>
      <c r="U67" s="3260"/>
      <c r="V67" s="3260"/>
      <c r="W67" s="3260"/>
      <c r="X67" s="3260"/>
      <c r="Y67" s="3260"/>
      <c r="Z67" s="3261"/>
      <c r="AA67" s="3262">
        <f>-AA49</f>
        <v>0</v>
      </c>
      <c r="AB67" s="3260"/>
      <c r="AC67" s="3260"/>
      <c r="AD67" s="3260"/>
      <c r="AE67" s="3261"/>
      <c r="AF67" s="981"/>
      <c r="AG67" s="1004"/>
      <c r="AH67" s="981"/>
      <c r="AI67" s="981"/>
      <c r="AJ67" s="981"/>
      <c r="AK67" s="981"/>
      <c r="AL67" s="982"/>
      <c r="AM67" s="982"/>
      <c r="AN67" s="982"/>
      <c r="AO67" s="982"/>
      <c r="AP67" s="982"/>
      <c r="AQ67" s="982"/>
      <c r="AR67" s="982"/>
      <c r="AS67" s="982"/>
      <c r="AT67" s="982"/>
    </row>
    <row r="68" spans="1:46" ht="24.75" customHeight="1">
      <c r="A68" s="981"/>
      <c r="B68" s="981"/>
      <c r="C68" s="981"/>
      <c r="D68" s="981"/>
      <c r="E68" s="981"/>
      <c r="F68" s="981"/>
      <c r="G68" s="981"/>
      <c r="H68" s="981"/>
      <c r="I68" s="981"/>
      <c r="J68" s="981"/>
      <c r="K68" s="3248" t="s">
        <v>1735</v>
      </c>
      <c r="L68" s="3249"/>
      <c r="M68" s="3249"/>
      <c r="N68" s="3249"/>
      <c r="O68" s="3249"/>
      <c r="P68" s="3249"/>
      <c r="Q68" s="3249"/>
      <c r="R68" s="3249"/>
      <c r="S68" s="3249"/>
      <c r="T68" s="3249"/>
      <c r="U68" s="3249"/>
      <c r="V68" s="3249"/>
      <c r="W68" s="3249"/>
      <c r="X68" s="3249"/>
      <c r="Y68" s="3249"/>
      <c r="Z68" s="3250"/>
      <c r="AA68" s="3251">
        <f>SUM(AA66:AE67)</f>
        <v>0</v>
      </c>
      <c r="AB68" s="3249"/>
      <c r="AC68" s="3249"/>
      <c r="AD68" s="3249"/>
      <c r="AE68" s="3250"/>
      <c r="AF68" s="981"/>
      <c r="AG68" s="1004"/>
      <c r="AH68" s="981"/>
      <c r="AI68" s="981"/>
      <c r="AJ68" s="981"/>
      <c r="AK68" s="981"/>
      <c r="AL68" s="982"/>
      <c r="AM68" s="982"/>
      <c r="AN68" s="982"/>
      <c r="AO68" s="982"/>
      <c r="AP68" s="982"/>
      <c r="AQ68" s="982"/>
      <c r="AR68" s="982"/>
      <c r="AS68" s="982"/>
      <c r="AT68" s="982"/>
    </row>
    <row r="69" spans="1:46" ht="11.25" customHeight="1">
      <c r="A69" s="981"/>
      <c r="B69" s="981"/>
      <c r="C69" s="981"/>
      <c r="D69" s="981"/>
      <c r="E69" s="981"/>
      <c r="F69" s="981"/>
      <c r="G69" s="981"/>
      <c r="H69" s="981"/>
      <c r="I69" s="981"/>
      <c r="J69" s="981"/>
      <c r="K69" s="981"/>
      <c r="L69" s="981"/>
      <c r="M69" s="1003"/>
      <c r="N69" s="1003"/>
      <c r="O69" s="1003"/>
      <c r="P69" s="1003"/>
      <c r="Q69" s="1003"/>
      <c r="R69" s="1003"/>
      <c r="S69" s="1003"/>
      <c r="T69" s="1003"/>
      <c r="U69" s="1003"/>
      <c r="V69" s="1003"/>
      <c r="W69" s="1003"/>
      <c r="X69" s="1003"/>
      <c r="Y69" s="1003"/>
      <c r="Z69" s="1003"/>
      <c r="AA69" s="1003"/>
      <c r="AB69" s="1003"/>
      <c r="AC69" s="1003"/>
      <c r="AD69" s="1003"/>
      <c r="AE69" s="1004"/>
      <c r="AF69" s="1004"/>
      <c r="AG69" s="1006"/>
      <c r="AH69" s="1001"/>
      <c r="AI69" s="1001"/>
      <c r="AJ69" s="981"/>
      <c r="AK69" s="981"/>
      <c r="AL69" s="981"/>
      <c r="AM69" s="981"/>
      <c r="AN69" s="981"/>
      <c r="AO69" s="981"/>
      <c r="AP69" s="981"/>
      <c r="AQ69" s="981"/>
      <c r="AR69" s="981"/>
      <c r="AS69" s="981"/>
      <c r="AT69" s="981"/>
    </row>
    <row r="70" spans="1:46" ht="11.25" customHeight="1">
      <c r="A70" s="981"/>
      <c r="B70" s="981"/>
      <c r="C70" s="981"/>
      <c r="D70" s="981"/>
      <c r="E70" s="981"/>
      <c r="F70" s="981"/>
      <c r="G70" s="981"/>
      <c r="H70" s="981"/>
      <c r="I70" s="981"/>
      <c r="J70" s="981"/>
      <c r="K70" s="981"/>
      <c r="L70" s="981"/>
      <c r="M70" s="1005"/>
      <c r="N70" s="1005"/>
      <c r="O70" s="1005"/>
      <c r="P70" s="1005"/>
      <c r="Q70" s="1005"/>
      <c r="R70" s="1005"/>
      <c r="S70" s="1005"/>
      <c r="T70" s="1005"/>
      <c r="U70" s="1005"/>
      <c r="V70" s="1005"/>
      <c r="W70" s="1005"/>
      <c r="X70" s="1005"/>
      <c r="Y70" s="1005"/>
      <c r="Z70" s="1005"/>
      <c r="AA70" s="1005"/>
      <c r="AB70" s="1005"/>
      <c r="AC70" s="1005"/>
      <c r="AD70" s="1005"/>
      <c r="AE70" s="1006"/>
      <c r="AF70" s="1006"/>
      <c r="AG70" s="1006"/>
      <c r="AH70" s="1001"/>
      <c r="AI70" s="1001"/>
      <c r="AJ70" s="981"/>
      <c r="AK70" s="981"/>
      <c r="AL70" s="981"/>
      <c r="AM70" s="981"/>
      <c r="AN70" s="981"/>
      <c r="AO70" s="981"/>
      <c r="AP70" s="981"/>
      <c r="AQ70" s="981"/>
      <c r="AR70" s="981"/>
      <c r="AS70" s="981"/>
      <c r="AT70" s="981"/>
    </row>
    <row r="71" spans="1:46" ht="37.5" customHeight="1">
      <c r="A71" s="1446"/>
      <c r="B71" s="3246" t="s">
        <v>1619</v>
      </c>
      <c r="C71" s="3247"/>
      <c r="D71" s="3247"/>
      <c r="E71" s="3247"/>
      <c r="F71" s="3247"/>
      <c r="G71" s="3247"/>
      <c r="H71" s="3247"/>
      <c r="I71" s="3247"/>
      <c r="J71" s="3247"/>
      <c r="K71" s="3247"/>
      <c r="L71" s="3247"/>
      <c r="M71" s="3247"/>
      <c r="N71" s="3247"/>
      <c r="O71" s="3247"/>
      <c r="P71" s="3247"/>
      <c r="Q71" s="3247"/>
      <c r="R71" s="3247"/>
      <c r="S71" s="3247"/>
      <c r="T71" s="3247"/>
      <c r="U71" s="3247"/>
      <c r="V71" s="3247"/>
      <c r="W71" s="3247"/>
      <c r="X71" s="3247"/>
      <c r="Y71" s="3247"/>
      <c r="Z71" s="3247"/>
      <c r="AA71" s="3247"/>
      <c r="AB71" s="3247"/>
      <c r="AC71" s="3247"/>
      <c r="AD71" s="3247"/>
      <c r="AE71" s="3247"/>
      <c r="AF71" s="3247"/>
      <c r="AG71" s="3247"/>
      <c r="AH71" s="3247"/>
      <c r="AI71" s="3247"/>
      <c r="AJ71" s="3247"/>
      <c r="AK71" s="3247"/>
      <c r="AL71" s="3247"/>
      <c r="AM71" s="3247"/>
      <c r="AN71" s="3247"/>
      <c r="AO71" s="3247"/>
      <c r="AP71" s="3247"/>
      <c r="AQ71" s="3247"/>
      <c r="AR71" s="3247"/>
      <c r="AS71" s="3247"/>
      <c r="AT71" s="3247"/>
    </row>
    <row r="72" spans="1:46" ht="15.75" hidden="1" customHeight="1">
      <c r="A72" s="1007"/>
      <c r="B72" s="1007"/>
      <c r="C72" s="1007"/>
      <c r="D72" s="1007"/>
      <c r="E72" s="1007"/>
      <c r="F72" s="1007"/>
      <c r="G72" s="1007"/>
      <c r="H72" s="1007"/>
      <c r="I72" s="1007"/>
      <c r="J72" s="1007"/>
      <c r="K72" s="1007"/>
      <c r="L72" s="1007"/>
      <c r="M72" s="1008"/>
      <c r="N72" s="1008"/>
      <c r="O72" s="1009"/>
      <c r="P72" s="1009"/>
      <c r="Q72" s="1009"/>
      <c r="R72" s="1009"/>
      <c r="S72" s="1010"/>
      <c r="T72" s="1010"/>
      <c r="U72" s="1010"/>
      <c r="V72" s="1010"/>
      <c r="W72" s="1010"/>
      <c r="X72" s="1008"/>
      <c r="Y72" s="1008"/>
      <c r="Z72" s="1009"/>
      <c r="AA72" s="1009"/>
      <c r="AB72" s="1009"/>
      <c r="AC72" s="1009"/>
      <c r="AD72" s="1009"/>
      <c r="AE72" s="1009"/>
      <c r="AF72" s="1009"/>
      <c r="AG72" s="1009"/>
      <c r="AH72" s="1009"/>
      <c r="AI72" s="1009"/>
      <c r="AJ72" s="1007"/>
      <c r="AK72" s="1007"/>
      <c r="AL72" s="1007"/>
      <c r="AM72" s="1007"/>
      <c r="AN72" s="1007"/>
      <c r="AO72" s="1007"/>
      <c r="AP72" s="1007"/>
      <c r="AQ72" s="1007"/>
      <c r="AR72" s="1007"/>
      <c r="AS72" s="1007"/>
      <c r="AT72" s="1007"/>
    </row>
    <row r="73" spans="1:46" ht="15.7" hidden="1">
      <c r="A73" s="1007"/>
      <c r="B73" s="1007"/>
      <c r="C73" s="1007"/>
      <c r="D73" s="1007"/>
      <c r="E73" s="1007"/>
      <c r="F73" s="1007"/>
      <c r="G73" s="1007"/>
      <c r="H73" s="1007"/>
      <c r="I73" s="1007"/>
      <c r="J73" s="1007"/>
      <c r="K73" s="1007"/>
      <c r="L73" s="1007"/>
      <c r="M73" s="1011" t="s">
        <v>900</v>
      </c>
      <c r="N73" s="1009"/>
      <c r="O73" s="1009"/>
      <c r="P73" s="1009"/>
      <c r="Q73" s="1009"/>
      <c r="R73" s="1009"/>
      <c r="S73" s="1011"/>
      <c r="T73" s="1011"/>
      <c r="U73" s="1011"/>
      <c r="V73" s="1011"/>
      <c r="W73" s="1011" t="s">
        <v>1736</v>
      </c>
      <c r="X73" s="1009"/>
      <c r="Y73" s="1007"/>
      <c r="Z73" s="1007"/>
      <c r="AA73" s="1007"/>
      <c r="AB73" s="1007"/>
      <c r="AC73" s="1007"/>
      <c r="AD73" s="1007"/>
      <c r="AE73" s="1007"/>
      <c r="AF73" s="1007"/>
      <c r="AG73" s="1007"/>
      <c r="AH73" s="1007"/>
      <c r="AI73" s="1009"/>
      <c r="AJ73" s="1007"/>
      <c r="AK73" s="1007"/>
      <c r="AL73" s="1007"/>
      <c r="AM73" s="1007"/>
      <c r="AN73" s="1007"/>
      <c r="AO73" s="1007"/>
      <c r="AP73" s="1007"/>
      <c r="AQ73" s="1007"/>
      <c r="AR73" s="1007"/>
      <c r="AS73" s="1007"/>
      <c r="AT73" s="1007"/>
    </row>
    <row r="74" spans="1:46" ht="15.7" hidden="1">
      <c r="A74" s="1007"/>
      <c r="B74" s="1007"/>
      <c r="C74" s="1007"/>
      <c r="D74" s="1007"/>
      <c r="E74" s="1007"/>
      <c r="F74" s="1007"/>
      <c r="G74" s="1007"/>
      <c r="H74" s="1007"/>
      <c r="I74" s="1007"/>
      <c r="J74" s="1007"/>
      <c r="K74" s="1007"/>
      <c r="L74" s="1007"/>
      <c r="M74" s="1011" t="s">
        <v>901</v>
      </c>
      <c r="N74" s="1009"/>
      <c r="O74" s="1009"/>
      <c r="P74" s="1009"/>
      <c r="Q74" s="1009"/>
      <c r="R74" s="1009"/>
      <c r="S74" s="1011"/>
      <c r="T74" s="1011"/>
      <c r="U74" s="1011"/>
      <c r="V74" s="1011"/>
      <c r="W74" s="1011" t="s">
        <v>935</v>
      </c>
      <c r="X74" s="1009"/>
      <c r="Y74" s="1007"/>
      <c r="Z74" s="1007"/>
      <c r="AA74" s="1007"/>
      <c r="AB74" s="1007"/>
      <c r="AC74" s="1007"/>
      <c r="AD74" s="1007"/>
      <c r="AE74" s="1007"/>
      <c r="AF74" s="1007"/>
      <c r="AG74" s="1007"/>
      <c r="AH74" s="1007"/>
      <c r="AI74" s="1009"/>
      <c r="AJ74" s="1007"/>
      <c r="AK74" s="1007"/>
      <c r="AL74" s="1007"/>
      <c r="AM74" s="1007"/>
      <c r="AN74" s="1007"/>
      <c r="AO74" s="1007"/>
      <c r="AP74" s="1007"/>
      <c r="AQ74" s="1007"/>
      <c r="AR74" s="1007"/>
      <c r="AS74" s="1007"/>
      <c r="AT74" s="1007"/>
    </row>
    <row r="75" spans="1:46" ht="15.7" hidden="1">
      <c r="A75" s="1007"/>
      <c r="B75" s="1007"/>
      <c r="C75" s="1007"/>
      <c r="D75" s="1007"/>
      <c r="E75" s="1007"/>
      <c r="F75" s="1007"/>
      <c r="G75" s="1007"/>
      <c r="H75" s="1007"/>
      <c r="I75" s="1007"/>
      <c r="J75" s="1007"/>
      <c r="K75" s="1007"/>
      <c r="L75" s="1007"/>
      <c r="M75" s="1009"/>
      <c r="N75" s="1009"/>
      <c r="O75" s="1009"/>
      <c r="P75" s="1009"/>
      <c r="Q75" s="1009"/>
      <c r="R75" s="1009"/>
      <c r="S75" s="1009"/>
      <c r="T75" s="1009"/>
      <c r="U75" s="1009"/>
      <c r="V75" s="1009"/>
      <c r="W75" s="1009"/>
      <c r="X75" s="1009"/>
      <c r="Y75" s="1007"/>
      <c r="Z75" s="1007"/>
      <c r="AA75" s="1007"/>
      <c r="AB75" s="1007"/>
      <c r="AC75" s="1007"/>
      <c r="AD75" s="1007"/>
      <c r="AE75" s="1007"/>
      <c r="AF75" s="1007"/>
      <c r="AG75" s="1007"/>
      <c r="AH75" s="1007"/>
      <c r="AI75" s="1009"/>
      <c r="AJ75" s="1007"/>
      <c r="AK75" s="1007"/>
      <c r="AL75" s="1007"/>
      <c r="AM75" s="1007"/>
      <c r="AN75" s="1007"/>
      <c r="AO75" s="1007"/>
      <c r="AP75" s="1007"/>
      <c r="AQ75" s="1007"/>
      <c r="AR75" s="1007"/>
      <c r="AS75" s="1007"/>
      <c r="AT75" s="1007"/>
    </row>
    <row r="76" spans="1:46" ht="15.7" hidden="1">
      <c r="A76" s="1007"/>
      <c r="B76" s="1007"/>
      <c r="C76" s="1007"/>
      <c r="D76" s="1007"/>
      <c r="E76" s="1007"/>
      <c r="F76" s="1007"/>
      <c r="G76" s="1007"/>
      <c r="H76" s="1007"/>
      <c r="I76" s="1007"/>
      <c r="J76" s="1007"/>
      <c r="K76" s="1007"/>
      <c r="L76" s="1007"/>
      <c r="M76" s="1007"/>
      <c r="N76" s="1007"/>
      <c r="O76" s="1007"/>
      <c r="P76" s="1007"/>
      <c r="Q76" s="1007"/>
      <c r="R76" s="1007"/>
      <c r="S76" s="1007"/>
      <c r="T76" s="1007"/>
      <c r="U76" s="1007"/>
      <c r="V76" s="1007"/>
      <c r="W76" s="1007"/>
      <c r="X76" s="1007"/>
      <c r="Y76" s="1007"/>
      <c r="Z76" s="1007"/>
      <c r="AA76" s="1007"/>
      <c r="AB76" s="1007"/>
      <c r="AC76" s="1007"/>
      <c r="AD76" s="1007"/>
      <c r="AE76" s="1007"/>
      <c r="AF76" s="1007"/>
      <c r="AG76" s="1007"/>
      <c r="AH76" s="1007"/>
      <c r="AI76" s="1007"/>
      <c r="AJ76" s="1007"/>
      <c r="AK76" s="1007"/>
      <c r="AL76" s="1007"/>
      <c r="AM76" s="1007"/>
      <c r="AN76" s="1007"/>
      <c r="AO76" s="1007"/>
      <c r="AP76" s="1007"/>
      <c r="AQ76" s="1007"/>
      <c r="AR76" s="1007"/>
      <c r="AS76" s="1007"/>
      <c r="AT76" s="1007"/>
    </row>
    <row r="77" spans="1:46" ht="15.7" hidden="1">
      <c r="A77" s="1007"/>
      <c r="B77" s="1007"/>
      <c r="C77" s="1007"/>
      <c r="D77" s="1007"/>
      <c r="E77" s="1007"/>
      <c r="F77" s="1007"/>
      <c r="G77" s="1007"/>
      <c r="H77" s="1007"/>
      <c r="I77" s="1007"/>
      <c r="J77" s="1007"/>
      <c r="K77" s="1007"/>
      <c r="L77" s="1007"/>
      <c r="M77" s="1007"/>
      <c r="N77" s="1007"/>
      <c r="O77" s="1007"/>
      <c r="P77" s="1007"/>
      <c r="Q77" s="1007"/>
      <c r="R77" s="1007"/>
      <c r="S77" s="1007"/>
      <c r="T77" s="1007"/>
      <c r="U77" s="1007"/>
      <c r="V77" s="1007"/>
      <c r="W77" s="1007"/>
      <c r="X77" s="1007"/>
      <c r="Y77" s="1007"/>
      <c r="Z77" s="1007"/>
      <c r="AA77" s="1007"/>
      <c r="AB77" s="1007"/>
      <c r="AC77" s="1007"/>
      <c r="AD77" s="1007"/>
      <c r="AE77" s="1007"/>
      <c r="AF77" s="1007"/>
      <c r="AG77" s="1007"/>
      <c r="AH77" s="1007"/>
      <c r="AI77" s="1007"/>
      <c r="AJ77" s="1007"/>
      <c r="AK77" s="1007"/>
      <c r="AL77" s="1007"/>
      <c r="AM77" s="1007"/>
      <c r="AN77" s="1007"/>
      <c r="AO77" s="1007"/>
      <c r="AP77" s="1007"/>
      <c r="AQ77" s="1007"/>
      <c r="AR77" s="1007"/>
      <c r="AS77" s="1007"/>
      <c r="AT77" s="1007"/>
    </row>
    <row r="78" spans="1:46" ht="15.7" hidden="1">
      <c r="A78" s="1007"/>
      <c r="B78" s="1007"/>
      <c r="C78" s="1007"/>
      <c r="D78" s="1007"/>
      <c r="E78" s="1007"/>
      <c r="F78" s="1007"/>
      <c r="G78" s="1007"/>
      <c r="H78" s="1007"/>
      <c r="I78" s="1007"/>
      <c r="J78" s="1007"/>
      <c r="K78" s="1007"/>
      <c r="L78" s="1007"/>
      <c r="M78" s="1007"/>
      <c r="N78" s="1007"/>
      <c r="O78" s="1007"/>
      <c r="P78" s="1007"/>
      <c r="Q78" s="1007"/>
      <c r="R78" s="1007"/>
      <c r="S78" s="1007"/>
      <c r="T78" s="1007"/>
      <c r="U78" s="1007"/>
      <c r="V78" s="1007"/>
      <c r="W78" s="1007"/>
      <c r="X78" s="1007"/>
      <c r="Y78" s="1007"/>
      <c r="Z78" s="1007"/>
      <c r="AA78" s="1007"/>
      <c r="AB78" s="1007"/>
      <c r="AC78" s="1007"/>
      <c r="AD78" s="1007"/>
      <c r="AE78" s="1007"/>
      <c r="AF78" s="1007"/>
      <c r="AG78" s="1007"/>
      <c r="AH78" s="1007"/>
      <c r="AI78" s="1007"/>
      <c r="AJ78" s="1007"/>
      <c r="AK78" s="1007"/>
      <c r="AL78" s="1007"/>
      <c r="AM78" s="1007"/>
      <c r="AN78" s="1007"/>
      <c r="AO78" s="1007"/>
      <c r="AP78" s="1007"/>
      <c r="AQ78" s="1007"/>
      <c r="AR78" s="1007"/>
      <c r="AS78" s="1007"/>
      <c r="AT78" s="1007"/>
    </row>
    <row r="79" spans="1:46" ht="15.7" hidden="1">
      <c r="A79" s="1007"/>
      <c r="B79" s="1007"/>
      <c r="C79" s="1007"/>
      <c r="D79" s="1007"/>
      <c r="E79" s="1007"/>
      <c r="F79" s="1007"/>
      <c r="G79" s="1007"/>
      <c r="H79" s="1007"/>
      <c r="I79" s="1007"/>
      <c r="J79" s="1007"/>
      <c r="K79" s="1007"/>
      <c r="L79" s="1007"/>
      <c r="M79" s="1007"/>
      <c r="N79" s="1007"/>
      <c r="O79" s="1007"/>
      <c r="P79" s="1007"/>
      <c r="Q79" s="1007"/>
      <c r="R79" s="1007"/>
      <c r="S79" s="1007"/>
      <c r="T79" s="1007"/>
      <c r="U79" s="1007"/>
      <c r="V79" s="1007"/>
      <c r="W79" s="1007"/>
      <c r="X79" s="1007"/>
      <c r="Y79" s="1007"/>
      <c r="Z79" s="1007"/>
      <c r="AA79" s="1007"/>
      <c r="AB79" s="1007"/>
      <c r="AC79" s="1007"/>
      <c r="AD79" s="1007"/>
      <c r="AE79" s="1007"/>
      <c r="AF79" s="1007"/>
      <c r="AG79" s="1007"/>
      <c r="AH79" s="1007"/>
      <c r="AI79" s="1007"/>
      <c r="AJ79" s="1007"/>
      <c r="AK79" s="1007"/>
      <c r="AL79" s="1007"/>
      <c r="AM79" s="1007"/>
      <c r="AN79" s="1007"/>
      <c r="AO79" s="1007"/>
      <c r="AP79" s="1007"/>
      <c r="AQ79" s="1007"/>
      <c r="AR79" s="1007"/>
      <c r="AS79" s="1007"/>
      <c r="AT79" s="1007"/>
    </row>
    <row r="80" spans="1:46" ht="64.7" customHeight="1">
      <c r="A80" s="1007"/>
      <c r="B80" s="1007"/>
      <c r="C80" s="1007"/>
      <c r="D80" s="1007"/>
      <c r="E80" s="1007"/>
      <c r="F80" s="1007"/>
      <c r="G80" s="1007"/>
      <c r="H80" s="1007"/>
      <c r="I80" s="1007"/>
      <c r="J80" s="1007"/>
      <c r="K80" s="1007"/>
      <c r="L80" s="1007"/>
      <c r="M80" s="1007"/>
      <c r="N80" s="1007"/>
      <c r="O80" s="1007"/>
      <c r="P80" s="1007"/>
      <c r="Q80" s="1007"/>
      <c r="R80" s="1007"/>
      <c r="S80" s="1007"/>
      <c r="T80" s="1007"/>
      <c r="U80" s="1007"/>
      <c r="V80" s="1007"/>
      <c r="W80" s="1007"/>
      <c r="X80" s="1007"/>
      <c r="Y80" s="1007"/>
      <c r="Z80" s="1007"/>
      <c r="AA80" s="1007"/>
      <c r="AB80" s="1007"/>
      <c r="AC80" s="1007"/>
      <c r="AD80" s="1007"/>
      <c r="AE80" s="1007"/>
      <c r="AF80" s="1007"/>
      <c r="AG80" s="1007"/>
      <c r="AH80" s="1007"/>
      <c r="AI80" s="1007"/>
      <c r="AJ80" s="1007"/>
      <c r="AK80" s="1007"/>
      <c r="AL80" s="1007"/>
      <c r="AM80" s="1007"/>
      <c r="AN80" s="1007"/>
      <c r="AO80" s="1007"/>
      <c r="AP80" s="1007"/>
      <c r="AQ80" s="1007"/>
      <c r="AR80" s="1007"/>
      <c r="AS80" s="1007"/>
      <c r="AT80" s="1007"/>
    </row>
    <row r="81" spans="1:46" ht="15" customHeight="1">
      <c r="A81" s="1447"/>
      <c r="B81" s="1447"/>
      <c r="C81" s="1447"/>
      <c r="D81" s="1447"/>
      <c r="E81" s="1447"/>
      <c r="F81" s="1447"/>
      <c r="G81" s="1447"/>
      <c r="H81" s="1447"/>
      <c r="I81" s="1447"/>
      <c r="J81" s="1447"/>
      <c r="K81" s="1447"/>
      <c r="L81" s="1447"/>
      <c r="M81" s="1447"/>
      <c r="N81" s="1447"/>
      <c r="O81" s="1447"/>
      <c r="P81" s="1447"/>
      <c r="Q81" s="1447"/>
      <c r="R81" s="1447"/>
      <c r="S81" s="1447"/>
      <c r="T81" s="1447"/>
      <c r="U81" s="1447"/>
      <c r="V81" s="1447"/>
      <c r="W81" s="1447"/>
      <c r="X81" s="1447"/>
      <c r="Y81" s="1447"/>
      <c r="Z81" s="1447"/>
      <c r="AA81" s="1447"/>
      <c r="AB81" s="1447"/>
      <c r="AC81" s="1447"/>
      <c r="AD81" s="1447"/>
      <c r="AE81" s="1447"/>
      <c r="AF81" s="1447"/>
      <c r="AG81" s="1447"/>
      <c r="AH81" s="1447"/>
      <c r="AI81" s="1447"/>
      <c r="AJ81" s="1447"/>
      <c r="AK81" s="1447"/>
      <c r="AL81" s="1447"/>
      <c r="AM81" s="1447"/>
      <c r="AN81" s="1447"/>
      <c r="AO81" s="1447"/>
      <c r="AP81" s="1447"/>
      <c r="AQ81" s="1447"/>
      <c r="AR81" s="1447"/>
      <c r="AS81" s="1447"/>
      <c r="AT81" s="1447"/>
    </row>
    <row r="82" spans="1:46" ht="15" customHeight="1">
      <c r="A82" s="1447"/>
      <c r="B82" s="1447"/>
      <c r="C82" s="1447"/>
      <c r="D82" s="1447"/>
      <c r="E82" s="1447"/>
      <c r="F82" s="1447"/>
      <c r="G82" s="1447"/>
      <c r="H82" s="1447"/>
      <c r="I82" s="1447"/>
      <c r="J82" s="1447"/>
      <c r="K82" s="1447"/>
      <c r="L82" s="1447"/>
      <c r="M82" s="1447"/>
      <c r="N82" s="1447"/>
      <c r="O82" s="1447"/>
      <c r="P82" s="1447"/>
      <c r="Q82" s="1447"/>
      <c r="R82" s="1447"/>
      <c r="S82" s="1447"/>
      <c r="T82" s="1447"/>
      <c r="U82" s="1447"/>
      <c r="V82" s="1447"/>
      <c r="W82" s="1447"/>
      <c r="X82" s="1447"/>
      <c r="Y82" s="1447"/>
      <c r="Z82" s="1447"/>
      <c r="AA82" s="1447"/>
      <c r="AB82" s="1447"/>
      <c r="AC82" s="1447"/>
      <c r="AD82" s="1447"/>
      <c r="AE82" s="1447"/>
      <c r="AF82" s="1447"/>
      <c r="AG82" s="1447"/>
      <c r="AH82" s="1447"/>
      <c r="AI82" s="1447"/>
      <c r="AJ82" s="1447"/>
      <c r="AK82" s="1447"/>
      <c r="AL82" s="1447"/>
      <c r="AM82" s="1447"/>
      <c r="AN82" s="1447"/>
      <c r="AO82" s="1447"/>
      <c r="AP82" s="1447"/>
      <c r="AQ82" s="1447"/>
      <c r="AR82" s="1447"/>
      <c r="AS82" s="1447"/>
      <c r="AT82" s="1447"/>
    </row>
    <row r="83" spans="1:46" ht="15" customHeight="1">
      <c r="A83" s="1447"/>
      <c r="B83" s="1447"/>
      <c r="C83" s="1447"/>
      <c r="D83" s="1447"/>
      <c r="E83" s="1447"/>
      <c r="F83" s="1447"/>
      <c r="G83" s="1447"/>
      <c r="H83" s="1447"/>
      <c r="I83" s="1447"/>
      <c r="J83" s="1447"/>
      <c r="K83" s="1447"/>
      <c r="L83" s="1447"/>
      <c r="M83" s="1447"/>
      <c r="N83" s="1447"/>
      <c r="O83" s="1447"/>
      <c r="P83" s="1447"/>
      <c r="Q83" s="1447"/>
      <c r="R83" s="1447"/>
      <c r="S83" s="1447"/>
      <c r="T83" s="1447"/>
      <c r="U83" s="1447"/>
      <c r="V83" s="1447"/>
      <c r="W83" s="1447"/>
      <c r="X83" s="1447"/>
      <c r="Y83" s="1447"/>
      <c r="Z83" s="1447"/>
      <c r="AA83" s="1447"/>
      <c r="AB83" s="1447"/>
      <c r="AC83" s="1447"/>
      <c r="AD83" s="1447"/>
      <c r="AE83" s="1447"/>
      <c r="AF83" s="1447"/>
      <c r="AG83" s="1447"/>
      <c r="AH83" s="1447"/>
      <c r="AI83" s="1447"/>
      <c r="AJ83" s="1447"/>
      <c r="AK83" s="1447"/>
      <c r="AL83" s="1447"/>
      <c r="AM83" s="1447"/>
      <c r="AN83" s="1447"/>
      <c r="AO83" s="1447"/>
      <c r="AP83" s="1447"/>
      <c r="AQ83" s="1447"/>
      <c r="AR83" s="1447"/>
      <c r="AS83" s="1447"/>
      <c r="AT83" s="1447"/>
    </row>
  </sheetData>
  <sheetProtection algorithmName="SHA-512" hashValue="DSZm7j6Bz4cs0Veb4uN/ROHZTmfXe9p6v3S1YFX15nN7eYTMmFJaIyEOT7IiligoND0qcqpZlkL4LZL4uAAmaQ==" saltValue="O/a9+dbfx7THyIhLZNSQXg==" spinCount="100000" sheet="1" objects="1" formatCells="0" formatColumns="0" formatRows="0" insertHyperlinks="0" sort="0" autoFilter="0"/>
  <mergeCells count="133">
    <mergeCell ref="B6:I7"/>
    <mergeCell ref="K6:Z6"/>
    <mergeCell ref="AA6:AE6"/>
    <mergeCell ref="K7:Z7"/>
    <mergeCell ref="AA7:AE7"/>
    <mergeCell ref="K9:Z9"/>
    <mergeCell ref="AA9:AE9"/>
    <mergeCell ref="A2:C4"/>
    <mergeCell ref="D2:G4"/>
    <mergeCell ref="H2:K4"/>
    <mergeCell ref="M5:AG5"/>
    <mergeCell ref="L2:O4"/>
    <mergeCell ref="B8:I10"/>
    <mergeCell ref="AI12:AJ12"/>
    <mergeCell ref="K14:Z14"/>
    <mergeCell ref="AA14:AE14"/>
    <mergeCell ref="K15:Q15"/>
    <mergeCell ref="R15:V15"/>
    <mergeCell ref="W15:Z15"/>
    <mergeCell ref="AA15:AE15"/>
    <mergeCell ref="AF15:AT15"/>
    <mergeCell ref="AI9:AJ9"/>
    <mergeCell ref="K10:Q10"/>
    <mergeCell ref="W10:Z10"/>
    <mergeCell ref="AA10:AE10"/>
    <mergeCell ref="AI10:AJ10"/>
    <mergeCell ref="K11:Q11"/>
    <mergeCell ref="R11:V11"/>
    <mergeCell ref="W11:Z11"/>
    <mergeCell ref="AA11:AE11"/>
    <mergeCell ref="AI11:AJ11"/>
    <mergeCell ref="K17:V17"/>
    <mergeCell ref="W17:Z17"/>
    <mergeCell ref="AA17:AE17"/>
    <mergeCell ref="K18:Q18"/>
    <mergeCell ref="R18:U19"/>
    <mergeCell ref="W18:Z18"/>
    <mergeCell ref="AA18:AE18"/>
    <mergeCell ref="K12:Z12"/>
    <mergeCell ref="AA12:AE12"/>
    <mergeCell ref="K21:Q21"/>
    <mergeCell ref="W21:Z21"/>
    <mergeCell ref="AA21:AE21"/>
    <mergeCell ref="AI21:AJ21"/>
    <mergeCell ref="K22:Q22"/>
    <mergeCell ref="W22:Z22"/>
    <mergeCell ref="AA22:AE22"/>
    <mergeCell ref="AI22:AJ22"/>
    <mergeCell ref="AI18:AJ18"/>
    <mergeCell ref="K19:Q19"/>
    <mergeCell ref="W19:Z19"/>
    <mergeCell ref="AA19:AE19"/>
    <mergeCell ref="AI19:AJ19"/>
    <mergeCell ref="K20:Q20"/>
    <mergeCell ref="R20:U20"/>
    <mergeCell ref="W20:Z20"/>
    <mergeCell ref="AA20:AE20"/>
    <mergeCell ref="AI20:AJ20"/>
    <mergeCell ref="K26:Z26"/>
    <mergeCell ref="AA26:AE26"/>
    <mergeCell ref="AI26:AJ26"/>
    <mergeCell ref="K27:Q27"/>
    <mergeCell ref="R27:V27"/>
    <mergeCell ref="W27:Z27"/>
    <mergeCell ref="AA27:AE27"/>
    <mergeCell ref="AI27:AJ27"/>
    <mergeCell ref="K23:Q23"/>
    <mergeCell ref="W23:Z23"/>
    <mergeCell ref="AA23:AE23"/>
    <mergeCell ref="AI23:AJ23"/>
    <mergeCell ref="K24:V24"/>
    <mergeCell ref="W24:Z24"/>
    <mergeCell ref="AA24:AE24"/>
    <mergeCell ref="AI24:AJ24"/>
    <mergeCell ref="K35:AE35"/>
    <mergeCell ref="P37:T37"/>
    <mergeCell ref="W37:AA37"/>
    <mergeCell ref="K46:Z46"/>
    <mergeCell ref="AA46:AE46"/>
    <mergeCell ref="K28:Z28"/>
    <mergeCell ref="AA28:AE28"/>
    <mergeCell ref="AI28:AJ28"/>
    <mergeCell ref="K30:AE30"/>
    <mergeCell ref="K31:AE31"/>
    <mergeCell ref="P33:T33"/>
    <mergeCell ref="W33:AA33"/>
    <mergeCell ref="K40:AE41"/>
    <mergeCell ref="V50:Z50"/>
    <mergeCell ref="AA50:AE50"/>
    <mergeCell ref="K51:U51"/>
    <mergeCell ref="V51:Z51"/>
    <mergeCell ref="AA51:AE51"/>
    <mergeCell ref="K52:U52"/>
    <mergeCell ref="V52:Z52"/>
    <mergeCell ref="AA52:AE52"/>
    <mergeCell ref="B47:I51"/>
    <mergeCell ref="K47:U47"/>
    <mergeCell ref="V47:Z47"/>
    <mergeCell ref="AA47:AE47"/>
    <mergeCell ref="K48:U48"/>
    <mergeCell ref="V48:Z48"/>
    <mergeCell ref="AA48:AE48"/>
    <mergeCell ref="K49:Z49"/>
    <mergeCell ref="AA49:AE49"/>
    <mergeCell ref="K50:U50"/>
    <mergeCell ref="K53:Z53"/>
    <mergeCell ref="AA53:AE53"/>
    <mergeCell ref="AI53:AJ53"/>
    <mergeCell ref="K56:AE56"/>
    <mergeCell ref="B57:I58"/>
    <mergeCell ref="K57:Z57"/>
    <mergeCell ref="AA57:AE57"/>
    <mergeCell ref="K58:Z58"/>
    <mergeCell ref="AA58:AE58"/>
    <mergeCell ref="K59:Z59"/>
    <mergeCell ref="AA59:AE59"/>
    <mergeCell ref="K60:Z60"/>
    <mergeCell ref="K62:Z62"/>
    <mergeCell ref="AA62:AE62"/>
    <mergeCell ref="AA60:AE60"/>
    <mergeCell ref="K61:Z61"/>
    <mergeCell ref="AA61:AE61"/>
    <mergeCell ref="K68:Z68"/>
    <mergeCell ref="AA68:AE68"/>
    <mergeCell ref="AG66:AK66"/>
    <mergeCell ref="B71:AT71"/>
    <mergeCell ref="K63:Z63"/>
    <mergeCell ref="AA63:AE63"/>
    <mergeCell ref="K65:AE65"/>
    <mergeCell ref="K66:Z66"/>
    <mergeCell ref="AA66:AE66"/>
    <mergeCell ref="K67:Z67"/>
    <mergeCell ref="AA67:AE67"/>
  </mergeCells>
  <conditionalFormatting sqref="AA11:AE11">
    <cfRule type="expression" dxfId="131" priority="14">
      <formula>$R$11="% of Purchase"</formula>
    </cfRule>
  </conditionalFormatting>
  <conditionalFormatting sqref="W11:Z11">
    <cfRule type="expression" dxfId="130" priority="13">
      <formula>$R$11="Lump Sum"</formula>
    </cfRule>
  </conditionalFormatting>
  <conditionalFormatting sqref="W15:Z15">
    <cfRule type="expression" dxfId="129" priority="11">
      <formula>$R$15="Lump Sum"</formula>
    </cfRule>
    <cfRule type="expression" dxfId="128" priority="12">
      <formula>$R$15="Detailed"</formula>
    </cfRule>
  </conditionalFormatting>
  <conditionalFormatting sqref="AA27:AE27">
    <cfRule type="expression" dxfId="127" priority="10">
      <formula>$R$27="% of ARV"</formula>
    </cfRule>
  </conditionalFormatting>
  <conditionalFormatting sqref="W27:Z27">
    <cfRule type="expression" dxfId="126" priority="9">
      <formula>$R$27="Lump Sum"</formula>
    </cfRule>
  </conditionalFormatting>
  <conditionalFormatting sqref="AA15:AE15">
    <cfRule type="expression" dxfId="125" priority="7">
      <formula>$R$15="$ per SF"</formula>
    </cfRule>
    <cfRule type="expression" dxfId="124" priority="8">
      <formula>$R$15="Detailed"</formula>
    </cfRule>
  </conditionalFormatting>
  <conditionalFormatting sqref="P33:T33">
    <cfRule type="expression" dxfId="123" priority="6">
      <formula>Rental_Funding_Strategy="All Cash"</formula>
    </cfRule>
  </conditionalFormatting>
  <conditionalFormatting sqref="W33:AA33">
    <cfRule type="expression" dxfId="122" priority="5">
      <formula>Rental_Funding_Strategy="Financed"</formula>
    </cfRule>
  </conditionalFormatting>
  <conditionalFormatting sqref="W37:AA37">
    <cfRule type="expression" dxfId="121" priority="4">
      <formula>Rental_Funding_Type="Bridge Loan"</formula>
    </cfRule>
  </conditionalFormatting>
  <conditionalFormatting sqref="P37:T37">
    <cfRule type="expression" dxfId="120" priority="3">
      <formula>Rental_Funding_Type="Conventional"</formula>
    </cfRule>
  </conditionalFormatting>
  <conditionalFormatting sqref="AA63:AE63">
    <cfRule type="cellIs" dxfId="119" priority="1" operator="lessThan">
      <formula>0</formula>
    </cfRule>
    <cfRule type="cellIs" dxfId="118" priority="2" operator="greaterThan">
      <formula>0</formula>
    </cfRule>
  </conditionalFormatting>
  <dataValidations count="5">
    <dataValidation type="list" allowBlank="1" sqref="R15:V15" xr:uid="{78456B6C-2043-433B-8B64-68A2394E91B6}">
      <formula1>"Lump Sum,$ per SF,Detailed"</formula1>
    </dataValidation>
    <dataValidation type="list" allowBlank="1" sqref="R11" xr:uid="{22BBE8D6-EB93-4F87-A8A2-244625F14BDB}">
      <formula1>"% of Purchase,Lump Sum"</formula1>
    </dataValidation>
    <dataValidation type="decimal" operator="lessThanOrEqual" allowBlank="1" showDropDown="1" showInputMessage="1" showErrorMessage="1" prompt="Must be a short term of 24 months or less..." sqref="V50" xr:uid="{C545878E-CCB8-4D0D-A029-4709CF450D9F}">
      <formula1>24</formula1>
    </dataValidation>
    <dataValidation type="list" allowBlank="1" sqref="R27" xr:uid="{F457E186-29D4-42ED-A969-17002BC4E864}">
      <formula1>"% of ARV,Lump Sum"</formula1>
    </dataValidation>
    <dataValidation type="list" allowBlank="1" sqref="V47:Z47" xr:uid="{B1782121-1A0F-49F0-944E-CE09E8919398}">
      <formula1>"Purchase,Purchase + Repairs,After Repair Value"</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E7043-6700-4319-B0AB-FA8CE0BCDA73}">
  <sheetPr codeName="wsLONG_TERM_LOAN_SETUP">
    <tabColor rgb="FF4F81BD"/>
  </sheetPr>
  <dimension ref="A1:AR38"/>
  <sheetViews>
    <sheetView showGridLines="0" showRowColHeaders="0" zoomScaleNormal="100" workbookViewId="0">
      <pane ySplit="4" topLeftCell="A5" activePane="bottomLeft" state="frozen"/>
      <selection pane="bottomLeft" activeCell="V7" sqref="V7:Z7"/>
    </sheetView>
  </sheetViews>
  <sheetFormatPr defaultColWidth="11.19921875" defaultRowHeight="15" customHeight="1"/>
  <cols>
    <col min="1" max="32" width="4.6484375" style="1361" customWidth="1"/>
    <col min="33" max="33" width="2" style="1361" customWidth="1"/>
    <col min="34" max="43" width="4.6484375" style="1361" customWidth="1"/>
    <col min="44" max="44" width="11.796875" style="1361" customWidth="1"/>
    <col min="45" max="16384" width="11.19921875" style="1361"/>
  </cols>
  <sheetData>
    <row r="1" spans="1:44" s="1439" customFormat="1" ht="45" customHeight="1">
      <c r="A1" s="1012"/>
      <c r="B1" s="1012"/>
      <c r="C1" s="1012"/>
      <c r="D1" s="1012"/>
      <c r="E1" s="1012"/>
      <c r="F1" s="1012"/>
      <c r="G1" s="1012"/>
      <c r="H1" s="1012"/>
      <c r="I1" s="1012"/>
      <c r="J1" s="1012"/>
      <c r="K1" s="1012"/>
      <c r="L1" s="1013"/>
      <c r="M1" s="1013"/>
      <c r="N1" s="1013"/>
      <c r="O1" s="1013"/>
      <c r="P1" s="1013"/>
      <c r="Q1" s="1013"/>
      <c r="R1" s="1013"/>
      <c r="S1" s="1013"/>
      <c r="T1" s="1013"/>
      <c r="U1" s="1013"/>
      <c r="V1" s="1013"/>
      <c r="W1" s="1013"/>
      <c r="X1" s="1013"/>
      <c r="Y1" s="1013"/>
      <c r="Z1" s="1013"/>
      <c r="AA1" s="1013"/>
      <c r="AB1" s="1013"/>
      <c r="AC1" s="1013"/>
      <c r="AD1" s="1013"/>
      <c r="AE1" s="1013"/>
      <c r="AF1" s="1013"/>
      <c r="AG1" s="1013"/>
      <c r="AH1" s="1013"/>
      <c r="AI1" s="1012"/>
      <c r="AJ1" s="1012"/>
      <c r="AK1" s="1012"/>
      <c r="AL1" s="1012"/>
      <c r="AM1" s="1012"/>
      <c r="AN1" s="1012"/>
      <c r="AO1" s="1012"/>
      <c r="AP1" s="1012"/>
      <c r="AQ1" s="1012"/>
      <c r="AR1" s="1012"/>
    </row>
    <row r="2" spans="1:44" s="1439" customFormat="1" ht="7.5" customHeight="1">
      <c r="A2" s="3359"/>
      <c r="B2" s="3245"/>
      <c r="C2" s="3245"/>
      <c r="D2" s="3359" t="s">
        <v>1838</v>
      </c>
      <c r="E2" s="3368"/>
      <c r="F2" s="3368"/>
      <c r="G2" s="3368"/>
      <c r="H2" s="3359" t="s">
        <v>1837</v>
      </c>
      <c r="I2" s="3245"/>
      <c r="J2" s="3245"/>
      <c r="K2" s="3245"/>
      <c r="L2" s="3360" t="s">
        <v>1750</v>
      </c>
      <c r="M2" s="3361"/>
      <c r="N2" s="3361"/>
      <c r="O2" s="3361"/>
      <c r="P2" s="1283"/>
      <c r="Q2" s="1283"/>
      <c r="R2" s="1283"/>
      <c r="S2" s="1014"/>
      <c r="T2" s="1014"/>
      <c r="U2" s="1014"/>
      <c r="V2" s="1014"/>
      <c r="W2" s="1014"/>
      <c r="X2" s="1014"/>
      <c r="Y2" s="1014"/>
      <c r="Z2" s="1014"/>
      <c r="AA2" s="1014"/>
      <c r="AB2" s="1014"/>
      <c r="AC2" s="1014"/>
      <c r="AD2" s="1014"/>
      <c r="AE2" s="1014"/>
      <c r="AF2" s="1014"/>
      <c r="AG2" s="1014"/>
      <c r="AH2" s="1014"/>
      <c r="AI2" s="1284"/>
      <c r="AJ2" s="1284"/>
      <c r="AK2" s="1284"/>
      <c r="AL2" s="1284"/>
      <c r="AM2" s="1284"/>
      <c r="AN2" s="1284"/>
      <c r="AO2" s="1284"/>
      <c r="AP2" s="1284"/>
      <c r="AQ2" s="1284"/>
      <c r="AR2" s="1284"/>
    </row>
    <row r="3" spans="1:44" s="1439" customFormat="1" ht="21.75" customHeight="1">
      <c r="A3" s="3245"/>
      <c r="B3" s="3245"/>
      <c r="C3" s="3245"/>
      <c r="D3" s="3368"/>
      <c r="E3" s="3368"/>
      <c r="F3" s="3368"/>
      <c r="G3" s="3368"/>
      <c r="H3" s="3245"/>
      <c r="I3" s="3245"/>
      <c r="J3" s="3245"/>
      <c r="K3" s="3245"/>
      <c r="L3" s="3361"/>
      <c r="M3" s="3361"/>
      <c r="N3" s="3361"/>
      <c r="O3" s="3361"/>
      <c r="P3" s="1283"/>
      <c r="Q3" s="1283"/>
      <c r="R3" s="1283"/>
      <c r="S3" s="1014"/>
      <c r="T3" s="1014"/>
      <c r="U3" s="1014"/>
      <c r="V3" s="1014"/>
      <c r="W3" s="1014"/>
      <c r="X3" s="1014"/>
      <c r="Y3" s="1014"/>
      <c r="Z3" s="1014"/>
      <c r="AA3" s="1014"/>
      <c r="AB3" s="1014"/>
      <c r="AC3" s="1014"/>
      <c r="AD3" s="1014"/>
      <c r="AE3" s="1014"/>
      <c r="AF3" s="1014"/>
      <c r="AG3" s="1014"/>
      <c r="AH3" s="1014"/>
      <c r="AI3" s="1284"/>
      <c r="AJ3" s="1284"/>
      <c r="AK3" s="1284"/>
      <c r="AL3" s="1284"/>
      <c r="AM3" s="1284"/>
      <c r="AN3" s="1284"/>
      <c r="AO3" s="1284"/>
      <c r="AP3" s="1284"/>
      <c r="AQ3" s="1284"/>
      <c r="AR3" s="1284"/>
    </row>
    <row r="4" spans="1:44" s="1439" customFormat="1" ht="6.75" customHeight="1">
      <c r="A4" s="3245"/>
      <c r="B4" s="3245"/>
      <c r="C4" s="3245"/>
      <c r="D4" s="3368"/>
      <c r="E4" s="3368"/>
      <c r="F4" s="3368"/>
      <c r="G4" s="3368"/>
      <c r="H4" s="3245"/>
      <c r="I4" s="3245"/>
      <c r="J4" s="3245"/>
      <c r="K4" s="3245"/>
      <c r="L4" s="3361"/>
      <c r="M4" s="3361"/>
      <c r="N4" s="3361"/>
      <c r="O4" s="3361"/>
      <c r="P4" s="1285"/>
      <c r="Q4" s="1285"/>
      <c r="R4" s="1285"/>
      <c r="S4" s="1286"/>
      <c r="T4" s="1286"/>
      <c r="U4" s="1286"/>
      <c r="V4" s="1286"/>
      <c r="W4" s="1286"/>
      <c r="X4" s="1286"/>
      <c r="Y4" s="1286"/>
      <c r="Z4" s="1286"/>
      <c r="AA4" s="1286"/>
      <c r="AB4" s="1286"/>
      <c r="AC4" s="1286"/>
      <c r="AD4" s="1286"/>
      <c r="AE4" s="1286"/>
      <c r="AF4" s="1286"/>
      <c r="AG4" s="1286"/>
      <c r="AH4" s="1286"/>
      <c r="AI4" s="1286"/>
      <c r="AJ4" s="1286"/>
      <c r="AK4" s="1286"/>
      <c r="AL4" s="1286"/>
      <c r="AM4" s="1286"/>
      <c r="AN4" s="1286"/>
      <c r="AO4" s="1286"/>
      <c r="AP4" s="1286"/>
      <c r="AQ4" s="1286"/>
      <c r="AR4" s="1286"/>
    </row>
    <row r="5" spans="1:44" s="1439" customFormat="1" ht="24.75" customHeight="1">
      <c r="A5" s="1020"/>
      <c r="B5" s="1020"/>
      <c r="C5" s="1020"/>
      <c r="D5" s="1020"/>
      <c r="E5" s="1020"/>
      <c r="F5" s="1020"/>
      <c r="G5" s="1020"/>
      <c r="H5" s="1020"/>
      <c r="I5" s="1020"/>
      <c r="J5" s="1020"/>
      <c r="K5" s="1020"/>
      <c r="L5" s="1032"/>
      <c r="M5" s="1032"/>
      <c r="N5" s="1032"/>
      <c r="O5" s="1032"/>
      <c r="P5" s="1032"/>
      <c r="Q5" s="1032"/>
      <c r="R5" s="1032"/>
      <c r="S5" s="1032"/>
      <c r="T5" s="1032"/>
      <c r="U5" s="1032"/>
      <c r="V5" s="1032"/>
      <c r="W5" s="1032"/>
      <c r="X5" s="1032"/>
      <c r="Y5" s="1032"/>
      <c r="Z5" s="1032"/>
      <c r="AA5" s="1032"/>
      <c r="AB5" s="1032"/>
      <c r="AC5" s="1032"/>
      <c r="AD5" s="1032"/>
      <c r="AE5" s="1032"/>
      <c r="AF5" s="1032"/>
      <c r="AG5" s="1020"/>
      <c r="AH5" s="1020"/>
      <c r="AI5" s="1020"/>
      <c r="AJ5" s="1020"/>
      <c r="AK5" s="1020"/>
      <c r="AL5" s="1020"/>
      <c r="AM5" s="1020"/>
      <c r="AN5" s="1020"/>
      <c r="AO5" s="1020"/>
      <c r="AP5" s="1020"/>
      <c r="AQ5" s="1020"/>
      <c r="AR5" s="1020"/>
    </row>
    <row r="6" spans="1:44" s="1439" customFormat="1" ht="24.75" customHeight="1">
      <c r="A6" s="1020"/>
      <c r="B6" s="3369" t="s">
        <v>1816</v>
      </c>
      <c r="C6" s="3369"/>
      <c r="D6" s="3369"/>
      <c r="E6" s="3369"/>
      <c r="F6" s="3369"/>
      <c r="G6" s="3369"/>
      <c r="H6" s="3369"/>
      <c r="I6" s="3369"/>
      <c r="J6" s="1020"/>
      <c r="K6" s="3406" t="s">
        <v>1816</v>
      </c>
      <c r="L6" s="3407"/>
      <c r="M6" s="3407"/>
      <c r="N6" s="3407"/>
      <c r="O6" s="3407"/>
      <c r="P6" s="3407"/>
      <c r="Q6" s="3407"/>
      <c r="R6" s="3407"/>
      <c r="S6" s="3407"/>
      <c r="T6" s="3407"/>
      <c r="U6" s="3407"/>
      <c r="V6" s="3407"/>
      <c r="W6" s="3407"/>
      <c r="X6" s="3407"/>
      <c r="Y6" s="3407"/>
      <c r="Z6" s="3408"/>
      <c r="AA6" s="3409" t="s">
        <v>1704</v>
      </c>
      <c r="AB6" s="3407"/>
      <c r="AC6" s="3407"/>
      <c r="AD6" s="3407"/>
      <c r="AE6" s="3408"/>
      <c r="AF6" s="1032"/>
      <c r="AG6" s="1032"/>
      <c r="AH6" s="1032"/>
      <c r="AI6" s="1032"/>
      <c r="AJ6" s="1032"/>
      <c r="AK6" s="1032"/>
      <c r="AL6" s="1032"/>
      <c r="AM6" s="1032"/>
      <c r="AN6" s="1032"/>
      <c r="AO6" s="1032"/>
      <c r="AP6" s="1032"/>
      <c r="AQ6" s="1032"/>
      <c r="AR6" s="1032"/>
    </row>
    <row r="7" spans="1:44" s="1439" customFormat="1" ht="24.75" customHeight="1">
      <c r="A7" s="1020"/>
      <c r="B7" s="3369"/>
      <c r="C7" s="3369"/>
      <c r="D7" s="3369"/>
      <c r="E7" s="3369"/>
      <c r="F7" s="3369"/>
      <c r="G7" s="3369"/>
      <c r="H7" s="3369"/>
      <c r="I7" s="3369"/>
      <c r="J7" s="1020"/>
      <c r="K7" s="3413" t="s">
        <v>1786</v>
      </c>
      <c r="L7" s="3102"/>
      <c r="M7" s="3102"/>
      <c r="N7" s="3102"/>
      <c r="O7" s="3102"/>
      <c r="P7" s="3102"/>
      <c r="Q7" s="3102"/>
      <c r="R7" s="3102"/>
      <c r="S7" s="3102"/>
      <c r="T7" s="3102"/>
      <c r="U7" s="3102"/>
      <c r="V7" s="3414"/>
      <c r="W7" s="3196"/>
      <c r="X7" s="3196"/>
      <c r="Y7" s="3196"/>
      <c r="Z7" s="3197"/>
      <c r="AA7" s="3415">
        <f>IF(V7="Purchase",'RENTAL PURCHASE SETUP'!AA10,IF(V7="Purchase + Repairs",'RENTAL PURCHASE SETUP'!AA10+'RENTAL PURCHASE SETUP'!AA15,IF(V7="ARV",'RENTAL PURCHASE SETUP'!AA7,V7)))</f>
        <v>0</v>
      </c>
      <c r="AB7" s="3102"/>
      <c r="AC7" s="3102"/>
      <c r="AD7" s="3102"/>
      <c r="AE7" s="3392"/>
      <c r="AF7" s="1032"/>
      <c r="AG7" s="1032"/>
      <c r="AH7" s="1032"/>
      <c r="AI7" s="1032"/>
      <c r="AJ7" s="1032"/>
      <c r="AK7" s="1032"/>
      <c r="AL7" s="1032"/>
      <c r="AM7" s="1032"/>
      <c r="AN7" s="1032"/>
      <c r="AO7" s="1032"/>
      <c r="AP7" s="1032"/>
      <c r="AQ7" s="1032"/>
      <c r="AR7" s="1032"/>
    </row>
    <row r="8" spans="1:44" s="1439" customFormat="1" ht="24.75" customHeight="1" thickBot="1">
      <c r="A8" s="1020"/>
      <c r="B8" s="3410" t="s">
        <v>1785</v>
      </c>
      <c r="C8" s="3411"/>
      <c r="D8" s="3411"/>
      <c r="E8" s="3411"/>
      <c r="F8" s="3411"/>
      <c r="G8" s="3411"/>
      <c r="H8" s="3411"/>
      <c r="I8" s="3411"/>
      <c r="J8" s="1020"/>
      <c r="K8" s="3416" t="s">
        <v>1726</v>
      </c>
      <c r="L8" s="3417"/>
      <c r="M8" s="3417"/>
      <c r="N8" s="3417"/>
      <c r="O8" s="3417"/>
      <c r="P8" s="3417"/>
      <c r="Q8" s="3417"/>
      <c r="R8" s="3417"/>
      <c r="S8" s="3417"/>
      <c r="T8" s="3417"/>
      <c r="U8" s="3417"/>
      <c r="V8" s="3418"/>
      <c r="W8" s="3419"/>
      <c r="X8" s="3419"/>
      <c r="Y8" s="3419"/>
      <c r="Z8" s="3420"/>
      <c r="AA8" s="3382">
        <f>IF(V8="",0,(V8-1)*AA7)</f>
        <v>0</v>
      </c>
      <c r="AB8" s="3383"/>
      <c r="AC8" s="3383"/>
      <c r="AD8" s="3383"/>
      <c r="AE8" s="3384"/>
      <c r="AF8" s="1032"/>
      <c r="AG8" s="1032"/>
      <c r="AH8" s="1032"/>
      <c r="AI8" s="1032"/>
      <c r="AJ8" s="1032"/>
      <c r="AK8" s="1032"/>
      <c r="AL8" s="1032"/>
      <c r="AM8" s="1032"/>
      <c r="AN8" s="1032"/>
      <c r="AO8" s="1032"/>
      <c r="AP8" s="1032"/>
      <c r="AQ8" s="1032"/>
      <c r="AR8" s="1032"/>
    </row>
    <row r="9" spans="1:44" s="1439" customFormat="1" ht="24.75" customHeight="1" thickTop="1">
      <c r="A9" s="1020"/>
      <c r="B9" s="3411"/>
      <c r="C9" s="3412"/>
      <c r="D9" s="3412"/>
      <c r="E9" s="3412"/>
      <c r="F9" s="3412"/>
      <c r="G9" s="3412"/>
      <c r="H9" s="3412"/>
      <c r="I9" s="3411"/>
      <c r="J9" s="1020"/>
      <c r="K9" s="3388" t="s">
        <v>1787</v>
      </c>
      <c r="L9" s="3151"/>
      <c r="M9" s="3151"/>
      <c r="N9" s="3151"/>
      <c r="O9" s="3151"/>
      <c r="P9" s="3151"/>
      <c r="Q9" s="3151"/>
      <c r="R9" s="3151"/>
      <c r="S9" s="3151"/>
      <c r="T9" s="3151"/>
      <c r="U9" s="3151"/>
      <c r="V9" s="3151"/>
      <c r="W9" s="3151"/>
      <c r="X9" s="3151"/>
      <c r="Y9" s="3151"/>
      <c r="Z9" s="3151"/>
      <c r="AA9" s="3389">
        <f>SUM(AA7:AE8)</f>
        <v>0</v>
      </c>
      <c r="AB9" s="3151"/>
      <c r="AC9" s="3151"/>
      <c r="AD9" s="3151"/>
      <c r="AE9" s="3390"/>
      <c r="AF9" s="1032"/>
      <c r="AG9" s="1032"/>
      <c r="AH9" s="1032"/>
      <c r="AI9" s="1032"/>
      <c r="AJ9" s="1032"/>
      <c r="AK9" s="1032"/>
      <c r="AL9" s="1032"/>
      <c r="AM9" s="1032"/>
      <c r="AN9" s="1032"/>
      <c r="AO9" s="1032"/>
      <c r="AP9" s="1032"/>
      <c r="AQ9" s="1032"/>
      <c r="AR9" s="1032"/>
    </row>
    <row r="10" spans="1:44" s="1439" customFormat="1" ht="24.75" customHeight="1">
      <c r="A10" s="1020"/>
      <c r="B10" s="3411"/>
      <c r="C10" s="3412"/>
      <c r="D10" s="3412"/>
      <c r="E10" s="3412"/>
      <c r="F10" s="3412"/>
      <c r="G10" s="3412"/>
      <c r="H10" s="3412"/>
      <c r="I10" s="3411"/>
      <c r="J10" s="1408"/>
      <c r="K10" s="1407"/>
      <c r="L10" s="1406"/>
      <c r="M10" s="1406"/>
      <c r="N10" s="1406"/>
      <c r="O10" s="1406"/>
      <c r="P10" s="3370" t="s">
        <v>1788</v>
      </c>
      <c r="Q10" s="3370"/>
      <c r="R10" s="3370"/>
      <c r="S10" s="3370"/>
      <c r="T10" s="3370"/>
      <c r="U10" s="3370"/>
      <c r="V10" s="3370"/>
      <c r="W10" s="3370"/>
      <c r="X10" s="3370"/>
      <c r="Y10" s="3370"/>
      <c r="Z10" s="3371"/>
      <c r="AA10" s="3372" t="s">
        <v>861</v>
      </c>
      <c r="AB10" s="3372"/>
      <c r="AC10" s="3372"/>
      <c r="AD10" s="3372"/>
      <c r="AE10" s="3373"/>
      <c r="AF10" s="1032"/>
      <c r="AG10" s="1032"/>
      <c r="AH10" s="1032"/>
      <c r="AI10" s="1032"/>
      <c r="AJ10" s="1032"/>
      <c r="AK10" s="1032"/>
      <c r="AL10" s="1032"/>
      <c r="AM10" s="1032"/>
      <c r="AN10" s="1032"/>
      <c r="AO10" s="1032"/>
      <c r="AP10" s="1032"/>
      <c r="AQ10" s="1032"/>
      <c r="AR10" s="1032"/>
    </row>
    <row r="11" spans="1:44" s="1439" customFormat="1" ht="24.75" customHeight="1">
      <c r="A11" s="1020"/>
      <c r="B11" s="3411"/>
      <c r="C11" s="3412"/>
      <c r="D11" s="3412"/>
      <c r="E11" s="3412"/>
      <c r="F11" s="3412"/>
      <c r="G11" s="3412"/>
      <c r="H11" s="3412"/>
      <c r="I11" s="3411"/>
      <c r="J11" s="1020"/>
      <c r="K11" s="3385" t="s">
        <v>1789</v>
      </c>
      <c r="L11" s="3386"/>
      <c r="M11" s="3386"/>
      <c r="N11" s="3386"/>
      <c r="O11" s="3386"/>
      <c r="P11" s="3386"/>
      <c r="Q11" s="3386"/>
      <c r="R11" s="3386"/>
      <c r="S11" s="3386"/>
      <c r="T11" s="3386"/>
      <c r="U11" s="3387"/>
      <c r="V11" s="3403">
        <v>30</v>
      </c>
      <c r="W11" s="3404"/>
      <c r="X11" s="3404"/>
      <c r="Y11" s="3404"/>
      <c r="Z11" s="3405"/>
      <c r="AA11" s="3374" t="str">
        <f>IF(R11="$/SF",W11*#REF!,"")</f>
        <v/>
      </c>
      <c r="AB11" s="3375"/>
      <c r="AC11" s="3375"/>
      <c r="AD11" s="3375"/>
      <c r="AE11" s="3376"/>
      <c r="AF11" s="1032"/>
      <c r="AG11" s="1032"/>
      <c r="AH11" s="1032"/>
      <c r="AI11" s="1032"/>
      <c r="AJ11" s="1032"/>
      <c r="AK11" s="1032"/>
      <c r="AL11" s="1032"/>
      <c r="AM11" s="1032"/>
      <c r="AN11" s="1032"/>
      <c r="AO11" s="1032"/>
      <c r="AP11" s="1032"/>
      <c r="AQ11" s="1032"/>
      <c r="AR11" s="1032"/>
    </row>
    <row r="12" spans="1:44" s="1439" customFormat="1" ht="24.75" customHeight="1">
      <c r="A12" s="1020"/>
      <c r="B12" s="3411"/>
      <c r="C12" s="3411"/>
      <c r="D12" s="3411"/>
      <c r="E12" s="3411"/>
      <c r="F12" s="3411"/>
      <c r="G12" s="3411"/>
      <c r="H12" s="3411"/>
      <c r="I12" s="3411"/>
      <c r="J12" s="1020"/>
      <c r="K12" s="3385" t="s">
        <v>1790</v>
      </c>
      <c r="L12" s="3386"/>
      <c r="M12" s="3386"/>
      <c r="N12" s="3386"/>
      <c r="O12" s="3386"/>
      <c r="P12" s="3386"/>
      <c r="Q12" s="3386"/>
      <c r="R12" s="3386"/>
      <c r="S12" s="3386"/>
      <c r="T12" s="3386"/>
      <c r="U12" s="3386"/>
      <c r="V12" s="3421"/>
      <c r="W12" s="3422"/>
      <c r="X12" s="3422"/>
      <c r="Y12" s="3422"/>
      <c r="Z12" s="3423"/>
      <c r="AA12" s="3374"/>
      <c r="AB12" s="3375"/>
      <c r="AC12" s="3375"/>
      <c r="AD12" s="3375"/>
      <c r="AE12" s="3376"/>
      <c r="AF12" s="1032"/>
      <c r="AG12" s="1032"/>
      <c r="AH12" s="1032"/>
      <c r="AI12" s="1032"/>
      <c r="AJ12" s="1032"/>
      <c r="AK12" s="1032"/>
      <c r="AL12" s="1032"/>
      <c r="AM12" s="1032"/>
      <c r="AN12" s="1032"/>
      <c r="AO12" s="1032"/>
      <c r="AP12" s="1032"/>
      <c r="AQ12" s="1032"/>
      <c r="AR12" s="1032"/>
    </row>
    <row r="13" spans="1:44" s="1439" customFormat="1" ht="24.75" customHeight="1" thickBot="1">
      <c r="A13" s="1020"/>
      <c r="B13" s="1020"/>
      <c r="C13" s="1020"/>
      <c r="D13" s="1020"/>
      <c r="E13" s="1020"/>
      <c r="F13" s="1020"/>
      <c r="G13" s="1020"/>
      <c r="H13" s="1020"/>
      <c r="I13" s="1020"/>
      <c r="J13" s="1020"/>
      <c r="K13" s="3377" t="s">
        <v>1730</v>
      </c>
      <c r="L13" s="3378"/>
      <c r="M13" s="3378"/>
      <c r="N13" s="3378"/>
      <c r="O13" s="3378"/>
      <c r="P13" s="3378"/>
      <c r="Q13" s="3378"/>
      <c r="R13" s="3378"/>
      <c r="S13" s="3378"/>
      <c r="T13" s="3378"/>
      <c r="U13" s="3378"/>
      <c r="V13" s="3379"/>
      <c r="W13" s="3380"/>
      <c r="X13" s="3380"/>
      <c r="Y13" s="3380"/>
      <c r="Z13" s="3381"/>
      <c r="AA13" s="3382">
        <f>V13*AA9</f>
        <v>0</v>
      </c>
      <c r="AB13" s="3383"/>
      <c r="AC13" s="3383"/>
      <c r="AD13" s="3383"/>
      <c r="AE13" s="3384"/>
      <c r="AF13" s="1032"/>
      <c r="AG13" s="1032"/>
      <c r="AH13" s="1032"/>
      <c r="AI13" s="1032"/>
      <c r="AJ13" s="1032"/>
      <c r="AK13" s="1032"/>
      <c r="AL13" s="1032"/>
      <c r="AM13" s="1032"/>
      <c r="AN13" s="1032"/>
      <c r="AO13" s="1032"/>
      <c r="AP13" s="1032"/>
      <c r="AQ13" s="1032"/>
      <c r="AR13" s="1032"/>
    </row>
    <row r="14" spans="1:44" s="1439" customFormat="1" ht="24.75" customHeight="1" thickTop="1">
      <c r="A14" s="1020"/>
      <c r="B14" s="1020"/>
      <c r="C14" s="1020"/>
      <c r="D14" s="1020"/>
      <c r="E14" s="1020"/>
      <c r="F14" s="1020"/>
      <c r="G14" s="1020"/>
      <c r="H14" s="1020"/>
      <c r="I14" s="1020"/>
      <c r="J14" s="1020"/>
      <c r="K14" s="3388" t="s">
        <v>1606</v>
      </c>
      <c r="L14" s="3151"/>
      <c r="M14" s="3151"/>
      <c r="N14" s="3151"/>
      <c r="O14" s="3151"/>
      <c r="P14" s="3151"/>
      <c r="Q14" s="3151"/>
      <c r="R14" s="3151"/>
      <c r="S14" s="3151"/>
      <c r="T14" s="3151"/>
      <c r="U14" s="3151"/>
      <c r="V14" s="3151"/>
      <c r="W14" s="3151"/>
      <c r="X14" s="3151"/>
      <c r="Y14" s="3151"/>
      <c r="Z14" s="3151"/>
      <c r="AA14" s="3389">
        <f>AA13</f>
        <v>0</v>
      </c>
      <c r="AB14" s="3151"/>
      <c r="AC14" s="3151"/>
      <c r="AD14" s="3151"/>
      <c r="AE14" s="3390"/>
      <c r="AF14" s="1032"/>
      <c r="AG14" s="1032"/>
      <c r="AH14" s="1032"/>
      <c r="AI14" s="1032"/>
      <c r="AJ14" s="1032"/>
      <c r="AK14" s="1032"/>
      <c r="AL14" s="1032"/>
      <c r="AM14" s="1032"/>
      <c r="AN14" s="1032"/>
      <c r="AO14" s="1032"/>
      <c r="AP14" s="1032"/>
      <c r="AQ14" s="1032"/>
      <c r="AR14" s="1032"/>
    </row>
    <row r="15" spans="1:44" s="1439" customFormat="1" ht="24.75" customHeight="1">
      <c r="A15" s="1020"/>
      <c r="B15" s="1020"/>
      <c r="C15" s="1020"/>
      <c r="D15" s="1020"/>
      <c r="E15" s="1020"/>
      <c r="F15" s="1020"/>
      <c r="G15" s="1020"/>
      <c r="H15" s="1020"/>
      <c r="I15" s="1020"/>
      <c r="J15" s="1020"/>
      <c r="K15" s="1032"/>
      <c r="L15" s="1032"/>
      <c r="M15" s="1032"/>
      <c r="N15" s="1032"/>
      <c r="O15" s="1032"/>
      <c r="P15" s="1032"/>
      <c r="Q15" s="1032"/>
      <c r="R15" s="1032"/>
      <c r="S15" s="1032"/>
      <c r="T15" s="1032"/>
      <c r="U15" s="1032"/>
      <c r="V15" s="1032"/>
      <c r="W15" s="1032"/>
      <c r="X15" s="1032"/>
      <c r="Y15" s="1032"/>
      <c r="Z15" s="1032"/>
      <c r="AA15" s="1032"/>
      <c r="AB15" s="1032"/>
      <c r="AC15" s="1032"/>
      <c r="AD15" s="1032"/>
      <c r="AE15" s="1032"/>
      <c r="AF15" s="1032"/>
      <c r="AG15" s="1032"/>
      <c r="AH15" s="1032"/>
      <c r="AI15" s="1032"/>
      <c r="AJ15" s="1032"/>
      <c r="AK15" s="1032"/>
      <c r="AL15" s="1032"/>
      <c r="AM15" s="1032"/>
      <c r="AN15" s="1032"/>
      <c r="AO15" s="1032"/>
      <c r="AP15" s="1032"/>
      <c r="AQ15" s="1032"/>
      <c r="AR15" s="1032"/>
    </row>
    <row r="16" spans="1:44" s="1439" customFormat="1" ht="24.75" customHeight="1">
      <c r="A16" s="1020"/>
      <c r="B16" s="1020"/>
      <c r="C16" s="1020"/>
      <c r="D16" s="1020"/>
      <c r="E16" s="1020"/>
      <c r="F16" s="1020"/>
      <c r="G16" s="1020"/>
      <c r="H16" s="1020"/>
      <c r="I16" s="1020"/>
      <c r="J16" s="1020"/>
      <c r="K16" s="3394" t="s">
        <v>1791</v>
      </c>
      <c r="L16" s="3395"/>
      <c r="M16" s="3395"/>
      <c r="N16" s="3395"/>
      <c r="O16" s="3395"/>
      <c r="P16" s="3395"/>
      <c r="Q16" s="3395"/>
      <c r="R16" s="3395"/>
      <c r="S16" s="3395"/>
      <c r="T16" s="3395"/>
      <c r="U16" s="3395"/>
      <c r="V16" s="3395"/>
      <c r="W16" s="3395"/>
      <c r="X16" s="3395"/>
      <c r="Y16" s="3395"/>
      <c r="Z16" s="3395"/>
      <c r="AA16" s="3395"/>
      <c r="AB16" s="3395"/>
      <c r="AC16" s="3395"/>
      <c r="AD16" s="3395"/>
      <c r="AE16" s="3396"/>
      <c r="AF16" s="1032"/>
      <c r="AG16" s="1032"/>
      <c r="AH16" s="1032"/>
      <c r="AI16" s="1032"/>
      <c r="AJ16" s="1032"/>
      <c r="AK16" s="1032"/>
      <c r="AL16" s="1032"/>
      <c r="AM16" s="1032"/>
      <c r="AN16" s="1032"/>
      <c r="AO16" s="1032"/>
      <c r="AP16" s="1032"/>
      <c r="AQ16" s="1032"/>
      <c r="AR16" s="1032"/>
    </row>
    <row r="17" spans="1:44" s="1439" customFormat="1" ht="24.75" customHeight="1">
      <c r="A17" s="1020"/>
      <c r="B17" s="1020"/>
      <c r="C17" s="1020"/>
      <c r="D17" s="1020"/>
      <c r="E17" s="1020"/>
      <c r="F17" s="1020"/>
      <c r="G17" s="1020"/>
      <c r="H17" s="1020"/>
      <c r="I17" s="1020"/>
      <c r="J17" s="1020"/>
      <c r="K17" s="3397" t="s">
        <v>1792</v>
      </c>
      <c r="L17" s="3398"/>
      <c r="M17" s="3398"/>
      <c r="N17" s="3398"/>
      <c r="O17" s="3398"/>
      <c r="P17" s="3398"/>
      <c r="Q17" s="3398"/>
      <c r="R17" s="3398"/>
      <c r="S17" s="3398"/>
      <c r="T17" s="3398"/>
      <c r="U17" s="3398"/>
      <c r="V17" s="3398"/>
      <c r="W17" s="3398"/>
      <c r="X17" s="3398"/>
      <c r="Y17" s="3398"/>
      <c r="Z17" s="3399"/>
      <c r="AA17" s="3400">
        <f>'RENTAL PURCHASE SETUP'!AA66</f>
        <v>0</v>
      </c>
      <c r="AB17" s="3398"/>
      <c r="AC17" s="3398"/>
      <c r="AD17" s="3398"/>
      <c r="AE17" s="3399"/>
      <c r="AF17" s="1032"/>
      <c r="AG17" s="1032"/>
      <c r="AH17" s="1032"/>
      <c r="AI17" s="1032"/>
      <c r="AJ17" s="1032"/>
      <c r="AK17" s="1032"/>
      <c r="AL17" s="1032"/>
      <c r="AM17" s="1032"/>
      <c r="AN17" s="1032"/>
      <c r="AO17" s="1032"/>
      <c r="AP17" s="1032"/>
      <c r="AQ17" s="1032"/>
      <c r="AR17" s="1032"/>
    </row>
    <row r="18" spans="1:44" s="1439" customFormat="1" ht="24.75" hidden="1" customHeight="1" thickBot="1">
      <c r="A18" s="1020"/>
      <c r="B18" s="1020"/>
      <c r="C18" s="1020"/>
      <c r="D18" s="1020"/>
      <c r="E18" s="1020"/>
      <c r="F18" s="1020"/>
      <c r="G18" s="1020"/>
      <c r="H18" s="1020"/>
      <c r="I18" s="1020"/>
      <c r="J18" s="1020"/>
      <c r="K18" s="3364" t="str">
        <f>IF(AND(Rental_Funding_Strategy="Financed",Rental_Funding_Type="Conventional"),"LONG-TERM FINANCING LOAN AMOUNT","TOTAL SHORT TERM FINANCING (BRIGE LOAN)")</f>
        <v>TOTAL SHORT TERM FINANCING (BRIGE LOAN)</v>
      </c>
      <c r="L18" s="3365"/>
      <c r="M18" s="3365"/>
      <c r="N18" s="3365"/>
      <c r="O18" s="3365"/>
      <c r="P18" s="3365"/>
      <c r="Q18" s="3365"/>
      <c r="R18" s="3365"/>
      <c r="S18" s="3365"/>
      <c r="T18" s="3365"/>
      <c r="U18" s="3365"/>
      <c r="V18" s="3365"/>
      <c r="W18" s="3365"/>
      <c r="X18" s="3365"/>
      <c r="Y18" s="3365"/>
      <c r="Z18" s="3366"/>
      <c r="AA18" s="3367">
        <f>IF(Rental_Funding_Type="Conventional",-AA9,'RENTAL PURCHASE SETUP'!AA67)</f>
        <v>0</v>
      </c>
      <c r="AB18" s="3365"/>
      <c r="AC18" s="3365"/>
      <c r="AD18" s="3365"/>
      <c r="AE18" s="3366"/>
      <c r="AF18" s="1032"/>
      <c r="AG18" s="1032"/>
      <c r="AH18" s="1032"/>
      <c r="AI18" s="1032"/>
      <c r="AJ18" s="1287"/>
      <c r="AK18" s="1032"/>
      <c r="AL18" s="1032"/>
      <c r="AM18" s="1032"/>
      <c r="AN18" s="1032"/>
      <c r="AO18" s="1032"/>
      <c r="AP18" s="1032"/>
      <c r="AQ18" s="1032"/>
      <c r="AR18" s="1032"/>
    </row>
    <row r="19" spans="1:44" s="1439" customFormat="1" ht="24.75" customHeight="1">
      <c r="A19" s="1020"/>
      <c r="B19" s="1020"/>
      <c r="C19" s="1020"/>
      <c r="D19" s="1020"/>
      <c r="E19" s="1020"/>
      <c r="F19" s="1020"/>
      <c r="G19" s="1020"/>
      <c r="H19" s="1020"/>
      <c r="I19" s="1020"/>
      <c r="J19" s="1020"/>
      <c r="K19" s="3391" t="s">
        <v>1793</v>
      </c>
      <c r="L19" s="3102"/>
      <c r="M19" s="3102"/>
      <c r="N19" s="3102"/>
      <c r="O19" s="3102"/>
      <c r="P19" s="3102"/>
      <c r="Q19" s="3102"/>
      <c r="R19" s="3102"/>
      <c r="S19" s="3102"/>
      <c r="T19" s="3102"/>
      <c r="U19" s="3102"/>
      <c r="V19" s="3102"/>
      <c r="W19" s="3102"/>
      <c r="X19" s="3102"/>
      <c r="Y19" s="3102"/>
      <c r="Z19" s="3392"/>
      <c r="AA19" s="3393">
        <f>SUM(AA17:AE18)</f>
        <v>0</v>
      </c>
      <c r="AB19" s="3102"/>
      <c r="AC19" s="3102"/>
      <c r="AD19" s="3102"/>
      <c r="AE19" s="3392"/>
      <c r="AF19" s="1032"/>
      <c r="AG19" s="1032"/>
      <c r="AH19" s="1032"/>
      <c r="AI19" s="1032"/>
      <c r="AJ19" s="1032"/>
      <c r="AK19" s="1032"/>
      <c r="AL19" s="1032"/>
      <c r="AM19" s="1032"/>
      <c r="AN19" s="1032"/>
      <c r="AO19" s="1032"/>
      <c r="AP19" s="1032"/>
      <c r="AQ19" s="1032"/>
      <c r="AR19" s="1032"/>
    </row>
    <row r="20" spans="1:44" s="1439" customFormat="1" ht="24.75" customHeight="1">
      <c r="A20" s="1020"/>
      <c r="B20" s="1020"/>
      <c r="C20" s="1020"/>
      <c r="D20" s="1020"/>
      <c r="E20" s="1020"/>
      <c r="F20" s="1020"/>
      <c r="G20" s="1020"/>
      <c r="H20" s="1020"/>
      <c r="I20" s="1020"/>
      <c r="J20" s="1020"/>
      <c r="K20" s="1032"/>
      <c r="L20" s="1032"/>
      <c r="M20" s="1032"/>
      <c r="N20" s="1032"/>
      <c r="O20" s="1032"/>
      <c r="P20" s="1032"/>
      <c r="Q20" s="1032"/>
      <c r="R20" s="1032"/>
      <c r="S20" s="1032"/>
      <c r="T20" s="1032"/>
      <c r="U20" s="1032"/>
      <c r="V20" s="1032"/>
      <c r="W20" s="1032"/>
      <c r="X20" s="1032"/>
      <c r="Y20" s="1032"/>
      <c r="Z20" s="1032"/>
      <c r="AA20" s="1032"/>
      <c r="AB20" s="1032"/>
      <c r="AC20" s="1032"/>
      <c r="AD20" s="1032"/>
      <c r="AE20" s="1032"/>
      <c r="AF20" s="1032"/>
      <c r="AG20" s="1032"/>
      <c r="AH20" s="1032"/>
      <c r="AI20" s="1032"/>
      <c r="AJ20" s="1032"/>
      <c r="AK20" s="1032"/>
      <c r="AL20" s="1032"/>
      <c r="AM20" s="1032"/>
      <c r="AN20" s="1032"/>
      <c r="AO20" s="1032"/>
      <c r="AP20" s="1032"/>
      <c r="AQ20" s="1032"/>
      <c r="AR20" s="1032"/>
    </row>
    <row r="21" spans="1:44" s="1439" customFormat="1" ht="24.75" customHeight="1">
      <c r="A21" s="1020"/>
      <c r="B21" s="1020"/>
      <c r="C21" s="1020"/>
      <c r="D21" s="1020"/>
      <c r="E21" s="1020"/>
      <c r="F21" s="1020"/>
      <c r="G21" s="1020"/>
      <c r="H21" s="1020"/>
      <c r="I21" s="1020"/>
      <c r="J21" s="1020"/>
      <c r="K21" s="3394" t="str">
        <f>IF(Rental_Funding_Type="Conventional","Cash Remaining In Deal","Cash Remaining In Deal After Refinance")</f>
        <v>Cash Remaining In Deal After Refinance</v>
      </c>
      <c r="L21" s="3395"/>
      <c r="M21" s="3395"/>
      <c r="N21" s="3395"/>
      <c r="O21" s="3395"/>
      <c r="P21" s="3395"/>
      <c r="Q21" s="3395"/>
      <c r="R21" s="3395"/>
      <c r="S21" s="3395"/>
      <c r="T21" s="3395"/>
      <c r="U21" s="3395"/>
      <c r="V21" s="3395"/>
      <c r="W21" s="3395"/>
      <c r="X21" s="3395"/>
      <c r="Y21" s="3395"/>
      <c r="Z21" s="3395"/>
      <c r="AA21" s="3395"/>
      <c r="AB21" s="3395"/>
      <c r="AC21" s="3395"/>
      <c r="AD21" s="3395"/>
      <c r="AE21" s="3396"/>
      <c r="AF21" s="1032"/>
      <c r="AG21" s="1032"/>
      <c r="AH21" s="1032"/>
      <c r="AI21" s="1032"/>
      <c r="AJ21" s="1032"/>
      <c r="AK21" s="1032"/>
      <c r="AL21" s="1032"/>
      <c r="AM21" s="1032"/>
      <c r="AN21" s="1032"/>
      <c r="AO21" s="1032"/>
      <c r="AP21" s="1032"/>
      <c r="AQ21" s="1032"/>
      <c r="AR21" s="1032"/>
    </row>
    <row r="22" spans="1:44" s="1439" customFormat="1" ht="24.75" hidden="1" customHeight="1">
      <c r="A22" s="1020"/>
      <c r="B22" s="1020"/>
      <c r="C22" s="1020"/>
      <c r="D22" s="1020"/>
      <c r="E22" s="1020"/>
      <c r="F22" s="1020"/>
      <c r="G22" s="1020"/>
      <c r="H22" s="1020"/>
      <c r="I22" s="1020"/>
      <c r="J22" s="1020"/>
      <c r="K22" s="3397" t="s">
        <v>1794</v>
      </c>
      <c r="L22" s="3398"/>
      <c r="M22" s="3398"/>
      <c r="N22" s="3398"/>
      <c r="O22" s="3398"/>
      <c r="P22" s="3398"/>
      <c r="Q22" s="3398"/>
      <c r="R22" s="3398"/>
      <c r="S22" s="3398"/>
      <c r="T22" s="3398"/>
      <c r="U22" s="3398"/>
      <c r="V22" s="3398"/>
      <c r="W22" s="3398"/>
      <c r="X22" s="3398"/>
      <c r="Y22" s="3398"/>
      <c r="Z22" s="3399"/>
      <c r="AA22" s="3400">
        <f>-AA18</f>
        <v>0</v>
      </c>
      <c r="AB22" s="3398"/>
      <c r="AC22" s="3398"/>
      <c r="AD22" s="3398"/>
      <c r="AE22" s="3399"/>
      <c r="AF22" s="1032"/>
      <c r="AG22" s="1032"/>
      <c r="AH22" s="1032"/>
      <c r="AI22" s="1032"/>
      <c r="AJ22" s="1032"/>
      <c r="AK22" s="1032"/>
      <c r="AL22" s="1032"/>
      <c r="AM22" s="1032"/>
      <c r="AN22" s="1032"/>
      <c r="AO22" s="1032"/>
      <c r="AP22" s="1032"/>
      <c r="AQ22" s="1032"/>
      <c r="AR22" s="1032"/>
    </row>
    <row r="23" spans="1:44" s="1439" customFormat="1" ht="24.75" customHeight="1">
      <c r="A23" s="1020"/>
      <c r="B23" s="1020"/>
      <c r="C23" s="1020"/>
      <c r="D23" s="1020"/>
      <c r="E23" s="1020"/>
      <c r="F23" s="1020"/>
      <c r="G23" s="1020"/>
      <c r="H23" s="1020"/>
      <c r="I23" s="1020"/>
      <c r="J23" s="1020"/>
      <c r="K23" s="3397" t="s">
        <v>1795</v>
      </c>
      <c r="L23" s="3398"/>
      <c r="M23" s="3398"/>
      <c r="N23" s="3398"/>
      <c r="O23" s="3398"/>
      <c r="P23" s="3398"/>
      <c r="Q23" s="3398"/>
      <c r="R23" s="3398"/>
      <c r="S23" s="3398"/>
      <c r="T23" s="3398"/>
      <c r="U23" s="3398"/>
      <c r="V23" s="3398"/>
      <c r="W23" s="3398"/>
      <c r="X23" s="3398"/>
      <c r="Y23" s="3398"/>
      <c r="Z23" s="3399"/>
      <c r="AA23" s="3400">
        <f>AA19+AA14</f>
        <v>0</v>
      </c>
      <c r="AB23" s="3398"/>
      <c r="AC23" s="3398"/>
      <c r="AD23" s="3398"/>
      <c r="AE23" s="3399"/>
      <c r="AF23" s="3401" t="s">
        <v>1798</v>
      </c>
      <c r="AG23" s="3402"/>
      <c r="AH23" s="3402"/>
      <c r="AI23" s="3402"/>
      <c r="AJ23" s="3402"/>
      <c r="AK23" s="3402"/>
      <c r="AL23" s="3402"/>
      <c r="AM23" s="3402"/>
      <c r="AN23" s="1032"/>
      <c r="AO23" s="1032"/>
      <c r="AP23" s="1032"/>
      <c r="AQ23" s="1032"/>
      <c r="AR23" s="1032"/>
    </row>
    <row r="24" spans="1:44" s="1439" customFormat="1" ht="24.75" customHeight="1" thickBot="1">
      <c r="A24" s="1020"/>
      <c r="B24" s="1020"/>
      <c r="C24" s="1020"/>
      <c r="D24" s="1020"/>
      <c r="E24" s="1020"/>
      <c r="F24" s="1020"/>
      <c r="G24" s="1020"/>
      <c r="H24" s="1020"/>
      <c r="I24" s="1020"/>
      <c r="J24" s="1020"/>
      <c r="K24" s="3364" t="s">
        <v>1796</v>
      </c>
      <c r="L24" s="3365"/>
      <c r="M24" s="3365"/>
      <c r="N24" s="3365"/>
      <c r="O24" s="3365"/>
      <c r="P24" s="3365"/>
      <c r="Q24" s="3365"/>
      <c r="R24" s="3365"/>
      <c r="S24" s="3365"/>
      <c r="T24" s="3365"/>
      <c r="U24" s="3365"/>
      <c r="V24" s="3365"/>
      <c r="W24" s="3365"/>
      <c r="X24" s="3365"/>
      <c r="Y24" s="3365"/>
      <c r="Z24" s="3366"/>
      <c r="AA24" s="3367">
        <f>-AA9</f>
        <v>0</v>
      </c>
      <c r="AB24" s="3365"/>
      <c r="AC24" s="3365"/>
      <c r="AD24" s="3365"/>
      <c r="AE24" s="3366"/>
      <c r="AF24" s="1275"/>
      <c r="AG24" s="1020"/>
      <c r="AH24" s="1020"/>
      <c r="AI24" s="1020"/>
      <c r="AJ24" s="1020"/>
      <c r="AK24" s="1020"/>
      <c r="AL24" s="1020"/>
      <c r="AM24" s="1020"/>
      <c r="AN24" s="1032"/>
      <c r="AO24" s="1032"/>
      <c r="AP24" s="1032"/>
      <c r="AQ24" s="1032"/>
      <c r="AR24" s="1032"/>
    </row>
    <row r="25" spans="1:44" s="1439" customFormat="1" ht="24.75" customHeight="1" thickTop="1">
      <c r="A25" s="1020"/>
      <c r="B25" s="1020"/>
      <c r="C25" s="1020"/>
      <c r="D25" s="1020"/>
      <c r="E25" s="1020"/>
      <c r="F25" s="1020"/>
      <c r="G25" s="1020"/>
      <c r="H25" s="1020"/>
      <c r="I25" s="1020"/>
      <c r="J25" s="1020"/>
      <c r="K25" s="3391" t="s">
        <v>1797</v>
      </c>
      <c r="L25" s="3102"/>
      <c r="M25" s="3102"/>
      <c r="N25" s="3102"/>
      <c r="O25" s="3102"/>
      <c r="P25" s="3102"/>
      <c r="Q25" s="3102"/>
      <c r="R25" s="3102"/>
      <c r="S25" s="3102"/>
      <c r="T25" s="3102"/>
      <c r="U25" s="3102"/>
      <c r="V25" s="3102"/>
      <c r="W25" s="3102"/>
      <c r="X25" s="3102"/>
      <c r="Y25" s="3102"/>
      <c r="Z25" s="3392"/>
      <c r="AA25" s="3393">
        <f>IF(AA24=0,AA19,SUM(AA22:AE24))</f>
        <v>0</v>
      </c>
      <c r="AB25" s="3102"/>
      <c r="AC25" s="3102"/>
      <c r="AD25" s="3102"/>
      <c r="AE25" s="3392"/>
      <c r="AF25" s="1275"/>
      <c r="AG25" s="1020"/>
      <c r="AH25" s="1020"/>
      <c r="AI25" s="1020"/>
      <c r="AJ25" s="1020"/>
      <c r="AK25" s="1020"/>
      <c r="AL25" s="1020"/>
      <c r="AM25" s="1020"/>
      <c r="AN25" s="1032"/>
      <c r="AO25" s="1032"/>
      <c r="AP25" s="1032"/>
      <c r="AQ25" s="1032"/>
      <c r="AR25" s="1032"/>
    </row>
    <row r="26" spans="1:44" s="1439" customFormat="1" ht="22.5" customHeight="1">
      <c r="A26" s="1020"/>
      <c r="B26" s="1020"/>
      <c r="C26" s="1020"/>
      <c r="D26" s="1020"/>
      <c r="E26" s="1020"/>
      <c r="F26" s="1020"/>
      <c r="G26" s="1020"/>
      <c r="H26" s="1020"/>
      <c r="I26" s="1020"/>
      <c r="J26" s="1020"/>
      <c r="K26" s="1020"/>
      <c r="L26" s="1151"/>
      <c r="M26" s="1151"/>
      <c r="N26" s="1151"/>
      <c r="O26" s="1151"/>
      <c r="P26" s="1151"/>
      <c r="Q26" s="1151"/>
      <c r="R26" s="1151"/>
      <c r="S26" s="1151"/>
      <c r="T26" s="1151"/>
      <c r="U26" s="1151"/>
      <c r="V26" s="1151"/>
      <c r="W26" s="1151"/>
      <c r="X26" s="1151"/>
      <c r="Y26" s="1151"/>
      <c r="Z26" s="1151"/>
      <c r="AA26" s="1151"/>
      <c r="AB26" s="1151"/>
      <c r="AC26" s="1151"/>
      <c r="AD26" s="1275"/>
      <c r="AE26" s="1275"/>
      <c r="AF26" s="1275"/>
      <c r="AG26" s="1020"/>
      <c r="AH26" s="1020"/>
      <c r="AI26" s="1020"/>
      <c r="AJ26" s="1020"/>
      <c r="AK26" s="1020"/>
      <c r="AL26" s="1020"/>
      <c r="AM26" s="1020"/>
      <c r="AN26" s="1020"/>
      <c r="AO26" s="1020"/>
      <c r="AP26" s="1020"/>
      <c r="AQ26" s="1020"/>
      <c r="AR26" s="1020"/>
    </row>
    <row r="27" spans="1:44" s="1439" customFormat="1" ht="11.25" customHeight="1">
      <c r="A27" s="1020"/>
      <c r="B27" s="1020"/>
      <c r="C27" s="1020"/>
      <c r="D27" s="1020"/>
      <c r="E27" s="1020"/>
      <c r="F27" s="1020"/>
      <c r="G27" s="1020"/>
      <c r="H27" s="1020"/>
      <c r="I27" s="1020"/>
      <c r="J27" s="1020"/>
      <c r="K27" s="1020"/>
      <c r="L27" s="1109"/>
      <c r="M27" s="1109"/>
      <c r="N27" s="1109"/>
      <c r="O27" s="1109"/>
      <c r="P27" s="1109"/>
      <c r="Q27" s="1109"/>
      <c r="R27" s="1109"/>
      <c r="S27" s="1109"/>
      <c r="T27" s="1109"/>
      <c r="U27" s="1109"/>
      <c r="V27" s="1109"/>
      <c r="W27" s="1109"/>
      <c r="X27" s="1109"/>
      <c r="Y27" s="1109"/>
      <c r="Z27" s="1109"/>
      <c r="AA27" s="1109"/>
      <c r="AB27" s="1109"/>
      <c r="AC27" s="1109"/>
      <c r="AD27" s="1138"/>
      <c r="AE27" s="1138"/>
      <c r="AF27" s="1138"/>
      <c r="AG27" s="1085"/>
      <c r="AH27" s="1085"/>
      <c r="AI27" s="1020"/>
      <c r="AJ27" s="1020"/>
      <c r="AK27" s="1020"/>
      <c r="AL27" s="1020"/>
      <c r="AM27" s="1020"/>
      <c r="AN27" s="1020"/>
      <c r="AO27" s="1020"/>
      <c r="AP27" s="1020"/>
      <c r="AQ27" s="1020"/>
      <c r="AR27" s="1020"/>
    </row>
    <row r="28" spans="1:44" s="1439" customFormat="1" ht="37.5" customHeight="1">
      <c r="A28" s="1442"/>
      <c r="B28" s="3082" t="s">
        <v>1619</v>
      </c>
      <c r="C28" s="3083"/>
      <c r="D28" s="3083"/>
      <c r="E28" s="3083"/>
      <c r="F28" s="3083"/>
      <c r="G28" s="3083"/>
      <c r="H28" s="3083"/>
      <c r="I28" s="3083"/>
      <c r="J28" s="3083"/>
      <c r="K28" s="3083"/>
      <c r="L28" s="3083"/>
      <c r="M28" s="3083"/>
      <c r="N28" s="3083"/>
      <c r="O28" s="3083"/>
      <c r="P28" s="3083"/>
      <c r="Q28" s="3083"/>
      <c r="R28" s="3083"/>
      <c r="S28" s="3083"/>
      <c r="T28" s="3083"/>
      <c r="U28" s="3083"/>
      <c r="V28" s="3083"/>
      <c r="W28" s="3083"/>
      <c r="X28" s="3083"/>
      <c r="Y28" s="3083"/>
      <c r="Z28" s="3083"/>
      <c r="AA28" s="3083"/>
      <c r="AB28" s="3083"/>
      <c r="AC28" s="3083"/>
      <c r="AD28" s="3083"/>
      <c r="AE28" s="3083"/>
      <c r="AF28" s="3083"/>
      <c r="AG28" s="3083"/>
      <c r="AH28" s="3083"/>
      <c r="AI28" s="3083"/>
      <c r="AJ28" s="3083"/>
      <c r="AK28" s="3083"/>
      <c r="AL28" s="3083"/>
      <c r="AM28" s="3083"/>
      <c r="AN28" s="3083"/>
      <c r="AO28" s="3083"/>
      <c r="AP28" s="3083"/>
      <c r="AQ28" s="3083"/>
      <c r="AR28" s="3083"/>
    </row>
    <row r="29" spans="1:44" s="1439" customFormat="1" ht="15.75" hidden="1" customHeight="1">
      <c r="A29" s="1020"/>
      <c r="B29" s="1020"/>
      <c r="C29" s="1020"/>
      <c r="D29" s="1020"/>
      <c r="E29" s="1020"/>
      <c r="F29" s="1020"/>
      <c r="G29" s="1020"/>
      <c r="H29" s="1020"/>
      <c r="I29" s="1020"/>
      <c r="J29" s="1020"/>
      <c r="K29" s="1020"/>
      <c r="L29" s="1109"/>
      <c r="M29" s="1109"/>
      <c r="N29" s="1085"/>
      <c r="O29" s="1085"/>
      <c r="P29" s="1085"/>
      <c r="Q29" s="1085"/>
      <c r="R29" s="1181"/>
      <c r="S29" s="1181"/>
      <c r="T29" s="1181"/>
      <c r="U29" s="1181"/>
      <c r="V29" s="1181"/>
      <c r="W29" s="1109"/>
      <c r="X29" s="1109"/>
      <c r="Y29" s="1085"/>
      <c r="Z29" s="1085"/>
      <c r="AA29" s="1085"/>
      <c r="AB29" s="1085"/>
      <c r="AC29" s="1085"/>
      <c r="AD29" s="1085"/>
      <c r="AE29" s="1085"/>
      <c r="AF29" s="1085"/>
      <c r="AG29" s="1085"/>
      <c r="AH29" s="1085"/>
      <c r="AI29" s="1020"/>
      <c r="AJ29" s="1020"/>
      <c r="AK29" s="1020"/>
      <c r="AL29" s="1020"/>
      <c r="AM29" s="1020"/>
      <c r="AN29" s="1020"/>
      <c r="AO29" s="1020"/>
      <c r="AP29" s="1020"/>
      <c r="AQ29" s="1020"/>
      <c r="AR29" s="1020"/>
    </row>
    <row r="30" spans="1:44" s="1439" customFormat="1" ht="15.7" hidden="1">
      <c r="A30" s="1020"/>
      <c r="B30" s="1020"/>
      <c r="C30" s="1020"/>
      <c r="D30" s="1020"/>
      <c r="E30" s="1020"/>
      <c r="F30" s="1020"/>
      <c r="G30" s="1020"/>
      <c r="H30" s="1020"/>
      <c r="I30" s="1020"/>
      <c r="J30" s="1020"/>
      <c r="K30" s="1020"/>
      <c r="L30" s="1182" t="s">
        <v>900</v>
      </c>
      <c r="M30" s="1085"/>
      <c r="N30" s="1085"/>
      <c r="O30" s="1085"/>
      <c r="P30" s="1085"/>
      <c r="Q30" s="1085"/>
      <c r="R30" s="1182"/>
      <c r="S30" s="1182"/>
      <c r="T30" s="1182"/>
      <c r="U30" s="1182"/>
      <c r="V30" s="1182" t="s">
        <v>1736</v>
      </c>
      <c r="W30" s="1085"/>
      <c r="X30" s="1020"/>
      <c r="Y30" s="1020"/>
      <c r="Z30" s="1020"/>
      <c r="AA30" s="1020"/>
      <c r="AB30" s="1020"/>
      <c r="AC30" s="1020"/>
      <c r="AD30" s="1020"/>
      <c r="AE30" s="1020"/>
      <c r="AF30" s="1020"/>
      <c r="AG30" s="1020"/>
      <c r="AH30" s="1085"/>
      <c r="AI30" s="1020"/>
      <c r="AJ30" s="1020"/>
      <c r="AK30" s="1020"/>
      <c r="AL30" s="1020"/>
      <c r="AM30" s="1020"/>
      <c r="AN30" s="1020"/>
      <c r="AO30" s="1020"/>
      <c r="AP30" s="1020"/>
      <c r="AQ30" s="1020"/>
      <c r="AR30" s="1020"/>
    </row>
    <row r="31" spans="1:44" s="1439" customFormat="1" ht="15.7" hidden="1">
      <c r="A31" s="1020"/>
      <c r="B31" s="1020"/>
      <c r="C31" s="1020"/>
      <c r="D31" s="1020"/>
      <c r="E31" s="1020"/>
      <c r="F31" s="1020"/>
      <c r="G31" s="1020"/>
      <c r="H31" s="1020"/>
      <c r="I31" s="1020"/>
      <c r="J31" s="1020"/>
      <c r="K31" s="1020"/>
      <c r="L31" s="1182" t="s">
        <v>901</v>
      </c>
      <c r="M31" s="1085"/>
      <c r="N31" s="1085"/>
      <c r="O31" s="1085"/>
      <c r="P31" s="1085"/>
      <c r="Q31" s="1085"/>
      <c r="R31" s="1182"/>
      <c r="S31" s="1182"/>
      <c r="T31" s="1182"/>
      <c r="U31" s="1182"/>
      <c r="V31" s="1182" t="s">
        <v>935</v>
      </c>
      <c r="W31" s="1085"/>
      <c r="X31" s="1020"/>
      <c r="Y31" s="1020"/>
      <c r="Z31" s="1020"/>
      <c r="AA31" s="1020"/>
      <c r="AB31" s="1020"/>
      <c r="AC31" s="1020"/>
      <c r="AD31" s="1020"/>
      <c r="AE31" s="1020"/>
      <c r="AF31" s="1020"/>
      <c r="AG31" s="1020"/>
      <c r="AH31" s="1085"/>
      <c r="AI31" s="1020"/>
      <c r="AJ31" s="1020"/>
      <c r="AK31" s="1020"/>
      <c r="AL31" s="1020"/>
      <c r="AM31" s="1020"/>
      <c r="AN31" s="1020"/>
      <c r="AO31" s="1020"/>
      <c r="AP31" s="1020"/>
      <c r="AQ31" s="1020"/>
      <c r="AR31" s="1020"/>
    </row>
    <row r="32" spans="1:44" s="1439" customFormat="1" ht="15.7" hidden="1">
      <c r="A32" s="1020"/>
      <c r="B32" s="1020"/>
      <c r="C32" s="1020"/>
      <c r="D32" s="1020"/>
      <c r="E32" s="1020"/>
      <c r="F32" s="1020"/>
      <c r="G32" s="1020"/>
      <c r="H32" s="1020"/>
      <c r="I32" s="1020"/>
      <c r="J32" s="1020"/>
      <c r="K32" s="1020"/>
      <c r="L32" s="1085"/>
      <c r="M32" s="1085"/>
      <c r="N32" s="1085"/>
      <c r="O32" s="1085"/>
      <c r="P32" s="1085"/>
      <c r="Q32" s="1085"/>
      <c r="R32" s="1085"/>
      <c r="S32" s="1085"/>
      <c r="T32" s="1085"/>
      <c r="U32" s="1085"/>
      <c r="V32" s="1085"/>
      <c r="W32" s="1085"/>
      <c r="X32" s="1020"/>
      <c r="Y32" s="1020"/>
      <c r="Z32" s="1020"/>
      <c r="AA32" s="1020"/>
      <c r="AB32" s="1020"/>
      <c r="AC32" s="1020"/>
      <c r="AD32" s="1020"/>
      <c r="AE32" s="1020"/>
      <c r="AF32" s="1020"/>
      <c r="AG32" s="1020"/>
      <c r="AH32" s="1085"/>
      <c r="AI32" s="1020"/>
      <c r="AJ32" s="1020"/>
      <c r="AK32" s="1020"/>
      <c r="AL32" s="1020"/>
      <c r="AM32" s="1020"/>
      <c r="AN32" s="1020"/>
      <c r="AO32" s="1020"/>
      <c r="AP32" s="1020"/>
      <c r="AQ32" s="1020"/>
      <c r="AR32" s="1020"/>
    </row>
    <row r="33" spans="1:44" s="1439" customFormat="1" ht="15.7" hidden="1">
      <c r="A33" s="1020"/>
      <c r="B33" s="1020"/>
      <c r="C33" s="1020"/>
      <c r="D33" s="1020"/>
      <c r="E33" s="1020"/>
      <c r="F33" s="1020"/>
      <c r="G33" s="1020"/>
      <c r="H33" s="1020"/>
      <c r="I33" s="1020"/>
      <c r="J33" s="1020"/>
      <c r="K33" s="1020"/>
      <c r="L33" s="1020"/>
      <c r="M33" s="1020"/>
      <c r="N33" s="1020"/>
      <c r="O33" s="1020"/>
      <c r="P33" s="1020"/>
      <c r="Q33" s="1020"/>
      <c r="R33" s="1020"/>
      <c r="S33" s="1020"/>
      <c r="T33" s="1020"/>
      <c r="U33" s="1020"/>
      <c r="V33" s="1020"/>
      <c r="W33" s="1020"/>
      <c r="X33" s="1020"/>
      <c r="Y33" s="1020"/>
      <c r="Z33" s="1020"/>
      <c r="AA33" s="1020"/>
      <c r="AB33" s="1020"/>
      <c r="AC33" s="1020"/>
      <c r="AD33" s="1020"/>
      <c r="AE33" s="1020"/>
      <c r="AF33" s="1020"/>
      <c r="AG33" s="1020"/>
      <c r="AH33" s="1020"/>
      <c r="AI33" s="1020"/>
      <c r="AJ33" s="1020"/>
      <c r="AK33" s="1020"/>
      <c r="AL33" s="1020"/>
      <c r="AM33" s="1020"/>
      <c r="AN33" s="1020"/>
      <c r="AO33" s="1020"/>
      <c r="AP33" s="1020"/>
      <c r="AQ33" s="1020"/>
      <c r="AR33" s="1020"/>
    </row>
    <row r="34" spans="1:44" s="1439" customFormat="1" ht="15.7" hidden="1">
      <c r="A34" s="1020"/>
      <c r="B34" s="1020"/>
      <c r="C34" s="1020"/>
      <c r="D34" s="1020"/>
      <c r="E34" s="1020"/>
      <c r="F34" s="1020"/>
      <c r="G34" s="1020"/>
      <c r="H34" s="1020"/>
      <c r="I34" s="1020"/>
      <c r="J34" s="1020"/>
      <c r="K34" s="1020"/>
      <c r="L34" s="1020"/>
      <c r="M34" s="1020"/>
      <c r="N34" s="1020"/>
      <c r="O34" s="1020"/>
      <c r="P34" s="1020"/>
      <c r="Q34" s="1020"/>
      <c r="R34" s="1020"/>
      <c r="S34" s="1020"/>
      <c r="T34" s="1020"/>
      <c r="U34" s="1020"/>
      <c r="V34" s="1020"/>
      <c r="W34" s="1020"/>
      <c r="X34" s="1020"/>
      <c r="Y34" s="1020"/>
      <c r="Z34" s="1020"/>
      <c r="AA34" s="1020"/>
      <c r="AB34" s="1020"/>
      <c r="AC34" s="1020"/>
      <c r="AD34" s="1020"/>
      <c r="AE34" s="1020"/>
      <c r="AF34" s="1020"/>
      <c r="AG34" s="1020"/>
      <c r="AH34" s="1020"/>
      <c r="AI34" s="1020"/>
      <c r="AJ34" s="1020"/>
      <c r="AK34" s="1020"/>
      <c r="AL34" s="1020"/>
      <c r="AM34" s="1020"/>
      <c r="AN34" s="1020"/>
      <c r="AO34" s="1020"/>
      <c r="AP34" s="1020"/>
      <c r="AQ34" s="1020"/>
      <c r="AR34" s="1020"/>
    </row>
    <row r="35" spans="1:44" s="1439" customFormat="1" ht="15.7" hidden="1">
      <c r="A35" s="1020"/>
      <c r="B35" s="1020"/>
      <c r="C35" s="1020"/>
      <c r="D35" s="1020"/>
      <c r="E35" s="1020"/>
      <c r="F35" s="1020"/>
      <c r="G35" s="1020"/>
      <c r="H35" s="1020"/>
      <c r="I35" s="1020"/>
      <c r="J35" s="1020"/>
      <c r="K35" s="1020"/>
      <c r="L35" s="1020"/>
      <c r="M35" s="1020"/>
      <c r="N35" s="1020"/>
      <c r="O35" s="1020"/>
      <c r="P35" s="1020"/>
      <c r="Q35" s="1020"/>
      <c r="R35" s="1020"/>
      <c r="S35" s="1020"/>
      <c r="T35" s="1020"/>
      <c r="U35" s="1020"/>
      <c r="V35" s="1020"/>
      <c r="W35" s="1020"/>
      <c r="X35" s="1020"/>
      <c r="Y35" s="1020"/>
      <c r="Z35" s="1020"/>
      <c r="AA35" s="1020"/>
      <c r="AB35" s="1020"/>
      <c r="AC35" s="1020"/>
      <c r="AD35" s="1020"/>
      <c r="AE35" s="1020"/>
      <c r="AF35" s="1020"/>
      <c r="AG35" s="1020"/>
      <c r="AH35" s="1020"/>
      <c r="AI35" s="1020"/>
      <c r="AJ35" s="1020"/>
      <c r="AK35" s="1020"/>
      <c r="AL35" s="1020"/>
      <c r="AM35" s="1020"/>
      <c r="AN35" s="1020"/>
      <c r="AO35" s="1020"/>
      <c r="AP35" s="1020"/>
      <c r="AQ35" s="1020"/>
      <c r="AR35" s="1020"/>
    </row>
    <row r="36" spans="1:44" s="1439" customFormat="1" ht="15.7" hidden="1">
      <c r="A36" s="1020"/>
      <c r="B36" s="1020"/>
      <c r="C36" s="1020"/>
      <c r="D36" s="1020"/>
      <c r="E36" s="1020"/>
      <c r="F36" s="1020"/>
      <c r="G36" s="1020"/>
      <c r="H36" s="1020"/>
      <c r="I36" s="1020"/>
      <c r="J36" s="1020"/>
      <c r="K36" s="1020"/>
      <c r="L36" s="1020"/>
      <c r="M36" s="1020"/>
      <c r="N36" s="1020"/>
      <c r="O36" s="1020"/>
      <c r="P36" s="1020"/>
      <c r="Q36" s="1020"/>
      <c r="R36" s="1020"/>
      <c r="S36" s="1020"/>
      <c r="T36" s="1020"/>
      <c r="U36" s="1020"/>
      <c r="V36" s="1020"/>
      <c r="W36" s="1020"/>
      <c r="X36" s="1020"/>
      <c r="Y36" s="1020"/>
      <c r="Z36" s="1020"/>
      <c r="AA36" s="1020"/>
      <c r="AB36" s="1020"/>
      <c r="AC36" s="1020"/>
      <c r="AD36" s="1020"/>
      <c r="AE36" s="1020"/>
      <c r="AF36" s="1020"/>
      <c r="AG36" s="1020"/>
      <c r="AH36" s="1020"/>
      <c r="AI36" s="1020"/>
      <c r="AJ36" s="1020"/>
      <c r="AK36" s="1020"/>
      <c r="AL36" s="1020"/>
      <c r="AM36" s="1020"/>
      <c r="AN36" s="1020"/>
      <c r="AO36" s="1020"/>
      <c r="AP36" s="1020"/>
      <c r="AQ36" s="1020"/>
      <c r="AR36" s="1020"/>
    </row>
    <row r="37" spans="1:44" s="1439" customFormat="1" ht="15.7" hidden="1">
      <c r="A37" s="1020"/>
      <c r="B37" s="1020"/>
      <c r="C37" s="1020"/>
      <c r="D37" s="1020"/>
      <c r="E37" s="1020"/>
      <c r="F37" s="1020"/>
      <c r="G37" s="1020"/>
      <c r="H37" s="1020"/>
      <c r="I37" s="1020"/>
      <c r="J37" s="1020"/>
      <c r="K37" s="1020"/>
      <c r="L37" s="1020"/>
      <c r="M37" s="1020"/>
      <c r="N37" s="1020"/>
      <c r="O37" s="1020"/>
      <c r="P37" s="1020"/>
      <c r="Q37" s="1020"/>
      <c r="R37" s="1020"/>
      <c r="S37" s="1020"/>
      <c r="T37" s="1020"/>
      <c r="U37" s="1020"/>
      <c r="V37" s="1020"/>
      <c r="W37" s="1020"/>
      <c r="X37" s="1020"/>
      <c r="Y37" s="1020"/>
      <c r="Z37" s="1020"/>
      <c r="AA37" s="1020"/>
      <c r="AB37" s="1020"/>
      <c r="AC37" s="1020"/>
      <c r="AD37" s="1020"/>
      <c r="AE37" s="1020"/>
      <c r="AF37" s="1020"/>
      <c r="AG37" s="1020"/>
      <c r="AH37" s="1020"/>
      <c r="AI37" s="1020"/>
      <c r="AJ37" s="1020"/>
      <c r="AK37" s="1020"/>
      <c r="AL37" s="1020"/>
      <c r="AM37" s="1020"/>
      <c r="AN37" s="1020"/>
      <c r="AO37" s="1020"/>
      <c r="AP37" s="1020"/>
      <c r="AQ37" s="1020"/>
      <c r="AR37" s="1020"/>
    </row>
    <row r="38" spans="1:44" ht="15" customHeight="1">
      <c r="A38" s="1439"/>
      <c r="B38" s="1439"/>
      <c r="C38" s="1439"/>
      <c r="D38" s="1439"/>
      <c r="E38" s="1439"/>
      <c r="F38" s="1439"/>
      <c r="G38" s="1439"/>
      <c r="H38" s="1439"/>
      <c r="I38" s="1439"/>
      <c r="J38" s="1439"/>
      <c r="K38" s="1439"/>
      <c r="L38" s="1439"/>
      <c r="M38" s="1439"/>
      <c r="N38" s="1439"/>
      <c r="O38" s="1439"/>
      <c r="P38" s="1439"/>
      <c r="Q38" s="1439"/>
      <c r="R38" s="1439"/>
      <c r="S38" s="1439"/>
      <c r="T38" s="1439"/>
      <c r="U38" s="1439"/>
      <c r="V38" s="1439"/>
      <c r="W38" s="1439"/>
      <c r="X38" s="1439"/>
      <c r="Y38" s="1439"/>
      <c r="Z38" s="1439"/>
      <c r="AA38" s="1439"/>
      <c r="AB38" s="1439"/>
      <c r="AC38" s="1439"/>
      <c r="AD38" s="1439"/>
      <c r="AE38" s="1439"/>
      <c r="AF38" s="1439"/>
      <c r="AG38" s="1439"/>
      <c r="AH38" s="1439"/>
      <c r="AI38" s="1439"/>
      <c r="AJ38" s="1439"/>
      <c r="AK38" s="1439"/>
      <c r="AL38" s="1439"/>
      <c r="AM38" s="1439"/>
      <c r="AN38" s="1439"/>
      <c r="AO38" s="1439"/>
      <c r="AP38" s="1439"/>
      <c r="AQ38" s="1439"/>
      <c r="AR38" s="1439"/>
    </row>
  </sheetData>
  <sheetProtection algorithmName="SHA-512" hashValue="GFwkII5HvBNrcwYQkmaY9FeGtVIcRAYSMpMF88likMnQEGBwYhjn/xjIgAhXD133vrEni1iAr2LEl1ROW4hoGw==" saltValue="PTlR1mrV+bxTO/3qZpm8gg==" spinCount="100000" sheet="1" objects="1" formatCells="0" formatColumns="0" formatRows="0" insertHyperlinks="0" sort="0" autoFilter="0"/>
  <mergeCells count="47">
    <mergeCell ref="K6:Z6"/>
    <mergeCell ref="AA6:AE6"/>
    <mergeCell ref="B8:I12"/>
    <mergeCell ref="K7:U7"/>
    <mergeCell ref="V7:Z7"/>
    <mergeCell ref="AA7:AE7"/>
    <mergeCell ref="K8:U8"/>
    <mergeCell ref="V8:Z8"/>
    <mergeCell ref="AA8:AE8"/>
    <mergeCell ref="K9:Z9"/>
    <mergeCell ref="AA9:AE9"/>
    <mergeCell ref="K12:U12"/>
    <mergeCell ref="V12:Z12"/>
    <mergeCell ref="K16:AE16"/>
    <mergeCell ref="K17:Z17"/>
    <mergeCell ref="AA17:AE17"/>
    <mergeCell ref="V11:Z11"/>
    <mergeCell ref="AA11:AE11"/>
    <mergeCell ref="B28:AR28"/>
    <mergeCell ref="K19:Z19"/>
    <mergeCell ref="AA19:AE19"/>
    <mergeCell ref="K21:AE21"/>
    <mergeCell ref="K22:Z22"/>
    <mergeCell ref="AA22:AE22"/>
    <mergeCell ref="K23:Z23"/>
    <mergeCell ref="AA23:AE23"/>
    <mergeCell ref="K24:Z24"/>
    <mergeCell ref="AA24:AE24"/>
    <mergeCell ref="K25:Z25"/>
    <mergeCell ref="AA25:AE25"/>
    <mergeCell ref="AF23:AM23"/>
    <mergeCell ref="K18:Z18"/>
    <mergeCell ref="AA18:AE18"/>
    <mergeCell ref="A2:C4"/>
    <mergeCell ref="D2:G4"/>
    <mergeCell ref="H2:K4"/>
    <mergeCell ref="L2:O4"/>
    <mergeCell ref="B6:I7"/>
    <mergeCell ref="P10:Z10"/>
    <mergeCell ref="AA10:AE10"/>
    <mergeCell ref="AA12:AE12"/>
    <mergeCell ref="K13:U13"/>
    <mergeCell ref="V13:Z13"/>
    <mergeCell ref="AA13:AE13"/>
    <mergeCell ref="K11:U11"/>
    <mergeCell ref="K14:Z14"/>
    <mergeCell ref="AA14:AE14"/>
  </mergeCells>
  <conditionalFormatting sqref="V7:AE8">
    <cfRule type="expression" dxfId="117" priority="4">
      <formula>M7="$/SF"</formula>
    </cfRule>
  </conditionalFormatting>
  <conditionalFormatting sqref="V11:Z11">
    <cfRule type="expression" dxfId="116" priority="1">
      <formula>$AA$10="Interest Only"</formula>
    </cfRule>
    <cfRule type="expression" dxfId="115" priority="5">
      <formula>M11="$/SF"</formula>
    </cfRule>
  </conditionalFormatting>
  <conditionalFormatting sqref="V13:AE13">
    <cfRule type="expression" dxfId="114" priority="3">
      <formula>M13="$/SF"</formula>
    </cfRule>
  </conditionalFormatting>
  <conditionalFormatting sqref="V12:Z12">
    <cfRule type="expression" dxfId="113" priority="2">
      <formula>M12="$/SF"</formula>
    </cfRule>
  </conditionalFormatting>
  <dataValidations count="2">
    <dataValidation type="list" allowBlank="1" sqref="V7" xr:uid="{49FFC61B-2315-47EF-9701-24085203B901}">
      <formula1>"ARV,Purchase,Purchase + Repairs"</formula1>
    </dataValidation>
    <dataValidation type="list" allowBlank="1" showInputMessage="1" showErrorMessage="1" sqref="AA10:AE10" xr:uid="{8CD06AFD-1269-40A6-A832-096F6557B378}">
      <formula1>"Amortized,Interest Only"</formula1>
    </dataValidation>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wsREPORTING">
    <tabColor theme="0" tint="-4.9989318521683403E-2"/>
  </sheetPr>
  <dimension ref="C1:AN21"/>
  <sheetViews>
    <sheetView showGridLines="0" showRowColHeaders="0" zoomScaleNormal="100" workbookViewId="0">
      <pane ySplit="1" topLeftCell="A2" activePane="bottomLeft" state="frozen"/>
      <selection pane="bottomLeft" activeCell="C3" sqref="C3:AN4"/>
    </sheetView>
  </sheetViews>
  <sheetFormatPr defaultColWidth="8.8984375" defaultRowHeight="15.7"/>
  <cols>
    <col min="1" max="1" width="45.09765625" style="90" customWidth="1"/>
    <col min="2" max="2" width="2.09765625" style="90" customWidth="1"/>
    <col min="3" max="35" width="3.09765625" style="90" customWidth="1"/>
    <col min="36" max="38" width="3" style="90" customWidth="1"/>
    <col min="39" max="39" width="1.34765625" style="90" customWidth="1"/>
    <col min="40" max="40" width="2.09765625" style="90" customWidth="1"/>
    <col min="41" max="41" width="1.34765625" style="90" customWidth="1"/>
    <col min="42" max="42" width="1.09765625" style="90" customWidth="1"/>
    <col min="43" max="16384" width="8.8984375" style="90"/>
  </cols>
  <sheetData>
    <row r="1" spans="3:40" s="251" customFormat="1" ht="45" customHeight="1"/>
    <row r="2" spans="3:40" ht="12" customHeight="1"/>
    <row r="3" spans="3:40" ht="18" customHeight="1">
      <c r="C3" s="3426" t="s">
        <v>878</v>
      </c>
      <c r="D3" s="3427"/>
      <c r="E3" s="3427"/>
      <c r="F3" s="3427"/>
      <c r="G3" s="3427"/>
      <c r="H3" s="3427"/>
      <c r="I3" s="3427"/>
      <c r="J3" s="3427"/>
      <c r="K3" s="3427"/>
      <c r="L3" s="3427"/>
      <c r="M3" s="3427"/>
      <c r="N3" s="3427"/>
      <c r="O3" s="3427"/>
      <c r="P3" s="3427"/>
      <c r="Q3" s="3427"/>
      <c r="R3" s="3427"/>
      <c r="S3" s="3427"/>
      <c r="T3" s="3427"/>
      <c r="U3" s="3427"/>
      <c r="V3" s="3427"/>
      <c r="W3" s="3427"/>
      <c r="X3" s="3427"/>
      <c r="Y3" s="3427"/>
      <c r="Z3" s="3427"/>
      <c r="AA3" s="3427"/>
      <c r="AB3" s="3427"/>
      <c r="AC3" s="3427"/>
      <c r="AD3" s="3427"/>
      <c r="AE3" s="3427"/>
      <c r="AF3" s="3427"/>
      <c r="AG3" s="3427"/>
      <c r="AH3" s="3427"/>
      <c r="AI3" s="3427"/>
      <c r="AJ3" s="3427"/>
      <c r="AK3" s="3427"/>
      <c r="AL3" s="3427"/>
      <c r="AM3" s="3427"/>
      <c r="AN3" s="3428"/>
    </row>
    <row r="4" spans="3:40" ht="18" customHeight="1">
      <c r="C4" s="3429"/>
      <c r="D4" s="3430"/>
      <c r="E4" s="3430"/>
      <c r="F4" s="3430"/>
      <c r="G4" s="3430"/>
      <c r="H4" s="3430"/>
      <c r="I4" s="3430"/>
      <c r="J4" s="3430"/>
      <c r="K4" s="3430"/>
      <c r="L4" s="3430"/>
      <c r="M4" s="3430"/>
      <c r="N4" s="3430"/>
      <c r="O4" s="3430"/>
      <c r="P4" s="3430"/>
      <c r="Q4" s="3430"/>
      <c r="R4" s="3430"/>
      <c r="S4" s="3430"/>
      <c r="T4" s="3430"/>
      <c r="U4" s="3430"/>
      <c r="V4" s="3430"/>
      <c r="W4" s="3430"/>
      <c r="X4" s="3430"/>
      <c r="Y4" s="3430"/>
      <c r="Z4" s="3430"/>
      <c r="AA4" s="3430"/>
      <c r="AB4" s="3430"/>
      <c r="AC4" s="3430"/>
      <c r="AD4" s="3430"/>
      <c r="AE4" s="3430"/>
      <c r="AF4" s="3430"/>
      <c r="AG4" s="3430"/>
      <c r="AH4" s="3430"/>
      <c r="AI4" s="3430"/>
      <c r="AJ4" s="3430"/>
      <c r="AK4" s="3430"/>
      <c r="AL4" s="3430"/>
      <c r="AM4" s="3430"/>
      <c r="AN4" s="3431"/>
    </row>
    <row r="5" spans="3:40" ht="18" customHeight="1">
      <c r="C5" s="945"/>
      <c r="D5" s="945"/>
      <c r="E5" s="945"/>
      <c r="F5" s="945"/>
      <c r="G5" s="945"/>
      <c r="H5" s="945"/>
      <c r="I5" s="945"/>
      <c r="J5" s="945"/>
      <c r="K5" s="945"/>
      <c r="L5" s="945"/>
      <c r="M5" s="945"/>
      <c r="N5" s="945"/>
      <c r="O5" s="945"/>
      <c r="P5" s="945"/>
      <c r="Q5" s="945"/>
      <c r="R5" s="945"/>
      <c r="S5" s="945"/>
      <c r="T5" s="945"/>
      <c r="U5" s="945"/>
      <c r="V5" s="945"/>
      <c r="W5" s="945"/>
      <c r="X5" s="945"/>
      <c r="Y5" s="945"/>
      <c r="Z5" s="945"/>
      <c r="AA5" s="945"/>
      <c r="AB5" s="945"/>
      <c r="AC5" s="945"/>
      <c r="AD5" s="945"/>
      <c r="AE5" s="945"/>
      <c r="AF5" s="945"/>
      <c r="AG5" s="945"/>
      <c r="AH5" s="945"/>
      <c r="AI5" s="945"/>
      <c r="AJ5" s="945"/>
      <c r="AK5" s="945"/>
      <c r="AL5" s="945"/>
      <c r="AM5" s="945"/>
      <c r="AN5" s="945"/>
    </row>
    <row r="6" spans="3:40" ht="25.5" customHeight="1">
      <c r="C6" s="52"/>
      <c r="D6" s="3432" t="s">
        <v>977</v>
      </c>
      <c r="E6" s="3432"/>
      <c r="F6" s="3432"/>
      <c r="G6" s="3432"/>
      <c r="H6" s="3432"/>
      <c r="I6" s="3432"/>
      <c r="J6" s="3432"/>
      <c r="K6" s="3432"/>
      <c r="L6" s="3432"/>
      <c r="M6" s="3432"/>
      <c r="N6" s="3432"/>
      <c r="O6" s="3432"/>
      <c r="P6" s="3432"/>
      <c r="Q6" s="3432"/>
      <c r="R6" s="3432"/>
      <c r="S6" s="3432"/>
      <c r="T6" s="3432"/>
      <c r="U6" s="3432"/>
      <c r="V6" s="3432"/>
      <c r="W6" s="3432"/>
      <c r="X6" s="3432"/>
      <c r="Y6" s="3432"/>
      <c r="Z6" s="3432"/>
      <c r="AA6" s="3432"/>
      <c r="AB6" s="3432"/>
      <c r="AC6" s="3432"/>
      <c r="AD6" s="3432"/>
      <c r="AE6" s="3432"/>
      <c r="AF6" s="3432"/>
      <c r="AG6" s="3432"/>
      <c r="AH6" s="3432"/>
      <c r="AI6" s="3432"/>
      <c r="AJ6" s="3432"/>
      <c r="AK6" s="3432"/>
      <c r="AL6" s="3432"/>
      <c r="AM6" s="52"/>
      <c r="AN6" s="52"/>
    </row>
    <row r="7" spans="3:40" ht="26.25" customHeight="1">
      <c r="C7" s="52"/>
      <c r="D7" s="3424" t="s">
        <v>978</v>
      </c>
      <c r="E7" s="3424"/>
      <c r="F7" s="3424"/>
      <c r="G7" s="3424"/>
      <c r="H7" s="3424"/>
      <c r="I7" s="3424"/>
      <c r="J7" s="3424"/>
      <c r="K7" s="3424"/>
      <c r="L7" s="3424"/>
      <c r="M7" s="3424"/>
      <c r="N7" s="3425" t="s">
        <v>1549</v>
      </c>
      <c r="O7" s="3425"/>
      <c r="P7" s="3425"/>
      <c r="Q7" s="3425"/>
      <c r="R7" s="3425"/>
      <c r="S7" s="3425"/>
      <c r="T7" s="3425"/>
      <c r="U7" s="3425"/>
      <c r="V7" s="3425"/>
      <c r="W7" s="3425"/>
      <c r="X7" s="3425"/>
      <c r="Y7" s="3425"/>
      <c r="Z7" s="3425"/>
      <c r="AA7" s="3425"/>
      <c r="AB7" s="3425"/>
      <c r="AC7" s="3425"/>
      <c r="AD7" s="3425"/>
      <c r="AE7" s="3425"/>
      <c r="AF7" s="3425"/>
      <c r="AG7" s="3425"/>
      <c r="AH7" s="3425"/>
      <c r="AI7" s="3425"/>
      <c r="AJ7" s="3425"/>
      <c r="AK7" s="3425"/>
      <c r="AL7" s="3425"/>
      <c r="AM7" s="52"/>
      <c r="AN7" s="52"/>
    </row>
    <row r="8" spans="3:40" ht="26.25" customHeight="1">
      <c r="C8" s="52"/>
      <c r="D8" s="3424" t="s">
        <v>979</v>
      </c>
      <c r="E8" s="3424"/>
      <c r="F8" s="3424"/>
      <c r="G8" s="3424"/>
      <c r="H8" s="3424"/>
      <c r="I8" s="3424"/>
      <c r="J8" s="3424"/>
      <c r="K8" s="3424"/>
      <c r="L8" s="3424"/>
      <c r="M8" s="3424"/>
      <c r="N8" s="3425" t="s">
        <v>1554</v>
      </c>
      <c r="O8" s="3425"/>
      <c r="P8" s="3425"/>
      <c r="Q8" s="3425"/>
      <c r="R8" s="3425"/>
      <c r="S8" s="3425"/>
      <c r="T8" s="3425"/>
      <c r="U8" s="3425"/>
      <c r="V8" s="3425"/>
      <c r="W8" s="3425"/>
      <c r="X8" s="3425"/>
      <c r="Y8" s="3425"/>
      <c r="Z8" s="3425"/>
      <c r="AA8" s="3425"/>
      <c r="AB8" s="3425"/>
      <c r="AC8" s="3425"/>
      <c r="AD8" s="3425"/>
      <c r="AE8" s="3425"/>
      <c r="AF8" s="3425"/>
      <c r="AG8" s="3425"/>
      <c r="AH8" s="3425"/>
      <c r="AI8" s="3425"/>
      <c r="AJ8" s="3425"/>
      <c r="AK8" s="3425"/>
      <c r="AL8" s="3425"/>
      <c r="AM8" s="52"/>
      <c r="AN8" s="52"/>
    </row>
    <row r="9" spans="3:40" ht="26.25" customHeight="1">
      <c r="C9" s="52"/>
      <c r="D9" s="3424" t="s">
        <v>967</v>
      </c>
      <c r="E9" s="3424"/>
      <c r="F9" s="3424"/>
      <c r="G9" s="3424"/>
      <c r="H9" s="3424"/>
      <c r="I9" s="3424"/>
      <c r="J9" s="3424"/>
      <c r="K9" s="3424"/>
      <c r="L9" s="3424"/>
      <c r="M9" s="3424"/>
      <c r="N9" s="3425" t="s">
        <v>1548</v>
      </c>
      <c r="O9" s="3425"/>
      <c r="P9" s="3425"/>
      <c r="Q9" s="3425"/>
      <c r="R9" s="3425"/>
      <c r="S9" s="3425"/>
      <c r="T9" s="3425"/>
      <c r="U9" s="3425"/>
      <c r="V9" s="3425"/>
      <c r="W9" s="3425"/>
      <c r="X9" s="3425"/>
      <c r="Y9" s="3425"/>
      <c r="Z9" s="3425"/>
      <c r="AA9" s="3425"/>
      <c r="AB9" s="3425"/>
      <c r="AC9" s="3425"/>
      <c r="AD9" s="3425"/>
      <c r="AE9" s="3425"/>
      <c r="AF9" s="3425"/>
      <c r="AG9" s="3425"/>
      <c r="AH9" s="3425"/>
      <c r="AI9" s="3425"/>
      <c r="AJ9" s="3425"/>
      <c r="AK9" s="3425"/>
      <c r="AL9" s="3425"/>
      <c r="AM9" s="52"/>
      <c r="AN9" s="52"/>
    </row>
    <row r="10" spans="3:40" ht="26.25" customHeight="1">
      <c r="C10" s="52"/>
      <c r="D10" s="3424" t="s">
        <v>1546</v>
      </c>
      <c r="E10" s="3424"/>
      <c r="F10" s="3424"/>
      <c r="G10" s="3424"/>
      <c r="H10" s="3424"/>
      <c r="I10" s="3424"/>
      <c r="J10" s="3424"/>
      <c r="K10" s="3424"/>
      <c r="L10" s="3424"/>
      <c r="M10" s="3424"/>
      <c r="N10" s="3425" t="s">
        <v>1547</v>
      </c>
      <c r="O10" s="3425"/>
      <c r="P10" s="3425"/>
      <c r="Q10" s="3425"/>
      <c r="R10" s="3425"/>
      <c r="S10" s="3425"/>
      <c r="T10" s="3425"/>
      <c r="U10" s="3425"/>
      <c r="V10" s="3425"/>
      <c r="W10" s="3425"/>
      <c r="X10" s="3425"/>
      <c r="Y10" s="3425"/>
      <c r="Z10" s="3425"/>
      <c r="AA10" s="3425"/>
      <c r="AB10" s="3425"/>
      <c r="AC10" s="3425"/>
      <c r="AD10" s="3425"/>
      <c r="AE10" s="3425"/>
      <c r="AF10" s="3425"/>
      <c r="AG10" s="3425"/>
      <c r="AH10" s="3425"/>
      <c r="AI10" s="3425"/>
      <c r="AJ10" s="3425"/>
      <c r="AK10" s="3425"/>
      <c r="AL10" s="3425"/>
      <c r="AM10" s="52"/>
      <c r="AN10" s="52"/>
    </row>
    <row r="11" spans="3:40" ht="26.25" customHeight="1">
      <c r="C11" s="52"/>
      <c r="D11" s="3424" t="s">
        <v>975</v>
      </c>
      <c r="E11" s="3424"/>
      <c r="F11" s="3424"/>
      <c r="G11" s="3424"/>
      <c r="H11" s="3424"/>
      <c r="I11" s="3424"/>
      <c r="J11" s="3424"/>
      <c r="K11" s="3424"/>
      <c r="L11" s="3424"/>
      <c r="M11" s="3424"/>
      <c r="N11" s="3425" t="s">
        <v>1550</v>
      </c>
      <c r="O11" s="3425"/>
      <c r="P11" s="3425"/>
      <c r="Q11" s="3425"/>
      <c r="R11" s="3425"/>
      <c r="S11" s="3425"/>
      <c r="T11" s="3425"/>
      <c r="U11" s="3425"/>
      <c r="V11" s="3425"/>
      <c r="W11" s="3425"/>
      <c r="X11" s="3425"/>
      <c r="Y11" s="3425"/>
      <c r="Z11" s="3425"/>
      <c r="AA11" s="3425"/>
      <c r="AB11" s="3425"/>
      <c r="AC11" s="3425"/>
      <c r="AD11" s="3425"/>
      <c r="AE11" s="3425"/>
      <c r="AF11" s="3425"/>
      <c r="AG11" s="3425"/>
      <c r="AH11" s="3425"/>
      <c r="AI11" s="3425"/>
      <c r="AJ11" s="3425"/>
      <c r="AK11" s="3425"/>
      <c r="AL11" s="3425"/>
      <c r="AM11" s="52"/>
      <c r="AN11" s="52"/>
    </row>
    <row r="12" spans="3:40" ht="26.25" customHeight="1">
      <c r="C12" s="52"/>
      <c r="D12" s="3424" t="s">
        <v>494</v>
      </c>
      <c r="E12" s="3424"/>
      <c r="F12" s="3424"/>
      <c r="G12" s="3424"/>
      <c r="H12" s="3424"/>
      <c r="I12" s="3424"/>
      <c r="J12" s="3424"/>
      <c r="K12" s="3424"/>
      <c r="L12" s="3424"/>
      <c r="M12" s="3424"/>
      <c r="N12" s="3425" t="s">
        <v>980</v>
      </c>
      <c r="O12" s="3425"/>
      <c r="P12" s="3425"/>
      <c r="Q12" s="3425"/>
      <c r="R12" s="3425"/>
      <c r="S12" s="3425"/>
      <c r="T12" s="3425"/>
      <c r="U12" s="3425"/>
      <c r="V12" s="3425"/>
      <c r="W12" s="3425"/>
      <c r="X12" s="3425"/>
      <c r="Y12" s="3425"/>
      <c r="Z12" s="3425"/>
      <c r="AA12" s="3425"/>
      <c r="AB12" s="3425"/>
      <c r="AC12" s="3425"/>
      <c r="AD12" s="3425"/>
      <c r="AE12" s="3425"/>
      <c r="AF12" s="3425"/>
      <c r="AG12" s="3425"/>
      <c r="AH12" s="3425"/>
      <c r="AI12" s="3425"/>
      <c r="AJ12" s="3425"/>
      <c r="AK12" s="3425"/>
      <c r="AL12" s="3425"/>
      <c r="AM12" s="52"/>
      <c r="AN12" s="52"/>
    </row>
    <row r="13" spans="3:40" ht="26.25" customHeight="1">
      <c r="C13" s="52"/>
      <c r="D13" s="3424" t="s">
        <v>1359</v>
      </c>
      <c r="E13" s="3424"/>
      <c r="F13" s="3424"/>
      <c r="G13" s="3424"/>
      <c r="H13" s="3424"/>
      <c r="I13" s="3424"/>
      <c r="J13" s="3424"/>
      <c r="K13" s="3424"/>
      <c r="L13" s="3424"/>
      <c r="M13" s="3424"/>
      <c r="N13" s="3425" t="s">
        <v>1552</v>
      </c>
      <c r="O13" s="3425"/>
      <c r="P13" s="3425"/>
      <c r="Q13" s="3425"/>
      <c r="R13" s="3425"/>
      <c r="S13" s="3425"/>
      <c r="T13" s="3425"/>
      <c r="U13" s="3425"/>
      <c r="V13" s="3425"/>
      <c r="W13" s="3425"/>
      <c r="X13" s="3425"/>
      <c r="Y13" s="3425"/>
      <c r="Z13" s="3425"/>
      <c r="AA13" s="3425"/>
      <c r="AB13" s="3425"/>
      <c r="AC13" s="3425"/>
      <c r="AD13" s="3425"/>
      <c r="AE13" s="3425"/>
      <c r="AF13" s="3425"/>
      <c r="AG13" s="3425"/>
      <c r="AH13" s="3425"/>
      <c r="AI13" s="3425"/>
      <c r="AJ13" s="3425"/>
      <c r="AK13" s="3425"/>
      <c r="AL13" s="3425"/>
      <c r="AM13" s="52"/>
      <c r="AN13" s="52"/>
    </row>
    <row r="14" spans="3:40" ht="26.25" customHeight="1">
      <c r="C14" s="52"/>
      <c r="D14" s="3432" t="s">
        <v>971</v>
      </c>
      <c r="E14" s="3432"/>
      <c r="F14" s="3432"/>
      <c r="G14" s="3432"/>
      <c r="H14" s="3432"/>
      <c r="I14" s="3432"/>
      <c r="J14" s="3432"/>
      <c r="K14" s="3432"/>
      <c r="L14" s="3432"/>
      <c r="M14" s="3432"/>
      <c r="N14" s="3432"/>
      <c r="O14" s="3432"/>
      <c r="P14" s="3432"/>
      <c r="Q14" s="3432"/>
      <c r="R14" s="3432"/>
      <c r="S14" s="3432"/>
      <c r="T14" s="3432"/>
      <c r="U14" s="3432"/>
      <c r="V14" s="3432"/>
      <c r="W14" s="3432"/>
      <c r="X14" s="3432"/>
      <c r="Y14" s="3432"/>
      <c r="Z14" s="3432"/>
      <c r="AA14" s="3432"/>
      <c r="AB14" s="3432"/>
      <c r="AC14" s="3432"/>
      <c r="AD14" s="3432"/>
      <c r="AE14" s="3432"/>
      <c r="AF14" s="3432"/>
      <c r="AG14" s="3432"/>
      <c r="AH14" s="3432"/>
      <c r="AI14" s="3432"/>
      <c r="AJ14" s="3432"/>
      <c r="AK14" s="3432"/>
      <c r="AL14" s="3432"/>
      <c r="AM14" s="52"/>
      <c r="AN14" s="52"/>
    </row>
    <row r="15" spans="3:40" ht="26.25" customHeight="1">
      <c r="C15" s="52"/>
      <c r="D15" s="3424" t="s">
        <v>971</v>
      </c>
      <c r="E15" s="3424"/>
      <c r="F15" s="3424"/>
      <c r="G15" s="3424"/>
      <c r="H15" s="3424"/>
      <c r="I15" s="3424"/>
      <c r="J15" s="3424"/>
      <c r="K15" s="3424"/>
      <c r="L15" s="3424"/>
      <c r="M15" s="3424"/>
      <c r="N15" s="3425" t="s">
        <v>1551</v>
      </c>
      <c r="O15" s="3425"/>
      <c r="P15" s="3425"/>
      <c r="Q15" s="3425"/>
      <c r="R15" s="3425"/>
      <c r="S15" s="3425"/>
      <c r="T15" s="3425"/>
      <c r="U15" s="3425"/>
      <c r="V15" s="3425"/>
      <c r="W15" s="3425"/>
      <c r="X15" s="3425"/>
      <c r="Y15" s="3425"/>
      <c r="Z15" s="3425"/>
      <c r="AA15" s="3425"/>
      <c r="AB15" s="3425"/>
      <c r="AC15" s="3425"/>
      <c r="AD15" s="3425"/>
      <c r="AE15" s="3425"/>
      <c r="AF15" s="3425"/>
      <c r="AG15" s="3425"/>
      <c r="AH15" s="3425"/>
      <c r="AI15" s="3425"/>
      <c r="AJ15" s="3425"/>
      <c r="AK15" s="3425"/>
      <c r="AL15" s="3425"/>
      <c r="AM15" s="52"/>
      <c r="AN15" s="52"/>
    </row>
    <row r="16" spans="3:40" ht="26.25" customHeight="1">
      <c r="C16" s="52"/>
      <c r="D16" s="3432" t="s">
        <v>976</v>
      </c>
      <c r="E16" s="3432"/>
      <c r="F16" s="3432"/>
      <c r="G16" s="3432"/>
      <c r="H16" s="3432"/>
      <c r="I16" s="3432"/>
      <c r="J16" s="3432"/>
      <c r="K16" s="3432"/>
      <c r="L16" s="3432"/>
      <c r="M16" s="3432"/>
      <c r="N16" s="3432"/>
      <c r="O16" s="3432"/>
      <c r="P16" s="3432"/>
      <c r="Q16" s="3432"/>
      <c r="R16" s="3432"/>
      <c r="S16" s="3432"/>
      <c r="T16" s="3432"/>
      <c r="U16" s="3432"/>
      <c r="V16" s="3432"/>
      <c r="W16" s="3432"/>
      <c r="X16" s="3432"/>
      <c r="Y16" s="3432"/>
      <c r="Z16" s="3432"/>
      <c r="AA16" s="3432"/>
      <c r="AB16" s="3432"/>
      <c r="AC16" s="3432"/>
      <c r="AD16" s="3432"/>
      <c r="AE16" s="3432"/>
      <c r="AF16" s="3432"/>
      <c r="AG16" s="3432"/>
      <c r="AH16" s="3432"/>
      <c r="AI16" s="3432"/>
      <c r="AJ16" s="3432"/>
      <c r="AK16" s="3432"/>
      <c r="AL16" s="3432"/>
      <c r="AM16" s="52"/>
      <c r="AN16" s="52"/>
    </row>
    <row r="17" spans="3:40" ht="26.25" customHeight="1">
      <c r="C17" s="52"/>
      <c r="D17" s="3424" t="s">
        <v>976</v>
      </c>
      <c r="E17" s="3424"/>
      <c r="F17" s="3424"/>
      <c r="G17" s="3424"/>
      <c r="H17" s="3424"/>
      <c r="I17" s="3424"/>
      <c r="J17" s="3424"/>
      <c r="K17" s="3424"/>
      <c r="L17" s="3424"/>
      <c r="M17" s="3424"/>
      <c r="N17" s="3425" t="s">
        <v>1553</v>
      </c>
      <c r="O17" s="3425"/>
      <c r="P17" s="3425"/>
      <c r="Q17" s="3425"/>
      <c r="R17" s="3425"/>
      <c r="S17" s="3425"/>
      <c r="T17" s="3425"/>
      <c r="U17" s="3425"/>
      <c r="V17" s="3425"/>
      <c r="W17" s="3425"/>
      <c r="X17" s="3425"/>
      <c r="Y17" s="3425"/>
      <c r="Z17" s="3425"/>
      <c r="AA17" s="3425"/>
      <c r="AB17" s="3425"/>
      <c r="AC17" s="3425"/>
      <c r="AD17" s="3425"/>
      <c r="AE17" s="3425"/>
      <c r="AF17" s="3425"/>
      <c r="AG17" s="3425"/>
      <c r="AH17" s="3425"/>
      <c r="AI17" s="3425"/>
      <c r="AJ17" s="3425"/>
      <c r="AK17" s="3425"/>
      <c r="AL17" s="3425"/>
      <c r="AM17" s="52"/>
      <c r="AN17" s="52"/>
    </row>
    <row r="18" spans="3:40" ht="18" customHeight="1">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row>
    <row r="19" spans="3:40" ht="12" customHeight="1"/>
    <row r="20" spans="3:40" ht="15" customHeight="1">
      <c r="C20" s="3433" t="s">
        <v>1607</v>
      </c>
      <c r="D20" s="3433"/>
      <c r="E20" s="3433"/>
      <c r="F20" s="3433"/>
      <c r="G20" s="3433"/>
      <c r="H20" s="3433"/>
      <c r="I20" s="3433"/>
      <c r="J20" s="3433"/>
      <c r="K20" s="3433"/>
      <c r="L20" s="3433"/>
      <c r="M20" s="3433"/>
      <c r="N20" s="3433"/>
      <c r="O20" s="3433"/>
      <c r="P20" s="3433"/>
      <c r="Q20" s="3433"/>
      <c r="R20" s="3433"/>
      <c r="S20" s="3433"/>
      <c r="T20" s="3433"/>
      <c r="U20" s="3433"/>
      <c r="V20" s="3433"/>
      <c r="W20" s="3433"/>
      <c r="X20" s="3433"/>
      <c r="Y20" s="3433"/>
      <c r="Z20" s="3433"/>
      <c r="AA20" s="3433"/>
      <c r="AB20" s="3433"/>
      <c r="AC20" s="3433"/>
      <c r="AD20" s="3433"/>
      <c r="AE20" s="3433"/>
      <c r="AF20" s="3433"/>
      <c r="AG20" s="3433"/>
      <c r="AH20" s="3433"/>
      <c r="AI20" s="3433"/>
      <c r="AJ20" s="3433"/>
      <c r="AK20" s="3433"/>
      <c r="AL20" s="3433"/>
      <c r="AM20" s="3433"/>
      <c r="AN20" s="3433"/>
    </row>
    <row r="21" spans="3:40" ht="15" customHeight="1">
      <c r="C21" s="3433"/>
      <c r="D21" s="3433"/>
      <c r="E21" s="3433"/>
      <c r="F21" s="3433"/>
      <c r="G21" s="3433"/>
      <c r="H21" s="3433"/>
      <c r="I21" s="3433"/>
      <c r="J21" s="3433"/>
      <c r="K21" s="3433"/>
      <c r="L21" s="3433"/>
      <c r="M21" s="3433"/>
      <c r="N21" s="3433"/>
      <c r="O21" s="3433"/>
      <c r="P21" s="3433"/>
      <c r="Q21" s="3433"/>
      <c r="R21" s="3433"/>
      <c r="S21" s="3433"/>
      <c r="T21" s="3433"/>
      <c r="U21" s="3433"/>
      <c r="V21" s="3433"/>
      <c r="W21" s="3433"/>
      <c r="X21" s="3433"/>
      <c r="Y21" s="3433"/>
      <c r="Z21" s="3433"/>
      <c r="AA21" s="3433"/>
      <c r="AB21" s="3433"/>
      <c r="AC21" s="3433"/>
      <c r="AD21" s="3433"/>
      <c r="AE21" s="3433"/>
      <c r="AF21" s="3433"/>
      <c r="AG21" s="3433"/>
      <c r="AH21" s="3433"/>
      <c r="AI21" s="3433"/>
      <c r="AJ21" s="3433"/>
      <c r="AK21" s="3433"/>
      <c r="AL21" s="3433"/>
      <c r="AM21" s="3433"/>
      <c r="AN21" s="3433"/>
    </row>
  </sheetData>
  <sheetProtection algorithmName="SHA-512" hashValue="+j6ojBpi8JyscpMiPv8gHhqIL4VJROepKUdk0TPKPhrxqmVJzpj4GiCidB0bC4PKCjTBnVp/GWFFJVH2JKiGUA==" saltValue="FtjJu5x9/9pKC7/OM5repg==" spinCount="100000" sheet="1" objects="1" formatCells="0" formatColumns="0" formatRows="0" insertHyperlinks="0" selectLockedCells="1" sort="0" autoFilter="0"/>
  <mergeCells count="23">
    <mergeCell ref="C20:AN21"/>
    <mergeCell ref="D15:M15"/>
    <mergeCell ref="N15:AL15"/>
    <mergeCell ref="D16:AL16"/>
    <mergeCell ref="D17:M17"/>
    <mergeCell ref="N17:AL17"/>
    <mergeCell ref="D14:AL14"/>
    <mergeCell ref="D11:M11"/>
    <mergeCell ref="N11:AL11"/>
    <mergeCell ref="D12:M12"/>
    <mergeCell ref="N12:AL12"/>
    <mergeCell ref="D13:M13"/>
    <mergeCell ref="N13:AL13"/>
    <mergeCell ref="D10:M10"/>
    <mergeCell ref="N10:AL10"/>
    <mergeCell ref="C3:AN4"/>
    <mergeCell ref="D7:M7"/>
    <mergeCell ref="D8:M8"/>
    <mergeCell ref="D9:M9"/>
    <mergeCell ref="N7:AL7"/>
    <mergeCell ref="N8:AL8"/>
    <mergeCell ref="N9:AL9"/>
    <mergeCell ref="D6:AL6"/>
  </mergeCells>
  <pageMargins left="0.7" right="0.7" top="0.75" bottom="0.75" header="0.3" footer="0.3"/>
  <pageSetup scale="61" fitToWidth="0" fitToHeight="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wsLISTS">
    <tabColor theme="1" tint="0.249977111117893"/>
    <pageSetUpPr fitToPage="1"/>
  </sheetPr>
  <dimension ref="A1:M451"/>
  <sheetViews>
    <sheetView workbookViewId="0"/>
  </sheetViews>
  <sheetFormatPr defaultColWidth="8.8984375" defaultRowHeight="15.7"/>
  <cols>
    <col min="1" max="3" width="2" style="53" customWidth="1"/>
    <col min="4" max="4" width="13.796875" style="53" bestFit="1" customWidth="1"/>
    <col min="5" max="5" width="2" style="53" customWidth="1"/>
    <col min="6" max="6" width="7.19921875" style="53" bestFit="1" customWidth="1"/>
    <col min="7" max="7" width="2" style="53" customWidth="1"/>
    <col min="8" max="8" width="15" style="53" bestFit="1" customWidth="1"/>
    <col min="9" max="9" width="2" style="53" customWidth="1"/>
    <col min="10" max="10" width="20.19921875" style="53" customWidth="1"/>
    <col min="11" max="11" width="2" style="53" customWidth="1"/>
    <col min="12" max="12" width="8.8984375" style="53"/>
    <col min="13" max="13" width="14.44921875" style="53" customWidth="1"/>
    <col min="14" max="16384" width="8.8984375" style="53"/>
  </cols>
  <sheetData>
    <row r="1" spans="2:13" s="63" customFormat="1" ht="37.5" customHeight="1">
      <c r="C1" s="1465" t="s">
        <v>382</v>
      </c>
      <c r="D1" s="1465"/>
      <c r="E1" s="1465"/>
      <c r="F1" s="1465"/>
      <c r="G1" s="1465"/>
      <c r="H1" s="1465"/>
      <c r="I1" s="1465"/>
      <c r="J1" s="1465"/>
      <c r="K1" s="1465"/>
    </row>
    <row r="2" spans="2:13" s="30" customFormat="1" ht="7.5" customHeight="1" thickBot="1">
      <c r="E2" s="54"/>
      <c r="F2" s="54"/>
      <c r="G2" s="54"/>
      <c r="H2" s="54"/>
      <c r="I2" s="54"/>
      <c r="J2" s="54"/>
      <c r="K2" s="54"/>
    </row>
    <row r="3" spans="2:13" ht="11.25" customHeight="1">
      <c r="B3" s="1464"/>
      <c r="C3" s="55"/>
      <c r="D3" s="56"/>
      <c r="E3" s="56"/>
      <c r="F3" s="56"/>
      <c r="G3" s="56"/>
      <c r="H3" s="56"/>
      <c r="I3" s="56"/>
      <c r="J3" s="56"/>
      <c r="K3" s="56"/>
    </row>
    <row r="4" spans="2:13" ht="11.25" customHeight="1">
      <c r="B4" s="1464"/>
      <c r="C4" s="57"/>
      <c r="D4" s="271" t="s">
        <v>526</v>
      </c>
      <c r="E4" s="58"/>
      <c r="F4" s="58"/>
      <c r="G4" s="58"/>
      <c r="H4" s="58"/>
      <c r="I4" s="58"/>
      <c r="J4" s="58"/>
      <c r="K4" s="58"/>
    </row>
    <row r="5" spans="2:13" ht="11.25" customHeight="1">
      <c r="B5" s="1464"/>
      <c r="C5" s="57"/>
      <c r="D5" s="269" t="s">
        <v>376</v>
      </c>
      <c r="E5" s="58"/>
      <c r="F5" s="269" t="s">
        <v>900</v>
      </c>
      <c r="G5" s="58"/>
      <c r="H5" s="58"/>
      <c r="I5" s="58"/>
      <c r="J5" s="58"/>
      <c r="K5" s="58"/>
      <c r="M5" s="664" t="s">
        <v>362</v>
      </c>
    </row>
    <row r="6" spans="2:13" ht="11.25" customHeight="1">
      <c r="B6" s="1464"/>
      <c r="C6" s="57"/>
      <c r="D6" s="269" t="s">
        <v>377</v>
      </c>
      <c r="E6" s="58"/>
      <c r="F6" s="269" t="s">
        <v>901</v>
      </c>
      <c r="G6" s="58"/>
      <c r="H6" s="58"/>
      <c r="I6" s="58"/>
      <c r="J6" s="58"/>
      <c r="K6" s="58"/>
      <c r="M6" s="664"/>
    </row>
    <row r="7" spans="2:13" ht="11.25" customHeight="1">
      <c r="B7" s="1464"/>
      <c r="C7" s="57"/>
      <c r="D7" s="58"/>
      <c r="E7" s="58"/>
      <c r="F7" s="58"/>
      <c r="G7" s="58"/>
      <c r="H7" s="58"/>
      <c r="I7" s="58"/>
      <c r="J7" s="58"/>
      <c r="K7" s="58"/>
      <c r="M7" s="269" t="s">
        <v>363</v>
      </c>
    </row>
    <row r="8" spans="2:13" ht="11.25" customHeight="1">
      <c r="B8" s="1464"/>
      <c r="C8" s="57"/>
      <c r="D8" s="273" t="s">
        <v>525</v>
      </c>
      <c r="M8" s="269" t="s">
        <v>360</v>
      </c>
    </row>
    <row r="9" spans="2:13" ht="16.5" customHeight="1">
      <c r="B9" s="268"/>
      <c r="C9" s="57"/>
      <c r="D9" s="269" t="s">
        <v>527</v>
      </c>
      <c r="F9" s="267">
        <v>1.1499999999999999</v>
      </c>
      <c r="H9" s="269" t="s">
        <v>532</v>
      </c>
      <c r="J9" s="270" t="s">
        <v>613</v>
      </c>
      <c r="M9" s="269" t="s">
        <v>364</v>
      </c>
    </row>
    <row r="10" spans="2:13" ht="16.5" customHeight="1">
      <c r="B10" s="1464"/>
      <c r="C10" s="57"/>
      <c r="D10" s="269" t="s">
        <v>528</v>
      </c>
      <c r="F10" s="267">
        <v>1.1399999999999999</v>
      </c>
      <c r="H10" s="269" t="s">
        <v>534</v>
      </c>
      <c r="J10" s="269" t="s">
        <v>614</v>
      </c>
      <c r="M10" s="269" t="s">
        <v>365</v>
      </c>
    </row>
    <row r="11" spans="2:13" ht="16.5" customHeight="1">
      <c r="B11" s="1464"/>
      <c r="C11" s="57"/>
      <c r="D11" s="269" t="s">
        <v>529</v>
      </c>
      <c r="F11" s="267">
        <v>1.1299999999999999</v>
      </c>
      <c r="H11" s="269" t="s">
        <v>536</v>
      </c>
      <c r="J11" s="269" t="s">
        <v>534</v>
      </c>
      <c r="M11" s="269" t="s">
        <v>366</v>
      </c>
    </row>
    <row r="12" spans="2:13" ht="16.5" customHeight="1">
      <c r="B12" s="1464"/>
      <c r="C12" s="57"/>
      <c r="D12" s="269" t="s">
        <v>530</v>
      </c>
      <c r="F12" s="267">
        <v>1.1200000000000001</v>
      </c>
      <c r="H12" s="269" t="s">
        <v>538</v>
      </c>
      <c r="J12" s="269" t="s">
        <v>615</v>
      </c>
      <c r="M12" s="664"/>
    </row>
    <row r="13" spans="2:13" ht="16.5" customHeight="1">
      <c r="B13" s="1464"/>
      <c r="C13" s="57"/>
      <c r="D13" s="269" t="s">
        <v>531</v>
      </c>
      <c r="F13" s="267">
        <v>1.1100000000000001</v>
      </c>
      <c r="H13" s="269" t="s">
        <v>503</v>
      </c>
      <c r="J13" s="269" t="s">
        <v>616</v>
      </c>
      <c r="M13" s="269" t="s">
        <v>367</v>
      </c>
    </row>
    <row r="14" spans="2:13" ht="16.5" customHeight="1">
      <c r="B14" s="1464"/>
      <c r="C14" s="57"/>
      <c r="D14" s="269" t="s">
        <v>533</v>
      </c>
      <c r="F14" s="267">
        <v>1.1000000000000001</v>
      </c>
      <c r="H14" s="269" t="s">
        <v>541</v>
      </c>
      <c r="J14" s="269" t="s">
        <v>617</v>
      </c>
      <c r="M14" s="269" t="s">
        <v>359</v>
      </c>
    </row>
    <row r="15" spans="2:13" ht="16.5" customHeight="1">
      <c r="B15" s="1464"/>
      <c r="C15" s="57"/>
      <c r="D15" s="269" t="s">
        <v>535</v>
      </c>
      <c r="F15" s="267">
        <v>1.0900000000000001</v>
      </c>
      <c r="H15" s="269" t="s">
        <v>34</v>
      </c>
      <c r="J15" s="269" t="s">
        <v>34</v>
      </c>
      <c r="M15" s="269" t="s">
        <v>369</v>
      </c>
    </row>
    <row r="16" spans="2:13" ht="16.5" customHeight="1">
      <c r="B16" s="1464"/>
      <c r="C16" s="57"/>
      <c r="D16" s="269" t="s">
        <v>537</v>
      </c>
      <c r="F16" s="267">
        <v>1.08</v>
      </c>
      <c r="M16" s="269" t="s">
        <v>370</v>
      </c>
    </row>
    <row r="17" spans="1:13" ht="16.5" customHeight="1">
      <c r="B17" s="1464"/>
      <c r="C17" s="57"/>
      <c r="D17" s="269" t="s">
        <v>539</v>
      </c>
      <c r="F17" s="267">
        <v>1.07</v>
      </c>
      <c r="H17" s="269" t="s">
        <v>546</v>
      </c>
      <c r="J17" s="269" t="s">
        <v>865</v>
      </c>
      <c r="M17" s="269" t="s">
        <v>368</v>
      </c>
    </row>
    <row r="18" spans="1:13" ht="16.5" customHeight="1">
      <c r="B18" s="1464"/>
      <c r="C18" s="57"/>
      <c r="D18" s="269" t="s">
        <v>540</v>
      </c>
      <c r="F18" s="267">
        <v>1.06</v>
      </c>
      <c r="H18" s="269" t="s">
        <v>463</v>
      </c>
      <c r="J18" s="269" t="s">
        <v>960</v>
      </c>
      <c r="M18" s="269" t="s">
        <v>371</v>
      </c>
    </row>
    <row r="19" spans="1:13" s="30" customFormat="1" ht="16.5" customHeight="1">
      <c r="B19" s="1464"/>
      <c r="C19" s="57"/>
      <c r="D19" s="269" t="s">
        <v>542</v>
      </c>
      <c r="F19" s="267">
        <v>1.05</v>
      </c>
      <c r="H19" s="269" t="s">
        <v>504</v>
      </c>
      <c r="M19" s="664"/>
    </row>
    <row r="20" spans="1:13" s="30" customFormat="1" ht="16.5" customHeight="1">
      <c r="A20" s="59"/>
      <c r="B20" s="1464"/>
      <c r="C20" s="57"/>
      <c r="D20" s="269" t="s">
        <v>543</v>
      </c>
      <c r="F20" s="267">
        <v>1.04</v>
      </c>
      <c r="M20" s="269" t="s">
        <v>361</v>
      </c>
    </row>
    <row r="21" spans="1:13" s="30" customFormat="1" ht="16.5" customHeight="1">
      <c r="A21" s="59"/>
      <c r="B21" s="1464"/>
      <c r="C21" s="57"/>
      <c r="D21" s="269" t="s">
        <v>544</v>
      </c>
      <c r="F21" s="267">
        <v>1.03</v>
      </c>
      <c r="H21" s="272" t="s">
        <v>385</v>
      </c>
      <c r="J21" s="269" t="s">
        <v>872</v>
      </c>
      <c r="M21" s="269" t="s">
        <v>373</v>
      </c>
    </row>
    <row r="22" spans="1:13" s="30" customFormat="1" ht="16.5" customHeight="1">
      <c r="A22" s="59"/>
      <c r="B22" s="1464"/>
      <c r="C22" s="57"/>
      <c r="D22" s="269" t="s">
        <v>545</v>
      </c>
      <c r="F22" s="267">
        <v>1.02</v>
      </c>
      <c r="H22" s="272" t="s">
        <v>386</v>
      </c>
      <c r="J22" s="269" t="s">
        <v>898</v>
      </c>
      <c r="M22" s="269" t="s">
        <v>375</v>
      </c>
    </row>
    <row r="23" spans="1:13" s="30" customFormat="1" ht="16.5" customHeight="1">
      <c r="A23" s="59"/>
      <c r="B23" s="1464"/>
      <c r="C23" s="57"/>
      <c r="D23" s="269" t="s">
        <v>547</v>
      </c>
      <c r="F23" s="267">
        <v>1.01</v>
      </c>
      <c r="H23" s="272" t="s">
        <v>387</v>
      </c>
      <c r="M23" s="664"/>
    </row>
    <row r="24" spans="1:13" s="30" customFormat="1" ht="16.5" customHeight="1">
      <c r="B24" s="1464"/>
      <c r="C24" s="57"/>
      <c r="D24" s="269" t="s">
        <v>548</v>
      </c>
      <c r="F24" s="267">
        <v>1</v>
      </c>
      <c r="H24" s="272" t="s">
        <v>388</v>
      </c>
      <c r="J24" s="269" t="s">
        <v>1393</v>
      </c>
      <c r="M24" s="269" t="s">
        <v>374</v>
      </c>
    </row>
    <row r="25" spans="1:13" s="30" customFormat="1" ht="16.5" customHeight="1">
      <c r="A25" s="59"/>
      <c r="B25" s="1464"/>
      <c r="C25" s="57"/>
      <c r="D25" s="269" t="s">
        <v>549</v>
      </c>
      <c r="F25" s="267">
        <v>0.99</v>
      </c>
      <c r="H25" s="272" t="s">
        <v>464</v>
      </c>
      <c r="J25" s="269" t="s">
        <v>1394</v>
      </c>
      <c r="M25" s="269" t="s">
        <v>378</v>
      </c>
    </row>
    <row r="26" spans="1:13" s="30" customFormat="1" ht="16.5" customHeight="1">
      <c r="A26" s="59"/>
      <c r="B26" s="1464"/>
      <c r="C26" s="57"/>
      <c r="D26" s="269" t="s">
        <v>550</v>
      </c>
      <c r="F26" s="267">
        <v>0.98</v>
      </c>
      <c r="H26" s="272" t="s">
        <v>389</v>
      </c>
      <c r="M26" s="269" t="s">
        <v>379</v>
      </c>
    </row>
    <row r="27" spans="1:13" s="30" customFormat="1" ht="16.5" customHeight="1">
      <c r="B27" s="1464"/>
      <c r="C27" s="57"/>
      <c r="D27" s="269" t="s">
        <v>551</v>
      </c>
      <c r="F27" s="267">
        <v>0.97</v>
      </c>
      <c r="H27" s="272" t="s">
        <v>390</v>
      </c>
      <c r="M27" s="269" t="s">
        <v>380</v>
      </c>
    </row>
    <row r="28" spans="1:13" ht="16.5" customHeight="1">
      <c r="B28" s="1464"/>
      <c r="C28" s="57"/>
      <c r="D28" s="269" t="s">
        <v>552</v>
      </c>
      <c r="F28" s="267">
        <v>0.96</v>
      </c>
      <c r="H28" s="272" t="s">
        <v>391</v>
      </c>
      <c r="M28" s="269" t="s">
        <v>584</v>
      </c>
    </row>
    <row r="29" spans="1:13" s="30" customFormat="1" ht="16.5" customHeight="1">
      <c r="B29" s="1464"/>
      <c r="C29" s="57"/>
      <c r="D29" s="269" t="s">
        <v>553</v>
      </c>
      <c r="F29" s="267">
        <v>0.95</v>
      </c>
      <c r="H29" s="272" t="s">
        <v>465</v>
      </c>
      <c r="M29" s="269" t="s">
        <v>394</v>
      </c>
    </row>
    <row r="30" spans="1:13" s="30" customFormat="1" ht="16.5" customHeight="1">
      <c r="B30" s="1464"/>
      <c r="C30" s="57"/>
      <c r="D30" s="269" t="s">
        <v>554</v>
      </c>
      <c r="F30" s="267">
        <v>0.94</v>
      </c>
      <c r="H30" s="272" t="s">
        <v>466</v>
      </c>
      <c r="M30" s="664"/>
    </row>
    <row r="31" spans="1:13" s="30" customFormat="1" ht="16.5" customHeight="1">
      <c r="B31" s="1464"/>
      <c r="C31" s="57"/>
      <c r="D31" s="269" t="s">
        <v>555</v>
      </c>
      <c r="F31" s="267">
        <v>0.93</v>
      </c>
      <c r="H31" s="272" t="s">
        <v>472</v>
      </c>
      <c r="M31" s="664"/>
    </row>
    <row r="32" spans="1:13" s="30" customFormat="1" ht="16.5" customHeight="1">
      <c r="B32" s="1464"/>
      <c r="C32" s="57"/>
      <c r="D32" s="269" t="s">
        <v>556</v>
      </c>
      <c r="F32" s="267">
        <v>0.92</v>
      </c>
      <c r="H32" s="272" t="s">
        <v>473</v>
      </c>
      <c r="M32" s="269" t="s">
        <v>832</v>
      </c>
    </row>
    <row r="33" spans="2:13" s="30" customFormat="1" ht="16.5" customHeight="1">
      <c r="B33" s="1464"/>
      <c r="C33" s="57"/>
      <c r="D33" s="269" t="s">
        <v>557</v>
      </c>
      <c r="F33" s="267">
        <v>0.91</v>
      </c>
      <c r="H33" s="272" t="s">
        <v>474</v>
      </c>
      <c r="M33" s="269" t="s">
        <v>376</v>
      </c>
    </row>
    <row r="34" spans="2:13" s="30" customFormat="1" ht="16.5" customHeight="1">
      <c r="B34" s="1464"/>
      <c r="C34" s="57"/>
      <c r="D34" s="269" t="s">
        <v>558</v>
      </c>
      <c r="F34" s="267">
        <v>0.9</v>
      </c>
      <c r="H34" s="272" t="s">
        <v>505</v>
      </c>
      <c r="M34" s="269" t="s">
        <v>377</v>
      </c>
    </row>
    <row r="35" spans="2:13" s="30" customFormat="1" ht="16.5" customHeight="1">
      <c r="B35" s="1464"/>
      <c r="C35" s="57"/>
      <c r="D35" s="269" t="s">
        <v>559</v>
      </c>
      <c r="F35" s="267">
        <v>0.89</v>
      </c>
      <c r="H35" s="272" t="s">
        <v>506</v>
      </c>
      <c r="M35" s="269"/>
    </row>
    <row r="36" spans="2:13" s="30" customFormat="1" ht="16.5" customHeight="1">
      <c r="B36" s="1464"/>
      <c r="C36" s="57"/>
      <c r="D36" s="269" t="s">
        <v>560</v>
      </c>
      <c r="F36" s="267">
        <v>0.88</v>
      </c>
      <c r="H36" s="272" t="s">
        <v>507</v>
      </c>
      <c r="M36" s="269" t="s">
        <v>852</v>
      </c>
    </row>
    <row r="37" spans="2:13" s="30" customFormat="1" ht="16.5" customHeight="1">
      <c r="B37" s="1464"/>
      <c r="C37" s="57"/>
      <c r="D37" s="269" t="s">
        <v>561</v>
      </c>
      <c r="F37" s="267">
        <v>0.87</v>
      </c>
      <c r="H37" s="272" t="s">
        <v>508</v>
      </c>
      <c r="M37" s="269" t="s">
        <v>845</v>
      </c>
    </row>
    <row r="38" spans="2:13" s="30" customFormat="1" ht="16.5" customHeight="1">
      <c r="B38" s="1464"/>
      <c r="C38" s="57"/>
      <c r="D38" s="269" t="s">
        <v>562</v>
      </c>
      <c r="F38" s="267">
        <v>0.86</v>
      </c>
      <c r="H38" s="272" t="s">
        <v>509</v>
      </c>
      <c r="M38" s="269"/>
    </row>
    <row r="39" spans="2:13" ht="16.5" customHeight="1">
      <c r="B39" s="1464"/>
      <c r="C39" s="57"/>
      <c r="D39" s="269" t="s">
        <v>563</v>
      </c>
      <c r="F39" s="267">
        <v>0.85</v>
      </c>
      <c r="H39" s="272" t="s">
        <v>510</v>
      </c>
      <c r="M39" s="269" t="s">
        <v>589</v>
      </c>
    </row>
    <row r="40" spans="2:13" ht="16.5" customHeight="1">
      <c r="B40" s="1464"/>
      <c r="C40" s="57"/>
      <c r="D40" s="269" t="s">
        <v>564</v>
      </c>
      <c r="F40" s="267">
        <v>0.84</v>
      </c>
      <c r="H40" s="272" t="s">
        <v>511</v>
      </c>
      <c r="M40" s="269" t="s">
        <v>852</v>
      </c>
    </row>
    <row r="41" spans="2:13" s="30" customFormat="1" ht="16.5" customHeight="1">
      <c r="B41" s="1464"/>
      <c r="C41" s="57"/>
      <c r="D41" s="269" t="s">
        <v>565</v>
      </c>
      <c r="F41" s="267">
        <v>0.83</v>
      </c>
      <c r="H41" s="272" t="s">
        <v>512</v>
      </c>
      <c r="M41" s="664"/>
    </row>
    <row r="42" spans="2:13" s="30" customFormat="1" ht="16.5" customHeight="1">
      <c r="B42" s="1464"/>
      <c r="C42" s="57"/>
      <c r="D42" s="269" t="s">
        <v>566</v>
      </c>
      <c r="F42" s="267">
        <v>0.82</v>
      </c>
      <c r="H42" s="272" t="s">
        <v>513</v>
      </c>
      <c r="M42" s="664"/>
    </row>
    <row r="43" spans="2:13" s="30" customFormat="1" ht="16.5" customHeight="1">
      <c r="B43" s="1464"/>
      <c r="C43" s="57"/>
      <c r="D43" s="269" t="s">
        <v>567</v>
      </c>
      <c r="F43" s="267">
        <v>0.81</v>
      </c>
      <c r="H43" s="272" t="s">
        <v>514</v>
      </c>
      <c r="M43" s="664">
        <v>1</v>
      </c>
    </row>
    <row r="44" spans="2:13" s="30" customFormat="1" ht="16.5" customHeight="1">
      <c r="B44" s="1464"/>
      <c r="C44" s="57"/>
      <c r="D44" s="269" t="s">
        <v>568</v>
      </c>
      <c r="F44" s="267">
        <v>0.8</v>
      </c>
      <c r="H44" s="272" t="s">
        <v>515</v>
      </c>
      <c r="M44" s="664"/>
    </row>
    <row r="45" spans="2:13" s="30" customFormat="1" ht="16.5" customHeight="1">
      <c r="B45" s="1464"/>
      <c r="C45" s="57"/>
      <c r="D45" s="269" t="s">
        <v>569</v>
      </c>
      <c r="F45" s="267">
        <v>0.79</v>
      </c>
      <c r="H45" s="272" t="s">
        <v>516</v>
      </c>
      <c r="M45" s="664" t="s">
        <v>860</v>
      </c>
    </row>
    <row r="46" spans="2:13" s="30" customFormat="1" ht="16.5" customHeight="1">
      <c r="B46" s="1464"/>
      <c r="C46" s="57"/>
      <c r="D46" s="269" t="s">
        <v>570</v>
      </c>
      <c r="F46" s="267">
        <v>0.78</v>
      </c>
      <c r="M46" s="664" t="s">
        <v>861</v>
      </c>
    </row>
    <row r="47" spans="2:13" s="30" customFormat="1" ht="16.5" customHeight="1">
      <c r="B47" s="1464"/>
      <c r="C47" s="57"/>
      <c r="D47" s="269" t="s">
        <v>571</v>
      </c>
      <c r="F47" s="267">
        <v>0.77</v>
      </c>
    </row>
    <row r="48" spans="2:13" s="30" customFormat="1" ht="16.5" customHeight="1">
      <c r="B48" s="1464"/>
      <c r="C48" s="57"/>
      <c r="D48" s="269" t="s">
        <v>572</v>
      </c>
      <c r="F48" s="267">
        <v>0.76</v>
      </c>
    </row>
    <row r="49" spans="2:11" s="30" customFormat="1" ht="16.5" customHeight="1">
      <c r="B49" s="1464"/>
      <c r="C49" s="57"/>
      <c r="D49" s="269" t="s">
        <v>573</v>
      </c>
      <c r="F49" s="267">
        <v>0.75</v>
      </c>
    </row>
    <row r="50" spans="2:11" s="30" customFormat="1" ht="16.5" customHeight="1">
      <c r="B50" s="1464"/>
      <c r="C50" s="57"/>
      <c r="D50" s="269" t="s">
        <v>574</v>
      </c>
      <c r="F50" s="267">
        <v>0.74</v>
      </c>
    </row>
    <row r="51" spans="2:11" s="30" customFormat="1" ht="16.5" customHeight="1">
      <c r="B51" s="1464"/>
      <c r="C51" s="57"/>
      <c r="D51" s="269" t="s">
        <v>575</v>
      </c>
      <c r="F51" s="267">
        <v>0.73</v>
      </c>
    </row>
    <row r="52" spans="2:11" s="30" customFormat="1" ht="16.5" customHeight="1">
      <c r="B52" s="1464"/>
      <c r="C52" s="57"/>
      <c r="D52" s="269" t="s">
        <v>576</v>
      </c>
      <c r="F52" s="267">
        <v>0.72</v>
      </c>
    </row>
    <row r="53" spans="2:11" s="30" customFormat="1" ht="16.5" customHeight="1">
      <c r="B53" s="1464"/>
      <c r="C53" s="57"/>
      <c r="D53" s="269" t="s">
        <v>577</v>
      </c>
      <c r="F53" s="267">
        <v>0.71</v>
      </c>
    </row>
    <row r="54" spans="2:11" s="30" customFormat="1" ht="16.5" customHeight="1">
      <c r="B54" s="1464"/>
      <c r="C54" s="57"/>
      <c r="D54" s="269" t="s">
        <v>578</v>
      </c>
      <c r="F54" s="267">
        <v>0.7</v>
      </c>
    </row>
    <row r="55" spans="2:11" ht="16.5" customHeight="1">
      <c r="B55" s="1464"/>
      <c r="C55" s="57"/>
      <c r="D55" s="269" t="s">
        <v>579</v>
      </c>
    </row>
    <row r="56" spans="2:11" ht="16.5" customHeight="1">
      <c r="B56" s="1464"/>
      <c r="C56" s="57"/>
      <c r="D56" s="269" t="s">
        <v>580</v>
      </c>
    </row>
    <row r="57" spans="2:11" ht="16.5" customHeight="1">
      <c r="B57" s="1464"/>
      <c r="C57" s="57"/>
      <c r="D57" s="269" t="s">
        <v>581</v>
      </c>
    </row>
    <row r="58" spans="2:11" ht="16.5" customHeight="1">
      <c r="B58" s="268"/>
      <c r="C58" s="57"/>
      <c r="D58" s="269" t="s">
        <v>582</v>
      </c>
    </row>
    <row r="59" spans="2:11" ht="16.5" customHeight="1">
      <c r="B59" s="1464"/>
      <c r="C59" s="57"/>
      <c r="E59" s="58"/>
      <c r="F59" s="58"/>
      <c r="G59" s="58"/>
      <c r="H59" s="58"/>
      <c r="I59" s="58"/>
      <c r="J59" s="58"/>
      <c r="K59" s="58"/>
    </row>
    <row r="60" spans="2:11" ht="16.5" customHeight="1">
      <c r="B60" s="1464"/>
      <c r="C60" s="57"/>
      <c r="E60" s="58"/>
    </row>
    <row r="61" spans="2:11" ht="16.5" customHeight="1">
      <c r="B61" s="1464"/>
      <c r="C61" s="57"/>
      <c r="E61" s="58"/>
    </row>
    <row r="62" spans="2:11" ht="16.5" customHeight="1">
      <c r="B62" s="1464"/>
      <c r="C62" s="57"/>
      <c r="E62" s="58"/>
    </row>
    <row r="63" spans="2:11" ht="16.5" customHeight="1">
      <c r="B63" s="1464"/>
      <c r="C63" s="57"/>
      <c r="E63" s="58"/>
    </row>
    <row r="64" spans="2:11" ht="16.5" customHeight="1">
      <c r="B64" s="1464"/>
      <c r="C64" s="57"/>
      <c r="E64" s="58"/>
    </row>
    <row r="65" spans="2:11" ht="16.5" customHeight="1">
      <c r="B65" s="1464"/>
      <c r="C65" s="57"/>
      <c r="E65" s="58"/>
    </row>
    <row r="66" spans="2:11" ht="16.5" customHeight="1">
      <c r="B66" s="1464"/>
      <c r="C66" s="57"/>
      <c r="E66" s="58"/>
    </row>
    <row r="67" spans="2:11" ht="16.5" customHeight="1">
      <c r="B67" s="1464"/>
      <c r="C67" s="57"/>
      <c r="E67" s="58"/>
    </row>
    <row r="68" spans="2:11" ht="16.5" customHeight="1">
      <c r="B68" s="1464"/>
      <c r="C68" s="57"/>
      <c r="E68" s="58"/>
    </row>
    <row r="69" spans="2:11" ht="16.5" customHeight="1">
      <c r="B69" s="1464"/>
      <c r="C69" s="57"/>
      <c r="E69" s="58"/>
    </row>
    <row r="70" spans="2:11" ht="16.5" customHeight="1">
      <c r="B70" s="1464"/>
      <c r="C70" s="57"/>
      <c r="E70" s="58"/>
    </row>
    <row r="71" spans="2:11" ht="16.5" customHeight="1">
      <c r="B71" s="1464"/>
      <c r="C71" s="57"/>
      <c r="E71" s="58"/>
    </row>
    <row r="72" spans="2:11" ht="16.5" customHeight="1">
      <c r="B72" s="1464"/>
      <c r="C72" s="57"/>
      <c r="E72" s="58"/>
    </row>
    <row r="73" spans="2:11" ht="16.5" customHeight="1">
      <c r="B73" s="1464"/>
      <c r="C73" s="57"/>
      <c r="E73" s="58"/>
    </row>
    <row r="74" spans="2:11" ht="16.5" customHeight="1">
      <c r="B74" s="1464"/>
      <c r="C74" s="57"/>
      <c r="E74" s="58"/>
    </row>
    <row r="75" spans="2:11" ht="16.5" customHeight="1">
      <c r="B75" s="1464"/>
      <c r="C75" s="57"/>
      <c r="E75" s="58"/>
    </row>
    <row r="76" spans="2:11" ht="16.5" customHeight="1">
      <c r="B76" s="1464"/>
      <c r="C76" s="57"/>
      <c r="E76" s="58"/>
    </row>
    <row r="77" spans="2:11" ht="16.5" customHeight="1">
      <c r="B77" s="1464"/>
      <c r="C77" s="57"/>
      <c r="E77" s="58"/>
    </row>
    <row r="78" spans="2:11" ht="16.5" customHeight="1">
      <c r="B78" s="1464"/>
      <c r="C78" s="57"/>
      <c r="E78" s="58"/>
    </row>
    <row r="79" spans="2:11" ht="16.5" customHeight="1">
      <c r="B79" s="1464"/>
      <c r="C79" s="57"/>
      <c r="E79" s="58"/>
    </row>
    <row r="80" spans="2:11" ht="16.5" customHeight="1">
      <c r="B80" s="1464"/>
      <c r="C80" s="57"/>
      <c r="E80" s="58"/>
      <c r="F80" s="58"/>
      <c r="G80" s="58"/>
      <c r="H80" s="58"/>
      <c r="I80" s="58"/>
      <c r="J80" s="58"/>
      <c r="K80" s="58"/>
    </row>
    <row r="81" spans="2:11" ht="16.5" customHeight="1">
      <c r="B81" s="1464"/>
      <c r="C81" s="57"/>
      <c r="E81" s="58"/>
      <c r="F81" s="58"/>
      <c r="G81" s="58"/>
      <c r="H81" s="58"/>
      <c r="I81" s="58"/>
      <c r="J81" s="58"/>
      <c r="K81" s="58"/>
    </row>
    <row r="82" spans="2:11" ht="16.5" customHeight="1">
      <c r="B82" s="1464"/>
      <c r="C82" s="57"/>
      <c r="E82" s="58"/>
      <c r="F82" s="58"/>
      <c r="G82" s="58"/>
      <c r="H82" s="58"/>
      <c r="I82" s="58"/>
      <c r="J82" s="58"/>
      <c r="K82" s="58"/>
    </row>
    <row r="83" spans="2:11" ht="16.5" customHeight="1">
      <c r="B83" s="1464"/>
      <c r="C83" s="57"/>
      <c r="E83" s="58"/>
      <c r="F83" s="58"/>
      <c r="G83" s="58"/>
      <c r="H83" s="58"/>
      <c r="I83" s="58"/>
      <c r="J83" s="58"/>
      <c r="K83" s="58"/>
    </row>
    <row r="84" spans="2:11" ht="16.5" customHeight="1">
      <c r="B84" s="1464"/>
      <c r="C84" s="57"/>
      <c r="E84" s="58"/>
      <c r="F84" s="58"/>
      <c r="G84" s="58"/>
      <c r="H84" s="58"/>
      <c r="I84" s="58"/>
      <c r="J84" s="58"/>
      <c r="K84" s="58"/>
    </row>
    <row r="85" spans="2:11" ht="16.5" customHeight="1">
      <c r="B85" s="1464"/>
      <c r="C85" s="57"/>
      <c r="E85" s="58"/>
      <c r="F85" s="58"/>
      <c r="G85" s="58"/>
      <c r="H85" s="58"/>
      <c r="I85" s="58"/>
      <c r="J85" s="58"/>
      <c r="K85" s="58"/>
    </row>
    <row r="86" spans="2:11" ht="16.5" customHeight="1">
      <c r="B86" s="1464"/>
      <c r="C86" s="57"/>
      <c r="E86" s="58"/>
      <c r="F86" s="58"/>
      <c r="G86" s="58"/>
      <c r="H86" s="58"/>
      <c r="I86" s="58"/>
      <c r="J86" s="58"/>
      <c r="K86" s="58"/>
    </row>
    <row r="87" spans="2:11" ht="16.5" customHeight="1">
      <c r="B87" s="1464"/>
      <c r="C87" s="57"/>
      <c r="E87" s="58"/>
      <c r="F87" s="58"/>
      <c r="G87" s="58"/>
      <c r="H87" s="58"/>
      <c r="I87" s="58"/>
      <c r="J87" s="58"/>
      <c r="K87" s="58"/>
    </row>
    <row r="88" spans="2:11" ht="16.5" customHeight="1">
      <c r="B88" s="1464"/>
      <c r="C88" s="57"/>
      <c r="E88" s="58"/>
      <c r="F88" s="58"/>
      <c r="G88" s="58"/>
      <c r="H88" s="58"/>
      <c r="I88" s="58"/>
      <c r="J88" s="58"/>
      <c r="K88" s="58"/>
    </row>
    <row r="89" spans="2:11" ht="16.5" customHeight="1">
      <c r="B89" s="1464"/>
      <c r="C89" s="57"/>
      <c r="E89" s="58"/>
      <c r="F89" s="58"/>
      <c r="G89" s="58"/>
      <c r="H89" s="58"/>
      <c r="I89" s="58"/>
      <c r="J89" s="58"/>
      <c r="K89" s="58"/>
    </row>
    <row r="90" spans="2:11" ht="16.5" customHeight="1">
      <c r="B90" s="1464"/>
      <c r="C90" s="57"/>
      <c r="E90" s="58"/>
      <c r="F90" s="58"/>
      <c r="G90" s="58"/>
      <c r="H90" s="58"/>
      <c r="I90" s="58"/>
      <c r="J90" s="58"/>
      <c r="K90" s="58"/>
    </row>
    <row r="91" spans="2:11" ht="16.5" customHeight="1">
      <c r="B91" s="1464"/>
      <c r="C91" s="57"/>
      <c r="E91" s="58"/>
      <c r="F91" s="58"/>
      <c r="G91" s="58"/>
      <c r="H91" s="58"/>
      <c r="I91" s="58"/>
      <c r="J91" s="58"/>
      <c r="K91" s="58"/>
    </row>
    <row r="92" spans="2:11" ht="16.5" customHeight="1">
      <c r="B92" s="1464"/>
      <c r="C92" s="57"/>
      <c r="E92" s="58"/>
      <c r="F92" s="58"/>
      <c r="G92" s="58"/>
      <c r="H92" s="58"/>
      <c r="I92" s="58"/>
      <c r="J92" s="58"/>
      <c r="K92" s="58"/>
    </row>
    <row r="93" spans="2:11" ht="16.5" customHeight="1">
      <c r="B93" s="1464"/>
      <c r="C93" s="57"/>
      <c r="E93" s="58"/>
      <c r="F93" s="58"/>
      <c r="G93" s="58"/>
      <c r="H93" s="58"/>
      <c r="I93" s="58"/>
      <c r="J93" s="58"/>
      <c r="K93" s="58"/>
    </row>
    <row r="94" spans="2:11" ht="16.5" customHeight="1">
      <c r="B94" s="1464"/>
      <c r="C94" s="57"/>
      <c r="E94" s="58"/>
      <c r="F94" s="58"/>
      <c r="G94" s="58"/>
      <c r="H94" s="58"/>
      <c r="I94" s="58"/>
      <c r="J94" s="58"/>
      <c r="K94" s="58"/>
    </row>
    <row r="95" spans="2:11" ht="16.5" customHeight="1">
      <c r="B95" s="1464"/>
      <c r="C95" s="57"/>
      <c r="E95" s="58"/>
      <c r="F95" s="58"/>
      <c r="G95" s="58"/>
      <c r="H95" s="58"/>
      <c r="I95" s="58"/>
      <c r="J95" s="58"/>
      <c r="K95" s="58"/>
    </row>
    <row r="96" spans="2:11" ht="16.5" customHeight="1">
      <c r="B96" s="1464"/>
      <c r="C96" s="57"/>
      <c r="E96" s="58"/>
      <c r="F96" s="58"/>
      <c r="G96" s="58"/>
      <c r="H96" s="58"/>
      <c r="I96" s="58"/>
      <c r="J96" s="58"/>
      <c r="K96" s="58"/>
    </row>
    <row r="97" spans="1:11" ht="16.5" customHeight="1">
      <c r="B97" s="1464"/>
      <c r="C97" s="57"/>
      <c r="D97" s="58"/>
      <c r="E97" s="58"/>
      <c r="F97" s="58"/>
      <c r="G97" s="58"/>
      <c r="H97" s="58"/>
      <c r="I97" s="58"/>
      <c r="J97" s="58"/>
      <c r="K97" s="58"/>
    </row>
    <row r="98" spans="1:11" s="30" customFormat="1" ht="16.5" customHeight="1">
      <c r="B98" s="1464"/>
      <c r="C98" s="57"/>
      <c r="D98" s="58"/>
      <c r="E98" s="58"/>
      <c r="F98" s="58"/>
      <c r="G98" s="58"/>
      <c r="H98" s="58"/>
      <c r="I98" s="58"/>
      <c r="J98" s="58"/>
      <c r="K98" s="58"/>
    </row>
    <row r="99" spans="1:11" s="30" customFormat="1" ht="16.5" customHeight="1">
      <c r="A99" s="59"/>
      <c r="B99" s="1464"/>
      <c r="C99" s="57"/>
      <c r="D99" s="58"/>
      <c r="E99" s="58"/>
      <c r="F99" s="58"/>
      <c r="G99" s="58"/>
      <c r="H99" s="58"/>
      <c r="I99" s="58"/>
      <c r="J99" s="58"/>
      <c r="K99" s="58"/>
    </row>
    <row r="100" spans="1:11" s="30" customFormat="1" ht="16.5" customHeight="1">
      <c r="A100" s="59"/>
      <c r="B100" s="1464"/>
      <c r="C100" s="57"/>
      <c r="D100" s="58"/>
      <c r="E100" s="58"/>
      <c r="F100" s="58"/>
      <c r="G100" s="58"/>
      <c r="H100" s="58"/>
      <c r="I100" s="58"/>
      <c r="J100" s="58"/>
      <c r="K100" s="58"/>
    </row>
    <row r="101" spans="1:11" s="30" customFormat="1" ht="16.5" customHeight="1">
      <c r="A101" s="59"/>
      <c r="B101" s="1464"/>
      <c r="C101" s="57"/>
      <c r="D101" s="58"/>
      <c r="E101" s="58"/>
      <c r="F101" s="58"/>
      <c r="G101" s="58"/>
      <c r="H101" s="58"/>
      <c r="I101" s="58"/>
      <c r="J101" s="58"/>
      <c r="K101" s="58"/>
    </row>
    <row r="102" spans="1:11" s="30" customFormat="1" ht="16.5" customHeight="1">
      <c r="A102" s="59"/>
      <c r="B102" s="1464"/>
      <c r="C102" s="57"/>
      <c r="D102" s="58"/>
      <c r="E102" s="58"/>
      <c r="F102" s="58"/>
      <c r="G102" s="58"/>
      <c r="H102" s="58"/>
      <c r="I102" s="58"/>
      <c r="J102" s="58"/>
      <c r="K102" s="58"/>
    </row>
    <row r="103" spans="1:11" s="30" customFormat="1" ht="16.5" customHeight="1">
      <c r="B103" s="1464"/>
      <c r="C103" s="57"/>
      <c r="D103" s="58"/>
      <c r="E103" s="58"/>
      <c r="F103" s="58"/>
      <c r="G103" s="58"/>
      <c r="H103" s="58"/>
      <c r="I103" s="58"/>
      <c r="J103" s="58"/>
      <c r="K103" s="58"/>
    </row>
    <row r="104" spans="1:11" s="30" customFormat="1" ht="16.5" customHeight="1">
      <c r="A104" s="59"/>
      <c r="B104" s="1464"/>
      <c r="C104" s="57"/>
      <c r="D104" s="58"/>
      <c r="E104" s="58"/>
      <c r="F104" s="58"/>
      <c r="G104" s="58"/>
      <c r="H104" s="58"/>
      <c r="I104" s="58"/>
      <c r="J104" s="58"/>
      <c r="K104" s="58"/>
    </row>
    <row r="105" spans="1:11" s="30" customFormat="1" ht="16.5" customHeight="1">
      <c r="A105" s="59"/>
      <c r="B105" s="1464"/>
      <c r="C105" s="57"/>
      <c r="D105" s="58"/>
      <c r="E105" s="58"/>
      <c r="F105" s="58"/>
      <c r="G105" s="58"/>
      <c r="H105" s="58"/>
      <c r="I105" s="58"/>
      <c r="J105" s="58"/>
      <c r="K105" s="58"/>
    </row>
    <row r="106" spans="1:11" s="30" customFormat="1" ht="16.5" customHeight="1">
      <c r="B106" s="1464"/>
      <c r="C106" s="57"/>
      <c r="D106" s="58"/>
      <c r="E106" s="58"/>
      <c r="F106" s="58"/>
      <c r="G106" s="58"/>
      <c r="H106" s="58"/>
      <c r="I106" s="58"/>
      <c r="J106" s="58"/>
      <c r="K106" s="58"/>
    </row>
    <row r="107" spans="1:11" ht="16.5" customHeight="1">
      <c r="B107" s="1464"/>
      <c r="C107" s="57"/>
      <c r="D107" s="58"/>
      <c r="E107" s="58"/>
      <c r="F107" s="58"/>
      <c r="G107" s="58"/>
      <c r="H107" s="58"/>
      <c r="I107" s="58"/>
      <c r="J107" s="58"/>
      <c r="K107" s="58"/>
    </row>
    <row r="108" spans="1:11" s="30" customFormat="1" ht="16.5" customHeight="1">
      <c r="B108" s="1464"/>
      <c r="C108" s="57"/>
      <c r="D108" s="58"/>
      <c r="E108" s="58"/>
      <c r="F108" s="58"/>
      <c r="G108" s="58"/>
      <c r="H108" s="58"/>
      <c r="I108" s="58"/>
      <c r="J108" s="58"/>
      <c r="K108" s="58"/>
    </row>
    <row r="109" spans="1:11" s="30" customFormat="1" ht="16.5" customHeight="1">
      <c r="B109" s="1464"/>
      <c r="C109" s="57"/>
      <c r="D109" s="58"/>
      <c r="E109" s="58"/>
      <c r="F109" s="58"/>
      <c r="G109" s="58"/>
      <c r="H109" s="58"/>
      <c r="I109" s="58"/>
      <c r="J109" s="58"/>
      <c r="K109" s="58"/>
    </row>
    <row r="110" spans="1:11" s="30" customFormat="1" ht="16.5" customHeight="1">
      <c r="B110" s="1464"/>
      <c r="C110" s="57"/>
      <c r="D110" s="58"/>
      <c r="E110" s="58"/>
      <c r="F110" s="58"/>
      <c r="G110" s="58"/>
      <c r="H110" s="58"/>
      <c r="I110" s="58"/>
      <c r="J110" s="58"/>
      <c r="K110" s="58"/>
    </row>
    <row r="111" spans="1:11" s="30" customFormat="1" ht="16.5" customHeight="1">
      <c r="B111" s="1464"/>
      <c r="C111" s="57"/>
      <c r="D111" s="58"/>
      <c r="E111" s="58"/>
      <c r="F111" s="58"/>
      <c r="G111" s="58"/>
      <c r="H111" s="58"/>
      <c r="I111" s="58"/>
      <c r="J111" s="58"/>
      <c r="K111" s="58"/>
    </row>
    <row r="112" spans="1:11" s="30" customFormat="1" ht="16.5" customHeight="1">
      <c r="B112" s="1464"/>
      <c r="C112" s="57"/>
      <c r="D112" s="58"/>
      <c r="E112" s="58"/>
      <c r="F112" s="58"/>
      <c r="G112" s="58"/>
      <c r="H112" s="58"/>
      <c r="I112" s="58"/>
      <c r="J112" s="58"/>
      <c r="K112" s="58"/>
    </row>
    <row r="113" spans="2:11" s="30" customFormat="1" ht="16.5" customHeight="1">
      <c r="B113" s="1464"/>
      <c r="C113" s="57"/>
      <c r="D113" s="58"/>
      <c r="E113" s="58"/>
      <c r="F113" s="58"/>
      <c r="G113" s="58"/>
      <c r="H113" s="58"/>
      <c r="I113" s="58"/>
      <c r="J113" s="58"/>
      <c r="K113" s="58"/>
    </row>
    <row r="114" spans="2:11" s="30" customFormat="1" ht="16.5" customHeight="1">
      <c r="B114" s="1464"/>
      <c r="C114" s="57"/>
      <c r="D114" s="58"/>
      <c r="E114" s="58"/>
      <c r="F114" s="58"/>
      <c r="G114" s="58"/>
      <c r="H114" s="58"/>
      <c r="I114" s="58"/>
      <c r="J114" s="58"/>
      <c r="K114" s="58"/>
    </row>
    <row r="115" spans="2:11" s="30" customFormat="1" ht="16.5" customHeight="1">
      <c r="B115" s="1464"/>
      <c r="C115" s="57"/>
      <c r="D115" s="58"/>
      <c r="E115" s="58"/>
      <c r="F115" s="58"/>
      <c r="G115" s="58"/>
      <c r="H115" s="58"/>
      <c r="I115" s="58"/>
      <c r="J115" s="58"/>
      <c r="K115" s="58"/>
    </row>
    <row r="116" spans="2:11" s="30" customFormat="1" ht="16.5" customHeight="1">
      <c r="B116" s="1464"/>
      <c r="C116" s="57"/>
      <c r="D116" s="58"/>
      <c r="E116" s="58"/>
      <c r="F116" s="58"/>
      <c r="G116" s="58"/>
      <c r="H116" s="58"/>
      <c r="I116" s="58"/>
      <c r="J116" s="58"/>
      <c r="K116" s="58"/>
    </row>
    <row r="117" spans="2:11" s="30" customFormat="1" ht="16.5" customHeight="1">
      <c r="B117" s="1464"/>
      <c r="C117" s="57"/>
      <c r="D117" s="58"/>
      <c r="E117" s="58"/>
      <c r="F117" s="58"/>
      <c r="G117" s="58"/>
      <c r="H117" s="58"/>
      <c r="I117" s="58"/>
      <c r="J117" s="58"/>
      <c r="K117" s="58"/>
    </row>
    <row r="118" spans="2:11" ht="16.5" customHeight="1">
      <c r="B118" s="1464"/>
      <c r="C118" s="57"/>
      <c r="D118" s="58"/>
      <c r="E118" s="58"/>
      <c r="F118" s="58"/>
      <c r="G118" s="58"/>
      <c r="H118" s="58"/>
      <c r="I118" s="58"/>
      <c r="J118" s="58"/>
      <c r="K118" s="58"/>
    </row>
    <row r="119" spans="2:11" ht="16.5" customHeight="1">
      <c r="B119" s="1464"/>
      <c r="C119" s="57"/>
      <c r="D119" s="58"/>
      <c r="E119" s="58"/>
      <c r="F119" s="58"/>
      <c r="G119" s="58"/>
      <c r="H119" s="58"/>
      <c r="I119" s="58"/>
      <c r="J119" s="58"/>
      <c r="K119" s="58"/>
    </row>
    <row r="120" spans="2:11" s="30" customFormat="1" ht="16.5" customHeight="1">
      <c r="B120" s="1464"/>
      <c r="C120" s="57"/>
      <c r="D120" s="58"/>
      <c r="E120" s="58"/>
      <c r="F120" s="58"/>
      <c r="G120" s="58"/>
      <c r="H120" s="58"/>
      <c r="I120" s="58"/>
      <c r="J120" s="58"/>
      <c r="K120" s="58"/>
    </row>
    <row r="121" spans="2:11" s="30" customFormat="1" ht="16.5" customHeight="1">
      <c r="B121" s="1464"/>
      <c r="C121" s="57"/>
      <c r="D121" s="58"/>
      <c r="E121" s="58"/>
      <c r="F121" s="58"/>
      <c r="G121" s="58"/>
      <c r="H121" s="58"/>
      <c r="I121" s="58"/>
      <c r="J121" s="58"/>
      <c r="K121" s="58"/>
    </row>
    <row r="122" spans="2:11" s="30" customFormat="1" ht="16.5" customHeight="1">
      <c r="B122" s="1464"/>
      <c r="C122" s="57"/>
      <c r="D122" s="58"/>
      <c r="E122" s="58"/>
      <c r="F122" s="58"/>
      <c r="G122" s="58"/>
      <c r="H122" s="58"/>
      <c r="I122" s="58"/>
      <c r="J122" s="58"/>
      <c r="K122" s="58"/>
    </row>
    <row r="123" spans="2:11" s="30" customFormat="1" ht="16.5" customHeight="1">
      <c r="B123" s="1464"/>
      <c r="C123" s="57"/>
      <c r="D123" s="58"/>
      <c r="E123" s="58"/>
      <c r="F123" s="58"/>
      <c r="G123" s="58"/>
      <c r="H123" s="58"/>
      <c r="I123" s="58"/>
      <c r="J123" s="58"/>
      <c r="K123" s="58"/>
    </row>
    <row r="124" spans="2:11" s="30" customFormat="1" ht="16.5" customHeight="1">
      <c r="B124" s="1464"/>
      <c r="C124" s="57"/>
      <c r="D124" s="58"/>
      <c r="E124" s="58"/>
      <c r="F124" s="58"/>
      <c r="G124" s="58"/>
      <c r="H124" s="58"/>
      <c r="I124" s="58"/>
      <c r="J124" s="58"/>
      <c r="K124" s="58"/>
    </row>
    <row r="125" spans="2:11" s="30" customFormat="1" ht="16.5" customHeight="1">
      <c r="B125" s="1464"/>
      <c r="C125" s="57"/>
      <c r="D125" s="58"/>
      <c r="E125" s="58"/>
      <c r="F125" s="58"/>
      <c r="G125" s="58"/>
      <c r="H125" s="58"/>
      <c r="I125" s="58"/>
      <c r="J125" s="58"/>
      <c r="K125" s="58"/>
    </row>
    <row r="126" spans="2:11" s="30" customFormat="1" ht="16.5" customHeight="1">
      <c r="B126" s="1464"/>
      <c r="C126" s="57"/>
      <c r="D126" s="58"/>
      <c r="E126" s="58"/>
      <c r="F126" s="58"/>
      <c r="G126" s="58"/>
      <c r="H126" s="58"/>
      <c r="I126" s="58"/>
      <c r="J126" s="58"/>
      <c r="K126" s="58"/>
    </row>
    <row r="127" spans="2:11" s="30" customFormat="1" ht="16.5" customHeight="1">
      <c r="B127" s="1464"/>
      <c r="C127" s="57"/>
      <c r="D127" s="58"/>
      <c r="E127" s="58"/>
      <c r="F127" s="58"/>
      <c r="G127" s="58"/>
      <c r="H127" s="58"/>
      <c r="I127" s="58"/>
      <c r="J127" s="58"/>
      <c r="K127" s="58"/>
    </row>
    <row r="128" spans="2:11" s="30" customFormat="1" ht="16.5" customHeight="1">
      <c r="B128" s="1464"/>
      <c r="C128" s="57"/>
      <c r="D128" s="58"/>
      <c r="E128" s="58"/>
      <c r="F128" s="58"/>
      <c r="G128" s="58"/>
      <c r="H128" s="58"/>
      <c r="I128" s="58"/>
      <c r="J128" s="58"/>
      <c r="K128" s="58"/>
    </row>
    <row r="129" spans="2:11" s="30" customFormat="1" ht="16.5" customHeight="1">
      <c r="B129" s="1464"/>
      <c r="C129" s="57"/>
      <c r="D129" s="58"/>
      <c r="E129" s="58"/>
      <c r="F129" s="58"/>
      <c r="G129" s="58"/>
      <c r="H129" s="58"/>
      <c r="I129" s="58"/>
      <c r="J129" s="58"/>
      <c r="K129" s="58"/>
    </row>
    <row r="130" spans="2:11" s="30" customFormat="1" ht="16.5" customHeight="1">
      <c r="B130" s="1464"/>
      <c r="C130" s="57"/>
      <c r="D130" s="58"/>
      <c r="E130" s="58"/>
      <c r="F130" s="58"/>
      <c r="G130" s="58"/>
      <c r="H130" s="58"/>
      <c r="I130" s="58"/>
      <c r="J130" s="58"/>
      <c r="K130" s="58"/>
    </row>
    <row r="131" spans="2:11" s="30" customFormat="1" ht="16.5" customHeight="1">
      <c r="B131" s="1464"/>
      <c r="C131" s="57"/>
      <c r="D131" s="58"/>
      <c r="E131" s="58"/>
      <c r="F131" s="58"/>
      <c r="G131" s="58"/>
      <c r="H131" s="58"/>
      <c r="I131" s="58"/>
      <c r="J131" s="58"/>
      <c r="K131" s="58"/>
    </row>
    <row r="132" spans="2:11" s="30" customFormat="1" ht="16.5" customHeight="1">
      <c r="B132" s="1464"/>
      <c r="C132" s="57"/>
      <c r="D132" s="58"/>
      <c r="E132" s="58"/>
      <c r="F132" s="58"/>
      <c r="G132" s="58"/>
      <c r="H132" s="58"/>
      <c r="I132" s="58"/>
      <c r="J132" s="58"/>
      <c r="K132" s="58"/>
    </row>
    <row r="133" spans="2:11" s="30" customFormat="1" ht="16.5" customHeight="1">
      <c r="B133" s="1464"/>
      <c r="C133" s="57"/>
      <c r="D133" s="58"/>
      <c r="E133" s="58"/>
      <c r="F133" s="58"/>
      <c r="G133" s="58"/>
      <c r="H133" s="58"/>
      <c r="I133" s="58"/>
      <c r="J133" s="58"/>
      <c r="K133" s="58"/>
    </row>
    <row r="134" spans="2:11" ht="16.5" customHeight="1">
      <c r="B134" s="1464"/>
      <c r="C134" s="57"/>
      <c r="D134" s="58"/>
      <c r="E134" s="58"/>
      <c r="F134" s="58"/>
      <c r="G134" s="58"/>
      <c r="H134" s="58"/>
      <c r="I134" s="58"/>
      <c r="J134" s="58"/>
      <c r="K134" s="58"/>
    </row>
    <row r="135" spans="2:11" ht="16.5" customHeight="1">
      <c r="B135" s="1464"/>
      <c r="C135" s="57"/>
      <c r="D135" s="58"/>
      <c r="E135" s="58"/>
      <c r="F135" s="58"/>
      <c r="G135" s="58"/>
      <c r="H135" s="58"/>
      <c r="I135" s="58"/>
      <c r="J135" s="58"/>
      <c r="K135" s="58"/>
    </row>
    <row r="136" spans="2:11" ht="16.5" customHeight="1">
      <c r="B136" s="1464"/>
      <c r="C136" s="57"/>
      <c r="D136" s="58"/>
      <c r="E136" s="58"/>
      <c r="F136" s="58"/>
      <c r="G136" s="58"/>
      <c r="H136" s="58"/>
      <c r="I136" s="58"/>
      <c r="J136" s="58"/>
      <c r="K136" s="58"/>
    </row>
    <row r="137" spans="2:11" ht="16.5" customHeight="1">
      <c r="B137" s="1464"/>
      <c r="C137" s="57"/>
      <c r="D137" s="58"/>
      <c r="E137" s="58"/>
      <c r="F137" s="58"/>
      <c r="G137" s="58"/>
      <c r="H137" s="58"/>
      <c r="I137" s="58"/>
      <c r="J137" s="58"/>
      <c r="K137" s="58"/>
    </row>
    <row r="138" spans="2:11" ht="16.5" customHeight="1">
      <c r="B138" s="1464"/>
      <c r="C138" s="57"/>
      <c r="D138" s="58"/>
      <c r="E138" s="58"/>
      <c r="F138" s="58"/>
      <c r="G138" s="58"/>
      <c r="H138" s="58"/>
      <c r="I138" s="58"/>
      <c r="J138" s="58"/>
      <c r="K138" s="58"/>
    </row>
    <row r="139" spans="2:11" ht="16.5" customHeight="1">
      <c r="B139" s="1464"/>
      <c r="C139" s="57"/>
      <c r="D139" s="58"/>
      <c r="E139" s="58"/>
      <c r="F139" s="58"/>
      <c r="G139" s="58"/>
      <c r="H139" s="58"/>
      <c r="I139" s="58"/>
      <c r="J139" s="58"/>
      <c r="K139" s="58"/>
    </row>
    <row r="140" spans="2:11" ht="16.5" customHeight="1">
      <c r="B140" s="1464"/>
      <c r="C140" s="57"/>
      <c r="D140" s="58"/>
      <c r="E140" s="58"/>
      <c r="F140" s="58"/>
      <c r="G140" s="58"/>
      <c r="H140" s="58"/>
      <c r="I140" s="58"/>
      <c r="J140" s="58"/>
      <c r="K140" s="58"/>
    </row>
    <row r="141" spans="2:11" ht="16.5" customHeight="1">
      <c r="B141" s="1464"/>
      <c r="C141" s="57"/>
      <c r="D141" s="58"/>
      <c r="E141" s="58"/>
      <c r="F141" s="58"/>
      <c r="G141" s="58"/>
      <c r="H141" s="58"/>
      <c r="I141" s="58"/>
      <c r="J141" s="58"/>
      <c r="K141" s="58"/>
    </row>
    <row r="142" spans="2:11" ht="16.5" customHeight="1">
      <c r="B142" s="1464"/>
      <c r="C142" s="57"/>
      <c r="D142" s="58"/>
      <c r="E142" s="58"/>
      <c r="F142" s="58"/>
      <c r="G142" s="58"/>
      <c r="H142" s="58"/>
      <c r="I142" s="58"/>
      <c r="J142" s="58"/>
      <c r="K142" s="58"/>
    </row>
    <row r="143" spans="2:11" ht="16.5" customHeight="1">
      <c r="B143" s="1464"/>
      <c r="C143" s="57"/>
      <c r="D143" s="58"/>
      <c r="E143" s="58"/>
      <c r="F143" s="58"/>
      <c r="G143" s="58"/>
      <c r="H143" s="58"/>
      <c r="I143" s="58"/>
      <c r="J143" s="58"/>
      <c r="K143" s="58"/>
    </row>
    <row r="144" spans="2:11" ht="16.5" customHeight="1">
      <c r="B144" s="1464"/>
      <c r="C144" s="57"/>
      <c r="D144" s="58"/>
      <c r="E144" s="58"/>
      <c r="F144" s="58"/>
      <c r="G144" s="58"/>
      <c r="H144" s="58"/>
      <c r="I144" s="58"/>
      <c r="J144" s="58"/>
      <c r="K144" s="58"/>
    </row>
    <row r="145" spans="2:11" ht="16.5" customHeight="1">
      <c r="B145" s="1464"/>
      <c r="C145" s="57"/>
      <c r="D145" s="58"/>
      <c r="E145" s="58"/>
      <c r="F145" s="58"/>
      <c r="G145" s="58"/>
      <c r="H145" s="58"/>
      <c r="I145" s="58"/>
      <c r="J145" s="58"/>
      <c r="K145" s="58"/>
    </row>
    <row r="146" spans="2:11" ht="16.5" customHeight="1">
      <c r="B146" s="1464"/>
      <c r="C146" s="57"/>
      <c r="D146" s="58"/>
      <c r="E146" s="58"/>
      <c r="F146" s="58"/>
      <c r="G146" s="58"/>
      <c r="H146" s="58"/>
      <c r="I146" s="58"/>
      <c r="J146" s="58"/>
      <c r="K146" s="58"/>
    </row>
    <row r="147" spans="2:11" ht="16.5" customHeight="1">
      <c r="B147" s="1464"/>
      <c r="C147" s="57"/>
      <c r="D147" s="58"/>
      <c r="E147" s="58"/>
      <c r="F147" s="58"/>
      <c r="G147" s="58"/>
      <c r="H147" s="58"/>
      <c r="I147" s="58"/>
      <c r="J147" s="58"/>
      <c r="K147" s="58"/>
    </row>
    <row r="148" spans="2:11" ht="16.5" customHeight="1">
      <c r="B148" s="1464"/>
      <c r="C148" s="57"/>
      <c r="D148" s="58"/>
      <c r="E148" s="58"/>
      <c r="F148" s="58"/>
      <c r="G148" s="58"/>
      <c r="H148" s="58"/>
      <c r="I148" s="58"/>
      <c r="J148" s="58"/>
      <c r="K148" s="58"/>
    </row>
    <row r="149" spans="2:11" ht="16.5" customHeight="1">
      <c r="B149" s="1464"/>
      <c r="C149" s="57"/>
      <c r="D149" s="58"/>
      <c r="E149" s="58"/>
      <c r="F149" s="58"/>
      <c r="G149" s="58"/>
      <c r="H149" s="58"/>
      <c r="I149" s="58"/>
      <c r="J149" s="58"/>
      <c r="K149" s="58"/>
    </row>
    <row r="150" spans="2:11" ht="16.5" customHeight="1">
      <c r="B150" s="1464"/>
      <c r="C150" s="57"/>
      <c r="D150" s="58"/>
      <c r="E150" s="58"/>
      <c r="F150" s="58"/>
      <c r="G150" s="58"/>
      <c r="H150" s="58"/>
      <c r="I150" s="58"/>
      <c r="J150" s="58"/>
      <c r="K150" s="58"/>
    </row>
    <row r="151" spans="2:11" ht="16.5" customHeight="1">
      <c r="B151" s="1464"/>
      <c r="C151" s="57"/>
      <c r="D151" s="58"/>
      <c r="E151" s="58"/>
      <c r="F151" s="58"/>
      <c r="G151" s="58"/>
      <c r="H151" s="58"/>
      <c r="I151" s="58"/>
      <c r="J151" s="58"/>
      <c r="K151" s="58"/>
    </row>
    <row r="152" spans="2:11" ht="16.5" customHeight="1">
      <c r="B152" s="1464"/>
      <c r="C152" s="57"/>
      <c r="D152" s="58"/>
      <c r="E152" s="58"/>
      <c r="F152" s="58"/>
      <c r="G152" s="58"/>
      <c r="H152" s="58"/>
      <c r="I152" s="58"/>
      <c r="J152" s="58"/>
      <c r="K152" s="58"/>
    </row>
    <row r="153" spans="2:11" ht="16.5" customHeight="1">
      <c r="B153" s="1464"/>
      <c r="C153" s="57"/>
      <c r="D153" s="58"/>
      <c r="E153" s="58"/>
      <c r="F153" s="58"/>
      <c r="G153" s="58"/>
      <c r="H153" s="58"/>
      <c r="I153" s="58"/>
      <c r="J153" s="58"/>
      <c r="K153" s="58"/>
    </row>
    <row r="154" spans="2:11" ht="16.5" customHeight="1">
      <c r="B154" s="1464"/>
      <c r="C154" s="57"/>
      <c r="D154" s="58"/>
      <c r="E154" s="58"/>
      <c r="F154" s="58"/>
      <c r="G154" s="58"/>
      <c r="H154" s="58"/>
      <c r="I154" s="58"/>
      <c r="J154" s="58"/>
      <c r="K154" s="58"/>
    </row>
    <row r="155" spans="2:11" ht="16.5" customHeight="1">
      <c r="B155" s="1464"/>
      <c r="C155" s="57"/>
      <c r="D155" s="58"/>
      <c r="E155" s="58"/>
      <c r="F155" s="58"/>
      <c r="G155" s="58"/>
      <c r="H155" s="58"/>
      <c r="I155" s="58"/>
      <c r="J155" s="58"/>
      <c r="K155" s="58"/>
    </row>
    <row r="156" spans="2:11" ht="16.5" customHeight="1">
      <c r="B156" s="1464"/>
      <c r="C156" s="57"/>
      <c r="D156" s="58"/>
      <c r="E156" s="58"/>
      <c r="F156" s="58"/>
      <c r="G156" s="58"/>
      <c r="H156" s="58"/>
      <c r="I156" s="58"/>
      <c r="J156" s="58"/>
      <c r="K156" s="58"/>
    </row>
    <row r="157" spans="2:11" s="30" customFormat="1" ht="16.5" customHeight="1">
      <c r="B157" s="1464"/>
      <c r="C157" s="57"/>
      <c r="D157" s="58"/>
      <c r="E157" s="58"/>
      <c r="F157" s="58"/>
      <c r="G157" s="58"/>
      <c r="H157" s="58"/>
      <c r="I157" s="58"/>
      <c r="J157" s="58"/>
      <c r="K157" s="58"/>
    </row>
    <row r="158" spans="2:11" s="30" customFormat="1" ht="16.5" customHeight="1">
      <c r="B158" s="1464"/>
      <c r="C158" s="57"/>
      <c r="D158" s="58"/>
      <c r="E158" s="58"/>
      <c r="F158" s="58"/>
      <c r="G158" s="58"/>
      <c r="H158" s="58"/>
      <c r="I158" s="58"/>
      <c r="J158" s="58"/>
      <c r="K158" s="58"/>
    </row>
    <row r="159" spans="2:11" s="30" customFormat="1" ht="16.5" customHeight="1">
      <c r="B159" s="1464"/>
      <c r="C159" s="57"/>
      <c r="D159" s="58"/>
      <c r="E159" s="58"/>
      <c r="F159" s="58"/>
      <c r="G159" s="58"/>
      <c r="H159" s="58"/>
      <c r="I159" s="58"/>
      <c r="J159" s="58"/>
      <c r="K159" s="58"/>
    </row>
    <row r="160" spans="2:11" s="30" customFormat="1" ht="16.5" customHeight="1">
      <c r="B160" s="1464"/>
      <c r="C160" s="57"/>
      <c r="D160" s="58"/>
      <c r="E160" s="58"/>
      <c r="F160" s="58"/>
      <c r="G160" s="58"/>
      <c r="H160" s="58"/>
      <c r="I160" s="58"/>
      <c r="J160" s="58"/>
      <c r="K160" s="58"/>
    </row>
    <row r="161" spans="2:11" s="30" customFormat="1" ht="16.5" customHeight="1">
      <c r="B161" s="1464"/>
      <c r="C161" s="57"/>
      <c r="D161" s="58"/>
      <c r="E161" s="58"/>
      <c r="F161" s="58"/>
      <c r="G161" s="58"/>
      <c r="H161" s="58"/>
      <c r="I161" s="58"/>
      <c r="J161" s="58"/>
      <c r="K161" s="58"/>
    </row>
    <row r="162" spans="2:11" ht="16.5" customHeight="1">
      <c r="B162" s="1464"/>
      <c r="C162" s="57"/>
      <c r="D162" s="58"/>
      <c r="E162" s="58"/>
      <c r="F162" s="58"/>
      <c r="G162" s="58"/>
      <c r="H162" s="58"/>
      <c r="I162" s="58"/>
      <c r="J162" s="58"/>
      <c r="K162" s="58"/>
    </row>
    <row r="163" spans="2:11" ht="16.5" customHeight="1">
      <c r="B163" s="1464"/>
      <c r="C163" s="57"/>
      <c r="D163" s="58"/>
      <c r="E163" s="58"/>
      <c r="F163" s="58"/>
      <c r="G163" s="58"/>
      <c r="H163" s="58"/>
      <c r="I163" s="58"/>
      <c r="J163" s="58"/>
      <c r="K163" s="58"/>
    </row>
    <row r="164" spans="2:11" s="30" customFormat="1" ht="16.5" customHeight="1">
      <c r="B164" s="1464"/>
      <c r="C164" s="57"/>
      <c r="D164" s="58"/>
      <c r="E164" s="58"/>
      <c r="F164" s="58"/>
      <c r="G164" s="58"/>
      <c r="H164" s="58"/>
      <c r="I164" s="58"/>
      <c r="J164" s="58"/>
      <c r="K164" s="58"/>
    </row>
    <row r="165" spans="2:11" s="30" customFormat="1" ht="16.5" customHeight="1">
      <c r="B165" s="1464"/>
      <c r="C165" s="57"/>
      <c r="D165" s="58"/>
      <c r="E165" s="58"/>
      <c r="F165" s="58"/>
      <c r="G165" s="58"/>
      <c r="H165" s="58"/>
      <c r="I165" s="58"/>
      <c r="J165" s="58"/>
      <c r="K165" s="58"/>
    </row>
    <row r="166" spans="2:11" s="30" customFormat="1" ht="16.5" customHeight="1">
      <c r="B166" s="1464"/>
      <c r="C166" s="57"/>
      <c r="D166" s="58"/>
      <c r="E166" s="58"/>
      <c r="F166" s="58"/>
      <c r="G166" s="58"/>
      <c r="H166" s="58"/>
      <c r="I166" s="58"/>
      <c r="J166" s="58"/>
      <c r="K166" s="58"/>
    </row>
    <row r="167" spans="2:11" s="30" customFormat="1" ht="16.5" customHeight="1">
      <c r="B167" s="1464"/>
      <c r="C167" s="57"/>
      <c r="D167" s="58"/>
      <c r="E167" s="58"/>
      <c r="F167" s="58"/>
      <c r="G167" s="58"/>
      <c r="H167" s="58"/>
      <c r="I167" s="58"/>
      <c r="J167" s="58"/>
      <c r="K167" s="58"/>
    </row>
    <row r="168" spans="2:11" s="30" customFormat="1" ht="16.5" customHeight="1">
      <c r="B168" s="1464"/>
      <c r="C168" s="57"/>
      <c r="D168" s="58"/>
      <c r="E168" s="58"/>
      <c r="F168" s="58"/>
      <c r="G168" s="58"/>
      <c r="H168" s="58"/>
      <c r="I168" s="58"/>
      <c r="J168" s="58"/>
      <c r="K168" s="58"/>
    </row>
    <row r="169" spans="2:11" s="30" customFormat="1" ht="16.5" customHeight="1">
      <c r="B169" s="1464"/>
      <c r="C169" s="57"/>
      <c r="D169" s="58"/>
      <c r="E169" s="58"/>
      <c r="F169" s="58"/>
      <c r="G169" s="58"/>
      <c r="H169" s="58"/>
      <c r="I169" s="58"/>
      <c r="J169" s="58"/>
      <c r="K169" s="58"/>
    </row>
    <row r="170" spans="2:11" s="30" customFormat="1" ht="16.5" customHeight="1">
      <c r="B170" s="1464"/>
      <c r="C170" s="57"/>
      <c r="D170" s="58"/>
      <c r="E170" s="58"/>
      <c r="F170" s="58"/>
      <c r="G170" s="58"/>
      <c r="H170" s="58"/>
      <c r="I170" s="58"/>
      <c r="J170" s="58"/>
      <c r="K170" s="58"/>
    </row>
    <row r="171" spans="2:11" s="30" customFormat="1" ht="16.5" customHeight="1">
      <c r="B171" s="1464"/>
      <c r="C171" s="57"/>
      <c r="D171" s="58"/>
      <c r="E171" s="58"/>
      <c r="F171" s="58"/>
      <c r="G171" s="58"/>
      <c r="H171" s="58"/>
      <c r="I171" s="58"/>
      <c r="J171" s="58"/>
      <c r="K171" s="58"/>
    </row>
    <row r="172" spans="2:11" s="30" customFormat="1" ht="16.5" customHeight="1">
      <c r="B172" s="1464"/>
      <c r="C172" s="57"/>
      <c r="D172" s="58"/>
      <c r="E172" s="58"/>
      <c r="F172" s="58"/>
      <c r="G172" s="58"/>
      <c r="H172" s="58"/>
      <c r="I172" s="58"/>
      <c r="J172" s="58"/>
      <c r="K172" s="58"/>
    </row>
    <row r="173" spans="2:11" s="30" customFormat="1" ht="16.5" customHeight="1">
      <c r="B173" s="1464"/>
      <c r="C173" s="57"/>
      <c r="D173" s="58"/>
      <c r="E173" s="58"/>
      <c r="F173" s="58"/>
      <c r="G173" s="58"/>
      <c r="H173" s="58"/>
      <c r="I173" s="58"/>
      <c r="J173" s="58"/>
      <c r="K173" s="58"/>
    </row>
    <row r="174" spans="2:11" s="30" customFormat="1" ht="16.5" customHeight="1">
      <c r="B174" s="1464"/>
      <c r="C174" s="57"/>
      <c r="D174" s="58"/>
      <c r="E174" s="58"/>
      <c r="F174" s="58"/>
      <c r="G174" s="58"/>
      <c r="H174" s="58"/>
      <c r="I174" s="58"/>
      <c r="J174" s="58"/>
      <c r="K174" s="58"/>
    </row>
    <row r="175" spans="2:11" s="30" customFormat="1" ht="16.5" customHeight="1">
      <c r="B175" s="1464"/>
      <c r="C175" s="57"/>
      <c r="D175" s="58"/>
      <c r="E175" s="58"/>
      <c r="F175" s="58"/>
      <c r="G175" s="58"/>
      <c r="H175" s="58"/>
      <c r="I175" s="58"/>
      <c r="J175" s="58"/>
      <c r="K175" s="58"/>
    </row>
    <row r="176" spans="2:11" s="30" customFormat="1" ht="16.5" customHeight="1">
      <c r="B176" s="1464"/>
      <c r="C176" s="57"/>
      <c r="D176" s="58"/>
      <c r="E176" s="58"/>
      <c r="F176" s="58"/>
      <c r="G176" s="58"/>
      <c r="H176" s="58"/>
      <c r="I176" s="58"/>
      <c r="J176" s="58"/>
      <c r="K176" s="58"/>
    </row>
    <row r="177" spans="2:11" s="30" customFormat="1" ht="16.5" customHeight="1">
      <c r="B177" s="1464"/>
      <c r="C177" s="57"/>
      <c r="D177" s="58"/>
      <c r="E177" s="58"/>
      <c r="F177" s="58"/>
      <c r="G177" s="58"/>
      <c r="H177" s="58"/>
      <c r="I177" s="58"/>
      <c r="J177" s="58"/>
      <c r="K177" s="58"/>
    </row>
    <row r="178" spans="2:11" ht="16.5" customHeight="1">
      <c r="B178" s="1464"/>
      <c r="C178" s="57"/>
      <c r="D178" s="58"/>
      <c r="E178" s="58"/>
      <c r="F178" s="58"/>
      <c r="G178" s="58"/>
      <c r="H178" s="58"/>
      <c r="I178" s="58"/>
      <c r="J178" s="58"/>
      <c r="K178" s="58"/>
    </row>
    <row r="179" spans="2:11" ht="16.5" customHeight="1">
      <c r="B179" s="1464"/>
      <c r="C179" s="57"/>
      <c r="D179" s="58"/>
      <c r="E179" s="58"/>
      <c r="F179" s="58"/>
      <c r="G179" s="58"/>
      <c r="H179" s="58"/>
      <c r="I179" s="58"/>
      <c r="J179" s="58"/>
      <c r="K179" s="58"/>
    </row>
    <row r="180" spans="2:11" ht="16.5" customHeight="1">
      <c r="B180" s="1464"/>
      <c r="C180" s="57"/>
      <c r="D180" s="58"/>
      <c r="E180" s="58"/>
      <c r="F180" s="58"/>
      <c r="G180" s="58"/>
      <c r="H180" s="58"/>
      <c r="I180" s="58"/>
      <c r="J180" s="58"/>
      <c r="K180" s="58"/>
    </row>
    <row r="181" spans="2:11" ht="16.5" customHeight="1">
      <c r="B181" s="1464"/>
      <c r="C181" s="57"/>
      <c r="D181" s="58"/>
      <c r="E181" s="58"/>
      <c r="F181" s="58"/>
      <c r="G181" s="58"/>
      <c r="H181" s="58"/>
      <c r="I181" s="58"/>
      <c r="J181" s="58"/>
      <c r="K181" s="58"/>
    </row>
    <row r="182" spans="2:11" ht="16.5" customHeight="1">
      <c r="B182" s="1464"/>
      <c r="C182" s="57"/>
      <c r="D182" s="58"/>
      <c r="E182" s="58"/>
      <c r="F182" s="58"/>
      <c r="G182" s="58"/>
      <c r="H182" s="58"/>
      <c r="I182" s="58"/>
      <c r="J182" s="58"/>
      <c r="K182" s="58"/>
    </row>
    <row r="183" spans="2:11" ht="16.5" customHeight="1">
      <c r="B183" s="1464"/>
      <c r="C183" s="57"/>
      <c r="D183" s="58"/>
      <c r="E183" s="58"/>
      <c r="F183" s="58"/>
      <c r="G183" s="58"/>
      <c r="H183" s="58"/>
      <c r="I183" s="58"/>
      <c r="J183" s="58"/>
      <c r="K183" s="58"/>
    </row>
    <row r="184" spans="2:11" ht="16.5" customHeight="1">
      <c r="B184" s="1464"/>
      <c r="C184" s="57"/>
      <c r="D184" s="58"/>
      <c r="E184" s="58"/>
      <c r="F184" s="58"/>
      <c r="G184" s="58"/>
      <c r="H184" s="58"/>
      <c r="I184" s="58"/>
      <c r="J184" s="58"/>
      <c r="K184" s="58"/>
    </row>
    <row r="185" spans="2:11" ht="16.5" customHeight="1">
      <c r="B185" s="1464"/>
      <c r="C185" s="57"/>
      <c r="D185" s="58"/>
      <c r="E185" s="58"/>
      <c r="F185" s="58"/>
      <c r="G185" s="58"/>
      <c r="H185" s="58"/>
      <c r="I185" s="58"/>
      <c r="J185" s="58"/>
      <c r="K185" s="58"/>
    </row>
    <row r="186" spans="2:11" ht="16.5" customHeight="1">
      <c r="B186" s="1464"/>
      <c r="C186" s="57"/>
      <c r="D186" s="58"/>
      <c r="E186" s="58"/>
      <c r="F186" s="58"/>
      <c r="G186" s="58"/>
      <c r="H186" s="58"/>
      <c r="I186" s="58"/>
      <c r="J186" s="58"/>
      <c r="K186" s="58"/>
    </row>
    <row r="187" spans="2:11" ht="16.5" customHeight="1">
      <c r="B187" s="1464"/>
      <c r="C187" s="57"/>
      <c r="D187" s="58"/>
      <c r="E187" s="58"/>
      <c r="F187" s="58"/>
      <c r="G187" s="58"/>
      <c r="H187" s="58"/>
      <c r="I187" s="58"/>
      <c r="J187" s="58"/>
      <c r="K187" s="58"/>
    </row>
    <row r="188" spans="2:11" ht="16.5" customHeight="1">
      <c r="B188" s="1464"/>
      <c r="C188" s="57"/>
      <c r="D188" s="58"/>
      <c r="E188" s="58"/>
      <c r="F188" s="58"/>
      <c r="G188" s="58"/>
      <c r="H188" s="58"/>
      <c r="I188" s="58"/>
      <c r="J188" s="58"/>
      <c r="K188" s="58"/>
    </row>
    <row r="189" spans="2:11" ht="16.5" customHeight="1">
      <c r="B189" s="1464"/>
      <c r="C189" s="57"/>
      <c r="D189" s="58"/>
      <c r="E189" s="58"/>
      <c r="F189" s="58"/>
      <c r="G189" s="58"/>
      <c r="H189" s="58"/>
      <c r="I189" s="58"/>
      <c r="J189" s="58"/>
      <c r="K189" s="58"/>
    </row>
    <row r="190" spans="2:11" ht="16.5" customHeight="1">
      <c r="B190" s="1464"/>
      <c r="C190" s="57"/>
      <c r="D190" s="58"/>
      <c r="E190" s="58"/>
      <c r="F190" s="58"/>
      <c r="G190" s="58"/>
      <c r="H190" s="58"/>
      <c r="I190" s="58"/>
      <c r="J190" s="58"/>
      <c r="K190" s="58"/>
    </row>
    <row r="191" spans="2:11" ht="16.5" customHeight="1">
      <c r="B191" s="1464"/>
      <c r="C191" s="57"/>
      <c r="D191" s="58"/>
      <c r="E191" s="58"/>
      <c r="F191" s="58"/>
      <c r="G191" s="58"/>
      <c r="H191" s="58"/>
      <c r="I191" s="58"/>
      <c r="J191" s="58"/>
      <c r="K191" s="58"/>
    </row>
    <row r="192" spans="2:11" ht="16.5" customHeight="1">
      <c r="B192" s="1464"/>
      <c r="C192" s="57"/>
      <c r="D192" s="58"/>
      <c r="E192" s="58"/>
      <c r="F192" s="58"/>
      <c r="G192" s="58"/>
      <c r="H192" s="58"/>
      <c r="I192" s="58"/>
      <c r="J192" s="58"/>
      <c r="K192" s="58"/>
    </row>
    <row r="193" spans="2:11" ht="16.5" customHeight="1">
      <c r="B193" s="1464"/>
      <c r="C193" s="57"/>
      <c r="D193" s="58"/>
      <c r="E193" s="58"/>
      <c r="F193" s="58"/>
      <c r="G193" s="58"/>
      <c r="H193" s="58"/>
      <c r="I193" s="58"/>
      <c r="J193" s="58"/>
      <c r="K193" s="58"/>
    </row>
    <row r="194" spans="2:11" ht="16.5" customHeight="1">
      <c r="B194" s="1464"/>
      <c r="C194" s="57"/>
      <c r="D194" s="58"/>
      <c r="E194" s="58"/>
      <c r="F194" s="58"/>
      <c r="G194" s="58"/>
      <c r="H194" s="58"/>
      <c r="I194" s="58"/>
      <c r="J194" s="58"/>
      <c r="K194" s="58"/>
    </row>
    <row r="195" spans="2:11" ht="16.5" customHeight="1">
      <c r="B195" s="1464"/>
      <c r="C195" s="57"/>
      <c r="D195" s="58"/>
      <c r="E195" s="58"/>
      <c r="F195" s="58"/>
      <c r="G195" s="58"/>
      <c r="H195" s="58"/>
      <c r="I195" s="58"/>
      <c r="J195" s="58"/>
      <c r="K195" s="58"/>
    </row>
    <row r="196" spans="2:11" ht="16.5" customHeight="1">
      <c r="B196" s="1464"/>
      <c r="C196" s="57"/>
      <c r="D196" s="58"/>
      <c r="E196" s="58"/>
      <c r="F196" s="58"/>
      <c r="G196" s="58"/>
      <c r="H196" s="58"/>
      <c r="I196" s="58"/>
      <c r="J196" s="58"/>
      <c r="K196" s="58"/>
    </row>
    <row r="197" spans="2:11" ht="16.5" customHeight="1">
      <c r="B197" s="1464"/>
      <c r="C197" s="57"/>
      <c r="D197" s="58"/>
      <c r="E197" s="58"/>
      <c r="F197" s="58"/>
      <c r="G197" s="58"/>
      <c r="H197" s="58"/>
      <c r="I197" s="58"/>
      <c r="J197" s="58"/>
      <c r="K197" s="58"/>
    </row>
    <row r="198" spans="2:11" ht="16.5" customHeight="1">
      <c r="B198" s="1464"/>
      <c r="C198" s="57"/>
      <c r="D198" s="58"/>
      <c r="E198" s="58"/>
      <c r="F198" s="58"/>
      <c r="G198" s="58"/>
      <c r="H198" s="58"/>
      <c r="I198" s="58"/>
      <c r="J198" s="58"/>
      <c r="K198" s="58"/>
    </row>
    <row r="199" spans="2:11" ht="16.5" customHeight="1">
      <c r="B199" s="1464"/>
      <c r="C199" s="57"/>
      <c r="D199" s="58"/>
      <c r="E199" s="58"/>
      <c r="F199" s="58"/>
      <c r="G199" s="58"/>
      <c r="H199" s="58"/>
      <c r="I199" s="58"/>
      <c r="J199" s="58"/>
      <c r="K199" s="58"/>
    </row>
    <row r="200" spans="2:11" ht="16.5" customHeight="1">
      <c r="B200" s="1464"/>
      <c r="C200" s="57"/>
      <c r="D200" s="58"/>
      <c r="E200" s="58"/>
      <c r="F200" s="58"/>
      <c r="G200" s="58"/>
      <c r="H200" s="58"/>
      <c r="I200" s="58"/>
      <c r="J200" s="58"/>
      <c r="K200" s="58"/>
    </row>
    <row r="201" spans="2:11" ht="16.5" customHeight="1">
      <c r="B201" s="1464"/>
      <c r="C201" s="57"/>
      <c r="D201" s="58"/>
      <c r="E201" s="58"/>
      <c r="F201" s="58"/>
      <c r="G201" s="58"/>
      <c r="H201" s="58"/>
      <c r="I201" s="58"/>
      <c r="J201" s="58"/>
      <c r="K201" s="58"/>
    </row>
    <row r="202" spans="2:11" ht="16.5" customHeight="1">
      <c r="B202" s="1464"/>
      <c r="C202" s="57"/>
      <c r="D202" s="58"/>
      <c r="E202" s="58"/>
      <c r="F202" s="58"/>
      <c r="G202" s="58"/>
      <c r="H202" s="58"/>
      <c r="I202" s="58"/>
      <c r="J202" s="58"/>
      <c r="K202" s="58"/>
    </row>
    <row r="203" spans="2:11" ht="16.5" customHeight="1">
      <c r="B203" s="1464"/>
      <c r="C203" s="57"/>
      <c r="D203" s="58"/>
      <c r="E203" s="58"/>
      <c r="F203" s="58"/>
      <c r="G203" s="58"/>
      <c r="H203" s="58"/>
      <c r="I203" s="58"/>
      <c r="J203" s="58"/>
      <c r="K203" s="58"/>
    </row>
    <row r="204" spans="2:11" ht="16.5" customHeight="1">
      <c r="B204" s="1464"/>
      <c r="C204" s="57"/>
      <c r="D204" s="58"/>
      <c r="E204" s="58"/>
      <c r="F204" s="58"/>
      <c r="G204" s="58"/>
      <c r="H204" s="58"/>
      <c r="I204" s="58"/>
      <c r="J204" s="58"/>
      <c r="K204" s="58"/>
    </row>
    <row r="205" spans="2:11" ht="16.5" customHeight="1">
      <c r="B205" s="1464"/>
      <c r="C205" s="57"/>
      <c r="D205" s="58"/>
      <c r="E205" s="58"/>
      <c r="F205" s="58"/>
      <c r="G205" s="58"/>
      <c r="H205" s="58"/>
      <c r="I205" s="58"/>
      <c r="J205" s="58"/>
      <c r="K205" s="58"/>
    </row>
    <row r="206" spans="2:11" ht="16.5" customHeight="1">
      <c r="B206" s="1464"/>
      <c r="C206" s="57"/>
      <c r="D206" s="58"/>
      <c r="E206" s="58"/>
      <c r="F206" s="58"/>
      <c r="G206" s="58"/>
      <c r="H206" s="58"/>
      <c r="I206" s="58"/>
      <c r="J206" s="58"/>
      <c r="K206" s="58"/>
    </row>
    <row r="207" spans="2:11" ht="16.5" customHeight="1">
      <c r="B207" s="1464"/>
      <c r="C207" s="57"/>
      <c r="D207" s="58"/>
      <c r="E207" s="58"/>
      <c r="F207" s="58"/>
      <c r="G207" s="58"/>
      <c r="H207" s="58"/>
      <c r="I207" s="58"/>
      <c r="J207" s="58"/>
      <c r="K207" s="58"/>
    </row>
    <row r="208" spans="2:11" ht="16.5" customHeight="1">
      <c r="B208" s="1464"/>
      <c r="C208" s="57"/>
      <c r="D208" s="58"/>
      <c r="E208" s="58"/>
      <c r="F208" s="58"/>
      <c r="G208" s="58"/>
      <c r="H208" s="58"/>
      <c r="I208" s="58"/>
      <c r="J208" s="58"/>
      <c r="K208" s="58"/>
    </row>
    <row r="209" spans="2:11" ht="16.5" customHeight="1">
      <c r="B209" s="1464"/>
      <c r="C209" s="57"/>
      <c r="D209" s="58"/>
      <c r="E209" s="58"/>
      <c r="F209" s="58"/>
      <c r="G209" s="58"/>
      <c r="H209" s="58"/>
      <c r="I209" s="58"/>
      <c r="J209" s="58"/>
      <c r="K209" s="58"/>
    </row>
    <row r="210" spans="2:11" ht="16.5" customHeight="1">
      <c r="B210" s="1464"/>
      <c r="C210" s="57"/>
      <c r="D210" s="58"/>
      <c r="E210" s="58"/>
      <c r="F210" s="58"/>
      <c r="G210" s="58"/>
      <c r="H210" s="58"/>
      <c r="I210" s="58"/>
      <c r="J210" s="58"/>
      <c r="K210" s="58"/>
    </row>
    <row r="211" spans="2:11" ht="16.5" customHeight="1">
      <c r="B211" s="1464"/>
      <c r="C211" s="57"/>
      <c r="D211" s="58"/>
      <c r="E211" s="58"/>
      <c r="F211" s="58"/>
      <c r="G211" s="58"/>
      <c r="H211" s="58"/>
      <c r="I211" s="58"/>
      <c r="J211" s="58"/>
      <c r="K211" s="58"/>
    </row>
    <row r="212" spans="2:11" ht="16.5" customHeight="1">
      <c r="B212" s="1464"/>
      <c r="C212" s="57"/>
      <c r="D212" s="58"/>
      <c r="E212" s="58"/>
      <c r="F212" s="58"/>
      <c r="G212" s="58"/>
      <c r="H212" s="58"/>
      <c r="I212" s="58"/>
      <c r="J212" s="58"/>
      <c r="K212" s="58"/>
    </row>
    <row r="213" spans="2:11" ht="16.5" customHeight="1">
      <c r="B213" s="1464"/>
      <c r="C213" s="57"/>
      <c r="D213" s="58"/>
      <c r="E213" s="58"/>
      <c r="F213" s="58"/>
      <c r="G213" s="58"/>
      <c r="H213" s="58"/>
      <c r="I213" s="58"/>
      <c r="J213" s="58"/>
      <c r="K213" s="58"/>
    </row>
    <row r="214" spans="2:11" ht="16.5" customHeight="1">
      <c r="B214" s="1464"/>
      <c r="C214" s="57"/>
      <c r="D214" s="58"/>
      <c r="E214" s="58"/>
      <c r="F214" s="58"/>
      <c r="G214" s="58"/>
      <c r="H214" s="58"/>
      <c r="I214" s="58"/>
      <c r="J214" s="58"/>
      <c r="K214" s="58"/>
    </row>
    <row r="215" spans="2:11" ht="16.5" customHeight="1">
      <c r="B215" s="1464"/>
      <c r="C215" s="57"/>
      <c r="D215" s="58"/>
      <c r="E215" s="58"/>
      <c r="F215" s="58"/>
      <c r="G215" s="58"/>
      <c r="H215" s="58"/>
      <c r="I215" s="58"/>
      <c r="J215" s="58"/>
      <c r="K215" s="58"/>
    </row>
    <row r="216" spans="2:11" ht="16.5" customHeight="1">
      <c r="B216" s="1464"/>
      <c r="C216" s="57"/>
      <c r="D216" s="58"/>
      <c r="E216" s="58"/>
      <c r="F216" s="58"/>
      <c r="G216" s="58"/>
      <c r="H216" s="58"/>
      <c r="I216" s="58"/>
      <c r="J216" s="58"/>
      <c r="K216" s="58"/>
    </row>
    <row r="217" spans="2:11" ht="16.5" customHeight="1">
      <c r="B217" s="1464"/>
      <c r="C217" s="57"/>
      <c r="D217" s="58"/>
      <c r="E217" s="58"/>
      <c r="F217" s="58"/>
      <c r="G217" s="58"/>
      <c r="H217" s="58"/>
      <c r="I217" s="58"/>
      <c r="J217" s="58"/>
      <c r="K217" s="58"/>
    </row>
    <row r="218" spans="2:11" ht="16.5" customHeight="1">
      <c r="B218" s="1464"/>
      <c r="C218" s="57"/>
      <c r="D218" s="58"/>
      <c r="E218" s="58"/>
      <c r="F218" s="58"/>
      <c r="G218" s="58"/>
      <c r="H218" s="58"/>
      <c r="I218" s="58"/>
      <c r="J218" s="58"/>
      <c r="K218" s="58"/>
    </row>
    <row r="219" spans="2:11" ht="16.5" customHeight="1">
      <c r="B219" s="1464"/>
      <c r="C219" s="57"/>
      <c r="D219" s="58"/>
      <c r="E219" s="58"/>
      <c r="F219" s="58"/>
      <c r="G219" s="58"/>
      <c r="H219" s="58"/>
      <c r="I219" s="58"/>
      <c r="J219" s="58"/>
      <c r="K219" s="58"/>
    </row>
    <row r="220" spans="2:11" ht="16.5" customHeight="1">
      <c r="B220" s="1464"/>
      <c r="C220" s="57"/>
      <c r="D220" s="58"/>
      <c r="E220" s="58"/>
      <c r="F220" s="58"/>
      <c r="G220" s="58"/>
      <c r="H220" s="58"/>
      <c r="I220" s="58"/>
      <c r="J220" s="58"/>
      <c r="K220" s="58"/>
    </row>
    <row r="221" spans="2:11" ht="16.5" customHeight="1">
      <c r="B221" s="1464"/>
      <c r="C221" s="57"/>
      <c r="D221" s="58"/>
      <c r="E221" s="58"/>
      <c r="F221" s="58"/>
      <c r="G221" s="58"/>
      <c r="H221" s="58"/>
      <c r="I221" s="58"/>
      <c r="J221" s="58"/>
      <c r="K221" s="58"/>
    </row>
    <row r="222" spans="2:11" ht="16.5" customHeight="1">
      <c r="B222" s="1464"/>
      <c r="C222" s="57"/>
      <c r="D222" s="58"/>
      <c r="E222" s="58"/>
      <c r="F222" s="58"/>
      <c r="G222" s="58"/>
      <c r="H222" s="58"/>
      <c r="I222" s="58"/>
      <c r="J222" s="58"/>
      <c r="K222" s="58"/>
    </row>
    <row r="223" spans="2:11" ht="16.5" customHeight="1">
      <c r="B223" s="1464"/>
      <c r="C223" s="57"/>
      <c r="D223" s="58"/>
      <c r="E223" s="58"/>
      <c r="F223" s="58"/>
      <c r="G223" s="58"/>
      <c r="H223" s="58"/>
      <c r="I223" s="58"/>
      <c r="J223" s="58"/>
      <c r="K223" s="58"/>
    </row>
    <row r="224" spans="2:11" ht="16.5" customHeight="1">
      <c r="B224" s="1464"/>
      <c r="C224" s="57"/>
      <c r="D224" s="58"/>
      <c r="E224" s="58"/>
      <c r="F224" s="58"/>
      <c r="G224" s="58"/>
      <c r="H224" s="58"/>
      <c r="I224" s="58"/>
      <c r="J224" s="58"/>
      <c r="K224" s="58"/>
    </row>
    <row r="225" spans="2:11" ht="16.5" customHeight="1">
      <c r="B225" s="1464"/>
      <c r="C225" s="57"/>
      <c r="D225" s="58"/>
      <c r="E225" s="58"/>
      <c r="F225" s="58"/>
      <c r="G225" s="58"/>
      <c r="H225" s="58"/>
      <c r="I225" s="58"/>
      <c r="J225" s="58"/>
      <c r="K225" s="58"/>
    </row>
    <row r="226" spans="2:11" ht="16.5" customHeight="1">
      <c r="B226" s="1464"/>
      <c r="C226" s="57"/>
      <c r="D226" s="58"/>
      <c r="E226" s="58"/>
      <c r="F226" s="58"/>
      <c r="G226" s="58"/>
      <c r="H226" s="58"/>
      <c r="I226" s="58"/>
      <c r="J226" s="58"/>
      <c r="K226" s="58"/>
    </row>
    <row r="227" spans="2:11" ht="16.5" customHeight="1">
      <c r="B227" s="1464"/>
      <c r="C227" s="57"/>
      <c r="D227" s="58"/>
      <c r="E227" s="58"/>
      <c r="F227" s="58"/>
      <c r="G227" s="58"/>
      <c r="H227" s="58"/>
      <c r="I227" s="58"/>
      <c r="J227" s="58"/>
      <c r="K227" s="58"/>
    </row>
    <row r="228" spans="2:11" ht="16.5" customHeight="1">
      <c r="B228" s="1464"/>
      <c r="C228" s="57"/>
      <c r="D228" s="58"/>
      <c r="E228" s="58"/>
      <c r="F228" s="58"/>
      <c r="G228" s="58"/>
      <c r="H228" s="58"/>
      <c r="I228" s="58"/>
      <c r="J228" s="58"/>
      <c r="K228" s="58"/>
    </row>
    <row r="229" spans="2:11" ht="16.5" customHeight="1">
      <c r="B229" s="1464"/>
      <c r="C229" s="57"/>
      <c r="D229" s="58"/>
      <c r="E229" s="58"/>
      <c r="F229" s="58"/>
      <c r="G229" s="58"/>
      <c r="H229" s="58"/>
      <c r="I229" s="58"/>
      <c r="J229" s="58"/>
      <c r="K229" s="58"/>
    </row>
    <row r="230" spans="2:11" ht="16.5" customHeight="1">
      <c r="B230" s="1464"/>
      <c r="C230" s="57"/>
      <c r="D230" s="58"/>
      <c r="E230" s="58"/>
      <c r="F230" s="58"/>
      <c r="G230" s="58"/>
      <c r="H230" s="58"/>
      <c r="I230" s="58"/>
      <c r="J230" s="58"/>
      <c r="K230" s="58"/>
    </row>
    <row r="231" spans="2:11" ht="16.5" customHeight="1">
      <c r="B231" s="1464"/>
      <c r="C231" s="57"/>
      <c r="D231" s="58"/>
      <c r="E231" s="58"/>
      <c r="F231" s="58"/>
      <c r="G231" s="58"/>
      <c r="H231" s="58"/>
      <c r="I231" s="58"/>
      <c r="J231" s="58"/>
      <c r="K231" s="58"/>
    </row>
    <row r="232" spans="2:11" ht="16.5" customHeight="1">
      <c r="B232" s="1464"/>
      <c r="C232" s="57"/>
      <c r="D232" s="58"/>
      <c r="E232" s="58"/>
      <c r="F232" s="58"/>
      <c r="G232" s="58"/>
      <c r="H232" s="58"/>
      <c r="I232" s="58"/>
      <c r="J232" s="58"/>
      <c r="K232" s="58"/>
    </row>
    <row r="233" spans="2:11" ht="16.5" customHeight="1">
      <c r="B233" s="1464"/>
      <c r="C233" s="57"/>
      <c r="D233" s="58"/>
      <c r="E233" s="58"/>
      <c r="F233" s="58"/>
      <c r="G233" s="58"/>
      <c r="H233" s="58"/>
      <c r="I233" s="58"/>
      <c r="J233" s="58"/>
      <c r="K233" s="58"/>
    </row>
    <row r="234" spans="2:11" ht="16.5" customHeight="1">
      <c r="B234" s="1464"/>
      <c r="C234" s="57"/>
      <c r="D234" s="58"/>
      <c r="E234" s="58"/>
      <c r="F234" s="58"/>
      <c r="G234" s="58"/>
      <c r="H234" s="58"/>
      <c r="I234" s="58"/>
      <c r="J234" s="58"/>
      <c r="K234" s="58"/>
    </row>
    <row r="235" spans="2:11" ht="16.5" customHeight="1">
      <c r="B235" s="1464"/>
      <c r="C235" s="57"/>
      <c r="D235" s="58"/>
      <c r="E235" s="58"/>
      <c r="F235" s="58"/>
      <c r="G235" s="58"/>
      <c r="H235" s="58"/>
      <c r="I235" s="58"/>
      <c r="J235" s="58"/>
      <c r="K235" s="58"/>
    </row>
    <row r="236" spans="2:11" ht="16.5" customHeight="1">
      <c r="B236" s="1464"/>
      <c r="C236" s="57"/>
      <c r="D236" s="58"/>
      <c r="E236" s="58"/>
      <c r="F236" s="58"/>
      <c r="G236" s="58"/>
      <c r="H236" s="58"/>
      <c r="I236" s="58"/>
      <c r="J236" s="58"/>
      <c r="K236" s="58"/>
    </row>
    <row r="237" spans="2:11" ht="16.5" customHeight="1">
      <c r="B237" s="1464"/>
      <c r="C237" s="57"/>
      <c r="D237" s="58"/>
      <c r="E237" s="58"/>
      <c r="F237" s="58"/>
      <c r="G237" s="58"/>
      <c r="H237" s="58"/>
      <c r="I237" s="58"/>
      <c r="J237" s="58"/>
      <c r="K237" s="58"/>
    </row>
    <row r="238" spans="2:11" ht="16.5" customHeight="1">
      <c r="B238" s="1464"/>
      <c r="C238" s="57"/>
      <c r="D238" s="58"/>
      <c r="E238" s="58"/>
      <c r="F238" s="58"/>
      <c r="G238" s="58"/>
      <c r="H238" s="58"/>
      <c r="I238" s="58"/>
      <c r="J238" s="58"/>
      <c r="K238" s="58"/>
    </row>
    <row r="239" spans="2:11" ht="16.5" customHeight="1">
      <c r="B239" s="1464"/>
      <c r="C239" s="57"/>
      <c r="D239" s="58"/>
      <c r="E239" s="58"/>
      <c r="F239" s="58"/>
      <c r="G239" s="58"/>
      <c r="H239" s="58"/>
      <c r="I239" s="58"/>
      <c r="J239" s="58"/>
      <c r="K239" s="58"/>
    </row>
    <row r="240" spans="2:11" s="30" customFormat="1" ht="16.5" customHeight="1">
      <c r="B240" s="1464"/>
      <c r="C240" s="57"/>
      <c r="D240" s="58"/>
      <c r="E240" s="58"/>
      <c r="F240" s="58"/>
      <c r="G240" s="58"/>
      <c r="H240" s="58"/>
      <c r="I240" s="58"/>
      <c r="J240" s="58"/>
      <c r="K240" s="58"/>
    </row>
    <row r="241" spans="1:11" s="30" customFormat="1" ht="16.5" customHeight="1">
      <c r="A241" s="59"/>
      <c r="B241" s="1464"/>
      <c r="C241" s="57"/>
      <c r="D241" s="58"/>
      <c r="E241" s="58"/>
      <c r="F241" s="58"/>
      <c r="G241" s="58"/>
      <c r="H241" s="58"/>
      <c r="I241" s="58"/>
      <c r="J241" s="58"/>
      <c r="K241" s="58"/>
    </row>
    <row r="242" spans="1:11" s="30" customFormat="1" ht="16.5" customHeight="1">
      <c r="A242" s="59"/>
      <c r="B242" s="1464"/>
      <c r="C242" s="57"/>
      <c r="D242" s="58"/>
      <c r="E242" s="58"/>
      <c r="F242" s="58"/>
      <c r="G242" s="58"/>
      <c r="H242" s="58"/>
      <c r="I242" s="58"/>
      <c r="J242" s="58"/>
      <c r="K242" s="58"/>
    </row>
    <row r="243" spans="1:11" s="30" customFormat="1" ht="16.5" customHeight="1">
      <c r="A243" s="59"/>
      <c r="B243" s="1464"/>
      <c r="C243" s="57"/>
      <c r="D243" s="58"/>
      <c r="E243" s="58"/>
      <c r="F243" s="58"/>
      <c r="G243" s="58"/>
      <c r="H243" s="58"/>
      <c r="I243" s="58"/>
      <c r="J243" s="58"/>
      <c r="K243" s="58"/>
    </row>
    <row r="244" spans="1:11" s="30" customFormat="1" ht="16.5" customHeight="1">
      <c r="A244" s="59"/>
      <c r="B244" s="1464"/>
      <c r="C244" s="57"/>
      <c r="D244" s="58"/>
      <c r="E244" s="58"/>
      <c r="F244" s="58"/>
      <c r="G244" s="58"/>
      <c r="H244" s="58"/>
      <c r="I244" s="58"/>
      <c r="J244" s="58"/>
      <c r="K244" s="58"/>
    </row>
    <row r="245" spans="1:11" s="30" customFormat="1" ht="16.5" customHeight="1">
      <c r="B245" s="1464"/>
      <c r="C245" s="57"/>
      <c r="D245" s="58"/>
      <c r="E245" s="58"/>
      <c r="F245" s="58"/>
      <c r="G245" s="58"/>
      <c r="H245" s="58"/>
      <c r="I245" s="58"/>
      <c r="J245" s="58"/>
      <c r="K245" s="58"/>
    </row>
    <row r="246" spans="1:11" s="30" customFormat="1" ht="16.5" customHeight="1">
      <c r="A246" s="59"/>
      <c r="B246" s="1464"/>
      <c r="C246" s="57"/>
      <c r="D246" s="58"/>
      <c r="E246" s="58"/>
      <c r="F246" s="58"/>
      <c r="G246" s="58"/>
      <c r="H246" s="58"/>
      <c r="I246" s="58"/>
      <c r="J246" s="58"/>
      <c r="K246" s="58"/>
    </row>
    <row r="247" spans="1:11" s="30" customFormat="1" ht="16.5" customHeight="1">
      <c r="A247" s="59"/>
      <c r="B247" s="1464"/>
      <c r="C247" s="57"/>
      <c r="D247" s="58"/>
      <c r="E247" s="58"/>
      <c r="F247" s="58"/>
      <c r="G247" s="58"/>
      <c r="H247" s="58"/>
      <c r="I247" s="58"/>
      <c r="J247" s="58"/>
      <c r="K247" s="58"/>
    </row>
    <row r="248" spans="1:11" s="30" customFormat="1" ht="16.5" customHeight="1">
      <c r="B248" s="1464"/>
      <c r="C248" s="57"/>
      <c r="D248" s="58"/>
      <c r="E248" s="58"/>
      <c r="F248" s="58"/>
      <c r="G248" s="58"/>
      <c r="H248" s="58"/>
      <c r="I248" s="58"/>
      <c r="J248" s="58"/>
      <c r="K248" s="58"/>
    </row>
    <row r="249" spans="1:11" ht="16.5" customHeight="1">
      <c r="B249" s="1464"/>
      <c r="C249" s="57"/>
      <c r="D249" s="58"/>
      <c r="E249" s="58"/>
      <c r="F249" s="58"/>
      <c r="G249" s="58"/>
      <c r="H249" s="58"/>
      <c r="I249" s="58"/>
      <c r="J249" s="58"/>
      <c r="K249" s="58"/>
    </row>
    <row r="250" spans="1:11" s="30" customFormat="1" ht="16.5" customHeight="1">
      <c r="B250" s="1464"/>
      <c r="C250" s="57"/>
      <c r="D250" s="58"/>
      <c r="E250" s="58"/>
      <c r="F250" s="58"/>
      <c r="G250" s="58"/>
      <c r="H250" s="58"/>
      <c r="I250" s="58"/>
      <c r="J250" s="58"/>
      <c r="K250" s="58"/>
    </row>
    <row r="251" spans="1:11" s="30" customFormat="1" ht="16.5" customHeight="1">
      <c r="B251" s="1464"/>
      <c r="C251" s="57"/>
      <c r="D251" s="58"/>
      <c r="E251" s="58"/>
      <c r="F251" s="58"/>
      <c r="G251" s="58"/>
      <c r="H251" s="58"/>
      <c r="I251" s="58"/>
      <c r="J251" s="58"/>
      <c r="K251" s="58"/>
    </row>
    <row r="252" spans="1:11" s="30" customFormat="1" ht="16.5" customHeight="1">
      <c r="B252" s="1464"/>
      <c r="C252" s="57"/>
      <c r="D252" s="58"/>
      <c r="E252" s="58"/>
      <c r="F252" s="58"/>
      <c r="G252" s="58"/>
      <c r="H252" s="58"/>
      <c r="I252" s="58"/>
      <c r="J252" s="58"/>
      <c r="K252" s="58"/>
    </row>
    <row r="253" spans="1:11" s="30" customFormat="1" ht="16.5" customHeight="1">
      <c r="B253" s="1464"/>
      <c r="C253" s="57"/>
      <c r="D253" s="58"/>
      <c r="E253" s="58"/>
      <c r="F253" s="58"/>
      <c r="G253" s="58"/>
      <c r="H253" s="58"/>
      <c r="I253" s="58"/>
      <c r="J253" s="58"/>
      <c r="K253" s="58"/>
    </row>
    <row r="254" spans="1:11" s="30" customFormat="1" ht="16.5" customHeight="1">
      <c r="B254" s="1464"/>
      <c r="C254" s="57"/>
      <c r="D254" s="58"/>
      <c r="E254" s="58"/>
      <c r="F254" s="58"/>
      <c r="G254" s="58"/>
      <c r="H254" s="58"/>
      <c r="I254" s="58"/>
      <c r="J254" s="58"/>
      <c r="K254" s="58"/>
    </row>
    <row r="255" spans="1:11" s="30" customFormat="1" ht="16.5" customHeight="1">
      <c r="B255" s="1464"/>
      <c r="C255" s="57"/>
      <c r="D255" s="58"/>
      <c r="E255" s="58"/>
      <c r="F255" s="58"/>
      <c r="G255" s="58"/>
      <c r="H255" s="58"/>
      <c r="I255" s="58"/>
      <c r="J255" s="58"/>
      <c r="K255" s="58"/>
    </row>
    <row r="256" spans="1:11" s="30" customFormat="1" ht="16.5" customHeight="1">
      <c r="B256" s="1464"/>
      <c r="C256" s="57"/>
      <c r="D256" s="58"/>
      <c r="E256" s="58"/>
      <c r="F256" s="58"/>
      <c r="G256" s="58"/>
      <c r="H256" s="58"/>
      <c r="I256" s="58"/>
      <c r="J256" s="58"/>
      <c r="K256" s="58"/>
    </row>
    <row r="257" spans="2:11" s="30" customFormat="1" ht="16.5" customHeight="1">
      <c r="B257" s="1464"/>
      <c r="C257" s="57"/>
      <c r="D257" s="58"/>
      <c r="E257" s="58"/>
      <c r="F257" s="58"/>
      <c r="G257" s="58"/>
      <c r="H257" s="58"/>
      <c r="I257" s="58"/>
      <c r="J257" s="58"/>
      <c r="K257" s="58"/>
    </row>
    <row r="258" spans="2:11" s="30" customFormat="1" ht="16.5" customHeight="1">
      <c r="B258" s="1464"/>
      <c r="C258" s="57"/>
      <c r="D258" s="58"/>
      <c r="E258" s="58"/>
      <c r="F258" s="58"/>
      <c r="G258" s="58"/>
      <c r="H258" s="58"/>
      <c r="I258" s="58"/>
      <c r="J258" s="58"/>
      <c r="K258" s="58"/>
    </row>
    <row r="259" spans="2:11" s="30" customFormat="1" ht="16.5" customHeight="1">
      <c r="B259" s="1464"/>
      <c r="C259" s="57"/>
      <c r="D259" s="58"/>
      <c r="E259" s="58"/>
      <c r="F259" s="58"/>
      <c r="G259" s="58"/>
      <c r="H259" s="58"/>
      <c r="I259" s="58"/>
      <c r="J259" s="58"/>
      <c r="K259" s="58"/>
    </row>
    <row r="260" spans="2:11" ht="16.5" customHeight="1">
      <c r="B260" s="1464"/>
      <c r="C260" s="57"/>
      <c r="D260" s="58"/>
      <c r="E260" s="58"/>
      <c r="F260" s="58"/>
      <c r="G260" s="58"/>
      <c r="H260" s="58"/>
      <c r="I260" s="58"/>
      <c r="J260" s="58"/>
      <c r="K260" s="58"/>
    </row>
    <row r="261" spans="2:11" ht="16.5" customHeight="1">
      <c r="B261" s="1464"/>
      <c r="C261" s="57"/>
      <c r="D261" s="58"/>
      <c r="E261" s="58"/>
      <c r="F261" s="58"/>
      <c r="G261" s="58"/>
      <c r="H261" s="58"/>
      <c r="I261" s="58"/>
      <c r="J261" s="58"/>
      <c r="K261" s="58"/>
    </row>
    <row r="262" spans="2:11" s="30" customFormat="1" ht="16.5" customHeight="1">
      <c r="B262" s="1464"/>
      <c r="C262" s="57"/>
      <c r="D262" s="58"/>
      <c r="E262" s="58"/>
      <c r="F262" s="58"/>
      <c r="G262" s="58"/>
      <c r="H262" s="58"/>
      <c r="I262" s="58"/>
      <c r="J262" s="58"/>
      <c r="K262" s="58"/>
    </row>
    <row r="263" spans="2:11" s="30" customFormat="1" ht="16.5" customHeight="1">
      <c r="B263" s="1464"/>
      <c r="C263" s="57"/>
      <c r="D263" s="58"/>
      <c r="E263" s="58"/>
      <c r="F263" s="58"/>
      <c r="G263" s="58"/>
      <c r="H263" s="58"/>
      <c r="I263" s="58"/>
      <c r="J263" s="58"/>
      <c r="K263" s="58"/>
    </row>
    <row r="264" spans="2:11" s="30" customFormat="1" ht="16.5" customHeight="1">
      <c r="B264" s="1464"/>
      <c r="C264" s="57"/>
      <c r="D264" s="58"/>
      <c r="E264" s="58"/>
      <c r="F264" s="58"/>
      <c r="G264" s="58"/>
      <c r="H264" s="58"/>
      <c r="I264" s="58"/>
      <c r="J264" s="58"/>
      <c r="K264" s="58"/>
    </row>
    <row r="265" spans="2:11" s="30" customFormat="1" ht="16.5" customHeight="1">
      <c r="B265" s="1464"/>
      <c r="C265" s="57"/>
      <c r="D265" s="58"/>
      <c r="E265" s="58"/>
      <c r="F265" s="58"/>
      <c r="G265" s="58"/>
      <c r="H265" s="58"/>
      <c r="I265" s="58"/>
      <c r="J265" s="58"/>
      <c r="K265" s="58"/>
    </row>
    <row r="266" spans="2:11" s="30" customFormat="1" ht="16.5" customHeight="1">
      <c r="B266" s="1464"/>
      <c r="C266" s="57"/>
      <c r="D266" s="58"/>
      <c r="E266" s="58"/>
      <c r="F266" s="58"/>
      <c r="G266" s="58"/>
      <c r="H266" s="58"/>
      <c r="I266" s="58"/>
      <c r="J266" s="58"/>
      <c r="K266" s="58"/>
    </row>
    <row r="267" spans="2:11" s="30" customFormat="1" ht="16.5" customHeight="1">
      <c r="B267" s="1464"/>
      <c r="C267" s="57"/>
      <c r="D267" s="58"/>
      <c r="E267" s="58"/>
      <c r="F267" s="58"/>
      <c r="G267" s="58"/>
      <c r="H267" s="58"/>
      <c r="I267" s="58"/>
      <c r="J267" s="58"/>
      <c r="K267" s="58"/>
    </row>
    <row r="268" spans="2:11" s="30" customFormat="1" ht="16.5" customHeight="1">
      <c r="B268" s="1464"/>
      <c r="C268" s="57"/>
      <c r="D268" s="58"/>
      <c r="E268" s="58"/>
      <c r="F268" s="58"/>
      <c r="G268" s="58"/>
      <c r="H268" s="58"/>
      <c r="I268" s="58"/>
      <c r="J268" s="58"/>
      <c r="K268" s="58"/>
    </row>
    <row r="269" spans="2:11" s="30" customFormat="1" ht="16.5" customHeight="1">
      <c r="B269" s="1464"/>
      <c r="C269" s="57"/>
      <c r="D269" s="58"/>
      <c r="E269" s="58"/>
      <c r="F269" s="58"/>
      <c r="G269" s="58"/>
      <c r="H269" s="58"/>
      <c r="I269" s="58"/>
      <c r="J269" s="58"/>
      <c r="K269" s="58"/>
    </row>
    <row r="270" spans="2:11" s="30" customFormat="1" ht="16.5" customHeight="1">
      <c r="B270" s="1464"/>
      <c r="C270" s="57"/>
      <c r="D270" s="58"/>
      <c r="E270" s="58"/>
      <c r="F270" s="58"/>
      <c r="G270" s="58"/>
      <c r="H270" s="58"/>
      <c r="I270" s="58"/>
      <c r="J270" s="58"/>
      <c r="K270" s="58"/>
    </row>
    <row r="271" spans="2:11" s="30" customFormat="1" ht="16.5" customHeight="1">
      <c r="B271" s="1464"/>
      <c r="C271" s="57"/>
      <c r="D271" s="58"/>
      <c r="E271" s="58"/>
      <c r="F271" s="58"/>
      <c r="G271" s="58"/>
      <c r="H271" s="58"/>
      <c r="I271" s="58"/>
      <c r="J271" s="58"/>
      <c r="K271" s="58"/>
    </row>
    <row r="272" spans="2:11" s="30" customFormat="1" ht="16.5" customHeight="1">
      <c r="B272" s="1464"/>
      <c r="C272" s="57"/>
      <c r="D272" s="58"/>
      <c r="E272" s="58"/>
      <c r="F272" s="58"/>
      <c r="G272" s="58"/>
      <c r="H272" s="58"/>
      <c r="I272" s="58"/>
      <c r="J272" s="58"/>
      <c r="K272" s="58"/>
    </row>
    <row r="273" spans="2:11" s="30" customFormat="1" ht="16.5" customHeight="1">
      <c r="B273" s="1464"/>
      <c r="C273" s="57"/>
      <c r="D273" s="58"/>
      <c r="E273" s="58"/>
      <c r="F273" s="58"/>
      <c r="G273" s="58"/>
      <c r="H273" s="58"/>
      <c r="I273" s="58"/>
      <c r="J273" s="58"/>
      <c r="K273" s="58"/>
    </row>
    <row r="274" spans="2:11" s="30" customFormat="1" ht="16.5" customHeight="1">
      <c r="B274" s="1464"/>
      <c r="C274" s="57"/>
      <c r="D274" s="58"/>
      <c r="E274" s="58"/>
      <c r="F274" s="58"/>
      <c r="G274" s="58"/>
      <c r="H274" s="58"/>
      <c r="I274" s="58"/>
      <c r="J274" s="58"/>
      <c r="K274" s="58"/>
    </row>
    <row r="275" spans="2:11" s="30" customFormat="1" ht="16.5" customHeight="1">
      <c r="B275" s="1464"/>
      <c r="C275" s="57"/>
      <c r="D275" s="58"/>
      <c r="E275" s="58"/>
      <c r="F275" s="58"/>
      <c r="G275" s="58"/>
      <c r="H275" s="58"/>
      <c r="I275" s="58"/>
      <c r="J275" s="58"/>
      <c r="K275" s="58"/>
    </row>
    <row r="276" spans="2:11" ht="16.5" customHeight="1">
      <c r="B276" s="1464"/>
      <c r="C276" s="57"/>
      <c r="D276" s="58"/>
      <c r="E276" s="58"/>
      <c r="F276" s="58"/>
      <c r="G276" s="58"/>
      <c r="H276" s="58"/>
      <c r="I276" s="58"/>
      <c r="J276" s="58"/>
      <c r="K276" s="58"/>
    </row>
    <row r="277" spans="2:11" ht="16.5" customHeight="1">
      <c r="B277" s="1464"/>
      <c r="C277" s="57"/>
      <c r="D277" s="58"/>
      <c r="E277" s="58"/>
      <c r="F277" s="58"/>
      <c r="G277" s="58"/>
      <c r="H277" s="58"/>
      <c r="I277" s="58"/>
      <c r="J277" s="58"/>
      <c r="K277" s="58"/>
    </row>
    <row r="278" spans="2:11" ht="16.5" customHeight="1">
      <c r="B278" s="1464"/>
      <c r="C278" s="57"/>
      <c r="D278" s="58"/>
      <c r="E278" s="58"/>
      <c r="F278" s="58"/>
      <c r="G278" s="58"/>
      <c r="H278" s="58"/>
      <c r="I278" s="58"/>
      <c r="J278" s="58"/>
      <c r="K278" s="58"/>
    </row>
    <row r="279" spans="2:11" ht="16.5" customHeight="1">
      <c r="B279" s="1464"/>
      <c r="C279" s="57"/>
      <c r="D279" s="58"/>
      <c r="E279" s="58"/>
      <c r="F279" s="58"/>
      <c r="G279" s="58"/>
      <c r="H279" s="58"/>
      <c r="I279" s="58"/>
      <c r="J279" s="58"/>
      <c r="K279" s="58"/>
    </row>
    <row r="280" spans="2:11" ht="16.5" customHeight="1">
      <c r="B280" s="1464"/>
      <c r="C280" s="57"/>
      <c r="D280" s="58"/>
      <c r="E280" s="58"/>
      <c r="F280" s="58"/>
      <c r="G280" s="58"/>
      <c r="H280" s="58"/>
      <c r="I280" s="58"/>
      <c r="J280" s="58"/>
      <c r="K280" s="58"/>
    </row>
    <row r="281" spans="2:11" ht="16.5" customHeight="1">
      <c r="B281" s="1464"/>
      <c r="C281" s="57"/>
      <c r="D281" s="58"/>
      <c r="E281" s="58"/>
      <c r="F281" s="58"/>
      <c r="G281" s="58"/>
      <c r="H281" s="58"/>
      <c r="I281" s="58"/>
      <c r="J281" s="58"/>
      <c r="K281" s="58"/>
    </row>
    <row r="282" spans="2:11" ht="16.5" customHeight="1">
      <c r="B282" s="1464"/>
      <c r="C282" s="57"/>
      <c r="D282" s="58"/>
      <c r="E282" s="58"/>
      <c r="F282" s="58"/>
      <c r="G282" s="58"/>
      <c r="H282" s="58"/>
      <c r="I282" s="58"/>
      <c r="J282" s="58"/>
      <c r="K282" s="58"/>
    </row>
    <row r="283" spans="2:11" ht="16.5" customHeight="1">
      <c r="B283" s="1464"/>
      <c r="C283" s="57"/>
      <c r="D283" s="58"/>
      <c r="E283" s="58"/>
      <c r="F283" s="58"/>
      <c r="G283" s="58"/>
      <c r="H283" s="58"/>
      <c r="I283" s="58"/>
      <c r="J283" s="58"/>
      <c r="K283" s="58"/>
    </row>
    <row r="284" spans="2:11" ht="16.5" customHeight="1">
      <c r="B284" s="1464"/>
      <c r="C284" s="57"/>
      <c r="D284" s="58"/>
      <c r="E284" s="58"/>
      <c r="F284" s="58"/>
      <c r="G284" s="58"/>
      <c r="H284" s="58"/>
      <c r="I284" s="58"/>
      <c r="J284" s="58"/>
      <c r="K284" s="58"/>
    </row>
    <row r="285" spans="2:11" ht="16.5" customHeight="1">
      <c r="B285" s="1464"/>
      <c r="C285" s="57"/>
      <c r="D285" s="58"/>
      <c r="E285" s="58"/>
      <c r="F285" s="58"/>
      <c r="G285" s="58"/>
      <c r="H285" s="58"/>
      <c r="I285" s="58"/>
      <c r="J285" s="58"/>
      <c r="K285" s="58"/>
    </row>
    <row r="286" spans="2:11" ht="16.5" customHeight="1">
      <c r="B286" s="1464"/>
      <c r="C286" s="57"/>
      <c r="D286" s="58"/>
      <c r="E286" s="58"/>
      <c r="F286" s="58"/>
      <c r="G286" s="58"/>
      <c r="H286" s="58"/>
      <c r="I286" s="58"/>
      <c r="J286" s="58"/>
      <c r="K286" s="58"/>
    </row>
    <row r="287" spans="2:11" ht="16.5" customHeight="1">
      <c r="B287" s="1464"/>
      <c r="C287" s="57"/>
      <c r="D287" s="58"/>
      <c r="E287" s="58"/>
      <c r="F287" s="58"/>
      <c r="G287" s="58"/>
      <c r="H287" s="58"/>
      <c r="I287" s="58"/>
      <c r="J287" s="58"/>
      <c r="K287" s="58"/>
    </row>
    <row r="288" spans="2:11" ht="16.5" customHeight="1">
      <c r="B288" s="1464"/>
      <c r="C288" s="57"/>
      <c r="D288" s="58"/>
      <c r="E288" s="58"/>
      <c r="F288" s="58"/>
      <c r="G288" s="58"/>
      <c r="H288" s="58"/>
      <c r="I288" s="58"/>
      <c r="J288" s="58"/>
      <c r="K288" s="58"/>
    </row>
    <row r="289" spans="2:11" ht="16.5" customHeight="1">
      <c r="B289" s="1464"/>
      <c r="C289" s="57"/>
      <c r="D289" s="58"/>
      <c r="E289" s="58"/>
      <c r="F289" s="58"/>
      <c r="G289" s="58"/>
      <c r="H289" s="58"/>
      <c r="I289" s="58"/>
      <c r="J289" s="58"/>
      <c r="K289" s="58"/>
    </row>
    <row r="290" spans="2:11" ht="16.5" customHeight="1">
      <c r="B290" s="1464"/>
      <c r="C290" s="57"/>
      <c r="D290" s="58"/>
      <c r="E290" s="58"/>
      <c r="F290" s="58"/>
      <c r="G290" s="58"/>
      <c r="H290" s="58"/>
      <c r="I290" s="58"/>
      <c r="J290" s="58"/>
      <c r="K290" s="58"/>
    </row>
    <row r="291" spans="2:11" ht="16.5" customHeight="1">
      <c r="B291" s="1464"/>
      <c r="C291" s="57"/>
      <c r="D291" s="58"/>
      <c r="E291" s="58"/>
      <c r="F291" s="58"/>
      <c r="G291" s="58"/>
      <c r="H291" s="58"/>
      <c r="I291" s="58"/>
      <c r="J291" s="58"/>
      <c r="K291" s="58"/>
    </row>
    <row r="292" spans="2:11" ht="16.5" customHeight="1">
      <c r="B292" s="1464"/>
      <c r="C292" s="57"/>
      <c r="D292" s="58"/>
      <c r="E292" s="58"/>
      <c r="F292" s="58"/>
      <c r="G292" s="58"/>
      <c r="H292" s="58"/>
      <c r="I292" s="58"/>
      <c r="J292" s="58"/>
      <c r="K292" s="58"/>
    </row>
    <row r="293" spans="2:11" ht="16.5" customHeight="1">
      <c r="B293" s="1464"/>
      <c r="C293" s="57"/>
      <c r="D293" s="58"/>
      <c r="E293" s="58"/>
      <c r="F293" s="58"/>
      <c r="G293" s="58"/>
      <c r="H293" s="58"/>
      <c r="I293" s="58"/>
      <c r="J293" s="58"/>
      <c r="K293" s="58"/>
    </row>
    <row r="294" spans="2:11" ht="16.5" customHeight="1">
      <c r="B294" s="1464"/>
      <c r="C294" s="57"/>
      <c r="D294" s="58"/>
      <c r="E294" s="58"/>
      <c r="F294" s="58"/>
      <c r="G294" s="58"/>
      <c r="H294" s="58"/>
      <c r="I294" s="58"/>
      <c r="J294" s="58"/>
      <c r="K294" s="58"/>
    </row>
    <row r="295" spans="2:11" ht="16.5" customHeight="1">
      <c r="B295" s="1464"/>
      <c r="C295" s="57"/>
      <c r="D295" s="58"/>
      <c r="E295" s="58"/>
      <c r="F295" s="58"/>
      <c r="G295" s="58"/>
      <c r="H295" s="58"/>
      <c r="I295" s="58"/>
      <c r="J295" s="58"/>
      <c r="K295" s="58"/>
    </row>
    <row r="296" spans="2:11" ht="16.5" customHeight="1">
      <c r="B296" s="1464"/>
      <c r="C296" s="57"/>
      <c r="D296" s="58"/>
      <c r="E296" s="58"/>
      <c r="F296" s="58"/>
      <c r="G296" s="58"/>
      <c r="H296" s="58"/>
      <c r="I296" s="58"/>
      <c r="J296" s="58"/>
      <c r="K296" s="58"/>
    </row>
    <row r="297" spans="2:11" ht="16.5" customHeight="1">
      <c r="B297" s="1464"/>
      <c r="C297" s="57"/>
      <c r="D297" s="58"/>
      <c r="E297" s="58"/>
      <c r="F297" s="58"/>
      <c r="G297" s="58"/>
      <c r="H297" s="58"/>
      <c r="I297" s="58"/>
      <c r="J297" s="58"/>
      <c r="K297" s="58"/>
    </row>
    <row r="298" spans="2:11" ht="16.5" customHeight="1">
      <c r="B298" s="1464"/>
      <c r="C298" s="57"/>
      <c r="D298" s="58"/>
      <c r="E298" s="58"/>
      <c r="F298" s="58"/>
      <c r="G298" s="58"/>
      <c r="H298" s="58"/>
      <c r="I298" s="58"/>
      <c r="J298" s="58"/>
      <c r="K298" s="58"/>
    </row>
    <row r="299" spans="2:11" s="30" customFormat="1" ht="16.5" customHeight="1">
      <c r="B299" s="1464"/>
      <c r="C299" s="57"/>
      <c r="D299" s="58"/>
      <c r="E299" s="58"/>
      <c r="F299" s="58"/>
      <c r="G299" s="58"/>
      <c r="H299" s="58"/>
      <c r="I299" s="58"/>
      <c r="J299" s="58"/>
      <c r="K299" s="58"/>
    </row>
    <row r="300" spans="2:11" s="30" customFormat="1" ht="16.5" customHeight="1">
      <c r="B300" s="1464"/>
      <c r="C300" s="57"/>
      <c r="D300" s="58"/>
      <c r="E300" s="58"/>
      <c r="F300" s="58"/>
      <c r="G300" s="58"/>
      <c r="H300" s="58"/>
      <c r="I300" s="58"/>
      <c r="J300" s="58"/>
      <c r="K300" s="58"/>
    </row>
    <row r="301" spans="2:11" s="30" customFormat="1" ht="16.5" customHeight="1">
      <c r="B301" s="1464"/>
      <c r="C301" s="57"/>
      <c r="D301" s="58"/>
      <c r="E301" s="58"/>
      <c r="F301" s="58"/>
      <c r="G301" s="58"/>
      <c r="H301" s="58"/>
      <c r="I301" s="58"/>
      <c r="J301" s="58"/>
      <c r="K301" s="58"/>
    </row>
    <row r="302" spans="2:11" s="30" customFormat="1" ht="16.5" customHeight="1">
      <c r="B302" s="1464"/>
      <c r="C302" s="57"/>
      <c r="D302" s="58"/>
      <c r="E302" s="58"/>
      <c r="F302" s="58"/>
      <c r="G302" s="58"/>
      <c r="H302" s="58"/>
      <c r="I302" s="58"/>
      <c r="J302" s="58"/>
      <c r="K302" s="58"/>
    </row>
    <row r="303" spans="2:11" s="30" customFormat="1" ht="16.5" customHeight="1">
      <c r="B303" s="1464"/>
      <c r="C303" s="57"/>
      <c r="D303" s="58"/>
      <c r="E303" s="58"/>
      <c r="F303" s="58"/>
      <c r="G303" s="58"/>
      <c r="H303" s="58"/>
      <c r="I303" s="58"/>
      <c r="J303" s="58"/>
      <c r="K303" s="58"/>
    </row>
    <row r="304" spans="2:11" ht="16.5" customHeight="1">
      <c r="B304" s="1464"/>
      <c r="C304" s="57"/>
      <c r="D304" s="58"/>
      <c r="E304" s="58"/>
      <c r="F304" s="58"/>
      <c r="G304" s="58"/>
      <c r="H304" s="58"/>
      <c r="I304" s="58"/>
      <c r="J304" s="58"/>
      <c r="K304" s="58"/>
    </row>
    <row r="305" spans="2:11" ht="16.5" customHeight="1">
      <c r="B305" s="1464"/>
      <c r="C305" s="57"/>
      <c r="D305" s="58"/>
      <c r="E305" s="58"/>
      <c r="F305" s="58"/>
      <c r="G305" s="58"/>
      <c r="H305" s="58"/>
      <c r="I305" s="58"/>
      <c r="J305" s="58"/>
      <c r="K305" s="58"/>
    </row>
    <row r="306" spans="2:11" s="30" customFormat="1" ht="16.5" customHeight="1">
      <c r="B306" s="1464"/>
      <c r="C306" s="57"/>
      <c r="D306" s="58"/>
      <c r="E306" s="58"/>
      <c r="F306" s="58"/>
      <c r="G306" s="58"/>
      <c r="H306" s="58"/>
      <c r="I306" s="58"/>
      <c r="J306" s="58"/>
      <c r="K306" s="58"/>
    </row>
    <row r="307" spans="2:11" s="30" customFormat="1" ht="16.5" customHeight="1">
      <c r="B307" s="1464"/>
      <c r="C307" s="57"/>
      <c r="D307" s="58"/>
      <c r="E307" s="58"/>
      <c r="F307" s="58"/>
      <c r="G307" s="58"/>
      <c r="H307" s="58"/>
      <c r="I307" s="58"/>
      <c r="J307" s="58"/>
      <c r="K307" s="58"/>
    </row>
    <row r="308" spans="2:11" s="30" customFormat="1" ht="16.5" customHeight="1">
      <c r="B308" s="1464"/>
      <c r="C308" s="57"/>
      <c r="D308" s="58"/>
      <c r="E308" s="58"/>
      <c r="F308" s="58"/>
      <c r="G308" s="58"/>
      <c r="H308" s="58"/>
      <c r="I308" s="58"/>
      <c r="J308" s="58"/>
      <c r="K308" s="58"/>
    </row>
    <row r="309" spans="2:11" s="30" customFormat="1" ht="16.5" customHeight="1">
      <c r="B309" s="1464"/>
      <c r="C309" s="57"/>
      <c r="D309" s="58"/>
      <c r="E309" s="58"/>
      <c r="F309" s="58"/>
      <c r="G309" s="58"/>
      <c r="H309" s="58"/>
      <c r="I309" s="58"/>
      <c r="J309" s="58"/>
      <c r="K309" s="58"/>
    </row>
    <row r="310" spans="2:11" s="30" customFormat="1" ht="16.5" customHeight="1">
      <c r="B310" s="1464"/>
      <c r="C310" s="57"/>
      <c r="D310" s="58"/>
      <c r="E310" s="58"/>
      <c r="F310" s="58"/>
      <c r="G310" s="58"/>
      <c r="H310" s="58"/>
      <c r="I310" s="58"/>
      <c r="J310" s="58"/>
      <c r="K310" s="58"/>
    </row>
    <row r="311" spans="2:11" s="30" customFormat="1" ht="16.5" customHeight="1">
      <c r="B311" s="1464"/>
      <c r="C311" s="57"/>
      <c r="D311" s="58"/>
      <c r="E311" s="58"/>
      <c r="F311" s="58"/>
      <c r="G311" s="58"/>
      <c r="H311" s="58"/>
      <c r="I311" s="58"/>
      <c r="J311" s="58"/>
      <c r="K311" s="58"/>
    </row>
    <row r="312" spans="2:11" s="30" customFormat="1" ht="16.5" customHeight="1">
      <c r="B312" s="1464"/>
      <c r="C312" s="57"/>
      <c r="D312" s="58"/>
      <c r="E312" s="58"/>
      <c r="F312" s="58"/>
      <c r="G312" s="58"/>
      <c r="H312" s="58"/>
      <c r="I312" s="58"/>
      <c r="J312" s="58"/>
      <c r="K312" s="58"/>
    </row>
    <row r="313" spans="2:11" s="30" customFormat="1" ht="16.5" customHeight="1">
      <c r="B313" s="1464"/>
      <c r="C313" s="57"/>
      <c r="D313" s="58"/>
      <c r="E313" s="58"/>
      <c r="F313" s="58"/>
      <c r="G313" s="58"/>
      <c r="H313" s="58"/>
      <c r="I313" s="58"/>
      <c r="J313" s="58"/>
      <c r="K313" s="58"/>
    </row>
    <row r="314" spans="2:11" s="30" customFormat="1" ht="16.5" customHeight="1">
      <c r="B314" s="1464"/>
      <c r="C314" s="57"/>
      <c r="D314" s="58"/>
      <c r="E314" s="58"/>
      <c r="F314" s="58"/>
      <c r="G314" s="58"/>
      <c r="H314" s="58"/>
      <c r="I314" s="58"/>
      <c r="J314" s="58"/>
      <c r="K314" s="58"/>
    </row>
    <row r="315" spans="2:11" s="30" customFormat="1" ht="16.5" customHeight="1">
      <c r="B315" s="1464"/>
      <c r="C315" s="57"/>
      <c r="D315" s="58"/>
      <c r="E315" s="58"/>
      <c r="F315" s="58"/>
      <c r="G315" s="58"/>
      <c r="H315" s="58"/>
      <c r="I315" s="58"/>
      <c r="J315" s="58"/>
      <c r="K315" s="58"/>
    </row>
    <row r="316" spans="2:11" s="30" customFormat="1" ht="16.5" customHeight="1">
      <c r="B316" s="1464"/>
      <c r="C316" s="57"/>
      <c r="D316" s="58"/>
      <c r="E316" s="58"/>
      <c r="F316" s="58"/>
      <c r="G316" s="58"/>
      <c r="H316" s="58"/>
      <c r="I316" s="58"/>
      <c r="J316" s="58"/>
      <c r="K316" s="58"/>
    </row>
    <row r="317" spans="2:11" s="30" customFormat="1" ht="16.5" customHeight="1">
      <c r="B317" s="1464"/>
      <c r="C317" s="57"/>
      <c r="D317" s="58"/>
      <c r="E317" s="58"/>
      <c r="F317" s="58"/>
      <c r="G317" s="58"/>
      <c r="H317" s="58"/>
      <c r="I317" s="58"/>
      <c r="J317" s="58"/>
      <c r="K317" s="58"/>
    </row>
    <row r="318" spans="2:11" s="30" customFormat="1" ht="16.5" customHeight="1">
      <c r="B318" s="1464"/>
      <c r="C318" s="57"/>
      <c r="D318" s="58"/>
      <c r="E318" s="58"/>
      <c r="F318" s="58"/>
      <c r="G318" s="58"/>
      <c r="H318" s="58"/>
      <c r="I318" s="58"/>
      <c r="J318" s="58"/>
      <c r="K318" s="58"/>
    </row>
    <row r="319" spans="2:11" s="30" customFormat="1" ht="16.5" customHeight="1">
      <c r="B319" s="1464"/>
      <c r="C319" s="57"/>
      <c r="D319" s="58"/>
      <c r="E319" s="58"/>
      <c r="F319" s="58"/>
      <c r="G319" s="58"/>
      <c r="H319" s="58"/>
      <c r="I319" s="58"/>
      <c r="J319" s="58"/>
      <c r="K319" s="58"/>
    </row>
    <row r="320" spans="2:11" ht="16.5" customHeight="1">
      <c r="B320" s="1464"/>
      <c r="C320" s="57"/>
      <c r="D320" s="58"/>
      <c r="E320" s="58"/>
      <c r="F320" s="58"/>
      <c r="G320" s="58"/>
      <c r="H320" s="58"/>
      <c r="I320" s="58"/>
      <c r="J320" s="58"/>
      <c r="K320" s="58"/>
    </row>
    <row r="321" spans="2:11" ht="16.5" customHeight="1">
      <c r="B321" s="1464"/>
      <c r="C321" s="57"/>
      <c r="D321" s="58"/>
      <c r="E321" s="58"/>
      <c r="F321" s="58"/>
      <c r="G321" s="58"/>
      <c r="H321" s="58"/>
      <c r="I321" s="58"/>
      <c r="J321" s="58"/>
      <c r="K321" s="58"/>
    </row>
    <row r="322" spans="2:11" ht="16.5" customHeight="1">
      <c r="B322" s="1464"/>
      <c r="C322" s="57"/>
      <c r="D322" s="58"/>
      <c r="E322" s="58"/>
      <c r="F322" s="58"/>
      <c r="G322" s="58"/>
      <c r="H322" s="58"/>
      <c r="I322" s="58"/>
      <c r="J322" s="58"/>
      <c r="K322" s="58"/>
    </row>
    <row r="323" spans="2:11" ht="16.5" customHeight="1">
      <c r="B323" s="1464"/>
      <c r="C323" s="57"/>
      <c r="D323" s="58"/>
      <c r="E323" s="58"/>
      <c r="F323" s="58"/>
      <c r="G323" s="58"/>
      <c r="H323" s="58"/>
      <c r="I323" s="58"/>
      <c r="J323" s="58"/>
      <c r="K323" s="58"/>
    </row>
    <row r="324" spans="2:11" ht="16.5" customHeight="1">
      <c r="B324" s="1464"/>
      <c r="C324" s="57"/>
      <c r="D324" s="58"/>
      <c r="E324" s="58"/>
      <c r="F324" s="58"/>
      <c r="G324" s="58"/>
      <c r="H324" s="58"/>
      <c r="I324" s="58"/>
      <c r="J324" s="58"/>
      <c r="K324" s="58"/>
    </row>
    <row r="325" spans="2:11" ht="16.5" customHeight="1">
      <c r="B325" s="1464"/>
      <c r="C325" s="57"/>
      <c r="D325" s="58"/>
      <c r="E325" s="58"/>
      <c r="F325" s="58"/>
      <c r="G325" s="58"/>
      <c r="H325" s="58"/>
      <c r="I325" s="58"/>
      <c r="J325" s="58"/>
      <c r="K325" s="58"/>
    </row>
    <row r="326" spans="2:11" ht="16.5" customHeight="1">
      <c r="B326" s="1464"/>
      <c r="C326" s="57"/>
      <c r="D326" s="58"/>
      <c r="E326" s="58"/>
      <c r="F326" s="58"/>
      <c r="G326" s="58"/>
      <c r="H326" s="58"/>
      <c r="I326" s="58"/>
      <c r="J326" s="58"/>
      <c r="K326" s="58"/>
    </row>
    <row r="327" spans="2:11" ht="16.5" customHeight="1">
      <c r="B327" s="1464"/>
      <c r="C327" s="57"/>
      <c r="D327" s="58"/>
      <c r="E327" s="58"/>
      <c r="F327" s="58"/>
      <c r="G327" s="58"/>
      <c r="H327" s="58"/>
      <c r="I327" s="58"/>
      <c r="J327" s="58"/>
      <c r="K327" s="58"/>
    </row>
    <row r="328" spans="2:11" ht="16.5" customHeight="1">
      <c r="B328" s="1464"/>
      <c r="C328" s="57"/>
      <c r="D328" s="58"/>
      <c r="E328" s="58"/>
      <c r="F328" s="58"/>
      <c r="G328" s="58"/>
      <c r="H328" s="58"/>
      <c r="I328" s="58"/>
      <c r="J328" s="58"/>
      <c r="K328" s="58"/>
    </row>
    <row r="329" spans="2:11" ht="16.5" customHeight="1">
      <c r="B329" s="1464"/>
      <c r="C329" s="57"/>
      <c r="D329" s="58"/>
      <c r="E329" s="58"/>
      <c r="F329" s="58"/>
      <c r="G329" s="58"/>
      <c r="H329" s="58"/>
      <c r="I329" s="58"/>
      <c r="J329" s="58"/>
      <c r="K329" s="58"/>
    </row>
    <row r="330" spans="2:11" ht="16.5" customHeight="1">
      <c r="B330" s="1464"/>
      <c r="C330" s="57"/>
      <c r="D330" s="58"/>
      <c r="E330" s="58"/>
      <c r="F330" s="58"/>
      <c r="G330" s="58"/>
      <c r="H330" s="58"/>
      <c r="I330" s="58"/>
      <c r="J330" s="58"/>
      <c r="K330" s="58"/>
    </row>
    <row r="331" spans="2:11" ht="16.5" customHeight="1">
      <c r="B331" s="1464"/>
      <c r="C331" s="57"/>
      <c r="D331" s="58"/>
      <c r="E331" s="58"/>
      <c r="F331" s="58"/>
      <c r="G331" s="58"/>
      <c r="H331" s="58"/>
      <c r="I331" s="58"/>
      <c r="J331" s="58"/>
      <c r="K331" s="58"/>
    </row>
    <row r="332" spans="2:11" ht="16.5" customHeight="1">
      <c r="B332" s="1464"/>
      <c r="C332" s="57"/>
      <c r="D332" s="58"/>
      <c r="E332" s="58"/>
      <c r="F332" s="58"/>
      <c r="G332" s="58"/>
      <c r="H332" s="58"/>
      <c r="I332" s="58"/>
      <c r="J332" s="58"/>
      <c r="K332" s="58"/>
    </row>
    <row r="333" spans="2:11" ht="16.5" customHeight="1">
      <c r="B333" s="1464"/>
      <c r="C333" s="57"/>
      <c r="D333" s="58"/>
      <c r="E333" s="58"/>
      <c r="F333" s="58"/>
      <c r="G333" s="58"/>
      <c r="H333" s="58"/>
      <c r="I333" s="58"/>
      <c r="J333" s="58"/>
      <c r="K333" s="58"/>
    </row>
    <row r="334" spans="2:11" ht="16.5" customHeight="1">
      <c r="B334" s="1464"/>
      <c r="C334" s="57"/>
      <c r="D334" s="58"/>
      <c r="E334" s="58"/>
      <c r="F334" s="58"/>
      <c r="G334" s="58"/>
      <c r="H334" s="58"/>
      <c r="I334" s="58"/>
      <c r="J334" s="58"/>
      <c r="K334" s="58"/>
    </row>
    <row r="335" spans="2:11" ht="16.5" customHeight="1">
      <c r="B335" s="1464"/>
      <c r="C335" s="57"/>
      <c r="D335" s="58"/>
      <c r="E335" s="58"/>
      <c r="F335" s="58"/>
      <c r="G335" s="58"/>
      <c r="H335" s="58"/>
      <c r="I335" s="58"/>
      <c r="J335" s="58"/>
      <c r="K335" s="58"/>
    </row>
    <row r="336" spans="2:11" ht="16.5" customHeight="1">
      <c r="B336" s="1464"/>
      <c r="C336" s="57"/>
      <c r="D336" s="58"/>
      <c r="E336" s="58"/>
      <c r="F336" s="58"/>
      <c r="G336" s="58"/>
      <c r="H336" s="58"/>
      <c r="I336" s="58"/>
      <c r="J336" s="58"/>
      <c r="K336" s="58"/>
    </row>
    <row r="337" spans="2:11" ht="16.5" customHeight="1">
      <c r="B337" s="1464"/>
      <c r="C337" s="57"/>
      <c r="D337" s="58"/>
      <c r="E337" s="58"/>
      <c r="F337" s="58"/>
      <c r="G337" s="58"/>
      <c r="H337" s="58"/>
      <c r="I337" s="58"/>
      <c r="J337" s="58"/>
      <c r="K337" s="58"/>
    </row>
    <row r="338" spans="2:11" ht="16.5" customHeight="1">
      <c r="B338" s="1464"/>
      <c r="C338" s="57"/>
      <c r="D338" s="58"/>
      <c r="E338" s="58"/>
      <c r="F338" s="58"/>
      <c r="G338" s="58"/>
      <c r="H338" s="58"/>
      <c r="I338" s="58"/>
      <c r="J338" s="58"/>
      <c r="K338" s="58"/>
    </row>
    <row r="339" spans="2:11" ht="16.5" customHeight="1">
      <c r="B339" s="1464"/>
      <c r="C339" s="57"/>
      <c r="D339" s="58"/>
      <c r="E339" s="58"/>
      <c r="F339" s="58"/>
      <c r="G339" s="58"/>
      <c r="H339" s="58"/>
      <c r="I339" s="58"/>
      <c r="J339" s="58"/>
      <c r="K339" s="58"/>
    </row>
    <row r="340" spans="2:11" ht="16.5" customHeight="1">
      <c r="B340" s="1464"/>
      <c r="C340" s="57"/>
      <c r="D340" s="58"/>
      <c r="E340" s="58"/>
      <c r="F340" s="58"/>
      <c r="G340" s="58"/>
      <c r="H340" s="58"/>
      <c r="I340" s="58"/>
      <c r="J340" s="58"/>
      <c r="K340" s="58"/>
    </row>
    <row r="341" spans="2:11" ht="16.5" customHeight="1">
      <c r="B341" s="1464"/>
      <c r="C341" s="57"/>
      <c r="D341" s="58"/>
      <c r="E341" s="58"/>
      <c r="F341" s="58"/>
      <c r="G341" s="58"/>
      <c r="H341" s="58"/>
      <c r="I341" s="58"/>
      <c r="J341" s="58"/>
      <c r="K341" s="58"/>
    </row>
    <row r="342" spans="2:11" ht="16.5" customHeight="1">
      <c r="B342" s="1464"/>
      <c r="C342" s="57"/>
      <c r="D342" s="58"/>
      <c r="E342" s="58"/>
      <c r="F342" s="58"/>
      <c r="G342" s="58"/>
      <c r="H342" s="58"/>
      <c r="I342" s="58"/>
      <c r="J342" s="58"/>
      <c r="K342" s="58"/>
    </row>
    <row r="343" spans="2:11" ht="16.5" customHeight="1">
      <c r="B343" s="1464"/>
      <c r="C343" s="57"/>
      <c r="D343" s="58"/>
      <c r="E343" s="58"/>
      <c r="F343" s="58"/>
      <c r="G343" s="58"/>
      <c r="H343" s="58"/>
      <c r="I343" s="58"/>
      <c r="J343" s="58"/>
      <c r="K343" s="58"/>
    </row>
    <row r="344" spans="2:11" ht="16.5" customHeight="1">
      <c r="B344" s="1464"/>
      <c r="C344" s="57"/>
      <c r="D344" s="58"/>
      <c r="E344" s="58"/>
      <c r="F344" s="58"/>
      <c r="G344" s="58"/>
      <c r="H344" s="58"/>
      <c r="I344" s="58"/>
      <c r="J344" s="58"/>
      <c r="K344" s="58"/>
    </row>
    <row r="345" spans="2:11" ht="16.5" customHeight="1">
      <c r="B345" s="1464"/>
      <c r="C345" s="57"/>
      <c r="D345" s="58"/>
      <c r="E345" s="58"/>
      <c r="F345" s="58"/>
      <c r="G345" s="58"/>
      <c r="H345" s="58"/>
      <c r="I345" s="58"/>
      <c r="J345" s="58"/>
      <c r="K345" s="58"/>
    </row>
    <row r="346" spans="2:11" ht="16.5" customHeight="1">
      <c r="B346" s="1464"/>
      <c r="C346" s="57"/>
      <c r="D346" s="58"/>
      <c r="E346" s="58"/>
      <c r="F346" s="58"/>
      <c r="G346" s="58"/>
      <c r="H346" s="58"/>
      <c r="I346" s="58"/>
      <c r="J346" s="58"/>
      <c r="K346" s="58"/>
    </row>
    <row r="347" spans="2:11" ht="16.5" customHeight="1">
      <c r="B347" s="1464"/>
      <c r="C347" s="57"/>
      <c r="D347" s="58"/>
      <c r="E347" s="58"/>
      <c r="F347" s="58"/>
      <c r="G347" s="58"/>
      <c r="H347" s="58"/>
      <c r="I347" s="58"/>
      <c r="J347" s="58"/>
      <c r="K347" s="58"/>
    </row>
    <row r="348" spans="2:11" ht="16.5" customHeight="1">
      <c r="B348" s="1464"/>
      <c r="C348" s="57"/>
      <c r="D348" s="58"/>
      <c r="E348" s="58"/>
      <c r="F348" s="58"/>
      <c r="G348" s="58"/>
      <c r="H348" s="58"/>
      <c r="I348" s="58"/>
      <c r="J348" s="58"/>
      <c r="K348" s="58"/>
    </row>
    <row r="349" spans="2:11" ht="16.5" customHeight="1">
      <c r="B349" s="1464"/>
      <c r="C349" s="57"/>
      <c r="D349" s="58"/>
      <c r="E349" s="58"/>
      <c r="F349" s="58"/>
      <c r="G349" s="58"/>
      <c r="H349" s="58"/>
      <c r="I349" s="58"/>
      <c r="J349" s="58"/>
      <c r="K349" s="58"/>
    </row>
    <row r="350" spans="2:11" ht="16.5" customHeight="1">
      <c r="B350" s="1464"/>
      <c r="C350" s="57"/>
      <c r="D350" s="58"/>
      <c r="E350" s="58"/>
      <c r="F350" s="58"/>
      <c r="G350" s="58"/>
      <c r="H350" s="58"/>
      <c r="I350" s="58"/>
      <c r="J350" s="58"/>
      <c r="K350" s="58"/>
    </row>
    <row r="351" spans="2:11" ht="16.5" customHeight="1">
      <c r="B351" s="1464"/>
      <c r="C351" s="57"/>
      <c r="D351" s="58"/>
      <c r="E351" s="58"/>
      <c r="F351" s="58"/>
      <c r="G351" s="58"/>
      <c r="H351" s="58"/>
      <c r="I351" s="58"/>
      <c r="J351" s="58"/>
      <c r="K351" s="58"/>
    </row>
    <row r="352" spans="2:11" ht="16.5" customHeight="1">
      <c r="B352" s="1464"/>
      <c r="C352" s="57"/>
      <c r="D352" s="58"/>
      <c r="E352" s="58"/>
      <c r="F352" s="58"/>
      <c r="G352" s="58"/>
      <c r="H352" s="58"/>
      <c r="I352" s="58"/>
      <c r="J352" s="58"/>
      <c r="K352" s="58"/>
    </row>
    <row r="353" spans="2:11" ht="16.5" customHeight="1">
      <c r="B353" s="1464"/>
      <c r="C353" s="57"/>
      <c r="D353" s="58"/>
      <c r="E353" s="58"/>
      <c r="F353" s="58"/>
      <c r="G353" s="58"/>
      <c r="H353" s="58"/>
      <c r="I353" s="58"/>
      <c r="J353" s="58"/>
      <c r="K353" s="58"/>
    </row>
    <row r="354" spans="2:11" ht="16.5" customHeight="1">
      <c r="B354" s="1464"/>
      <c r="C354" s="57"/>
      <c r="D354" s="58"/>
      <c r="E354" s="58"/>
      <c r="F354" s="58"/>
      <c r="G354" s="58"/>
      <c r="H354" s="58"/>
      <c r="I354" s="58"/>
      <c r="J354" s="58"/>
      <c r="K354" s="58"/>
    </row>
    <row r="355" spans="2:11" ht="16.5" customHeight="1">
      <c r="B355" s="1464"/>
      <c r="C355" s="57"/>
      <c r="D355" s="58"/>
      <c r="E355" s="58"/>
      <c r="F355" s="58"/>
      <c r="G355" s="58"/>
      <c r="H355" s="58"/>
      <c r="I355" s="58"/>
      <c r="J355" s="58"/>
      <c r="K355" s="58"/>
    </row>
    <row r="356" spans="2:11" ht="16.5" customHeight="1">
      <c r="B356" s="1464"/>
      <c r="C356" s="57"/>
      <c r="D356" s="58"/>
      <c r="E356" s="58"/>
      <c r="F356" s="58"/>
      <c r="G356" s="58"/>
      <c r="H356" s="58"/>
      <c r="I356" s="58"/>
      <c r="J356" s="58"/>
      <c r="K356" s="58"/>
    </row>
    <row r="357" spans="2:11" ht="16.5" customHeight="1">
      <c r="B357" s="1464"/>
      <c r="C357" s="57"/>
      <c r="D357" s="58"/>
      <c r="E357" s="58"/>
      <c r="F357" s="58"/>
      <c r="G357" s="58"/>
      <c r="H357" s="58"/>
      <c r="I357" s="58"/>
      <c r="J357" s="58"/>
      <c r="K357" s="58"/>
    </row>
    <row r="358" spans="2:11" ht="16.5" customHeight="1">
      <c r="B358" s="1464"/>
      <c r="C358" s="57"/>
      <c r="D358" s="58"/>
      <c r="E358" s="58"/>
      <c r="F358" s="58"/>
      <c r="G358" s="58"/>
      <c r="H358" s="58"/>
      <c r="I358" s="58"/>
      <c r="J358" s="58"/>
      <c r="K358" s="58"/>
    </row>
    <row r="359" spans="2:11" ht="16.5" customHeight="1">
      <c r="B359" s="1464"/>
      <c r="C359" s="57"/>
      <c r="D359" s="58"/>
      <c r="E359" s="58"/>
      <c r="F359" s="58"/>
      <c r="G359" s="58"/>
      <c r="H359" s="58"/>
      <c r="I359" s="58"/>
      <c r="J359" s="58"/>
      <c r="K359" s="58"/>
    </row>
    <row r="360" spans="2:11" ht="16.5" customHeight="1">
      <c r="B360" s="1464"/>
      <c r="C360" s="57"/>
      <c r="D360" s="58"/>
      <c r="E360" s="58"/>
      <c r="F360" s="58"/>
      <c r="G360" s="58"/>
      <c r="H360" s="58"/>
      <c r="I360" s="58"/>
      <c r="J360" s="58"/>
      <c r="K360" s="58"/>
    </row>
    <row r="361" spans="2:11" ht="16.5" customHeight="1">
      <c r="B361" s="1464"/>
      <c r="C361" s="57"/>
      <c r="D361" s="58"/>
      <c r="E361" s="58"/>
      <c r="F361" s="58"/>
      <c r="G361" s="58"/>
      <c r="H361" s="58"/>
      <c r="I361" s="58"/>
      <c r="J361" s="58"/>
      <c r="K361" s="58"/>
    </row>
    <row r="362" spans="2:11" ht="16.5" customHeight="1">
      <c r="B362" s="1464"/>
      <c r="C362" s="57"/>
      <c r="D362" s="58"/>
      <c r="E362" s="58"/>
      <c r="F362" s="58"/>
      <c r="G362" s="58"/>
      <c r="H362" s="58"/>
      <c r="I362" s="58"/>
      <c r="J362" s="58"/>
      <c r="K362" s="58"/>
    </row>
    <row r="363" spans="2:11" ht="16.5" customHeight="1">
      <c r="B363" s="1464"/>
      <c r="C363" s="57"/>
      <c r="D363" s="58"/>
      <c r="E363" s="58"/>
      <c r="F363" s="58"/>
      <c r="G363" s="58"/>
      <c r="H363" s="58"/>
      <c r="I363" s="58"/>
      <c r="J363" s="58"/>
      <c r="K363" s="58"/>
    </row>
    <row r="364" spans="2:11" ht="16.5" customHeight="1">
      <c r="B364" s="1464"/>
      <c r="C364" s="57"/>
      <c r="D364" s="58"/>
      <c r="E364" s="58"/>
      <c r="F364" s="58"/>
      <c r="G364" s="58"/>
      <c r="H364" s="58"/>
      <c r="I364" s="58"/>
      <c r="J364" s="58"/>
      <c r="K364" s="58"/>
    </row>
    <row r="365" spans="2:11" ht="16.5" customHeight="1">
      <c r="B365" s="1464"/>
      <c r="C365" s="57"/>
      <c r="D365" s="58"/>
      <c r="E365" s="58"/>
      <c r="F365" s="58"/>
      <c r="G365" s="58"/>
      <c r="H365" s="58"/>
      <c r="I365" s="58"/>
      <c r="J365" s="58"/>
      <c r="K365" s="58"/>
    </row>
    <row r="366" spans="2:11" ht="16.5" customHeight="1">
      <c r="B366" s="1464"/>
      <c r="C366" s="57"/>
      <c r="D366" s="58"/>
      <c r="E366" s="58"/>
      <c r="F366" s="58"/>
      <c r="G366" s="58"/>
      <c r="H366" s="58"/>
      <c r="I366" s="58"/>
      <c r="J366" s="58"/>
      <c r="K366" s="58"/>
    </row>
    <row r="367" spans="2:11" ht="16.5" customHeight="1">
      <c r="B367" s="1464"/>
      <c r="C367" s="57"/>
      <c r="D367" s="58"/>
      <c r="E367" s="58"/>
      <c r="F367" s="58"/>
      <c r="G367" s="58"/>
      <c r="H367" s="58"/>
      <c r="I367" s="58"/>
      <c r="J367" s="58"/>
      <c r="K367" s="58"/>
    </row>
    <row r="368" spans="2:11" ht="16.5" customHeight="1">
      <c r="B368" s="1464"/>
      <c r="C368" s="57"/>
      <c r="D368" s="58"/>
      <c r="E368" s="58"/>
      <c r="F368" s="58"/>
      <c r="G368" s="58"/>
      <c r="H368" s="58"/>
      <c r="I368" s="58"/>
      <c r="J368" s="58"/>
      <c r="K368" s="58"/>
    </row>
    <row r="369" spans="1:11" ht="16.5" customHeight="1">
      <c r="B369" s="1464"/>
      <c r="C369" s="57"/>
      <c r="D369" s="58"/>
      <c r="E369" s="58"/>
      <c r="F369" s="58"/>
      <c r="G369" s="58"/>
      <c r="H369" s="58"/>
      <c r="I369" s="58"/>
      <c r="J369" s="58"/>
      <c r="K369" s="58"/>
    </row>
    <row r="370" spans="1:11" ht="16.5" customHeight="1">
      <c r="B370" s="1464"/>
      <c r="C370" s="57"/>
      <c r="D370" s="58"/>
      <c r="E370" s="58"/>
      <c r="F370" s="58"/>
      <c r="G370" s="58"/>
      <c r="H370" s="58"/>
      <c r="I370" s="58"/>
      <c r="J370" s="58"/>
      <c r="K370" s="58"/>
    </row>
    <row r="371" spans="1:11" ht="16.5" customHeight="1">
      <c r="B371" s="1464"/>
      <c r="C371" s="57"/>
      <c r="D371" s="58"/>
      <c r="E371" s="58"/>
      <c r="F371" s="58"/>
      <c r="G371" s="58"/>
      <c r="H371" s="58"/>
      <c r="I371" s="58"/>
      <c r="J371" s="58"/>
      <c r="K371" s="58"/>
    </row>
    <row r="372" spans="1:11" ht="16.5" customHeight="1">
      <c r="B372" s="1464"/>
      <c r="C372" s="57"/>
      <c r="D372" s="58"/>
      <c r="E372" s="58"/>
      <c r="F372" s="58"/>
      <c r="G372" s="58"/>
      <c r="H372" s="58"/>
      <c r="I372" s="58"/>
      <c r="J372" s="58"/>
      <c r="K372" s="58"/>
    </row>
    <row r="373" spans="1:11" ht="16.5" customHeight="1">
      <c r="B373" s="1464"/>
      <c r="C373" s="57"/>
      <c r="D373" s="58"/>
      <c r="E373" s="58"/>
      <c r="F373" s="58"/>
      <c r="G373" s="58"/>
      <c r="H373" s="58"/>
      <c r="I373" s="58"/>
      <c r="J373" s="58"/>
      <c r="K373" s="58"/>
    </row>
    <row r="374" spans="1:11" ht="16.5" customHeight="1">
      <c r="B374" s="1464"/>
      <c r="C374" s="57"/>
      <c r="D374" s="58"/>
      <c r="E374" s="58"/>
      <c r="F374" s="58"/>
      <c r="G374" s="58"/>
      <c r="H374" s="58"/>
      <c r="I374" s="58"/>
      <c r="J374" s="58"/>
      <c r="K374" s="58"/>
    </row>
    <row r="375" spans="1:11" ht="16.5" customHeight="1">
      <c r="B375" s="1464"/>
      <c r="C375" s="57"/>
      <c r="D375" s="58"/>
      <c r="E375" s="58"/>
      <c r="F375" s="58"/>
      <c r="G375" s="58"/>
      <c r="H375" s="58"/>
      <c r="I375" s="58"/>
      <c r="J375" s="58"/>
      <c r="K375" s="58"/>
    </row>
    <row r="376" spans="1:11" s="30" customFormat="1" ht="16.5" customHeight="1">
      <c r="B376" s="1464"/>
      <c r="C376" s="57"/>
      <c r="D376" s="58"/>
      <c r="E376" s="58"/>
      <c r="F376" s="58"/>
      <c r="G376" s="58"/>
      <c r="H376" s="58"/>
      <c r="I376" s="58"/>
      <c r="J376" s="58"/>
      <c r="K376" s="58"/>
    </row>
    <row r="377" spans="1:11" s="30" customFormat="1" ht="16.5" customHeight="1">
      <c r="A377" s="59"/>
      <c r="B377" s="1464"/>
      <c r="C377" s="57"/>
      <c r="D377" s="58"/>
      <c r="E377" s="58"/>
      <c r="F377" s="58"/>
      <c r="G377" s="58"/>
      <c r="H377" s="58"/>
      <c r="I377" s="58"/>
      <c r="J377" s="58"/>
      <c r="K377" s="58"/>
    </row>
    <row r="378" spans="1:11" s="30" customFormat="1" ht="16.5" customHeight="1">
      <c r="A378" s="59"/>
      <c r="B378" s="1464"/>
      <c r="C378" s="57"/>
      <c r="D378" s="58"/>
      <c r="E378" s="58"/>
      <c r="F378" s="58"/>
      <c r="G378" s="58"/>
      <c r="H378" s="58"/>
      <c r="I378" s="58"/>
      <c r="J378" s="58"/>
      <c r="K378" s="58"/>
    </row>
    <row r="379" spans="1:11" s="30" customFormat="1" ht="16.5" customHeight="1">
      <c r="A379" s="59"/>
      <c r="B379" s="1464"/>
      <c r="C379" s="57"/>
      <c r="D379" s="58"/>
      <c r="E379" s="58"/>
      <c r="F379" s="58"/>
      <c r="G379" s="58"/>
      <c r="H379" s="58"/>
      <c r="I379" s="58"/>
      <c r="J379" s="58"/>
      <c r="K379" s="58"/>
    </row>
    <row r="380" spans="1:11" s="30" customFormat="1" ht="16.5" customHeight="1">
      <c r="A380" s="59"/>
      <c r="B380" s="1464"/>
      <c r="C380" s="57"/>
      <c r="D380" s="58"/>
      <c r="E380" s="58"/>
      <c r="F380" s="58"/>
      <c r="G380" s="58"/>
      <c r="H380" s="58"/>
      <c r="I380" s="58"/>
      <c r="J380" s="58"/>
      <c r="K380" s="58"/>
    </row>
    <row r="381" spans="1:11" s="30" customFormat="1" ht="16.5" customHeight="1">
      <c r="B381" s="1464"/>
      <c r="C381" s="57"/>
      <c r="D381" s="58"/>
      <c r="E381" s="58"/>
      <c r="F381" s="58"/>
      <c r="G381" s="58"/>
      <c r="H381" s="58"/>
      <c r="I381" s="58"/>
      <c r="J381" s="58"/>
      <c r="K381" s="58"/>
    </row>
    <row r="382" spans="1:11" s="30" customFormat="1" ht="16.5" customHeight="1">
      <c r="A382" s="59"/>
      <c r="B382" s="1464"/>
      <c r="C382" s="57"/>
      <c r="D382" s="58"/>
      <c r="E382" s="58"/>
      <c r="F382" s="58"/>
      <c r="G382" s="58"/>
      <c r="H382" s="58"/>
      <c r="I382" s="58"/>
      <c r="J382" s="58"/>
      <c r="K382" s="58"/>
    </row>
    <row r="383" spans="1:11" s="30" customFormat="1" ht="16.5" customHeight="1">
      <c r="A383" s="59"/>
      <c r="B383" s="1464"/>
      <c r="C383" s="57"/>
      <c r="D383" s="58"/>
      <c r="E383" s="58"/>
      <c r="F383" s="58"/>
      <c r="G383" s="58"/>
      <c r="H383" s="58"/>
      <c r="I383" s="58"/>
      <c r="J383" s="58"/>
      <c r="K383" s="58"/>
    </row>
    <row r="384" spans="1:11" s="30" customFormat="1" ht="16.5" customHeight="1">
      <c r="B384" s="1464"/>
      <c r="C384" s="57"/>
      <c r="D384" s="58"/>
      <c r="E384" s="58"/>
      <c r="F384" s="58"/>
      <c r="G384" s="58"/>
      <c r="H384" s="58"/>
      <c r="I384" s="58"/>
      <c r="J384" s="58"/>
      <c r="K384" s="58"/>
    </row>
    <row r="385" spans="2:11" ht="16.5" customHeight="1">
      <c r="B385" s="1464"/>
      <c r="C385" s="57"/>
      <c r="D385" s="58"/>
      <c r="E385" s="58"/>
      <c r="F385" s="58"/>
      <c r="G385" s="58"/>
      <c r="H385" s="58"/>
      <c r="I385" s="58"/>
      <c r="J385" s="58"/>
      <c r="K385" s="58"/>
    </row>
    <row r="386" spans="2:11" s="30" customFormat="1" ht="16.5" customHeight="1">
      <c r="B386" s="1464"/>
      <c r="C386" s="57"/>
      <c r="D386" s="58"/>
      <c r="E386" s="58"/>
      <c r="F386" s="58"/>
      <c r="G386" s="58"/>
      <c r="H386" s="58"/>
      <c r="I386" s="58"/>
      <c r="J386" s="58"/>
      <c r="K386" s="58"/>
    </row>
    <row r="387" spans="2:11" s="30" customFormat="1" ht="16.5" customHeight="1">
      <c r="B387" s="1464"/>
      <c r="C387" s="57"/>
      <c r="D387" s="58"/>
      <c r="E387" s="58"/>
      <c r="F387" s="58"/>
      <c r="G387" s="58"/>
      <c r="H387" s="58"/>
      <c r="I387" s="58"/>
      <c r="J387" s="58"/>
      <c r="K387" s="58"/>
    </row>
    <row r="388" spans="2:11" s="30" customFormat="1" ht="16.5" customHeight="1">
      <c r="B388" s="1464"/>
      <c r="C388" s="57"/>
      <c r="D388" s="58"/>
      <c r="E388" s="58"/>
      <c r="F388" s="58"/>
      <c r="G388" s="58"/>
      <c r="H388" s="58"/>
      <c r="I388" s="58"/>
      <c r="J388" s="58"/>
      <c r="K388" s="58"/>
    </row>
    <row r="389" spans="2:11" s="30" customFormat="1" ht="16.5" customHeight="1">
      <c r="B389" s="1464"/>
      <c r="C389" s="57"/>
      <c r="D389" s="58"/>
      <c r="E389" s="58"/>
      <c r="F389" s="58"/>
      <c r="G389" s="58"/>
      <c r="H389" s="58"/>
      <c r="I389" s="58"/>
      <c r="J389" s="58"/>
      <c r="K389" s="58"/>
    </row>
    <row r="390" spans="2:11" s="30" customFormat="1" ht="16.5" customHeight="1">
      <c r="B390" s="1464"/>
      <c r="C390" s="57"/>
      <c r="D390" s="58"/>
      <c r="E390" s="58"/>
      <c r="F390" s="58"/>
      <c r="G390" s="58"/>
      <c r="H390" s="58"/>
      <c r="I390" s="58"/>
      <c r="J390" s="58"/>
      <c r="K390" s="58"/>
    </row>
    <row r="391" spans="2:11" s="30" customFormat="1" ht="16.5" customHeight="1">
      <c r="B391" s="1464"/>
      <c r="C391" s="57"/>
      <c r="D391" s="58"/>
      <c r="E391" s="58"/>
      <c r="F391" s="58"/>
      <c r="G391" s="58"/>
      <c r="H391" s="58"/>
      <c r="I391" s="58"/>
      <c r="J391" s="58"/>
      <c r="K391" s="58"/>
    </row>
    <row r="392" spans="2:11" s="30" customFormat="1" ht="16.5" customHeight="1">
      <c r="B392" s="1464"/>
      <c r="C392" s="57"/>
      <c r="D392" s="58"/>
      <c r="E392" s="58"/>
      <c r="F392" s="58"/>
      <c r="G392" s="58"/>
      <c r="H392" s="58"/>
      <c r="I392" s="58"/>
      <c r="J392" s="58"/>
      <c r="K392" s="58"/>
    </row>
    <row r="393" spans="2:11" s="30" customFormat="1" ht="16.5" customHeight="1">
      <c r="B393" s="1464"/>
      <c r="C393" s="57"/>
      <c r="D393" s="58"/>
      <c r="E393" s="58"/>
      <c r="F393" s="58"/>
      <c r="G393" s="58"/>
      <c r="H393" s="58"/>
      <c r="I393" s="58"/>
      <c r="J393" s="58"/>
      <c r="K393" s="58"/>
    </row>
    <row r="394" spans="2:11" s="30" customFormat="1" ht="16.5" customHeight="1">
      <c r="B394" s="1464"/>
      <c r="C394" s="57"/>
      <c r="D394" s="58"/>
      <c r="E394" s="58"/>
      <c r="F394" s="58"/>
      <c r="G394" s="58"/>
      <c r="H394" s="58"/>
      <c r="I394" s="58"/>
      <c r="J394" s="58"/>
      <c r="K394" s="58"/>
    </row>
    <row r="395" spans="2:11" s="30" customFormat="1" ht="16.5" customHeight="1">
      <c r="B395" s="1464"/>
      <c r="C395" s="57"/>
      <c r="D395" s="58"/>
      <c r="E395" s="58"/>
      <c r="F395" s="58"/>
      <c r="G395" s="58"/>
      <c r="H395" s="58"/>
      <c r="I395" s="58"/>
      <c r="J395" s="58"/>
      <c r="K395" s="58"/>
    </row>
    <row r="396" spans="2:11" ht="16.5" customHeight="1">
      <c r="B396" s="1464"/>
      <c r="C396" s="57"/>
      <c r="D396" s="58"/>
      <c r="E396" s="58"/>
      <c r="F396" s="58"/>
      <c r="G396" s="58"/>
      <c r="H396" s="58"/>
      <c r="I396" s="58"/>
      <c r="J396" s="58"/>
      <c r="K396" s="58"/>
    </row>
    <row r="397" spans="2:11" ht="16.5" customHeight="1">
      <c r="B397" s="1464"/>
      <c r="C397" s="57"/>
      <c r="D397" s="58"/>
      <c r="E397" s="58"/>
      <c r="F397" s="58"/>
      <c r="G397" s="58"/>
      <c r="H397" s="58"/>
      <c r="I397" s="58"/>
      <c r="J397" s="58"/>
      <c r="K397" s="58"/>
    </row>
    <row r="398" spans="2:11" s="30" customFormat="1" ht="16.5" customHeight="1">
      <c r="B398" s="1464"/>
      <c r="C398" s="57"/>
      <c r="D398" s="58"/>
      <c r="E398" s="58"/>
      <c r="F398" s="58"/>
      <c r="G398" s="58"/>
      <c r="H398" s="58"/>
      <c r="I398" s="58"/>
      <c r="J398" s="58"/>
      <c r="K398" s="58"/>
    </row>
    <row r="399" spans="2:11" s="30" customFormat="1" ht="16.5" customHeight="1">
      <c r="B399" s="1464"/>
      <c r="C399" s="57"/>
      <c r="D399" s="58"/>
      <c r="E399" s="58"/>
      <c r="F399" s="58"/>
      <c r="G399" s="58"/>
      <c r="H399" s="58"/>
      <c r="I399" s="58"/>
      <c r="J399" s="58"/>
      <c r="K399" s="58"/>
    </row>
    <row r="400" spans="2:11" s="30" customFormat="1" ht="16.5" customHeight="1">
      <c r="B400" s="1464"/>
      <c r="C400" s="57"/>
      <c r="D400" s="58"/>
      <c r="E400" s="58"/>
      <c r="F400" s="58"/>
      <c r="G400" s="58"/>
      <c r="H400" s="58"/>
      <c r="I400" s="58"/>
      <c r="J400" s="58"/>
      <c r="K400" s="58"/>
    </row>
    <row r="401" spans="2:11" s="30" customFormat="1" ht="16.5" customHeight="1">
      <c r="B401" s="1464"/>
      <c r="C401" s="57"/>
      <c r="D401" s="58"/>
      <c r="E401" s="58"/>
      <c r="F401" s="58"/>
      <c r="G401" s="58"/>
      <c r="H401" s="58"/>
      <c r="I401" s="58"/>
      <c r="J401" s="58"/>
      <c r="K401" s="58"/>
    </row>
    <row r="402" spans="2:11" s="30" customFormat="1" ht="16.5" customHeight="1">
      <c r="B402" s="1464"/>
      <c r="C402" s="57"/>
      <c r="D402" s="58"/>
      <c r="E402" s="58"/>
      <c r="F402" s="58"/>
      <c r="G402" s="58"/>
      <c r="H402" s="58"/>
      <c r="I402" s="58"/>
      <c r="J402" s="58"/>
      <c r="K402" s="58"/>
    </row>
    <row r="403" spans="2:11" s="30" customFormat="1" ht="16.5" customHeight="1">
      <c r="B403" s="1464"/>
      <c r="C403" s="57"/>
      <c r="D403" s="58"/>
      <c r="E403" s="58"/>
      <c r="F403" s="58"/>
      <c r="G403" s="58"/>
      <c r="H403" s="58"/>
      <c r="I403" s="58"/>
      <c r="J403" s="58"/>
      <c r="K403" s="58"/>
    </row>
    <row r="404" spans="2:11" s="30" customFormat="1" ht="16.5" customHeight="1">
      <c r="B404" s="1464"/>
      <c r="C404" s="57"/>
      <c r="D404" s="58"/>
      <c r="E404" s="58"/>
      <c r="F404" s="58"/>
      <c r="G404" s="58"/>
      <c r="H404" s="58"/>
      <c r="I404" s="58"/>
      <c r="J404" s="58"/>
      <c r="K404" s="58"/>
    </row>
    <row r="405" spans="2:11" s="30" customFormat="1" ht="16.5" customHeight="1">
      <c r="B405" s="1464"/>
      <c r="C405" s="57"/>
      <c r="D405" s="58"/>
      <c r="E405" s="58"/>
      <c r="F405" s="58"/>
      <c r="G405" s="58"/>
      <c r="H405" s="58"/>
      <c r="I405" s="58"/>
      <c r="J405" s="58"/>
      <c r="K405" s="58"/>
    </row>
    <row r="406" spans="2:11" s="30" customFormat="1" ht="16.5" customHeight="1">
      <c r="B406" s="1464"/>
      <c r="C406" s="57"/>
      <c r="D406" s="58"/>
      <c r="E406" s="58"/>
      <c r="F406" s="58"/>
      <c r="G406" s="58"/>
      <c r="H406" s="58"/>
      <c r="I406" s="58"/>
      <c r="J406" s="58"/>
      <c r="K406" s="58"/>
    </row>
    <row r="407" spans="2:11" s="30" customFormat="1" ht="16.5" customHeight="1">
      <c r="B407" s="1464"/>
      <c r="C407" s="57"/>
      <c r="D407" s="58"/>
      <c r="E407" s="58"/>
      <c r="F407" s="58"/>
      <c r="G407" s="58"/>
      <c r="H407" s="58"/>
      <c r="I407" s="58"/>
      <c r="J407" s="58"/>
      <c r="K407" s="58"/>
    </row>
    <row r="408" spans="2:11" s="30" customFormat="1" ht="16.5" customHeight="1">
      <c r="B408" s="1464"/>
      <c r="C408" s="57"/>
      <c r="D408" s="58"/>
      <c r="E408" s="58"/>
      <c r="F408" s="58"/>
      <c r="G408" s="58"/>
      <c r="H408" s="58"/>
      <c r="I408" s="58"/>
      <c r="J408" s="58"/>
      <c r="K408" s="58"/>
    </row>
    <row r="409" spans="2:11" s="30" customFormat="1" ht="16.5" customHeight="1">
      <c r="B409" s="1464"/>
      <c r="C409" s="57"/>
      <c r="D409" s="58"/>
      <c r="E409" s="58"/>
      <c r="F409" s="58"/>
      <c r="G409" s="58"/>
      <c r="H409" s="58"/>
      <c r="I409" s="58"/>
      <c r="J409" s="58"/>
      <c r="K409" s="58"/>
    </row>
    <row r="410" spans="2:11" s="30" customFormat="1" ht="16.5" customHeight="1">
      <c r="B410" s="1464"/>
      <c r="C410" s="57"/>
      <c r="D410" s="58"/>
      <c r="E410" s="58"/>
      <c r="F410" s="58"/>
      <c r="G410" s="58"/>
      <c r="H410" s="58"/>
      <c r="I410" s="58"/>
      <c r="J410" s="58"/>
      <c r="K410" s="58"/>
    </row>
    <row r="411" spans="2:11" s="30" customFormat="1" ht="16.5" customHeight="1">
      <c r="B411" s="1464"/>
      <c r="C411" s="57"/>
      <c r="D411" s="58"/>
      <c r="E411" s="58"/>
      <c r="F411" s="58"/>
      <c r="G411" s="58"/>
      <c r="H411" s="58"/>
      <c r="I411" s="58"/>
      <c r="J411" s="58"/>
      <c r="K411" s="58"/>
    </row>
    <row r="412" spans="2:11" ht="16.5" customHeight="1">
      <c r="B412" s="1464"/>
      <c r="C412" s="57"/>
      <c r="D412" s="58"/>
      <c r="E412" s="58"/>
      <c r="F412" s="58"/>
      <c r="G412" s="58"/>
      <c r="H412" s="58"/>
      <c r="I412" s="58"/>
      <c r="J412" s="58"/>
      <c r="K412" s="58"/>
    </row>
    <row r="413" spans="2:11" ht="16.5" customHeight="1">
      <c r="B413" s="1464"/>
      <c r="C413" s="57"/>
      <c r="D413" s="58"/>
      <c r="E413" s="58"/>
      <c r="F413" s="58"/>
      <c r="G413" s="58"/>
      <c r="H413" s="58"/>
      <c r="I413" s="58"/>
      <c r="J413" s="58"/>
      <c r="K413" s="58"/>
    </row>
    <row r="414" spans="2:11" ht="16.5" customHeight="1">
      <c r="B414" s="1464"/>
      <c r="C414" s="57"/>
      <c r="D414" s="58"/>
      <c r="E414" s="58"/>
      <c r="F414" s="58"/>
      <c r="G414" s="58"/>
      <c r="H414" s="58"/>
      <c r="I414" s="58"/>
      <c r="J414" s="58"/>
      <c r="K414" s="58"/>
    </row>
    <row r="415" spans="2:11" ht="16.5" customHeight="1">
      <c r="B415" s="1464"/>
      <c r="C415" s="57"/>
      <c r="D415" s="58"/>
      <c r="E415" s="58"/>
      <c r="F415" s="58"/>
      <c r="G415" s="58"/>
      <c r="H415" s="58"/>
      <c r="I415" s="58"/>
      <c r="J415" s="58"/>
      <c r="K415" s="58"/>
    </row>
    <row r="416" spans="2:11" ht="16.5" customHeight="1">
      <c r="B416" s="1464"/>
      <c r="C416" s="57"/>
      <c r="D416" s="58"/>
      <c r="E416" s="58"/>
      <c r="F416" s="58"/>
      <c r="G416" s="58"/>
      <c r="H416" s="58"/>
      <c r="I416" s="58"/>
      <c r="J416" s="58"/>
      <c r="K416" s="58"/>
    </row>
    <row r="417" spans="2:11" ht="16.5" customHeight="1">
      <c r="B417" s="1464"/>
      <c r="C417" s="57"/>
      <c r="D417" s="58"/>
      <c r="E417" s="58"/>
      <c r="F417" s="58"/>
      <c r="G417" s="58"/>
      <c r="H417" s="58"/>
      <c r="I417" s="58"/>
      <c r="J417" s="58"/>
      <c r="K417" s="58"/>
    </row>
    <row r="418" spans="2:11" ht="16.5" customHeight="1">
      <c r="B418" s="1464"/>
      <c r="C418" s="57"/>
      <c r="D418" s="58"/>
      <c r="E418" s="58"/>
      <c r="F418" s="58"/>
      <c r="G418" s="58"/>
      <c r="H418" s="58"/>
      <c r="I418" s="58"/>
      <c r="J418" s="58"/>
      <c r="K418" s="58"/>
    </row>
    <row r="419" spans="2:11" ht="16.5" customHeight="1">
      <c r="B419" s="1464"/>
      <c r="C419" s="57"/>
      <c r="D419" s="58"/>
      <c r="E419" s="58"/>
      <c r="F419" s="58"/>
      <c r="G419" s="58"/>
      <c r="H419" s="58"/>
      <c r="I419" s="58"/>
      <c r="J419" s="58"/>
      <c r="K419" s="58"/>
    </row>
    <row r="420" spans="2:11" ht="16.5" customHeight="1">
      <c r="B420" s="1464"/>
      <c r="C420" s="57"/>
      <c r="D420" s="58"/>
      <c r="E420" s="58"/>
      <c r="F420" s="58"/>
      <c r="G420" s="58"/>
      <c r="H420" s="58"/>
      <c r="I420" s="58"/>
      <c r="J420" s="58"/>
      <c r="K420" s="58"/>
    </row>
    <row r="421" spans="2:11" ht="16.5" customHeight="1">
      <c r="B421" s="1464"/>
      <c r="C421" s="57"/>
      <c r="D421" s="58"/>
      <c r="E421" s="58"/>
      <c r="F421" s="58"/>
      <c r="G421" s="58"/>
      <c r="H421" s="58"/>
      <c r="I421" s="58"/>
      <c r="J421" s="58"/>
      <c r="K421" s="58"/>
    </row>
    <row r="422" spans="2:11" ht="16.5" customHeight="1">
      <c r="B422" s="1464"/>
      <c r="C422" s="57"/>
      <c r="D422" s="58"/>
      <c r="E422" s="58"/>
      <c r="F422" s="58"/>
      <c r="G422" s="58"/>
      <c r="H422" s="58"/>
      <c r="I422" s="58"/>
      <c r="J422" s="58"/>
      <c r="K422" s="58"/>
    </row>
    <row r="423" spans="2:11" ht="16.5" customHeight="1">
      <c r="B423" s="1464"/>
      <c r="C423" s="57"/>
      <c r="D423" s="58"/>
      <c r="E423" s="58"/>
      <c r="F423" s="58"/>
      <c r="G423" s="58"/>
      <c r="H423" s="58"/>
      <c r="I423" s="58"/>
      <c r="J423" s="58"/>
      <c r="K423" s="58"/>
    </row>
    <row r="424" spans="2:11" ht="16.5" customHeight="1">
      <c r="B424" s="1464"/>
      <c r="C424" s="57"/>
      <c r="D424" s="58"/>
      <c r="E424" s="58"/>
      <c r="F424" s="58"/>
      <c r="G424" s="58"/>
      <c r="H424" s="58"/>
      <c r="I424" s="58"/>
      <c r="J424" s="58"/>
      <c r="K424" s="58"/>
    </row>
    <row r="425" spans="2:11" ht="16.5" customHeight="1">
      <c r="B425" s="1464"/>
      <c r="C425" s="57"/>
      <c r="D425" s="58"/>
      <c r="E425" s="58"/>
      <c r="F425" s="58"/>
      <c r="G425" s="58"/>
      <c r="H425" s="58"/>
      <c r="I425" s="58"/>
      <c r="J425" s="58"/>
      <c r="K425" s="58"/>
    </row>
    <row r="426" spans="2:11" ht="16.5" customHeight="1">
      <c r="B426" s="1464"/>
      <c r="C426" s="57"/>
      <c r="D426" s="58"/>
      <c r="E426" s="58"/>
      <c r="F426" s="58"/>
      <c r="G426" s="58"/>
      <c r="H426" s="58"/>
      <c r="I426" s="58"/>
      <c r="J426" s="58"/>
      <c r="K426" s="58"/>
    </row>
    <row r="427" spans="2:11" ht="16.5" customHeight="1">
      <c r="B427" s="1464"/>
      <c r="C427" s="57"/>
      <c r="D427" s="58"/>
      <c r="E427" s="58"/>
      <c r="F427" s="58"/>
      <c r="G427" s="58"/>
      <c r="H427" s="58"/>
      <c r="I427" s="58"/>
      <c r="J427" s="58"/>
      <c r="K427" s="58"/>
    </row>
    <row r="428" spans="2:11" ht="16.5" customHeight="1">
      <c r="B428" s="1464"/>
      <c r="C428" s="57"/>
      <c r="D428" s="58"/>
      <c r="E428" s="58"/>
      <c r="F428" s="58"/>
      <c r="G428" s="58"/>
      <c r="H428" s="58"/>
      <c r="I428" s="58"/>
      <c r="J428" s="58"/>
      <c r="K428" s="58"/>
    </row>
    <row r="429" spans="2:11" ht="16.5" customHeight="1">
      <c r="B429" s="1464"/>
      <c r="C429" s="57"/>
      <c r="D429" s="58"/>
      <c r="E429" s="58"/>
      <c r="F429" s="58"/>
      <c r="G429" s="58"/>
      <c r="H429" s="58"/>
      <c r="I429" s="58"/>
      <c r="J429" s="58"/>
      <c r="K429" s="58"/>
    </row>
    <row r="430" spans="2:11" ht="16.5" customHeight="1">
      <c r="B430" s="1464"/>
      <c r="C430" s="57"/>
      <c r="D430" s="58"/>
      <c r="E430" s="58"/>
      <c r="F430" s="58"/>
      <c r="G430" s="58"/>
      <c r="H430" s="58"/>
      <c r="I430" s="58"/>
      <c r="J430" s="58"/>
      <c r="K430" s="58"/>
    </row>
    <row r="431" spans="2:11" ht="16.5" customHeight="1">
      <c r="B431" s="1464"/>
      <c r="C431" s="57"/>
      <c r="D431" s="58"/>
      <c r="E431" s="58"/>
      <c r="F431" s="58"/>
      <c r="G431" s="58"/>
      <c r="H431" s="58"/>
      <c r="I431" s="58"/>
      <c r="J431" s="58"/>
      <c r="K431" s="58"/>
    </row>
    <row r="432" spans="2:11" ht="16.5" customHeight="1">
      <c r="B432" s="1464"/>
      <c r="C432" s="57"/>
      <c r="D432" s="58"/>
      <c r="E432" s="58"/>
      <c r="F432" s="58"/>
      <c r="G432" s="58"/>
      <c r="H432" s="58"/>
      <c r="I432" s="58"/>
      <c r="J432" s="58"/>
      <c r="K432" s="58"/>
    </row>
    <row r="433" spans="2:11" ht="16.5" customHeight="1">
      <c r="B433" s="1464"/>
      <c r="C433" s="57"/>
      <c r="D433" s="58"/>
      <c r="E433" s="58"/>
      <c r="F433" s="58"/>
      <c r="G433" s="58"/>
      <c r="H433" s="58"/>
      <c r="I433" s="58"/>
      <c r="J433" s="58"/>
      <c r="K433" s="58"/>
    </row>
    <row r="434" spans="2:11" ht="16.5" customHeight="1">
      <c r="B434" s="1464"/>
      <c r="C434" s="57"/>
      <c r="D434" s="58"/>
      <c r="E434" s="58"/>
      <c r="F434" s="58"/>
      <c r="G434" s="58"/>
      <c r="H434" s="58"/>
      <c r="I434" s="58"/>
      <c r="J434" s="58"/>
      <c r="K434" s="58"/>
    </row>
    <row r="435" spans="2:11" s="30" customFormat="1" ht="16.5" customHeight="1">
      <c r="B435" s="1464"/>
      <c r="C435" s="57"/>
      <c r="D435" s="58"/>
      <c r="E435" s="58"/>
      <c r="F435" s="58"/>
      <c r="G435" s="58"/>
      <c r="H435" s="58"/>
      <c r="I435" s="58"/>
      <c r="J435" s="58"/>
      <c r="K435" s="58"/>
    </row>
    <row r="436" spans="2:11" s="30" customFormat="1" ht="16.5" customHeight="1">
      <c r="B436" s="1464"/>
      <c r="C436" s="57"/>
      <c r="D436" s="58"/>
      <c r="E436" s="58"/>
      <c r="F436" s="58"/>
      <c r="G436" s="58"/>
      <c r="H436" s="58"/>
      <c r="I436" s="58"/>
      <c r="J436" s="58"/>
      <c r="K436" s="58"/>
    </row>
    <row r="437" spans="2:11" s="30" customFormat="1" ht="16.5" customHeight="1">
      <c r="B437" s="1464"/>
      <c r="C437" s="57"/>
      <c r="D437" s="58"/>
      <c r="E437" s="58"/>
      <c r="F437" s="58"/>
      <c r="G437" s="58"/>
      <c r="H437" s="58"/>
      <c r="I437" s="58"/>
      <c r="J437" s="58"/>
      <c r="K437" s="58"/>
    </row>
    <row r="438" spans="2:11" s="30" customFormat="1" ht="16.5" customHeight="1">
      <c r="B438" s="1464"/>
      <c r="C438" s="57"/>
      <c r="D438" s="58"/>
      <c r="E438" s="58"/>
      <c r="F438" s="58"/>
      <c r="G438" s="58"/>
      <c r="H438" s="58"/>
      <c r="I438" s="58"/>
      <c r="J438" s="58"/>
      <c r="K438" s="58"/>
    </row>
    <row r="439" spans="2:11" s="30" customFormat="1" ht="16.5" customHeight="1">
      <c r="B439" s="1464"/>
      <c r="C439" s="57"/>
      <c r="D439" s="58"/>
      <c r="E439" s="58"/>
      <c r="F439" s="58"/>
      <c r="G439" s="58"/>
      <c r="H439" s="58"/>
      <c r="I439" s="58"/>
      <c r="J439" s="58"/>
      <c r="K439" s="58"/>
    </row>
    <row r="440" spans="2:11" ht="13.5" customHeight="1" thickBot="1">
      <c r="B440" s="1464"/>
      <c r="C440" s="60"/>
      <c r="D440" s="61"/>
      <c r="E440" s="61"/>
      <c r="F440" s="61"/>
      <c r="G440" s="61"/>
      <c r="H440" s="61"/>
      <c r="I440" s="61"/>
      <c r="J440" s="61"/>
      <c r="K440" s="61"/>
    </row>
    <row r="441" spans="2:11" ht="12.75" customHeight="1">
      <c r="C441" s="1466"/>
      <c r="D441" s="1466"/>
      <c r="E441" s="1466"/>
      <c r="F441" s="1466"/>
      <c r="G441" s="1466"/>
      <c r="H441" s="1466"/>
      <c r="I441" s="1466"/>
      <c r="J441" s="1466"/>
      <c r="K441" s="1466"/>
    </row>
    <row r="442" spans="2:11" ht="12.75" customHeight="1">
      <c r="C442" s="1467"/>
      <c r="D442" s="1467"/>
      <c r="E442" s="1467"/>
      <c r="F442" s="1467"/>
      <c r="G442" s="1467"/>
      <c r="H442" s="1467"/>
      <c r="I442" s="1467"/>
      <c r="J442" s="1467"/>
      <c r="K442" s="1467"/>
    </row>
    <row r="443" spans="2:11" ht="12.75" customHeight="1">
      <c r="C443" s="1467"/>
      <c r="D443" s="1467"/>
      <c r="E443" s="1467"/>
      <c r="F443" s="1467"/>
      <c r="G443" s="1467"/>
      <c r="H443" s="1467"/>
      <c r="I443" s="1467"/>
      <c r="J443" s="1467"/>
      <c r="K443" s="1467"/>
    </row>
    <row r="444" spans="2:11" ht="12.75" customHeight="1">
      <c r="B444" s="62"/>
      <c r="C444" s="62"/>
      <c r="D444" s="62"/>
      <c r="E444" s="62"/>
      <c r="F444" s="62"/>
      <c r="G444" s="62"/>
      <c r="H444" s="62"/>
      <c r="I444" s="62"/>
      <c r="J444" s="62"/>
      <c r="K444" s="62"/>
    </row>
    <row r="445" spans="2:11" ht="12.75" customHeight="1">
      <c r="B445" s="62"/>
      <c r="C445" s="62"/>
      <c r="D445" s="62"/>
      <c r="E445" s="62"/>
      <c r="F445" s="62"/>
      <c r="G445" s="62"/>
      <c r="H445" s="62"/>
      <c r="I445" s="62"/>
      <c r="J445" s="62"/>
      <c r="K445" s="62"/>
    </row>
    <row r="446" spans="2:11" ht="12.75" customHeight="1">
      <c r="B446" s="62"/>
      <c r="C446" s="62"/>
      <c r="D446" s="62"/>
      <c r="E446" s="62"/>
      <c r="F446" s="62"/>
      <c r="G446" s="62"/>
      <c r="H446" s="62"/>
      <c r="I446" s="62"/>
      <c r="J446" s="62"/>
      <c r="K446" s="62"/>
    </row>
    <row r="447" spans="2:11" ht="12.75" customHeight="1"/>
    <row r="448" spans="2:11" ht="12.75" customHeight="1"/>
    <row r="449" ht="12.75" customHeight="1"/>
    <row r="450" ht="12.75" customHeight="1"/>
    <row r="451" ht="12.75" customHeight="1"/>
  </sheetData>
  <mergeCells count="218">
    <mergeCell ref="C441:K443"/>
    <mergeCell ref="B429:B430"/>
    <mergeCell ref="B431:B432"/>
    <mergeCell ref="B433:B434"/>
    <mergeCell ref="B435:B436"/>
    <mergeCell ref="B437:B438"/>
    <mergeCell ref="B439:B440"/>
    <mergeCell ref="B417:B418"/>
    <mergeCell ref="B419:B420"/>
    <mergeCell ref="B421:B422"/>
    <mergeCell ref="B423:B424"/>
    <mergeCell ref="B425:B426"/>
    <mergeCell ref="B427:B428"/>
    <mergeCell ref="B405:B406"/>
    <mergeCell ref="B407:B408"/>
    <mergeCell ref="B409:B410"/>
    <mergeCell ref="B411:B412"/>
    <mergeCell ref="B413:B414"/>
    <mergeCell ref="B415:B416"/>
    <mergeCell ref="B393:B394"/>
    <mergeCell ref="B395:B396"/>
    <mergeCell ref="B397:B398"/>
    <mergeCell ref="B399:B400"/>
    <mergeCell ref="B401:B402"/>
    <mergeCell ref="B403:B404"/>
    <mergeCell ref="B381:B382"/>
    <mergeCell ref="B383:B384"/>
    <mergeCell ref="B385:B386"/>
    <mergeCell ref="B387:B388"/>
    <mergeCell ref="B389:B390"/>
    <mergeCell ref="B391:B392"/>
    <mergeCell ref="B369:B370"/>
    <mergeCell ref="B371:B372"/>
    <mergeCell ref="B373:B374"/>
    <mergeCell ref="B375:B376"/>
    <mergeCell ref="B377:B378"/>
    <mergeCell ref="B379:B380"/>
    <mergeCell ref="B357:B358"/>
    <mergeCell ref="B359:B360"/>
    <mergeCell ref="B361:B362"/>
    <mergeCell ref="B363:B364"/>
    <mergeCell ref="B365:B366"/>
    <mergeCell ref="B367:B368"/>
    <mergeCell ref="B345:B346"/>
    <mergeCell ref="B347:B348"/>
    <mergeCell ref="B349:B350"/>
    <mergeCell ref="B351:B352"/>
    <mergeCell ref="B353:B354"/>
    <mergeCell ref="B355:B356"/>
    <mergeCell ref="B333:B334"/>
    <mergeCell ref="B335:B336"/>
    <mergeCell ref="B337:B338"/>
    <mergeCell ref="B339:B340"/>
    <mergeCell ref="B341:B342"/>
    <mergeCell ref="B343:B344"/>
    <mergeCell ref="B321:B322"/>
    <mergeCell ref="B323:B324"/>
    <mergeCell ref="B325:B326"/>
    <mergeCell ref="B327:B328"/>
    <mergeCell ref="B329:B330"/>
    <mergeCell ref="B331:B332"/>
    <mergeCell ref="B309:B310"/>
    <mergeCell ref="B311:B312"/>
    <mergeCell ref="B313:B314"/>
    <mergeCell ref="B315:B316"/>
    <mergeCell ref="B317:B318"/>
    <mergeCell ref="B319:B320"/>
    <mergeCell ref="B297:B298"/>
    <mergeCell ref="B299:B300"/>
    <mergeCell ref="B301:B302"/>
    <mergeCell ref="B303:B304"/>
    <mergeCell ref="B305:B306"/>
    <mergeCell ref="B307:B308"/>
    <mergeCell ref="B285:B286"/>
    <mergeCell ref="B287:B288"/>
    <mergeCell ref="B289:B290"/>
    <mergeCell ref="B291:B292"/>
    <mergeCell ref="B293:B294"/>
    <mergeCell ref="B295:B296"/>
    <mergeCell ref="B273:B274"/>
    <mergeCell ref="B275:B276"/>
    <mergeCell ref="B277:B278"/>
    <mergeCell ref="B279:B280"/>
    <mergeCell ref="B281:B282"/>
    <mergeCell ref="B283:B284"/>
    <mergeCell ref="B261:B262"/>
    <mergeCell ref="B263:B264"/>
    <mergeCell ref="B265:B266"/>
    <mergeCell ref="B267:B268"/>
    <mergeCell ref="B269:B270"/>
    <mergeCell ref="B271:B272"/>
    <mergeCell ref="B249:B250"/>
    <mergeCell ref="B251:B252"/>
    <mergeCell ref="B253:B254"/>
    <mergeCell ref="B255:B256"/>
    <mergeCell ref="B257:B258"/>
    <mergeCell ref="B259:B260"/>
    <mergeCell ref="B237:B238"/>
    <mergeCell ref="B239:B240"/>
    <mergeCell ref="B241:B242"/>
    <mergeCell ref="B243:B244"/>
    <mergeCell ref="B245:B246"/>
    <mergeCell ref="B247:B248"/>
    <mergeCell ref="B225:B226"/>
    <mergeCell ref="B227:B228"/>
    <mergeCell ref="B229:B230"/>
    <mergeCell ref="B231:B232"/>
    <mergeCell ref="B233:B234"/>
    <mergeCell ref="B235:B236"/>
    <mergeCell ref="B213:B214"/>
    <mergeCell ref="B215:B216"/>
    <mergeCell ref="B217:B218"/>
    <mergeCell ref="B219:B220"/>
    <mergeCell ref="B221:B222"/>
    <mergeCell ref="B223:B224"/>
    <mergeCell ref="B201:B202"/>
    <mergeCell ref="B203:B204"/>
    <mergeCell ref="B205:B206"/>
    <mergeCell ref="B207:B208"/>
    <mergeCell ref="B209:B210"/>
    <mergeCell ref="B211:B212"/>
    <mergeCell ref="B189:B190"/>
    <mergeCell ref="B191:B192"/>
    <mergeCell ref="B193:B194"/>
    <mergeCell ref="B195:B196"/>
    <mergeCell ref="B197:B198"/>
    <mergeCell ref="B199:B200"/>
    <mergeCell ref="B177:B178"/>
    <mergeCell ref="B179:B180"/>
    <mergeCell ref="B181:B182"/>
    <mergeCell ref="B183:B184"/>
    <mergeCell ref="B185:B186"/>
    <mergeCell ref="B187:B188"/>
    <mergeCell ref="B165:B166"/>
    <mergeCell ref="B167:B168"/>
    <mergeCell ref="B169:B170"/>
    <mergeCell ref="B171:B172"/>
    <mergeCell ref="B173:B174"/>
    <mergeCell ref="B175:B176"/>
    <mergeCell ref="B153:B154"/>
    <mergeCell ref="B155:B156"/>
    <mergeCell ref="B157:B158"/>
    <mergeCell ref="B159:B160"/>
    <mergeCell ref="B161:B162"/>
    <mergeCell ref="B163:B164"/>
    <mergeCell ref="B141:B142"/>
    <mergeCell ref="B143:B144"/>
    <mergeCell ref="B145:B146"/>
    <mergeCell ref="B147:B148"/>
    <mergeCell ref="B149:B150"/>
    <mergeCell ref="B151:B152"/>
    <mergeCell ref="B129:B130"/>
    <mergeCell ref="B131:B132"/>
    <mergeCell ref="B133:B134"/>
    <mergeCell ref="B135:B136"/>
    <mergeCell ref="B137:B138"/>
    <mergeCell ref="B139:B140"/>
    <mergeCell ref="B117:B118"/>
    <mergeCell ref="B119:B120"/>
    <mergeCell ref="B121:B122"/>
    <mergeCell ref="B123:B124"/>
    <mergeCell ref="B125:B126"/>
    <mergeCell ref="B127:B128"/>
    <mergeCell ref="B105:B106"/>
    <mergeCell ref="B107:B108"/>
    <mergeCell ref="B109:B110"/>
    <mergeCell ref="B111:B112"/>
    <mergeCell ref="B113:B114"/>
    <mergeCell ref="B115:B116"/>
    <mergeCell ref="B93:B94"/>
    <mergeCell ref="B95:B96"/>
    <mergeCell ref="B97:B98"/>
    <mergeCell ref="B99:B100"/>
    <mergeCell ref="B101:B102"/>
    <mergeCell ref="B103:B104"/>
    <mergeCell ref="B81:B82"/>
    <mergeCell ref="B83:B84"/>
    <mergeCell ref="B85:B86"/>
    <mergeCell ref="B87:B88"/>
    <mergeCell ref="B89:B90"/>
    <mergeCell ref="B91:B92"/>
    <mergeCell ref="B69:B70"/>
    <mergeCell ref="B71:B72"/>
    <mergeCell ref="B73:B74"/>
    <mergeCell ref="B75:B76"/>
    <mergeCell ref="B77:B78"/>
    <mergeCell ref="B79:B80"/>
    <mergeCell ref="B59:B60"/>
    <mergeCell ref="B61:B62"/>
    <mergeCell ref="B63:B64"/>
    <mergeCell ref="B65:B66"/>
    <mergeCell ref="B67:B68"/>
    <mergeCell ref="B56:B57"/>
    <mergeCell ref="B54:B55"/>
    <mergeCell ref="B52:B53"/>
    <mergeCell ref="B50:B51"/>
    <mergeCell ref="B48:B49"/>
    <mergeCell ref="B46:B47"/>
    <mergeCell ref="B44:B45"/>
    <mergeCell ref="B42:B43"/>
    <mergeCell ref="B40:B41"/>
    <mergeCell ref="B20:B21"/>
    <mergeCell ref="B18:B19"/>
    <mergeCell ref="B14:B15"/>
    <mergeCell ref="B16:B17"/>
    <mergeCell ref="C1:K1"/>
    <mergeCell ref="B3:B8"/>
    <mergeCell ref="B12:B13"/>
    <mergeCell ref="B10:B11"/>
    <mergeCell ref="B38:B39"/>
    <mergeCell ref="B36:B37"/>
    <mergeCell ref="B34:B35"/>
    <mergeCell ref="B32:B33"/>
    <mergeCell ref="B28:B29"/>
    <mergeCell ref="B30:B31"/>
    <mergeCell ref="B24:B25"/>
    <mergeCell ref="B26:B27"/>
    <mergeCell ref="B22:B23"/>
  </mergeCells>
  <printOptions horizontalCentered="1"/>
  <pageMargins left="0.45" right="0.45" top="0.5" bottom="0.5" header="0.3" footer="0.3"/>
  <pageSetup scale="1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wsINSPECTION_CHECKLIST">
    <tabColor theme="4" tint="0.79998168889431442"/>
    <pageSetUpPr fitToPage="1"/>
  </sheetPr>
  <dimension ref="B1:BL227"/>
  <sheetViews>
    <sheetView showGridLines="0" showRowColHeaders="0" zoomScaleNormal="100" workbookViewId="0">
      <pane ySplit="2" topLeftCell="A3" activePane="bottomLeft" state="frozen"/>
      <selection pane="bottomLeft" activeCell="M12" sqref="M12:AD12"/>
    </sheetView>
  </sheetViews>
  <sheetFormatPr defaultColWidth="8.6484375" defaultRowHeight="9"/>
  <cols>
    <col min="1" max="1" width="14.34765625" style="1" customWidth="1"/>
    <col min="2" max="2" width="6.6484375" style="1" customWidth="1"/>
    <col min="3" max="3" width="6.44921875" style="1" customWidth="1"/>
    <col min="4" max="5" width="6.34765625" style="1" customWidth="1"/>
    <col min="6" max="6" width="7" style="1" customWidth="1"/>
    <col min="7" max="55" width="2.34765625" style="1" customWidth="1"/>
    <col min="56" max="56" width="3.19921875" style="1" customWidth="1"/>
    <col min="57" max="57" width="7.796875" style="1" customWidth="1"/>
    <col min="58" max="58" width="8.34765625" style="1" customWidth="1"/>
    <col min="59" max="59" width="17.09765625" style="1" bestFit="1" customWidth="1"/>
    <col min="60" max="60" width="7.09765625" style="1" hidden="1" customWidth="1"/>
    <col min="61" max="64" width="7" style="1" hidden="1" customWidth="1"/>
    <col min="65" max="66" width="7" style="1" customWidth="1"/>
    <col min="67" max="291" width="8.6484375" style="1"/>
    <col min="292" max="292" width="12.44921875" style="1" customWidth="1"/>
    <col min="293" max="307" width="5.09765625" style="1" customWidth="1"/>
    <col min="308" max="547" width="8.6484375" style="1"/>
    <col min="548" max="548" width="12.44921875" style="1" customWidth="1"/>
    <col min="549" max="563" width="5.09765625" style="1" customWidth="1"/>
    <col min="564" max="803" width="8.6484375" style="1"/>
    <col min="804" max="804" width="12.44921875" style="1" customWidth="1"/>
    <col min="805" max="819" width="5.09765625" style="1" customWidth="1"/>
    <col min="820" max="1059" width="8.6484375" style="1"/>
    <col min="1060" max="1060" width="12.44921875" style="1" customWidth="1"/>
    <col min="1061" max="1075" width="5.09765625" style="1" customWidth="1"/>
    <col min="1076" max="1315" width="8.6484375" style="1"/>
    <col min="1316" max="1316" width="12.44921875" style="1" customWidth="1"/>
    <col min="1317" max="1331" width="5.09765625" style="1" customWidth="1"/>
    <col min="1332" max="1571" width="8.6484375" style="1"/>
    <col min="1572" max="1572" width="12.44921875" style="1" customWidth="1"/>
    <col min="1573" max="1587" width="5.09765625" style="1" customWidth="1"/>
    <col min="1588" max="1827" width="8.6484375" style="1"/>
    <col min="1828" max="1828" width="12.44921875" style="1" customWidth="1"/>
    <col min="1829" max="1843" width="5.09765625" style="1" customWidth="1"/>
    <col min="1844" max="2083" width="8.6484375" style="1"/>
    <col min="2084" max="2084" width="12.44921875" style="1" customWidth="1"/>
    <col min="2085" max="2099" width="5.09765625" style="1" customWidth="1"/>
    <col min="2100" max="2339" width="8.6484375" style="1"/>
    <col min="2340" max="2340" width="12.44921875" style="1" customWidth="1"/>
    <col min="2341" max="2355" width="5.09765625" style="1" customWidth="1"/>
    <col min="2356" max="2595" width="8.6484375" style="1"/>
    <col min="2596" max="2596" width="12.44921875" style="1" customWidth="1"/>
    <col min="2597" max="2611" width="5.09765625" style="1" customWidth="1"/>
    <col min="2612" max="2851" width="8.6484375" style="1"/>
    <col min="2852" max="2852" width="12.44921875" style="1" customWidth="1"/>
    <col min="2853" max="2867" width="5.09765625" style="1" customWidth="1"/>
    <col min="2868" max="3107" width="8.6484375" style="1"/>
    <col min="3108" max="3108" width="12.44921875" style="1" customWidth="1"/>
    <col min="3109" max="3123" width="5.09765625" style="1" customWidth="1"/>
    <col min="3124" max="3363" width="8.6484375" style="1"/>
    <col min="3364" max="3364" width="12.44921875" style="1" customWidth="1"/>
    <col min="3365" max="3379" width="5.09765625" style="1" customWidth="1"/>
    <col min="3380" max="3619" width="8.6484375" style="1"/>
    <col min="3620" max="3620" width="12.44921875" style="1" customWidth="1"/>
    <col min="3621" max="3635" width="5.09765625" style="1" customWidth="1"/>
    <col min="3636" max="3875" width="8.6484375" style="1"/>
    <col min="3876" max="3876" width="12.44921875" style="1" customWidth="1"/>
    <col min="3877" max="3891" width="5.09765625" style="1" customWidth="1"/>
    <col min="3892" max="4131" width="8.6484375" style="1"/>
    <col min="4132" max="4132" width="12.44921875" style="1" customWidth="1"/>
    <col min="4133" max="4147" width="5.09765625" style="1" customWidth="1"/>
    <col min="4148" max="4387" width="8.6484375" style="1"/>
    <col min="4388" max="4388" width="12.44921875" style="1" customWidth="1"/>
    <col min="4389" max="4403" width="5.09765625" style="1" customWidth="1"/>
    <col min="4404" max="4643" width="8.6484375" style="1"/>
    <col min="4644" max="4644" width="12.44921875" style="1" customWidth="1"/>
    <col min="4645" max="4659" width="5.09765625" style="1" customWidth="1"/>
    <col min="4660" max="4899" width="8.6484375" style="1"/>
    <col min="4900" max="4900" width="12.44921875" style="1" customWidth="1"/>
    <col min="4901" max="4915" width="5.09765625" style="1" customWidth="1"/>
    <col min="4916" max="5155" width="8.6484375" style="1"/>
    <col min="5156" max="5156" width="12.44921875" style="1" customWidth="1"/>
    <col min="5157" max="5171" width="5.09765625" style="1" customWidth="1"/>
    <col min="5172" max="5411" width="8.6484375" style="1"/>
    <col min="5412" max="5412" width="12.44921875" style="1" customWidth="1"/>
    <col min="5413" max="5427" width="5.09765625" style="1" customWidth="1"/>
    <col min="5428" max="5667" width="8.6484375" style="1"/>
    <col min="5668" max="5668" width="12.44921875" style="1" customWidth="1"/>
    <col min="5669" max="5683" width="5.09765625" style="1" customWidth="1"/>
    <col min="5684" max="5923" width="8.6484375" style="1"/>
    <col min="5924" max="5924" width="12.44921875" style="1" customWidth="1"/>
    <col min="5925" max="5939" width="5.09765625" style="1" customWidth="1"/>
    <col min="5940" max="6179" width="8.6484375" style="1"/>
    <col min="6180" max="6180" width="12.44921875" style="1" customWidth="1"/>
    <col min="6181" max="6195" width="5.09765625" style="1" customWidth="1"/>
    <col min="6196" max="6435" width="8.6484375" style="1"/>
    <col min="6436" max="6436" width="12.44921875" style="1" customWidth="1"/>
    <col min="6437" max="6451" width="5.09765625" style="1" customWidth="1"/>
    <col min="6452" max="6691" width="8.6484375" style="1"/>
    <col min="6692" max="6692" width="12.44921875" style="1" customWidth="1"/>
    <col min="6693" max="6707" width="5.09765625" style="1" customWidth="1"/>
    <col min="6708" max="6947" width="8.6484375" style="1"/>
    <col min="6948" max="6948" width="12.44921875" style="1" customWidth="1"/>
    <col min="6949" max="6963" width="5.09765625" style="1" customWidth="1"/>
    <col min="6964" max="7203" width="8.6484375" style="1"/>
    <col min="7204" max="7204" width="12.44921875" style="1" customWidth="1"/>
    <col min="7205" max="7219" width="5.09765625" style="1" customWidth="1"/>
    <col min="7220" max="7459" width="8.6484375" style="1"/>
    <col min="7460" max="7460" width="12.44921875" style="1" customWidth="1"/>
    <col min="7461" max="7475" width="5.09765625" style="1" customWidth="1"/>
    <col min="7476" max="7715" width="8.6484375" style="1"/>
    <col min="7716" max="7716" width="12.44921875" style="1" customWidth="1"/>
    <col min="7717" max="7731" width="5.09765625" style="1" customWidth="1"/>
    <col min="7732" max="7971" width="8.6484375" style="1"/>
    <col min="7972" max="7972" width="12.44921875" style="1" customWidth="1"/>
    <col min="7973" max="7987" width="5.09765625" style="1" customWidth="1"/>
    <col min="7988" max="8227" width="8.6484375" style="1"/>
    <col min="8228" max="8228" width="12.44921875" style="1" customWidth="1"/>
    <col min="8229" max="8243" width="5.09765625" style="1" customWidth="1"/>
    <col min="8244" max="8483" width="8.6484375" style="1"/>
    <col min="8484" max="8484" width="12.44921875" style="1" customWidth="1"/>
    <col min="8485" max="8499" width="5.09765625" style="1" customWidth="1"/>
    <col min="8500" max="8739" width="8.6484375" style="1"/>
    <col min="8740" max="8740" width="12.44921875" style="1" customWidth="1"/>
    <col min="8741" max="8755" width="5.09765625" style="1" customWidth="1"/>
    <col min="8756" max="8995" width="8.6484375" style="1"/>
    <col min="8996" max="8996" width="12.44921875" style="1" customWidth="1"/>
    <col min="8997" max="9011" width="5.09765625" style="1" customWidth="1"/>
    <col min="9012" max="9251" width="8.6484375" style="1"/>
    <col min="9252" max="9252" width="12.44921875" style="1" customWidth="1"/>
    <col min="9253" max="9267" width="5.09765625" style="1" customWidth="1"/>
    <col min="9268" max="9507" width="8.6484375" style="1"/>
    <col min="9508" max="9508" width="12.44921875" style="1" customWidth="1"/>
    <col min="9509" max="9523" width="5.09765625" style="1" customWidth="1"/>
    <col min="9524" max="9763" width="8.6484375" style="1"/>
    <col min="9764" max="9764" width="12.44921875" style="1" customWidth="1"/>
    <col min="9765" max="9779" width="5.09765625" style="1" customWidth="1"/>
    <col min="9780" max="10019" width="8.6484375" style="1"/>
    <col min="10020" max="10020" width="12.44921875" style="1" customWidth="1"/>
    <col min="10021" max="10035" width="5.09765625" style="1" customWidth="1"/>
    <col min="10036" max="10275" width="8.6484375" style="1"/>
    <col min="10276" max="10276" width="12.44921875" style="1" customWidth="1"/>
    <col min="10277" max="10291" width="5.09765625" style="1" customWidth="1"/>
    <col min="10292" max="10531" width="8.6484375" style="1"/>
    <col min="10532" max="10532" width="12.44921875" style="1" customWidth="1"/>
    <col min="10533" max="10547" width="5.09765625" style="1" customWidth="1"/>
    <col min="10548" max="10787" width="8.6484375" style="1"/>
    <col min="10788" max="10788" width="12.44921875" style="1" customWidth="1"/>
    <col min="10789" max="10803" width="5.09765625" style="1" customWidth="1"/>
    <col min="10804" max="11043" width="8.6484375" style="1"/>
    <col min="11044" max="11044" width="12.44921875" style="1" customWidth="1"/>
    <col min="11045" max="11059" width="5.09765625" style="1" customWidth="1"/>
    <col min="11060" max="11299" width="8.6484375" style="1"/>
    <col min="11300" max="11300" width="12.44921875" style="1" customWidth="1"/>
    <col min="11301" max="11315" width="5.09765625" style="1" customWidth="1"/>
    <col min="11316" max="11555" width="8.6484375" style="1"/>
    <col min="11556" max="11556" width="12.44921875" style="1" customWidth="1"/>
    <col min="11557" max="11571" width="5.09765625" style="1" customWidth="1"/>
    <col min="11572" max="11811" width="8.6484375" style="1"/>
    <col min="11812" max="11812" width="12.44921875" style="1" customWidth="1"/>
    <col min="11813" max="11827" width="5.09765625" style="1" customWidth="1"/>
    <col min="11828" max="12067" width="8.6484375" style="1"/>
    <col min="12068" max="12068" width="12.44921875" style="1" customWidth="1"/>
    <col min="12069" max="12083" width="5.09765625" style="1" customWidth="1"/>
    <col min="12084" max="12323" width="8.6484375" style="1"/>
    <col min="12324" max="12324" width="12.44921875" style="1" customWidth="1"/>
    <col min="12325" max="12339" width="5.09765625" style="1" customWidth="1"/>
    <col min="12340" max="12579" width="8.6484375" style="1"/>
    <col min="12580" max="12580" width="12.44921875" style="1" customWidth="1"/>
    <col min="12581" max="12595" width="5.09765625" style="1" customWidth="1"/>
    <col min="12596" max="12835" width="8.6484375" style="1"/>
    <col min="12836" max="12836" width="12.44921875" style="1" customWidth="1"/>
    <col min="12837" max="12851" width="5.09765625" style="1" customWidth="1"/>
    <col min="12852" max="13091" width="8.6484375" style="1"/>
    <col min="13092" max="13092" width="12.44921875" style="1" customWidth="1"/>
    <col min="13093" max="13107" width="5.09765625" style="1" customWidth="1"/>
    <col min="13108" max="13347" width="8.6484375" style="1"/>
    <col min="13348" max="13348" width="12.44921875" style="1" customWidth="1"/>
    <col min="13349" max="13363" width="5.09765625" style="1" customWidth="1"/>
    <col min="13364" max="13603" width="8.6484375" style="1"/>
    <col min="13604" max="13604" width="12.44921875" style="1" customWidth="1"/>
    <col min="13605" max="13619" width="5.09765625" style="1" customWidth="1"/>
    <col min="13620" max="13859" width="8.6484375" style="1"/>
    <col min="13860" max="13860" width="12.44921875" style="1" customWidth="1"/>
    <col min="13861" max="13875" width="5.09765625" style="1" customWidth="1"/>
    <col min="13876" max="14115" width="8.6484375" style="1"/>
    <col min="14116" max="14116" width="12.44921875" style="1" customWidth="1"/>
    <col min="14117" max="14131" width="5.09765625" style="1" customWidth="1"/>
    <col min="14132" max="14371" width="8.6484375" style="1"/>
    <col min="14372" max="14372" width="12.44921875" style="1" customWidth="1"/>
    <col min="14373" max="14387" width="5.09765625" style="1" customWidth="1"/>
    <col min="14388" max="14627" width="8.6484375" style="1"/>
    <col min="14628" max="14628" width="12.44921875" style="1" customWidth="1"/>
    <col min="14629" max="14643" width="5.09765625" style="1" customWidth="1"/>
    <col min="14644" max="14883" width="8.6484375" style="1"/>
    <col min="14884" max="14884" width="12.44921875" style="1" customWidth="1"/>
    <col min="14885" max="14899" width="5.09765625" style="1" customWidth="1"/>
    <col min="14900" max="15139" width="8.6484375" style="1"/>
    <col min="15140" max="15140" width="12.44921875" style="1" customWidth="1"/>
    <col min="15141" max="15155" width="5.09765625" style="1" customWidth="1"/>
    <col min="15156" max="15395" width="8.6484375" style="1"/>
    <col min="15396" max="15396" width="12.44921875" style="1" customWidth="1"/>
    <col min="15397" max="15411" width="5.09765625" style="1" customWidth="1"/>
    <col min="15412" max="15651" width="8.6484375" style="1"/>
    <col min="15652" max="15652" width="12.44921875" style="1" customWidth="1"/>
    <col min="15653" max="15667" width="5.09765625" style="1" customWidth="1"/>
    <col min="15668" max="15907" width="8.6484375" style="1"/>
    <col min="15908" max="15908" width="12.44921875" style="1" customWidth="1"/>
    <col min="15909" max="15923" width="5.09765625" style="1" customWidth="1"/>
    <col min="15924" max="16163" width="8.6484375" style="1"/>
    <col min="16164" max="16164" width="12.44921875" style="1" customWidth="1"/>
    <col min="16165" max="16179" width="5.09765625" style="1" customWidth="1"/>
    <col min="16180" max="16384" width="8.6484375" style="1"/>
  </cols>
  <sheetData>
    <row r="1" spans="2:63" s="120" customFormat="1" ht="45" customHeight="1">
      <c r="BI1" s="283" t="s">
        <v>996</v>
      </c>
      <c r="BJ1" s="283" t="s">
        <v>997</v>
      </c>
      <c r="BK1" s="283" t="s">
        <v>998</v>
      </c>
    </row>
    <row r="2" spans="2:63" s="282" customFormat="1" ht="46.5" customHeight="1">
      <c r="B2" s="3522" t="s">
        <v>886</v>
      </c>
      <c r="C2" s="3522"/>
      <c r="D2" s="3522"/>
      <c r="E2" s="3522"/>
      <c r="F2" s="3522"/>
      <c r="BI2" s="452" t="s">
        <v>1126</v>
      </c>
      <c r="BJ2" s="452" t="s">
        <v>1126</v>
      </c>
      <c r="BK2" s="452" t="s">
        <v>1126</v>
      </c>
    </row>
    <row r="3" spans="2:63" s="463" customFormat="1" ht="14.45" customHeight="1">
      <c r="BI3" s="464"/>
      <c r="BJ3" s="464"/>
      <c r="BK3" s="464"/>
    </row>
    <row r="4" spans="2:63" s="463" customFormat="1" ht="18.600000000000001" customHeight="1">
      <c r="J4" s="3444" t="s">
        <v>1173</v>
      </c>
      <c r="K4" s="3444"/>
      <c r="L4" s="3444"/>
      <c r="M4" s="3444"/>
      <c r="N4" s="3444"/>
      <c r="O4" s="3444"/>
      <c r="P4" s="3444"/>
      <c r="Q4" s="3444"/>
      <c r="R4" s="3444"/>
      <c r="S4" s="3444"/>
      <c r="T4" s="3444"/>
      <c r="U4" s="3444"/>
      <c r="V4" s="3444"/>
      <c r="W4" s="3444"/>
      <c r="X4" s="3444"/>
      <c r="Y4" s="3444"/>
      <c r="Z4" s="3444"/>
      <c r="AA4" s="3444"/>
      <c r="AB4" s="3444"/>
      <c r="AC4" s="3444"/>
      <c r="AD4" s="3444"/>
      <c r="AE4" s="3444"/>
      <c r="AF4" s="3444"/>
      <c r="AG4" s="3444"/>
      <c r="AH4" s="3444"/>
      <c r="AI4" s="3444"/>
      <c r="AJ4" s="3444"/>
      <c r="AK4" s="3444"/>
      <c r="AL4" s="3444"/>
      <c r="AM4" s="3444"/>
      <c r="AN4" s="3444"/>
      <c r="AO4" s="3444"/>
      <c r="AP4" s="3444"/>
      <c r="AQ4" s="3444"/>
      <c r="AR4" s="3444"/>
      <c r="AS4" s="3444"/>
      <c r="AT4" s="3444"/>
      <c r="AU4" s="3444"/>
      <c r="AV4" s="3444"/>
      <c r="AW4" s="3444"/>
      <c r="AX4" s="3444"/>
      <c r="AY4" s="3444"/>
      <c r="AZ4" s="3444"/>
      <c r="BI4" s="464"/>
      <c r="BJ4" s="464"/>
      <c r="BK4" s="464"/>
    </row>
    <row r="5" spans="2:63" s="463" customFormat="1" ht="18.600000000000001" customHeight="1">
      <c r="J5" s="3444"/>
      <c r="K5" s="3444"/>
      <c r="L5" s="3444"/>
      <c r="M5" s="3444"/>
      <c r="N5" s="3444"/>
      <c r="O5" s="3444"/>
      <c r="P5" s="3444"/>
      <c r="Q5" s="3444"/>
      <c r="R5" s="3444"/>
      <c r="S5" s="3444"/>
      <c r="T5" s="3444"/>
      <c r="U5" s="3444"/>
      <c r="V5" s="3444"/>
      <c r="W5" s="3444"/>
      <c r="X5" s="3444"/>
      <c r="Y5" s="3444"/>
      <c r="Z5" s="3444"/>
      <c r="AA5" s="3444"/>
      <c r="AB5" s="3444"/>
      <c r="AC5" s="3444"/>
      <c r="AD5" s="3444"/>
      <c r="AE5" s="3444"/>
      <c r="AF5" s="3444"/>
      <c r="AG5" s="3444"/>
      <c r="AH5" s="3444"/>
      <c r="AI5" s="3444"/>
      <c r="AJ5" s="3444"/>
      <c r="AK5" s="3444"/>
      <c r="AL5" s="3444"/>
      <c r="AM5" s="3444"/>
      <c r="AN5" s="3444"/>
      <c r="AO5" s="3444"/>
      <c r="AP5" s="3444"/>
      <c r="AQ5" s="3444"/>
      <c r="AR5" s="3444"/>
      <c r="AS5" s="3444"/>
      <c r="AT5" s="3444"/>
      <c r="AU5" s="3444"/>
      <c r="AV5" s="3444"/>
      <c r="AW5" s="3444"/>
      <c r="AX5" s="3444"/>
      <c r="AY5" s="3444"/>
      <c r="AZ5" s="3444"/>
      <c r="BI5" s="464"/>
      <c r="BJ5" s="464"/>
      <c r="BK5" s="464"/>
    </row>
    <row r="6" spans="2:63" s="463" customFormat="1" ht="18.600000000000001" customHeight="1">
      <c r="J6" s="3444"/>
      <c r="K6" s="3444"/>
      <c r="L6" s="3444"/>
      <c r="M6" s="3444"/>
      <c r="N6" s="3444"/>
      <c r="O6" s="3444"/>
      <c r="P6" s="3444"/>
      <c r="Q6" s="3444"/>
      <c r="R6" s="3444"/>
      <c r="S6" s="3444"/>
      <c r="T6" s="3444"/>
      <c r="U6" s="3444"/>
      <c r="V6" s="3444"/>
      <c r="W6" s="3444"/>
      <c r="X6" s="3444"/>
      <c r="Y6" s="3444"/>
      <c r="Z6" s="3444"/>
      <c r="AA6" s="3444"/>
      <c r="AB6" s="3444"/>
      <c r="AC6" s="3444"/>
      <c r="AD6" s="3444"/>
      <c r="AE6" s="3444"/>
      <c r="AF6" s="3444"/>
      <c r="AG6" s="3444"/>
      <c r="AH6" s="3444"/>
      <c r="AI6" s="3444"/>
      <c r="AJ6" s="3444"/>
      <c r="AK6" s="3444"/>
      <c r="AL6" s="3444"/>
      <c r="AM6" s="3444"/>
      <c r="AN6" s="3444"/>
      <c r="AO6" s="3444"/>
      <c r="AP6" s="3444"/>
      <c r="AQ6" s="3444"/>
      <c r="AR6" s="3444"/>
      <c r="AS6" s="3444"/>
      <c r="AT6" s="3444"/>
      <c r="AU6" s="3444"/>
      <c r="AV6" s="3444"/>
      <c r="AW6" s="3444"/>
      <c r="AX6" s="3444"/>
      <c r="AY6" s="3444"/>
      <c r="AZ6" s="3444"/>
      <c r="BI6" s="464"/>
      <c r="BJ6" s="464"/>
      <c r="BK6" s="464"/>
    </row>
    <row r="7" spans="2:63" s="463" customFormat="1" ht="18.600000000000001" customHeight="1">
      <c r="J7" s="3444"/>
      <c r="K7" s="3444"/>
      <c r="L7" s="3444"/>
      <c r="M7" s="3444"/>
      <c r="N7" s="3444"/>
      <c r="O7" s="3444"/>
      <c r="P7" s="3444"/>
      <c r="Q7" s="3444"/>
      <c r="R7" s="3444"/>
      <c r="S7" s="3444"/>
      <c r="T7" s="3444"/>
      <c r="U7" s="3444"/>
      <c r="V7" s="3444"/>
      <c r="W7" s="3444"/>
      <c r="X7" s="3444"/>
      <c r="Y7" s="3444"/>
      <c r="Z7" s="3444"/>
      <c r="AA7" s="3444"/>
      <c r="AB7" s="3444"/>
      <c r="AC7" s="3444"/>
      <c r="AD7" s="3444"/>
      <c r="AE7" s="3444"/>
      <c r="AF7" s="3444"/>
      <c r="AG7" s="3444"/>
      <c r="AH7" s="3444"/>
      <c r="AI7" s="3444"/>
      <c r="AJ7" s="3444"/>
      <c r="AK7" s="3444"/>
      <c r="AL7" s="3444"/>
      <c r="AM7" s="3444"/>
      <c r="AN7" s="3444"/>
      <c r="AO7" s="3444"/>
      <c r="AP7" s="3444"/>
      <c r="AQ7" s="3444"/>
      <c r="AR7" s="3444"/>
      <c r="AS7" s="3444"/>
      <c r="AT7" s="3444"/>
      <c r="AU7" s="3444"/>
      <c r="AV7" s="3444"/>
      <c r="AW7" s="3444"/>
      <c r="AX7" s="3444"/>
      <c r="AY7" s="3444"/>
      <c r="AZ7" s="3444"/>
      <c r="BI7" s="464"/>
      <c r="BJ7" s="464"/>
      <c r="BK7" s="464"/>
    </row>
    <row r="8" spans="2:63" s="463" customFormat="1" ht="18.600000000000001" customHeight="1">
      <c r="J8" s="467"/>
      <c r="K8" s="467"/>
      <c r="L8" s="467"/>
      <c r="M8" s="467"/>
      <c r="N8" s="467"/>
      <c r="O8" s="467"/>
      <c r="P8" s="467"/>
      <c r="Q8" s="467"/>
      <c r="R8" s="467"/>
      <c r="S8" s="467"/>
      <c r="T8" s="467"/>
      <c r="U8" s="467"/>
      <c r="V8" s="467"/>
      <c r="W8" s="467"/>
      <c r="X8" s="467"/>
      <c r="Y8" s="467"/>
      <c r="Z8" s="467"/>
      <c r="AA8" s="467"/>
      <c r="AB8" s="467"/>
      <c r="AC8" s="467"/>
      <c r="AD8" s="467"/>
      <c r="AE8" s="3445" t="s">
        <v>1171</v>
      </c>
      <c r="AF8" s="3445"/>
      <c r="AG8" s="3445"/>
      <c r="AH8" s="3445"/>
      <c r="AI8" s="3445"/>
      <c r="AJ8" s="3445"/>
      <c r="AK8" s="3445"/>
      <c r="AL8" s="3445"/>
      <c r="AM8" s="3445"/>
      <c r="AN8" s="3445"/>
      <c r="AO8" s="3445"/>
      <c r="AP8" s="3445"/>
      <c r="AQ8" s="3445"/>
      <c r="AR8" s="3445"/>
      <c r="AS8" s="3445"/>
      <c r="AT8" s="3445"/>
      <c r="AU8" s="3445"/>
      <c r="AV8" s="3445"/>
      <c r="AW8" s="3445"/>
      <c r="AX8" s="3445"/>
      <c r="AY8" s="3445"/>
      <c r="AZ8" s="3445"/>
      <c r="BI8" s="464"/>
      <c r="BJ8" s="464"/>
      <c r="BK8" s="464"/>
    </row>
    <row r="9" spans="2:63" s="463" customFormat="1" ht="18.600000000000001" customHeight="1">
      <c r="J9" s="467"/>
      <c r="K9" s="467"/>
      <c r="L9" s="467"/>
      <c r="M9" s="467"/>
      <c r="N9" s="467"/>
      <c r="O9" s="467"/>
      <c r="P9" s="467"/>
      <c r="Q9" s="467"/>
      <c r="R9" s="467"/>
      <c r="S9" s="467"/>
      <c r="T9" s="467"/>
      <c r="U9" s="467"/>
      <c r="V9" s="467"/>
      <c r="W9" s="467"/>
      <c r="X9" s="467"/>
      <c r="Y9" s="467"/>
      <c r="Z9" s="467"/>
      <c r="AA9" s="467"/>
      <c r="AB9" s="467"/>
      <c r="AC9" s="467"/>
      <c r="AD9" s="467"/>
      <c r="AE9" s="3445"/>
      <c r="AF9" s="3445"/>
      <c r="AG9" s="3445"/>
      <c r="AH9" s="3445"/>
      <c r="AI9" s="3445"/>
      <c r="AJ9" s="3445"/>
      <c r="AK9" s="3445"/>
      <c r="AL9" s="3445"/>
      <c r="AM9" s="3445"/>
      <c r="AN9" s="3445"/>
      <c r="AO9" s="3445"/>
      <c r="AP9" s="3445"/>
      <c r="AQ9" s="3445"/>
      <c r="AR9" s="3445"/>
      <c r="AS9" s="3445"/>
      <c r="AT9" s="3445"/>
      <c r="AU9" s="3445"/>
      <c r="AV9" s="3445"/>
      <c r="AW9" s="3445"/>
      <c r="AX9" s="3445"/>
      <c r="AY9" s="3445"/>
      <c r="AZ9" s="3445"/>
      <c r="BI9" s="464"/>
      <c r="BJ9" s="464"/>
      <c r="BK9" s="464"/>
    </row>
    <row r="10" spans="2:63" ht="15" customHeight="1"/>
    <row r="11" spans="2:63" s="22" customFormat="1" ht="17.45" customHeight="1">
      <c r="F11" s="189"/>
      <c r="G11" s="3502" t="s">
        <v>111</v>
      </c>
      <c r="H11" s="3502"/>
      <c r="I11" s="3502"/>
      <c r="J11" s="3502"/>
      <c r="K11" s="3502"/>
      <c r="L11" s="3502"/>
      <c r="M11" s="3502"/>
      <c r="N11" s="3502"/>
      <c r="O11" s="3502"/>
      <c r="P11" s="3502"/>
      <c r="Q11" s="3502"/>
      <c r="R11" s="3502"/>
      <c r="S11" s="3502"/>
      <c r="T11" s="3502"/>
      <c r="U11" s="3502"/>
      <c r="V11" s="3502"/>
      <c r="W11" s="3502"/>
      <c r="X11" s="3502"/>
      <c r="Y11" s="3502"/>
      <c r="Z11" s="3502"/>
      <c r="AA11" s="3502"/>
      <c r="AB11" s="3502"/>
      <c r="AC11" s="3502"/>
      <c r="AD11" s="3502"/>
      <c r="AE11" s="3502" t="s">
        <v>319</v>
      </c>
      <c r="AF11" s="3502"/>
      <c r="AG11" s="3502"/>
      <c r="AH11" s="3502"/>
      <c r="AI11" s="3502"/>
      <c r="AJ11" s="3502"/>
      <c r="AK11" s="3502"/>
      <c r="AL11" s="3502"/>
      <c r="AM11" s="3502"/>
      <c r="AN11" s="3502"/>
      <c r="AO11" s="3502"/>
      <c r="AP11" s="3502"/>
      <c r="AQ11" s="3502"/>
      <c r="AR11" s="3502"/>
      <c r="AS11" s="3502"/>
      <c r="AT11" s="3502"/>
      <c r="AU11" s="3502"/>
      <c r="AV11" s="3502"/>
      <c r="AW11" s="3502"/>
      <c r="AX11" s="3502"/>
      <c r="AY11" s="3502"/>
      <c r="AZ11" s="3502"/>
      <c r="BA11" s="3502"/>
      <c r="BB11" s="3502"/>
      <c r="BC11" s="3502"/>
    </row>
    <row r="12" spans="2:63" s="21" customFormat="1" ht="14.35">
      <c r="F12" s="190"/>
      <c r="G12" s="3516" t="s">
        <v>102</v>
      </c>
      <c r="H12" s="3516"/>
      <c r="I12" s="3516"/>
      <c r="J12" s="3516"/>
      <c r="K12" s="3516"/>
      <c r="L12" s="3517"/>
      <c r="M12" s="3518" t="str">
        <f>T(Street_Address)</f>
        <v/>
      </c>
      <c r="N12" s="3516"/>
      <c r="O12" s="3516"/>
      <c r="P12" s="3516"/>
      <c r="Q12" s="3516"/>
      <c r="R12" s="3516"/>
      <c r="S12" s="3516"/>
      <c r="T12" s="3516"/>
      <c r="U12" s="3516"/>
      <c r="V12" s="3516"/>
      <c r="W12" s="3516"/>
      <c r="X12" s="3516"/>
      <c r="Y12" s="3516"/>
      <c r="Z12" s="3516"/>
      <c r="AA12" s="3516"/>
      <c r="AB12" s="3516"/>
      <c r="AC12" s="3516"/>
      <c r="AD12" s="3516"/>
      <c r="AE12" s="3516" t="s">
        <v>325</v>
      </c>
      <c r="AF12" s="3516"/>
      <c r="AG12" s="3516"/>
      <c r="AH12" s="3516"/>
      <c r="AI12" s="3516"/>
      <c r="AJ12" s="3516"/>
      <c r="AK12" s="3516"/>
      <c r="AL12" s="3516"/>
      <c r="AM12" s="3516"/>
      <c r="AN12" s="3516"/>
      <c r="AO12" s="3516"/>
      <c r="AP12" s="3486" t="s">
        <v>326</v>
      </c>
      <c r="AQ12" s="3486"/>
      <c r="AR12" s="3486"/>
      <c r="AS12" s="3486"/>
      <c r="AT12" s="3486"/>
      <c r="AU12" s="3486"/>
      <c r="AV12" s="3486"/>
      <c r="AW12" s="3486"/>
      <c r="AX12" s="3486"/>
      <c r="AY12" s="3486"/>
      <c r="AZ12" s="3486"/>
      <c r="BA12" s="3486"/>
      <c r="BB12" s="3486"/>
      <c r="BC12" s="3486"/>
    </row>
    <row r="13" spans="2:63" s="21" customFormat="1" ht="14.35">
      <c r="F13" s="190"/>
      <c r="G13" s="3516" t="s">
        <v>328</v>
      </c>
      <c r="H13" s="3516"/>
      <c r="I13" s="3516"/>
      <c r="J13" s="3516"/>
      <c r="K13" s="3516"/>
      <c r="L13" s="3517"/>
      <c r="M13" s="3518" t="str">
        <f>T(City_State_Zip)</f>
        <v/>
      </c>
      <c r="N13" s="3516"/>
      <c r="O13" s="3516"/>
      <c r="P13" s="3516"/>
      <c r="Q13" s="3516"/>
      <c r="R13" s="3516"/>
      <c r="S13" s="3516"/>
      <c r="T13" s="3516"/>
      <c r="U13" s="3516"/>
      <c r="V13" s="3516"/>
      <c r="W13" s="3516"/>
      <c r="X13" s="3516"/>
      <c r="Y13" s="3516"/>
      <c r="Z13" s="3516"/>
      <c r="AA13" s="3516"/>
      <c r="AB13" s="3516"/>
      <c r="AC13" s="3516"/>
      <c r="AD13" s="3516"/>
      <c r="AE13" s="3516" t="s">
        <v>321</v>
      </c>
      <c r="AF13" s="3516"/>
      <c r="AG13" s="3516"/>
      <c r="AH13" s="3516"/>
      <c r="AI13" s="3516"/>
      <c r="AJ13" s="3516"/>
      <c r="AK13" s="3516"/>
      <c r="AL13" s="3516"/>
      <c r="AM13" s="3516"/>
      <c r="AN13" s="3517"/>
      <c r="AO13" s="749"/>
      <c r="AP13" s="3486" t="s">
        <v>320</v>
      </c>
      <c r="AQ13" s="3486"/>
      <c r="AR13" s="3486"/>
      <c r="AS13" s="3486"/>
      <c r="AT13" s="3486"/>
      <c r="AU13" s="3486"/>
      <c r="AV13" s="3486"/>
      <c r="AW13" s="3486"/>
      <c r="AX13" s="3486"/>
      <c r="AY13" s="3486"/>
      <c r="AZ13" s="3486"/>
      <c r="BA13" s="3486"/>
      <c r="BB13" s="3486"/>
      <c r="BC13" s="3486"/>
    </row>
    <row r="14" spans="2:63" s="21" customFormat="1" ht="14.35">
      <c r="F14" s="190"/>
      <c r="G14" s="3516" t="s">
        <v>329</v>
      </c>
      <c r="H14" s="3516"/>
      <c r="I14" s="3516"/>
      <c r="J14" s="3516"/>
      <c r="K14" s="3517"/>
      <c r="L14" s="3527">
        <f>Square_Feet</f>
        <v>0</v>
      </c>
      <c r="M14" s="3528"/>
      <c r="N14" s="3528"/>
      <c r="O14" s="3529"/>
      <c r="P14" s="3513" t="s">
        <v>103</v>
      </c>
      <c r="Q14" s="3514"/>
      <c r="R14" s="3514"/>
      <c r="S14" s="3515"/>
      <c r="T14" s="3498">
        <f>Beds</f>
        <v>0</v>
      </c>
      <c r="U14" s="3499"/>
      <c r="V14" s="3513" t="s">
        <v>330</v>
      </c>
      <c r="W14" s="3514"/>
      <c r="X14" s="3514"/>
      <c r="Y14" s="3515"/>
      <c r="Z14" s="3498">
        <f>Baths</f>
        <v>0</v>
      </c>
      <c r="AA14" s="3499"/>
      <c r="AB14" s="751"/>
      <c r="AC14" s="750"/>
      <c r="AD14" s="749"/>
      <c r="AE14" s="3485" t="s">
        <v>324</v>
      </c>
      <c r="AF14" s="3485"/>
      <c r="AG14" s="3485"/>
      <c r="AH14" s="3485"/>
      <c r="AI14" s="3485"/>
      <c r="AJ14" s="3485"/>
      <c r="AK14" s="3485"/>
      <c r="AL14" s="3485"/>
      <c r="AM14" s="3485"/>
      <c r="AN14" s="3485"/>
      <c r="AO14" s="3485"/>
      <c r="AP14" s="3485"/>
      <c r="AQ14" s="3485"/>
      <c r="AR14" s="3485"/>
      <c r="AS14" s="3485"/>
      <c r="AT14" s="3485"/>
      <c r="AU14" s="3485"/>
      <c r="AV14" s="3485"/>
      <c r="AW14" s="3485"/>
      <c r="AX14" s="3485"/>
      <c r="AY14" s="3485"/>
      <c r="AZ14" s="3485"/>
      <c r="BA14" s="3485"/>
      <c r="BB14" s="3485"/>
      <c r="BC14" s="3485"/>
    </row>
    <row r="15" spans="2:63" s="22" customFormat="1" ht="17.45" customHeight="1">
      <c r="F15" s="189"/>
      <c r="G15" s="3502" t="s">
        <v>112</v>
      </c>
      <c r="H15" s="3502"/>
      <c r="I15" s="3502"/>
      <c r="J15" s="3502"/>
      <c r="K15" s="3502"/>
      <c r="L15" s="3502"/>
      <c r="M15" s="3502"/>
      <c r="N15" s="3502"/>
      <c r="O15" s="3502"/>
      <c r="P15" s="3502"/>
      <c r="Q15" s="3502"/>
      <c r="R15" s="3502"/>
      <c r="S15" s="3502"/>
      <c r="T15" s="3502"/>
      <c r="U15" s="3502"/>
      <c r="V15" s="3502"/>
      <c r="W15" s="3502"/>
      <c r="X15" s="3502"/>
      <c r="Y15" s="3502"/>
      <c r="Z15" s="3502"/>
      <c r="AA15" s="3502"/>
      <c r="AB15" s="3502"/>
      <c r="AC15" s="3502"/>
      <c r="AD15" s="3502"/>
      <c r="AE15" s="3512"/>
      <c r="AF15" s="3512"/>
      <c r="AG15" s="3512"/>
      <c r="AH15" s="3512"/>
      <c r="AI15" s="3512"/>
      <c r="AJ15" s="3512"/>
      <c r="AK15" s="3512"/>
      <c r="AL15" s="3512"/>
      <c r="AM15" s="3512"/>
      <c r="AN15" s="3512"/>
      <c r="AO15" s="3512"/>
      <c r="AP15" s="3512"/>
      <c r="AQ15" s="3512"/>
      <c r="AR15" s="3512"/>
      <c r="AS15" s="3512"/>
      <c r="AT15" s="3512"/>
      <c r="AU15" s="3512"/>
      <c r="AV15" s="3512"/>
      <c r="AW15" s="3512"/>
      <c r="AX15" s="3512"/>
      <c r="AY15" s="3512"/>
      <c r="AZ15" s="3512"/>
      <c r="BA15" s="3512"/>
      <c r="BB15" s="3512"/>
      <c r="BC15" s="3512"/>
    </row>
    <row r="16" spans="2:63" s="21" customFormat="1">
      <c r="F16" s="190"/>
      <c r="G16" s="3495" t="s">
        <v>113</v>
      </c>
      <c r="H16" s="3495"/>
      <c r="I16" s="3495"/>
      <c r="J16" s="3495"/>
      <c r="K16" s="3495"/>
      <c r="L16" s="3495"/>
      <c r="M16" s="3495"/>
      <c r="N16" s="3495"/>
      <c r="O16" s="3495"/>
      <c r="P16" s="3495" t="s">
        <v>40</v>
      </c>
      <c r="Q16" s="3495"/>
      <c r="R16" s="3495"/>
      <c r="S16" s="3495" t="s">
        <v>35</v>
      </c>
      <c r="T16" s="3495"/>
      <c r="U16" s="3490" t="s">
        <v>114</v>
      </c>
      <c r="V16" s="3490"/>
      <c r="W16" s="3490"/>
      <c r="X16" s="3490"/>
      <c r="Y16" s="3490"/>
      <c r="Z16" s="3490"/>
      <c r="AA16" s="3490"/>
      <c r="AB16" s="3490"/>
      <c r="AC16" s="3490"/>
      <c r="AD16" s="3490"/>
      <c r="AE16" s="3495" t="s">
        <v>113</v>
      </c>
      <c r="AF16" s="3495"/>
      <c r="AG16" s="3495"/>
      <c r="AH16" s="3495"/>
      <c r="AI16" s="3495"/>
      <c r="AJ16" s="3495"/>
      <c r="AK16" s="3495"/>
      <c r="AL16" s="3495"/>
      <c r="AM16" s="3495"/>
      <c r="AN16" s="3495" t="s">
        <v>40</v>
      </c>
      <c r="AO16" s="3495"/>
      <c r="AP16" s="3495"/>
      <c r="AQ16" s="3495" t="s">
        <v>35</v>
      </c>
      <c r="AR16" s="3495"/>
      <c r="AS16" s="3490" t="s">
        <v>115</v>
      </c>
      <c r="AT16" s="3490"/>
      <c r="AU16" s="3490"/>
      <c r="AV16" s="3490"/>
      <c r="AW16" s="3490"/>
      <c r="AX16" s="3490"/>
      <c r="AY16" s="3490"/>
      <c r="AZ16" s="3490"/>
      <c r="BA16" s="3490"/>
      <c r="BB16" s="3490"/>
      <c r="BC16" s="3490"/>
    </row>
    <row r="17" spans="6:55" s="21" customFormat="1">
      <c r="F17" s="190"/>
      <c r="G17" s="3495"/>
      <c r="H17" s="3495"/>
      <c r="I17" s="3495"/>
      <c r="J17" s="3495"/>
      <c r="K17" s="3495"/>
      <c r="L17" s="3495"/>
      <c r="M17" s="3495"/>
      <c r="N17" s="3495"/>
      <c r="O17" s="3495"/>
      <c r="P17" s="3495"/>
      <c r="Q17" s="3495"/>
      <c r="R17" s="3495"/>
      <c r="S17" s="3495"/>
      <c r="T17" s="3495"/>
      <c r="U17" s="3491"/>
      <c r="V17" s="3491"/>
      <c r="W17" s="3491"/>
      <c r="X17" s="3491"/>
      <c r="Y17" s="3491"/>
      <c r="Z17" s="3491"/>
      <c r="AA17" s="3491"/>
      <c r="AB17" s="3491"/>
      <c r="AC17" s="3491"/>
      <c r="AD17" s="3491"/>
      <c r="AE17" s="3495"/>
      <c r="AF17" s="3495"/>
      <c r="AG17" s="3495"/>
      <c r="AH17" s="3495"/>
      <c r="AI17" s="3495"/>
      <c r="AJ17" s="3495"/>
      <c r="AK17" s="3495"/>
      <c r="AL17" s="3495"/>
      <c r="AM17" s="3495"/>
      <c r="AN17" s="3495"/>
      <c r="AO17" s="3495"/>
      <c r="AP17" s="3495"/>
      <c r="AQ17" s="3495"/>
      <c r="AR17" s="3495"/>
      <c r="AS17" s="3491"/>
      <c r="AT17" s="3491"/>
      <c r="AU17" s="3491"/>
      <c r="AV17" s="3491"/>
      <c r="AW17" s="3491"/>
      <c r="AX17" s="3491"/>
      <c r="AY17" s="3491"/>
      <c r="AZ17" s="3491"/>
      <c r="BA17" s="3491"/>
      <c r="BB17" s="3491"/>
      <c r="BC17" s="3491"/>
    </row>
    <row r="18" spans="6:55" s="21" customFormat="1" ht="15.7">
      <c r="F18" s="190"/>
      <c r="G18" s="3455" t="s">
        <v>15</v>
      </c>
      <c r="H18" s="3455"/>
      <c r="I18" s="3455"/>
      <c r="J18" s="3455"/>
      <c r="K18" s="3455"/>
      <c r="L18" s="3455"/>
      <c r="M18" s="3455"/>
      <c r="N18" s="3455"/>
      <c r="O18" s="3455"/>
      <c r="P18" s="3496"/>
      <c r="Q18" s="3496"/>
      <c r="R18" s="3496"/>
      <c r="S18" s="3497" t="s">
        <v>116</v>
      </c>
      <c r="T18" s="3497"/>
      <c r="U18" s="3436"/>
      <c r="V18" s="3437"/>
      <c r="W18" s="3437"/>
      <c r="X18" s="3437"/>
      <c r="Y18" s="3437"/>
      <c r="Z18" s="3437"/>
      <c r="AA18" s="3437"/>
      <c r="AB18" s="3437"/>
      <c r="AC18" s="3437"/>
      <c r="AD18" s="3438"/>
      <c r="AE18" s="3455" t="s">
        <v>117</v>
      </c>
      <c r="AF18" s="3455"/>
      <c r="AG18" s="3455"/>
      <c r="AH18" s="3455"/>
      <c r="AI18" s="3455"/>
      <c r="AJ18" s="3455"/>
      <c r="AK18" s="3455"/>
      <c r="AL18" s="3455"/>
      <c r="AM18" s="3455"/>
      <c r="AN18" s="3496"/>
      <c r="AO18" s="3496"/>
      <c r="AP18" s="3496"/>
      <c r="AQ18" s="3497" t="s">
        <v>12</v>
      </c>
      <c r="AR18" s="3497"/>
      <c r="AS18" s="3434"/>
      <c r="AT18" s="3434"/>
      <c r="AU18" s="3434"/>
      <c r="AV18" s="3434"/>
      <c r="AW18" s="3434"/>
      <c r="AX18" s="3434"/>
      <c r="AY18" s="3434"/>
      <c r="AZ18" s="3434"/>
      <c r="BA18" s="3434"/>
      <c r="BB18" s="3434"/>
      <c r="BC18" s="3434"/>
    </row>
    <row r="19" spans="6:55" s="21" customFormat="1" ht="15.7">
      <c r="F19" s="190"/>
      <c r="G19" s="3455" t="s">
        <v>118</v>
      </c>
      <c r="H19" s="3455"/>
      <c r="I19" s="3455"/>
      <c r="J19" s="3455"/>
      <c r="K19" s="3455"/>
      <c r="L19" s="3455"/>
      <c r="M19" s="3455"/>
      <c r="N19" s="3455"/>
      <c r="O19" s="3455"/>
      <c r="P19" s="3496"/>
      <c r="Q19" s="3496"/>
      <c r="R19" s="3496"/>
      <c r="S19" s="3497" t="s">
        <v>116</v>
      </c>
      <c r="T19" s="3497"/>
      <c r="U19" s="3436"/>
      <c r="V19" s="3437"/>
      <c r="W19" s="3437"/>
      <c r="X19" s="3437"/>
      <c r="Y19" s="3437"/>
      <c r="Z19" s="3437"/>
      <c r="AA19" s="3437"/>
      <c r="AB19" s="3437"/>
      <c r="AC19" s="3437"/>
      <c r="AD19" s="3438"/>
      <c r="AE19" s="3455" t="s">
        <v>119</v>
      </c>
      <c r="AF19" s="3455"/>
      <c r="AG19" s="3455"/>
      <c r="AH19" s="3455"/>
      <c r="AI19" s="3455"/>
      <c r="AJ19" s="3455"/>
      <c r="AK19" s="3455"/>
      <c r="AL19" s="3455"/>
      <c r="AM19" s="3455"/>
      <c r="AN19" s="3496"/>
      <c r="AO19" s="3496"/>
      <c r="AP19" s="3496"/>
      <c r="AQ19" s="3497" t="s">
        <v>12</v>
      </c>
      <c r="AR19" s="3497"/>
      <c r="AS19" s="3435"/>
      <c r="AT19" s="3435"/>
      <c r="AU19" s="3435"/>
      <c r="AV19" s="3435"/>
      <c r="AW19" s="3435"/>
      <c r="AX19" s="3435"/>
      <c r="AY19" s="3435"/>
      <c r="AZ19" s="3435"/>
      <c r="BA19" s="3435"/>
      <c r="BB19" s="3435"/>
      <c r="BC19" s="3435"/>
    </row>
    <row r="20" spans="6:55" s="21" customFormat="1" ht="15.7">
      <c r="F20" s="190"/>
      <c r="G20" s="3455" t="s">
        <v>120</v>
      </c>
      <c r="H20" s="3455"/>
      <c r="I20" s="3455"/>
      <c r="J20" s="3455"/>
      <c r="K20" s="3455"/>
      <c r="L20" s="3455"/>
      <c r="M20" s="3455"/>
      <c r="N20" s="3455"/>
      <c r="O20" s="3455"/>
      <c r="P20" s="3496"/>
      <c r="Q20" s="3496"/>
      <c r="R20" s="3496"/>
      <c r="S20" s="3497" t="s">
        <v>12</v>
      </c>
      <c r="T20" s="3497"/>
      <c r="U20" s="3436"/>
      <c r="V20" s="3437"/>
      <c r="W20" s="3437"/>
      <c r="X20" s="3437"/>
      <c r="Y20" s="3437"/>
      <c r="Z20" s="3437"/>
      <c r="AA20" s="3437"/>
      <c r="AB20" s="3437"/>
      <c r="AC20" s="3437"/>
      <c r="AD20" s="3438"/>
      <c r="AE20" s="3455" t="s">
        <v>121</v>
      </c>
      <c r="AF20" s="3455"/>
      <c r="AG20" s="3455"/>
      <c r="AH20" s="3455"/>
      <c r="AI20" s="3455"/>
      <c r="AJ20" s="3455"/>
      <c r="AK20" s="3455"/>
      <c r="AL20" s="3455"/>
      <c r="AM20" s="3455"/>
      <c r="AN20" s="3496"/>
      <c r="AO20" s="3496"/>
      <c r="AP20" s="3496"/>
      <c r="AQ20" s="3497" t="s">
        <v>116</v>
      </c>
      <c r="AR20" s="3497"/>
      <c r="AS20" s="3435"/>
      <c r="AT20" s="3435"/>
      <c r="AU20" s="3435"/>
      <c r="AV20" s="3435"/>
      <c r="AW20" s="3435"/>
      <c r="AX20" s="3435"/>
      <c r="AY20" s="3435"/>
      <c r="AZ20" s="3435"/>
      <c r="BA20" s="3435"/>
      <c r="BB20" s="3435"/>
      <c r="BC20" s="3435"/>
    </row>
    <row r="21" spans="6:55" s="21" customFormat="1" ht="15.7">
      <c r="F21" s="190"/>
      <c r="G21" s="3455" t="s">
        <v>122</v>
      </c>
      <c r="H21" s="3455"/>
      <c r="I21" s="3455"/>
      <c r="J21" s="3455"/>
      <c r="K21" s="3455"/>
      <c r="L21" s="3455"/>
      <c r="M21" s="3455"/>
      <c r="N21" s="3455"/>
      <c r="O21" s="3455"/>
      <c r="P21" s="3496"/>
      <c r="Q21" s="3496"/>
      <c r="R21" s="3496"/>
      <c r="S21" s="3497" t="s">
        <v>116</v>
      </c>
      <c r="T21" s="3497"/>
      <c r="U21" s="3436"/>
      <c r="V21" s="3437"/>
      <c r="W21" s="3437"/>
      <c r="X21" s="3437"/>
      <c r="Y21" s="3437"/>
      <c r="Z21" s="3437"/>
      <c r="AA21" s="3437"/>
      <c r="AB21" s="3437"/>
      <c r="AC21" s="3437"/>
      <c r="AD21" s="3438"/>
      <c r="AE21" s="3455" t="s">
        <v>123</v>
      </c>
      <c r="AF21" s="3455"/>
      <c r="AG21" s="3455"/>
      <c r="AH21" s="3455"/>
      <c r="AI21" s="3455"/>
      <c r="AJ21" s="3455"/>
      <c r="AK21" s="3455"/>
      <c r="AL21" s="3455"/>
      <c r="AM21" s="3455"/>
      <c r="AN21" s="3496"/>
      <c r="AO21" s="3496"/>
      <c r="AP21" s="3496"/>
      <c r="AQ21" s="3497" t="s">
        <v>116</v>
      </c>
      <c r="AR21" s="3497"/>
      <c r="AS21" s="3435"/>
      <c r="AT21" s="3435"/>
      <c r="AU21" s="3435"/>
      <c r="AV21" s="3435"/>
      <c r="AW21" s="3435"/>
      <c r="AX21" s="3435"/>
      <c r="AY21" s="3435"/>
      <c r="AZ21" s="3435"/>
      <c r="BA21" s="3435"/>
      <c r="BB21" s="3435"/>
      <c r="BC21" s="3435"/>
    </row>
    <row r="22" spans="6:55" s="21" customFormat="1" ht="15.7">
      <c r="F22" s="190"/>
      <c r="G22" s="3455" t="s">
        <v>124</v>
      </c>
      <c r="H22" s="3455"/>
      <c r="I22" s="3455"/>
      <c r="J22" s="3455"/>
      <c r="K22" s="3455"/>
      <c r="L22" s="3455"/>
      <c r="M22" s="3455"/>
      <c r="N22" s="3455"/>
      <c r="O22" s="3455"/>
      <c r="P22" s="3496"/>
      <c r="Q22" s="3496"/>
      <c r="R22" s="3496"/>
      <c r="S22" s="3497" t="s">
        <v>116</v>
      </c>
      <c r="T22" s="3497"/>
      <c r="U22" s="3436"/>
      <c r="V22" s="3437"/>
      <c r="W22" s="3437"/>
      <c r="X22" s="3437"/>
      <c r="Y22" s="3437"/>
      <c r="Z22" s="3437"/>
      <c r="AA22" s="3437"/>
      <c r="AB22" s="3437"/>
      <c r="AC22" s="3437"/>
      <c r="AD22" s="3438"/>
      <c r="AE22" s="3455" t="s">
        <v>125</v>
      </c>
      <c r="AF22" s="3455"/>
      <c r="AG22" s="3455"/>
      <c r="AH22" s="3455"/>
      <c r="AI22" s="3455"/>
      <c r="AJ22" s="3455"/>
      <c r="AK22" s="3455"/>
      <c r="AL22" s="3455"/>
      <c r="AM22" s="3455"/>
      <c r="AN22" s="3496"/>
      <c r="AO22" s="3496"/>
      <c r="AP22" s="3496"/>
      <c r="AQ22" s="3497" t="s">
        <v>116</v>
      </c>
      <c r="AR22" s="3497"/>
      <c r="AS22" s="3435"/>
      <c r="AT22" s="3435"/>
      <c r="AU22" s="3435"/>
      <c r="AV22" s="3435"/>
      <c r="AW22" s="3435"/>
      <c r="AX22" s="3435"/>
      <c r="AY22" s="3435"/>
      <c r="AZ22" s="3435"/>
      <c r="BA22" s="3435"/>
      <c r="BB22" s="3435"/>
      <c r="BC22" s="3435"/>
    </row>
    <row r="23" spans="6:55" s="21" customFormat="1" ht="15.7">
      <c r="F23" s="190"/>
      <c r="G23" s="3455" t="s">
        <v>8</v>
      </c>
      <c r="H23" s="3455"/>
      <c r="I23" s="3455"/>
      <c r="J23" s="3455"/>
      <c r="K23" s="3455"/>
      <c r="L23" s="3455"/>
      <c r="M23" s="3455"/>
      <c r="N23" s="3455"/>
      <c r="O23" s="3455"/>
      <c r="P23" s="3496"/>
      <c r="Q23" s="3496"/>
      <c r="R23" s="3496"/>
      <c r="S23" s="3497" t="s">
        <v>126</v>
      </c>
      <c r="T23" s="3497"/>
      <c r="U23" s="3436"/>
      <c r="V23" s="3437"/>
      <c r="W23" s="3437"/>
      <c r="X23" s="3437"/>
      <c r="Y23" s="3437"/>
      <c r="Z23" s="3437"/>
      <c r="AA23" s="3437"/>
      <c r="AB23" s="3437"/>
      <c r="AC23" s="3437"/>
      <c r="AD23" s="3438"/>
      <c r="AE23" s="3455" t="s">
        <v>127</v>
      </c>
      <c r="AF23" s="3455"/>
      <c r="AG23" s="3455"/>
      <c r="AH23" s="3455"/>
      <c r="AI23" s="3455"/>
      <c r="AJ23" s="3455"/>
      <c r="AK23" s="3455"/>
      <c r="AL23" s="3455"/>
      <c r="AM23" s="3455"/>
      <c r="AN23" s="3496"/>
      <c r="AO23" s="3496"/>
      <c r="AP23" s="3496"/>
      <c r="AQ23" s="3497" t="s">
        <v>116</v>
      </c>
      <c r="AR23" s="3497"/>
      <c r="AS23" s="3435"/>
      <c r="AT23" s="3435"/>
      <c r="AU23" s="3435"/>
      <c r="AV23" s="3435"/>
      <c r="AW23" s="3435"/>
      <c r="AX23" s="3435"/>
      <c r="AY23" s="3435"/>
      <c r="AZ23" s="3435"/>
      <c r="BA23" s="3435"/>
      <c r="BB23" s="3435"/>
      <c r="BC23" s="3435"/>
    </row>
    <row r="24" spans="6:55" s="21" customFormat="1" ht="15.7">
      <c r="F24" s="190"/>
      <c r="G24" s="3455" t="s">
        <v>128</v>
      </c>
      <c r="H24" s="3455"/>
      <c r="I24" s="3455"/>
      <c r="J24" s="3455"/>
      <c r="K24" s="3455"/>
      <c r="L24" s="3455"/>
      <c r="M24" s="3455"/>
      <c r="N24" s="3455"/>
      <c r="O24" s="3455"/>
      <c r="P24" s="3496"/>
      <c r="Q24" s="3496"/>
      <c r="R24" s="3496"/>
      <c r="S24" s="3497" t="s">
        <v>12</v>
      </c>
      <c r="T24" s="3497"/>
      <c r="U24" s="3436"/>
      <c r="V24" s="3437"/>
      <c r="W24" s="3437"/>
      <c r="X24" s="3437"/>
      <c r="Y24" s="3437"/>
      <c r="Z24" s="3437"/>
      <c r="AA24" s="3437"/>
      <c r="AB24" s="3437"/>
      <c r="AC24" s="3437"/>
      <c r="AD24" s="3438"/>
      <c r="AE24" s="3455" t="s">
        <v>129</v>
      </c>
      <c r="AF24" s="3455"/>
      <c r="AG24" s="3455"/>
      <c r="AH24" s="3455"/>
      <c r="AI24" s="3455"/>
      <c r="AJ24" s="3455"/>
      <c r="AK24" s="3455"/>
      <c r="AL24" s="3455"/>
      <c r="AM24" s="3455"/>
      <c r="AN24" s="3496"/>
      <c r="AO24" s="3496"/>
      <c r="AP24" s="3496"/>
      <c r="AQ24" s="3497" t="s">
        <v>116</v>
      </c>
      <c r="AR24" s="3497"/>
      <c r="AS24" s="3435"/>
      <c r="AT24" s="3435"/>
      <c r="AU24" s="3435"/>
      <c r="AV24" s="3435"/>
      <c r="AW24" s="3435"/>
      <c r="AX24" s="3435"/>
      <c r="AY24" s="3435"/>
      <c r="AZ24" s="3435"/>
      <c r="BA24" s="3435"/>
      <c r="BB24" s="3435"/>
      <c r="BC24" s="3435"/>
    </row>
    <row r="25" spans="6:55" s="21" customFormat="1" ht="15.7">
      <c r="F25" s="190"/>
      <c r="G25" s="3455" t="s">
        <v>130</v>
      </c>
      <c r="H25" s="3455"/>
      <c r="I25" s="3455"/>
      <c r="J25" s="3455"/>
      <c r="K25" s="3455"/>
      <c r="L25" s="3455"/>
      <c r="M25" s="3455"/>
      <c r="N25" s="3455"/>
      <c r="O25" s="3455"/>
      <c r="P25" s="3496"/>
      <c r="Q25" s="3496"/>
      <c r="R25" s="3496"/>
      <c r="S25" s="3497" t="s">
        <v>2</v>
      </c>
      <c r="T25" s="3497"/>
      <c r="U25" s="3436"/>
      <c r="V25" s="3437"/>
      <c r="W25" s="3437"/>
      <c r="X25" s="3437"/>
      <c r="Y25" s="3437"/>
      <c r="Z25" s="3437"/>
      <c r="AA25" s="3437"/>
      <c r="AB25" s="3437"/>
      <c r="AC25" s="3437"/>
      <c r="AD25" s="3438"/>
      <c r="AE25" s="3455" t="s">
        <v>120</v>
      </c>
      <c r="AF25" s="3455"/>
      <c r="AG25" s="3455"/>
      <c r="AH25" s="3455"/>
      <c r="AI25" s="3455"/>
      <c r="AJ25" s="3455"/>
      <c r="AK25" s="3455"/>
      <c r="AL25" s="3455"/>
      <c r="AM25" s="3455"/>
      <c r="AN25" s="3496"/>
      <c r="AO25" s="3496"/>
      <c r="AP25" s="3496"/>
      <c r="AQ25" s="3497" t="s">
        <v>12</v>
      </c>
      <c r="AR25" s="3497"/>
      <c r="AS25" s="3435"/>
      <c r="AT25" s="3435"/>
      <c r="AU25" s="3435"/>
      <c r="AV25" s="3435"/>
      <c r="AW25" s="3435"/>
      <c r="AX25" s="3435"/>
      <c r="AY25" s="3435"/>
      <c r="AZ25" s="3435"/>
      <c r="BA25" s="3435"/>
      <c r="BB25" s="3435"/>
      <c r="BC25" s="3435"/>
    </row>
    <row r="26" spans="6:55" s="21" customFormat="1" ht="15.7">
      <c r="F26" s="190"/>
      <c r="G26" s="3455" t="s">
        <v>131</v>
      </c>
      <c r="H26" s="3455"/>
      <c r="I26" s="3455"/>
      <c r="J26" s="3455"/>
      <c r="K26" s="3455"/>
      <c r="L26" s="3455"/>
      <c r="M26" s="3455"/>
      <c r="N26" s="3455"/>
      <c r="O26" s="3455"/>
      <c r="P26" s="3496"/>
      <c r="Q26" s="3496"/>
      <c r="R26" s="3496"/>
      <c r="S26" s="3497" t="s">
        <v>2</v>
      </c>
      <c r="T26" s="3497"/>
      <c r="U26" s="3436"/>
      <c r="V26" s="3437"/>
      <c r="W26" s="3437"/>
      <c r="X26" s="3437"/>
      <c r="Y26" s="3437"/>
      <c r="Z26" s="3437"/>
      <c r="AA26" s="3437"/>
      <c r="AB26" s="3437"/>
      <c r="AC26" s="3437"/>
      <c r="AD26" s="3438"/>
      <c r="AE26" s="3455" t="s">
        <v>132</v>
      </c>
      <c r="AF26" s="3455"/>
      <c r="AG26" s="3455"/>
      <c r="AH26" s="3455"/>
      <c r="AI26" s="3455"/>
      <c r="AJ26" s="3455"/>
      <c r="AK26" s="3455"/>
      <c r="AL26" s="3455"/>
      <c r="AM26" s="3455"/>
      <c r="AN26" s="3496"/>
      <c r="AO26" s="3496"/>
      <c r="AP26" s="3496"/>
      <c r="AQ26" s="3497" t="s">
        <v>2</v>
      </c>
      <c r="AR26" s="3497"/>
      <c r="AS26" s="3435"/>
      <c r="AT26" s="3435"/>
      <c r="AU26" s="3435"/>
      <c r="AV26" s="3435"/>
      <c r="AW26" s="3435"/>
      <c r="AX26" s="3435"/>
      <c r="AY26" s="3435"/>
      <c r="AZ26" s="3435"/>
      <c r="BA26" s="3435"/>
      <c r="BB26" s="3435"/>
      <c r="BC26" s="3435"/>
    </row>
    <row r="27" spans="6:55" s="21" customFormat="1" ht="15.7">
      <c r="F27" s="190"/>
      <c r="G27" s="3455" t="s">
        <v>133</v>
      </c>
      <c r="H27" s="3455"/>
      <c r="I27" s="3455"/>
      <c r="J27" s="3455"/>
      <c r="K27" s="3455"/>
      <c r="L27" s="3455"/>
      <c r="M27" s="3455"/>
      <c r="N27" s="3455"/>
      <c r="O27" s="3455"/>
      <c r="P27" s="3496"/>
      <c r="Q27" s="3496"/>
      <c r="R27" s="3496"/>
      <c r="S27" s="3497" t="s">
        <v>2</v>
      </c>
      <c r="T27" s="3497"/>
      <c r="U27" s="3436"/>
      <c r="V27" s="3437"/>
      <c r="W27" s="3437"/>
      <c r="X27" s="3437"/>
      <c r="Y27" s="3437"/>
      <c r="Z27" s="3437"/>
      <c r="AA27" s="3437"/>
      <c r="AB27" s="3437"/>
      <c r="AC27" s="3437"/>
      <c r="AD27" s="3438"/>
      <c r="AE27" s="3455" t="s">
        <v>134</v>
      </c>
      <c r="AF27" s="3455"/>
      <c r="AG27" s="3455"/>
      <c r="AH27" s="3455"/>
      <c r="AI27" s="3455"/>
      <c r="AJ27" s="3455"/>
      <c r="AK27" s="3455"/>
      <c r="AL27" s="3455"/>
      <c r="AM27" s="3455"/>
      <c r="AN27" s="3496"/>
      <c r="AO27" s="3496"/>
      <c r="AP27" s="3496"/>
      <c r="AQ27" s="3497" t="s">
        <v>2</v>
      </c>
      <c r="AR27" s="3497"/>
      <c r="AS27" s="3435"/>
      <c r="AT27" s="3435"/>
      <c r="AU27" s="3435"/>
      <c r="AV27" s="3435"/>
      <c r="AW27" s="3435"/>
      <c r="AX27" s="3435"/>
      <c r="AY27" s="3435"/>
      <c r="AZ27" s="3435"/>
      <c r="BA27" s="3435"/>
      <c r="BB27" s="3435"/>
      <c r="BC27" s="3435"/>
    </row>
    <row r="28" spans="6:55" s="21" customFormat="1" ht="15.7">
      <c r="F28" s="190"/>
      <c r="G28" s="3455" t="s">
        <v>135</v>
      </c>
      <c r="H28" s="3455"/>
      <c r="I28" s="3455"/>
      <c r="J28" s="3455"/>
      <c r="K28" s="3455"/>
      <c r="L28" s="3455"/>
      <c r="M28" s="3455"/>
      <c r="N28" s="3455"/>
      <c r="O28" s="3455"/>
      <c r="P28" s="3496"/>
      <c r="Q28" s="3496"/>
      <c r="R28" s="3496"/>
      <c r="S28" s="3497" t="s">
        <v>2</v>
      </c>
      <c r="T28" s="3497"/>
      <c r="U28" s="3436"/>
      <c r="V28" s="3437"/>
      <c r="W28" s="3437"/>
      <c r="X28" s="3437"/>
      <c r="Y28" s="3437"/>
      <c r="Z28" s="3437"/>
      <c r="AA28" s="3437"/>
      <c r="AB28" s="3437"/>
      <c r="AC28" s="3437"/>
      <c r="AD28" s="3438"/>
      <c r="AE28" s="3455" t="s">
        <v>33</v>
      </c>
      <c r="AF28" s="3455"/>
      <c r="AG28" s="3455"/>
      <c r="AH28" s="3455"/>
      <c r="AI28" s="3455"/>
      <c r="AJ28" s="3455"/>
      <c r="AK28" s="3455"/>
      <c r="AL28" s="3455"/>
      <c r="AM28" s="3455"/>
      <c r="AN28" s="3496"/>
      <c r="AO28" s="3496"/>
      <c r="AP28" s="3496"/>
      <c r="AQ28" s="3497" t="s">
        <v>2</v>
      </c>
      <c r="AR28" s="3497"/>
      <c r="AS28" s="3435"/>
      <c r="AT28" s="3435"/>
      <c r="AU28" s="3435"/>
      <c r="AV28" s="3435"/>
      <c r="AW28" s="3435"/>
      <c r="AX28" s="3435"/>
      <c r="AY28" s="3435"/>
      <c r="AZ28" s="3435"/>
      <c r="BA28" s="3435"/>
      <c r="BB28" s="3435"/>
      <c r="BC28" s="3435"/>
    </row>
    <row r="29" spans="6:55" s="21" customFormat="1" ht="15.7">
      <c r="F29" s="190"/>
      <c r="G29" s="3455" t="s">
        <v>136</v>
      </c>
      <c r="H29" s="3455"/>
      <c r="I29" s="3455"/>
      <c r="J29" s="3455"/>
      <c r="K29" s="3455"/>
      <c r="L29" s="3455"/>
      <c r="M29" s="3455"/>
      <c r="N29" s="3455"/>
      <c r="O29" s="3455"/>
      <c r="P29" s="3496"/>
      <c r="Q29" s="3496"/>
      <c r="R29" s="3496"/>
      <c r="S29" s="3497" t="s">
        <v>2</v>
      </c>
      <c r="T29" s="3497"/>
      <c r="U29" s="3436"/>
      <c r="V29" s="3437"/>
      <c r="W29" s="3437"/>
      <c r="X29" s="3437"/>
      <c r="Y29" s="3437"/>
      <c r="Z29" s="3437"/>
      <c r="AA29" s="3437"/>
      <c r="AB29" s="3437"/>
      <c r="AC29" s="3437"/>
      <c r="AD29" s="3438"/>
      <c r="AE29" s="3455" t="s">
        <v>137</v>
      </c>
      <c r="AF29" s="3455"/>
      <c r="AG29" s="3455"/>
      <c r="AH29" s="3455"/>
      <c r="AI29" s="3455"/>
      <c r="AJ29" s="3455"/>
      <c r="AK29" s="3455"/>
      <c r="AL29" s="3455"/>
      <c r="AM29" s="3455"/>
      <c r="AN29" s="3496"/>
      <c r="AO29" s="3496"/>
      <c r="AP29" s="3496"/>
      <c r="AQ29" s="3497" t="s">
        <v>2</v>
      </c>
      <c r="AR29" s="3497"/>
      <c r="AS29" s="3435"/>
      <c r="AT29" s="3435"/>
      <c r="AU29" s="3435"/>
      <c r="AV29" s="3435"/>
      <c r="AW29" s="3435"/>
      <c r="AX29" s="3435"/>
      <c r="AY29" s="3435"/>
      <c r="AZ29" s="3435"/>
      <c r="BA29" s="3435"/>
      <c r="BB29" s="3435"/>
      <c r="BC29" s="3435"/>
    </row>
    <row r="30" spans="6:55" s="21" customFormat="1" ht="15.7">
      <c r="F30" s="190"/>
      <c r="G30" s="3455" t="s">
        <v>138</v>
      </c>
      <c r="H30" s="3455"/>
      <c r="I30" s="3455"/>
      <c r="J30" s="3455"/>
      <c r="K30" s="3455"/>
      <c r="L30" s="3455"/>
      <c r="M30" s="3455"/>
      <c r="N30" s="3455"/>
      <c r="O30" s="3455"/>
      <c r="P30" s="3496"/>
      <c r="Q30" s="3496"/>
      <c r="R30" s="3496"/>
      <c r="S30" s="3497" t="s">
        <v>116</v>
      </c>
      <c r="T30" s="3497"/>
      <c r="U30" s="3436"/>
      <c r="V30" s="3437"/>
      <c r="W30" s="3437"/>
      <c r="X30" s="3437"/>
      <c r="Y30" s="3437"/>
      <c r="Z30" s="3437"/>
      <c r="AA30" s="3437"/>
      <c r="AB30" s="3437"/>
      <c r="AC30" s="3437"/>
      <c r="AD30" s="3438"/>
      <c r="AE30" s="3455" t="s">
        <v>139</v>
      </c>
      <c r="AF30" s="3455"/>
      <c r="AG30" s="3455"/>
      <c r="AH30" s="3455"/>
      <c r="AI30" s="3455"/>
      <c r="AJ30" s="3455"/>
      <c r="AK30" s="3455"/>
      <c r="AL30" s="3455"/>
      <c r="AM30" s="3455"/>
      <c r="AN30" s="3496"/>
      <c r="AO30" s="3496"/>
      <c r="AP30" s="3496"/>
      <c r="AQ30" s="3497" t="s">
        <v>2</v>
      </c>
      <c r="AR30" s="3497"/>
      <c r="AS30" s="3435"/>
      <c r="AT30" s="3435"/>
      <c r="AU30" s="3435"/>
      <c r="AV30" s="3435"/>
      <c r="AW30" s="3435"/>
      <c r="AX30" s="3435"/>
      <c r="AY30" s="3435"/>
      <c r="AZ30" s="3435"/>
      <c r="BA30" s="3435"/>
      <c r="BB30" s="3435"/>
      <c r="BC30" s="3435"/>
    </row>
    <row r="31" spans="6:55" s="21" customFormat="1" ht="15.7">
      <c r="F31" s="190"/>
      <c r="G31" s="3455" t="s">
        <v>140</v>
      </c>
      <c r="H31" s="3455"/>
      <c r="I31" s="3455"/>
      <c r="J31" s="3455"/>
      <c r="K31" s="3455"/>
      <c r="L31" s="3455"/>
      <c r="M31" s="3455"/>
      <c r="N31" s="3455"/>
      <c r="O31" s="3455"/>
      <c r="P31" s="3496"/>
      <c r="Q31" s="3496"/>
      <c r="R31" s="3496"/>
      <c r="S31" s="3497" t="s">
        <v>12</v>
      </c>
      <c r="T31" s="3497"/>
      <c r="U31" s="3436"/>
      <c r="V31" s="3437"/>
      <c r="W31" s="3437"/>
      <c r="X31" s="3437"/>
      <c r="Y31" s="3437"/>
      <c r="Z31" s="3437"/>
      <c r="AA31" s="3437"/>
      <c r="AB31" s="3437"/>
      <c r="AC31" s="3437"/>
      <c r="AD31" s="3438"/>
      <c r="AE31" s="3455" t="s">
        <v>141</v>
      </c>
      <c r="AF31" s="3455"/>
      <c r="AG31" s="3455"/>
      <c r="AH31" s="3455"/>
      <c r="AI31" s="3455"/>
      <c r="AJ31" s="3455"/>
      <c r="AK31" s="3455"/>
      <c r="AL31" s="3455"/>
      <c r="AM31" s="3455"/>
      <c r="AN31" s="3496"/>
      <c r="AO31" s="3496"/>
      <c r="AP31" s="3496"/>
      <c r="AQ31" s="3497" t="s">
        <v>2</v>
      </c>
      <c r="AR31" s="3497"/>
      <c r="AS31" s="3435"/>
      <c r="AT31" s="3435"/>
      <c r="AU31" s="3435"/>
      <c r="AV31" s="3435"/>
      <c r="AW31" s="3435"/>
      <c r="AX31" s="3435"/>
      <c r="AY31" s="3435"/>
      <c r="AZ31" s="3435"/>
      <c r="BA31" s="3435"/>
      <c r="BB31" s="3435"/>
      <c r="BC31" s="3435"/>
    </row>
    <row r="32" spans="6:55" s="21" customFormat="1" ht="15.7">
      <c r="F32" s="190"/>
      <c r="G32" s="3455" t="s">
        <v>142</v>
      </c>
      <c r="H32" s="3455"/>
      <c r="I32" s="3455"/>
      <c r="J32" s="3455"/>
      <c r="K32" s="3455"/>
      <c r="L32" s="3455"/>
      <c r="M32" s="3455"/>
      <c r="N32" s="3455"/>
      <c r="O32" s="3455"/>
      <c r="P32" s="3496"/>
      <c r="Q32" s="3496"/>
      <c r="R32" s="3496"/>
      <c r="S32" s="3497" t="s">
        <v>116</v>
      </c>
      <c r="T32" s="3497"/>
      <c r="U32" s="3436"/>
      <c r="V32" s="3437"/>
      <c r="W32" s="3437"/>
      <c r="X32" s="3437"/>
      <c r="Y32" s="3437"/>
      <c r="Z32" s="3437"/>
      <c r="AA32" s="3437"/>
      <c r="AB32" s="3437"/>
      <c r="AC32" s="3437"/>
      <c r="AD32" s="3438"/>
      <c r="AE32" s="3455" t="s">
        <v>318</v>
      </c>
      <c r="AF32" s="3455"/>
      <c r="AG32" s="3455"/>
      <c r="AH32" s="3455"/>
      <c r="AI32" s="3455"/>
      <c r="AJ32" s="3455"/>
      <c r="AK32" s="3455"/>
      <c r="AL32" s="3455"/>
      <c r="AM32" s="3455"/>
      <c r="AN32" s="3496"/>
      <c r="AO32" s="3496"/>
      <c r="AP32" s="3496"/>
      <c r="AQ32" s="3497" t="s">
        <v>2</v>
      </c>
      <c r="AR32" s="3497"/>
      <c r="AS32" s="3435"/>
      <c r="AT32" s="3435"/>
      <c r="AU32" s="3435"/>
      <c r="AV32" s="3435"/>
      <c r="AW32" s="3435"/>
      <c r="AX32" s="3435"/>
      <c r="AY32" s="3435"/>
      <c r="AZ32" s="3435"/>
      <c r="BA32" s="3435"/>
      <c r="BB32" s="3435"/>
      <c r="BC32" s="3435"/>
    </row>
    <row r="33" spans="6:55" s="21" customFormat="1" ht="15.7">
      <c r="F33" s="190"/>
      <c r="G33" s="3455" t="s">
        <v>143</v>
      </c>
      <c r="H33" s="3455"/>
      <c r="I33" s="3455"/>
      <c r="J33" s="3455"/>
      <c r="K33" s="3455"/>
      <c r="L33" s="3455"/>
      <c r="M33" s="3455"/>
      <c r="N33" s="3455"/>
      <c r="O33" s="3455"/>
      <c r="P33" s="3496"/>
      <c r="Q33" s="3496"/>
      <c r="R33" s="3496"/>
      <c r="S33" s="3497" t="s">
        <v>116</v>
      </c>
      <c r="T33" s="3497"/>
      <c r="U33" s="3436"/>
      <c r="V33" s="3437"/>
      <c r="W33" s="3437"/>
      <c r="X33" s="3437"/>
      <c r="Y33" s="3437"/>
      <c r="Z33" s="3437"/>
      <c r="AA33" s="3437"/>
      <c r="AB33" s="3437"/>
      <c r="AC33" s="3437"/>
      <c r="AD33" s="3438"/>
      <c r="AE33" s="3455" t="s">
        <v>144</v>
      </c>
      <c r="AF33" s="3455"/>
      <c r="AG33" s="3455"/>
      <c r="AH33" s="3455"/>
      <c r="AI33" s="3455"/>
      <c r="AJ33" s="3455"/>
      <c r="AK33" s="3455"/>
      <c r="AL33" s="3455"/>
      <c r="AM33" s="3455"/>
      <c r="AN33" s="3496"/>
      <c r="AO33" s="3496"/>
      <c r="AP33" s="3496"/>
      <c r="AQ33" s="3497" t="s">
        <v>2</v>
      </c>
      <c r="AR33" s="3497"/>
      <c r="AS33" s="3435"/>
      <c r="AT33" s="3435"/>
      <c r="AU33" s="3435"/>
      <c r="AV33" s="3435"/>
      <c r="AW33" s="3435"/>
      <c r="AX33" s="3435"/>
      <c r="AY33" s="3435"/>
      <c r="AZ33" s="3435"/>
      <c r="BA33" s="3435"/>
      <c r="BB33" s="3435"/>
      <c r="BC33" s="3435"/>
    </row>
    <row r="34" spans="6:55" s="21" customFormat="1" ht="15.7">
      <c r="F34" s="190"/>
      <c r="G34" s="3455" t="s">
        <v>145</v>
      </c>
      <c r="H34" s="3455"/>
      <c r="I34" s="3455"/>
      <c r="J34" s="3455"/>
      <c r="K34" s="3455"/>
      <c r="L34" s="3455"/>
      <c r="M34" s="3455"/>
      <c r="N34" s="3455"/>
      <c r="O34" s="3455"/>
      <c r="P34" s="3496"/>
      <c r="Q34" s="3496"/>
      <c r="R34" s="3496"/>
      <c r="S34" s="3497" t="s">
        <v>2</v>
      </c>
      <c r="T34" s="3497"/>
      <c r="U34" s="3436"/>
      <c r="V34" s="3437"/>
      <c r="W34" s="3437"/>
      <c r="X34" s="3437"/>
      <c r="Y34" s="3437"/>
      <c r="Z34" s="3437"/>
      <c r="AA34" s="3437"/>
      <c r="AB34" s="3437"/>
      <c r="AC34" s="3437"/>
      <c r="AD34" s="3438"/>
      <c r="AE34" s="3455" t="s">
        <v>146</v>
      </c>
      <c r="AF34" s="3455"/>
      <c r="AG34" s="3455"/>
      <c r="AH34" s="3455"/>
      <c r="AI34" s="3455"/>
      <c r="AJ34" s="3455"/>
      <c r="AK34" s="3455"/>
      <c r="AL34" s="3455"/>
      <c r="AM34" s="3455"/>
      <c r="AN34" s="3496"/>
      <c r="AO34" s="3496"/>
      <c r="AP34" s="3496"/>
      <c r="AQ34" s="3497" t="s">
        <v>2</v>
      </c>
      <c r="AR34" s="3497"/>
      <c r="AS34" s="3435"/>
      <c r="AT34" s="3435"/>
      <c r="AU34" s="3435"/>
      <c r="AV34" s="3435"/>
      <c r="AW34" s="3435"/>
      <c r="AX34" s="3435"/>
      <c r="AY34" s="3435"/>
      <c r="AZ34" s="3435"/>
      <c r="BA34" s="3435"/>
      <c r="BB34" s="3435"/>
      <c r="BC34" s="3435"/>
    </row>
    <row r="35" spans="6:55" s="21" customFormat="1" ht="15.7">
      <c r="F35" s="190"/>
      <c r="G35" s="3455" t="s">
        <v>147</v>
      </c>
      <c r="H35" s="3455"/>
      <c r="I35" s="3455"/>
      <c r="J35" s="3455"/>
      <c r="K35" s="3455"/>
      <c r="L35" s="3455"/>
      <c r="M35" s="3455"/>
      <c r="N35" s="3455"/>
      <c r="O35" s="3455"/>
      <c r="P35" s="3496"/>
      <c r="Q35" s="3496"/>
      <c r="R35" s="3496"/>
      <c r="S35" s="3497" t="s">
        <v>116</v>
      </c>
      <c r="T35" s="3497"/>
      <c r="U35" s="3436"/>
      <c r="V35" s="3437"/>
      <c r="W35" s="3437"/>
      <c r="X35" s="3437"/>
      <c r="Y35" s="3437"/>
      <c r="Z35" s="3437"/>
      <c r="AA35" s="3437"/>
      <c r="AB35" s="3437"/>
      <c r="AC35" s="3437"/>
      <c r="AD35" s="3438"/>
      <c r="AE35" s="3455" t="s">
        <v>148</v>
      </c>
      <c r="AF35" s="3455"/>
      <c r="AG35" s="3455"/>
      <c r="AH35" s="3455"/>
      <c r="AI35" s="3455"/>
      <c r="AJ35" s="3455"/>
      <c r="AK35" s="3455"/>
      <c r="AL35" s="3455"/>
      <c r="AM35" s="3455"/>
      <c r="AN35" s="3496"/>
      <c r="AO35" s="3496"/>
      <c r="AP35" s="3496"/>
      <c r="AQ35" s="3497" t="s">
        <v>2</v>
      </c>
      <c r="AR35" s="3497"/>
      <c r="AS35" s="3435"/>
      <c r="AT35" s="3435"/>
      <c r="AU35" s="3435"/>
      <c r="AV35" s="3435"/>
      <c r="AW35" s="3435"/>
      <c r="AX35" s="3435"/>
      <c r="AY35" s="3435"/>
      <c r="AZ35" s="3435"/>
      <c r="BA35" s="3435"/>
      <c r="BB35" s="3435"/>
      <c r="BC35" s="3435"/>
    </row>
    <row r="36" spans="6:55" s="21" customFormat="1" ht="15.7">
      <c r="F36" s="190"/>
      <c r="G36" s="3455" t="s">
        <v>322</v>
      </c>
      <c r="H36" s="3455"/>
      <c r="I36" s="3455"/>
      <c r="J36" s="3455"/>
      <c r="K36" s="3455"/>
      <c r="L36" s="3455"/>
      <c r="M36" s="3455"/>
      <c r="N36" s="3455"/>
      <c r="O36" s="3455"/>
      <c r="P36" s="3496"/>
      <c r="Q36" s="3496"/>
      <c r="R36" s="3496"/>
      <c r="S36" s="3497" t="s">
        <v>2</v>
      </c>
      <c r="T36" s="3497"/>
      <c r="U36" s="3439"/>
      <c r="V36" s="3440"/>
      <c r="W36" s="3440"/>
      <c r="X36" s="3440"/>
      <c r="Y36" s="3440"/>
      <c r="Z36" s="3440"/>
      <c r="AA36" s="3440"/>
      <c r="AB36" s="3440"/>
      <c r="AC36" s="3440"/>
      <c r="AD36" s="3441"/>
      <c r="AE36" s="3455" t="s">
        <v>28</v>
      </c>
      <c r="AF36" s="3455"/>
      <c r="AG36" s="3455"/>
      <c r="AH36" s="3455"/>
      <c r="AI36" s="3455"/>
      <c r="AJ36" s="3455"/>
      <c r="AK36" s="3455"/>
      <c r="AL36" s="3455"/>
      <c r="AM36" s="3455"/>
      <c r="AN36" s="3496"/>
      <c r="AO36" s="3496"/>
      <c r="AP36" s="3496"/>
      <c r="AQ36" s="3497" t="s">
        <v>2</v>
      </c>
      <c r="AR36" s="3497"/>
      <c r="AS36" s="3435"/>
      <c r="AT36" s="3435"/>
      <c r="AU36" s="3435"/>
      <c r="AV36" s="3435"/>
      <c r="AW36" s="3435"/>
      <c r="AX36" s="3435"/>
      <c r="AY36" s="3435"/>
      <c r="AZ36" s="3435"/>
      <c r="BA36" s="3435"/>
      <c r="BB36" s="3435"/>
      <c r="BC36" s="3435"/>
    </row>
    <row r="37" spans="6:55" s="22" customFormat="1" ht="18.600000000000001" customHeight="1">
      <c r="F37" s="189"/>
      <c r="G37" s="3512" t="s">
        <v>327</v>
      </c>
      <c r="H37" s="3512"/>
      <c r="I37" s="3512"/>
      <c r="J37" s="3512"/>
      <c r="K37" s="3512"/>
      <c r="L37" s="3512"/>
      <c r="M37" s="3512"/>
      <c r="N37" s="3512"/>
      <c r="O37" s="3512"/>
      <c r="P37" s="3512"/>
      <c r="Q37" s="3512"/>
      <c r="R37" s="3512"/>
      <c r="S37" s="3512"/>
      <c r="T37" s="3512"/>
      <c r="U37" s="3512"/>
      <c r="V37" s="3512"/>
      <c r="W37" s="3512"/>
      <c r="X37" s="3512"/>
      <c r="Y37" s="3512"/>
      <c r="Z37" s="3512"/>
      <c r="AA37" s="3512"/>
      <c r="AB37" s="3512"/>
      <c r="AC37" s="3512"/>
      <c r="AD37" s="3512"/>
      <c r="AE37" s="3512"/>
      <c r="AF37" s="3512"/>
      <c r="AG37" s="3512"/>
      <c r="AH37" s="3512"/>
      <c r="AI37" s="3512"/>
      <c r="AJ37" s="3512"/>
      <c r="AK37" s="3512"/>
      <c r="AL37" s="3512"/>
      <c r="AM37" s="3512"/>
      <c r="AN37" s="3512"/>
      <c r="AO37" s="3512"/>
      <c r="AP37" s="3512"/>
      <c r="AQ37" s="3512"/>
      <c r="AR37" s="3512"/>
      <c r="AS37" s="3512"/>
      <c r="AT37" s="3512"/>
      <c r="AU37" s="3512"/>
      <c r="AV37" s="3512"/>
      <c r="AW37" s="3512"/>
      <c r="AX37" s="3512"/>
      <c r="AY37" s="3512"/>
      <c r="AZ37" s="3512"/>
      <c r="BA37" s="3512"/>
      <c r="BB37" s="3512"/>
      <c r="BC37" s="3512"/>
    </row>
    <row r="38" spans="6:55" s="21" customFormat="1" ht="14.35">
      <c r="F38" s="190"/>
      <c r="G38" s="3495" t="s">
        <v>113</v>
      </c>
      <c r="H38" s="3495"/>
      <c r="I38" s="3495"/>
      <c r="J38" s="3495"/>
      <c r="K38" s="3495"/>
      <c r="L38" s="3495"/>
      <c r="M38" s="3495"/>
      <c r="N38" s="3495"/>
      <c r="O38" s="3495"/>
      <c r="P38" s="3495" t="s">
        <v>35</v>
      </c>
      <c r="Q38" s="3495"/>
      <c r="R38" s="3493" t="s">
        <v>149</v>
      </c>
      <c r="S38" s="3493"/>
      <c r="T38" s="3493"/>
      <c r="U38" s="3493"/>
      <c r="V38" s="3493"/>
      <c r="W38" s="3493"/>
      <c r="X38" s="3493"/>
      <c r="Y38" s="3493"/>
      <c r="Z38" s="3493"/>
      <c r="AA38" s="3493"/>
      <c r="AB38" s="3493"/>
      <c r="AC38" s="3493"/>
      <c r="AD38" s="3493"/>
      <c r="AE38" s="3493"/>
      <c r="AF38" s="3493"/>
      <c r="AG38" s="3493"/>
      <c r="AH38" s="3493"/>
      <c r="AI38" s="3493"/>
      <c r="AJ38" s="3493"/>
      <c r="AK38" s="3493"/>
      <c r="AL38" s="3493"/>
      <c r="AM38" s="3493"/>
      <c r="AN38" s="3493"/>
      <c r="AO38" s="3493"/>
      <c r="AP38" s="3493"/>
      <c r="AQ38" s="3493"/>
      <c r="AR38" s="3493"/>
      <c r="AS38" s="3490" t="s">
        <v>150</v>
      </c>
      <c r="AT38" s="3490"/>
      <c r="AU38" s="3490"/>
      <c r="AV38" s="3490"/>
      <c r="AW38" s="3490"/>
      <c r="AX38" s="3490"/>
      <c r="AY38" s="3490"/>
      <c r="AZ38" s="3490"/>
      <c r="BA38" s="3490"/>
      <c r="BB38" s="3490"/>
      <c r="BC38" s="3490"/>
    </row>
    <row r="39" spans="6:55" s="21" customFormat="1" ht="14.35">
      <c r="F39" s="190"/>
      <c r="G39" s="3495"/>
      <c r="H39" s="3495"/>
      <c r="I39" s="3495"/>
      <c r="J39" s="3495"/>
      <c r="K39" s="3495"/>
      <c r="L39" s="3495"/>
      <c r="M39" s="3495"/>
      <c r="N39" s="3495"/>
      <c r="O39" s="3495"/>
      <c r="P39" s="3495"/>
      <c r="Q39" s="3495"/>
      <c r="R39" s="3493" t="s">
        <v>151</v>
      </c>
      <c r="S39" s="3493"/>
      <c r="T39" s="3493"/>
      <c r="U39" s="3493" t="s">
        <v>152</v>
      </c>
      <c r="V39" s="3493"/>
      <c r="W39" s="3493"/>
      <c r="X39" s="748"/>
      <c r="Y39" s="748" t="s">
        <v>153</v>
      </c>
      <c r="Z39" s="748"/>
      <c r="AA39" s="3493" t="s">
        <v>154</v>
      </c>
      <c r="AB39" s="3493"/>
      <c r="AC39" s="3493"/>
      <c r="AD39" s="3493" t="s">
        <v>155</v>
      </c>
      <c r="AE39" s="3493"/>
      <c r="AF39" s="3493"/>
      <c r="AG39" s="3493" t="s">
        <v>156</v>
      </c>
      <c r="AH39" s="3493"/>
      <c r="AI39" s="3493"/>
      <c r="AJ39" s="3493" t="s">
        <v>157</v>
      </c>
      <c r="AK39" s="3493"/>
      <c r="AL39" s="3493"/>
      <c r="AM39" s="3493" t="s">
        <v>158</v>
      </c>
      <c r="AN39" s="3493"/>
      <c r="AO39" s="3493"/>
      <c r="AP39" s="3493" t="s">
        <v>159</v>
      </c>
      <c r="AQ39" s="3493"/>
      <c r="AR39" s="3493"/>
      <c r="AS39" s="3491"/>
      <c r="AT39" s="3491"/>
      <c r="AU39" s="3491"/>
      <c r="AV39" s="3491"/>
      <c r="AW39" s="3491"/>
      <c r="AX39" s="3491"/>
      <c r="AY39" s="3491"/>
      <c r="AZ39" s="3491"/>
      <c r="BA39" s="3491"/>
      <c r="BB39" s="3491"/>
      <c r="BC39" s="3491"/>
    </row>
    <row r="40" spans="6:55" s="21" customFormat="1" ht="15.7">
      <c r="F40" s="190"/>
      <c r="G40" s="3455" t="s">
        <v>160</v>
      </c>
      <c r="H40" s="3455"/>
      <c r="I40" s="3455"/>
      <c r="J40" s="3455"/>
      <c r="K40" s="3455"/>
      <c r="L40" s="3455"/>
      <c r="M40" s="3455"/>
      <c r="N40" s="3455"/>
      <c r="O40" s="3455"/>
      <c r="P40" s="3497" t="s">
        <v>116</v>
      </c>
      <c r="Q40" s="3497"/>
      <c r="R40" s="3488"/>
      <c r="S40" s="3488"/>
      <c r="T40" s="3488"/>
      <c r="U40" s="3488"/>
      <c r="V40" s="3488"/>
      <c r="W40" s="3488"/>
      <c r="X40" s="3488"/>
      <c r="Y40" s="3488"/>
      <c r="Z40" s="3488"/>
      <c r="AA40" s="3488"/>
      <c r="AB40" s="3488"/>
      <c r="AC40" s="3488"/>
      <c r="AD40" s="3488"/>
      <c r="AE40" s="3488"/>
      <c r="AF40" s="3488"/>
      <c r="AG40" s="3488"/>
      <c r="AH40" s="3488"/>
      <c r="AI40" s="3488"/>
      <c r="AJ40" s="3488"/>
      <c r="AK40" s="3488"/>
      <c r="AL40" s="3488"/>
      <c r="AM40" s="3488"/>
      <c r="AN40" s="3488"/>
      <c r="AO40" s="3488"/>
      <c r="AP40" s="3488"/>
      <c r="AQ40" s="3488"/>
      <c r="AR40" s="3488"/>
      <c r="AS40" s="3436"/>
      <c r="AT40" s="3437"/>
      <c r="AU40" s="3437"/>
      <c r="AV40" s="3437"/>
      <c r="AW40" s="3437"/>
      <c r="AX40" s="3437"/>
      <c r="AY40" s="3437"/>
      <c r="AZ40" s="3437"/>
      <c r="BA40" s="3437"/>
      <c r="BB40" s="3437"/>
      <c r="BC40" s="3438"/>
    </row>
    <row r="41" spans="6:55" s="21" customFormat="1" ht="15.7">
      <c r="F41" s="190"/>
      <c r="G41" s="3455" t="s">
        <v>125</v>
      </c>
      <c r="H41" s="3455"/>
      <c r="I41" s="3455"/>
      <c r="J41" s="3455"/>
      <c r="K41" s="3455"/>
      <c r="L41" s="3455"/>
      <c r="M41" s="3455"/>
      <c r="N41" s="3455"/>
      <c r="O41" s="3455"/>
      <c r="P41" s="3497" t="s">
        <v>116</v>
      </c>
      <c r="Q41" s="3497"/>
      <c r="R41" s="3488"/>
      <c r="S41" s="3488"/>
      <c r="T41" s="3488"/>
      <c r="U41" s="3488"/>
      <c r="V41" s="3488"/>
      <c r="W41" s="3488"/>
      <c r="X41" s="3488"/>
      <c r="Y41" s="3488"/>
      <c r="Z41" s="3488"/>
      <c r="AA41" s="3488"/>
      <c r="AB41" s="3488"/>
      <c r="AC41" s="3488"/>
      <c r="AD41" s="3488"/>
      <c r="AE41" s="3488"/>
      <c r="AF41" s="3488"/>
      <c r="AG41" s="3488"/>
      <c r="AH41" s="3488"/>
      <c r="AI41" s="3488"/>
      <c r="AJ41" s="3488"/>
      <c r="AK41" s="3488"/>
      <c r="AL41" s="3488"/>
      <c r="AM41" s="3488"/>
      <c r="AN41" s="3488"/>
      <c r="AO41" s="3488"/>
      <c r="AP41" s="3488"/>
      <c r="AQ41" s="3488"/>
      <c r="AR41" s="3488"/>
      <c r="AS41" s="3436"/>
      <c r="AT41" s="3437"/>
      <c r="AU41" s="3437"/>
      <c r="AV41" s="3437"/>
      <c r="AW41" s="3437"/>
      <c r="AX41" s="3437"/>
      <c r="AY41" s="3437"/>
      <c r="AZ41" s="3437"/>
      <c r="BA41" s="3437"/>
      <c r="BB41" s="3437"/>
      <c r="BC41" s="3438"/>
    </row>
    <row r="42" spans="6:55" s="21" customFormat="1" ht="15.7">
      <c r="F42" s="190"/>
      <c r="G42" s="3455" t="s">
        <v>161</v>
      </c>
      <c r="H42" s="3455"/>
      <c r="I42" s="3455"/>
      <c r="J42" s="3455"/>
      <c r="K42" s="3455"/>
      <c r="L42" s="3455"/>
      <c r="M42" s="3455"/>
      <c r="N42" s="3455"/>
      <c r="O42" s="3455"/>
      <c r="P42" s="3497" t="s">
        <v>116</v>
      </c>
      <c r="Q42" s="3497"/>
      <c r="R42" s="3488"/>
      <c r="S42" s="3488"/>
      <c r="T42" s="3488"/>
      <c r="U42" s="3488"/>
      <c r="V42" s="3488"/>
      <c r="W42" s="3488"/>
      <c r="X42" s="3488"/>
      <c r="Y42" s="3488"/>
      <c r="Z42" s="3488"/>
      <c r="AA42" s="3488"/>
      <c r="AB42" s="3488"/>
      <c r="AC42" s="3488"/>
      <c r="AD42" s="3488"/>
      <c r="AE42" s="3488"/>
      <c r="AF42" s="3488"/>
      <c r="AG42" s="3488"/>
      <c r="AH42" s="3488"/>
      <c r="AI42" s="3488"/>
      <c r="AJ42" s="3488"/>
      <c r="AK42" s="3488"/>
      <c r="AL42" s="3488"/>
      <c r="AM42" s="3488"/>
      <c r="AN42" s="3488"/>
      <c r="AO42" s="3488"/>
      <c r="AP42" s="3488"/>
      <c r="AQ42" s="3488"/>
      <c r="AR42" s="3488"/>
      <c r="AS42" s="3436"/>
      <c r="AT42" s="3437"/>
      <c r="AU42" s="3437"/>
      <c r="AV42" s="3437"/>
      <c r="AW42" s="3437"/>
      <c r="AX42" s="3437"/>
      <c r="AY42" s="3437"/>
      <c r="AZ42" s="3437"/>
      <c r="BA42" s="3437"/>
      <c r="BB42" s="3437"/>
      <c r="BC42" s="3438"/>
    </row>
    <row r="43" spans="6:55" s="21" customFormat="1" ht="15.7">
      <c r="F43" s="190"/>
      <c r="G43" s="3455" t="s">
        <v>162</v>
      </c>
      <c r="H43" s="3455"/>
      <c r="I43" s="3455"/>
      <c r="J43" s="3455"/>
      <c r="K43" s="3455"/>
      <c r="L43" s="3455"/>
      <c r="M43" s="3455"/>
      <c r="N43" s="3455"/>
      <c r="O43" s="3455"/>
      <c r="P43" s="3497" t="s">
        <v>116</v>
      </c>
      <c r="Q43" s="3497"/>
      <c r="R43" s="3488"/>
      <c r="S43" s="3488"/>
      <c r="T43" s="3488"/>
      <c r="U43" s="3488"/>
      <c r="V43" s="3488"/>
      <c r="W43" s="3488"/>
      <c r="X43" s="3488"/>
      <c r="Y43" s="3488"/>
      <c r="Z43" s="3488"/>
      <c r="AA43" s="3488"/>
      <c r="AB43" s="3488"/>
      <c r="AC43" s="3488"/>
      <c r="AD43" s="3488"/>
      <c r="AE43" s="3488"/>
      <c r="AF43" s="3488"/>
      <c r="AG43" s="3488"/>
      <c r="AH43" s="3488"/>
      <c r="AI43" s="3488"/>
      <c r="AJ43" s="3488"/>
      <c r="AK43" s="3488"/>
      <c r="AL43" s="3488"/>
      <c r="AM43" s="3488"/>
      <c r="AN43" s="3488"/>
      <c r="AO43" s="3488"/>
      <c r="AP43" s="3488"/>
      <c r="AQ43" s="3488"/>
      <c r="AR43" s="3488"/>
      <c r="AS43" s="3436"/>
      <c r="AT43" s="3437"/>
      <c r="AU43" s="3437"/>
      <c r="AV43" s="3437"/>
      <c r="AW43" s="3437"/>
      <c r="AX43" s="3437"/>
      <c r="AY43" s="3437"/>
      <c r="AZ43" s="3437"/>
      <c r="BA43" s="3437"/>
      <c r="BB43" s="3437"/>
      <c r="BC43" s="3438"/>
    </row>
    <row r="44" spans="6:55" s="21" customFormat="1" ht="15.7">
      <c r="F44" s="190"/>
      <c r="G44" s="3455" t="s">
        <v>163</v>
      </c>
      <c r="H44" s="3455"/>
      <c r="I44" s="3455"/>
      <c r="J44" s="3455"/>
      <c r="K44" s="3455"/>
      <c r="L44" s="3455"/>
      <c r="M44" s="3455"/>
      <c r="N44" s="3455"/>
      <c r="O44" s="3455"/>
      <c r="P44" s="3497" t="s">
        <v>116</v>
      </c>
      <c r="Q44" s="3497"/>
      <c r="R44" s="3488"/>
      <c r="S44" s="3488"/>
      <c r="T44" s="3488"/>
      <c r="U44" s="3488"/>
      <c r="V44" s="3488"/>
      <c r="W44" s="3488"/>
      <c r="X44" s="3488"/>
      <c r="Y44" s="3488"/>
      <c r="Z44" s="3488"/>
      <c r="AA44" s="3488"/>
      <c r="AB44" s="3488"/>
      <c r="AC44" s="3488"/>
      <c r="AD44" s="3488"/>
      <c r="AE44" s="3488"/>
      <c r="AF44" s="3488"/>
      <c r="AG44" s="3488"/>
      <c r="AH44" s="3488"/>
      <c r="AI44" s="3488"/>
      <c r="AJ44" s="3488"/>
      <c r="AK44" s="3488"/>
      <c r="AL44" s="3488"/>
      <c r="AM44" s="3488"/>
      <c r="AN44" s="3488"/>
      <c r="AO44" s="3488"/>
      <c r="AP44" s="3488"/>
      <c r="AQ44" s="3488"/>
      <c r="AR44" s="3488"/>
      <c r="AS44" s="3436"/>
      <c r="AT44" s="3437"/>
      <c r="AU44" s="3437"/>
      <c r="AV44" s="3437"/>
      <c r="AW44" s="3437"/>
      <c r="AX44" s="3437"/>
      <c r="AY44" s="3437"/>
      <c r="AZ44" s="3437"/>
      <c r="BA44" s="3437"/>
      <c r="BB44" s="3437"/>
      <c r="BC44" s="3438"/>
    </row>
    <row r="45" spans="6:55" s="21" customFormat="1" ht="15.7">
      <c r="F45" s="190"/>
      <c r="G45" s="3455" t="s">
        <v>129</v>
      </c>
      <c r="H45" s="3455"/>
      <c r="I45" s="3455"/>
      <c r="J45" s="3455"/>
      <c r="K45" s="3455"/>
      <c r="L45" s="3455"/>
      <c r="M45" s="3455"/>
      <c r="N45" s="3455"/>
      <c r="O45" s="3455"/>
      <c r="P45" s="3497" t="s">
        <v>116</v>
      </c>
      <c r="Q45" s="3497"/>
      <c r="R45" s="3488"/>
      <c r="S45" s="3488"/>
      <c r="T45" s="3488"/>
      <c r="U45" s="3488"/>
      <c r="V45" s="3488"/>
      <c r="W45" s="3488"/>
      <c r="X45" s="3488"/>
      <c r="Y45" s="3488"/>
      <c r="Z45" s="3488"/>
      <c r="AA45" s="3488"/>
      <c r="AB45" s="3488"/>
      <c r="AC45" s="3488"/>
      <c r="AD45" s="3488"/>
      <c r="AE45" s="3488"/>
      <c r="AF45" s="3488"/>
      <c r="AG45" s="3488"/>
      <c r="AH45" s="3488"/>
      <c r="AI45" s="3488"/>
      <c r="AJ45" s="3488"/>
      <c r="AK45" s="3488"/>
      <c r="AL45" s="3488"/>
      <c r="AM45" s="3488"/>
      <c r="AN45" s="3488"/>
      <c r="AO45" s="3488"/>
      <c r="AP45" s="3488"/>
      <c r="AQ45" s="3488"/>
      <c r="AR45" s="3488"/>
      <c r="AS45" s="3436"/>
      <c r="AT45" s="3437"/>
      <c r="AU45" s="3437"/>
      <c r="AV45" s="3437"/>
      <c r="AW45" s="3437"/>
      <c r="AX45" s="3437"/>
      <c r="AY45" s="3437"/>
      <c r="AZ45" s="3437"/>
      <c r="BA45" s="3437"/>
      <c r="BB45" s="3437"/>
      <c r="BC45" s="3438"/>
    </row>
    <row r="46" spans="6:55" s="21" customFormat="1" ht="15.7">
      <c r="F46" s="190"/>
      <c r="G46" s="3455" t="s">
        <v>164</v>
      </c>
      <c r="H46" s="3455"/>
      <c r="I46" s="3455"/>
      <c r="J46" s="3455"/>
      <c r="K46" s="3455"/>
      <c r="L46" s="3455"/>
      <c r="M46" s="3455"/>
      <c r="N46" s="3455"/>
      <c r="O46" s="3455"/>
      <c r="P46" s="3497" t="s">
        <v>2</v>
      </c>
      <c r="Q46" s="3497"/>
      <c r="R46" s="3488"/>
      <c r="S46" s="3488"/>
      <c r="T46" s="3488"/>
      <c r="U46" s="3488"/>
      <c r="V46" s="3488"/>
      <c r="W46" s="3488"/>
      <c r="X46" s="3488"/>
      <c r="Y46" s="3488"/>
      <c r="Z46" s="3488"/>
      <c r="AA46" s="3488"/>
      <c r="AB46" s="3488"/>
      <c r="AC46" s="3488"/>
      <c r="AD46" s="3488"/>
      <c r="AE46" s="3488"/>
      <c r="AF46" s="3488"/>
      <c r="AG46" s="3488"/>
      <c r="AH46" s="3488"/>
      <c r="AI46" s="3488"/>
      <c r="AJ46" s="3488"/>
      <c r="AK46" s="3488"/>
      <c r="AL46" s="3488"/>
      <c r="AM46" s="3488"/>
      <c r="AN46" s="3488"/>
      <c r="AO46" s="3488"/>
      <c r="AP46" s="3488"/>
      <c r="AQ46" s="3488"/>
      <c r="AR46" s="3488"/>
      <c r="AS46" s="3436"/>
      <c r="AT46" s="3437"/>
      <c r="AU46" s="3437"/>
      <c r="AV46" s="3437"/>
      <c r="AW46" s="3437"/>
      <c r="AX46" s="3437"/>
      <c r="AY46" s="3437"/>
      <c r="AZ46" s="3437"/>
      <c r="BA46" s="3437"/>
      <c r="BB46" s="3437"/>
      <c r="BC46" s="3438"/>
    </row>
    <row r="47" spans="6:55" s="21" customFormat="1" ht="15.7">
      <c r="F47" s="190"/>
      <c r="G47" s="3455" t="s">
        <v>165</v>
      </c>
      <c r="H47" s="3455"/>
      <c r="I47" s="3455"/>
      <c r="J47" s="3455"/>
      <c r="K47" s="3455"/>
      <c r="L47" s="3455"/>
      <c r="M47" s="3455"/>
      <c r="N47" s="3455"/>
      <c r="O47" s="3455"/>
      <c r="P47" s="3497" t="s">
        <v>2</v>
      </c>
      <c r="Q47" s="3497"/>
      <c r="R47" s="3488"/>
      <c r="S47" s="3488"/>
      <c r="T47" s="3488"/>
      <c r="U47" s="3488"/>
      <c r="V47" s="3488"/>
      <c r="W47" s="3488"/>
      <c r="X47" s="3488"/>
      <c r="Y47" s="3488"/>
      <c r="Z47" s="3488"/>
      <c r="AA47" s="3488"/>
      <c r="AB47" s="3488"/>
      <c r="AC47" s="3488"/>
      <c r="AD47" s="3488"/>
      <c r="AE47" s="3488"/>
      <c r="AF47" s="3488"/>
      <c r="AG47" s="3488"/>
      <c r="AH47" s="3488"/>
      <c r="AI47" s="3488"/>
      <c r="AJ47" s="3488"/>
      <c r="AK47" s="3488"/>
      <c r="AL47" s="3488"/>
      <c r="AM47" s="3488"/>
      <c r="AN47" s="3488"/>
      <c r="AO47" s="3488"/>
      <c r="AP47" s="3488"/>
      <c r="AQ47" s="3488"/>
      <c r="AR47" s="3488"/>
      <c r="AS47" s="3436"/>
      <c r="AT47" s="3437"/>
      <c r="AU47" s="3437"/>
      <c r="AV47" s="3437"/>
      <c r="AW47" s="3437"/>
      <c r="AX47" s="3437"/>
      <c r="AY47" s="3437"/>
      <c r="AZ47" s="3437"/>
      <c r="BA47" s="3437"/>
      <c r="BB47" s="3437"/>
      <c r="BC47" s="3438"/>
    </row>
    <row r="48" spans="6:55" s="21" customFormat="1" ht="15.7">
      <c r="F48" s="190"/>
      <c r="G48" s="3455" t="s">
        <v>166</v>
      </c>
      <c r="H48" s="3455"/>
      <c r="I48" s="3455"/>
      <c r="J48" s="3455"/>
      <c r="K48" s="3455"/>
      <c r="L48" s="3455"/>
      <c r="M48" s="3455"/>
      <c r="N48" s="3455"/>
      <c r="O48" s="3455"/>
      <c r="P48" s="3497" t="s">
        <v>2</v>
      </c>
      <c r="Q48" s="3497"/>
      <c r="R48" s="3488"/>
      <c r="S48" s="3488"/>
      <c r="T48" s="3488"/>
      <c r="U48" s="3488"/>
      <c r="V48" s="3488"/>
      <c r="W48" s="3488"/>
      <c r="X48" s="3488"/>
      <c r="Y48" s="3488"/>
      <c r="Z48" s="3488"/>
      <c r="AA48" s="3488"/>
      <c r="AB48" s="3488"/>
      <c r="AC48" s="3488"/>
      <c r="AD48" s="3488"/>
      <c r="AE48" s="3488"/>
      <c r="AF48" s="3488"/>
      <c r="AG48" s="3488"/>
      <c r="AH48" s="3488"/>
      <c r="AI48" s="3488"/>
      <c r="AJ48" s="3488"/>
      <c r="AK48" s="3488"/>
      <c r="AL48" s="3488"/>
      <c r="AM48" s="3488"/>
      <c r="AN48" s="3488"/>
      <c r="AO48" s="3488"/>
      <c r="AP48" s="3488"/>
      <c r="AQ48" s="3488"/>
      <c r="AR48" s="3488"/>
      <c r="AS48" s="3436"/>
      <c r="AT48" s="3437"/>
      <c r="AU48" s="3437"/>
      <c r="AV48" s="3437"/>
      <c r="AW48" s="3437"/>
      <c r="AX48" s="3437"/>
      <c r="AY48" s="3437"/>
      <c r="AZ48" s="3437"/>
      <c r="BA48" s="3437"/>
      <c r="BB48" s="3437"/>
      <c r="BC48" s="3438"/>
    </row>
    <row r="49" spans="6:55" s="21" customFormat="1" ht="15.7">
      <c r="F49" s="190"/>
      <c r="G49" s="3455" t="s">
        <v>167</v>
      </c>
      <c r="H49" s="3455"/>
      <c r="I49" s="3455"/>
      <c r="J49" s="3455"/>
      <c r="K49" s="3455"/>
      <c r="L49" s="3455"/>
      <c r="M49" s="3455"/>
      <c r="N49" s="3455"/>
      <c r="O49" s="3455"/>
      <c r="P49" s="3497" t="s">
        <v>12</v>
      </c>
      <c r="Q49" s="3497"/>
      <c r="R49" s="3488"/>
      <c r="S49" s="3488"/>
      <c r="T49" s="3488"/>
      <c r="U49" s="3488"/>
      <c r="V49" s="3488"/>
      <c r="W49" s="3488"/>
      <c r="X49" s="3488"/>
      <c r="Y49" s="3488"/>
      <c r="Z49" s="3488"/>
      <c r="AA49" s="3488"/>
      <c r="AB49" s="3488"/>
      <c r="AC49" s="3488"/>
      <c r="AD49" s="3488"/>
      <c r="AE49" s="3488"/>
      <c r="AF49" s="3488"/>
      <c r="AG49" s="3488"/>
      <c r="AH49" s="3488"/>
      <c r="AI49" s="3488"/>
      <c r="AJ49" s="3488"/>
      <c r="AK49" s="3488"/>
      <c r="AL49" s="3488"/>
      <c r="AM49" s="3488"/>
      <c r="AN49" s="3488"/>
      <c r="AO49" s="3488"/>
      <c r="AP49" s="3488"/>
      <c r="AQ49" s="3488"/>
      <c r="AR49" s="3488"/>
      <c r="AS49" s="3436"/>
      <c r="AT49" s="3437"/>
      <c r="AU49" s="3437"/>
      <c r="AV49" s="3437"/>
      <c r="AW49" s="3437"/>
      <c r="AX49" s="3437"/>
      <c r="AY49" s="3437"/>
      <c r="AZ49" s="3437"/>
      <c r="BA49" s="3437"/>
      <c r="BB49" s="3437"/>
      <c r="BC49" s="3438"/>
    </row>
    <row r="50" spans="6:55" s="21" customFormat="1" ht="15.7">
      <c r="F50" s="190"/>
      <c r="G50" s="3455" t="s">
        <v>168</v>
      </c>
      <c r="H50" s="3455"/>
      <c r="I50" s="3455"/>
      <c r="J50" s="3455"/>
      <c r="K50" s="3455"/>
      <c r="L50" s="3455"/>
      <c r="M50" s="3455"/>
      <c r="N50" s="3455"/>
      <c r="O50" s="3455"/>
      <c r="P50" s="3497" t="s">
        <v>12</v>
      </c>
      <c r="Q50" s="3497"/>
      <c r="R50" s="3488"/>
      <c r="S50" s="3488"/>
      <c r="T50" s="3488"/>
      <c r="U50" s="3488"/>
      <c r="V50" s="3488"/>
      <c r="W50" s="3488"/>
      <c r="X50" s="3488"/>
      <c r="Y50" s="3488"/>
      <c r="Z50" s="3488"/>
      <c r="AA50" s="3488"/>
      <c r="AB50" s="3488"/>
      <c r="AC50" s="3488"/>
      <c r="AD50" s="3488"/>
      <c r="AE50" s="3488"/>
      <c r="AF50" s="3488"/>
      <c r="AG50" s="3488"/>
      <c r="AH50" s="3488"/>
      <c r="AI50" s="3488"/>
      <c r="AJ50" s="3488"/>
      <c r="AK50" s="3488"/>
      <c r="AL50" s="3488"/>
      <c r="AM50" s="3488"/>
      <c r="AN50" s="3488"/>
      <c r="AO50" s="3488"/>
      <c r="AP50" s="3488"/>
      <c r="AQ50" s="3488"/>
      <c r="AR50" s="3488"/>
      <c r="AS50" s="3436"/>
      <c r="AT50" s="3437"/>
      <c r="AU50" s="3437"/>
      <c r="AV50" s="3437"/>
      <c r="AW50" s="3437"/>
      <c r="AX50" s="3437"/>
      <c r="AY50" s="3437"/>
      <c r="AZ50" s="3437"/>
      <c r="BA50" s="3437"/>
      <c r="BB50" s="3437"/>
      <c r="BC50" s="3438"/>
    </row>
    <row r="51" spans="6:55" s="21" customFormat="1" ht="15.7">
      <c r="F51" s="190"/>
      <c r="G51" s="3455" t="s">
        <v>169</v>
      </c>
      <c r="H51" s="3455"/>
      <c r="I51" s="3455"/>
      <c r="J51" s="3455"/>
      <c r="K51" s="3455"/>
      <c r="L51" s="3455"/>
      <c r="M51" s="3455"/>
      <c r="N51" s="3455"/>
      <c r="O51" s="3455"/>
      <c r="P51" s="3497" t="s">
        <v>12</v>
      </c>
      <c r="Q51" s="3497"/>
      <c r="R51" s="3488"/>
      <c r="S51" s="3488"/>
      <c r="T51" s="3488"/>
      <c r="U51" s="3488"/>
      <c r="V51" s="3488"/>
      <c r="W51" s="3488"/>
      <c r="X51" s="3488"/>
      <c r="Y51" s="3488"/>
      <c r="Z51" s="3488"/>
      <c r="AA51" s="3488"/>
      <c r="AB51" s="3488"/>
      <c r="AC51" s="3488"/>
      <c r="AD51" s="3488"/>
      <c r="AE51" s="3488"/>
      <c r="AF51" s="3488"/>
      <c r="AG51" s="3488"/>
      <c r="AH51" s="3488"/>
      <c r="AI51" s="3488"/>
      <c r="AJ51" s="3488"/>
      <c r="AK51" s="3488"/>
      <c r="AL51" s="3488"/>
      <c r="AM51" s="3488"/>
      <c r="AN51" s="3488"/>
      <c r="AO51" s="3488"/>
      <c r="AP51" s="3488"/>
      <c r="AQ51" s="3488"/>
      <c r="AR51" s="3488"/>
      <c r="AS51" s="3436"/>
      <c r="AT51" s="3437"/>
      <c r="AU51" s="3437"/>
      <c r="AV51" s="3437"/>
      <c r="AW51" s="3437"/>
      <c r="AX51" s="3437"/>
      <c r="AY51" s="3437"/>
      <c r="AZ51" s="3437"/>
      <c r="BA51" s="3437"/>
      <c r="BB51" s="3437"/>
      <c r="BC51" s="3438"/>
    </row>
    <row r="52" spans="6:55" s="21" customFormat="1" ht="15.7">
      <c r="F52" s="190"/>
      <c r="G52" s="3455" t="s">
        <v>170</v>
      </c>
      <c r="H52" s="3455"/>
      <c r="I52" s="3455"/>
      <c r="J52" s="3455"/>
      <c r="K52" s="3455"/>
      <c r="L52" s="3455"/>
      <c r="M52" s="3455"/>
      <c r="N52" s="3455"/>
      <c r="O52" s="3455"/>
      <c r="P52" s="3497" t="s">
        <v>2</v>
      </c>
      <c r="Q52" s="3497"/>
      <c r="R52" s="3488"/>
      <c r="S52" s="3488"/>
      <c r="T52" s="3488"/>
      <c r="U52" s="3488"/>
      <c r="V52" s="3488"/>
      <c r="W52" s="3488"/>
      <c r="X52" s="3488"/>
      <c r="Y52" s="3488"/>
      <c r="Z52" s="3488"/>
      <c r="AA52" s="3488"/>
      <c r="AB52" s="3488"/>
      <c r="AC52" s="3488"/>
      <c r="AD52" s="3488"/>
      <c r="AE52" s="3488"/>
      <c r="AF52" s="3488"/>
      <c r="AG52" s="3488"/>
      <c r="AH52" s="3488"/>
      <c r="AI52" s="3488"/>
      <c r="AJ52" s="3488"/>
      <c r="AK52" s="3488"/>
      <c r="AL52" s="3488"/>
      <c r="AM52" s="3488"/>
      <c r="AN52" s="3488"/>
      <c r="AO52" s="3488"/>
      <c r="AP52" s="3488"/>
      <c r="AQ52" s="3488"/>
      <c r="AR52" s="3488"/>
      <c r="AS52" s="3436"/>
      <c r="AT52" s="3437"/>
      <c r="AU52" s="3437"/>
      <c r="AV52" s="3437"/>
      <c r="AW52" s="3437"/>
      <c r="AX52" s="3437"/>
      <c r="AY52" s="3437"/>
      <c r="AZ52" s="3437"/>
      <c r="BA52" s="3437"/>
      <c r="BB52" s="3437"/>
      <c r="BC52" s="3438"/>
    </row>
    <row r="53" spans="6:55" s="21" customFormat="1" ht="15.7">
      <c r="F53" s="190"/>
      <c r="G53" s="3455" t="s">
        <v>171</v>
      </c>
      <c r="H53" s="3455"/>
      <c r="I53" s="3455"/>
      <c r="J53" s="3455"/>
      <c r="K53" s="3455"/>
      <c r="L53" s="3455"/>
      <c r="M53" s="3455"/>
      <c r="N53" s="3455"/>
      <c r="O53" s="3455"/>
      <c r="P53" s="3497" t="s">
        <v>2</v>
      </c>
      <c r="Q53" s="3497"/>
      <c r="R53" s="3488"/>
      <c r="S53" s="3488"/>
      <c r="T53" s="3488"/>
      <c r="U53" s="3488"/>
      <c r="V53" s="3488"/>
      <c r="W53" s="3488"/>
      <c r="X53" s="3488"/>
      <c r="Y53" s="3488"/>
      <c r="Z53" s="3488"/>
      <c r="AA53" s="3488"/>
      <c r="AB53" s="3488"/>
      <c r="AC53" s="3488"/>
      <c r="AD53" s="3488"/>
      <c r="AE53" s="3488"/>
      <c r="AF53" s="3488"/>
      <c r="AG53" s="3488"/>
      <c r="AH53" s="3488"/>
      <c r="AI53" s="3488"/>
      <c r="AJ53" s="3488"/>
      <c r="AK53" s="3488"/>
      <c r="AL53" s="3488"/>
      <c r="AM53" s="3488"/>
      <c r="AN53" s="3488"/>
      <c r="AO53" s="3488"/>
      <c r="AP53" s="3488"/>
      <c r="AQ53" s="3488"/>
      <c r="AR53" s="3488"/>
      <c r="AS53" s="3436"/>
      <c r="AT53" s="3437"/>
      <c r="AU53" s="3437"/>
      <c r="AV53" s="3437"/>
      <c r="AW53" s="3437"/>
      <c r="AX53" s="3437"/>
      <c r="AY53" s="3437"/>
      <c r="AZ53" s="3437"/>
      <c r="BA53" s="3437"/>
      <c r="BB53" s="3437"/>
      <c r="BC53" s="3438"/>
    </row>
    <row r="54" spans="6:55" s="21" customFormat="1" ht="15.7">
      <c r="F54" s="190"/>
      <c r="G54" s="3455" t="s">
        <v>172</v>
      </c>
      <c r="H54" s="3455"/>
      <c r="I54" s="3455"/>
      <c r="J54" s="3455"/>
      <c r="K54" s="3455"/>
      <c r="L54" s="3455"/>
      <c r="M54" s="3455"/>
      <c r="N54" s="3455"/>
      <c r="O54" s="3455"/>
      <c r="P54" s="3497" t="s">
        <v>2</v>
      </c>
      <c r="Q54" s="3497"/>
      <c r="R54" s="3488"/>
      <c r="S54" s="3488"/>
      <c r="T54" s="3488"/>
      <c r="U54" s="3488"/>
      <c r="V54" s="3488"/>
      <c r="W54" s="3488"/>
      <c r="X54" s="3488"/>
      <c r="Y54" s="3488"/>
      <c r="Z54" s="3488"/>
      <c r="AA54" s="3488"/>
      <c r="AB54" s="3488"/>
      <c r="AC54" s="3488"/>
      <c r="AD54" s="3488"/>
      <c r="AE54" s="3488"/>
      <c r="AF54" s="3488"/>
      <c r="AG54" s="3488"/>
      <c r="AH54" s="3488"/>
      <c r="AI54" s="3488"/>
      <c r="AJ54" s="3488"/>
      <c r="AK54" s="3488"/>
      <c r="AL54" s="3488"/>
      <c r="AM54" s="3488"/>
      <c r="AN54" s="3488"/>
      <c r="AO54" s="3488"/>
      <c r="AP54" s="3488"/>
      <c r="AQ54" s="3488"/>
      <c r="AR54" s="3488"/>
      <c r="AS54" s="3436"/>
      <c r="AT54" s="3437"/>
      <c r="AU54" s="3437"/>
      <c r="AV54" s="3437"/>
      <c r="AW54" s="3437"/>
      <c r="AX54" s="3437"/>
      <c r="AY54" s="3437"/>
      <c r="AZ54" s="3437"/>
      <c r="BA54" s="3437"/>
      <c r="BB54" s="3437"/>
      <c r="BC54" s="3438"/>
    </row>
    <row r="55" spans="6:55" s="21" customFormat="1" ht="15.7">
      <c r="F55" s="190"/>
      <c r="G55" s="3521" t="s">
        <v>173</v>
      </c>
      <c r="H55" s="3521"/>
      <c r="I55" s="3521"/>
      <c r="J55" s="3521"/>
      <c r="K55" s="3521"/>
      <c r="L55" s="3521"/>
      <c r="M55" s="3521"/>
      <c r="N55" s="3521"/>
      <c r="O55" s="3521"/>
      <c r="P55" s="3497" t="s">
        <v>2</v>
      </c>
      <c r="Q55" s="3497"/>
      <c r="R55" s="3488"/>
      <c r="S55" s="3488"/>
      <c r="T55" s="3488"/>
      <c r="U55" s="3488"/>
      <c r="V55" s="3488"/>
      <c r="W55" s="3488"/>
      <c r="X55" s="3488"/>
      <c r="Y55" s="3488"/>
      <c r="Z55" s="3488"/>
      <c r="AA55" s="3488"/>
      <c r="AB55" s="3488"/>
      <c r="AC55" s="3488"/>
      <c r="AD55" s="3488"/>
      <c r="AE55" s="3488"/>
      <c r="AF55" s="3488"/>
      <c r="AG55" s="3488"/>
      <c r="AH55" s="3488"/>
      <c r="AI55" s="3488"/>
      <c r="AJ55" s="3488"/>
      <c r="AK55" s="3488"/>
      <c r="AL55" s="3488"/>
      <c r="AM55" s="3488"/>
      <c r="AN55" s="3488"/>
      <c r="AO55" s="3488"/>
      <c r="AP55" s="3488"/>
      <c r="AQ55" s="3488"/>
      <c r="AR55" s="3488"/>
      <c r="AS55" s="3439"/>
      <c r="AT55" s="3440"/>
      <c r="AU55" s="3440"/>
      <c r="AV55" s="3440"/>
      <c r="AW55" s="3440"/>
      <c r="AX55" s="3440"/>
      <c r="AY55" s="3440"/>
      <c r="AZ55" s="3440"/>
      <c r="BA55" s="3440"/>
      <c r="BB55" s="3440"/>
      <c r="BC55" s="3441"/>
    </row>
    <row r="56" spans="6:55" s="22" customFormat="1" ht="18" customHeight="1">
      <c r="F56" s="189"/>
      <c r="G56" s="3502" t="s">
        <v>174</v>
      </c>
      <c r="H56" s="3502"/>
      <c r="I56" s="3502"/>
      <c r="J56" s="3502"/>
      <c r="K56" s="3502"/>
      <c r="L56" s="3502"/>
      <c r="M56" s="3502"/>
      <c r="N56" s="3502"/>
      <c r="O56" s="3502"/>
      <c r="P56" s="3502"/>
      <c r="Q56" s="3502"/>
      <c r="R56" s="3502"/>
      <c r="S56" s="3502"/>
      <c r="T56" s="3502"/>
      <c r="U56" s="3502"/>
      <c r="V56" s="3502"/>
      <c r="W56" s="3502"/>
      <c r="X56" s="3502"/>
      <c r="Y56" s="3502"/>
      <c r="Z56" s="3502"/>
      <c r="AA56" s="3502"/>
      <c r="AB56" s="3502"/>
      <c r="AC56" s="3502"/>
      <c r="AD56" s="3502"/>
      <c r="AE56" s="3502"/>
      <c r="AF56" s="3502"/>
      <c r="AG56" s="3502"/>
      <c r="AH56" s="3502"/>
      <c r="AI56" s="3502"/>
      <c r="AJ56" s="3502"/>
      <c r="AK56" s="3502"/>
      <c r="AL56" s="3502"/>
      <c r="AM56" s="3502"/>
      <c r="AN56" s="3502"/>
      <c r="AO56" s="3502"/>
      <c r="AP56" s="3502"/>
      <c r="AQ56" s="3519" t="s">
        <v>175</v>
      </c>
      <c r="AR56" s="3519"/>
      <c r="AS56" s="3520"/>
      <c r="AT56" s="3520"/>
      <c r="AU56" s="3520"/>
      <c r="AV56" s="3520"/>
      <c r="AW56" s="3520"/>
      <c r="AX56" s="3520"/>
      <c r="AY56" s="3520"/>
      <c r="AZ56" s="3520"/>
      <c r="BA56" s="3520"/>
      <c r="BB56" s="3520"/>
      <c r="BC56" s="3520"/>
    </row>
    <row r="57" spans="6:55" s="21" customFormat="1" ht="15.7">
      <c r="F57" s="190"/>
      <c r="G57" s="3490" t="s">
        <v>113</v>
      </c>
      <c r="H57" s="3490"/>
      <c r="I57" s="3490"/>
      <c r="J57" s="3490"/>
      <c r="K57" s="3490"/>
      <c r="L57" s="3490"/>
      <c r="M57" s="3490"/>
      <c r="N57" s="3490"/>
      <c r="O57" s="3490"/>
      <c r="P57" s="3495" t="s">
        <v>35</v>
      </c>
      <c r="Q57" s="3495"/>
      <c r="R57" s="3489" t="s">
        <v>149</v>
      </c>
      <c r="S57" s="3489"/>
      <c r="T57" s="3489"/>
      <c r="U57" s="3489"/>
      <c r="V57" s="3489"/>
      <c r="W57" s="3489"/>
      <c r="X57" s="3489"/>
      <c r="Y57" s="3489"/>
      <c r="Z57" s="3489"/>
      <c r="AA57" s="3489"/>
      <c r="AB57" s="3489"/>
      <c r="AC57" s="3489"/>
      <c r="AD57" s="3489"/>
      <c r="AE57" s="3489"/>
      <c r="AF57" s="3489"/>
      <c r="AG57" s="3490" t="s">
        <v>176</v>
      </c>
      <c r="AH57" s="3490"/>
      <c r="AI57" s="3490"/>
      <c r="AJ57" s="3490"/>
      <c r="AK57" s="3490"/>
      <c r="AL57" s="3490"/>
      <c r="AM57" s="3490"/>
      <c r="AN57" s="3490"/>
      <c r="AO57" s="3490"/>
      <c r="AP57" s="3490"/>
      <c r="AQ57" s="3489" t="s">
        <v>177</v>
      </c>
      <c r="AR57" s="3489"/>
      <c r="AS57" s="3489"/>
      <c r="AT57" s="3489"/>
      <c r="AU57" s="3489"/>
      <c r="AV57" s="3489"/>
      <c r="AW57" s="3489"/>
      <c r="AX57" s="3489"/>
      <c r="AY57" s="3489"/>
      <c r="AZ57" s="3489"/>
      <c r="BA57" s="3493" t="s">
        <v>178</v>
      </c>
      <c r="BB57" s="3493"/>
      <c r="BC57" s="3493"/>
    </row>
    <row r="58" spans="6:55" s="21" customFormat="1" ht="15.7">
      <c r="F58" s="190"/>
      <c r="G58" s="3490"/>
      <c r="H58" s="3490"/>
      <c r="I58" s="3490"/>
      <c r="J58" s="3490"/>
      <c r="K58" s="3490"/>
      <c r="L58" s="3490"/>
      <c r="M58" s="3490"/>
      <c r="N58" s="3490"/>
      <c r="O58" s="3490"/>
      <c r="P58" s="3495"/>
      <c r="Q58" s="3495"/>
      <c r="R58" s="3489" t="s">
        <v>151</v>
      </c>
      <c r="S58" s="3489"/>
      <c r="T58" s="3489"/>
      <c r="U58" s="3489" t="s">
        <v>179</v>
      </c>
      <c r="V58" s="3489"/>
      <c r="W58" s="3489"/>
      <c r="X58" s="3489" t="s">
        <v>180</v>
      </c>
      <c r="Y58" s="3489"/>
      <c r="Z58" s="3489"/>
      <c r="AA58" s="3489" t="s">
        <v>181</v>
      </c>
      <c r="AB58" s="3489"/>
      <c r="AC58" s="3489"/>
      <c r="AD58" s="3489" t="s">
        <v>159</v>
      </c>
      <c r="AE58" s="3489"/>
      <c r="AF58" s="3489"/>
      <c r="AG58" s="3491"/>
      <c r="AH58" s="3491"/>
      <c r="AI58" s="3491"/>
      <c r="AJ58" s="3491"/>
      <c r="AK58" s="3491"/>
      <c r="AL58" s="3491"/>
      <c r="AM58" s="3491"/>
      <c r="AN58" s="3491"/>
      <c r="AO58" s="3491"/>
      <c r="AP58" s="3491"/>
      <c r="AQ58" s="3489"/>
      <c r="AR58" s="3489"/>
      <c r="AS58" s="3489"/>
      <c r="AT58" s="3489"/>
      <c r="AU58" s="3489"/>
      <c r="AV58" s="3489"/>
      <c r="AW58" s="3489"/>
      <c r="AX58" s="3489"/>
      <c r="AY58" s="3489"/>
      <c r="AZ58" s="3489"/>
      <c r="BA58" s="3493"/>
      <c r="BB58" s="3493"/>
      <c r="BC58" s="3493"/>
    </row>
    <row r="59" spans="6:55" s="21" customFormat="1" ht="15.7">
      <c r="F59" s="190"/>
      <c r="G59" s="3455" t="s">
        <v>182</v>
      </c>
      <c r="H59" s="3455"/>
      <c r="I59" s="3455"/>
      <c r="J59" s="3455"/>
      <c r="K59" s="3455"/>
      <c r="L59" s="3455"/>
      <c r="M59" s="3455"/>
      <c r="N59" s="3455"/>
      <c r="O59" s="3455"/>
      <c r="P59" s="3488" t="s">
        <v>116</v>
      </c>
      <c r="Q59" s="3488"/>
      <c r="R59" s="3488"/>
      <c r="S59" s="3488"/>
      <c r="T59" s="3488"/>
      <c r="U59" s="3488"/>
      <c r="V59" s="3488"/>
      <c r="W59" s="3488"/>
      <c r="X59" s="3488"/>
      <c r="Y59" s="3488"/>
      <c r="Z59" s="3488"/>
      <c r="AA59" s="3488"/>
      <c r="AB59" s="3488"/>
      <c r="AC59" s="3488"/>
      <c r="AD59" s="3488"/>
      <c r="AE59" s="3488"/>
      <c r="AF59" s="3488"/>
      <c r="AG59" s="3500"/>
      <c r="AH59" s="3500"/>
      <c r="AI59" s="3500"/>
      <c r="AJ59" s="3500"/>
      <c r="AK59" s="3500"/>
      <c r="AL59" s="3500"/>
      <c r="AM59" s="3500"/>
      <c r="AN59" s="3500"/>
      <c r="AO59" s="3500"/>
      <c r="AP59" s="3500"/>
      <c r="AQ59" s="3492" t="s">
        <v>398</v>
      </c>
      <c r="AR59" s="3492"/>
      <c r="AS59" s="3492"/>
      <c r="AT59" s="3492"/>
      <c r="AU59" s="3492"/>
      <c r="AV59" s="3492"/>
      <c r="AW59" s="3492"/>
      <c r="AX59" s="3492"/>
      <c r="AY59" s="3492"/>
      <c r="AZ59" s="3492"/>
      <c r="BA59" s="3492"/>
      <c r="BB59" s="3492"/>
      <c r="BC59" s="3492"/>
    </row>
    <row r="60" spans="6:55" s="21" customFormat="1" ht="15.7">
      <c r="F60" s="190"/>
      <c r="G60" s="3455" t="s">
        <v>316</v>
      </c>
      <c r="H60" s="3455"/>
      <c r="I60" s="3455"/>
      <c r="J60" s="3455"/>
      <c r="K60" s="3455"/>
      <c r="L60" s="3455"/>
      <c r="M60" s="3455"/>
      <c r="N60" s="3455"/>
      <c r="O60" s="3455"/>
      <c r="P60" s="3488" t="s">
        <v>116</v>
      </c>
      <c r="Q60" s="3488"/>
      <c r="R60" s="3488"/>
      <c r="S60" s="3488"/>
      <c r="T60" s="3488"/>
      <c r="U60" s="3488"/>
      <c r="V60" s="3488"/>
      <c r="W60" s="3488"/>
      <c r="X60" s="3488"/>
      <c r="Y60" s="3488"/>
      <c r="Z60" s="3488"/>
      <c r="AA60" s="3488"/>
      <c r="AB60" s="3488"/>
      <c r="AC60" s="3488"/>
      <c r="AD60" s="3488"/>
      <c r="AE60" s="3488"/>
      <c r="AF60" s="3488"/>
      <c r="AG60" s="3501"/>
      <c r="AH60" s="3501"/>
      <c r="AI60" s="3501"/>
      <c r="AJ60" s="3501"/>
      <c r="AK60" s="3501"/>
      <c r="AL60" s="3501"/>
      <c r="AM60" s="3501"/>
      <c r="AN60" s="3501"/>
      <c r="AO60" s="3501"/>
      <c r="AP60" s="3501"/>
      <c r="AQ60" s="3486" t="s">
        <v>184</v>
      </c>
      <c r="AR60" s="3486"/>
      <c r="AS60" s="3486"/>
      <c r="AT60" s="3486"/>
      <c r="AU60" s="3486"/>
      <c r="AV60" s="3486"/>
      <c r="AW60" s="3486"/>
      <c r="AX60" s="3486"/>
      <c r="AY60" s="3486"/>
      <c r="AZ60" s="3486"/>
      <c r="BA60" s="3485" t="s">
        <v>183</v>
      </c>
      <c r="BB60" s="3485"/>
      <c r="BC60" s="3485"/>
    </row>
    <row r="61" spans="6:55" s="21" customFormat="1" ht="15.7">
      <c r="F61" s="190"/>
      <c r="G61" s="3455" t="s">
        <v>317</v>
      </c>
      <c r="H61" s="3455"/>
      <c r="I61" s="3455"/>
      <c r="J61" s="3455"/>
      <c r="K61" s="3455"/>
      <c r="L61" s="3455"/>
      <c r="M61" s="3455"/>
      <c r="N61" s="3455"/>
      <c r="O61" s="3455"/>
      <c r="P61" s="3488" t="s">
        <v>116</v>
      </c>
      <c r="Q61" s="3488"/>
      <c r="R61" s="3488"/>
      <c r="S61" s="3488"/>
      <c r="T61" s="3488"/>
      <c r="U61" s="3488"/>
      <c r="V61" s="3488"/>
      <c r="W61" s="3488"/>
      <c r="X61" s="3488"/>
      <c r="Y61" s="3488"/>
      <c r="Z61" s="3488"/>
      <c r="AA61" s="3488"/>
      <c r="AB61" s="3488"/>
      <c r="AC61" s="3488"/>
      <c r="AD61" s="3488"/>
      <c r="AE61" s="3488"/>
      <c r="AF61" s="3488"/>
      <c r="AG61" s="3501"/>
      <c r="AH61" s="3501"/>
      <c r="AI61" s="3501"/>
      <c r="AJ61" s="3501"/>
      <c r="AK61" s="3501"/>
      <c r="AL61" s="3501"/>
      <c r="AM61" s="3501"/>
      <c r="AN61" s="3501"/>
      <c r="AO61" s="3501"/>
      <c r="AP61" s="3501"/>
      <c r="AQ61" s="3486" t="s">
        <v>323</v>
      </c>
      <c r="AR61" s="3486"/>
      <c r="AS61" s="3486"/>
      <c r="AT61" s="3486"/>
      <c r="AU61" s="3486"/>
      <c r="AV61" s="3486"/>
      <c r="AW61" s="3486"/>
      <c r="AX61" s="3486"/>
      <c r="AY61" s="3486"/>
      <c r="AZ61" s="3486"/>
      <c r="BA61" s="3485" t="s">
        <v>183</v>
      </c>
      <c r="BB61" s="3485"/>
      <c r="BC61" s="3485"/>
    </row>
    <row r="62" spans="6:55" s="21" customFormat="1" ht="15.7">
      <c r="F62" s="190"/>
      <c r="G62" s="3455" t="s">
        <v>129</v>
      </c>
      <c r="H62" s="3455"/>
      <c r="I62" s="3455"/>
      <c r="J62" s="3455"/>
      <c r="K62" s="3455"/>
      <c r="L62" s="3455"/>
      <c r="M62" s="3455"/>
      <c r="N62" s="3455"/>
      <c r="O62" s="3455"/>
      <c r="P62" s="3488" t="s">
        <v>116</v>
      </c>
      <c r="Q62" s="3488"/>
      <c r="R62" s="3488"/>
      <c r="S62" s="3488"/>
      <c r="T62" s="3488"/>
      <c r="U62" s="3488"/>
      <c r="V62" s="3488"/>
      <c r="W62" s="3488"/>
      <c r="X62" s="3488"/>
      <c r="Y62" s="3488"/>
      <c r="Z62" s="3488"/>
      <c r="AA62" s="3488"/>
      <c r="AB62" s="3488"/>
      <c r="AC62" s="3488"/>
      <c r="AD62" s="3488"/>
      <c r="AE62" s="3488"/>
      <c r="AF62" s="3488"/>
      <c r="AG62" s="3501"/>
      <c r="AH62" s="3501"/>
      <c r="AI62" s="3501"/>
      <c r="AJ62" s="3501"/>
      <c r="AK62" s="3501"/>
      <c r="AL62" s="3501"/>
      <c r="AM62" s="3501"/>
      <c r="AN62" s="3501"/>
      <c r="AO62" s="3501"/>
      <c r="AP62" s="3501"/>
      <c r="AQ62" s="3486" t="s">
        <v>187</v>
      </c>
      <c r="AR62" s="3486"/>
      <c r="AS62" s="3486"/>
      <c r="AT62" s="3486"/>
      <c r="AU62" s="3486"/>
      <c r="AV62" s="3486"/>
      <c r="AW62" s="3486"/>
      <c r="AX62" s="3486"/>
      <c r="AY62" s="3486"/>
      <c r="AZ62" s="3486"/>
      <c r="BA62" s="3485" t="s">
        <v>183</v>
      </c>
      <c r="BB62" s="3485"/>
      <c r="BC62" s="3485"/>
    </row>
    <row r="63" spans="6:55" s="21" customFormat="1" ht="15.7">
      <c r="F63" s="190"/>
      <c r="G63" s="3455" t="s">
        <v>185</v>
      </c>
      <c r="H63" s="3455"/>
      <c r="I63" s="3455"/>
      <c r="J63" s="3455"/>
      <c r="K63" s="3455"/>
      <c r="L63" s="3455"/>
      <c r="M63" s="3455"/>
      <c r="N63" s="3455"/>
      <c r="O63" s="3455"/>
      <c r="P63" s="3488" t="s">
        <v>12</v>
      </c>
      <c r="Q63" s="3488"/>
      <c r="R63" s="3488"/>
      <c r="S63" s="3488"/>
      <c r="T63" s="3488"/>
      <c r="U63" s="3488"/>
      <c r="V63" s="3488"/>
      <c r="W63" s="3488"/>
      <c r="X63" s="3488"/>
      <c r="Y63" s="3488"/>
      <c r="Z63" s="3488"/>
      <c r="AA63" s="3488"/>
      <c r="AB63" s="3488"/>
      <c r="AC63" s="3488"/>
      <c r="AD63" s="3488"/>
      <c r="AE63" s="3488"/>
      <c r="AF63" s="3488"/>
      <c r="AG63" s="3501"/>
      <c r="AH63" s="3501"/>
      <c r="AI63" s="3501"/>
      <c r="AJ63" s="3501"/>
      <c r="AK63" s="3501"/>
      <c r="AL63" s="3501"/>
      <c r="AM63" s="3501"/>
      <c r="AN63" s="3501"/>
      <c r="AO63" s="3501"/>
      <c r="AP63" s="3501"/>
      <c r="AQ63" s="3486" t="s">
        <v>188</v>
      </c>
      <c r="AR63" s="3486"/>
      <c r="AS63" s="3486"/>
      <c r="AT63" s="3486"/>
      <c r="AU63" s="3486"/>
      <c r="AV63" s="3486"/>
      <c r="AW63" s="3486"/>
      <c r="AX63" s="3486"/>
      <c r="AY63" s="3486"/>
      <c r="AZ63" s="3486"/>
      <c r="BA63" s="3485" t="s">
        <v>183</v>
      </c>
      <c r="BB63" s="3485"/>
      <c r="BC63" s="3485"/>
    </row>
    <row r="64" spans="6:55" s="21" customFormat="1" ht="15.7">
      <c r="F64" s="190"/>
      <c r="G64" s="3455" t="s">
        <v>186</v>
      </c>
      <c r="H64" s="3455"/>
      <c r="I64" s="3455"/>
      <c r="J64" s="3455"/>
      <c r="K64" s="3455"/>
      <c r="L64" s="3455"/>
      <c r="M64" s="3455"/>
      <c r="N64" s="3455"/>
      <c r="O64" s="3455"/>
      <c r="P64" s="3488" t="s">
        <v>116</v>
      </c>
      <c r="Q64" s="3488"/>
      <c r="R64" s="3488"/>
      <c r="S64" s="3488"/>
      <c r="T64" s="3488"/>
      <c r="U64" s="3488"/>
      <c r="V64" s="3488"/>
      <c r="W64" s="3488"/>
      <c r="X64" s="3488"/>
      <c r="Y64" s="3488"/>
      <c r="Z64" s="3488"/>
      <c r="AA64" s="3488"/>
      <c r="AB64" s="3488"/>
      <c r="AC64" s="3488"/>
      <c r="AD64" s="3488"/>
      <c r="AE64" s="3488"/>
      <c r="AF64" s="3488"/>
      <c r="AG64" s="3501"/>
      <c r="AH64" s="3501"/>
      <c r="AI64" s="3501"/>
      <c r="AJ64" s="3501"/>
      <c r="AK64" s="3501"/>
      <c r="AL64" s="3501"/>
      <c r="AM64" s="3501"/>
      <c r="AN64" s="3501"/>
      <c r="AO64" s="3501"/>
      <c r="AP64" s="3501"/>
      <c r="AQ64" s="3492" t="s">
        <v>399</v>
      </c>
      <c r="AR64" s="3492"/>
      <c r="AS64" s="3492"/>
      <c r="AT64" s="3492"/>
      <c r="AU64" s="3492"/>
      <c r="AV64" s="3492"/>
      <c r="AW64" s="3492"/>
      <c r="AX64" s="3492"/>
      <c r="AY64" s="3492"/>
      <c r="AZ64" s="3492"/>
      <c r="BA64" s="3492"/>
      <c r="BB64" s="3492"/>
      <c r="BC64" s="3492"/>
    </row>
    <row r="65" spans="6:55" s="21" customFormat="1" ht="15.7">
      <c r="F65" s="190"/>
      <c r="G65" s="3455" t="s">
        <v>189</v>
      </c>
      <c r="H65" s="3455"/>
      <c r="I65" s="3455"/>
      <c r="J65" s="3455"/>
      <c r="K65" s="3455"/>
      <c r="L65" s="3455"/>
      <c r="M65" s="3455"/>
      <c r="N65" s="3455"/>
      <c r="O65" s="3455"/>
      <c r="P65" s="3488" t="s">
        <v>2</v>
      </c>
      <c r="Q65" s="3488"/>
      <c r="R65" s="3488"/>
      <c r="S65" s="3488"/>
      <c r="T65" s="3488"/>
      <c r="U65" s="3488"/>
      <c r="V65" s="3488"/>
      <c r="W65" s="3488"/>
      <c r="X65" s="3488"/>
      <c r="Y65" s="3488"/>
      <c r="Z65" s="3488"/>
      <c r="AA65" s="3488"/>
      <c r="AB65" s="3488"/>
      <c r="AC65" s="3488"/>
      <c r="AD65" s="3488"/>
      <c r="AE65" s="3488"/>
      <c r="AF65" s="3488"/>
      <c r="AG65" s="3501"/>
      <c r="AH65" s="3501"/>
      <c r="AI65" s="3501"/>
      <c r="AJ65" s="3501"/>
      <c r="AK65" s="3501"/>
      <c r="AL65" s="3501"/>
      <c r="AM65" s="3501"/>
      <c r="AN65" s="3501"/>
      <c r="AO65" s="3501"/>
      <c r="AP65" s="3501"/>
      <c r="AQ65" s="3486" t="s">
        <v>192</v>
      </c>
      <c r="AR65" s="3486"/>
      <c r="AS65" s="3486"/>
      <c r="AT65" s="3486"/>
      <c r="AU65" s="3486"/>
      <c r="AV65" s="3486"/>
      <c r="AW65" s="3486"/>
      <c r="AX65" s="3486"/>
      <c r="AY65" s="3486"/>
      <c r="AZ65" s="3486"/>
      <c r="BA65" s="3485" t="s">
        <v>183</v>
      </c>
      <c r="BB65" s="3485"/>
      <c r="BC65" s="3485"/>
    </row>
    <row r="66" spans="6:55" s="21" customFormat="1" ht="15.7">
      <c r="F66" s="190"/>
      <c r="G66" s="3455" t="s">
        <v>190</v>
      </c>
      <c r="H66" s="3455"/>
      <c r="I66" s="3455"/>
      <c r="J66" s="3455"/>
      <c r="K66" s="3455"/>
      <c r="L66" s="3455"/>
      <c r="M66" s="3455"/>
      <c r="N66" s="3455"/>
      <c r="O66" s="3455"/>
      <c r="P66" s="3488" t="s">
        <v>2</v>
      </c>
      <c r="Q66" s="3488"/>
      <c r="R66" s="3488"/>
      <c r="S66" s="3488"/>
      <c r="T66" s="3488"/>
      <c r="U66" s="3488"/>
      <c r="V66" s="3488"/>
      <c r="W66" s="3488"/>
      <c r="X66" s="3488"/>
      <c r="Y66" s="3488"/>
      <c r="Z66" s="3488"/>
      <c r="AA66" s="3488"/>
      <c r="AB66" s="3488"/>
      <c r="AC66" s="3488"/>
      <c r="AD66" s="3488"/>
      <c r="AE66" s="3488"/>
      <c r="AF66" s="3488"/>
      <c r="AG66" s="3501"/>
      <c r="AH66" s="3501"/>
      <c r="AI66" s="3501"/>
      <c r="AJ66" s="3501"/>
      <c r="AK66" s="3501"/>
      <c r="AL66" s="3501"/>
      <c r="AM66" s="3501"/>
      <c r="AN66" s="3501"/>
      <c r="AO66" s="3501"/>
      <c r="AP66" s="3501"/>
      <c r="AQ66" s="3486" t="s">
        <v>193</v>
      </c>
      <c r="AR66" s="3486"/>
      <c r="AS66" s="3486"/>
      <c r="AT66" s="3486"/>
      <c r="AU66" s="3486"/>
      <c r="AV66" s="3486"/>
      <c r="AW66" s="3486"/>
      <c r="AX66" s="3486"/>
      <c r="AY66" s="3486"/>
      <c r="AZ66" s="3486"/>
      <c r="BA66" s="3485" t="s">
        <v>183</v>
      </c>
      <c r="BB66" s="3485"/>
      <c r="BC66" s="3485"/>
    </row>
    <row r="67" spans="6:55" s="21" customFormat="1" ht="15.7">
      <c r="F67" s="190"/>
      <c r="G67" s="3455" t="s">
        <v>164</v>
      </c>
      <c r="H67" s="3455"/>
      <c r="I67" s="3455"/>
      <c r="J67" s="3455"/>
      <c r="K67" s="3455"/>
      <c r="L67" s="3455"/>
      <c r="M67" s="3455"/>
      <c r="N67" s="3455"/>
      <c r="O67" s="3455"/>
      <c r="P67" s="3488" t="s">
        <v>2</v>
      </c>
      <c r="Q67" s="3488"/>
      <c r="R67" s="3488"/>
      <c r="S67" s="3488"/>
      <c r="T67" s="3488"/>
      <c r="U67" s="3488"/>
      <c r="V67" s="3488"/>
      <c r="W67" s="3488"/>
      <c r="X67" s="3488"/>
      <c r="Y67" s="3488"/>
      <c r="Z67" s="3488"/>
      <c r="AA67" s="3488"/>
      <c r="AB67" s="3488"/>
      <c r="AC67" s="3488"/>
      <c r="AD67" s="3488"/>
      <c r="AE67" s="3488"/>
      <c r="AF67" s="3488"/>
      <c r="AG67" s="3501"/>
      <c r="AH67" s="3501"/>
      <c r="AI67" s="3501"/>
      <c r="AJ67" s="3501"/>
      <c r="AK67" s="3501"/>
      <c r="AL67" s="3501"/>
      <c r="AM67" s="3501"/>
      <c r="AN67" s="3501"/>
      <c r="AO67" s="3501"/>
      <c r="AP67" s="3501"/>
      <c r="AQ67" s="3486" t="s">
        <v>194</v>
      </c>
      <c r="AR67" s="3486"/>
      <c r="AS67" s="3486"/>
      <c r="AT67" s="3486"/>
      <c r="AU67" s="3486"/>
      <c r="AV67" s="3486"/>
      <c r="AW67" s="3486"/>
      <c r="AX67" s="3486"/>
      <c r="AY67" s="3486"/>
      <c r="AZ67" s="3486"/>
      <c r="BA67" s="3485" t="s">
        <v>183</v>
      </c>
      <c r="BB67" s="3485"/>
      <c r="BC67" s="3485"/>
    </row>
    <row r="68" spans="6:55" s="21" customFormat="1" ht="15.7">
      <c r="F68" s="190"/>
      <c r="G68" s="3455" t="s">
        <v>165</v>
      </c>
      <c r="H68" s="3455"/>
      <c r="I68" s="3455"/>
      <c r="J68" s="3455"/>
      <c r="K68" s="3455"/>
      <c r="L68" s="3455"/>
      <c r="M68" s="3455"/>
      <c r="N68" s="3455"/>
      <c r="O68" s="3455"/>
      <c r="P68" s="3488" t="s">
        <v>2</v>
      </c>
      <c r="Q68" s="3488"/>
      <c r="R68" s="3488"/>
      <c r="S68" s="3488"/>
      <c r="T68" s="3488"/>
      <c r="U68" s="3488"/>
      <c r="V68" s="3488"/>
      <c r="W68" s="3488"/>
      <c r="X68" s="3488"/>
      <c r="Y68" s="3488"/>
      <c r="Z68" s="3488"/>
      <c r="AA68" s="3488"/>
      <c r="AB68" s="3488"/>
      <c r="AC68" s="3488"/>
      <c r="AD68" s="3488"/>
      <c r="AE68" s="3488"/>
      <c r="AF68" s="3488"/>
      <c r="AG68" s="3501"/>
      <c r="AH68" s="3501"/>
      <c r="AI68" s="3501"/>
      <c r="AJ68" s="3501"/>
      <c r="AK68" s="3501"/>
      <c r="AL68" s="3501"/>
      <c r="AM68" s="3501"/>
      <c r="AN68" s="3501"/>
      <c r="AO68" s="3501"/>
      <c r="AP68" s="3501"/>
      <c r="AQ68" s="3486" t="s">
        <v>196</v>
      </c>
      <c r="AR68" s="3486"/>
      <c r="AS68" s="3486"/>
      <c r="AT68" s="3486"/>
      <c r="AU68" s="3486"/>
      <c r="AV68" s="3486"/>
      <c r="AW68" s="3486"/>
      <c r="AX68" s="3486"/>
      <c r="AY68" s="3486"/>
      <c r="AZ68" s="3486"/>
      <c r="BA68" s="3485" t="s">
        <v>183</v>
      </c>
      <c r="BB68" s="3485"/>
      <c r="BC68" s="3485"/>
    </row>
    <row r="69" spans="6:55" s="21" customFormat="1" ht="15.7">
      <c r="F69" s="190"/>
      <c r="G69" s="3455" t="s">
        <v>120</v>
      </c>
      <c r="H69" s="3455"/>
      <c r="I69" s="3455"/>
      <c r="J69" s="3455"/>
      <c r="K69" s="3455"/>
      <c r="L69" s="3455"/>
      <c r="M69" s="3455"/>
      <c r="N69" s="3455"/>
      <c r="O69" s="3455"/>
      <c r="P69" s="3488" t="s">
        <v>2</v>
      </c>
      <c r="Q69" s="3488"/>
      <c r="R69" s="3488"/>
      <c r="S69" s="3488"/>
      <c r="T69" s="3488"/>
      <c r="U69" s="3488"/>
      <c r="V69" s="3488"/>
      <c r="W69" s="3488"/>
      <c r="X69" s="3488"/>
      <c r="Y69" s="3488"/>
      <c r="Z69" s="3488"/>
      <c r="AA69" s="3488"/>
      <c r="AB69" s="3488"/>
      <c r="AC69" s="3488"/>
      <c r="AD69" s="3488"/>
      <c r="AE69" s="3488"/>
      <c r="AF69" s="3488"/>
      <c r="AG69" s="3501"/>
      <c r="AH69" s="3501"/>
      <c r="AI69" s="3501"/>
      <c r="AJ69" s="3501"/>
      <c r="AK69" s="3501"/>
      <c r="AL69" s="3501"/>
      <c r="AM69" s="3501"/>
      <c r="AN69" s="3501"/>
      <c r="AO69" s="3501"/>
      <c r="AP69" s="3501"/>
      <c r="AQ69" s="3486" t="s">
        <v>197</v>
      </c>
      <c r="AR69" s="3486"/>
      <c r="AS69" s="3486"/>
      <c r="AT69" s="3486"/>
      <c r="AU69" s="3486"/>
      <c r="AV69" s="3486"/>
      <c r="AW69" s="3486"/>
      <c r="AX69" s="3486"/>
      <c r="AY69" s="3486"/>
      <c r="AZ69" s="3486"/>
      <c r="BA69" s="3485" t="s">
        <v>183</v>
      </c>
      <c r="BB69" s="3485"/>
      <c r="BC69" s="3485"/>
    </row>
    <row r="70" spans="6:55" s="21" customFormat="1" ht="15.7">
      <c r="F70" s="190"/>
      <c r="G70" s="3455" t="s">
        <v>170</v>
      </c>
      <c r="H70" s="3455"/>
      <c r="I70" s="3455"/>
      <c r="J70" s="3455"/>
      <c r="K70" s="3455"/>
      <c r="L70" s="3455"/>
      <c r="M70" s="3455"/>
      <c r="N70" s="3455"/>
      <c r="O70" s="3455"/>
      <c r="P70" s="3488" t="s">
        <v>191</v>
      </c>
      <c r="Q70" s="3488"/>
      <c r="R70" s="3488"/>
      <c r="S70" s="3488"/>
      <c r="T70" s="3488"/>
      <c r="U70" s="3488"/>
      <c r="V70" s="3488"/>
      <c r="W70" s="3488"/>
      <c r="X70" s="3488"/>
      <c r="Y70" s="3488"/>
      <c r="Z70" s="3488"/>
      <c r="AA70" s="3488"/>
      <c r="AB70" s="3488"/>
      <c r="AC70" s="3488"/>
      <c r="AD70" s="3488"/>
      <c r="AE70" s="3488"/>
      <c r="AF70" s="3488"/>
      <c r="AG70" s="3501"/>
      <c r="AH70" s="3501"/>
      <c r="AI70" s="3501"/>
      <c r="AJ70" s="3501"/>
      <c r="AK70" s="3501"/>
      <c r="AL70" s="3501"/>
      <c r="AM70" s="3501"/>
      <c r="AN70" s="3501"/>
      <c r="AO70" s="3501"/>
      <c r="AP70" s="3501"/>
      <c r="AQ70" s="3492" t="s">
        <v>400</v>
      </c>
      <c r="AR70" s="3492"/>
      <c r="AS70" s="3492"/>
      <c r="AT70" s="3492"/>
      <c r="AU70" s="3492"/>
      <c r="AV70" s="3492"/>
      <c r="AW70" s="3492"/>
      <c r="AX70" s="3492"/>
      <c r="AY70" s="3492"/>
      <c r="AZ70" s="3492"/>
      <c r="BA70" s="3492"/>
      <c r="BB70" s="3492"/>
      <c r="BC70" s="3492"/>
    </row>
    <row r="71" spans="6:55" s="21" customFormat="1" ht="15.7">
      <c r="F71" s="190"/>
      <c r="G71" s="3455" t="s">
        <v>195</v>
      </c>
      <c r="H71" s="3455"/>
      <c r="I71" s="3455"/>
      <c r="J71" s="3455"/>
      <c r="K71" s="3455"/>
      <c r="L71" s="3455"/>
      <c r="M71" s="3455"/>
      <c r="N71" s="3455"/>
      <c r="O71" s="3455"/>
      <c r="P71" s="3488" t="s">
        <v>2</v>
      </c>
      <c r="Q71" s="3488"/>
      <c r="R71" s="3488"/>
      <c r="S71" s="3488"/>
      <c r="T71" s="3488"/>
      <c r="U71" s="3488"/>
      <c r="V71" s="3488"/>
      <c r="W71" s="3488"/>
      <c r="X71" s="3488"/>
      <c r="Y71" s="3488"/>
      <c r="Z71" s="3488"/>
      <c r="AA71" s="3488"/>
      <c r="AB71" s="3488"/>
      <c r="AC71" s="3488"/>
      <c r="AD71" s="3488"/>
      <c r="AE71" s="3488"/>
      <c r="AF71" s="3488"/>
      <c r="AG71" s="3501"/>
      <c r="AH71" s="3501"/>
      <c r="AI71" s="3501"/>
      <c r="AJ71" s="3501"/>
      <c r="AK71" s="3501"/>
      <c r="AL71" s="3501"/>
      <c r="AM71" s="3501"/>
      <c r="AN71" s="3501"/>
      <c r="AO71" s="3501"/>
      <c r="AP71" s="3501"/>
      <c r="AQ71" s="3486" t="s">
        <v>201</v>
      </c>
      <c r="AR71" s="3486"/>
      <c r="AS71" s="3486"/>
      <c r="AT71" s="3486"/>
      <c r="AU71" s="3486"/>
      <c r="AV71" s="3486"/>
      <c r="AW71" s="3486"/>
      <c r="AX71" s="3486"/>
      <c r="AY71" s="3486"/>
      <c r="AZ71" s="3486"/>
      <c r="BA71" s="3485" t="s">
        <v>183</v>
      </c>
      <c r="BB71" s="3485"/>
      <c r="BC71" s="3485"/>
    </row>
    <row r="72" spans="6:55" s="21" customFormat="1" ht="15.7">
      <c r="F72" s="190"/>
      <c r="G72" s="3455" t="s">
        <v>198</v>
      </c>
      <c r="H72" s="3455"/>
      <c r="I72" s="3455"/>
      <c r="J72" s="3455"/>
      <c r="K72" s="3455"/>
      <c r="L72" s="3455"/>
      <c r="M72" s="3455"/>
      <c r="N72" s="3455"/>
      <c r="O72" s="3455"/>
      <c r="P72" s="3488" t="s">
        <v>2</v>
      </c>
      <c r="Q72" s="3488"/>
      <c r="R72" s="3488"/>
      <c r="S72" s="3488"/>
      <c r="T72" s="3488"/>
      <c r="U72" s="3488"/>
      <c r="V72" s="3488"/>
      <c r="W72" s="3488"/>
      <c r="X72" s="3488"/>
      <c r="Y72" s="3488"/>
      <c r="Z72" s="3488"/>
      <c r="AA72" s="3488"/>
      <c r="AB72" s="3488"/>
      <c r="AC72" s="3488"/>
      <c r="AD72" s="3488"/>
      <c r="AE72" s="3488"/>
      <c r="AF72" s="3488"/>
      <c r="AG72" s="3501"/>
      <c r="AH72" s="3501"/>
      <c r="AI72" s="3501"/>
      <c r="AJ72" s="3501"/>
      <c r="AK72" s="3501"/>
      <c r="AL72" s="3501"/>
      <c r="AM72" s="3501"/>
      <c r="AN72" s="3501"/>
      <c r="AO72" s="3501"/>
      <c r="AP72" s="3501"/>
      <c r="AQ72" s="3486" t="s">
        <v>203</v>
      </c>
      <c r="AR72" s="3486"/>
      <c r="AS72" s="3486"/>
      <c r="AT72" s="3486"/>
      <c r="AU72" s="3486"/>
      <c r="AV72" s="3486"/>
      <c r="AW72" s="3486"/>
      <c r="AX72" s="3486"/>
      <c r="AY72" s="3486"/>
      <c r="AZ72" s="3486"/>
      <c r="BA72" s="3485" t="s">
        <v>183</v>
      </c>
      <c r="BB72" s="3485"/>
      <c r="BC72" s="3485"/>
    </row>
    <row r="73" spans="6:55" s="21" customFormat="1" ht="15.7">
      <c r="F73" s="190"/>
      <c r="G73" s="3455" t="s">
        <v>199</v>
      </c>
      <c r="H73" s="3455"/>
      <c r="I73" s="3455"/>
      <c r="J73" s="3455"/>
      <c r="K73" s="3455"/>
      <c r="L73" s="3455"/>
      <c r="M73" s="3455"/>
      <c r="N73" s="3455"/>
      <c r="O73" s="3455"/>
      <c r="P73" s="3488" t="s">
        <v>2</v>
      </c>
      <c r="Q73" s="3488"/>
      <c r="R73" s="3488"/>
      <c r="S73" s="3488"/>
      <c r="T73" s="3488"/>
      <c r="U73" s="3488"/>
      <c r="V73" s="3488"/>
      <c r="W73" s="3488"/>
      <c r="X73" s="3488"/>
      <c r="Y73" s="3488"/>
      <c r="Z73" s="3488"/>
      <c r="AA73" s="3488"/>
      <c r="AB73" s="3488"/>
      <c r="AC73" s="3488"/>
      <c r="AD73" s="3488"/>
      <c r="AE73" s="3488"/>
      <c r="AF73" s="3488"/>
      <c r="AG73" s="3501"/>
      <c r="AH73" s="3501"/>
      <c r="AI73" s="3501"/>
      <c r="AJ73" s="3501"/>
      <c r="AK73" s="3501"/>
      <c r="AL73" s="3501"/>
      <c r="AM73" s="3501"/>
      <c r="AN73" s="3501"/>
      <c r="AO73" s="3501"/>
      <c r="AP73" s="3501"/>
      <c r="AQ73" s="3486" t="s">
        <v>205</v>
      </c>
      <c r="AR73" s="3486"/>
      <c r="AS73" s="3486"/>
      <c r="AT73" s="3486"/>
      <c r="AU73" s="3486"/>
      <c r="AV73" s="3486"/>
      <c r="AW73" s="3486"/>
      <c r="AX73" s="3486"/>
      <c r="AY73" s="3486"/>
      <c r="AZ73" s="3486"/>
      <c r="BA73" s="3485" t="s">
        <v>183</v>
      </c>
      <c r="BB73" s="3485"/>
      <c r="BC73" s="3485"/>
    </row>
    <row r="74" spans="6:55" s="21" customFormat="1" ht="15.7">
      <c r="F74" s="190"/>
      <c r="G74" s="3455" t="s">
        <v>200</v>
      </c>
      <c r="H74" s="3455"/>
      <c r="I74" s="3455"/>
      <c r="J74" s="3455"/>
      <c r="K74" s="3455"/>
      <c r="L74" s="3455"/>
      <c r="M74" s="3455"/>
      <c r="N74" s="3455"/>
      <c r="O74" s="3455"/>
      <c r="P74" s="3488" t="s">
        <v>2</v>
      </c>
      <c r="Q74" s="3488"/>
      <c r="R74" s="3488"/>
      <c r="S74" s="3488"/>
      <c r="T74" s="3488"/>
      <c r="U74" s="3488"/>
      <c r="V74" s="3488"/>
      <c r="W74" s="3488"/>
      <c r="X74" s="3488"/>
      <c r="Y74" s="3488"/>
      <c r="Z74" s="3488"/>
      <c r="AA74" s="3488"/>
      <c r="AB74" s="3488"/>
      <c r="AC74" s="3488"/>
      <c r="AD74" s="3488"/>
      <c r="AE74" s="3488"/>
      <c r="AF74" s="3488"/>
      <c r="AG74" s="3501"/>
      <c r="AH74" s="3501"/>
      <c r="AI74" s="3501"/>
      <c r="AJ74" s="3501"/>
      <c r="AK74" s="3501"/>
      <c r="AL74" s="3501"/>
      <c r="AM74" s="3501"/>
      <c r="AN74" s="3501"/>
      <c r="AO74" s="3501"/>
      <c r="AP74" s="3501"/>
      <c r="AQ74" s="3486" t="s">
        <v>206</v>
      </c>
      <c r="AR74" s="3486"/>
      <c r="AS74" s="3486"/>
      <c r="AT74" s="3486"/>
      <c r="AU74" s="3486"/>
      <c r="AV74" s="3486"/>
      <c r="AW74" s="3486"/>
      <c r="AX74" s="3486"/>
      <c r="AY74" s="3486"/>
      <c r="AZ74" s="3486"/>
      <c r="BA74" s="3485" t="s">
        <v>183</v>
      </c>
      <c r="BB74" s="3485"/>
      <c r="BC74" s="3485"/>
    </row>
    <row r="75" spans="6:55" s="21" customFormat="1" ht="15.7">
      <c r="F75" s="190"/>
      <c r="G75" s="3455" t="s">
        <v>202</v>
      </c>
      <c r="H75" s="3455"/>
      <c r="I75" s="3455"/>
      <c r="J75" s="3455"/>
      <c r="K75" s="3455"/>
      <c r="L75" s="3455"/>
      <c r="M75" s="3455"/>
      <c r="N75" s="3455"/>
      <c r="O75" s="3455"/>
      <c r="P75" s="3488" t="s">
        <v>2</v>
      </c>
      <c r="Q75" s="3488"/>
      <c r="R75" s="3488"/>
      <c r="S75" s="3488"/>
      <c r="T75" s="3488"/>
      <c r="U75" s="3488"/>
      <c r="V75" s="3488"/>
      <c r="W75" s="3488"/>
      <c r="X75" s="3488"/>
      <c r="Y75" s="3488"/>
      <c r="Z75" s="3488"/>
      <c r="AA75" s="3488"/>
      <c r="AB75" s="3488"/>
      <c r="AC75" s="3488"/>
      <c r="AD75" s="3488"/>
      <c r="AE75" s="3488"/>
      <c r="AF75" s="3488"/>
      <c r="AG75" s="3501"/>
      <c r="AH75" s="3501"/>
      <c r="AI75" s="3501"/>
      <c r="AJ75" s="3501"/>
      <c r="AK75" s="3501"/>
      <c r="AL75" s="3501"/>
      <c r="AM75" s="3501"/>
      <c r="AN75" s="3501"/>
      <c r="AO75" s="3501"/>
      <c r="AP75" s="3501"/>
      <c r="AQ75" s="3494" t="s">
        <v>150</v>
      </c>
      <c r="AR75" s="3494"/>
      <c r="AS75" s="3494"/>
      <c r="AT75" s="3494"/>
      <c r="AU75" s="3494"/>
      <c r="AV75" s="3494"/>
      <c r="AW75" s="3494"/>
      <c r="AX75" s="3494"/>
      <c r="AY75" s="3494"/>
      <c r="AZ75" s="3494"/>
      <c r="BA75" s="3494"/>
      <c r="BB75" s="3494"/>
      <c r="BC75" s="3494"/>
    </row>
    <row r="76" spans="6:55" s="21" customFormat="1" ht="15.7">
      <c r="F76" s="190"/>
      <c r="G76" s="3455" t="s">
        <v>204</v>
      </c>
      <c r="H76" s="3455"/>
      <c r="I76" s="3455"/>
      <c r="J76" s="3455"/>
      <c r="K76" s="3455"/>
      <c r="L76" s="3455"/>
      <c r="M76" s="3455"/>
      <c r="N76" s="3455"/>
      <c r="O76" s="3455"/>
      <c r="P76" s="3488" t="s">
        <v>2</v>
      </c>
      <c r="Q76" s="3488"/>
      <c r="R76" s="3488"/>
      <c r="S76" s="3488"/>
      <c r="T76" s="3488"/>
      <c r="U76" s="3488"/>
      <c r="V76" s="3488"/>
      <c r="W76" s="3488"/>
      <c r="X76" s="3488"/>
      <c r="Y76" s="3488"/>
      <c r="Z76" s="3488"/>
      <c r="AA76" s="3488"/>
      <c r="AB76" s="3488"/>
      <c r="AC76" s="3488"/>
      <c r="AD76" s="3488"/>
      <c r="AE76" s="3488"/>
      <c r="AF76" s="3488"/>
      <c r="AG76" s="3501"/>
      <c r="AH76" s="3501"/>
      <c r="AI76" s="3501"/>
      <c r="AJ76" s="3501"/>
      <c r="AK76" s="3501"/>
      <c r="AL76" s="3501"/>
      <c r="AM76" s="3501"/>
      <c r="AN76" s="3501"/>
      <c r="AO76" s="3501"/>
      <c r="AP76" s="3501"/>
      <c r="AQ76" s="3494"/>
      <c r="AR76" s="3494"/>
      <c r="AS76" s="3494"/>
      <c r="AT76" s="3494"/>
      <c r="AU76" s="3494"/>
      <c r="AV76" s="3494"/>
      <c r="AW76" s="3494"/>
      <c r="AX76" s="3494"/>
      <c r="AY76" s="3494"/>
      <c r="AZ76" s="3494"/>
      <c r="BA76" s="3494"/>
      <c r="BB76" s="3494"/>
      <c r="BC76" s="3494"/>
    </row>
    <row r="77" spans="6:55" s="21" customFormat="1" ht="15.7">
      <c r="F77" s="190"/>
      <c r="G77" s="3455" t="s">
        <v>207</v>
      </c>
      <c r="H77" s="3455"/>
      <c r="I77" s="3455"/>
      <c r="J77" s="3455"/>
      <c r="K77" s="3455"/>
      <c r="L77" s="3455"/>
      <c r="M77" s="3455"/>
      <c r="N77" s="3455"/>
      <c r="O77" s="3455"/>
      <c r="P77" s="3488" t="s">
        <v>2</v>
      </c>
      <c r="Q77" s="3488"/>
      <c r="R77" s="3488"/>
      <c r="S77" s="3488"/>
      <c r="T77" s="3488"/>
      <c r="U77" s="3488"/>
      <c r="V77" s="3488"/>
      <c r="W77" s="3488"/>
      <c r="X77" s="3488"/>
      <c r="Y77" s="3488"/>
      <c r="Z77" s="3488"/>
      <c r="AA77" s="3488"/>
      <c r="AB77" s="3488"/>
      <c r="AC77" s="3488"/>
      <c r="AD77" s="3488"/>
      <c r="AE77" s="3488"/>
      <c r="AF77" s="3488"/>
      <c r="AG77" s="3501"/>
      <c r="AH77" s="3501"/>
      <c r="AI77" s="3501"/>
      <c r="AJ77" s="3501"/>
      <c r="AK77" s="3501"/>
      <c r="AL77" s="3501"/>
      <c r="AM77" s="3501"/>
      <c r="AN77" s="3501"/>
      <c r="AO77" s="3501"/>
      <c r="AP77" s="3501"/>
      <c r="AQ77" s="3494"/>
      <c r="AR77" s="3494"/>
      <c r="AS77" s="3494"/>
      <c r="AT77" s="3494"/>
      <c r="AU77" s="3494"/>
      <c r="AV77" s="3494"/>
      <c r="AW77" s="3494"/>
      <c r="AX77" s="3494"/>
      <c r="AY77" s="3494"/>
      <c r="AZ77" s="3494"/>
      <c r="BA77" s="3494"/>
      <c r="BB77" s="3494"/>
      <c r="BC77" s="3494"/>
    </row>
    <row r="78" spans="6:55" ht="21.6" customHeight="1">
      <c r="G78" s="3487" t="s">
        <v>1540</v>
      </c>
      <c r="H78" s="3487"/>
      <c r="I78" s="3487"/>
      <c r="J78" s="3487"/>
      <c r="K78" s="3487"/>
      <c r="L78" s="3487"/>
      <c r="M78" s="3487"/>
      <c r="N78" s="3487"/>
      <c r="O78" s="3487"/>
      <c r="P78" s="3487"/>
      <c r="Q78" s="3487"/>
      <c r="R78" s="3487"/>
      <c r="S78" s="3487"/>
      <c r="T78" s="3487"/>
      <c r="U78" s="3487"/>
      <c r="V78" s="3487"/>
      <c r="W78" s="3487"/>
      <c r="X78" s="3487"/>
      <c r="Y78" s="3487"/>
      <c r="Z78" s="3487"/>
      <c r="AA78" s="3487"/>
      <c r="AB78" s="3487"/>
      <c r="AC78" s="3487"/>
      <c r="AD78" s="3487"/>
      <c r="AE78" s="3487"/>
      <c r="AF78" s="3487"/>
      <c r="AG78" s="3487"/>
      <c r="AH78" s="3487"/>
      <c r="AI78" s="3487"/>
      <c r="AJ78" s="3487"/>
      <c r="AK78" s="3487"/>
      <c r="AL78" s="3487"/>
      <c r="AM78" s="3487"/>
      <c r="AN78" s="3487"/>
      <c r="AO78" s="3487"/>
      <c r="AP78" s="3487"/>
      <c r="AQ78" s="3487"/>
      <c r="AR78" s="3487"/>
      <c r="AS78" s="3487"/>
      <c r="AT78" s="3487"/>
      <c r="AU78" s="3487"/>
      <c r="AV78" s="3487"/>
      <c r="AW78" s="3487"/>
      <c r="AX78" s="3487"/>
      <c r="AY78" s="3487"/>
      <c r="AZ78" s="3487"/>
      <c r="BA78" s="3487"/>
      <c r="BB78" s="3487"/>
      <c r="BC78" s="3487"/>
    </row>
    <row r="79" spans="6:55" s="768" customFormat="1" ht="21" customHeight="1">
      <c r="G79" s="3455" t="s">
        <v>97</v>
      </c>
      <c r="H79" s="3455"/>
      <c r="I79" s="3455"/>
      <c r="J79" s="3455"/>
      <c r="K79" s="3455"/>
      <c r="L79" s="3455"/>
      <c r="M79" s="3455"/>
      <c r="N79" s="3455"/>
      <c r="O79" s="3455"/>
      <c r="P79" s="3455"/>
      <c r="Q79" s="3455"/>
      <c r="R79" s="3455"/>
      <c r="S79" s="3455"/>
      <c r="T79" s="3455"/>
      <c r="U79" s="3469">
        <f>'ANALYSIS DATABASE'!C75</f>
        <v>0</v>
      </c>
      <c r="V79" s="3469"/>
      <c r="W79" s="3469"/>
      <c r="X79" s="3469"/>
      <c r="Y79" s="3469"/>
      <c r="Z79" s="3469"/>
      <c r="AA79" s="3469"/>
      <c r="AB79" s="3453"/>
      <c r="AC79" s="3453"/>
      <c r="AD79" s="3453"/>
      <c r="AE79" s="3453"/>
      <c r="AF79" s="3453"/>
      <c r="AG79" s="3453"/>
      <c r="AH79" s="3453"/>
      <c r="AI79" s="3453">
        <f>IF(AB79=0,U79,U79+AB79)</f>
        <v>0</v>
      </c>
      <c r="AJ79" s="3453"/>
      <c r="AK79" s="3453"/>
      <c r="AL79" s="3453"/>
      <c r="AM79" s="3453"/>
      <c r="AN79" s="3453"/>
      <c r="AO79" s="3453"/>
      <c r="AP79" s="3453"/>
      <c r="AQ79" s="3446"/>
      <c r="AR79" s="3446"/>
      <c r="AS79" s="3446"/>
      <c r="AT79" s="3446"/>
      <c r="AU79" s="3446"/>
      <c r="AV79" s="3446"/>
      <c r="AW79" s="3446"/>
      <c r="AX79" s="3446"/>
      <c r="AY79" s="3446"/>
      <c r="AZ79" s="3446"/>
      <c r="BA79" s="3446"/>
      <c r="BB79" s="3446"/>
      <c r="BC79" s="3446"/>
    </row>
    <row r="80" spans="6:55" s="768" customFormat="1" ht="21" customHeight="1">
      <c r="G80" s="3455" t="s">
        <v>99</v>
      </c>
      <c r="H80" s="3455"/>
      <c r="I80" s="3455"/>
      <c r="J80" s="3455"/>
      <c r="K80" s="3455"/>
      <c r="L80" s="3455"/>
      <c r="M80" s="3455"/>
      <c r="N80" s="3455"/>
      <c r="O80" s="3455"/>
      <c r="P80" s="3455"/>
      <c r="Q80" s="3455"/>
      <c r="R80" s="3455"/>
      <c r="S80" s="3455"/>
      <c r="T80" s="3455"/>
      <c r="U80" s="3469">
        <f>'ANALYSIS DATABASE'!C76</f>
        <v>0</v>
      </c>
      <c r="V80" s="3469"/>
      <c r="W80" s="3469"/>
      <c r="X80" s="3469"/>
      <c r="Y80" s="3469"/>
      <c r="Z80" s="3469"/>
      <c r="AA80" s="3469"/>
      <c r="AB80" s="3453"/>
      <c r="AC80" s="3453"/>
      <c r="AD80" s="3453"/>
      <c r="AE80" s="3453"/>
      <c r="AF80" s="3453"/>
      <c r="AG80" s="3453"/>
      <c r="AH80" s="3453"/>
      <c r="AI80" s="3453">
        <f>IF(AB80=0,U80,U80+AB80)</f>
        <v>0</v>
      </c>
      <c r="AJ80" s="3453"/>
      <c r="AK80" s="3453"/>
      <c r="AL80" s="3453"/>
      <c r="AM80" s="3453"/>
      <c r="AN80" s="3453"/>
      <c r="AO80" s="3453"/>
      <c r="AP80" s="3453"/>
      <c r="AQ80" s="3446"/>
      <c r="AR80" s="3446"/>
      <c r="AS80" s="3446"/>
      <c r="AT80" s="3446"/>
      <c r="AU80" s="3446"/>
      <c r="AV80" s="3446"/>
      <c r="AW80" s="3446"/>
      <c r="AX80" s="3446"/>
      <c r="AY80" s="3446"/>
      <c r="AZ80" s="3446"/>
      <c r="BA80" s="3446"/>
      <c r="BB80" s="3446"/>
      <c r="BC80" s="3446"/>
    </row>
    <row r="81" spans="7:55" s="768" customFormat="1" ht="21" customHeight="1">
      <c r="G81" s="3455" t="s">
        <v>208</v>
      </c>
      <c r="H81" s="3455"/>
      <c r="I81" s="3455"/>
      <c r="J81" s="3455"/>
      <c r="K81" s="3455"/>
      <c r="L81" s="3455"/>
      <c r="M81" s="3455"/>
      <c r="N81" s="3455"/>
      <c r="O81" s="3455"/>
      <c r="P81" s="3455"/>
      <c r="Q81" s="3455"/>
      <c r="R81" s="3455"/>
      <c r="S81" s="3455"/>
      <c r="T81" s="3455"/>
      <c r="U81" s="3469">
        <f>'ANALYSIS DATABASE'!C77</f>
        <v>0</v>
      </c>
      <c r="V81" s="3469"/>
      <c r="W81" s="3469"/>
      <c r="X81" s="3469"/>
      <c r="Y81" s="3469"/>
      <c r="Z81" s="3469"/>
      <c r="AA81" s="3469"/>
      <c r="AB81" s="3453"/>
      <c r="AC81" s="3453"/>
      <c r="AD81" s="3453"/>
      <c r="AE81" s="3453"/>
      <c r="AF81" s="3453"/>
      <c r="AG81" s="3453"/>
      <c r="AH81" s="3453"/>
      <c r="AI81" s="3453">
        <f>IF(AB81=0,U81,U81+AB81)</f>
        <v>0</v>
      </c>
      <c r="AJ81" s="3453"/>
      <c r="AK81" s="3453"/>
      <c r="AL81" s="3453"/>
      <c r="AM81" s="3453"/>
      <c r="AN81" s="3453"/>
      <c r="AO81" s="3453"/>
      <c r="AP81" s="3453"/>
      <c r="AQ81" s="3446"/>
      <c r="AR81" s="3446"/>
      <c r="AS81" s="3446"/>
      <c r="AT81" s="3446"/>
      <c r="AU81" s="3446"/>
      <c r="AV81" s="3446"/>
      <c r="AW81" s="3446"/>
      <c r="AX81" s="3446"/>
      <c r="AY81" s="3446"/>
      <c r="AZ81" s="3446"/>
      <c r="BA81" s="3446"/>
      <c r="BB81" s="3446"/>
      <c r="BC81" s="3446"/>
    </row>
    <row r="82" spans="7:55" s="768" customFormat="1" ht="21" customHeight="1">
      <c r="G82" s="3455" t="s">
        <v>213</v>
      </c>
      <c r="H82" s="3455"/>
      <c r="I82" s="3455"/>
      <c r="J82" s="3455"/>
      <c r="K82" s="3455"/>
      <c r="L82" s="3455"/>
      <c r="M82" s="3455"/>
      <c r="N82" s="3455"/>
      <c r="O82" s="3455"/>
      <c r="P82" s="3455"/>
      <c r="Q82" s="3455"/>
      <c r="R82" s="3455"/>
      <c r="S82" s="3455"/>
      <c r="T82" s="3455"/>
      <c r="U82" s="3469">
        <f>'ANALYSIS DATABASE'!C78</f>
        <v>0</v>
      </c>
      <c r="V82" s="3469"/>
      <c r="W82" s="3469"/>
      <c r="X82" s="3469"/>
      <c r="Y82" s="3469"/>
      <c r="Z82" s="3469"/>
      <c r="AA82" s="3469"/>
      <c r="AB82" s="3453"/>
      <c r="AC82" s="3453"/>
      <c r="AD82" s="3453"/>
      <c r="AE82" s="3453"/>
      <c r="AF82" s="3453"/>
      <c r="AG82" s="3453"/>
      <c r="AH82" s="3453"/>
      <c r="AI82" s="3453">
        <f t="shared" ref="AI82:AI102" si="0">IF(AB82=0,U82,U82+AB82)</f>
        <v>0</v>
      </c>
      <c r="AJ82" s="3453"/>
      <c r="AK82" s="3453"/>
      <c r="AL82" s="3453"/>
      <c r="AM82" s="3453"/>
      <c r="AN82" s="3453"/>
      <c r="AO82" s="3453"/>
      <c r="AP82" s="3453"/>
      <c r="AQ82" s="3446"/>
      <c r="AR82" s="3446"/>
      <c r="AS82" s="3446"/>
      <c r="AT82" s="3446"/>
      <c r="AU82" s="3446"/>
      <c r="AV82" s="3446"/>
      <c r="AW82" s="3446"/>
      <c r="AX82" s="3446"/>
      <c r="AY82" s="3446"/>
      <c r="AZ82" s="3446"/>
      <c r="BA82" s="3446"/>
      <c r="BB82" s="3446"/>
      <c r="BC82" s="3446"/>
    </row>
    <row r="83" spans="7:55" s="768" customFormat="1" ht="21" customHeight="1">
      <c r="G83" s="3455" t="s">
        <v>1</v>
      </c>
      <c r="H83" s="3455"/>
      <c r="I83" s="3455"/>
      <c r="J83" s="3455"/>
      <c r="K83" s="3455"/>
      <c r="L83" s="3455"/>
      <c r="M83" s="3455"/>
      <c r="N83" s="3455"/>
      <c r="O83" s="3455"/>
      <c r="P83" s="3455"/>
      <c r="Q83" s="3455"/>
      <c r="R83" s="3455"/>
      <c r="S83" s="3455"/>
      <c r="T83" s="3455"/>
      <c r="U83" s="3469">
        <f>'ANALYSIS DATABASE'!C79</f>
        <v>0</v>
      </c>
      <c r="V83" s="3469"/>
      <c r="W83" s="3469"/>
      <c r="X83" s="3469"/>
      <c r="Y83" s="3469"/>
      <c r="Z83" s="3469"/>
      <c r="AA83" s="3469"/>
      <c r="AB83" s="3453"/>
      <c r="AC83" s="3453"/>
      <c r="AD83" s="3453"/>
      <c r="AE83" s="3453"/>
      <c r="AF83" s="3453"/>
      <c r="AG83" s="3453"/>
      <c r="AH83" s="3453"/>
      <c r="AI83" s="3453">
        <f t="shared" si="0"/>
        <v>0</v>
      </c>
      <c r="AJ83" s="3453"/>
      <c r="AK83" s="3453"/>
      <c r="AL83" s="3453"/>
      <c r="AM83" s="3453"/>
      <c r="AN83" s="3453"/>
      <c r="AO83" s="3453"/>
      <c r="AP83" s="3453"/>
      <c r="AQ83" s="3446"/>
      <c r="AR83" s="3446"/>
      <c r="AS83" s="3446"/>
      <c r="AT83" s="3446"/>
      <c r="AU83" s="3446"/>
      <c r="AV83" s="3446"/>
      <c r="AW83" s="3446"/>
      <c r="AX83" s="3446"/>
      <c r="AY83" s="3446"/>
      <c r="AZ83" s="3446"/>
      <c r="BA83" s="3446"/>
      <c r="BB83" s="3446"/>
      <c r="BC83" s="3446"/>
    </row>
    <row r="84" spans="7:55" s="768" customFormat="1" ht="21" customHeight="1">
      <c r="G84" s="3455" t="s">
        <v>13</v>
      </c>
      <c r="H84" s="3455"/>
      <c r="I84" s="3455"/>
      <c r="J84" s="3455"/>
      <c r="K84" s="3455"/>
      <c r="L84" s="3455"/>
      <c r="M84" s="3455"/>
      <c r="N84" s="3455"/>
      <c r="O84" s="3455"/>
      <c r="P84" s="3455"/>
      <c r="Q84" s="3455"/>
      <c r="R84" s="3455"/>
      <c r="S84" s="3455"/>
      <c r="T84" s="3455"/>
      <c r="U84" s="3469">
        <f>'ANALYSIS DATABASE'!C80</f>
        <v>0</v>
      </c>
      <c r="V84" s="3469"/>
      <c r="W84" s="3469"/>
      <c r="X84" s="3469"/>
      <c r="Y84" s="3469"/>
      <c r="Z84" s="3469"/>
      <c r="AA84" s="3469"/>
      <c r="AB84" s="3453"/>
      <c r="AC84" s="3453"/>
      <c r="AD84" s="3453"/>
      <c r="AE84" s="3453"/>
      <c r="AF84" s="3453"/>
      <c r="AG84" s="3453"/>
      <c r="AH84" s="3453"/>
      <c r="AI84" s="3453">
        <f t="shared" si="0"/>
        <v>0</v>
      </c>
      <c r="AJ84" s="3453"/>
      <c r="AK84" s="3453"/>
      <c r="AL84" s="3453"/>
      <c r="AM84" s="3453"/>
      <c r="AN84" s="3453"/>
      <c r="AO84" s="3453"/>
      <c r="AP84" s="3453"/>
      <c r="AQ84" s="3446"/>
      <c r="AR84" s="3446"/>
      <c r="AS84" s="3446"/>
      <c r="AT84" s="3446"/>
      <c r="AU84" s="3446"/>
      <c r="AV84" s="3446"/>
      <c r="AW84" s="3446"/>
      <c r="AX84" s="3446"/>
      <c r="AY84" s="3446"/>
      <c r="AZ84" s="3446"/>
      <c r="BA84" s="3446"/>
      <c r="BB84" s="3446"/>
      <c r="BC84" s="3446"/>
    </row>
    <row r="85" spans="7:55" s="768" customFormat="1" ht="21" customHeight="1">
      <c r="G85" s="3455" t="s">
        <v>271</v>
      </c>
      <c r="H85" s="3455"/>
      <c r="I85" s="3455"/>
      <c r="J85" s="3455"/>
      <c r="K85" s="3455"/>
      <c r="L85" s="3455"/>
      <c r="M85" s="3455"/>
      <c r="N85" s="3455"/>
      <c r="O85" s="3455"/>
      <c r="P85" s="3455"/>
      <c r="Q85" s="3455"/>
      <c r="R85" s="3455"/>
      <c r="S85" s="3455"/>
      <c r="T85" s="3455"/>
      <c r="U85" s="3469">
        <f>'ANALYSIS DATABASE'!C81</f>
        <v>0</v>
      </c>
      <c r="V85" s="3469"/>
      <c r="W85" s="3469"/>
      <c r="X85" s="3469"/>
      <c r="Y85" s="3469"/>
      <c r="Z85" s="3469"/>
      <c r="AA85" s="3469"/>
      <c r="AB85" s="3453"/>
      <c r="AC85" s="3453"/>
      <c r="AD85" s="3453"/>
      <c r="AE85" s="3453"/>
      <c r="AF85" s="3453"/>
      <c r="AG85" s="3453"/>
      <c r="AH85" s="3453"/>
      <c r="AI85" s="3453">
        <f t="shared" si="0"/>
        <v>0</v>
      </c>
      <c r="AJ85" s="3453"/>
      <c r="AK85" s="3453"/>
      <c r="AL85" s="3453"/>
      <c r="AM85" s="3453"/>
      <c r="AN85" s="3453"/>
      <c r="AO85" s="3453"/>
      <c r="AP85" s="3453"/>
      <c r="AQ85" s="3446"/>
      <c r="AR85" s="3446"/>
      <c r="AS85" s="3446"/>
      <c r="AT85" s="3446"/>
      <c r="AU85" s="3446"/>
      <c r="AV85" s="3446"/>
      <c r="AW85" s="3446"/>
      <c r="AX85" s="3446"/>
      <c r="AY85" s="3446"/>
      <c r="AZ85" s="3446"/>
      <c r="BA85" s="3446"/>
      <c r="BB85" s="3446"/>
      <c r="BC85" s="3446"/>
    </row>
    <row r="86" spans="7:55" s="768" customFormat="1" ht="21" customHeight="1">
      <c r="G86" s="3455" t="s">
        <v>8</v>
      </c>
      <c r="H86" s="3455"/>
      <c r="I86" s="3455"/>
      <c r="J86" s="3455"/>
      <c r="K86" s="3455"/>
      <c r="L86" s="3455"/>
      <c r="M86" s="3455"/>
      <c r="N86" s="3455"/>
      <c r="O86" s="3455"/>
      <c r="P86" s="3455"/>
      <c r="Q86" s="3455"/>
      <c r="R86" s="3455"/>
      <c r="S86" s="3455"/>
      <c r="T86" s="3455"/>
      <c r="U86" s="3469">
        <f>'ANALYSIS DATABASE'!C82</f>
        <v>0</v>
      </c>
      <c r="V86" s="3469"/>
      <c r="W86" s="3469"/>
      <c r="X86" s="3469"/>
      <c r="Y86" s="3469"/>
      <c r="Z86" s="3469"/>
      <c r="AA86" s="3469"/>
      <c r="AB86" s="3453"/>
      <c r="AC86" s="3453"/>
      <c r="AD86" s="3453"/>
      <c r="AE86" s="3453"/>
      <c r="AF86" s="3453"/>
      <c r="AG86" s="3453"/>
      <c r="AH86" s="3453"/>
      <c r="AI86" s="3453">
        <f t="shared" si="0"/>
        <v>0</v>
      </c>
      <c r="AJ86" s="3453"/>
      <c r="AK86" s="3453"/>
      <c r="AL86" s="3453"/>
      <c r="AM86" s="3453"/>
      <c r="AN86" s="3453"/>
      <c r="AO86" s="3453"/>
      <c r="AP86" s="3453"/>
      <c r="AQ86" s="3446"/>
      <c r="AR86" s="3446"/>
      <c r="AS86" s="3446"/>
      <c r="AT86" s="3446"/>
      <c r="AU86" s="3446"/>
      <c r="AV86" s="3446"/>
      <c r="AW86" s="3446"/>
      <c r="AX86" s="3446"/>
      <c r="AY86" s="3446"/>
      <c r="AZ86" s="3446"/>
      <c r="BA86" s="3446"/>
      <c r="BB86" s="3446"/>
      <c r="BC86" s="3446"/>
    </row>
    <row r="87" spans="7:55" s="768" customFormat="1" ht="21" customHeight="1">
      <c r="G87" s="3455" t="s">
        <v>98</v>
      </c>
      <c r="H87" s="3455"/>
      <c r="I87" s="3455"/>
      <c r="J87" s="3455"/>
      <c r="K87" s="3455"/>
      <c r="L87" s="3455"/>
      <c r="M87" s="3455"/>
      <c r="N87" s="3455"/>
      <c r="O87" s="3455"/>
      <c r="P87" s="3455"/>
      <c r="Q87" s="3455"/>
      <c r="R87" s="3455"/>
      <c r="S87" s="3455"/>
      <c r="T87" s="3455"/>
      <c r="U87" s="3469">
        <f>'ANALYSIS DATABASE'!C83</f>
        <v>0</v>
      </c>
      <c r="V87" s="3469"/>
      <c r="W87" s="3469"/>
      <c r="X87" s="3469"/>
      <c r="Y87" s="3469"/>
      <c r="Z87" s="3469"/>
      <c r="AA87" s="3469"/>
      <c r="AB87" s="3453"/>
      <c r="AC87" s="3453"/>
      <c r="AD87" s="3453"/>
      <c r="AE87" s="3453"/>
      <c r="AF87" s="3453"/>
      <c r="AG87" s="3453"/>
      <c r="AH87" s="3453"/>
      <c r="AI87" s="3453">
        <f t="shared" si="0"/>
        <v>0</v>
      </c>
      <c r="AJ87" s="3453"/>
      <c r="AK87" s="3453"/>
      <c r="AL87" s="3453"/>
      <c r="AM87" s="3453"/>
      <c r="AN87" s="3453"/>
      <c r="AO87" s="3453"/>
      <c r="AP87" s="3453"/>
      <c r="AQ87" s="3446"/>
      <c r="AR87" s="3446"/>
      <c r="AS87" s="3446"/>
      <c r="AT87" s="3446"/>
      <c r="AU87" s="3446"/>
      <c r="AV87" s="3446"/>
      <c r="AW87" s="3446"/>
      <c r="AX87" s="3446"/>
      <c r="AY87" s="3446"/>
      <c r="AZ87" s="3446"/>
      <c r="BA87" s="3446"/>
      <c r="BB87" s="3446"/>
      <c r="BC87" s="3446"/>
    </row>
    <row r="88" spans="7:55" s="768" customFormat="1" ht="21" customHeight="1">
      <c r="G88" s="3455" t="s">
        <v>130</v>
      </c>
      <c r="H88" s="3455"/>
      <c r="I88" s="3455"/>
      <c r="J88" s="3455"/>
      <c r="K88" s="3455"/>
      <c r="L88" s="3455"/>
      <c r="M88" s="3455"/>
      <c r="N88" s="3455"/>
      <c r="O88" s="3455"/>
      <c r="P88" s="3455"/>
      <c r="Q88" s="3455"/>
      <c r="R88" s="3455"/>
      <c r="S88" s="3455"/>
      <c r="T88" s="3455"/>
      <c r="U88" s="3469">
        <f>'ANALYSIS DATABASE'!C84</f>
        <v>0</v>
      </c>
      <c r="V88" s="3469"/>
      <c r="W88" s="3469"/>
      <c r="X88" s="3469"/>
      <c r="Y88" s="3469"/>
      <c r="Z88" s="3469"/>
      <c r="AA88" s="3469"/>
      <c r="AB88" s="3453"/>
      <c r="AC88" s="3453"/>
      <c r="AD88" s="3453"/>
      <c r="AE88" s="3453"/>
      <c r="AF88" s="3453"/>
      <c r="AG88" s="3453"/>
      <c r="AH88" s="3453"/>
      <c r="AI88" s="3453">
        <f t="shared" si="0"/>
        <v>0</v>
      </c>
      <c r="AJ88" s="3453"/>
      <c r="AK88" s="3453"/>
      <c r="AL88" s="3453"/>
      <c r="AM88" s="3453"/>
      <c r="AN88" s="3453"/>
      <c r="AO88" s="3453"/>
      <c r="AP88" s="3453"/>
      <c r="AQ88" s="3446"/>
      <c r="AR88" s="3446"/>
      <c r="AS88" s="3446"/>
      <c r="AT88" s="3446"/>
      <c r="AU88" s="3446"/>
      <c r="AV88" s="3446"/>
      <c r="AW88" s="3446"/>
      <c r="AX88" s="3446"/>
      <c r="AY88" s="3446"/>
      <c r="AZ88" s="3446"/>
      <c r="BA88" s="3446"/>
      <c r="BB88" s="3446"/>
      <c r="BC88" s="3446"/>
    </row>
    <row r="89" spans="7:55" s="768" customFormat="1" ht="21" customHeight="1">
      <c r="G89" s="3455" t="s">
        <v>217</v>
      </c>
      <c r="H89" s="3455"/>
      <c r="I89" s="3455"/>
      <c r="J89" s="3455"/>
      <c r="K89" s="3455"/>
      <c r="L89" s="3455"/>
      <c r="M89" s="3455"/>
      <c r="N89" s="3455"/>
      <c r="O89" s="3455"/>
      <c r="P89" s="3455"/>
      <c r="Q89" s="3455"/>
      <c r="R89" s="3455"/>
      <c r="S89" s="3455"/>
      <c r="T89" s="3455"/>
      <c r="U89" s="3469">
        <f>'ANALYSIS DATABASE'!C85</f>
        <v>0</v>
      </c>
      <c r="V89" s="3469"/>
      <c r="W89" s="3469"/>
      <c r="X89" s="3469"/>
      <c r="Y89" s="3469"/>
      <c r="Z89" s="3469"/>
      <c r="AA89" s="3469"/>
      <c r="AB89" s="3453"/>
      <c r="AC89" s="3453"/>
      <c r="AD89" s="3453"/>
      <c r="AE89" s="3453"/>
      <c r="AF89" s="3453"/>
      <c r="AG89" s="3453"/>
      <c r="AH89" s="3453"/>
      <c r="AI89" s="3453">
        <f t="shared" si="0"/>
        <v>0</v>
      </c>
      <c r="AJ89" s="3453"/>
      <c r="AK89" s="3453"/>
      <c r="AL89" s="3453"/>
      <c r="AM89" s="3453"/>
      <c r="AN89" s="3453"/>
      <c r="AO89" s="3453"/>
      <c r="AP89" s="3453"/>
      <c r="AQ89" s="3446"/>
      <c r="AR89" s="3446"/>
      <c r="AS89" s="3446"/>
      <c r="AT89" s="3446"/>
      <c r="AU89" s="3446"/>
      <c r="AV89" s="3446"/>
      <c r="AW89" s="3446"/>
      <c r="AX89" s="3446"/>
      <c r="AY89" s="3446"/>
      <c r="AZ89" s="3446"/>
      <c r="BA89" s="3446"/>
      <c r="BB89" s="3446"/>
      <c r="BC89" s="3446"/>
    </row>
    <row r="90" spans="7:55" s="768" customFormat="1" ht="21" customHeight="1">
      <c r="G90" s="3455" t="s">
        <v>220</v>
      </c>
      <c r="H90" s="3455"/>
      <c r="I90" s="3455"/>
      <c r="J90" s="3455"/>
      <c r="K90" s="3455"/>
      <c r="L90" s="3455"/>
      <c r="M90" s="3455"/>
      <c r="N90" s="3455"/>
      <c r="O90" s="3455"/>
      <c r="P90" s="3455"/>
      <c r="Q90" s="3455"/>
      <c r="R90" s="3455"/>
      <c r="S90" s="3455"/>
      <c r="T90" s="3455"/>
      <c r="U90" s="3469">
        <f>'ANALYSIS DATABASE'!C86</f>
        <v>0</v>
      </c>
      <c r="V90" s="3469"/>
      <c r="W90" s="3469"/>
      <c r="X90" s="3469"/>
      <c r="Y90" s="3469"/>
      <c r="Z90" s="3469"/>
      <c r="AA90" s="3469"/>
      <c r="AB90" s="3453"/>
      <c r="AC90" s="3453"/>
      <c r="AD90" s="3453"/>
      <c r="AE90" s="3453"/>
      <c r="AF90" s="3453"/>
      <c r="AG90" s="3453"/>
      <c r="AH90" s="3453"/>
      <c r="AI90" s="3453">
        <f t="shared" si="0"/>
        <v>0</v>
      </c>
      <c r="AJ90" s="3453"/>
      <c r="AK90" s="3453"/>
      <c r="AL90" s="3453"/>
      <c r="AM90" s="3453"/>
      <c r="AN90" s="3453"/>
      <c r="AO90" s="3453"/>
      <c r="AP90" s="3453"/>
      <c r="AQ90" s="3446"/>
      <c r="AR90" s="3446"/>
      <c r="AS90" s="3446"/>
      <c r="AT90" s="3446"/>
      <c r="AU90" s="3446"/>
      <c r="AV90" s="3446"/>
      <c r="AW90" s="3446"/>
      <c r="AX90" s="3446"/>
      <c r="AY90" s="3446"/>
      <c r="AZ90" s="3446"/>
      <c r="BA90" s="3446"/>
      <c r="BB90" s="3446"/>
      <c r="BC90" s="3446"/>
    </row>
    <row r="91" spans="7:55" s="768" customFormat="1" ht="21" customHeight="1">
      <c r="G91" s="3455" t="s">
        <v>261</v>
      </c>
      <c r="H91" s="3455"/>
      <c r="I91" s="3455"/>
      <c r="J91" s="3455"/>
      <c r="K91" s="3455"/>
      <c r="L91" s="3455"/>
      <c r="M91" s="3455"/>
      <c r="N91" s="3455"/>
      <c r="O91" s="3455"/>
      <c r="P91" s="3455"/>
      <c r="Q91" s="3455"/>
      <c r="R91" s="3455"/>
      <c r="S91" s="3455"/>
      <c r="T91" s="3455"/>
      <c r="U91" s="3469">
        <f>'ANALYSIS DATABASE'!C87</f>
        <v>0</v>
      </c>
      <c r="V91" s="3469"/>
      <c r="W91" s="3469"/>
      <c r="X91" s="3469"/>
      <c r="Y91" s="3469"/>
      <c r="Z91" s="3469"/>
      <c r="AA91" s="3469"/>
      <c r="AB91" s="3453"/>
      <c r="AC91" s="3453"/>
      <c r="AD91" s="3453"/>
      <c r="AE91" s="3453"/>
      <c r="AF91" s="3453"/>
      <c r="AG91" s="3453"/>
      <c r="AH91" s="3453"/>
      <c r="AI91" s="3453">
        <f t="shared" si="0"/>
        <v>0</v>
      </c>
      <c r="AJ91" s="3453"/>
      <c r="AK91" s="3453"/>
      <c r="AL91" s="3453"/>
      <c r="AM91" s="3453"/>
      <c r="AN91" s="3453"/>
      <c r="AO91" s="3453"/>
      <c r="AP91" s="3453"/>
      <c r="AQ91" s="3446"/>
      <c r="AR91" s="3446"/>
      <c r="AS91" s="3446"/>
      <c r="AT91" s="3446"/>
      <c r="AU91" s="3446"/>
      <c r="AV91" s="3446"/>
      <c r="AW91" s="3446"/>
      <c r="AX91" s="3446"/>
      <c r="AY91" s="3446"/>
      <c r="AZ91" s="3446"/>
      <c r="BA91" s="3446"/>
      <c r="BB91" s="3446"/>
      <c r="BC91" s="3446"/>
    </row>
    <row r="92" spans="7:55" s="768" customFormat="1" ht="21" customHeight="1">
      <c r="G92" s="3455" t="s">
        <v>263</v>
      </c>
      <c r="H92" s="3455"/>
      <c r="I92" s="3455"/>
      <c r="J92" s="3455"/>
      <c r="K92" s="3455"/>
      <c r="L92" s="3455"/>
      <c r="M92" s="3455"/>
      <c r="N92" s="3455"/>
      <c r="O92" s="3455"/>
      <c r="P92" s="3455"/>
      <c r="Q92" s="3455"/>
      <c r="R92" s="3455"/>
      <c r="S92" s="3455"/>
      <c r="T92" s="3455"/>
      <c r="U92" s="3469">
        <f>'ANALYSIS DATABASE'!C88</f>
        <v>0</v>
      </c>
      <c r="V92" s="3469"/>
      <c r="W92" s="3469"/>
      <c r="X92" s="3469"/>
      <c r="Y92" s="3469"/>
      <c r="Z92" s="3469"/>
      <c r="AA92" s="3469"/>
      <c r="AB92" s="3453"/>
      <c r="AC92" s="3453"/>
      <c r="AD92" s="3453"/>
      <c r="AE92" s="3453"/>
      <c r="AF92" s="3453"/>
      <c r="AG92" s="3453"/>
      <c r="AH92" s="3453"/>
      <c r="AI92" s="3453">
        <f t="shared" si="0"/>
        <v>0</v>
      </c>
      <c r="AJ92" s="3453"/>
      <c r="AK92" s="3453"/>
      <c r="AL92" s="3453"/>
      <c r="AM92" s="3453"/>
      <c r="AN92" s="3453"/>
      <c r="AO92" s="3453"/>
      <c r="AP92" s="3453"/>
      <c r="AQ92" s="3446"/>
      <c r="AR92" s="3446"/>
      <c r="AS92" s="3446"/>
      <c r="AT92" s="3446"/>
      <c r="AU92" s="3446"/>
      <c r="AV92" s="3446"/>
      <c r="AW92" s="3446"/>
      <c r="AX92" s="3446"/>
      <c r="AY92" s="3446"/>
      <c r="AZ92" s="3446"/>
      <c r="BA92" s="3446"/>
      <c r="BB92" s="3446"/>
      <c r="BC92" s="3446"/>
    </row>
    <row r="93" spans="7:55" s="768" customFormat="1" ht="21" customHeight="1">
      <c r="G93" s="3455" t="s">
        <v>262</v>
      </c>
      <c r="H93" s="3455"/>
      <c r="I93" s="3455"/>
      <c r="J93" s="3455"/>
      <c r="K93" s="3455"/>
      <c r="L93" s="3455"/>
      <c r="M93" s="3455"/>
      <c r="N93" s="3455"/>
      <c r="O93" s="3455"/>
      <c r="P93" s="3455"/>
      <c r="Q93" s="3455"/>
      <c r="R93" s="3455"/>
      <c r="S93" s="3455"/>
      <c r="T93" s="3455"/>
      <c r="U93" s="3469">
        <f>'ANALYSIS DATABASE'!C89</f>
        <v>0</v>
      </c>
      <c r="V93" s="3469"/>
      <c r="W93" s="3469"/>
      <c r="X93" s="3469"/>
      <c r="Y93" s="3469"/>
      <c r="Z93" s="3469"/>
      <c r="AA93" s="3469"/>
      <c r="AB93" s="3453"/>
      <c r="AC93" s="3453"/>
      <c r="AD93" s="3453"/>
      <c r="AE93" s="3453"/>
      <c r="AF93" s="3453"/>
      <c r="AG93" s="3453"/>
      <c r="AH93" s="3453"/>
      <c r="AI93" s="3453">
        <f t="shared" si="0"/>
        <v>0</v>
      </c>
      <c r="AJ93" s="3453"/>
      <c r="AK93" s="3453"/>
      <c r="AL93" s="3453"/>
      <c r="AM93" s="3453"/>
      <c r="AN93" s="3453"/>
      <c r="AO93" s="3453"/>
      <c r="AP93" s="3453"/>
      <c r="AQ93" s="3446"/>
      <c r="AR93" s="3446"/>
      <c r="AS93" s="3446"/>
      <c r="AT93" s="3446"/>
      <c r="AU93" s="3446"/>
      <c r="AV93" s="3446"/>
      <c r="AW93" s="3446"/>
      <c r="AX93" s="3446"/>
      <c r="AY93" s="3446"/>
      <c r="AZ93" s="3446"/>
      <c r="BA93" s="3446"/>
      <c r="BB93" s="3446"/>
      <c r="BC93" s="3446"/>
    </row>
    <row r="94" spans="7:55" s="768" customFormat="1" ht="21" customHeight="1">
      <c r="G94" s="3455" t="s">
        <v>230</v>
      </c>
      <c r="H94" s="3455"/>
      <c r="I94" s="3455"/>
      <c r="J94" s="3455"/>
      <c r="K94" s="3455"/>
      <c r="L94" s="3455"/>
      <c r="M94" s="3455"/>
      <c r="N94" s="3455"/>
      <c r="O94" s="3455"/>
      <c r="P94" s="3455"/>
      <c r="Q94" s="3455"/>
      <c r="R94" s="3455"/>
      <c r="S94" s="3455"/>
      <c r="T94" s="3455"/>
      <c r="U94" s="3469">
        <f>'ANALYSIS DATABASE'!C90</f>
        <v>0</v>
      </c>
      <c r="V94" s="3469"/>
      <c r="W94" s="3469"/>
      <c r="X94" s="3469"/>
      <c r="Y94" s="3469"/>
      <c r="Z94" s="3469"/>
      <c r="AA94" s="3469"/>
      <c r="AB94" s="3453"/>
      <c r="AC94" s="3453"/>
      <c r="AD94" s="3453"/>
      <c r="AE94" s="3453"/>
      <c r="AF94" s="3453"/>
      <c r="AG94" s="3453"/>
      <c r="AH94" s="3453"/>
      <c r="AI94" s="3453">
        <f t="shared" si="0"/>
        <v>0</v>
      </c>
      <c r="AJ94" s="3453"/>
      <c r="AK94" s="3453"/>
      <c r="AL94" s="3453"/>
      <c r="AM94" s="3453"/>
      <c r="AN94" s="3453"/>
      <c r="AO94" s="3453"/>
      <c r="AP94" s="3453"/>
      <c r="AQ94" s="3446"/>
      <c r="AR94" s="3446"/>
      <c r="AS94" s="3446"/>
      <c r="AT94" s="3446"/>
      <c r="AU94" s="3446"/>
      <c r="AV94" s="3446"/>
      <c r="AW94" s="3446"/>
      <c r="AX94" s="3446"/>
      <c r="AY94" s="3446"/>
      <c r="AZ94" s="3446"/>
      <c r="BA94" s="3446"/>
      <c r="BB94" s="3446"/>
      <c r="BC94" s="3446"/>
    </row>
    <row r="95" spans="7:55" s="768" customFormat="1" ht="21" customHeight="1">
      <c r="G95" s="3455" t="s">
        <v>231</v>
      </c>
      <c r="H95" s="3455"/>
      <c r="I95" s="3455"/>
      <c r="J95" s="3455"/>
      <c r="K95" s="3455"/>
      <c r="L95" s="3455"/>
      <c r="M95" s="3455"/>
      <c r="N95" s="3455"/>
      <c r="O95" s="3455"/>
      <c r="P95" s="3455"/>
      <c r="Q95" s="3455"/>
      <c r="R95" s="3455"/>
      <c r="S95" s="3455"/>
      <c r="T95" s="3455"/>
      <c r="U95" s="3469">
        <f>'ANALYSIS DATABASE'!C91</f>
        <v>0</v>
      </c>
      <c r="V95" s="3469"/>
      <c r="W95" s="3469"/>
      <c r="X95" s="3469"/>
      <c r="Y95" s="3469"/>
      <c r="Z95" s="3469"/>
      <c r="AA95" s="3469"/>
      <c r="AB95" s="3453"/>
      <c r="AC95" s="3453"/>
      <c r="AD95" s="3453"/>
      <c r="AE95" s="3453"/>
      <c r="AF95" s="3453"/>
      <c r="AG95" s="3453"/>
      <c r="AH95" s="3453"/>
      <c r="AI95" s="3453">
        <f t="shared" si="0"/>
        <v>0</v>
      </c>
      <c r="AJ95" s="3453"/>
      <c r="AK95" s="3453"/>
      <c r="AL95" s="3453"/>
      <c r="AM95" s="3453"/>
      <c r="AN95" s="3453"/>
      <c r="AO95" s="3453"/>
      <c r="AP95" s="3453"/>
      <c r="AQ95" s="3446"/>
      <c r="AR95" s="3446"/>
      <c r="AS95" s="3446"/>
      <c r="AT95" s="3446"/>
      <c r="AU95" s="3446"/>
      <c r="AV95" s="3446"/>
      <c r="AW95" s="3446"/>
      <c r="AX95" s="3446"/>
      <c r="AY95" s="3446"/>
      <c r="AZ95" s="3446"/>
      <c r="BA95" s="3446"/>
      <c r="BB95" s="3446"/>
      <c r="BC95" s="3446"/>
    </row>
    <row r="96" spans="7:55" s="768" customFormat="1" ht="21" customHeight="1">
      <c r="G96" s="3455" t="s">
        <v>233</v>
      </c>
      <c r="H96" s="3455"/>
      <c r="I96" s="3455"/>
      <c r="J96" s="3455"/>
      <c r="K96" s="3455"/>
      <c r="L96" s="3455"/>
      <c r="M96" s="3455"/>
      <c r="N96" s="3455"/>
      <c r="O96" s="3455"/>
      <c r="P96" s="3455"/>
      <c r="Q96" s="3455"/>
      <c r="R96" s="3455"/>
      <c r="S96" s="3455"/>
      <c r="T96" s="3455"/>
      <c r="U96" s="3469">
        <f>'ANALYSIS DATABASE'!C92</f>
        <v>0</v>
      </c>
      <c r="V96" s="3469"/>
      <c r="W96" s="3469"/>
      <c r="X96" s="3469"/>
      <c r="Y96" s="3469"/>
      <c r="Z96" s="3469"/>
      <c r="AA96" s="3469"/>
      <c r="AB96" s="3453"/>
      <c r="AC96" s="3453"/>
      <c r="AD96" s="3453"/>
      <c r="AE96" s="3453"/>
      <c r="AF96" s="3453"/>
      <c r="AG96" s="3453"/>
      <c r="AH96" s="3453"/>
      <c r="AI96" s="3453">
        <f t="shared" si="0"/>
        <v>0</v>
      </c>
      <c r="AJ96" s="3453"/>
      <c r="AK96" s="3453"/>
      <c r="AL96" s="3453"/>
      <c r="AM96" s="3453"/>
      <c r="AN96" s="3453"/>
      <c r="AO96" s="3453"/>
      <c r="AP96" s="3453"/>
      <c r="AQ96" s="3446"/>
      <c r="AR96" s="3446"/>
      <c r="AS96" s="3446"/>
      <c r="AT96" s="3446"/>
      <c r="AU96" s="3446"/>
      <c r="AV96" s="3446"/>
      <c r="AW96" s="3446"/>
      <c r="AX96" s="3446"/>
      <c r="AY96" s="3446"/>
      <c r="AZ96" s="3446"/>
      <c r="BA96" s="3446"/>
      <c r="BB96" s="3446"/>
      <c r="BC96" s="3446"/>
    </row>
    <row r="97" spans="7:55" s="768" customFormat="1" ht="21" customHeight="1">
      <c r="G97" s="3455" t="s">
        <v>15</v>
      </c>
      <c r="H97" s="3455"/>
      <c r="I97" s="3455"/>
      <c r="J97" s="3455"/>
      <c r="K97" s="3455"/>
      <c r="L97" s="3455"/>
      <c r="M97" s="3455"/>
      <c r="N97" s="3455"/>
      <c r="O97" s="3455"/>
      <c r="P97" s="3455"/>
      <c r="Q97" s="3455"/>
      <c r="R97" s="3455"/>
      <c r="S97" s="3455"/>
      <c r="T97" s="3455"/>
      <c r="U97" s="3469">
        <f>'ANALYSIS DATABASE'!C93</f>
        <v>0</v>
      </c>
      <c r="V97" s="3469"/>
      <c r="W97" s="3469"/>
      <c r="X97" s="3469"/>
      <c r="Y97" s="3469"/>
      <c r="Z97" s="3469"/>
      <c r="AA97" s="3469"/>
      <c r="AB97" s="3453"/>
      <c r="AC97" s="3453"/>
      <c r="AD97" s="3453"/>
      <c r="AE97" s="3453"/>
      <c r="AF97" s="3453"/>
      <c r="AG97" s="3453"/>
      <c r="AH97" s="3453"/>
      <c r="AI97" s="3453">
        <f t="shared" si="0"/>
        <v>0</v>
      </c>
      <c r="AJ97" s="3453"/>
      <c r="AK97" s="3453"/>
      <c r="AL97" s="3453"/>
      <c r="AM97" s="3453"/>
      <c r="AN97" s="3453"/>
      <c r="AO97" s="3453"/>
      <c r="AP97" s="3453"/>
      <c r="AQ97" s="3446"/>
      <c r="AR97" s="3446"/>
      <c r="AS97" s="3446"/>
      <c r="AT97" s="3446"/>
      <c r="AU97" s="3446"/>
      <c r="AV97" s="3446"/>
      <c r="AW97" s="3446"/>
      <c r="AX97" s="3446"/>
      <c r="AY97" s="3446"/>
      <c r="AZ97" s="3446"/>
      <c r="BA97" s="3446"/>
      <c r="BB97" s="3446"/>
      <c r="BC97" s="3446"/>
    </row>
    <row r="98" spans="7:55" s="768" customFormat="1" ht="21" customHeight="1">
      <c r="G98" s="3455" t="s">
        <v>240</v>
      </c>
      <c r="H98" s="3455"/>
      <c r="I98" s="3455"/>
      <c r="J98" s="3455"/>
      <c r="K98" s="3455"/>
      <c r="L98" s="3455"/>
      <c r="M98" s="3455"/>
      <c r="N98" s="3455"/>
      <c r="O98" s="3455"/>
      <c r="P98" s="3455"/>
      <c r="Q98" s="3455"/>
      <c r="R98" s="3455"/>
      <c r="S98" s="3455"/>
      <c r="T98" s="3455"/>
      <c r="U98" s="3469">
        <f>'ANALYSIS DATABASE'!C94</f>
        <v>0</v>
      </c>
      <c r="V98" s="3469"/>
      <c r="W98" s="3469"/>
      <c r="X98" s="3469"/>
      <c r="Y98" s="3469"/>
      <c r="Z98" s="3469"/>
      <c r="AA98" s="3469"/>
      <c r="AB98" s="3453"/>
      <c r="AC98" s="3453"/>
      <c r="AD98" s="3453"/>
      <c r="AE98" s="3453"/>
      <c r="AF98" s="3453"/>
      <c r="AG98" s="3453"/>
      <c r="AH98" s="3453"/>
      <c r="AI98" s="3453">
        <f t="shared" si="0"/>
        <v>0</v>
      </c>
      <c r="AJ98" s="3453"/>
      <c r="AK98" s="3453"/>
      <c r="AL98" s="3453"/>
      <c r="AM98" s="3453"/>
      <c r="AN98" s="3453"/>
      <c r="AO98" s="3453"/>
      <c r="AP98" s="3453"/>
      <c r="AQ98" s="3446"/>
      <c r="AR98" s="3446"/>
      <c r="AS98" s="3446"/>
      <c r="AT98" s="3446"/>
      <c r="AU98" s="3446"/>
      <c r="AV98" s="3446"/>
      <c r="AW98" s="3446"/>
      <c r="AX98" s="3446"/>
      <c r="AY98" s="3446"/>
      <c r="AZ98" s="3446"/>
      <c r="BA98" s="3446"/>
      <c r="BB98" s="3446"/>
      <c r="BC98" s="3446"/>
    </row>
    <row r="99" spans="7:55" s="768" customFormat="1" ht="21" customHeight="1">
      <c r="G99" s="3455" t="s">
        <v>25</v>
      </c>
      <c r="H99" s="3455"/>
      <c r="I99" s="3455"/>
      <c r="J99" s="3455"/>
      <c r="K99" s="3455"/>
      <c r="L99" s="3455"/>
      <c r="M99" s="3455"/>
      <c r="N99" s="3455"/>
      <c r="O99" s="3455"/>
      <c r="P99" s="3455"/>
      <c r="Q99" s="3455"/>
      <c r="R99" s="3455"/>
      <c r="S99" s="3455"/>
      <c r="T99" s="3455"/>
      <c r="U99" s="3469">
        <f>'ANALYSIS DATABASE'!C95</f>
        <v>0</v>
      </c>
      <c r="V99" s="3469"/>
      <c r="W99" s="3469"/>
      <c r="X99" s="3469"/>
      <c r="Y99" s="3469"/>
      <c r="Z99" s="3469"/>
      <c r="AA99" s="3469"/>
      <c r="AB99" s="3453"/>
      <c r="AC99" s="3453"/>
      <c r="AD99" s="3453"/>
      <c r="AE99" s="3453"/>
      <c r="AF99" s="3453"/>
      <c r="AG99" s="3453"/>
      <c r="AH99" s="3453"/>
      <c r="AI99" s="3453">
        <f t="shared" si="0"/>
        <v>0</v>
      </c>
      <c r="AJ99" s="3453"/>
      <c r="AK99" s="3453"/>
      <c r="AL99" s="3453"/>
      <c r="AM99" s="3453"/>
      <c r="AN99" s="3453"/>
      <c r="AO99" s="3453"/>
      <c r="AP99" s="3453"/>
      <c r="AQ99" s="3446"/>
      <c r="AR99" s="3446"/>
      <c r="AS99" s="3446"/>
      <c r="AT99" s="3446"/>
      <c r="AU99" s="3446"/>
      <c r="AV99" s="3446"/>
      <c r="AW99" s="3446"/>
      <c r="AX99" s="3446"/>
      <c r="AY99" s="3446"/>
      <c r="AZ99" s="3446"/>
      <c r="BA99" s="3446"/>
      <c r="BB99" s="3446"/>
      <c r="BC99" s="3446"/>
    </row>
    <row r="100" spans="7:55" s="768" customFormat="1" ht="21" customHeight="1">
      <c r="G100" s="3455" t="s">
        <v>29</v>
      </c>
      <c r="H100" s="3455"/>
      <c r="I100" s="3455"/>
      <c r="J100" s="3455"/>
      <c r="K100" s="3455"/>
      <c r="L100" s="3455"/>
      <c r="M100" s="3455"/>
      <c r="N100" s="3455"/>
      <c r="O100" s="3455"/>
      <c r="P100" s="3455"/>
      <c r="Q100" s="3455"/>
      <c r="R100" s="3455"/>
      <c r="S100" s="3455"/>
      <c r="T100" s="3455"/>
      <c r="U100" s="3469">
        <f>'ANALYSIS DATABASE'!C96</f>
        <v>0</v>
      </c>
      <c r="V100" s="3469"/>
      <c r="W100" s="3469"/>
      <c r="X100" s="3469"/>
      <c r="Y100" s="3469"/>
      <c r="Z100" s="3469"/>
      <c r="AA100" s="3469"/>
      <c r="AB100" s="3453"/>
      <c r="AC100" s="3453"/>
      <c r="AD100" s="3453"/>
      <c r="AE100" s="3453"/>
      <c r="AF100" s="3453"/>
      <c r="AG100" s="3453"/>
      <c r="AH100" s="3453"/>
      <c r="AI100" s="3453">
        <f t="shared" si="0"/>
        <v>0</v>
      </c>
      <c r="AJ100" s="3453"/>
      <c r="AK100" s="3453"/>
      <c r="AL100" s="3453"/>
      <c r="AM100" s="3453"/>
      <c r="AN100" s="3453"/>
      <c r="AO100" s="3453"/>
      <c r="AP100" s="3453"/>
      <c r="AQ100" s="3446"/>
      <c r="AR100" s="3446"/>
      <c r="AS100" s="3446"/>
      <c r="AT100" s="3446"/>
      <c r="AU100" s="3446"/>
      <c r="AV100" s="3446"/>
      <c r="AW100" s="3446"/>
      <c r="AX100" s="3446"/>
      <c r="AY100" s="3446"/>
      <c r="AZ100" s="3446"/>
      <c r="BA100" s="3446"/>
      <c r="BB100" s="3446"/>
      <c r="BC100" s="3446"/>
    </row>
    <row r="101" spans="7:55" s="769" customFormat="1" ht="21" customHeight="1">
      <c r="G101" s="3455" t="s">
        <v>27</v>
      </c>
      <c r="H101" s="3455"/>
      <c r="I101" s="3455"/>
      <c r="J101" s="3455"/>
      <c r="K101" s="3455"/>
      <c r="L101" s="3455"/>
      <c r="M101" s="3455"/>
      <c r="N101" s="3455"/>
      <c r="O101" s="3455"/>
      <c r="P101" s="3455"/>
      <c r="Q101" s="3455"/>
      <c r="R101" s="3455"/>
      <c r="S101" s="3455"/>
      <c r="T101" s="3455"/>
      <c r="U101" s="3469">
        <f>'ANALYSIS DATABASE'!C97</f>
        <v>0</v>
      </c>
      <c r="V101" s="3469"/>
      <c r="W101" s="3469"/>
      <c r="X101" s="3469"/>
      <c r="Y101" s="3469"/>
      <c r="Z101" s="3469"/>
      <c r="AA101" s="3469"/>
      <c r="AB101" s="3453"/>
      <c r="AC101" s="3453"/>
      <c r="AD101" s="3453"/>
      <c r="AE101" s="3453"/>
      <c r="AF101" s="3453"/>
      <c r="AG101" s="3453"/>
      <c r="AH101" s="3453"/>
      <c r="AI101" s="3453">
        <f t="shared" si="0"/>
        <v>0</v>
      </c>
      <c r="AJ101" s="3453"/>
      <c r="AK101" s="3453"/>
      <c r="AL101" s="3453"/>
      <c r="AM101" s="3453"/>
      <c r="AN101" s="3453"/>
      <c r="AO101" s="3453"/>
      <c r="AP101" s="3453"/>
      <c r="AQ101" s="3446"/>
      <c r="AR101" s="3446"/>
      <c r="AS101" s="3446"/>
      <c r="AT101" s="3446"/>
      <c r="AU101" s="3446"/>
      <c r="AV101" s="3446"/>
      <c r="AW101" s="3446"/>
      <c r="AX101" s="3446"/>
      <c r="AY101" s="3446"/>
      <c r="AZ101" s="3446"/>
      <c r="BA101" s="3446"/>
      <c r="BB101" s="3446"/>
      <c r="BC101" s="3446"/>
    </row>
    <row r="102" spans="7:55" s="769" customFormat="1" ht="21" customHeight="1">
      <c r="G102" s="3455" t="s">
        <v>257</v>
      </c>
      <c r="H102" s="3455"/>
      <c r="I102" s="3455"/>
      <c r="J102" s="3455"/>
      <c r="K102" s="3455"/>
      <c r="L102" s="3455"/>
      <c r="M102" s="3455"/>
      <c r="N102" s="3455"/>
      <c r="O102" s="3455"/>
      <c r="P102" s="3455"/>
      <c r="Q102" s="3455"/>
      <c r="R102" s="3455"/>
      <c r="S102" s="3455"/>
      <c r="T102" s="3455"/>
      <c r="U102" s="3469">
        <f>'ANALYSIS DATABASE'!C98</f>
        <v>0</v>
      </c>
      <c r="V102" s="3469"/>
      <c r="W102" s="3469"/>
      <c r="X102" s="3469"/>
      <c r="Y102" s="3469"/>
      <c r="Z102" s="3469"/>
      <c r="AA102" s="3469"/>
      <c r="AB102" s="3453"/>
      <c r="AC102" s="3453"/>
      <c r="AD102" s="3453"/>
      <c r="AE102" s="3453"/>
      <c r="AF102" s="3453"/>
      <c r="AG102" s="3453"/>
      <c r="AH102" s="3453"/>
      <c r="AI102" s="3453">
        <f t="shared" si="0"/>
        <v>0</v>
      </c>
      <c r="AJ102" s="3453"/>
      <c r="AK102" s="3453"/>
      <c r="AL102" s="3453"/>
      <c r="AM102" s="3453"/>
      <c r="AN102" s="3453"/>
      <c r="AO102" s="3453"/>
      <c r="AP102" s="3453"/>
      <c r="AQ102" s="3446"/>
      <c r="AR102" s="3446"/>
      <c r="AS102" s="3446"/>
      <c r="AT102" s="3446"/>
      <c r="AU102" s="3446"/>
      <c r="AV102" s="3446"/>
      <c r="AW102" s="3446"/>
      <c r="AX102" s="3446"/>
      <c r="AY102" s="3446"/>
      <c r="AZ102" s="3446"/>
      <c r="BA102" s="3446"/>
      <c r="BB102" s="3446"/>
      <c r="BC102" s="3446"/>
    </row>
    <row r="103" spans="7:55" s="19" customFormat="1" ht="24.6" customHeight="1">
      <c r="G103" s="3530" t="s">
        <v>345</v>
      </c>
      <c r="H103" s="3530"/>
      <c r="I103" s="3530"/>
      <c r="J103" s="3530"/>
      <c r="K103" s="3530"/>
      <c r="L103" s="3530"/>
      <c r="M103" s="3530"/>
      <c r="N103" s="3530"/>
      <c r="O103" s="3530"/>
      <c r="P103" s="3530"/>
      <c r="Q103" s="3530"/>
      <c r="R103" s="3530"/>
      <c r="S103" s="3530"/>
      <c r="T103" s="3530"/>
      <c r="U103" s="3511">
        <f>SUM(U79:AA102)</f>
        <v>0</v>
      </c>
      <c r="V103" s="3511"/>
      <c r="W103" s="3511"/>
      <c r="X103" s="3511"/>
      <c r="Y103" s="3511"/>
      <c r="Z103" s="3511"/>
      <c r="AA103" s="3511"/>
      <c r="AB103" s="3473" t="str">
        <f>IF(SUM(AB79:AH102)=0,"",(SUM(AB79:AH102)))</f>
        <v/>
      </c>
      <c r="AC103" s="3473"/>
      <c r="AD103" s="3473"/>
      <c r="AE103" s="3473"/>
      <c r="AF103" s="3473"/>
      <c r="AG103" s="3473"/>
      <c r="AH103" s="3473"/>
      <c r="AI103" s="3511" t="str">
        <f>IF(SUM(AI79:AP102)=0,"",SUM(AI79:AP102))</f>
        <v/>
      </c>
      <c r="AJ103" s="3511"/>
      <c r="AK103" s="3511"/>
      <c r="AL103" s="3511"/>
      <c r="AM103" s="3511"/>
      <c r="AN103" s="3511"/>
      <c r="AO103" s="3511"/>
      <c r="AP103" s="3511"/>
      <c r="AQ103" s="3503"/>
      <c r="AR103" s="3503"/>
      <c r="AS103" s="3503"/>
      <c r="AT103" s="3503"/>
      <c r="AU103" s="3503"/>
      <c r="AV103" s="3503"/>
      <c r="AW103" s="3503"/>
      <c r="AX103" s="3503"/>
      <c r="AY103" s="3503"/>
      <c r="AZ103" s="3503"/>
      <c r="BA103" s="3503"/>
      <c r="BB103" s="3503"/>
      <c r="BC103" s="3503"/>
    </row>
    <row r="104" spans="7:55" s="19" customFormat="1" ht="13.35" customHeight="1">
      <c r="G104" s="3474" t="s">
        <v>100</v>
      </c>
      <c r="H104" s="3474"/>
      <c r="I104" s="3474"/>
      <c r="J104" s="3474"/>
      <c r="K104" s="3474"/>
      <c r="L104" s="3474"/>
      <c r="M104" s="3474"/>
      <c r="N104" s="3474"/>
      <c r="O104" s="3474"/>
      <c r="P104" s="3474"/>
      <c r="Q104" s="3474"/>
      <c r="R104" s="3474"/>
      <c r="S104" s="3474"/>
      <c r="T104" s="3474"/>
      <c r="U104" s="3474"/>
      <c r="V104" s="3474"/>
      <c r="W104" s="3474"/>
      <c r="X104" s="3474"/>
      <c r="Y104" s="3474"/>
      <c r="Z104" s="3474"/>
      <c r="AA104" s="3474"/>
      <c r="AB104" s="3474"/>
      <c r="AC104" s="3474"/>
      <c r="AD104" s="3474"/>
      <c r="AE104" s="3474"/>
      <c r="AF104" s="3474" t="s">
        <v>101</v>
      </c>
      <c r="AG104" s="3474"/>
      <c r="AH104" s="3474"/>
      <c r="AI104" s="3474"/>
      <c r="AJ104" s="3474"/>
      <c r="AK104" s="3474"/>
      <c r="AL104" s="3474"/>
      <c r="AM104" s="3474"/>
      <c r="AN104" s="3474"/>
      <c r="AO104" s="3474"/>
      <c r="AP104" s="3474"/>
      <c r="AQ104" s="3474"/>
      <c r="AR104" s="3474"/>
      <c r="AS104" s="3474"/>
      <c r="AT104" s="3474"/>
      <c r="AU104" s="3474"/>
      <c r="AV104" s="3474"/>
      <c r="AW104" s="3474"/>
      <c r="AX104" s="3474"/>
      <c r="AY104" s="3474"/>
      <c r="AZ104" s="3474"/>
      <c r="BA104" s="3474"/>
      <c r="BB104" s="3474"/>
      <c r="BC104" s="3474"/>
    </row>
    <row r="105" spans="7:55" s="19" customFormat="1" ht="13.35" customHeight="1">
      <c r="G105" s="3474"/>
      <c r="H105" s="3474"/>
      <c r="I105" s="3474"/>
      <c r="J105" s="3474"/>
      <c r="K105" s="3474"/>
      <c r="L105" s="3474"/>
      <c r="M105" s="3474"/>
      <c r="N105" s="3474"/>
      <c r="O105" s="3474"/>
      <c r="P105" s="3474"/>
      <c r="Q105" s="3474"/>
      <c r="R105" s="3474"/>
      <c r="S105" s="3474"/>
      <c r="T105" s="3474"/>
      <c r="U105" s="3474"/>
      <c r="V105" s="3474"/>
      <c r="W105" s="3474"/>
      <c r="X105" s="3474"/>
      <c r="Y105" s="3474"/>
      <c r="Z105" s="3474"/>
      <c r="AA105" s="3474"/>
      <c r="AB105" s="3474"/>
      <c r="AC105" s="3474"/>
      <c r="AD105" s="3474"/>
      <c r="AE105" s="3474"/>
      <c r="AF105" s="3474"/>
      <c r="AG105" s="3474"/>
      <c r="AH105" s="3474"/>
      <c r="AI105" s="3474"/>
      <c r="AJ105" s="3474"/>
      <c r="AK105" s="3474"/>
      <c r="AL105" s="3474"/>
      <c r="AM105" s="3474"/>
      <c r="AN105" s="3474"/>
      <c r="AO105" s="3474"/>
      <c r="AP105" s="3474"/>
      <c r="AQ105" s="3474"/>
      <c r="AR105" s="3474"/>
      <c r="AS105" s="3474"/>
      <c r="AT105" s="3474"/>
      <c r="AU105" s="3474"/>
      <c r="AV105" s="3474"/>
      <c r="AW105" s="3474"/>
      <c r="AX105" s="3474"/>
      <c r="AY105" s="3474"/>
      <c r="AZ105" s="3474"/>
      <c r="BA105" s="3474"/>
      <c r="BB105" s="3474"/>
      <c r="BC105" s="3474"/>
    </row>
    <row r="106" spans="7:55" s="19" customFormat="1" ht="18" customHeight="1">
      <c r="G106" s="3475" t="s">
        <v>87</v>
      </c>
      <c r="H106" s="3476"/>
      <c r="I106" s="3476"/>
      <c r="J106" s="3476"/>
      <c r="K106" s="3476"/>
      <c r="L106" s="3476"/>
      <c r="M106" s="3476"/>
      <c r="N106" s="3476"/>
      <c r="O106" s="3476"/>
      <c r="P106" s="3476"/>
      <c r="Q106" s="3476"/>
      <c r="R106" s="3476"/>
      <c r="S106" s="3476"/>
      <c r="T106" s="3476"/>
      <c r="U106" s="731"/>
      <c r="V106" s="732"/>
      <c r="W106" s="732"/>
      <c r="X106" s="3456">
        <f>After_Repair_Value_Result</f>
        <v>0</v>
      </c>
      <c r="Y106" s="3456"/>
      <c r="Z106" s="3456"/>
      <c r="AA106" s="3456"/>
      <c r="AB106" s="3456"/>
      <c r="AC106" s="3456"/>
      <c r="AD106" s="733"/>
      <c r="AE106" s="733"/>
      <c r="AF106" s="3510" t="s">
        <v>87</v>
      </c>
      <c r="AG106" s="3476"/>
      <c r="AH106" s="3476"/>
      <c r="AI106" s="3476"/>
      <c r="AJ106" s="3476"/>
      <c r="AK106" s="3476"/>
      <c r="AL106" s="3476"/>
      <c r="AM106" s="3476"/>
      <c r="AN106" s="3476"/>
      <c r="AO106" s="3476"/>
      <c r="AP106" s="3476"/>
      <c r="AQ106" s="3476"/>
      <c r="AR106" s="3476"/>
      <c r="AS106" s="3476"/>
      <c r="AT106" s="3504"/>
      <c r="AU106" s="3504"/>
      <c r="AV106" s="3504"/>
      <c r="AW106" s="3504"/>
      <c r="AX106" s="3504"/>
      <c r="AY106" s="3504"/>
      <c r="AZ106" s="3504"/>
      <c r="BA106" s="3504"/>
      <c r="BB106" s="3504"/>
      <c r="BC106" s="3505"/>
    </row>
    <row r="107" spans="7:55" s="19" customFormat="1" ht="18" customHeight="1">
      <c r="G107" s="3475"/>
      <c r="H107" s="3476"/>
      <c r="I107" s="3476"/>
      <c r="J107" s="3476"/>
      <c r="K107" s="3476"/>
      <c r="L107" s="3476"/>
      <c r="M107" s="3476"/>
      <c r="N107" s="3476"/>
      <c r="O107" s="3476"/>
      <c r="P107" s="3476"/>
      <c r="Q107" s="3476"/>
      <c r="R107" s="3476"/>
      <c r="S107" s="3476"/>
      <c r="T107" s="3476"/>
      <c r="U107" s="731"/>
      <c r="V107" s="732"/>
      <c r="W107" s="732"/>
      <c r="X107" s="3456"/>
      <c r="Y107" s="3456"/>
      <c r="Z107" s="3456"/>
      <c r="AA107" s="3456"/>
      <c r="AB107" s="3456"/>
      <c r="AC107" s="3456"/>
      <c r="AD107" s="733"/>
      <c r="AE107" s="733"/>
      <c r="AF107" s="3510"/>
      <c r="AG107" s="3476"/>
      <c r="AH107" s="3476"/>
      <c r="AI107" s="3476"/>
      <c r="AJ107" s="3476"/>
      <c r="AK107" s="3476"/>
      <c r="AL107" s="3476"/>
      <c r="AM107" s="3476"/>
      <c r="AN107" s="3476"/>
      <c r="AO107" s="3476"/>
      <c r="AP107" s="3476"/>
      <c r="AQ107" s="3476"/>
      <c r="AR107" s="3476"/>
      <c r="AS107" s="3476"/>
      <c r="AT107" s="3506"/>
      <c r="AU107" s="3506"/>
      <c r="AV107" s="3506"/>
      <c r="AW107" s="3506"/>
      <c r="AX107" s="3506"/>
      <c r="AY107" s="3506"/>
      <c r="AZ107" s="3506"/>
      <c r="BA107" s="3506"/>
      <c r="BB107" s="3506"/>
      <c r="BC107" s="3507"/>
    </row>
    <row r="108" spans="7:55" s="19" customFormat="1" ht="18" customHeight="1">
      <c r="G108" s="3460" t="s">
        <v>74</v>
      </c>
      <c r="H108" s="3458"/>
      <c r="I108" s="3458"/>
      <c r="J108" s="3458"/>
      <c r="K108" s="3458"/>
      <c r="L108" s="3458"/>
      <c r="M108" s="3458"/>
      <c r="N108" s="3458"/>
      <c r="O108" s="3458"/>
      <c r="P108" s="3458"/>
      <c r="Q108" s="3458"/>
      <c r="R108" s="3458"/>
      <c r="S108" s="3458"/>
      <c r="T108" s="3458"/>
      <c r="U108" s="732"/>
      <c r="V108" s="730"/>
      <c r="W108" s="730"/>
      <c r="X108" s="3456">
        <f>Buying_Costs_Result</f>
        <v>0</v>
      </c>
      <c r="Y108" s="3456"/>
      <c r="Z108" s="3456"/>
      <c r="AA108" s="3456"/>
      <c r="AB108" s="3456"/>
      <c r="AC108" s="3456"/>
      <c r="AD108" s="733"/>
      <c r="AE108" s="733"/>
      <c r="AF108" s="3457" t="s">
        <v>74</v>
      </c>
      <c r="AG108" s="3458"/>
      <c r="AH108" s="3458"/>
      <c r="AI108" s="3458"/>
      <c r="AJ108" s="3458"/>
      <c r="AK108" s="3458"/>
      <c r="AL108" s="3458"/>
      <c r="AM108" s="3458"/>
      <c r="AN108" s="3458"/>
      <c r="AO108" s="3458"/>
      <c r="AP108" s="3458"/>
      <c r="AQ108" s="3458"/>
      <c r="AR108" s="3458"/>
      <c r="AS108" s="3458"/>
      <c r="AT108" s="3508"/>
      <c r="AU108" s="3508"/>
      <c r="AV108" s="3508"/>
      <c r="AW108" s="3508"/>
      <c r="AX108" s="3508"/>
      <c r="AY108" s="3508"/>
      <c r="AZ108" s="3508"/>
      <c r="BA108" s="3508"/>
      <c r="BB108" s="3508"/>
      <c r="BC108" s="3509"/>
    </row>
    <row r="109" spans="7:55" s="19" customFormat="1" ht="18" customHeight="1">
      <c r="G109" s="3460"/>
      <c r="H109" s="3458"/>
      <c r="I109" s="3458"/>
      <c r="J109" s="3458"/>
      <c r="K109" s="3458"/>
      <c r="L109" s="3458"/>
      <c r="M109" s="3458"/>
      <c r="N109" s="3458"/>
      <c r="O109" s="3458"/>
      <c r="P109" s="3458"/>
      <c r="Q109" s="3458"/>
      <c r="R109" s="3458"/>
      <c r="S109" s="3458"/>
      <c r="T109" s="3458"/>
      <c r="U109" s="731"/>
      <c r="V109" s="732"/>
      <c r="W109" s="732"/>
      <c r="X109" s="3456"/>
      <c r="Y109" s="3456"/>
      <c r="Z109" s="3456"/>
      <c r="AA109" s="3456"/>
      <c r="AB109" s="3456"/>
      <c r="AC109" s="3456"/>
      <c r="AD109" s="733"/>
      <c r="AE109" s="733"/>
      <c r="AF109" s="3457"/>
      <c r="AG109" s="3458"/>
      <c r="AH109" s="3458"/>
      <c r="AI109" s="3458"/>
      <c r="AJ109" s="3458"/>
      <c r="AK109" s="3458"/>
      <c r="AL109" s="3458"/>
      <c r="AM109" s="3458"/>
      <c r="AN109" s="3458"/>
      <c r="AO109" s="3458"/>
      <c r="AP109" s="3458"/>
      <c r="AQ109" s="3458"/>
      <c r="AR109" s="3458"/>
      <c r="AS109" s="3458"/>
      <c r="AT109" s="3506"/>
      <c r="AU109" s="3506"/>
      <c r="AV109" s="3506"/>
      <c r="AW109" s="3506"/>
      <c r="AX109" s="3506"/>
      <c r="AY109" s="3506"/>
      <c r="AZ109" s="3506"/>
      <c r="BA109" s="3506"/>
      <c r="BB109" s="3506"/>
      <c r="BC109" s="3507"/>
    </row>
    <row r="110" spans="7:55" s="19" customFormat="1" ht="18" customHeight="1">
      <c r="G110" s="3460" t="s">
        <v>75</v>
      </c>
      <c r="H110" s="3458"/>
      <c r="I110" s="3458"/>
      <c r="J110" s="3458"/>
      <c r="K110" s="3458"/>
      <c r="L110" s="3458"/>
      <c r="M110" s="3458"/>
      <c r="N110" s="3458"/>
      <c r="O110" s="3458"/>
      <c r="P110" s="3458"/>
      <c r="Q110" s="3458"/>
      <c r="R110" s="3458"/>
      <c r="S110" s="3458"/>
      <c r="T110" s="3458"/>
      <c r="U110" s="731"/>
      <c r="V110" s="732"/>
      <c r="W110" s="732"/>
      <c r="X110" s="3456">
        <f>Holding_Costs_Result</f>
        <v>0</v>
      </c>
      <c r="Y110" s="3456"/>
      <c r="Z110" s="3456"/>
      <c r="AA110" s="3456"/>
      <c r="AB110" s="3456"/>
      <c r="AC110" s="3456"/>
      <c r="AD110" s="733"/>
      <c r="AE110" s="733"/>
      <c r="AF110" s="3457" t="s">
        <v>75</v>
      </c>
      <c r="AG110" s="3458"/>
      <c r="AH110" s="3458"/>
      <c r="AI110" s="3458"/>
      <c r="AJ110" s="3458"/>
      <c r="AK110" s="3458"/>
      <c r="AL110" s="3458"/>
      <c r="AM110" s="3458"/>
      <c r="AN110" s="3458"/>
      <c r="AO110" s="3458"/>
      <c r="AP110" s="3458"/>
      <c r="AQ110" s="3458"/>
      <c r="AR110" s="3458"/>
      <c r="AS110" s="3458"/>
      <c r="AT110" s="3463"/>
      <c r="AU110" s="3463"/>
      <c r="AV110" s="3463"/>
      <c r="AW110" s="3463"/>
      <c r="AX110" s="3463"/>
      <c r="AY110" s="3463"/>
      <c r="AZ110" s="3463"/>
      <c r="BA110" s="3463"/>
      <c r="BB110" s="3463"/>
      <c r="BC110" s="3464"/>
    </row>
    <row r="111" spans="7:55" s="19" customFormat="1" ht="18" customHeight="1">
      <c r="G111" s="3460" t="s">
        <v>77</v>
      </c>
      <c r="H111" s="3458"/>
      <c r="I111" s="3458"/>
      <c r="J111" s="3458"/>
      <c r="K111" s="3458"/>
      <c r="L111" s="3458"/>
      <c r="M111" s="3458"/>
      <c r="N111" s="3458"/>
      <c r="O111" s="3458"/>
      <c r="P111" s="3458"/>
      <c r="Q111" s="3458"/>
      <c r="R111" s="3458"/>
      <c r="S111" s="3458"/>
      <c r="T111" s="3458"/>
      <c r="U111" s="731"/>
      <c r="V111" s="732"/>
      <c r="W111" s="732"/>
      <c r="X111" s="3456">
        <f>Selling_Costs_Result</f>
        <v>0</v>
      </c>
      <c r="Y111" s="3456"/>
      <c r="Z111" s="3456"/>
      <c r="AA111" s="3456"/>
      <c r="AB111" s="3456"/>
      <c r="AC111" s="3456"/>
      <c r="AD111" s="733"/>
      <c r="AE111" s="733"/>
      <c r="AF111" s="3457" t="s">
        <v>77</v>
      </c>
      <c r="AG111" s="3458"/>
      <c r="AH111" s="3458"/>
      <c r="AI111" s="3458"/>
      <c r="AJ111" s="3458"/>
      <c r="AK111" s="3458"/>
      <c r="AL111" s="3458"/>
      <c r="AM111" s="3458"/>
      <c r="AN111" s="3458"/>
      <c r="AO111" s="3458"/>
      <c r="AP111" s="3458"/>
      <c r="AQ111" s="3458"/>
      <c r="AR111" s="3458"/>
      <c r="AS111" s="3458"/>
      <c r="AT111" s="3463"/>
      <c r="AU111" s="3463"/>
      <c r="AV111" s="3463"/>
      <c r="AW111" s="3463"/>
      <c r="AX111" s="3463"/>
      <c r="AY111" s="3463"/>
      <c r="AZ111" s="3463"/>
      <c r="BA111" s="3463"/>
      <c r="BB111" s="3463"/>
      <c r="BC111" s="3464"/>
    </row>
    <row r="112" spans="7:55" s="19" customFormat="1" ht="18" customHeight="1">
      <c r="G112" s="762"/>
      <c r="H112" s="735"/>
      <c r="I112" s="735"/>
      <c r="J112" s="735"/>
      <c r="K112" s="735"/>
      <c r="L112" s="735"/>
      <c r="M112" s="735"/>
      <c r="N112" s="735"/>
      <c r="O112" s="735"/>
      <c r="P112" s="735"/>
      <c r="Q112" s="736"/>
      <c r="R112" s="736"/>
      <c r="S112" s="736"/>
      <c r="T112" s="736"/>
      <c r="U112" s="731"/>
      <c r="V112" s="732"/>
      <c r="W112" s="732"/>
      <c r="X112" s="3456">
        <f>Raw_Repair_Costs_Result</f>
        <v>0</v>
      </c>
      <c r="Y112" s="3456"/>
      <c r="Z112" s="3456"/>
      <c r="AA112" s="3456"/>
      <c r="AB112" s="3456"/>
      <c r="AC112" s="3456"/>
      <c r="AD112" s="733"/>
      <c r="AE112" s="733"/>
      <c r="AF112" s="734"/>
      <c r="AG112" s="735"/>
      <c r="AH112" s="735"/>
      <c r="AI112" s="735"/>
      <c r="AJ112" s="735"/>
      <c r="AK112" s="735"/>
      <c r="AL112" s="735"/>
      <c r="AM112" s="735"/>
      <c r="AN112" s="735"/>
      <c r="AO112" s="735"/>
      <c r="AP112" s="736"/>
      <c r="AQ112" s="736"/>
      <c r="AR112" s="736"/>
      <c r="AS112" s="736"/>
      <c r="AT112" s="737"/>
      <c r="AU112" s="738"/>
      <c r="AV112" s="738"/>
      <c r="AW112" s="738"/>
      <c r="AX112" s="738"/>
      <c r="AY112" s="738"/>
      <c r="AZ112" s="738"/>
      <c r="BA112" s="738"/>
      <c r="BB112" s="738"/>
      <c r="BC112" s="763"/>
    </row>
    <row r="113" spans="6:55" s="19" customFormat="1" ht="18" customHeight="1">
      <c r="G113" s="3460" t="s">
        <v>84</v>
      </c>
      <c r="H113" s="3458"/>
      <c r="I113" s="3458"/>
      <c r="J113" s="3458"/>
      <c r="K113" s="3458"/>
      <c r="L113" s="3458"/>
      <c r="M113" s="3458"/>
      <c r="N113" s="3458"/>
      <c r="O113" s="3458"/>
      <c r="P113" s="3458"/>
      <c r="Q113" s="3458"/>
      <c r="R113" s="3458"/>
      <c r="S113" s="3458"/>
      <c r="T113" s="736"/>
      <c r="U113" s="731"/>
      <c r="V113" s="732"/>
      <c r="W113" s="732"/>
      <c r="X113" s="3456"/>
      <c r="Y113" s="3456"/>
      <c r="Z113" s="3456"/>
      <c r="AA113" s="3456"/>
      <c r="AB113" s="3456"/>
      <c r="AC113" s="3456"/>
      <c r="AD113" s="733"/>
      <c r="AE113" s="733"/>
      <c r="AF113" s="3457" t="s">
        <v>84</v>
      </c>
      <c r="AG113" s="3458"/>
      <c r="AH113" s="3458"/>
      <c r="AI113" s="3458"/>
      <c r="AJ113" s="3458"/>
      <c r="AK113" s="3458"/>
      <c r="AL113" s="3458"/>
      <c r="AM113" s="3458"/>
      <c r="AN113" s="3458"/>
      <c r="AO113" s="3458"/>
      <c r="AP113" s="3458"/>
      <c r="AQ113" s="3458"/>
      <c r="AR113" s="3458"/>
      <c r="AS113" s="736"/>
      <c r="AT113" s="3461"/>
      <c r="AU113" s="3461"/>
      <c r="AV113" s="3461"/>
      <c r="AW113" s="3461"/>
      <c r="AX113" s="3461"/>
      <c r="AY113" s="3461"/>
      <c r="AZ113" s="3461"/>
      <c r="BA113" s="3461"/>
      <c r="BB113" s="3461"/>
      <c r="BC113" s="3462"/>
    </row>
    <row r="114" spans="6:55" s="19" customFormat="1" ht="18" customHeight="1" thickBot="1">
      <c r="G114" s="3460" t="s">
        <v>1237</v>
      </c>
      <c r="H114" s="3458"/>
      <c r="I114" s="3458"/>
      <c r="J114" s="3458"/>
      <c r="K114" s="3458"/>
      <c r="L114" s="3458"/>
      <c r="M114" s="3458"/>
      <c r="N114" s="3458"/>
      <c r="O114" s="3458"/>
      <c r="P114" s="3458"/>
      <c r="Q114" s="3458"/>
      <c r="R114" s="3458"/>
      <c r="S114" s="3458"/>
      <c r="T114" s="3467">
        <f>Adders_Percentage</f>
        <v>0</v>
      </c>
      <c r="U114" s="3468"/>
      <c r="V114" s="3468"/>
      <c r="W114" s="732"/>
      <c r="X114" s="3456">
        <f>Adders_Result</f>
        <v>0</v>
      </c>
      <c r="Y114" s="3456"/>
      <c r="Z114" s="3456"/>
      <c r="AA114" s="3456"/>
      <c r="AB114" s="3456"/>
      <c r="AC114" s="3456"/>
      <c r="AD114" s="733"/>
      <c r="AE114" s="733"/>
      <c r="AF114" s="3457" t="s">
        <v>209</v>
      </c>
      <c r="AG114" s="3458"/>
      <c r="AH114" s="3458"/>
      <c r="AI114" s="3458"/>
      <c r="AJ114" s="3458"/>
      <c r="AK114" s="3458"/>
      <c r="AL114" s="3458"/>
      <c r="AM114" s="3458"/>
      <c r="AN114" s="3458"/>
      <c r="AO114" s="3458"/>
      <c r="AP114" s="3458"/>
      <c r="AQ114" s="3458"/>
      <c r="AR114" s="3458"/>
      <c r="AS114" s="736"/>
      <c r="AT114" s="3463"/>
      <c r="AU114" s="3463"/>
      <c r="AV114" s="3463"/>
      <c r="AW114" s="3463"/>
      <c r="AX114" s="3463"/>
      <c r="AY114" s="3463"/>
      <c r="AZ114" s="3463"/>
      <c r="BA114" s="3463"/>
      <c r="BB114" s="3463"/>
      <c r="BC114" s="3464"/>
    </row>
    <row r="115" spans="6:55" s="19" customFormat="1" ht="18" customHeight="1">
      <c r="G115" s="762"/>
      <c r="H115" s="735"/>
      <c r="I115" s="735"/>
      <c r="J115" s="735"/>
      <c r="K115" s="735"/>
      <c r="L115" s="735"/>
      <c r="M115" s="735"/>
      <c r="N115" s="735"/>
      <c r="O115" s="735"/>
      <c r="P115" s="735"/>
      <c r="Q115" s="736"/>
      <c r="R115" s="736"/>
      <c r="S115" s="736"/>
      <c r="T115" s="736"/>
      <c r="U115" s="731"/>
      <c r="V115" s="732"/>
      <c r="W115" s="732"/>
      <c r="X115" s="3456">
        <f>Total_Profit_Result</f>
        <v>0</v>
      </c>
      <c r="Y115" s="3456"/>
      <c r="Z115" s="3456"/>
      <c r="AA115" s="3456"/>
      <c r="AB115" s="3456"/>
      <c r="AC115" s="3456"/>
      <c r="AD115" s="733"/>
      <c r="AE115" s="733"/>
      <c r="AF115" s="734"/>
      <c r="AG115" s="735"/>
      <c r="AH115" s="735"/>
      <c r="AI115" s="735"/>
      <c r="AJ115" s="735"/>
      <c r="AK115" s="735"/>
      <c r="AL115" s="735"/>
      <c r="AM115" s="735"/>
      <c r="AN115" s="735"/>
      <c r="AO115" s="735"/>
      <c r="AP115" s="736"/>
      <c r="AQ115" s="736"/>
      <c r="AR115" s="736"/>
      <c r="AS115" s="736"/>
      <c r="AT115" s="731"/>
      <c r="AU115" s="739"/>
      <c r="AV115" s="739"/>
      <c r="AW115" s="739"/>
      <c r="AX115" s="739"/>
      <c r="AY115" s="739"/>
      <c r="AZ115" s="739"/>
      <c r="BA115" s="739"/>
      <c r="BB115" s="739"/>
      <c r="BC115" s="764"/>
    </row>
    <row r="116" spans="6:55" s="19" customFormat="1" ht="18" customHeight="1" thickBot="1">
      <c r="G116" s="3460" t="s">
        <v>78</v>
      </c>
      <c r="H116" s="3458"/>
      <c r="I116" s="3458"/>
      <c r="J116" s="3458"/>
      <c r="K116" s="3458"/>
      <c r="L116" s="3458"/>
      <c r="M116" s="3458"/>
      <c r="N116" s="3458"/>
      <c r="O116" s="3458"/>
      <c r="P116" s="3458"/>
      <c r="Q116" s="3458"/>
      <c r="R116" s="3458"/>
      <c r="S116" s="3458"/>
      <c r="T116" s="736"/>
      <c r="U116" s="731"/>
      <c r="V116" s="732"/>
      <c r="W116" s="732"/>
      <c r="X116" s="3470"/>
      <c r="Y116" s="3470"/>
      <c r="Z116" s="3470"/>
      <c r="AA116" s="3470"/>
      <c r="AB116" s="3470"/>
      <c r="AC116" s="3470"/>
      <c r="AD116" s="733"/>
      <c r="AE116" s="733"/>
      <c r="AF116" s="3457" t="s">
        <v>78</v>
      </c>
      <c r="AG116" s="3458"/>
      <c r="AH116" s="3458"/>
      <c r="AI116" s="3458"/>
      <c r="AJ116" s="3458"/>
      <c r="AK116" s="3458"/>
      <c r="AL116" s="3458"/>
      <c r="AM116" s="3458"/>
      <c r="AN116" s="3458"/>
      <c r="AO116" s="3458"/>
      <c r="AP116" s="3458"/>
      <c r="AQ116" s="3458"/>
      <c r="AR116" s="3458"/>
      <c r="AS116" s="736"/>
      <c r="AT116" s="3465"/>
      <c r="AU116" s="3465"/>
      <c r="AV116" s="3465"/>
      <c r="AW116" s="3465"/>
      <c r="AX116" s="3465"/>
      <c r="AY116" s="3465"/>
      <c r="AZ116" s="3465"/>
      <c r="BA116" s="3465"/>
      <c r="BB116" s="3465"/>
      <c r="BC116" s="3466"/>
    </row>
    <row r="117" spans="6:55" s="19" customFormat="1" ht="18" customHeight="1" thickTop="1">
      <c r="G117" s="3472" t="s">
        <v>88</v>
      </c>
      <c r="H117" s="3452"/>
      <c r="I117" s="3452"/>
      <c r="J117" s="3452"/>
      <c r="K117" s="3452"/>
      <c r="L117" s="3452"/>
      <c r="M117" s="3452"/>
      <c r="N117" s="3452"/>
      <c r="O117" s="3452"/>
      <c r="P117" s="3452"/>
      <c r="Q117" s="3452"/>
      <c r="R117" s="3452"/>
      <c r="S117" s="3452"/>
      <c r="T117" s="731"/>
      <c r="U117" s="731"/>
      <c r="V117" s="732"/>
      <c r="W117" s="732"/>
      <c r="X117" s="3482">
        <f>Purchase_Price_Result</f>
        <v>0</v>
      </c>
      <c r="Y117" s="3482"/>
      <c r="Z117" s="3482"/>
      <c r="AA117" s="3482"/>
      <c r="AB117" s="3482"/>
      <c r="AC117" s="3482"/>
      <c r="AD117" s="733"/>
      <c r="AE117" s="733"/>
      <c r="AF117" s="3451" t="s">
        <v>88</v>
      </c>
      <c r="AG117" s="3452"/>
      <c r="AH117" s="3452"/>
      <c r="AI117" s="3452"/>
      <c r="AJ117" s="3452"/>
      <c r="AK117" s="3452"/>
      <c r="AL117" s="3452"/>
      <c r="AM117" s="3452"/>
      <c r="AN117" s="3452"/>
      <c r="AO117" s="3452"/>
      <c r="AP117" s="3452"/>
      <c r="AQ117" s="3452"/>
      <c r="AR117" s="3452"/>
      <c r="AS117" s="740"/>
      <c r="AT117" s="3478"/>
      <c r="AU117" s="3478"/>
      <c r="AV117" s="3478"/>
      <c r="AW117" s="3478"/>
      <c r="AX117" s="3478"/>
      <c r="AY117" s="3478"/>
      <c r="AZ117" s="3478"/>
      <c r="BA117" s="3478"/>
      <c r="BB117" s="3478"/>
      <c r="BC117" s="3479"/>
    </row>
    <row r="118" spans="6:55" s="19" customFormat="1" ht="18" customHeight="1" thickBot="1">
      <c r="G118" s="3472"/>
      <c r="H118" s="3452"/>
      <c r="I118" s="3452"/>
      <c r="J118" s="3452"/>
      <c r="K118" s="3452"/>
      <c r="L118" s="3452"/>
      <c r="M118" s="3452"/>
      <c r="N118" s="3452"/>
      <c r="O118" s="3452"/>
      <c r="P118" s="3452"/>
      <c r="Q118" s="3452"/>
      <c r="R118" s="3452"/>
      <c r="S118" s="3452"/>
      <c r="T118" s="3476"/>
      <c r="U118" s="3476"/>
      <c r="V118" s="741"/>
      <c r="W118" s="741"/>
      <c r="X118" s="3483"/>
      <c r="Y118" s="3483"/>
      <c r="Z118" s="3483"/>
      <c r="AA118" s="3483"/>
      <c r="AB118" s="3483"/>
      <c r="AC118" s="3483"/>
      <c r="AD118" s="733"/>
      <c r="AE118" s="733"/>
      <c r="AF118" s="3451"/>
      <c r="AG118" s="3452"/>
      <c r="AH118" s="3452"/>
      <c r="AI118" s="3452"/>
      <c r="AJ118" s="3452"/>
      <c r="AK118" s="3452"/>
      <c r="AL118" s="3452"/>
      <c r="AM118" s="3452"/>
      <c r="AN118" s="3452"/>
      <c r="AO118" s="3452"/>
      <c r="AP118" s="3452"/>
      <c r="AQ118" s="3452"/>
      <c r="AR118" s="3452"/>
      <c r="AS118" s="740"/>
      <c r="AT118" s="3480"/>
      <c r="AU118" s="3480"/>
      <c r="AV118" s="3480"/>
      <c r="AW118" s="3480"/>
      <c r="AX118" s="3480"/>
      <c r="AY118" s="3480"/>
      <c r="AZ118" s="3480"/>
      <c r="BA118" s="3480"/>
      <c r="BB118" s="3480"/>
      <c r="BC118" s="3481"/>
    </row>
    <row r="119" spans="6:55" s="19" customFormat="1" ht="27.6" customHeight="1" thickTop="1">
      <c r="G119" s="3472" t="s">
        <v>843</v>
      </c>
      <c r="H119" s="3452"/>
      <c r="I119" s="3452"/>
      <c r="J119" s="3452"/>
      <c r="K119" s="3452"/>
      <c r="L119" s="3452"/>
      <c r="M119" s="3452"/>
      <c r="N119" s="3452"/>
      <c r="O119" s="3452"/>
      <c r="P119" s="3452"/>
      <c r="Q119" s="3452"/>
      <c r="R119" s="3452"/>
      <c r="S119" s="3452"/>
      <c r="T119" s="3452"/>
      <c r="U119" s="3452"/>
      <c r="V119" s="3452"/>
      <c r="W119" s="3452"/>
      <c r="X119" s="3484">
        <f>X117-(X117*0.06)</f>
        <v>0</v>
      </c>
      <c r="Y119" s="3484"/>
      <c r="Z119" s="3484"/>
      <c r="AA119" s="3484"/>
      <c r="AB119" s="3484"/>
      <c r="AC119" s="3484"/>
      <c r="AD119" s="733"/>
      <c r="AE119" s="733"/>
      <c r="AF119" s="3451" t="s">
        <v>89</v>
      </c>
      <c r="AG119" s="3452"/>
      <c r="AH119" s="3452"/>
      <c r="AI119" s="3452"/>
      <c r="AJ119" s="3452"/>
      <c r="AK119" s="3452"/>
      <c r="AL119" s="3452"/>
      <c r="AM119" s="3452"/>
      <c r="AN119" s="3452"/>
      <c r="AO119" s="3452"/>
      <c r="AP119" s="3452"/>
      <c r="AQ119" s="3452"/>
      <c r="AR119" s="3452"/>
      <c r="AS119" s="752"/>
      <c r="AT119" s="3449"/>
      <c r="AU119" s="3449"/>
      <c r="AV119" s="3449"/>
      <c r="AW119" s="3449"/>
      <c r="AX119" s="3449"/>
      <c r="AY119" s="3449"/>
      <c r="AZ119" s="3449"/>
      <c r="BA119" s="3449"/>
      <c r="BB119" s="3449"/>
      <c r="BC119" s="3450"/>
    </row>
    <row r="120" spans="6:55" s="19" customFormat="1" ht="13.35" customHeight="1">
      <c r="G120" s="3454" t="s">
        <v>401</v>
      </c>
      <c r="H120" s="3454"/>
      <c r="I120" s="3454"/>
      <c r="J120" s="3454"/>
      <c r="K120" s="3454"/>
      <c r="L120" s="3454"/>
      <c r="M120" s="3454"/>
      <c r="N120" s="3454"/>
      <c r="O120" s="3454"/>
      <c r="P120" s="3454"/>
      <c r="Q120" s="3454"/>
      <c r="R120" s="3454"/>
      <c r="S120" s="3454"/>
      <c r="T120" s="3454"/>
      <c r="U120" s="3454"/>
      <c r="V120" s="3454"/>
      <c r="W120" s="3454"/>
      <c r="X120" s="3454"/>
      <c r="Y120" s="3454"/>
      <c r="Z120" s="3454"/>
      <c r="AA120" s="3454"/>
      <c r="AB120" s="3454"/>
      <c r="AC120" s="3454"/>
      <c r="AD120" s="3454"/>
      <c r="AE120" s="3454"/>
      <c r="AF120" s="3454"/>
      <c r="AG120" s="3454"/>
      <c r="AH120" s="3454"/>
      <c r="AI120" s="3454"/>
      <c r="AJ120" s="3454"/>
      <c r="AK120" s="3454"/>
      <c r="AL120" s="3454"/>
      <c r="AM120" s="3454"/>
      <c r="AN120" s="3454"/>
      <c r="AO120" s="3454"/>
      <c r="AP120" s="3454"/>
      <c r="AQ120" s="3454"/>
      <c r="AR120" s="3454"/>
      <c r="AS120" s="3454"/>
      <c r="AT120" s="3454"/>
      <c r="AU120" s="3454"/>
      <c r="AV120" s="3454"/>
      <c r="AW120" s="3454"/>
      <c r="AX120" s="3454"/>
      <c r="AY120" s="3454"/>
      <c r="AZ120" s="3454"/>
      <c r="BA120" s="3454"/>
      <c r="BB120" s="3454"/>
      <c r="BC120" s="3454"/>
    </row>
    <row r="121" spans="6:55" s="19" customFormat="1" ht="13.35" customHeight="1">
      <c r="G121" s="3454"/>
      <c r="H121" s="3454"/>
      <c r="I121" s="3454"/>
      <c r="J121" s="3454"/>
      <c r="K121" s="3454"/>
      <c r="L121" s="3454"/>
      <c r="M121" s="3454"/>
      <c r="N121" s="3454"/>
      <c r="O121" s="3454"/>
      <c r="P121" s="3454"/>
      <c r="Q121" s="3454"/>
      <c r="R121" s="3454"/>
      <c r="S121" s="3454"/>
      <c r="T121" s="3454"/>
      <c r="U121" s="3454"/>
      <c r="V121" s="3454"/>
      <c r="W121" s="3454"/>
      <c r="X121" s="3454"/>
      <c r="Y121" s="3454"/>
      <c r="Z121" s="3454"/>
      <c r="AA121" s="3454"/>
      <c r="AB121" s="3454"/>
      <c r="AC121" s="3454"/>
      <c r="AD121" s="3454"/>
      <c r="AE121" s="3454"/>
      <c r="AF121" s="3454"/>
      <c r="AG121" s="3454"/>
      <c r="AH121" s="3454"/>
      <c r="AI121" s="3454"/>
      <c r="AJ121" s="3454"/>
      <c r="AK121" s="3454"/>
      <c r="AL121" s="3454"/>
      <c r="AM121" s="3454"/>
      <c r="AN121" s="3454"/>
      <c r="AO121" s="3454"/>
      <c r="AP121" s="3454"/>
      <c r="AQ121" s="3454"/>
      <c r="AR121" s="3454"/>
      <c r="AS121" s="3454"/>
      <c r="AT121" s="3454"/>
      <c r="AU121" s="3454"/>
      <c r="AV121" s="3454"/>
      <c r="AW121" s="3454"/>
      <c r="AX121" s="3454"/>
      <c r="AY121" s="3454"/>
      <c r="AZ121" s="3454"/>
      <c r="BA121" s="3454"/>
      <c r="BB121" s="3454"/>
      <c r="BC121" s="3454"/>
    </row>
    <row r="122" spans="6:55" s="19" customFormat="1" ht="13.35" customHeight="1">
      <c r="G122" s="765"/>
      <c r="H122" s="3459" t="s">
        <v>90</v>
      </c>
      <c r="I122" s="3459"/>
      <c r="J122" s="3459"/>
      <c r="K122" s="3459"/>
      <c r="L122" s="3447"/>
      <c r="M122" s="3447"/>
      <c r="N122" s="3447"/>
      <c r="O122" s="3447"/>
      <c r="P122" s="3447"/>
      <c r="Q122" s="3447"/>
      <c r="R122" s="3447"/>
      <c r="S122" s="3447"/>
      <c r="T122" s="3447"/>
      <c r="U122" s="3447"/>
      <c r="V122" s="730"/>
      <c r="W122" s="730"/>
      <c r="X122" s="730"/>
      <c r="Y122" s="3447"/>
      <c r="Z122" s="3447"/>
      <c r="AA122" s="3447"/>
      <c r="AB122" s="3447"/>
      <c r="AC122" s="3447"/>
      <c r="AD122" s="3447"/>
      <c r="AE122" s="730"/>
      <c r="AF122" s="3459" t="s">
        <v>94</v>
      </c>
      <c r="AG122" s="3459"/>
      <c r="AH122" s="3459"/>
      <c r="AI122" s="3459"/>
      <c r="AJ122" s="3447"/>
      <c r="AK122" s="3447"/>
      <c r="AL122" s="3447"/>
      <c r="AM122" s="3447"/>
      <c r="AN122" s="3447"/>
      <c r="AO122" s="3447"/>
      <c r="AP122" s="3447"/>
      <c r="AQ122" s="3447"/>
      <c r="AR122" s="3447"/>
      <c r="AS122" s="3447"/>
      <c r="AT122" s="730"/>
      <c r="AU122" s="730"/>
      <c r="AV122" s="730"/>
      <c r="AW122" s="3447"/>
      <c r="AX122" s="3447"/>
      <c r="AY122" s="3447"/>
      <c r="AZ122" s="3447"/>
      <c r="BA122" s="3447"/>
      <c r="BB122" s="3447"/>
      <c r="BC122" s="766"/>
    </row>
    <row r="123" spans="6:55" s="19" customFormat="1" ht="13.35" customHeight="1">
      <c r="F123" s="191"/>
      <c r="G123" s="767"/>
      <c r="H123" s="3459"/>
      <c r="I123" s="3459"/>
      <c r="J123" s="3459"/>
      <c r="K123" s="3459"/>
      <c r="L123" s="3448"/>
      <c r="M123" s="3448"/>
      <c r="N123" s="3448"/>
      <c r="O123" s="3448"/>
      <c r="P123" s="3448"/>
      <c r="Q123" s="3448"/>
      <c r="R123" s="3448"/>
      <c r="S123" s="3448"/>
      <c r="T123" s="3448"/>
      <c r="U123" s="3448"/>
      <c r="V123" s="733"/>
      <c r="W123" s="742"/>
      <c r="X123" s="743" t="s">
        <v>91</v>
      </c>
      <c r="Y123" s="3448"/>
      <c r="Z123" s="3448"/>
      <c r="AA123" s="3448"/>
      <c r="AB123" s="3448"/>
      <c r="AC123" s="3448"/>
      <c r="AD123" s="3448"/>
      <c r="AE123" s="733"/>
      <c r="AF123" s="3459"/>
      <c r="AG123" s="3459"/>
      <c r="AH123" s="3459"/>
      <c r="AI123" s="3459"/>
      <c r="AJ123" s="3448"/>
      <c r="AK123" s="3448"/>
      <c r="AL123" s="3448"/>
      <c r="AM123" s="3448"/>
      <c r="AN123" s="3448"/>
      <c r="AO123" s="3448"/>
      <c r="AP123" s="3448"/>
      <c r="AQ123" s="3448"/>
      <c r="AR123" s="3448"/>
      <c r="AS123" s="3448"/>
      <c r="AT123" s="733"/>
      <c r="AU123" s="742"/>
      <c r="AV123" s="743" t="s">
        <v>91</v>
      </c>
      <c r="AW123" s="3448"/>
      <c r="AX123" s="3448"/>
      <c r="AY123" s="3448"/>
      <c r="AZ123" s="3448"/>
      <c r="BA123" s="3448"/>
      <c r="BB123" s="3448"/>
      <c r="BC123" s="766"/>
    </row>
    <row r="124" spans="6:55" s="19" customFormat="1" ht="13.35" customHeight="1">
      <c r="F124" s="191"/>
      <c r="G124" s="767"/>
      <c r="H124" s="3459" t="s">
        <v>92</v>
      </c>
      <c r="I124" s="3459"/>
      <c r="J124" s="3459"/>
      <c r="K124" s="3459"/>
      <c r="L124" s="3447"/>
      <c r="M124" s="3447"/>
      <c r="N124" s="3447"/>
      <c r="O124" s="3447"/>
      <c r="P124" s="3447"/>
      <c r="Q124" s="3447"/>
      <c r="R124" s="3447"/>
      <c r="S124" s="3447"/>
      <c r="T124" s="3447"/>
      <c r="U124" s="3447"/>
      <c r="V124" s="733"/>
      <c r="W124" s="742"/>
      <c r="X124" s="744"/>
      <c r="Y124" s="3447"/>
      <c r="Z124" s="3447"/>
      <c r="AA124" s="3447"/>
      <c r="AB124" s="3447"/>
      <c r="AC124" s="3447"/>
      <c r="AD124" s="3447"/>
      <c r="AE124" s="733"/>
      <c r="AF124" s="3459" t="s">
        <v>95</v>
      </c>
      <c r="AG124" s="3459"/>
      <c r="AH124" s="3459"/>
      <c r="AI124" s="3459"/>
      <c r="AJ124" s="3447"/>
      <c r="AK124" s="3447"/>
      <c r="AL124" s="3447"/>
      <c r="AM124" s="3447"/>
      <c r="AN124" s="3447"/>
      <c r="AO124" s="3447"/>
      <c r="AP124" s="3447"/>
      <c r="AQ124" s="3447"/>
      <c r="AR124" s="3447"/>
      <c r="AS124" s="3447"/>
      <c r="AT124" s="733"/>
      <c r="AU124" s="742"/>
      <c r="AV124" s="744"/>
      <c r="AW124" s="3447"/>
      <c r="AX124" s="3447"/>
      <c r="AY124" s="3447"/>
      <c r="AZ124" s="3447"/>
      <c r="BA124" s="3447"/>
      <c r="BB124" s="3447"/>
      <c r="BC124" s="766"/>
    </row>
    <row r="125" spans="6:55" s="19" customFormat="1" ht="13.35" customHeight="1">
      <c r="F125" s="191"/>
      <c r="G125" s="767"/>
      <c r="H125" s="3459"/>
      <c r="I125" s="3459"/>
      <c r="J125" s="3459"/>
      <c r="K125" s="3459"/>
      <c r="L125" s="3448"/>
      <c r="M125" s="3448"/>
      <c r="N125" s="3448"/>
      <c r="O125" s="3448"/>
      <c r="P125" s="3448"/>
      <c r="Q125" s="3448"/>
      <c r="R125" s="3448"/>
      <c r="S125" s="3448"/>
      <c r="T125" s="3448"/>
      <c r="U125" s="3448"/>
      <c r="V125" s="733"/>
      <c r="W125" s="742"/>
      <c r="X125" s="743" t="s">
        <v>91</v>
      </c>
      <c r="Y125" s="3448"/>
      <c r="Z125" s="3448"/>
      <c r="AA125" s="3448"/>
      <c r="AB125" s="3448"/>
      <c r="AC125" s="3448"/>
      <c r="AD125" s="3448"/>
      <c r="AE125" s="733"/>
      <c r="AF125" s="3459"/>
      <c r="AG125" s="3459"/>
      <c r="AH125" s="3459"/>
      <c r="AI125" s="3459"/>
      <c r="AJ125" s="3448"/>
      <c r="AK125" s="3448"/>
      <c r="AL125" s="3448"/>
      <c r="AM125" s="3448"/>
      <c r="AN125" s="3448"/>
      <c r="AO125" s="3448"/>
      <c r="AP125" s="3448"/>
      <c r="AQ125" s="3448"/>
      <c r="AR125" s="3448"/>
      <c r="AS125" s="3448"/>
      <c r="AT125" s="733"/>
      <c r="AU125" s="742"/>
      <c r="AV125" s="743" t="s">
        <v>91</v>
      </c>
      <c r="AW125" s="3448"/>
      <c r="AX125" s="3448"/>
      <c r="AY125" s="3448"/>
      <c r="AZ125" s="3448"/>
      <c r="BA125" s="3448"/>
      <c r="BB125" s="3448"/>
      <c r="BC125" s="766"/>
    </row>
    <row r="126" spans="6:55" s="19" customFormat="1" ht="13.35" customHeight="1">
      <c r="F126" s="191"/>
      <c r="G126" s="767"/>
      <c r="H126" s="3459" t="s">
        <v>93</v>
      </c>
      <c r="I126" s="3459"/>
      <c r="J126" s="3459"/>
      <c r="K126" s="3459"/>
      <c r="L126" s="3447"/>
      <c r="M126" s="3447"/>
      <c r="N126" s="3447"/>
      <c r="O126" s="3447"/>
      <c r="P126" s="3447"/>
      <c r="Q126" s="3447"/>
      <c r="R126" s="3447"/>
      <c r="S126" s="3447"/>
      <c r="T126" s="3447"/>
      <c r="U126" s="3447"/>
      <c r="V126" s="733"/>
      <c r="W126" s="742"/>
      <c r="X126" s="742"/>
      <c r="Y126" s="3447"/>
      <c r="Z126" s="3447"/>
      <c r="AA126" s="3447"/>
      <c r="AB126" s="3447"/>
      <c r="AC126" s="3447"/>
      <c r="AD126" s="3447"/>
      <c r="AE126" s="733"/>
      <c r="AF126" s="3459" t="s">
        <v>96</v>
      </c>
      <c r="AG126" s="3459"/>
      <c r="AH126" s="3459"/>
      <c r="AI126" s="3459"/>
      <c r="AJ126" s="3447"/>
      <c r="AK126" s="3447"/>
      <c r="AL126" s="3447"/>
      <c r="AM126" s="3447"/>
      <c r="AN126" s="3447"/>
      <c r="AO126" s="3447"/>
      <c r="AP126" s="3447"/>
      <c r="AQ126" s="3447"/>
      <c r="AR126" s="3447"/>
      <c r="AS126" s="3447"/>
      <c r="AT126" s="733"/>
      <c r="AU126" s="742"/>
      <c r="AV126" s="742"/>
      <c r="AW126" s="3447"/>
      <c r="AX126" s="3447"/>
      <c r="AY126" s="3447"/>
      <c r="AZ126" s="3447"/>
      <c r="BA126" s="3447"/>
      <c r="BB126" s="3447"/>
      <c r="BC126" s="766"/>
    </row>
    <row r="127" spans="6:55" s="21" customFormat="1" ht="13.35" customHeight="1">
      <c r="F127" s="190"/>
      <c r="G127" s="758"/>
      <c r="H127" s="3459"/>
      <c r="I127" s="3459"/>
      <c r="J127" s="3459"/>
      <c r="K127" s="3459"/>
      <c r="L127" s="3448"/>
      <c r="M127" s="3448"/>
      <c r="N127" s="3448"/>
      <c r="O127" s="3448"/>
      <c r="P127" s="3448"/>
      <c r="Q127" s="3448"/>
      <c r="R127" s="3448"/>
      <c r="S127" s="3448"/>
      <c r="T127" s="3448"/>
      <c r="U127" s="3448"/>
      <c r="V127" s="745"/>
      <c r="W127" s="742"/>
      <c r="X127" s="743" t="s">
        <v>91</v>
      </c>
      <c r="Y127" s="3448"/>
      <c r="Z127" s="3448"/>
      <c r="AA127" s="3448"/>
      <c r="AB127" s="3448"/>
      <c r="AC127" s="3448"/>
      <c r="AD127" s="3448"/>
      <c r="AE127" s="733"/>
      <c r="AF127" s="3459"/>
      <c r="AG127" s="3459"/>
      <c r="AH127" s="3459"/>
      <c r="AI127" s="3459"/>
      <c r="AJ127" s="3448"/>
      <c r="AK127" s="3448"/>
      <c r="AL127" s="3448"/>
      <c r="AM127" s="3448"/>
      <c r="AN127" s="3448"/>
      <c r="AO127" s="3448"/>
      <c r="AP127" s="3448"/>
      <c r="AQ127" s="3448"/>
      <c r="AR127" s="3448"/>
      <c r="AS127" s="3448"/>
      <c r="AT127" s="745"/>
      <c r="AU127" s="742"/>
      <c r="AV127" s="743" t="s">
        <v>91</v>
      </c>
      <c r="AW127" s="3448"/>
      <c r="AX127" s="3448"/>
      <c r="AY127" s="3448"/>
      <c r="AZ127" s="3448"/>
      <c r="BA127" s="3448"/>
      <c r="BB127" s="3448"/>
      <c r="BC127" s="756"/>
    </row>
    <row r="128" spans="6:55" s="21" customFormat="1" ht="13.35" customHeight="1">
      <c r="G128" s="767"/>
      <c r="H128" s="733"/>
      <c r="I128" s="733"/>
      <c r="J128" s="733"/>
      <c r="K128" s="733"/>
      <c r="L128" s="733"/>
      <c r="M128" s="733"/>
      <c r="N128" s="733"/>
      <c r="O128" s="733"/>
      <c r="P128" s="733"/>
      <c r="Q128" s="733"/>
      <c r="R128" s="733"/>
      <c r="S128" s="733"/>
      <c r="T128" s="733"/>
      <c r="U128" s="733"/>
      <c r="V128" s="733"/>
      <c r="W128" s="733"/>
      <c r="X128" s="733"/>
      <c r="Y128" s="733"/>
      <c r="Z128" s="733"/>
      <c r="AA128" s="733"/>
      <c r="AB128" s="733"/>
      <c r="AC128" s="733"/>
      <c r="AD128" s="733"/>
      <c r="AE128" s="740"/>
      <c r="AF128" s="740"/>
      <c r="AG128" s="740"/>
      <c r="AH128" s="740"/>
      <c r="AI128" s="740"/>
      <c r="AJ128" s="740"/>
      <c r="AK128" s="740"/>
      <c r="AL128" s="740"/>
      <c r="AM128" s="740"/>
      <c r="AN128" s="740"/>
      <c r="AO128" s="740"/>
      <c r="AP128" s="740"/>
      <c r="AQ128" s="740"/>
      <c r="AR128" s="740"/>
      <c r="AS128" s="740"/>
      <c r="AT128" s="740"/>
      <c r="AU128" s="740"/>
      <c r="AV128" s="740"/>
      <c r="AW128" s="740"/>
      <c r="AX128" s="740"/>
      <c r="AY128" s="740"/>
      <c r="AZ128" s="733"/>
      <c r="BA128" s="733"/>
      <c r="BB128" s="733"/>
      <c r="BC128" s="756"/>
    </row>
    <row r="129" spans="7:55" s="21" customFormat="1" ht="13.35" customHeight="1">
      <c r="G129" s="3523" t="s">
        <v>358</v>
      </c>
      <c r="H129" s="3524"/>
      <c r="I129" s="3524"/>
      <c r="J129" s="3524"/>
      <c r="K129" s="3524"/>
      <c r="L129" s="3524"/>
      <c r="M129" s="3524"/>
      <c r="N129" s="3524"/>
      <c r="O129" s="3524"/>
      <c r="P129" s="3524"/>
      <c r="Q129" s="3524"/>
      <c r="R129" s="753"/>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c r="AU129" s="754"/>
      <c r="AV129" s="754"/>
      <c r="AW129" s="754"/>
      <c r="AX129" s="754"/>
      <c r="AY129" s="754"/>
      <c r="AZ129" s="754"/>
      <c r="BA129" s="754"/>
      <c r="BB129" s="754"/>
      <c r="BC129" s="755"/>
    </row>
    <row r="130" spans="7:55" s="21" customFormat="1" ht="13.35" customHeight="1">
      <c r="G130" s="3525"/>
      <c r="H130" s="3526"/>
      <c r="I130" s="3526"/>
      <c r="J130" s="3526"/>
      <c r="K130" s="3526"/>
      <c r="L130" s="3526"/>
      <c r="M130" s="3526"/>
      <c r="N130" s="3526"/>
      <c r="O130" s="3526"/>
      <c r="P130" s="3526"/>
      <c r="Q130" s="3526"/>
      <c r="R130" s="746"/>
      <c r="S130" s="745"/>
      <c r="T130" s="745"/>
      <c r="U130" s="745"/>
      <c r="V130" s="745"/>
      <c r="W130" s="745"/>
      <c r="X130" s="745"/>
      <c r="Y130" s="745"/>
      <c r="Z130" s="745"/>
      <c r="AA130" s="745"/>
      <c r="AB130" s="745"/>
      <c r="AC130" s="745"/>
      <c r="AD130" s="745"/>
      <c r="AE130" s="745"/>
      <c r="AF130" s="745"/>
      <c r="AG130" s="745"/>
      <c r="AH130" s="745"/>
      <c r="AI130" s="745"/>
      <c r="AJ130" s="745"/>
      <c r="AK130" s="745"/>
      <c r="AL130" s="745"/>
      <c r="AM130" s="745"/>
      <c r="AN130" s="745"/>
      <c r="AO130" s="745"/>
      <c r="AP130" s="745"/>
      <c r="AQ130" s="745"/>
      <c r="AR130" s="745"/>
      <c r="AS130" s="745"/>
      <c r="AT130" s="745"/>
      <c r="AU130" s="745"/>
      <c r="AV130" s="745"/>
      <c r="AW130" s="745"/>
      <c r="AX130" s="745"/>
      <c r="AY130" s="745"/>
      <c r="AZ130" s="745"/>
      <c r="BA130" s="745"/>
      <c r="BB130" s="745"/>
      <c r="BC130" s="756"/>
    </row>
    <row r="131" spans="7:55" s="21" customFormat="1" ht="20.100000000000001" customHeight="1">
      <c r="G131" s="757"/>
      <c r="H131" s="746"/>
      <c r="I131" s="746"/>
      <c r="J131" s="746"/>
      <c r="K131" s="746"/>
      <c r="L131" s="746"/>
      <c r="M131" s="746"/>
      <c r="N131" s="746"/>
      <c r="O131" s="746"/>
      <c r="P131" s="746"/>
      <c r="Q131" s="746"/>
      <c r="R131" s="746"/>
      <c r="S131" s="745"/>
      <c r="T131" s="745"/>
      <c r="U131" s="745"/>
      <c r="V131" s="745"/>
      <c r="W131" s="745"/>
      <c r="X131" s="745"/>
      <c r="Y131" s="745"/>
      <c r="Z131" s="745"/>
      <c r="AA131" s="745"/>
      <c r="AB131" s="745"/>
      <c r="AC131" s="745"/>
      <c r="AD131" s="745"/>
      <c r="AE131" s="745"/>
      <c r="AF131" s="745"/>
      <c r="AG131" s="745"/>
      <c r="AH131" s="745"/>
      <c r="AI131" s="745"/>
      <c r="AJ131" s="745"/>
      <c r="AK131" s="745"/>
      <c r="AL131" s="745"/>
      <c r="AM131" s="745"/>
      <c r="AN131" s="745"/>
      <c r="AO131" s="745"/>
      <c r="AP131" s="745"/>
      <c r="AQ131" s="745"/>
      <c r="AR131" s="745"/>
      <c r="AS131" s="745"/>
      <c r="AT131" s="745"/>
      <c r="AU131" s="745"/>
      <c r="AV131" s="745"/>
      <c r="AW131" s="745"/>
      <c r="AX131" s="745"/>
      <c r="AY131" s="745"/>
      <c r="AZ131" s="745"/>
      <c r="BA131" s="745"/>
      <c r="BB131" s="745"/>
      <c r="BC131" s="756"/>
    </row>
    <row r="132" spans="7:55" s="21" customFormat="1" ht="3.95" customHeight="1">
      <c r="G132" s="757"/>
      <c r="H132" s="746"/>
      <c r="I132" s="746"/>
      <c r="J132" s="746"/>
      <c r="K132" s="746"/>
      <c r="L132" s="746"/>
      <c r="M132" s="746"/>
      <c r="N132" s="746"/>
      <c r="O132" s="746"/>
      <c r="P132" s="746"/>
      <c r="Q132" s="746"/>
      <c r="R132" s="746"/>
      <c r="S132" s="745"/>
      <c r="T132" s="745"/>
      <c r="U132" s="745"/>
      <c r="V132" s="745"/>
      <c r="W132" s="745"/>
      <c r="X132" s="745"/>
      <c r="Y132" s="745"/>
      <c r="Z132" s="745"/>
      <c r="AA132" s="745"/>
      <c r="AB132" s="745"/>
      <c r="AC132" s="745"/>
      <c r="AD132" s="745"/>
      <c r="AE132" s="745"/>
      <c r="AF132" s="745"/>
      <c r="AG132" s="745"/>
      <c r="AH132" s="745"/>
      <c r="AI132" s="745"/>
      <c r="AJ132" s="745"/>
      <c r="AK132" s="745"/>
      <c r="AL132" s="745"/>
      <c r="AM132" s="745"/>
      <c r="AN132" s="745"/>
      <c r="AO132" s="745"/>
      <c r="AP132" s="745"/>
      <c r="AQ132" s="745"/>
      <c r="AR132" s="745"/>
      <c r="AS132" s="745"/>
      <c r="AT132" s="745"/>
      <c r="AU132" s="745"/>
      <c r="AV132" s="745"/>
      <c r="AW132" s="745"/>
      <c r="AX132" s="745"/>
      <c r="AY132" s="745"/>
      <c r="AZ132" s="745"/>
      <c r="BA132" s="745"/>
      <c r="BB132" s="745"/>
      <c r="BC132" s="756"/>
    </row>
    <row r="133" spans="7:55" s="21" customFormat="1" ht="3.95" customHeight="1">
      <c r="G133" s="757"/>
      <c r="H133" s="746"/>
      <c r="I133" s="746"/>
      <c r="J133" s="746"/>
      <c r="K133" s="746"/>
      <c r="L133" s="746"/>
      <c r="M133" s="746"/>
      <c r="N133" s="746"/>
      <c r="O133" s="746"/>
      <c r="P133" s="746"/>
      <c r="Q133" s="746"/>
      <c r="R133" s="746"/>
      <c r="S133" s="745"/>
      <c r="T133" s="745"/>
      <c r="U133" s="745"/>
      <c r="V133" s="745"/>
      <c r="W133" s="745"/>
      <c r="X133" s="745"/>
      <c r="Y133" s="745"/>
      <c r="Z133" s="745"/>
      <c r="AA133" s="745"/>
      <c r="AB133" s="745"/>
      <c r="AC133" s="745"/>
      <c r="AD133" s="745"/>
      <c r="AE133" s="745"/>
      <c r="AF133" s="745"/>
      <c r="AG133" s="745"/>
      <c r="AH133" s="745"/>
      <c r="AI133" s="745"/>
      <c r="AJ133" s="745"/>
      <c r="AK133" s="745"/>
      <c r="AL133" s="745"/>
      <c r="AM133" s="745"/>
      <c r="AN133" s="745"/>
      <c r="AO133" s="745"/>
      <c r="AP133" s="745"/>
      <c r="AQ133" s="745"/>
      <c r="AR133" s="745"/>
      <c r="AS133" s="745"/>
      <c r="AT133" s="745"/>
      <c r="AU133" s="745"/>
      <c r="AV133" s="745"/>
      <c r="AW133" s="745"/>
      <c r="AX133" s="745"/>
      <c r="AY133" s="745"/>
      <c r="AZ133" s="745"/>
      <c r="BA133" s="745"/>
      <c r="BB133" s="745"/>
      <c r="BC133" s="756"/>
    </row>
    <row r="134" spans="7:55" s="21" customFormat="1" ht="13.35" customHeight="1">
      <c r="G134" s="758"/>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c r="AL134" s="745"/>
      <c r="AM134" s="745"/>
      <c r="AN134" s="745"/>
      <c r="AO134" s="745"/>
      <c r="AP134" s="745"/>
      <c r="AQ134" s="745"/>
      <c r="AR134" s="745"/>
      <c r="AS134" s="745"/>
      <c r="AT134" s="745"/>
      <c r="AU134" s="745"/>
      <c r="AV134" s="745"/>
      <c r="AW134" s="745"/>
      <c r="AX134" s="745"/>
      <c r="AY134" s="745"/>
      <c r="AZ134" s="745"/>
      <c r="BA134" s="745"/>
      <c r="BB134" s="745"/>
      <c r="BC134" s="756"/>
    </row>
    <row r="135" spans="7:55" s="21" customFormat="1" ht="13.35" customHeight="1">
      <c r="G135" s="759"/>
      <c r="H135" s="760"/>
      <c r="I135" s="760"/>
      <c r="J135" s="760"/>
      <c r="K135" s="760"/>
      <c r="L135" s="760"/>
      <c r="M135" s="760"/>
      <c r="N135" s="760"/>
      <c r="O135" s="760"/>
      <c r="P135" s="760"/>
      <c r="Q135" s="760"/>
      <c r="R135" s="760"/>
      <c r="S135" s="760"/>
      <c r="T135" s="760"/>
      <c r="U135" s="760"/>
      <c r="V135" s="760"/>
      <c r="W135" s="760"/>
      <c r="X135" s="760"/>
      <c r="Y135" s="760"/>
      <c r="Z135" s="760"/>
      <c r="AA135" s="760"/>
      <c r="AB135" s="760"/>
      <c r="AC135" s="760"/>
      <c r="AD135" s="760"/>
      <c r="AE135" s="760"/>
      <c r="AF135" s="760"/>
      <c r="AG135" s="760"/>
      <c r="AH135" s="760"/>
      <c r="AI135" s="760"/>
      <c r="AJ135" s="760"/>
      <c r="AK135" s="760"/>
      <c r="AL135" s="760"/>
      <c r="AM135" s="760"/>
      <c r="AN135" s="760"/>
      <c r="AO135" s="760"/>
      <c r="AP135" s="760"/>
      <c r="AQ135" s="760"/>
      <c r="AR135" s="760"/>
      <c r="AS135" s="760"/>
      <c r="AT135" s="760"/>
      <c r="AU135" s="760"/>
      <c r="AV135" s="760"/>
      <c r="AW135" s="760"/>
      <c r="AX135" s="760"/>
      <c r="AY135" s="760"/>
      <c r="AZ135" s="760"/>
      <c r="BA135" s="760"/>
      <c r="BB135" s="760"/>
      <c r="BC135" s="761"/>
    </row>
    <row r="136" spans="7:55" s="21" customFormat="1" ht="15" customHeight="1">
      <c r="G136" s="770"/>
      <c r="H136" s="771"/>
      <c r="I136" s="771"/>
      <c r="J136" s="771"/>
      <c r="K136" s="771"/>
      <c r="L136" s="771"/>
      <c r="M136" s="771"/>
      <c r="N136" s="771"/>
      <c r="O136" s="771"/>
      <c r="P136" s="771"/>
      <c r="Q136" s="771"/>
      <c r="R136" s="771"/>
      <c r="S136" s="771"/>
      <c r="T136" s="771"/>
      <c r="U136" s="771"/>
      <c r="V136" s="771"/>
      <c r="W136" s="771"/>
      <c r="X136" s="771"/>
      <c r="Y136" s="771"/>
      <c r="Z136" s="771"/>
      <c r="AA136" s="771"/>
      <c r="AB136" s="771"/>
      <c r="AC136" s="771"/>
      <c r="AD136" s="771"/>
      <c r="AE136" s="771"/>
      <c r="AF136" s="771"/>
      <c r="AG136" s="771"/>
      <c r="AH136" s="771"/>
      <c r="AI136" s="771"/>
      <c r="AJ136" s="771"/>
      <c r="AK136" s="771"/>
      <c r="AL136" s="771"/>
      <c r="AM136" s="771"/>
      <c r="AN136" s="771"/>
      <c r="AO136" s="771"/>
      <c r="AP136" s="771"/>
      <c r="AQ136" s="771"/>
      <c r="AR136" s="771"/>
      <c r="AS136" s="771"/>
      <c r="AT136" s="771"/>
      <c r="AU136" s="771"/>
      <c r="AV136" s="771"/>
      <c r="AW136" s="771"/>
      <c r="AX136" s="771"/>
      <c r="AY136" s="771"/>
      <c r="AZ136" s="771"/>
      <c r="BA136" s="771"/>
      <c r="BB136" s="771"/>
      <c r="BC136" s="772"/>
    </row>
    <row r="137" spans="7:55" s="21" customFormat="1" ht="17.25" customHeight="1">
      <c r="G137" s="773"/>
      <c r="H137" s="747"/>
      <c r="I137" s="747"/>
      <c r="J137" s="747"/>
      <c r="K137" s="747"/>
      <c r="L137" s="747"/>
      <c r="M137" s="747"/>
      <c r="N137" s="747"/>
      <c r="O137" s="747"/>
      <c r="P137" s="747"/>
      <c r="Q137" s="747"/>
      <c r="R137" s="747"/>
      <c r="S137" s="747"/>
      <c r="T137" s="747"/>
      <c r="U137" s="747"/>
      <c r="V137" s="747"/>
      <c r="W137" s="747"/>
      <c r="X137" s="747"/>
      <c r="Y137" s="747"/>
      <c r="Z137" s="747"/>
      <c r="AA137" s="747"/>
      <c r="AB137" s="747"/>
      <c r="AC137" s="747"/>
      <c r="AD137" s="747"/>
      <c r="AE137" s="747"/>
      <c r="AF137" s="747"/>
      <c r="AG137" s="747"/>
      <c r="AH137" s="747"/>
      <c r="AI137" s="747"/>
      <c r="AJ137" s="747"/>
      <c r="AK137" s="747"/>
      <c r="AL137" s="747"/>
      <c r="AM137" s="747"/>
      <c r="AN137" s="747"/>
      <c r="AO137" s="747"/>
      <c r="AP137" s="747"/>
      <c r="AQ137" s="747"/>
      <c r="AR137" s="747"/>
      <c r="AS137" s="747"/>
      <c r="AT137" s="747"/>
      <c r="AU137" s="747"/>
      <c r="AV137" s="747"/>
      <c r="AW137" s="747"/>
      <c r="AX137" s="747"/>
      <c r="AY137" s="747"/>
      <c r="AZ137" s="747"/>
      <c r="BA137" s="747"/>
      <c r="BB137" s="747"/>
      <c r="BC137" s="756"/>
    </row>
    <row r="138" spans="7:55" s="21" customFormat="1" ht="17.25" customHeight="1">
      <c r="G138" s="774">
        <v>55</v>
      </c>
      <c r="H138" s="747"/>
      <c r="I138" s="747"/>
      <c r="J138" s="747"/>
      <c r="K138" s="747"/>
      <c r="L138" s="747"/>
      <c r="M138" s="747"/>
      <c r="N138" s="747"/>
      <c r="O138" s="747"/>
      <c r="P138" s="747"/>
      <c r="Q138" s="747"/>
      <c r="R138" s="747"/>
      <c r="S138" s="747"/>
      <c r="T138" s="747"/>
      <c r="U138" s="747"/>
      <c r="V138" s="747"/>
      <c r="W138" s="747"/>
      <c r="X138" s="747"/>
      <c r="Y138" s="747"/>
      <c r="Z138" s="747"/>
      <c r="AA138" s="747"/>
      <c r="AB138" s="747"/>
      <c r="AC138" s="747"/>
      <c r="AD138" s="747"/>
      <c r="AE138" s="747"/>
      <c r="AF138" s="747"/>
      <c r="AG138" s="747"/>
      <c r="AH138" s="747"/>
      <c r="AI138" s="747"/>
      <c r="AJ138" s="747"/>
      <c r="AK138" s="747"/>
      <c r="AL138" s="747"/>
      <c r="AM138" s="747"/>
      <c r="AN138" s="747"/>
      <c r="AO138" s="747"/>
      <c r="AP138" s="747"/>
      <c r="AQ138" s="747"/>
      <c r="AR138" s="747"/>
      <c r="AS138" s="747"/>
      <c r="AT138" s="747"/>
      <c r="AU138" s="747"/>
      <c r="AV138" s="747"/>
      <c r="AW138" s="747"/>
      <c r="AX138" s="747"/>
      <c r="AY138" s="747"/>
      <c r="AZ138" s="747"/>
      <c r="BA138" s="747"/>
      <c r="BB138" s="747"/>
      <c r="BC138" s="756"/>
    </row>
    <row r="139" spans="7:55" s="21" customFormat="1" ht="17.25" customHeight="1">
      <c r="G139" s="773"/>
      <c r="H139" s="747"/>
      <c r="I139" s="747"/>
      <c r="J139" s="747"/>
      <c r="K139" s="747"/>
      <c r="L139" s="747"/>
      <c r="M139" s="747"/>
      <c r="N139" s="747"/>
      <c r="O139" s="747"/>
      <c r="P139" s="747"/>
      <c r="Q139" s="747"/>
      <c r="R139" s="747"/>
      <c r="S139" s="747"/>
      <c r="T139" s="747"/>
      <c r="U139" s="747"/>
      <c r="V139" s="747"/>
      <c r="W139" s="747"/>
      <c r="X139" s="747"/>
      <c r="Y139" s="747"/>
      <c r="Z139" s="747"/>
      <c r="AA139" s="747"/>
      <c r="AB139" s="747"/>
      <c r="AC139" s="747"/>
      <c r="AD139" s="747"/>
      <c r="AE139" s="747"/>
      <c r="AF139" s="747"/>
      <c r="AG139" s="747"/>
      <c r="AH139" s="747"/>
      <c r="AI139" s="747"/>
      <c r="AJ139" s="747"/>
      <c r="AK139" s="747"/>
      <c r="AL139" s="747"/>
      <c r="AM139" s="747"/>
      <c r="AN139" s="747"/>
      <c r="AO139" s="747"/>
      <c r="AP139" s="747"/>
      <c r="AQ139" s="747"/>
      <c r="AR139" s="747"/>
      <c r="AS139" s="747"/>
      <c r="AT139" s="747"/>
      <c r="AU139" s="747"/>
      <c r="AV139" s="747"/>
      <c r="AW139" s="747"/>
      <c r="AX139" s="747"/>
      <c r="AY139" s="747"/>
      <c r="AZ139" s="747"/>
      <c r="BA139" s="747"/>
      <c r="BB139" s="747"/>
      <c r="BC139" s="756"/>
    </row>
    <row r="140" spans="7:55" s="21" customFormat="1" ht="17.25" customHeight="1">
      <c r="G140" s="773"/>
      <c r="H140" s="747"/>
      <c r="I140" s="747"/>
      <c r="J140" s="747"/>
      <c r="K140" s="747"/>
      <c r="L140" s="747"/>
      <c r="M140" s="747"/>
      <c r="N140" s="747"/>
      <c r="O140" s="747"/>
      <c r="P140" s="747"/>
      <c r="Q140" s="747"/>
      <c r="R140" s="747"/>
      <c r="S140" s="747"/>
      <c r="T140" s="747"/>
      <c r="U140" s="747"/>
      <c r="V140" s="747"/>
      <c r="W140" s="747"/>
      <c r="X140" s="747"/>
      <c r="Y140" s="747"/>
      <c r="Z140" s="747"/>
      <c r="AA140" s="747"/>
      <c r="AB140" s="747"/>
      <c r="AC140" s="747"/>
      <c r="AD140" s="747"/>
      <c r="AE140" s="747"/>
      <c r="AF140" s="747"/>
      <c r="AG140" s="747"/>
      <c r="AH140" s="747"/>
      <c r="AI140" s="747"/>
      <c r="AJ140" s="747"/>
      <c r="AK140" s="747"/>
      <c r="AL140" s="747"/>
      <c r="AM140" s="747"/>
      <c r="AN140" s="747"/>
      <c r="AO140" s="747"/>
      <c r="AP140" s="747"/>
      <c r="AQ140" s="747"/>
      <c r="AR140" s="747"/>
      <c r="AS140" s="747"/>
      <c r="AT140" s="747"/>
      <c r="AU140" s="747"/>
      <c r="AV140" s="747"/>
      <c r="AW140" s="747"/>
      <c r="AX140" s="747"/>
      <c r="AY140" s="747"/>
      <c r="AZ140" s="747"/>
      <c r="BA140" s="747"/>
      <c r="BB140" s="747"/>
      <c r="BC140" s="756"/>
    </row>
    <row r="141" spans="7:55" s="21" customFormat="1" ht="17.25" customHeight="1">
      <c r="G141" s="773"/>
      <c r="H141" s="747"/>
      <c r="I141" s="747"/>
      <c r="J141" s="747"/>
      <c r="K141" s="747"/>
      <c r="L141" s="747"/>
      <c r="M141" s="747"/>
      <c r="N141" s="747"/>
      <c r="O141" s="747"/>
      <c r="P141" s="747"/>
      <c r="Q141" s="747"/>
      <c r="R141" s="747"/>
      <c r="S141" s="747"/>
      <c r="T141" s="747"/>
      <c r="U141" s="747"/>
      <c r="V141" s="747"/>
      <c r="W141" s="747"/>
      <c r="X141" s="747"/>
      <c r="Y141" s="747"/>
      <c r="Z141" s="747"/>
      <c r="AA141" s="747"/>
      <c r="AB141" s="747"/>
      <c r="AC141" s="747"/>
      <c r="AD141" s="747"/>
      <c r="AE141" s="747"/>
      <c r="AF141" s="747"/>
      <c r="AG141" s="747"/>
      <c r="AH141" s="747"/>
      <c r="AI141" s="747"/>
      <c r="AJ141" s="747"/>
      <c r="AK141" s="747"/>
      <c r="AL141" s="747"/>
      <c r="AM141" s="747"/>
      <c r="AN141" s="747"/>
      <c r="AO141" s="747"/>
      <c r="AP141" s="747"/>
      <c r="AQ141" s="747"/>
      <c r="AR141" s="747"/>
      <c r="AS141" s="747"/>
      <c r="AT141" s="747"/>
      <c r="AU141" s="747"/>
      <c r="AV141" s="747"/>
      <c r="AW141" s="747"/>
      <c r="AX141" s="747"/>
      <c r="AY141" s="747"/>
      <c r="AZ141" s="747"/>
      <c r="BA141" s="747"/>
      <c r="BB141" s="747"/>
      <c r="BC141" s="756"/>
    </row>
    <row r="142" spans="7:55" s="21" customFormat="1" ht="17.25" customHeight="1">
      <c r="G142" s="773"/>
      <c r="H142" s="747"/>
      <c r="I142" s="747"/>
      <c r="J142" s="747"/>
      <c r="K142" s="747"/>
      <c r="L142" s="747"/>
      <c r="M142" s="747"/>
      <c r="N142" s="747"/>
      <c r="O142" s="747"/>
      <c r="P142" s="747"/>
      <c r="Q142" s="747"/>
      <c r="R142" s="747"/>
      <c r="S142" s="747"/>
      <c r="T142" s="747"/>
      <c r="U142" s="747"/>
      <c r="V142" s="747"/>
      <c r="W142" s="747"/>
      <c r="X142" s="747"/>
      <c r="Y142" s="747"/>
      <c r="Z142" s="747"/>
      <c r="AA142" s="747"/>
      <c r="AB142" s="747"/>
      <c r="AC142" s="747"/>
      <c r="AD142" s="747"/>
      <c r="AE142" s="747"/>
      <c r="AF142" s="747"/>
      <c r="AG142" s="747"/>
      <c r="AH142" s="747"/>
      <c r="AI142" s="747"/>
      <c r="AJ142" s="747"/>
      <c r="AK142" s="747"/>
      <c r="AL142" s="747"/>
      <c r="AM142" s="747"/>
      <c r="AN142" s="747"/>
      <c r="AO142" s="747"/>
      <c r="AP142" s="747"/>
      <c r="AQ142" s="747"/>
      <c r="AR142" s="747"/>
      <c r="AS142" s="747"/>
      <c r="AT142" s="747"/>
      <c r="AU142" s="747"/>
      <c r="AV142" s="747"/>
      <c r="AW142" s="747"/>
      <c r="AX142" s="747"/>
      <c r="AY142" s="747"/>
      <c r="AZ142" s="747"/>
      <c r="BA142" s="747"/>
      <c r="BB142" s="747"/>
      <c r="BC142" s="756"/>
    </row>
    <row r="143" spans="7:55" s="21" customFormat="1" ht="17.25" customHeight="1">
      <c r="G143" s="775">
        <v>50</v>
      </c>
      <c r="H143" s="747"/>
      <c r="I143" s="747"/>
      <c r="J143" s="747"/>
      <c r="K143" s="747"/>
      <c r="L143" s="747"/>
      <c r="M143" s="747"/>
      <c r="N143" s="747"/>
      <c r="O143" s="747"/>
      <c r="P143" s="747"/>
      <c r="Q143" s="747"/>
      <c r="R143" s="747"/>
      <c r="S143" s="747"/>
      <c r="T143" s="747"/>
      <c r="U143" s="747"/>
      <c r="V143" s="747"/>
      <c r="W143" s="747"/>
      <c r="X143" s="747"/>
      <c r="Y143" s="747"/>
      <c r="Z143" s="747"/>
      <c r="AA143" s="747"/>
      <c r="AB143" s="747"/>
      <c r="AC143" s="747"/>
      <c r="AD143" s="747"/>
      <c r="AE143" s="747"/>
      <c r="AF143" s="747"/>
      <c r="AG143" s="747"/>
      <c r="AH143" s="747"/>
      <c r="AI143" s="747"/>
      <c r="AJ143" s="747"/>
      <c r="AK143" s="747"/>
      <c r="AL143" s="747"/>
      <c r="AM143" s="747"/>
      <c r="AN143" s="747"/>
      <c r="AO143" s="747"/>
      <c r="AP143" s="747"/>
      <c r="AQ143" s="747"/>
      <c r="AR143" s="747"/>
      <c r="AS143" s="747"/>
      <c r="AT143" s="747"/>
      <c r="AU143" s="747"/>
      <c r="AV143" s="747"/>
      <c r="AW143" s="747"/>
      <c r="AX143" s="747"/>
      <c r="AY143" s="747"/>
      <c r="AZ143" s="747"/>
      <c r="BA143" s="747"/>
      <c r="BB143" s="747"/>
      <c r="BC143" s="756"/>
    </row>
    <row r="144" spans="7:55" s="21" customFormat="1" ht="17.25" customHeight="1">
      <c r="G144" s="773"/>
      <c r="H144" s="747"/>
      <c r="I144" s="747"/>
      <c r="J144" s="747"/>
      <c r="K144" s="747"/>
      <c r="L144" s="747"/>
      <c r="M144" s="747"/>
      <c r="N144" s="747"/>
      <c r="O144" s="747"/>
      <c r="P144" s="747"/>
      <c r="Q144" s="747"/>
      <c r="R144" s="747"/>
      <c r="S144" s="747"/>
      <c r="T144" s="747"/>
      <c r="U144" s="747"/>
      <c r="V144" s="747"/>
      <c r="W144" s="747"/>
      <c r="X144" s="747"/>
      <c r="Y144" s="747"/>
      <c r="Z144" s="747"/>
      <c r="AA144" s="747"/>
      <c r="AB144" s="747"/>
      <c r="AC144" s="747"/>
      <c r="AD144" s="747"/>
      <c r="AE144" s="747"/>
      <c r="AF144" s="747"/>
      <c r="AG144" s="747"/>
      <c r="AH144" s="747"/>
      <c r="AI144" s="747"/>
      <c r="AJ144" s="747"/>
      <c r="AK144" s="747"/>
      <c r="AL144" s="747"/>
      <c r="AM144" s="747"/>
      <c r="AN144" s="747"/>
      <c r="AO144" s="747"/>
      <c r="AP144" s="747"/>
      <c r="AQ144" s="747"/>
      <c r="AR144" s="747"/>
      <c r="AS144" s="747"/>
      <c r="AT144" s="747"/>
      <c r="AU144" s="747"/>
      <c r="AV144" s="747"/>
      <c r="AW144" s="747"/>
      <c r="AX144" s="747"/>
      <c r="AY144" s="747"/>
      <c r="AZ144" s="747"/>
      <c r="BA144" s="747"/>
      <c r="BB144" s="747"/>
      <c r="BC144" s="756"/>
    </row>
    <row r="145" spans="7:55" s="21" customFormat="1" ht="17.25" customHeight="1">
      <c r="G145" s="773"/>
      <c r="H145" s="747"/>
      <c r="I145" s="747"/>
      <c r="J145" s="747"/>
      <c r="K145" s="747"/>
      <c r="L145" s="747"/>
      <c r="M145" s="747"/>
      <c r="N145" s="747"/>
      <c r="O145" s="747"/>
      <c r="P145" s="747"/>
      <c r="Q145" s="747"/>
      <c r="R145" s="747"/>
      <c r="S145" s="747"/>
      <c r="T145" s="747"/>
      <c r="U145" s="747"/>
      <c r="V145" s="747"/>
      <c r="W145" s="747"/>
      <c r="X145" s="747"/>
      <c r="Y145" s="747"/>
      <c r="Z145" s="747"/>
      <c r="AA145" s="747"/>
      <c r="AB145" s="747"/>
      <c r="AC145" s="747"/>
      <c r="AD145" s="747"/>
      <c r="AE145" s="747"/>
      <c r="AF145" s="747"/>
      <c r="AG145" s="747"/>
      <c r="AH145" s="747"/>
      <c r="AI145" s="747"/>
      <c r="AJ145" s="747"/>
      <c r="AK145" s="747"/>
      <c r="AL145" s="747"/>
      <c r="AM145" s="747"/>
      <c r="AN145" s="747"/>
      <c r="AO145" s="747"/>
      <c r="AP145" s="747"/>
      <c r="AQ145" s="747"/>
      <c r="AR145" s="747"/>
      <c r="AS145" s="747"/>
      <c r="AT145" s="747"/>
      <c r="AU145" s="747"/>
      <c r="AV145" s="747"/>
      <c r="AW145" s="747"/>
      <c r="AX145" s="747"/>
      <c r="AY145" s="747"/>
      <c r="AZ145" s="747"/>
      <c r="BA145" s="747"/>
      <c r="BB145" s="747"/>
      <c r="BC145" s="756"/>
    </row>
    <row r="146" spans="7:55" s="21" customFormat="1" ht="17.25" customHeight="1">
      <c r="G146" s="773"/>
      <c r="H146" s="747"/>
      <c r="I146" s="747"/>
      <c r="J146" s="747"/>
      <c r="K146" s="747"/>
      <c r="L146" s="747"/>
      <c r="M146" s="747"/>
      <c r="N146" s="747"/>
      <c r="O146" s="747"/>
      <c r="P146" s="747"/>
      <c r="Q146" s="747"/>
      <c r="R146" s="747"/>
      <c r="S146" s="747"/>
      <c r="T146" s="747"/>
      <c r="U146" s="747"/>
      <c r="V146" s="747"/>
      <c r="W146" s="747"/>
      <c r="X146" s="747"/>
      <c r="Y146" s="747"/>
      <c r="Z146" s="747"/>
      <c r="AA146" s="747"/>
      <c r="AB146" s="747"/>
      <c r="AC146" s="747"/>
      <c r="AD146" s="747"/>
      <c r="AE146" s="747"/>
      <c r="AF146" s="747"/>
      <c r="AG146" s="747"/>
      <c r="AH146" s="747"/>
      <c r="AI146" s="747"/>
      <c r="AJ146" s="747"/>
      <c r="AK146" s="747"/>
      <c r="AL146" s="747"/>
      <c r="AM146" s="747"/>
      <c r="AN146" s="747"/>
      <c r="AO146" s="747"/>
      <c r="AP146" s="747"/>
      <c r="AQ146" s="747"/>
      <c r="AR146" s="747"/>
      <c r="AS146" s="747"/>
      <c r="AT146" s="747"/>
      <c r="AU146" s="747"/>
      <c r="AV146" s="747"/>
      <c r="AW146" s="747"/>
      <c r="AX146" s="747"/>
      <c r="AY146" s="747"/>
      <c r="AZ146" s="747"/>
      <c r="BA146" s="747"/>
      <c r="BB146" s="747"/>
      <c r="BC146" s="756"/>
    </row>
    <row r="147" spans="7:55" s="21" customFormat="1" ht="17.25" customHeight="1">
      <c r="G147" s="773"/>
      <c r="H147" s="747"/>
      <c r="I147" s="747"/>
      <c r="J147" s="747"/>
      <c r="K147" s="747"/>
      <c r="L147" s="747"/>
      <c r="M147" s="747"/>
      <c r="N147" s="747"/>
      <c r="O147" s="747"/>
      <c r="P147" s="747"/>
      <c r="Q147" s="747"/>
      <c r="R147" s="747"/>
      <c r="S147" s="747"/>
      <c r="T147" s="747"/>
      <c r="U147" s="747"/>
      <c r="V147" s="747"/>
      <c r="W147" s="747"/>
      <c r="X147" s="747"/>
      <c r="Y147" s="747"/>
      <c r="Z147" s="747"/>
      <c r="AA147" s="747"/>
      <c r="AB147" s="747"/>
      <c r="AC147" s="747"/>
      <c r="AD147" s="747"/>
      <c r="AE147" s="747"/>
      <c r="AF147" s="747"/>
      <c r="AG147" s="747"/>
      <c r="AH147" s="747"/>
      <c r="AI147" s="747"/>
      <c r="AJ147" s="747"/>
      <c r="AK147" s="747"/>
      <c r="AL147" s="747"/>
      <c r="AM147" s="747"/>
      <c r="AN147" s="747"/>
      <c r="AO147" s="747"/>
      <c r="AP147" s="747"/>
      <c r="AQ147" s="747"/>
      <c r="AR147" s="747"/>
      <c r="AS147" s="747"/>
      <c r="AT147" s="747"/>
      <c r="AU147" s="747"/>
      <c r="AV147" s="747"/>
      <c r="AW147" s="747"/>
      <c r="AX147" s="747"/>
      <c r="AY147" s="747"/>
      <c r="AZ147" s="747"/>
      <c r="BA147" s="747"/>
      <c r="BB147" s="747"/>
      <c r="BC147" s="756"/>
    </row>
    <row r="148" spans="7:55" s="21" customFormat="1" ht="17.25" customHeight="1">
      <c r="G148" s="774">
        <v>45</v>
      </c>
      <c r="H148" s="747"/>
      <c r="I148" s="747"/>
      <c r="J148" s="747"/>
      <c r="K148" s="747"/>
      <c r="L148" s="747"/>
      <c r="M148" s="747"/>
      <c r="N148" s="747"/>
      <c r="O148" s="747"/>
      <c r="P148" s="747"/>
      <c r="Q148" s="747"/>
      <c r="R148" s="747"/>
      <c r="S148" s="747"/>
      <c r="T148" s="747"/>
      <c r="U148" s="747"/>
      <c r="V148" s="747"/>
      <c r="W148" s="747"/>
      <c r="X148" s="747"/>
      <c r="Y148" s="747"/>
      <c r="Z148" s="747"/>
      <c r="AA148" s="747"/>
      <c r="AB148" s="747"/>
      <c r="AC148" s="747"/>
      <c r="AD148" s="747"/>
      <c r="AE148" s="747"/>
      <c r="AF148" s="747"/>
      <c r="AG148" s="747"/>
      <c r="AH148" s="747"/>
      <c r="AI148" s="747"/>
      <c r="AJ148" s="747"/>
      <c r="AK148" s="747"/>
      <c r="AL148" s="747"/>
      <c r="AM148" s="747"/>
      <c r="AN148" s="747"/>
      <c r="AO148" s="747"/>
      <c r="AP148" s="747"/>
      <c r="AQ148" s="747"/>
      <c r="AR148" s="747"/>
      <c r="AS148" s="747"/>
      <c r="AT148" s="747"/>
      <c r="AU148" s="747"/>
      <c r="AV148" s="747"/>
      <c r="AW148" s="747"/>
      <c r="AX148" s="747"/>
      <c r="AY148" s="747"/>
      <c r="AZ148" s="747"/>
      <c r="BA148" s="747"/>
      <c r="BB148" s="747"/>
      <c r="BC148" s="756"/>
    </row>
    <row r="149" spans="7:55" s="21" customFormat="1" ht="17.25" customHeight="1">
      <c r="G149" s="773"/>
      <c r="H149" s="747"/>
      <c r="I149" s="747"/>
      <c r="J149" s="747"/>
      <c r="K149" s="747"/>
      <c r="L149" s="747"/>
      <c r="M149" s="747"/>
      <c r="N149" s="747"/>
      <c r="O149" s="747"/>
      <c r="P149" s="747"/>
      <c r="Q149" s="747"/>
      <c r="R149" s="747"/>
      <c r="S149" s="747"/>
      <c r="T149" s="747"/>
      <c r="U149" s="747"/>
      <c r="V149" s="747"/>
      <c r="W149" s="747"/>
      <c r="X149" s="747"/>
      <c r="Y149" s="747"/>
      <c r="Z149" s="747"/>
      <c r="AA149" s="747"/>
      <c r="AB149" s="747"/>
      <c r="AC149" s="747"/>
      <c r="AD149" s="747"/>
      <c r="AE149" s="747"/>
      <c r="AF149" s="747"/>
      <c r="AG149" s="747"/>
      <c r="AH149" s="747"/>
      <c r="AI149" s="747"/>
      <c r="AJ149" s="747"/>
      <c r="AK149" s="747"/>
      <c r="AL149" s="747"/>
      <c r="AM149" s="747"/>
      <c r="AN149" s="747"/>
      <c r="AO149" s="747"/>
      <c r="AP149" s="747"/>
      <c r="AQ149" s="747"/>
      <c r="AR149" s="747"/>
      <c r="AS149" s="747"/>
      <c r="AT149" s="747"/>
      <c r="AU149" s="747"/>
      <c r="AV149" s="747"/>
      <c r="AW149" s="747"/>
      <c r="AX149" s="747"/>
      <c r="AY149" s="747"/>
      <c r="AZ149" s="747"/>
      <c r="BA149" s="747"/>
      <c r="BB149" s="747"/>
      <c r="BC149" s="756"/>
    </row>
    <row r="150" spans="7:55" s="21" customFormat="1" ht="17.25" customHeight="1">
      <c r="G150" s="773"/>
      <c r="H150" s="747"/>
      <c r="I150" s="747"/>
      <c r="J150" s="747"/>
      <c r="K150" s="747"/>
      <c r="L150" s="747"/>
      <c r="M150" s="747"/>
      <c r="N150" s="747"/>
      <c r="O150" s="747"/>
      <c r="P150" s="747"/>
      <c r="Q150" s="747"/>
      <c r="R150" s="747"/>
      <c r="S150" s="747"/>
      <c r="T150" s="747"/>
      <c r="U150" s="747"/>
      <c r="V150" s="747"/>
      <c r="W150" s="747"/>
      <c r="X150" s="747"/>
      <c r="Y150" s="747"/>
      <c r="Z150" s="747"/>
      <c r="AA150" s="747"/>
      <c r="AB150" s="747"/>
      <c r="AC150" s="747"/>
      <c r="AD150" s="747"/>
      <c r="AE150" s="747"/>
      <c r="AF150" s="747"/>
      <c r="AG150" s="747"/>
      <c r="AH150" s="747"/>
      <c r="AI150" s="747"/>
      <c r="AJ150" s="747"/>
      <c r="AK150" s="747"/>
      <c r="AL150" s="747"/>
      <c r="AM150" s="747"/>
      <c r="AN150" s="747"/>
      <c r="AO150" s="747"/>
      <c r="AP150" s="747"/>
      <c r="AQ150" s="747"/>
      <c r="AR150" s="747"/>
      <c r="AS150" s="747"/>
      <c r="AT150" s="747"/>
      <c r="AU150" s="747"/>
      <c r="AV150" s="747"/>
      <c r="AW150" s="747"/>
      <c r="AX150" s="747"/>
      <c r="AY150" s="747"/>
      <c r="AZ150" s="747"/>
      <c r="BA150" s="747"/>
      <c r="BB150" s="747"/>
      <c r="BC150" s="756"/>
    </row>
    <row r="151" spans="7:55" s="21" customFormat="1" ht="17.25" customHeight="1">
      <c r="G151" s="773"/>
      <c r="H151" s="747"/>
      <c r="I151" s="747"/>
      <c r="J151" s="747"/>
      <c r="K151" s="747"/>
      <c r="L151" s="747"/>
      <c r="M151" s="747"/>
      <c r="N151" s="747"/>
      <c r="O151" s="747"/>
      <c r="P151" s="747"/>
      <c r="Q151" s="747"/>
      <c r="R151" s="747"/>
      <c r="S151" s="747"/>
      <c r="T151" s="747"/>
      <c r="U151" s="747"/>
      <c r="V151" s="747"/>
      <c r="W151" s="747"/>
      <c r="X151" s="747"/>
      <c r="Y151" s="747"/>
      <c r="Z151" s="747"/>
      <c r="AA151" s="747"/>
      <c r="AB151" s="747"/>
      <c r="AC151" s="747"/>
      <c r="AD151" s="747"/>
      <c r="AE151" s="747"/>
      <c r="AF151" s="747"/>
      <c r="AG151" s="747"/>
      <c r="AH151" s="747"/>
      <c r="AI151" s="747"/>
      <c r="AJ151" s="747"/>
      <c r="AK151" s="747"/>
      <c r="AL151" s="747"/>
      <c r="AM151" s="747"/>
      <c r="AN151" s="747"/>
      <c r="AO151" s="747"/>
      <c r="AP151" s="747"/>
      <c r="AQ151" s="747"/>
      <c r="AR151" s="747"/>
      <c r="AS151" s="747"/>
      <c r="AT151" s="747"/>
      <c r="AU151" s="747"/>
      <c r="AV151" s="747"/>
      <c r="AW151" s="747"/>
      <c r="AX151" s="747"/>
      <c r="AY151" s="747"/>
      <c r="AZ151" s="747"/>
      <c r="BA151" s="747"/>
      <c r="BB151" s="747"/>
      <c r="BC151" s="756"/>
    </row>
    <row r="152" spans="7:55" s="21" customFormat="1" ht="17.25" customHeight="1">
      <c r="G152" s="773"/>
      <c r="H152" s="747"/>
      <c r="I152" s="747"/>
      <c r="J152" s="747"/>
      <c r="K152" s="747"/>
      <c r="L152" s="747"/>
      <c r="M152" s="747"/>
      <c r="N152" s="747"/>
      <c r="O152" s="747"/>
      <c r="P152" s="747"/>
      <c r="Q152" s="747"/>
      <c r="R152" s="747"/>
      <c r="S152" s="747"/>
      <c r="T152" s="747"/>
      <c r="U152" s="747"/>
      <c r="V152" s="747"/>
      <c r="W152" s="747"/>
      <c r="X152" s="747"/>
      <c r="Y152" s="747"/>
      <c r="Z152" s="747"/>
      <c r="AA152" s="747"/>
      <c r="AB152" s="747"/>
      <c r="AC152" s="747"/>
      <c r="AD152" s="747"/>
      <c r="AE152" s="747"/>
      <c r="AF152" s="747"/>
      <c r="AG152" s="747"/>
      <c r="AH152" s="747"/>
      <c r="AI152" s="747"/>
      <c r="AJ152" s="747"/>
      <c r="AK152" s="747"/>
      <c r="AL152" s="747"/>
      <c r="AM152" s="747"/>
      <c r="AN152" s="747"/>
      <c r="AO152" s="747"/>
      <c r="AP152" s="747"/>
      <c r="AQ152" s="747"/>
      <c r="AR152" s="747"/>
      <c r="AS152" s="747"/>
      <c r="AT152" s="747"/>
      <c r="AU152" s="747"/>
      <c r="AV152" s="747"/>
      <c r="AW152" s="747"/>
      <c r="AX152" s="747"/>
      <c r="AY152" s="747"/>
      <c r="AZ152" s="747"/>
      <c r="BA152" s="747"/>
      <c r="BB152" s="747"/>
      <c r="BC152" s="756"/>
    </row>
    <row r="153" spans="7:55" s="21" customFormat="1" ht="17.25" customHeight="1">
      <c r="G153" s="775">
        <v>40</v>
      </c>
      <c r="H153" s="747"/>
      <c r="I153" s="747"/>
      <c r="J153" s="747"/>
      <c r="K153" s="747"/>
      <c r="L153" s="747"/>
      <c r="M153" s="747"/>
      <c r="N153" s="747"/>
      <c r="O153" s="747"/>
      <c r="P153" s="747"/>
      <c r="Q153" s="747"/>
      <c r="R153" s="747"/>
      <c r="S153" s="747"/>
      <c r="T153" s="747"/>
      <c r="U153" s="747"/>
      <c r="V153" s="747"/>
      <c r="W153" s="747"/>
      <c r="X153" s="747"/>
      <c r="Y153" s="747"/>
      <c r="Z153" s="747"/>
      <c r="AA153" s="747"/>
      <c r="AB153" s="747"/>
      <c r="AC153" s="747"/>
      <c r="AD153" s="747"/>
      <c r="AE153" s="747"/>
      <c r="AF153" s="747"/>
      <c r="AG153" s="747"/>
      <c r="AH153" s="747"/>
      <c r="AI153" s="747"/>
      <c r="AJ153" s="747"/>
      <c r="AK153" s="747"/>
      <c r="AL153" s="747"/>
      <c r="AM153" s="747"/>
      <c r="AN153" s="747"/>
      <c r="AO153" s="747"/>
      <c r="AP153" s="747"/>
      <c r="AQ153" s="747"/>
      <c r="AR153" s="747"/>
      <c r="AS153" s="747"/>
      <c r="AT153" s="747"/>
      <c r="AU153" s="747"/>
      <c r="AV153" s="747"/>
      <c r="AW153" s="747"/>
      <c r="AX153" s="747"/>
      <c r="AY153" s="747"/>
      <c r="AZ153" s="747"/>
      <c r="BA153" s="747"/>
      <c r="BB153" s="747"/>
      <c r="BC153" s="756"/>
    </row>
    <row r="154" spans="7:55" s="21" customFormat="1" ht="17.25" customHeight="1">
      <c r="G154" s="773"/>
      <c r="H154" s="747"/>
      <c r="I154" s="747"/>
      <c r="J154" s="747"/>
      <c r="K154" s="747"/>
      <c r="L154" s="747"/>
      <c r="M154" s="747"/>
      <c r="N154" s="747"/>
      <c r="O154" s="747"/>
      <c r="P154" s="747"/>
      <c r="Q154" s="747"/>
      <c r="R154" s="747"/>
      <c r="S154" s="747"/>
      <c r="T154" s="747"/>
      <c r="U154" s="747"/>
      <c r="V154" s="747"/>
      <c r="W154" s="747"/>
      <c r="X154" s="747"/>
      <c r="Y154" s="747"/>
      <c r="Z154" s="747"/>
      <c r="AA154" s="747"/>
      <c r="AB154" s="747"/>
      <c r="AC154" s="747"/>
      <c r="AD154" s="747"/>
      <c r="AE154" s="747"/>
      <c r="AF154" s="747"/>
      <c r="AG154" s="747"/>
      <c r="AH154" s="747"/>
      <c r="AI154" s="747"/>
      <c r="AJ154" s="747"/>
      <c r="AK154" s="747"/>
      <c r="AL154" s="747"/>
      <c r="AM154" s="747"/>
      <c r="AN154" s="747"/>
      <c r="AO154" s="747"/>
      <c r="AP154" s="747"/>
      <c r="AQ154" s="747"/>
      <c r="AR154" s="747"/>
      <c r="AS154" s="747"/>
      <c r="AT154" s="747"/>
      <c r="AU154" s="747"/>
      <c r="AV154" s="747"/>
      <c r="AW154" s="747"/>
      <c r="AX154" s="747"/>
      <c r="AY154" s="747"/>
      <c r="AZ154" s="747"/>
      <c r="BA154" s="747"/>
      <c r="BB154" s="747"/>
      <c r="BC154" s="756"/>
    </row>
    <row r="155" spans="7:55" s="21" customFormat="1" ht="17.25" customHeight="1">
      <c r="G155" s="773"/>
      <c r="H155" s="747"/>
      <c r="I155" s="747"/>
      <c r="J155" s="747"/>
      <c r="K155" s="747"/>
      <c r="L155" s="747"/>
      <c r="M155" s="747"/>
      <c r="N155" s="747"/>
      <c r="O155" s="747"/>
      <c r="P155" s="747"/>
      <c r="Q155" s="747"/>
      <c r="R155" s="747"/>
      <c r="S155" s="747"/>
      <c r="T155" s="747"/>
      <c r="U155" s="747"/>
      <c r="V155" s="747"/>
      <c r="W155" s="747"/>
      <c r="X155" s="747"/>
      <c r="Y155" s="747"/>
      <c r="Z155" s="747"/>
      <c r="AA155" s="747"/>
      <c r="AB155" s="747"/>
      <c r="AC155" s="747"/>
      <c r="AD155" s="747"/>
      <c r="AE155" s="747"/>
      <c r="AF155" s="747"/>
      <c r="AG155" s="747"/>
      <c r="AH155" s="747"/>
      <c r="AI155" s="747"/>
      <c r="AJ155" s="747"/>
      <c r="AK155" s="747"/>
      <c r="AL155" s="747"/>
      <c r="AM155" s="747"/>
      <c r="AN155" s="747"/>
      <c r="AO155" s="747"/>
      <c r="AP155" s="747"/>
      <c r="AQ155" s="747"/>
      <c r="AR155" s="747"/>
      <c r="AS155" s="747"/>
      <c r="AT155" s="747"/>
      <c r="AU155" s="747"/>
      <c r="AV155" s="747"/>
      <c r="AW155" s="747"/>
      <c r="AX155" s="747"/>
      <c r="AY155" s="747"/>
      <c r="AZ155" s="747"/>
      <c r="BA155" s="747"/>
      <c r="BB155" s="747"/>
      <c r="BC155" s="756"/>
    </row>
    <row r="156" spans="7:55" s="21" customFormat="1" ht="17.25" customHeight="1">
      <c r="G156" s="773"/>
      <c r="H156" s="747"/>
      <c r="I156" s="747"/>
      <c r="J156" s="747"/>
      <c r="K156" s="747"/>
      <c r="L156" s="747"/>
      <c r="M156" s="747"/>
      <c r="N156" s="747"/>
      <c r="O156" s="747"/>
      <c r="P156" s="747"/>
      <c r="Q156" s="747"/>
      <c r="R156" s="747"/>
      <c r="S156" s="747"/>
      <c r="T156" s="747"/>
      <c r="U156" s="747"/>
      <c r="V156" s="747"/>
      <c r="W156" s="747"/>
      <c r="X156" s="747"/>
      <c r="Y156" s="747"/>
      <c r="Z156" s="747"/>
      <c r="AA156" s="747"/>
      <c r="AB156" s="747"/>
      <c r="AC156" s="747"/>
      <c r="AD156" s="747"/>
      <c r="AE156" s="747"/>
      <c r="AF156" s="747"/>
      <c r="AG156" s="747"/>
      <c r="AH156" s="747"/>
      <c r="AI156" s="747"/>
      <c r="AJ156" s="747"/>
      <c r="AK156" s="747"/>
      <c r="AL156" s="747"/>
      <c r="AM156" s="747"/>
      <c r="AN156" s="747"/>
      <c r="AO156" s="747"/>
      <c r="AP156" s="747"/>
      <c r="AQ156" s="747"/>
      <c r="AR156" s="747"/>
      <c r="AS156" s="747"/>
      <c r="AT156" s="747"/>
      <c r="AU156" s="747"/>
      <c r="AV156" s="747"/>
      <c r="AW156" s="747"/>
      <c r="AX156" s="747"/>
      <c r="AY156" s="747"/>
      <c r="AZ156" s="747"/>
      <c r="BA156" s="747"/>
      <c r="BB156" s="747"/>
      <c r="BC156" s="756"/>
    </row>
    <row r="157" spans="7:55" s="21" customFormat="1" ht="17.25" customHeight="1">
      <c r="G157" s="773"/>
      <c r="H157" s="747"/>
      <c r="I157" s="747"/>
      <c r="J157" s="747"/>
      <c r="K157" s="747"/>
      <c r="L157" s="747"/>
      <c r="M157" s="747"/>
      <c r="N157" s="747"/>
      <c r="O157" s="747"/>
      <c r="P157" s="747"/>
      <c r="Q157" s="747"/>
      <c r="R157" s="747"/>
      <c r="S157" s="747"/>
      <c r="T157" s="747"/>
      <c r="U157" s="747"/>
      <c r="V157" s="747"/>
      <c r="W157" s="747"/>
      <c r="X157" s="747"/>
      <c r="Y157" s="747"/>
      <c r="Z157" s="747"/>
      <c r="AA157" s="747"/>
      <c r="AB157" s="747"/>
      <c r="AC157" s="747"/>
      <c r="AD157" s="747"/>
      <c r="AE157" s="747"/>
      <c r="AF157" s="747"/>
      <c r="AG157" s="747"/>
      <c r="AH157" s="747"/>
      <c r="AI157" s="747"/>
      <c r="AJ157" s="747"/>
      <c r="AK157" s="747"/>
      <c r="AL157" s="747"/>
      <c r="AM157" s="747"/>
      <c r="AN157" s="747"/>
      <c r="AO157" s="747"/>
      <c r="AP157" s="747"/>
      <c r="AQ157" s="747"/>
      <c r="AR157" s="747"/>
      <c r="AS157" s="747"/>
      <c r="AT157" s="747"/>
      <c r="AU157" s="747"/>
      <c r="AV157" s="747"/>
      <c r="AW157" s="747"/>
      <c r="AX157" s="747"/>
      <c r="AY157" s="747"/>
      <c r="AZ157" s="747"/>
      <c r="BA157" s="747"/>
      <c r="BB157" s="747"/>
      <c r="BC157" s="756"/>
    </row>
    <row r="158" spans="7:55" s="21" customFormat="1" ht="17.25" customHeight="1">
      <c r="G158" s="774">
        <v>35</v>
      </c>
      <c r="H158" s="747"/>
      <c r="I158" s="747"/>
      <c r="J158" s="747"/>
      <c r="K158" s="747"/>
      <c r="L158" s="747"/>
      <c r="M158" s="747"/>
      <c r="N158" s="747"/>
      <c r="O158" s="747"/>
      <c r="P158" s="747"/>
      <c r="Q158" s="747"/>
      <c r="R158" s="747"/>
      <c r="S158" s="747"/>
      <c r="T158" s="747"/>
      <c r="U158" s="747"/>
      <c r="V158" s="747"/>
      <c r="W158" s="747"/>
      <c r="X158" s="747"/>
      <c r="Y158" s="747"/>
      <c r="Z158" s="747"/>
      <c r="AA158" s="747"/>
      <c r="AB158" s="747"/>
      <c r="AC158" s="747"/>
      <c r="AD158" s="747"/>
      <c r="AE158" s="747"/>
      <c r="AF158" s="747"/>
      <c r="AG158" s="747"/>
      <c r="AH158" s="747"/>
      <c r="AI158" s="747"/>
      <c r="AJ158" s="747"/>
      <c r="AK158" s="747"/>
      <c r="AL158" s="747"/>
      <c r="AM158" s="747"/>
      <c r="AN158" s="747"/>
      <c r="AO158" s="747"/>
      <c r="AP158" s="747"/>
      <c r="AQ158" s="747"/>
      <c r="AR158" s="747"/>
      <c r="AS158" s="747"/>
      <c r="AT158" s="747"/>
      <c r="AU158" s="747"/>
      <c r="AV158" s="747"/>
      <c r="AW158" s="747"/>
      <c r="AX158" s="747"/>
      <c r="AY158" s="747"/>
      <c r="AZ158" s="747"/>
      <c r="BA158" s="747"/>
      <c r="BB158" s="747"/>
      <c r="BC158" s="756"/>
    </row>
    <row r="159" spans="7:55" s="21" customFormat="1" ht="17.25" customHeight="1">
      <c r="G159" s="773"/>
      <c r="H159" s="747"/>
      <c r="I159" s="747"/>
      <c r="J159" s="747"/>
      <c r="K159" s="747"/>
      <c r="L159" s="747"/>
      <c r="M159" s="747"/>
      <c r="N159" s="747"/>
      <c r="O159" s="747"/>
      <c r="P159" s="747"/>
      <c r="Q159" s="747"/>
      <c r="R159" s="747"/>
      <c r="S159" s="747"/>
      <c r="T159" s="747"/>
      <c r="U159" s="747"/>
      <c r="V159" s="747"/>
      <c r="W159" s="747"/>
      <c r="X159" s="747"/>
      <c r="Y159" s="747"/>
      <c r="Z159" s="747"/>
      <c r="AA159" s="747"/>
      <c r="AB159" s="747"/>
      <c r="AC159" s="747"/>
      <c r="AD159" s="747"/>
      <c r="AE159" s="747"/>
      <c r="AF159" s="747"/>
      <c r="AG159" s="747"/>
      <c r="AH159" s="747"/>
      <c r="AI159" s="747"/>
      <c r="AJ159" s="747"/>
      <c r="AK159" s="747"/>
      <c r="AL159" s="747"/>
      <c r="AM159" s="747"/>
      <c r="AN159" s="747"/>
      <c r="AO159" s="747"/>
      <c r="AP159" s="747"/>
      <c r="AQ159" s="747"/>
      <c r="AR159" s="747"/>
      <c r="AS159" s="747"/>
      <c r="AT159" s="747"/>
      <c r="AU159" s="747"/>
      <c r="AV159" s="747"/>
      <c r="AW159" s="747"/>
      <c r="AX159" s="747"/>
      <c r="AY159" s="747"/>
      <c r="AZ159" s="747"/>
      <c r="BA159" s="747"/>
      <c r="BB159" s="747"/>
      <c r="BC159" s="756"/>
    </row>
    <row r="160" spans="7:55" s="21" customFormat="1" ht="17.25" customHeight="1">
      <c r="G160" s="773"/>
      <c r="H160" s="747"/>
      <c r="I160" s="747"/>
      <c r="J160" s="747"/>
      <c r="K160" s="747"/>
      <c r="L160" s="747"/>
      <c r="M160" s="747"/>
      <c r="N160" s="747"/>
      <c r="O160" s="747"/>
      <c r="P160" s="747"/>
      <c r="Q160" s="747"/>
      <c r="R160" s="747"/>
      <c r="S160" s="747"/>
      <c r="T160" s="747"/>
      <c r="U160" s="747"/>
      <c r="V160" s="747"/>
      <c r="W160" s="747"/>
      <c r="X160" s="747"/>
      <c r="Y160" s="747"/>
      <c r="Z160" s="747"/>
      <c r="AA160" s="747"/>
      <c r="AB160" s="747"/>
      <c r="AC160" s="747"/>
      <c r="AD160" s="747"/>
      <c r="AE160" s="747"/>
      <c r="AF160" s="747"/>
      <c r="AG160" s="747"/>
      <c r="AH160" s="747"/>
      <c r="AI160" s="747"/>
      <c r="AJ160" s="747"/>
      <c r="AK160" s="747"/>
      <c r="AL160" s="747"/>
      <c r="AM160" s="747"/>
      <c r="AN160" s="747"/>
      <c r="AO160" s="747"/>
      <c r="AP160" s="747"/>
      <c r="AQ160" s="747"/>
      <c r="AR160" s="747"/>
      <c r="AS160" s="747"/>
      <c r="AT160" s="747"/>
      <c r="AU160" s="747"/>
      <c r="AV160" s="747"/>
      <c r="AW160" s="747"/>
      <c r="AX160" s="747"/>
      <c r="AY160" s="747"/>
      <c r="AZ160" s="747"/>
      <c r="BA160" s="747"/>
      <c r="BB160" s="747"/>
      <c r="BC160" s="756"/>
    </row>
    <row r="161" spans="7:55" s="21" customFormat="1" ht="17.25" customHeight="1">
      <c r="G161" s="773"/>
      <c r="H161" s="747"/>
      <c r="I161" s="747"/>
      <c r="J161" s="747"/>
      <c r="K161" s="747"/>
      <c r="L161" s="747"/>
      <c r="M161" s="747"/>
      <c r="N161" s="747"/>
      <c r="O161" s="747"/>
      <c r="P161" s="747"/>
      <c r="Q161" s="747"/>
      <c r="R161" s="747"/>
      <c r="S161" s="747"/>
      <c r="T161" s="747"/>
      <c r="U161" s="747"/>
      <c r="V161" s="747"/>
      <c r="W161" s="747"/>
      <c r="X161" s="747"/>
      <c r="Y161" s="747"/>
      <c r="Z161" s="747"/>
      <c r="AA161" s="747"/>
      <c r="AB161" s="747"/>
      <c r="AC161" s="747"/>
      <c r="AD161" s="747"/>
      <c r="AE161" s="747"/>
      <c r="AF161" s="747"/>
      <c r="AG161" s="747"/>
      <c r="AH161" s="747"/>
      <c r="AI161" s="747"/>
      <c r="AJ161" s="747"/>
      <c r="AK161" s="747"/>
      <c r="AL161" s="747"/>
      <c r="AM161" s="747"/>
      <c r="AN161" s="747"/>
      <c r="AO161" s="747"/>
      <c r="AP161" s="747"/>
      <c r="AQ161" s="747"/>
      <c r="AR161" s="747"/>
      <c r="AS161" s="747"/>
      <c r="AT161" s="747"/>
      <c r="AU161" s="747"/>
      <c r="AV161" s="747"/>
      <c r="AW161" s="747"/>
      <c r="AX161" s="747"/>
      <c r="AY161" s="747"/>
      <c r="AZ161" s="747"/>
      <c r="BA161" s="747"/>
      <c r="BB161" s="747"/>
      <c r="BC161" s="756"/>
    </row>
    <row r="162" spans="7:55" s="21" customFormat="1" ht="17.25" customHeight="1">
      <c r="G162" s="773"/>
      <c r="H162" s="747"/>
      <c r="I162" s="747"/>
      <c r="J162" s="747"/>
      <c r="K162" s="747"/>
      <c r="L162" s="747"/>
      <c r="M162" s="747"/>
      <c r="N162" s="747"/>
      <c r="O162" s="747"/>
      <c r="P162" s="747"/>
      <c r="Q162" s="747"/>
      <c r="R162" s="747"/>
      <c r="S162" s="747"/>
      <c r="T162" s="747"/>
      <c r="U162" s="747"/>
      <c r="V162" s="747"/>
      <c r="W162" s="747"/>
      <c r="X162" s="747"/>
      <c r="Y162" s="747"/>
      <c r="Z162" s="747"/>
      <c r="AA162" s="747"/>
      <c r="AB162" s="747"/>
      <c r="AC162" s="747"/>
      <c r="AD162" s="747"/>
      <c r="AE162" s="747"/>
      <c r="AF162" s="747"/>
      <c r="AG162" s="747"/>
      <c r="AH162" s="747"/>
      <c r="AI162" s="747"/>
      <c r="AJ162" s="747"/>
      <c r="AK162" s="747"/>
      <c r="AL162" s="747"/>
      <c r="AM162" s="747"/>
      <c r="AN162" s="747"/>
      <c r="AO162" s="747"/>
      <c r="AP162" s="747"/>
      <c r="AQ162" s="747"/>
      <c r="AR162" s="747"/>
      <c r="AS162" s="747"/>
      <c r="AT162" s="747"/>
      <c r="AU162" s="747"/>
      <c r="AV162" s="747"/>
      <c r="AW162" s="747"/>
      <c r="AX162" s="747"/>
      <c r="AY162" s="747"/>
      <c r="AZ162" s="747"/>
      <c r="BA162" s="747"/>
      <c r="BB162" s="747"/>
      <c r="BC162" s="756"/>
    </row>
    <row r="163" spans="7:55" s="21" customFormat="1" ht="17.25" customHeight="1">
      <c r="G163" s="775">
        <v>30</v>
      </c>
      <c r="H163" s="747"/>
      <c r="I163" s="747"/>
      <c r="J163" s="747"/>
      <c r="K163" s="747"/>
      <c r="L163" s="747"/>
      <c r="M163" s="747"/>
      <c r="N163" s="747"/>
      <c r="O163" s="747"/>
      <c r="P163" s="747"/>
      <c r="Q163" s="747"/>
      <c r="R163" s="747"/>
      <c r="S163" s="747"/>
      <c r="T163" s="747"/>
      <c r="U163" s="747"/>
      <c r="V163" s="747"/>
      <c r="W163" s="747"/>
      <c r="X163" s="747"/>
      <c r="Y163" s="747"/>
      <c r="Z163" s="747"/>
      <c r="AA163" s="747"/>
      <c r="AB163" s="747"/>
      <c r="AC163" s="747"/>
      <c r="AD163" s="747"/>
      <c r="AE163" s="747"/>
      <c r="AF163" s="747"/>
      <c r="AG163" s="747"/>
      <c r="AH163" s="747"/>
      <c r="AI163" s="747"/>
      <c r="AJ163" s="747"/>
      <c r="AK163" s="747"/>
      <c r="AL163" s="747"/>
      <c r="AM163" s="747"/>
      <c r="AN163" s="747"/>
      <c r="AO163" s="747"/>
      <c r="AP163" s="747"/>
      <c r="AQ163" s="747"/>
      <c r="AR163" s="747"/>
      <c r="AS163" s="747"/>
      <c r="AT163" s="747"/>
      <c r="AU163" s="747"/>
      <c r="AV163" s="747"/>
      <c r="AW163" s="747"/>
      <c r="AX163" s="747"/>
      <c r="AY163" s="747"/>
      <c r="AZ163" s="747"/>
      <c r="BA163" s="747"/>
      <c r="BB163" s="747"/>
      <c r="BC163" s="756"/>
    </row>
    <row r="164" spans="7:55" s="21" customFormat="1" ht="17.25" customHeight="1">
      <c r="G164" s="773"/>
      <c r="H164" s="747"/>
      <c r="I164" s="747"/>
      <c r="J164" s="747"/>
      <c r="K164" s="747"/>
      <c r="L164" s="747"/>
      <c r="M164" s="747"/>
      <c r="N164" s="747"/>
      <c r="O164" s="747"/>
      <c r="P164" s="747"/>
      <c r="Q164" s="747"/>
      <c r="R164" s="747"/>
      <c r="S164" s="747"/>
      <c r="T164" s="747"/>
      <c r="U164" s="747"/>
      <c r="V164" s="747"/>
      <c r="W164" s="747"/>
      <c r="X164" s="747"/>
      <c r="Y164" s="747"/>
      <c r="Z164" s="747"/>
      <c r="AA164" s="747"/>
      <c r="AB164" s="747"/>
      <c r="AC164" s="747"/>
      <c r="AD164" s="747"/>
      <c r="AE164" s="747"/>
      <c r="AF164" s="747"/>
      <c r="AG164" s="747"/>
      <c r="AH164" s="747"/>
      <c r="AI164" s="747"/>
      <c r="AJ164" s="747"/>
      <c r="AK164" s="747"/>
      <c r="AL164" s="747"/>
      <c r="AM164" s="747"/>
      <c r="AN164" s="747"/>
      <c r="AO164" s="747"/>
      <c r="AP164" s="747"/>
      <c r="AQ164" s="747"/>
      <c r="AR164" s="747"/>
      <c r="AS164" s="747"/>
      <c r="AT164" s="747"/>
      <c r="AU164" s="747"/>
      <c r="AV164" s="747"/>
      <c r="AW164" s="747"/>
      <c r="AX164" s="747"/>
      <c r="AY164" s="747"/>
      <c r="AZ164" s="747"/>
      <c r="BA164" s="747"/>
      <c r="BB164" s="747"/>
      <c r="BC164" s="756"/>
    </row>
    <row r="165" spans="7:55" s="21" customFormat="1" ht="17.25" customHeight="1">
      <c r="G165" s="773"/>
      <c r="H165" s="747"/>
      <c r="I165" s="747"/>
      <c r="J165" s="747"/>
      <c r="K165" s="747"/>
      <c r="L165" s="747"/>
      <c r="M165" s="747"/>
      <c r="N165" s="747"/>
      <c r="O165" s="747"/>
      <c r="P165" s="747"/>
      <c r="Q165" s="747"/>
      <c r="R165" s="747"/>
      <c r="S165" s="747"/>
      <c r="T165" s="747"/>
      <c r="U165" s="747"/>
      <c r="V165" s="747"/>
      <c r="W165" s="747"/>
      <c r="X165" s="747"/>
      <c r="Y165" s="747"/>
      <c r="Z165" s="747"/>
      <c r="AA165" s="747"/>
      <c r="AB165" s="747"/>
      <c r="AC165" s="747"/>
      <c r="AD165" s="747"/>
      <c r="AE165" s="747"/>
      <c r="AF165" s="747"/>
      <c r="AG165" s="747"/>
      <c r="AH165" s="747"/>
      <c r="AI165" s="747"/>
      <c r="AJ165" s="747"/>
      <c r="AK165" s="747"/>
      <c r="AL165" s="747"/>
      <c r="AM165" s="747"/>
      <c r="AN165" s="747"/>
      <c r="AO165" s="747"/>
      <c r="AP165" s="747"/>
      <c r="AQ165" s="747"/>
      <c r="AR165" s="747"/>
      <c r="AS165" s="747"/>
      <c r="AT165" s="747"/>
      <c r="AU165" s="747"/>
      <c r="AV165" s="747"/>
      <c r="AW165" s="747"/>
      <c r="AX165" s="747"/>
      <c r="AY165" s="747"/>
      <c r="AZ165" s="747"/>
      <c r="BA165" s="747"/>
      <c r="BB165" s="747"/>
      <c r="BC165" s="756"/>
    </row>
    <row r="166" spans="7:55" s="21" customFormat="1" ht="17.25" customHeight="1">
      <c r="G166" s="773"/>
      <c r="H166" s="747"/>
      <c r="I166" s="747"/>
      <c r="J166" s="747"/>
      <c r="K166" s="747"/>
      <c r="L166" s="747"/>
      <c r="M166" s="747"/>
      <c r="N166" s="747"/>
      <c r="O166" s="747"/>
      <c r="P166" s="747"/>
      <c r="Q166" s="747"/>
      <c r="R166" s="747"/>
      <c r="S166" s="747"/>
      <c r="T166" s="747"/>
      <c r="U166" s="747"/>
      <c r="V166" s="747"/>
      <c r="W166" s="747"/>
      <c r="X166" s="747"/>
      <c r="Y166" s="747"/>
      <c r="Z166" s="747"/>
      <c r="AA166" s="747"/>
      <c r="AB166" s="747"/>
      <c r="AC166" s="747"/>
      <c r="AD166" s="747"/>
      <c r="AE166" s="747"/>
      <c r="AF166" s="747"/>
      <c r="AG166" s="747"/>
      <c r="AH166" s="747"/>
      <c r="AI166" s="747"/>
      <c r="AJ166" s="747"/>
      <c r="AK166" s="747"/>
      <c r="AL166" s="747"/>
      <c r="AM166" s="747"/>
      <c r="AN166" s="747"/>
      <c r="AO166" s="747"/>
      <c r="AP166" s="747"/>
      <c r="AQ166" s="747"/>
      <c r="AR166" s="747"/>
      <c r="AS166" s="747"/>
      <c r="AT166" s="747"/>
      <c r="AU166" s="747"/>
      <c r="AV166" s="747"/>
      <c r="AW166" s="747"/>
      <c r="AX166" s="747"/>
      <c r="AY166" s="747"/>
      <c r="AZ166" s="747"/>
      <c r="BA166" s="747"/>
      <c r="BB166" s="747"/>
      <c r="BC166" s="756"/>
    </row>
    <row r="167" spans="7:55" s="21" customFormat="1" ht="17.25" customHeight="1">
      <c r="G167" s="773"/>
      <c r="H167" s="747"/>
      <c r="I167" s="747"/>
      <c r="J167" s="747"/>
      <c r="K167" s="747"/>
      <c r="L167" s="747"/>
      <c r="M167" s="747"/>
      <c r="N167" s="747"/>
      <c r="O167" s="747"/>
      <c r="P167" s="747"/>
      <c r="Q167" s="747"/>
      <c r="R167" s="747"/>
      <c r="S167" s="747"/>
      <c r="T167" s="747"/>
      <c r="U167" s="747"/>
      <c r="V167" s="747"/>
      <c r="W167" s="747"/>
      <c r="X167" s="747"/>
      <c r="Y167" s="747"/>
      <c r="Z167" s="747"/>
      <c r="AA167" s="747"/>
      <c r="AB167" s="747"/>
      <c r="AC167" s="747"/>
      <c r="AD167" s="747"/>
      <c r="AE167" s="747"/>
      <c r="AF167" s="747"/>
      <c r="AG167" s="747"/>
      <c r="AH167" s="747"/>
      <c r="AI167" s="747"/>
      <c r="AJ167" s="747"/>
      <c r="AK167" s="747"/>
      <c r="AL167" s="747"/>
      <c r="AM167" s="747"/>
      <c r="AN167" s="747"/>
      <c r="AO167" s="747"/>
      <c r="AP167" s="747"/>
      <c r="AQ167" s="747"/>
      <c r="AR167" s="747"/>
      <c r="AS167" s="747"/>
      <c r="AT167" s="747"/>
      <c r="AU167" s="747"/>
      <c r="AV167" s="747"/>
      <c r="AW167" s="747"/>
      <c r="AX167" s="747"/>
      <c r="AY167" s="747"/>
      <c r="AZ167" s="747"/>
      <c r="BA167" s="747"/>
      <c r="BB167" s="747"/>
      <c r="BC167" s="756"/>
    </row>
    <row r="168" spans="7:55" s="21" customFormat="1" ht="17.25" customHeight="1">
      <c r="G168" s="774">
        <v>25</v>
      </c>
      <c r="H168" s="747"/>
      <c r="I168" s="747"/>
      <c r="J168" s="747"/>
      <c r="K168" s="747"/>
      <c r="L168" s="747"/>
      <c r="M168" s="747"/>
      <c r="N168" s="747"/>
      <c r="O168" s="747"/>
      <c r="P168" s="747"/>
      <c r="Q168" s="747"/>
      <c r="R168" s="747"/>
      <c r="S168" s="747"/>
      <c r="T168" s="747"/>
      <c r="U168" s="747"/>
      <c r="V168" s="747"/>
      <c r="W168" s="747"/>
      <c r="X168" s="747"/>
      <c r="Y168" s="747"/>
      <c r="Z168" s="747"/>
      <c r="AA168" s="747"/>
      <c r="AB168" s="747"/>
      <c r="AC168" s="747"/>
      <c r="AD168" s="747"/>
      <c r="AE168" s="747"/>
      <c r="AF168" s="747"/>
      <c r="AG168" s="747"/>
      <c r="AH168" s="747"/>
      <c r="AI168" s="747"/>
      <c r="AJ168" s="747"/>
      <c r="AK168" s="747"/>
      <c r="AL168" s="747"/>
      <c r="AM168" s="747"/>
      <c r="AN168" s="747"/>
      <c r="AO168" s="747"/>
      <c r="AP168" s="747"/>
      <c r="AQ168" s="747"/>
      <c r="AR168" s="747"/>
      <c r="AS168" s="747"/>
      <c r="AT168" s="747"/>
      <c r="AU168" s="747"/>
      <c r="AV168" s="747"/>
      <c r="AW168" s="747"/>
      <c r="AX168" s="747"/>
      <c r="AY168" s="747"/>
      <c r="AZ168" s="747"/>
      <c r="BA168" s="747"/>
      <c r="BB168" s="747"/>
      <c r="BC168" s="756"/>
    </row>
    <row r="169" spans="7:55" s="21" customFormat="1" ht="17.25" customHeight="1">
      <c r="G169" s="773"/>
      <c r="H169" s="747"/>
      <c r="I169" s="747"/>
      <c r="J169" s="747"/>
      <c r="K169" s="747"/>
      <c r="L169" s="747"/>
      <c r="M169" s="747"/>
      <c r="N169" s="747"/>
      <c r="O169" s="747"/>
      <c r="P169" s="747"/>
      <c r="Q169" s="747"/>
      <c r="R169" s="747"/>
      <c r="S169" s="747"/>
      <c r="T169" s="747"/>
      <c r="U169" s="747"/>
      <c r="V169" s="747"/>
      <c r="W169" s="747"/>
      <c r="X169" s="747"/>
      <c r="Y169" s="747"/>
      <c r="Z169" s="747"/>
      <c r="AA169" s="747"/>
      <c r="AB169" s="747"/>
      <c r="AC169" s="747"/>
      <c r="AD169" s="747"/>
      <c r="AE169" s="747"/>
      <c r="AF169" s="747"/>
      <c r="AG169" s="747"/>
      <c r="AH169" s="747"/>
      <c r="AI169" s="747"/>
      <c r="AJ169" s="747"/>
      <c r="AK169" s="747"/>
      <c r="AL169" s="747"/>
      <c r="AM169" s="747"/>
      <c r="AN169" s="747"/>
      <c r="AO169" s="747"/>
      <c r="AP169" s="747"/>
      <c r="AQ169" s="747"/>
      <c r="AR169" s="747"/>
      <c r="AS169" s="747"/>
      <c r="AT169" s="747"/>
      <c r="AU169" s="747"/>
      <c r="AV169" s="747"/>
      <c r="AW169" s="747"/>
      <c r="AX169" s="747"/>
      <c r="AY169" s="747"/>
      <c r="AZ169" s="747"/>
      <c r="BA169" s="747"/>
      <c r="BB169" s="747"/>
      <c r="BC169" s="756"/>
    </row>
    <row r="170" spans="7:55" s="21" customFormat="1" ht="17.25" customHeight="1">
      <c r="G170" s="773"/>
      <c r="H170" s="747"/>
      <c r="I170" s="747"/>
      <c r="J170" s="747"/>
      <c r="K170" s="747"/>
      <c r="L170" s="747"/>
      <c r="M170" s="747"/>
      <c r="N170" s="747"/>
      <c r="O170" s="747"/>
      <c r="P170" s="747"/>
      <c r="Q170" s="747"/>
      <c r="R170" s="747"/>
      <c r="S170" s="747"/>
      <c r="T170" s="747"/>
      <c r="U170" s="747"/>
      <c r="V170" s="747"/>
      <c r="W170" s="747"/>
      <c r="X170" s="747"/>
      <c r="Y170" s="747"/>
      <c r="Z170" s="747"/>
      <c r="AA170" s="747"/>
      <c r="AB170" s="747"/>
      <c r="AC170" s="747"/>
      <c r="AD170" s="747"/>
      <c r="AE170" s="747"/>
      <c r="AF170" s="747"/>
      <c r="AG170" s="747"/>
      <c r="AH170" s="747"/>
      <c r="AI170" s="747"/>
      <c r="AJ170" s="747"/>
      <c r="AK170" s="747"/>
      <c r="AL170" s="747"/>
      <c r="AM170" s="747"/>
      <c r="AN170" s="747"/>
      <c r="AO170" s="747"/>
      <c r="AP170" s="747"/>
      <c r="AQ170" s="747"/>
      <c r="AR170" s="747"/>
      <c r="AS170" s="747"/>
      <c r="AT170" s="747"/>
      <c r="AU170" s="747"/>
      <c r="AV170" s="747"/>
      <c r="AW170" s="747"/>
      <c r="AX170" s="747"/>
      <c r="AY170" s="747"/>
      <c r="AZ170" s="747"/>
      <c r="BA170" s="747"/>
      <c r="BB170" s="747"/>
      <c r="BC170" s="756"/>
    </row>
    <row r="171" spans="7:55" s="21" customFormat="1" ht="17.25" customHeight="1">
      <c r="G171" s="773"/>
      <c r="H171" s="747"/>
      <c r="I171" s="747"/>
      <c r="J171" s="747"/>
      <c r="K171" s="747"/>
      <c r="L171" s="747"/>
      <c r="M171" s="747"/>
      <c r="N171" s="747"/>
      <c r="O171" s="747"/>
      <c r="P171" s="747"/>
      <c r="Q171" s="747"/>
      <c r="R171" s="747"/>
      <c r="S171" s="747"/>
      <c r="T171" s="747"/>
      <c r="U171" s="747"/>
      <c r="V171" s="747"/>
      <c r="W171" s="747"/>
      <c r="X171" s="747"/>
      <c r="Y171" s="747"/>
      <c r="Z171" s="747"/>
      <c r="AA171" s="747"/>
      <c r="AB171" s="747"/>
      <c r="AC171" s="747"/>
      <c r="AD171" s="747"/>
      <c r="AE171" s="747"/>
      <c r="AF171" s="747"/>
      <c r="AG171" s="747"/>
      <c r="AH171" s="747"/>
      <c r="AI171" s="747"/>
      <c r="AJ171" s="747"/>
      <c r="AK171" s="747"/>
      <c r="AL171" s="747"/>
      <c r="AM171" s="747"/>
      <c r="AN171" s="747"/>
      <c r="AO171" s="747"/>
      <c r="AP171" s="747"/>
      <c r="AQ171" s="747"/>
      <c r="AR171" s="747"/>
      <c r="AS171" s="747"/>
      <c r="AT171" s="747"/>
      <c r="AU171" s="747"/>
      <c r="AV171" s="747"/>
      <c r="AW171" s="747"/>
      <c r="AX171" s="747"/>
      <c r="AY171" s="747"/>
      <c r="AZ171" s="747"/>
      <c r="BA171" s="747"/>
      <c r="BB171" s="747"/>
      <c r="BC171" s="756"/>
    </row>
    <row r="172" spans="7:55" s="21" customFormat="1" ht="17.25" customHeight="1">
      <c r="G172" s="773"/>
      <c r="H172" s="747"/>
      <c r="I172" s="747"/>
      <c r="J172" s="747"/>
      <c r="K172" s="747"/>
      <c r="L172" s="747"/>
      <c r="M172" s="747"/>
      <c r="N172" s="747"/>
      <c r="O172" s="747"/>
      <c r="P172" s="747"/>
      <c r="Q172" s="747"/>
      <c r="R172" s="747"/>
      <c r="S172" s="747"/>
      <c r="T172" s="747"/>
      <c r="U172" s="747"/>
      <c r="V172" s="747"/>
      <c r="W172" s="747"/>
      <c r="X172" s="747"/>
      <c r="Y172" s="747"/>
      <c r="Z172" s="747"/>
      <c r="AA172" s="747"/>
      <c r="AB172" s="747"/>
      <c r="AC172" s="747"/>
      <c r="AD172" s="747"/>
      <c r="AE172" s="747"/>
      <c r="AF172" s="747"/>
      <c r="AG172" s="747"/>
      <c r="AH172" s="747"/>
      <c r="AI172" s="747"/>
      <c r="AJ172" s="747"/>
      <c r="AK172" s="747"/>
      <c r="AL172" s="747"/>
      <c r="AM172" s="747"/>
      <c r="AN172" s="747"/>
      <c r="AO172" s="747"/>
      <c r="AP172" s="747"/>
      <c r="AQ172" s="747"/>
      <c r="AR172" s="747"/>
      <c r="AS172" s="747"/>
      <c r="AT172" s="747"/>
      <c r="AU172" s="747"/>
      <c r="AV172" s="747"/>
      <c r="AW172" s="747"/>
      <c r="AX172" s="747"/>
      <c r="AY172" s="747"/>
      <c r="AZ172" s="747"/>
      <c r="BA172" s="747"/>
      <c r="BB172" s="747"/>
      <c r="BC172" s="756"/>
    </row>
    <row r="173" spans="7:55" s="21" customFormat="1" ht="17.25" customHeight="1">
      <c r="G173" s="775">
        <v>20</v>
      </c>
      <c r="H173" s="747"/>
      <c r="I173" s="747"/>
      <c r="J173" s="747"/>
      <c r="K173" s="747"/>
      <c r="L173" s="747"/>
      <c r="M173" s="747"/>
      <c r="N173" s="747"/>
      <c r="O173" s="747"/>
      <c r="P173" s="747"/>
      <c r="Q173" s="747"/>
      <c r="R173" s="747"/>
      <c r="S173" s="747"/>
      <c r="T173" s="747"/>
      <c r="U173" s="747"/>
      <c r="V173" s="747"/>
      <c r="W173" s="747"/>
      <c r="X173" s="747"/>
      <c r="Y173" s="747"/>
      <c r="Z173" s="747"/>
      <c r="AA173" s="747"/>
      <c r="AB173" s="747"/>
      <c r="AC173" s="747"/>
      <c r="AD173" s="747"/>
      <c r="AE173" s="747"/>
      <c r="AF173" s="747"/>
      <c r="AG173" s="747"/>
      <c r="AH173" s="747"/>
      <c r="AI173" s="747"/>
      <c r="AJ173" s="747"/>
      <c r="AK173" s="747"/>
      <c r="AL173" s="747"/>
      <c r="AM173" s="747"/>
      <c r="AN173" s="747"/>
      <c r="AO173" s="747"/>
      <c r="AP173" s="747"/>
      <c r="AQ173" s="747"/>
      <c r="AR173" s="747"/>
      <c r="AS173" s="747"/>
      <c r="AT173" s="747"/>
      <c r="AU173" s="747"/>
      <c r="AV173" s="747"/>
      <c r="AW173" s="747"/>
      <c r="AX173" s="747"/>
      <c r="AY173" s="747"/>
      <c r="AZ173" s="747"/>
      <c r="BA173" s="747"/>
      <c r="BB173" s="747"/>
      <c r="BC173" s="756"/>
    </row>
    <row r="174" spans="7:55" s="21" customFormat="1" ht="17.25" customHeight="1">
      <c r="G174" s="773"/>
      <c r="H174" s="747"/>
      <c r="I174" s="747"/>
      <c r="J174" s="747"/>
      <c r="K174" s="747"/>
      <c r="L174" s="747"/>
      <c r="M174" s="747"/>
      <c r="N174" s="747"/>
      <c r="O174" s="747"/>
      <c r="P174" s="747"/>
      <c r="Q174" s="747"/>
      <c r="R174" s="747"/>
      <c r="S174" s="747"/>
      <c r="T174" s="747"/>
      <c r="U174" s="747"/>
      <c r="V174" s="747"/>
      <c r="W174" s="747"/>
      <c r="X174" s="747"/>
      <c r="Y174" s="747"/>
      <c r="Z174" s="747"/>
      <c r="AA174" s="747"/>
      <c r="AB174" s="747"/>
      <c r="AC174" s="747"/>
      <c r="AD174" s="747"/>
      <c r="AE174" s="747"/>
      <c r="AF174" s="747"/>
      <c r="AG174" s="747"/>
      <c r="AH174" s="747"/>
      <c r="AI174" s="747"/>
      <c r="AJ174" s="747"/>
      <c r="AK174" s="747"/>
      <c r="AL174" s="747"/>
      <c r="AM174" s="747"/>
      <c r="AN174" s="747"/>
      <c r="AO174" s="747"/>
      <c r="AP174" s="747"/>
      <c r="AQ174" s="747"/>
      <c r="AR174" s="747"/>
      <c r="AS174" s="747"/>
      <c r="AT174" s="747"/>
      <c r="AU174" s="747"/>
      <c r="AV174" s="747"/>
      <c r="AW174" s="747"/>
      <c r="AX174" s="747"/>
      <c r="AY174" s="747"/>
      <c r="AZ174" s="747"/>
      <c r="BA174" s="747"/>
      <c r="BB174" s="747"/>
      <c r="BC174" s="756"/>
    </row>
    <row r="175" spans="7:55" s="21" customFormat="1" ht="17.25" customHeight="1">
      <c r="G175" s="773"/>
      <c r="H175" s="747"/>
      <c r="I175" s="747"/>
      <c r="J175" s="747"/>
      <c r="K175" s="747"/>
      <c r="L175" s="747"/>
      <c r="M175" s="747"/>
      <c r="N175" s="747"/>
      <c r="O175" s="747"/>
      <c r="P175" s="747"/>
      <c r="Q175" s="747"/>
      <c r="R175" s="747"/>
      <c r="S175" s="747"/>
      <c r="T175" s="747"/>
      <c r="U175" s="747"/>
      <c r="V175" s="747"/>
      <c r="W175" s="747"/>
      <c r="X175" s="747"/>
      <c r="Y175" s="747"/>
      <c r="Z175" s="747"/>
      <c r="AA175" s="747"/>
      <c r="AB175" s="747"/>
      <c r="AC175" s="747"/>
      <c r="AD175" s="747"/>
      <c r="AE175" s="747"/>
      <c r="AF175" s="747"/>
      <c r="AG175" s="747"/>
      <c r="AH175" s="747"/>
      <c r="AI175" s="747"/>
      <c r="AJ175" s="747"/>
      <c r="AK175" s="747"/>
      <c r="AL175" s="747"/>
      <c r="AM175" s="747"/>
      <c r="AN175" s="747"/>
      <c r="AO175" s="747"/>
      <c r="AP175" s="747"/>
      <c r="AQ175" s="747"/>
      <c r="AR175" s="747"/>
      <c r="AS175" s="747"/>
      <c r="AT175" s="747"/>
      <c r="AU175" s="747"/>
      <c r="AV175" s="747"/>
      <c r="AW175" s="747"/>
      <c r="AX175" s="747"/>
      <c r="AY175" s="747"/>
      <c r="AZ175" s="747"/>
      <c r="BA175" s="747"/>
      <c r="BB175" s="747"/>
      <c r="BC175" s="756"/>
    </row>
    <row r="176" spans="7:55" s="21" customFormat="1" ht="17.25" customHeight="1">
      <c r="G176" s="773"/>
      <c r="H176" s="747"/>
      <c r="I176" s="747"/>
      <c r="J176" s="747"/>
      <c r="K176" s="747"/>
      <c r="L176" s="747"/>
      <c r="M176" s="747"/>
      <c r="N176" s="747"/>
      <c r="O176" s="747"/>
      <c r="P176" s="747"/>
      <c r="Q176" s="747"/>
      <c r="R176" s="747"/>
      <c r="S176" s="747"/>
      <c r="T176" s="747"/>
      <c r="U176" s="747"/>
      <c r="V176" s="747"/>
      <c r="W176" s="747"/>
      <c r="X176" s="747"/>
      <c r="Y176" s="747"/>
      <c r="Z176" s="747"/>
      <c r="AA176" s="747"/>
      <c r="AB176" s="747"/>
      <c r="AC176" s="747"/>
      <c r="AD176" s="747"/>
      <c r="AE176" s="747"/>
      <c r="AF176" s="747"/>
      <c r="AG176" s="747"/>
      <c r="AH176" s="747"/>
      <c r="AI176" s="747"/>
      <c r="AJ176" s="747"/>
      <c r="AK176" s="747"/>
      <c r="AL176" s="747"/>
      <c r="AM176" s="747"/>
      <c r="AN176" s="747"/>
      <c r="AO176" s="747"/>
      <c r="AP176" s="747"/>
      <c r="AQ176" s="747"/>
      <c r="AR176" s="747"/>
      <c r="AS176" s="747"/>
      <c r="AT176" s="747"/>
      <c r="AU176" s="747"/>
      <c r="AV176" s="747"/>
      <c r="AW176" s="747"/>
      <c r="AX176" s="747"/>
      <c r="AY176" s="747"/>
      <c r="AZ176" s="747"/>
      <c r="BA176" s="747"/>
      <c r="BB176" s="747"/>
      <c r="BC176" s="756"/>
    </row>
    <row r="177" spans="7:55" s="21" customFormat="1" ht="17.25" customHeight="1">
      <c r="G177" s="773"/>
      <c r="H177" s="747"/>
      <c r="I177" s="747"/>
      <c r="J177" s="747"/>
      <c r="K177" s="747"/>
      <c r="L177" s="747"/>
      <c r="M177" s="747"/>
      <c r="N177" s="747"/>
      <c r="O177" s="747"/>
      <c r="P177" s="747"/>
      <c r="Q177" s="747"/>
      <c r="R177" s="747"/>
      <c r="S177" s="747"/>
      <c r="T177" s="747"/>
      <c r="U177" s="747"/>
      <c r="V177" s="747"/>
      <c r="W177" s="747"/>
      <c r="X177" s="747"/>
      <c r="Y177" s="747"/>
      <c r="Z177" s="747"/>
      <c r="AA177" s="747"/>
      <c r="AB177" s="747"/>
      <c r="AC177" s="747"/>
      <c r="AD177" s="747"/>
      <c r="AE177" s="747"/>
      <c r="AF177" s="747"/>
      <c r="AG177" s="747"/>
      <c r="AH177" s="747"/>
      <c r="AI177" s="747"/>
      <c r="AJ177" s="747"/>
      <c r="AK177" s="747"/>
      <c r="AL177" s="747"/>
      <c r="AM177" s="747"/>
      <c r="AN177" s="747"/>
      <c r="AO177" s="747"/>
      <c r="AP177" s="747"/>
      <c r="AQ177" s="747"/>
      <c r="AR177" s="747"/>
      <c r="AS177" s="747"/>
      <c r="AT177" s="747"/>
      <c r="AU177" s="747"/>
      <c r="AV177" s="747"/>
      <c r="AW177" s="747"/>
      <c r="AX177" s="747"/>
      <c r="AY177" s="747"/>
      <c r="AZ177" s="747"/>
      <c r="BA177" s="747"/>
      <c r="BB177" s="747"/>
      <c r="BC177" s="756"/>
    </row>
    <row r="178" spans="7:55" s="21" customFormat="1" ht="17.25" customHeight="1">
      <c r="G178" s="774">
        <v>15</v>
      </c>
      <c r="H178" s="747"/>
      <c r="I178" s="747"/>
      <c r="J178" s="747"/>
      <c r="K178" s="747"/>
      <c r="L178" s="747"/>
      <c r="M178" s="747"/>
      <c r="N178" s="747"/>
      <c r="O178" s="747"/>
      <c r="P178" s="747"/>
      <c r="Q178" s="747"/>
      <c r="R178" s="747"/>
      <c r="S178" s="747"/>
      <c r="T178" s="747"/>
      <c r="U178" s="747"/>
      <c r="V178" s="747"/>
      <c r="W178" s="747"/>
      <c r="X178" s="747"/>
      <c r="Y178" s="747"/>
      <c r="Z178" s="747"/>
      <c r="AA178" s="747"/>
      <c r="AB178" s="747"/>
      <c r="AC178" s="747"/>
      <c r="AD178" s="747"/>
      <c r="AE178" s="747"/>
      <c r="AF178" s="747"/>
      <c r="AG178" s="747"/>
      <c r="AH178" s="747"/>
      <c r="AI178" s="747"/>
      <c r="AJ178" s="747"/>
      <c r="AK178" s="747"/>
      <c r="AL178" s="747"/>
      <c r="AM178" s="747"/>
      <c r="AN178" s="747"/>
      <c r="AO178" s="747"/>
      <c r="AP178" s="747"/>
      <c r="AQ178" s="747"/>
      <c r="AR178" s="747"/>
      <c r="AS178" s="747"/>
      <c r="AT178" s="747"/>
      <c r="AU178" s="747"/>
      <c r="AV178" s="747"/>
      <c r="AW178" s="747"/>
      <c r="AX178" s="747"/>
      <c r="AY178" s="747"/>
      <c r="AZ178" s="747"/>
      <c r="BA178" s="747"/>
      <c r="BB178" s="747"/>
      <c r="BC178" s="756"/>
    </row>
    <row r="179" spans="7:55" s="21" customFormat="1" ht="17.25" customHeight="1">
      <c r="G179" s="773"/>
      <c r="H179" s="747"/>
      <c r="I179" s="747"/>
      <c r="J179" s="747"/>
      <c r="K179" s="747"/>
      <c r="L179" s="747"/>
      <c r="M179" s="747"/>
      <c r="N179" s="747"/>
      <c r="O179" s="747"/>
      <c r="P179" s="747"/>
      <c r="Q179" s="747"/>
      <c r="R179" s="747"/>
      <c r="S179" s="747"/>
      <c r="T179" s="747"/>
      <c r="U179" s="747"/>
      <c r="V179" s="747"/>
      <c r="W179" s="747"/>
      <c r="X179" s="747"/>
      <c r="Y179" s="747"/>
      <c r="Z179" s="747"/>
      <c r="AA179" s="747"/>
      <c r="AB179" s="747"/>
      <c r="AC179" s="747"/>
      <c r="AD179" s="747"/>
      <c r="AE179" s="747"/>
      <c r="AF179" s="747"/>
      <c r="AG179" s="747"/>
      <c r="AH179" s="747"/>
      <c r="AI179" s="747"/>
      <c r="AJ179" s="747"/>
      <c r="AK179" s="747"/>
      <c r="AL179" s="747"/>
      <c r="AM179" s="747"/>
      <c r="AN179" s="747"/>
      <c r="AO179" s="747"/>
      <c r="AP179" s="747"/>
      <c r="AQ179" s="747"/>
      <c r="AR179" s="747"/>
      <c r="AS179" s="747"/>
      <c r="AT179" s="747"/>
      <c r="AU179" s="747"/>
      <c r="AV179" s="747"/>
      <c r="AW179" s="747"/>
      <c r="AX179" s="747"/>
      <c r="AY179" s="747"/>
      <c r="AZ179" s="747"/>
      <c r="BA179" s="747"/>
      <c r="BB179" s="747"/>
      <c r="BC179" s="756"/>
    </row>
    <row r="180" spans="7:55" s="21" customFormat="1" ht="17.25" customHeight="1">
      <c r="G180" s="773"/>
      <c r="H180" s="747"/>
      <c r="I180" s="747"/>
      <c r="J180" s="747"/>
      <c r="K180" s="747"/>
      <c r="L180" s="747"/>
      <c r="M180" s="747"/>
      <c r="N180" s="747"/>
      <c r="O180" s="747"/>
      <c r="P180" s="747"/>
      <c r="Q180" s="747"/>
      <c r="R180" s="747"/>
      <c r="S180" s="747"/>
      <c r="T180" s="747"/>
      <c r="U180" s="747"/>
      <c r="V180" s="747"/>
      <c r="W180" s="747"/>
      <c r="X180" s="747"/>
      <c r="Y180" s="747"/>
      <c r="Z180" s="747"/>
      <c r="AA180" s="747"/>
      <c r="AB180" s="747"/>
      <c r="AC180" s="747"/>
      <c r="AD180" s="747"/>
      <c r="AE180" s="747"/>
      <c r="AF180" s="747"/>
      <c r="AG180" s="747"/>
      <c r="AH180" s="747"/>
      <c r="AI180" s="747"/>
      <c r="AJ180" s="747"/>
      <c r="AK180" s="747"/>
      <c r="AL180" s="747"/>
      <c r="AM180" s="747"/>
      <c r="AN180" s="747"/>
      <c r="AO180" s="747"/>
      <c r="AP180" s="747"/>
      <c r="AQ180" s="747"/>
      <c r="AR180" s="747"/>
      <c r="AS180" s="747"/>
      <c r="AT180" s="747"/>
      <c r="AU180" s="747"/>
      <c r="AV180" s="747"/>
      <c r="AW180" s="747"/>
      <c r="AX180" s="747"/>
      <c r="AY180" s="747"/>
      <c r="AZ180" s="747"/>
      <c r="BA180" s="747"/>
      <c r="BB180" s="747"/>
      <c r="BC180" s="756"/>
    </row>
    <row r="181" spans="7:55" s="21" customFormat="1" ht="17.25" customHeight="1">
      <c r="G181" s="773"/>
      <c r="H181" s="747"/>
      <c r="I181" s="747"/>
      <c r="J181" s="747"/>
      <c r="K181" s="747"/>
      <c r="L181" s="747"/>
      <c r="M181" s="747"/>
      <c r="N181" s="747"/>
      <c r="O181" s="747"/>
      <c r="P181" s="747"/>
      <c r="Q181" s="747"/>
      <c r="R181" s="747"/>
      <c r="S181" s="747"/>
      <c r="T181" s="747"/>
      <c r="U181" s="747"/>
      <c r="V181" s="747"/>
      <c r="W181" s="747"/>
      <c r="X181" s="747"/>
      <c r="Y181" s="747"/>
      <c r="Z181" s="747"/>
      <c r="AA181" s="747"/>
      <c r="AB181" s="747"/>
      <c r="AC181" s="747"/>
      <c r="AD181" s="747"/>
      <c r="AE181" s="747"/>
      <c r="AF181" s="747"/>
      <c r="AG181" s="747"/>
      <c r="AH181" s="747"/>
      <c r="AI181" s="747"/>
      <c r="AJ181" s="747"/>
      <c r="AK181" s="747"/>
      <c r="AL181" s="747"/>
      <c r="AM181" s="747"/>
      <c r="AN181" s="747"/>
      <c r="AO181" s="747"/>
      <c r="AP181" s="747"/>
      <c r="AQ181" s="747"/>
      <c r="AR181" s="747"/>
      <c r="AS181" s="747"/>
      <c r="AT181" s="747"/>
      <c r="AU181" s="747"/>
      <c r="AV181" s="747"/>
      <c r="AW181" s="747"/>
      <c r="AX181" s="747"/>
      <c r="AY181" s="747"/>
      <c r="AZ181" s="747"/>
      <c r="BA181" s="747"/>
      <c r="BB181" s="747"/>
      <c r="BC181" s="756"/>
    </row>
    <row r="182" spans="7:55" s="21" customFormat="1" ht="17.25" customHeight="1">
      <c r="G182" s="773"/>
      <c r="H182" s="747"/>
      <c r="I182" s="747"/>
      <c r="J182" s="747"/>
      <c r="K182" s="747"/>
      <c r="L182" s="747"/>
      <c r="M182" s="747"/>
      <c r="N182" s="747"/>
      <c r="O182" s="747"/>
      <c r="P182" s="747"/>
      <c r="Q182" s="747"/>
      <c r="R182" s="747"/>
      <c r="S182" s="747"/>
      <c r="T182" s="747"/>
      <c r="U182" s="747"/>
      <c r="V182" s="747"/>
      <c r="W182" s="747"/>
      <c r="X182" s="747"/>
      <c r="Y182" s="747"/>
      <c r="Z182" s="747"/>
      <c r="AA182" s="747"/>
      <c r="AB182" s="747"/>
      <c r="AC182" s="747"/>
      <c r="AD182" s="747"/>
      <c r="AE182" s="747"/>
      <c r="AF182" s="747"/>
      <c r="AG182" s="747"/>
      <c r="AH182" s="747"/>
      <c r="AI182" s="747"/>
      <c r="AJ182" s="747"/>
      <c r="AK182" s="747"/>
      <c r="AL182" s="747"/>
      <c r="AM182" s="747"/>
      <c r="AN182" s="747"/>
      <c r="AO182" s="747"/>
      <c r="AP182" s="747"/>
      <c r="AQ182" s="747"/>
      <c r="AR182" s="747"/>
      <c r="AS182" s="747"/>
      <c r="AT182" s="747"/>
      <c r="AU182" s="747"/>
      <c r="AV182" s="747"/>
      <c r="AW182" s="747"/>
      <c r="AX182" s="747"/>
      <c r="AY182" s="747"/>
      <c r="AZ182" s="747"/>
      <c r="BA182" s="747"/>
      <c r="BB182" s="747"/>
      <c r="BC182" s="756"/>
    </row>
    <row r="183" spans="7:55" s="21" customFormat="1" ht="17.25" customHeight="1">
      <c r="G183" s="775">
        <v>10</v>
      </c>
      <c r="H183" s="747"/>
      <c r="I183" s="747"/>
      <c r="J183" s="747"/>
      <c r="K183" s="747"/>
      <c r="L183" s="747"/>
      <c r="M183" s="747"/>
      <c r="N183" s="747"/>
      <c r="O183" s="747"/>
      <c r="P183" s="747"/>
      <c r="Q183" s="747"/>
      <c r="R183" s="747"/>
      <c r="S183" s="747"/>
      <c r="T183" s="747"/>
      <c r="U183" s="747"/>
      <c r="V183" s="747"/>
      <c r="W183" s="747"/>
      <c r="X183" s="747"/>
      <c r="Y183" s="747"/>
      <c r="Z183" s="747"/>
      <c r="AA183" s="747"/>
      <c r="AB183" s="747"/>
      <c r="AC183" s="747"/>
      <c r="AD183" s="747"/>
      <c r="AE183" s="747"/>
      <c r="AF183" s="747"/>
      <c r="AG183" s="747"/>
      <c r="AH183" s="747"/>
      <c r="AI183" s="747"/>
      <c r="AJ183" s="747"/>
      <c r="AK183" s="747"/>
      <c r="AL183" s="747"/>
      <c r="AM183" s="747"/>
      <c r="AN183" s="747"/>
      <c r="AO183" s="747"/>
      <c r="AP183" s="747"/>
      <c r="AQ183" s="747"/>
      <c r="AR183" s="747"/>
      <c r="AS183" s="747"/>
      <c r="AT183" s="747"/>
      <c r="AU183" s="747"/>
      <c r="AV183" s="747"/>
      <c r="AW183" s="747"/>
      <c r="AX183" s="747"/>
      <c r="AY183" s="747"/>
      <c r="AZ183" s="747"/>
      <c r="BA183" s="747"/>
      <c r="BB183" s="747"/>
      <c r="BC183" s="756"/>
    </row>
    <row r="184" spans="7:55" s="21" customFormat="1" ht="17.25" customHeight="1">
      <c r="G184" s="773"/>
      <c r="H184" s="747"/>
      <c r="I184" s="747"/>
      <c r="J184" s="747"/>
      <c r="K184" s="747"/>
      <c r="L184" s="747"/>
      <c r="M184" s="747"/>
      <c r="N184" s="747"/>
      <c r="O184" s="747"/>
      <c r="P184" s="747"/>
      <c r="Q184" s="747"/>
      <c r="R184" s="747"/>
      <c r="S184" s="747"/>
      <c r="T184" s="747"/>
      <c r="U184" s="747"/>
      <c r="V184" s="747"/>
      <c r="W184" s="747"/>
      <c r="X184" s="747"/>
      <c r="Y184" s="747"/>
      <c r="Z184" s="747"/>
      <c r="AA184" s="747"/>
      <c r="AB184" s="747"/>
      <c r="AC184" s="747"/>
      <c r="AD184" s="747"/>
      <c r="AE184" s="747"/>
      <c r="AF184" s="747"/>
      <c r="AG184" s="747"/>
      <c r="AH184" s="747"/>
      <c r="AI184" s="747"/>
      <c r="AJ184" s="747"/>
      <c r="AK184" s="747"/>
      <c r="AL184" s="747"/>
      <c r="AM184" s="747"/>
      <c r="AN184" s="747"/>
      <c r="AO184" s="747"/>
      <c r="AP184" s="747"/>
      <c r="AQ184" s="747"/>
      <c r="AR184" s="747"/>
      <c r="AS184" s="747"/>
      <c r="AT184" s="747"/>
      <c r="AU184" s="747"/>
      <c r="AV184" s="747"/>
      <c r="AW184" s="747"/>
      <c r="AX184" s="747"/>
      <c r="AY184" s="747"/>
      <c r="AZ184" s="747"/>
      <c r="BA184" s="747"/>
      <c r="BB184" s="747"/>
      <c r="BC184" s="756"/>
    </row>
    <row r="185" spans="7:55" s="21" customFormat="1" ht="17.25" customHeight="1">
      <c r="G185" s="773"/>
      <c r="H185" s="747"/>
      <c r="I185" s="747"/>
      <c r="J185" s="747"/>
      <c r="K185" s="747"/>
      <c r="L185" s="747"/>
      <c r="M185" s="747"/>
      <c r="N185" s="747"/>
      <c r="O185" s="747"/>
      <c r="P185" s="747"/>
      <c r="Q185" s="747"/>
      <c r="R185" s="747"/>
      <c r="S185" s="747"/>
      <c r="T185" s="747"/>
      <c r="U185" s="747"/>
      <c r="V185" s="747"/>
      <c r="W185" s="747"/>
      <c r="X185" s="747"/>
      <c r="Y185" s="747"/>
      <c r="Z185" s="747"/>
      <c r="AA185" s="747"/>
      <c r="AB185" s="747"/>
      <c r="AC185" s="747"/>
      <c r="AD185" s="747"/>
      <c r="AE185" s="747"/>
      <c r="AF185" s="747"/>
      <c r="AG185" s="747"/>
      <c r="AH185" s="747"/>
      <c r="AI185" s="747"/>
      <c r="AJ185" s="747"/>
      <c r="AK185" s="747"/>
      <c r="AL185" s="747"/>
      <c r="AM185" s="747"/>
      <c r="AN185" s="747"/>
      <c r="AO185" s="747"/>
      <c r="AP185" s="747"/>
      <c r="AQ185" s="747"/>
      <c r="AR185" s="747"/>
      <c r="AS185" s="747"/>
      <c r="AT185" s="747"/>
      <c r="AU185" s="747"/>
      <c r="AV185" s="747"/>
      <c r="AW185" s="747"/>
      <c r="AX185" s="747"/>
      <c r="AY185" s="747"/>
      <c r="AZ185" s="747"/>
      <c r="BA185" s="747"/>
      <c r="BB185" s="747"/>
      <c r="BC185" s="756"/>
    </row>
    <row r="186" spans="7:55" s="21" customFormat="1" ht="17.25" customHeight="1">
      <c r="G186" s="773"/>
      <c r="H186" s="747"/>
      <c r="I186" s="747"/>
      <c r="J186" s="747"/>
      <c r="K186" s="747"/>
      <c r="L186" s="747"/>
      <c r="M186" s="747"/>
      <c r="N186" s="747"/>
      <c r="O186" s="747"/>
      <c r="P186" s="747"/>
      <c r="Q186" s="747"/>
      <c r="R186" s="747"/>
      <c r="S186" s="747"/>
      <c r="T186" s="747"/>
      <c r="U186" s="747"/>
      <c r="V186" s="747"/>
      <c r="W186" s="747"/>
      <c r="X186" s="747"/>
      <c r="Y186" s="747"/>
      <c r="Z186" s="747"/>
      <c r="AA186" s="747"/>
      <c r="AB186" s="747"/>
      <c r="AC186" s="747"/>
      <c r="AD186" s="747"/>
      <c r="AE186" s="747"/>
      <c r="AF186" s="747"/>
      <c r="AG186" s="747"/>
      <c r="AH186" s="747"/>
      <c r="AI186" s="747"/>
      <c r="AJ186" s="747"/>
      <c r="AK186" s="747"/>
      <c r="AL186" s="747"/>
      <c r="AM186" s="747"/>
      <c r="AN186" s="747"/>
      <c r="AO186" s="747"/>
      <c r="AP186" s="747"/>
      <c r="AQ186" s="747"/>
      <c r="AR186" s="747"/>
      <c r="AS186" s="747"/>
      <c r="AT186" s="747"/>
      <c r="AU186" s="747"/>
      <c r="AV186" s="747"/>
      <c r="AW186" s="747"/>
      <c r="AX186" s="747"/>
      <c r="AY186" s="747"/>
      <c r="AZ186" s="747"/>
      <c r="BA186" s="747"/>
      <c r="BB186" s="747"/>
      <c r="BC186" s="756"/>
    </row>
    <row r="187" spans="7:55" s="21" customFormat="1" ht="17.25" customHeight="1">
      <c r="G187" s="773"/>
      <c r="H187" s="747"/>
      <c r="I187" s="747"/>
      <c r="J187" s="747"/>
      <c r="K187" s="747"/>
      <c r="L187" s="747"/>
      <c r="M187" s="747"/>
      <c r="N187" s="747"/>
      <c r="O187" s="747"/>
      <c r="P187" s="747"/>
      <c r="Q187" s="747"/>
      <c r="R187" s="747"/>
      <c r="S187" s="747"/>
      <c r="T187" s="747"/>
      <c r="U187" s="747"/>
      <c r="V187" s="747"/>
      <c r="W187" s="747"/>
      <c r="X187" s="747"/>
      <c r="Y187" s="747"/>
      <c r="Z187" s="747"/>
      <c r="AA187" s="747"/>
      <c r="AB187" s="747"/>
      <c r="AC187" s="747"/>
      <c r="AD187" s="747"/>
      <c r="AE187" s="747"/>
      <c r="AF187" s="747"/>
      <c r="AG187" s="747"/>
      <c r="AH187" s="747"/>
      <c r="AI187" s="747"/>
      <c r="AJ187" s="747"/>
      <c r="AK187" s="747"/>
      <c r="AL187" s="747"/>
      <c r="AM187" s="747"/>
      <c r="AN187" s="747"/>
      <c r="AO187" s="747"/>
      <c r="AP187" s="747"/>
      <c r="AQ187" s="747"/>
      <c r="AR187" s="747"/>
      <c r="AS187" s="747"/>
      <c r="AT187" s="747"/>
      <c r="AU187" s="747"/>
      <c r="AV187" s="747"/>
      <c r="AW187" s="747"/>
      <c r="AX187" s="747"/>
      <c r="AY187" s="747"/>
      <c r="AZ187" s="747"/>
      <c r="BA187" s="747"/>
      <c r="BB187" s="747"/>
      <c r="BC187" s="756"/>
    </row>
    <row r="188" spans="7:55" s="21" customFormat="1" ht="17.25" customHeight="1">
      <c r="G188" s="774">
        <v>5</v>
      </c>
      <c r="H188" s="747"/>
      <c r="I188" s="747"/>
      <c r="J188" s="747"/>
      <c r="K188" s="747"/>
      <c r="L188" s="747"/>
      <c r="M188" s="747"/>
      <c r="N188" s="747"/>
      <c r="O188" s="747"/>
      <c r="P188" s="747"/>
      <c r="Q188" s="747"/>
      <c r="R188" s="747"/>
      <c r="S188" s="747"/>
      <c r="T188" s="747"/>
      <c r="U188" s="747"/>
      <c r="V188" s="747"/>
      <c r="W188" s="747"/>
      <c r="X188" s="747"/>
      <c r="Y188" s="747"/>
      <c r="Z188" s="747"/>
      <c r="AA188" s="747"/>
      <c r="AB188" s="747"/>
      <c r="AC188" s="747"/>
      <c r="AD188" s="747"/>
      <c r="AE188" s="747"/>
      <c r="AF188" s="747"/>
      <c r="AG188" s="747"/>
      <c r="AH188" s="747"/>
      <c r="AI188" s="747"/>
      <c r="AJ188" s="747"/>
      <c r="AK188" s="747"/>
      <c r="AL188" s="747"/>
      <c r="AM188" s="747"/>
      <c r="AN188" s="747"/>
      <c r="AO188" s="747"/>
      <c r="AP188" s="747"/>
      <c r="AQ188" s="747"/>
      <c r="AR188" s="747"/>
      <c r="AS188" s="747"/>
      <c r="AT188" s="747"/>
      <c r="AU188" s="747"/>
      <c r="AV188" s="747"/>
      <c r="AW188" s="747"/>
      <c r="AX188" s="747"/>
      <c r="AY188" s="747"/>
      <c r="AZ188" s="747"/>
      <c r="BA188" s="747"/>
      <c r="BB188" s="747"/>
      <c r="BC188" s="756"/>
    </row>
    <row r="189" spans="7:55" s="21" customFormat="1" ht="17.25" customHeight="1">
      <c r="G189" s="773"/>
      <c r="H189" s="747"/>
      <c r="I189" s="747"/>
      <c r="J189" s="747"/>
      <c r="K189" s="747"/>
      <c r="L189" s="747"/>
      <c r="M189" s="747"/>
      <c r="N189" s="747"/>
      <c r="O189" s="747"/>
      <c r="P189" s="747"/>
      <c r="Q189" s="747"/>
      <c r="R189" s="747"/>
      <c r="S189" s="747"/>
      <c r="T189" s="747"/>
      <c r="U189" s="747"/>
      <c r="V189" s="747"/>
      <c r="W189" s="747"/>
      <c r="X189" s="747"/>
      <c r="Y189" s="747"/>
      <c r="Z189" s="747"/>
      <c r="AA189" s="747"/>
      <c r="AB189" s="747"/>
      <c r="AC189" s="747"/>
      <c r="AD189" s="747"/>
      <c r="AE189" s="747"/>
      <c r="AF189" s="747"/>
      <c r="AG189" s="747"/>
      <c r="AH189" s="747"/>
      <c r="AI189" s="747"/>
      <c r="AJ189" s="747"/>
      <c r="AK189" s="747"/>
      <c r="AL189" s="747"/>
      <c r="AM189" s="747"/>
      <c r="AN189" s="747"/>
      <c r="AO189" s="747"/>
      <c r="AP189" s="747"/>
      <c r="AQ189" s="747"/>
      <c r="AR189" s="747"/>
      <c r="AS189" s="747"/>
      <c r="AT189" s="747"/>
      <c r="AU189" s="747"/>
      <c r="AV189" s="747"/>
      <c r="AW189" s="747"/>
      <c r="AX189" s="747"/>
      <c r="AY189" s="747"/>
      <c r="AZ189" s="747"/>
      <c r="BA189" s="747"/>
      <c r="BB189" s="747"/>
      <c r="BC189" s="756"/>
    </row>
    <row r="190" spans="7:55" s="21" customFormat="1" ht="17.25" customHeight="1">
      <c r="G190" s="773"/>
      <c r="H190" s="747"/>
      <c r="I190" s="747"/>
      <c r="J190" s="747"/>
      <c r="K190" s="747"/>
      <c r="L190" s="747"/>
      <c r="M190" s="747"/>
      <c r="N190" s="747"/>
      <c r="O190" s="747"/>
      <c r="P190" s="747"/>
      <c r="Q190" s="747"/>
      <c r="R190" s="747"/>
      <c r="S190" s="747"/>
      <c r="T190" s="747"/>
      <c r="U190" s="747"/>
      <c r="V190" s="747"/>
      <c r="W190" s="747"/>
      <c r="X190" s="747"/>
      <c r="Y190" s="747"/>
      <c r="Z190" s="747"/>
      <c r="AA190" s="747"/>
      <c r="AB190" s="747"/>
      <c r="AC190" s="747"/>
      <c r="AD190" s="747"/>
      <c r="AE190" s="747"/>
      <c r="AF190" s="747"/>
      <c r="AG190" s="747"/>
      <c r="AH190" s="747"/>
      <c r="AI190" s="747"/>
      <c r="AJ190" s="747"/>
      <c r="AK190" s="747"/>
      <c r="AL190" s="747"/>
      <c r="AM190" s="747"/>
      <c r="AN190" s="747"/>
      <c r="AO190" s="747"/>
      <c r="AP190" s="747"/>
      <c r="AQ190" s="747"/>
      <c r="AR190" s="747"/>
      <c r="AS190" s="747"/>
      <c r="AT190" s="747"/>
      <c r="AU190" s="747"/>
      <c r="AV190" s="747"/>
      <c r="AW190" s="747"/>
      <c r="AX190" s="747"/>
      <c r="AY190" s="747"/>
      <c r="AZ190" s="747"/>
      <c r="BA190" s="747"/>
      <c r="BB190" s="747"/>
      <c r="BC190" s="756"/>
    </row>
    <row r="191" spans="7:55" s="21" customFormat="1" ht="17.25" customHeight="1">
      <c r="G191" s="776"/>
      <c r="H191" s="747"/>
      <c r="I191" s="747"/>
      <c r="J191" s="747"/>
      <c r="K191" s="747"/>
      <c r="L191" s="747"/>
      <c r="M191" s="747"/>
      <c r="N191" s="747"/>
      <c r="O191" s="747"/>
      <c r="P191" s="747"/>
      <c r="Q191" s="747"/>
      <c r="R191" s="747"/>
      <c r="S191" s="747"/>
      <c r="T191" s="747"/>
      <c r="U191" s="747"/>
      <c r="V191" s="747"/>
      <c r="W191" s="747"/>
      <c r="X191" s="747"/>
      <c r="Y191" s="747"/>
      <c r="Z191" s="747"/>
      <c r="AA191" s="747"/>
      <c r="AB191" s="747"/>
      <c r="AC191" s="747"/>
      <c r="AD191" s="747"/>
      <c r="AE191" s="747"/>
      <c r="AF191" s="747"/>
      <c r="AG191" s="747"/>
      <c r="AH191" s="747"/>
      <c r="AI191" s="747"/>
      <c r="AJ191" s="747"/>
      <c r="AK191" s="747"/>
      <c r="AL191" s="747"/>
      <c r="AM191" s="747"/>
      <c r="AN191" s="747"/>
      <c r="AO191" s="747"/>
      <c r="AP191" s="747"/>
      <c r="AQ191" s="747"/>
      <c r="AR191" s="747"/>
      <c r="AS191" s="747"/>
      <c r="AT191" s="747"/>
      <c r="AU191" s="747"/>
      <c r="AV191" s="747"/>
      <c r="AW191" s="747"/>
      <c r="AX191" s="747"/>
      <c r="AY191" s="747"/>
      <c r="AZ191" s="747"/>
      <c r="BA191" s="747"/>
      <c r="BB191" s="747"/>
      <c r="BC191" s="756"/>
    </row>
    <row r="192" spans="7:55" s="21" customFormat="1" ht="17.25" customHeight="1">
      <c r="G192" s="776"/>
      <c r="H192" s="747"/>
      <c r="I192" s="747"/>
      <c r="J192" s="747"/>
      <c r="K192" s="747"/>
      <c r="L192" s="747"/>
      <c r="M192" s="747"/>
      <c r="N192" s="747"/>
      <c r="O192" s="747"/>
      <c r="P192" s="747"/>
      <c r="Q192" s="747"/>
      <c r="R192" s="747"/>
      <c r="S192" s="747"/>
      <c r="T192" s="747"/>
      <c r="U192" s="747"/>
      <c r="V192" s="747"/>
      <c r="W192" s="747"/>
      <c r="X192" s="747"/>
      <c r="Y192" s="747"/>
      <c r="Z192" s="747"/>
      <c r="AA192" s="747"/>
      <c r="AB192" s="747"/>
      <c r="AC192" s="747"/>
      <c r="AD192" s="747"/>
      <c r="AE192" s="747"/>
      <c r="AF192" s="747"/>
      <c r="AG192" s="747"/>
      <c r="AH192" s="747"/>
      <c r="AI192" s="747"/>
      <c r="AJ192" s="747"/>
      <c r="AK192" s="747"/>
      <c r="AL192" s="747"/>
      <c r="AM192" s="747"/>
      <c r="AN192" s="747"/>
      <c r="AO192" s="747"/>
      <c r="AP192" s="747"/>
      <c r="AQ192" s="747"/>
      <c r="AR192" s="747"/>
      <c r="AS192" s="747"/>
      <c r="AT192" s="747"/>
      <c r="AU192" s="747"/>
      <c r="AV192" s="747"/>
      <c r="AW192" s="747"/>
      <c r="AX192" s="747"/>
      <c r="AY192" s="747"/>
      <c r="AZ192" s="747"/>
      <c r="BA192" s="747"/>
      <c r="BB192" s="747"/>
      <c r="BC192" s="756"/>
    </row>
    <row r="193" spans="7:55" s="21" customFormat="1" ht="15" customHeight="1">
      <c r="G193" s="777">
        <v>0</v>
      </c>
      <c r="H193" s="778"/>
      <c r="I193" s="778"/>
      <c r="J193" s="778"/>
      <c r="K193" s="778"/>
      <c r="L193" s="779">
        <v>5</v>
      </c>
      <c r="M193" s="778"/>
      <c r="N193" s="778"/>
      <c r="O193" s="778"/>
      <c r="P193" s="3471">
        <v>10</v>
      </c>
      <c r="Q193" s="3471"/>
      <c r="R193" s="778"/>
      <c r="S193" s="778"/>
      <c r="T193" s="778"/>
      <c r="U193" s="778"/>
      <c r="V193" s="779">
        <v>15</v>
      </c>
      <c r="W193" s="778"/>
      <c r="X193" s="778"/>
      <c r="Y193" s="778"/>
      <c r="Z193" s="3471">
        <v>20</v>
      </c>
      <c r="AA193" s="3471"/>
      <c r="AB193" s="778"/>
      <c r="AC193" s="778"/>
      <c r="AD193" s="778"/>
      <c r="AE193" s="778"/>
      <c r="AF193" s="779">
        <v>25</v>
      </c>
      <c r="AG193" s="778"/>
      <c r="AH193" s="778"/>
      <c r="AI193" s="778"/>
      <c r="AJ193" s="3471">
        <v>30</v>
      </c>
      <c r="AK193" s="3471"/>
      <c r="AL193" s="778"/>
      <c r="AM193" s="778"/>
      <c r="AN193" s="778"/>
      <c r="AO193" s="778"/>
      <c r="AP193" s="779">
        <v>35</v>
      </c>
      <c r="AQ193" s="778"/>
      <c r="AR193" s="778"/>
      <c r="AS193" s="778"/>
      <c r="AT193" s="3477">
        <v>40</v>
      </c>
      <c r="AU193" s="3477"/>
      <c r="AV193" s="778"/>
      <c r="AW193" s="778"/>
      <c r="AX193" s="778"/>
      <c r="AY193" s="778"/>
      <c r="AZ193" s="779">
        <v>45</v>
      </c>
      <c r="BA193" s="780"/>
      <c r="BB193" s="778"/>
      <c r="BC193" s="781"/>
    </row>
    <row r="194" spans="7:55" ht="15" customHeight="1">
      <c r="G194" s="3442" t="s">
        <v>955</v>
      </c>
      <c r="H194" s="3442"/>
      <c r="I194" s="3442"/>
      <c r="J194" s="3442"/>
      <c r="K194" s="3442"/>
      <c r="L194" s="3442"/>
      <c r="M194" s="3442"/>
      <c r="N194" s="3442"/>
      <c r="O194" s="3442"/>
      <c r="P194" s="3442"/>
      <c r="Q194" s="3442"/>
      <c r="R194" s="3442"/>
      <c r="S194" s="3442"/>
      <c r="T194" s="3442"/>
      <c r="U194" s="3442"/>
      <c r="V194" s="3442"/>
      <c r="W194" s="3442"/>
      <c r="X194" s="3442"/>
      <c r="Y194" s="3442"/>
      <c r="Z194" s="3442"/>
      <c r="AA194" s="3442"/>
      <c r="AB194" s="3442"/>
      <c r="AC194" s="3442"/>
      <c r="AD194" s="3442"/>
      <c r="AE194" s="3442"/>
      <c r="AF194" s="3442"/>
      <c r="AG194" s="3442"/>
      <c r="AH194" s="3442"/>
      <c r="AI194" s="3442"/>
      <c r="AJ194" s="3442"/>
      <c r="AK194" s="3442"/>
      <c r="AL194" s="3442"/>
      <c r="AM194" s="3442"/>
      <c r="AN194" s="3442"/>
      <c r="AO194" s="3442"/>
      <c r="AP194" s="3442"/>
      <c r="AQ194" s="3442"/>
      <c r="AR194" s="3442"/>
      <c r="AS194" s="3442"/>
      <c r="AT194" s="3442"/>
      <c r="AU194" s="3442"/>
      <c r="AV194" s="3442"/>
      <c r="AW194" s="3442"/>
      <c r="AX194" s="3442"/>
      <c r="AY194" s="3442"/>
      <c r="AZ194" s="3442"/>
      <c r="BA194" s="3442"/>
      <c r="BB194" s="3442"/>
      <c r="BC194" s="3442"/>
    </row>
    <row r="195" spans="7:55" ht="15" customHeight="1">
      <c r="G195" s="3443"/>
      <c r="H195" s="3443"/>
      <c r="I195" s="3443"/>
      <c r="J195" s="3443"/>
      <c r="K195" s="3443"/>
      <c r="L195" s="3443"/>
      <c r="M195" s="3443"/>
      <c r="N195" s="3443"/>
      <c r="O195" s="3443"/>
      <c r="P195" s="3443"/>
      <c r="Q195" s="3443"/>
      <c r="R195" s="3443"/>
      <c r="S195" s="3443"/>
      <c r="T195" s="3443"/>
      <c r="U195" s="3443"/>
      <c r="V195" s="3443"/>
      <c r="W195" s="3443"/>
      <c r="X195" s="3443"/>
      <c r="Y195" s="3443"/>
      <c r="Z195" s="3443"/>
      <c r="AA195" s="3443"/>
      <c r="AB195" s="3443"/>
      <c r="AC195" s="3443"/>
      <c r="AD195" s="3443"/>
      <c r="AE195" s="3443"/>
      <c r="AF195" s="3443"/>
      <c r="AG195" s="3443"/>
      <c r="AH195" s="3443"/>
      <c r="AI195" s="3443"/>
      <c r="AJ195" s="3443"/>
      <c r="AK195" s="3443"/>
      <c r="AL195" s="3443"/>
      <c r="AM195" s="3443"/>
      <c r="AN195" s="3443"/>
      <c r="AO195" s="3443"/>
      <c r="AP195" s="3443"/>
      <c r="AQ195" s="3443"/>
      <c r="AR195" s="3443"/>
      <c r="AS195" s="3443"/>
      <c r="AT195" s="3443"/>
      <c r="AU195" s="3443"/>
      <c r="AV195" s="3443"/>
      <c r="AW195" s="3443"/>
      <c r="AX195" s="3443"/>
      <c r="AY195" s="3443"/>
      <c r="AZ195" s="3443"/>
      <c r="BA195" s="3443"/>
      <c r="BB195" s="3443"/>
      <c r="BC195" s="3443"/>
    </row>
    <row r="196" spans="7:55" ht="15" customHeight="1"/>
    <row r="197" spans="7:55" ht="15" customHeight="1"/>
    <row r="198" spans="7:55" ht="15" customHeight="1"/>
    <row r="199" spans="7:55" ht="15" customHeight="1"/>
    <row r="200" spans="7:55" ht="15" customHeight="1"/>
    <row r="201" spans="7:55" ht="15" customHeight="1"/>
    <row r="202" spans="7:55" ht="15" customHeight="1"/>
    <row r="203" spans="7:55" ht="15" customHeight="1"/>
    <row r="204" spans="7:55" ht="15" customHeight="1"/>
    <row r="205" spans="7:55" ht="15" customHeight="1"/>
    <row r="206" spans="7:55" ht="15" customHeight="1"/>
    <row r="207" spans="7:55" ht="15" customHeight="1"/>
    <row r="208" spans="7:55"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sheetData>
  <sheetProtection formatCells="0" formatColumns="0" formatRows="0" insertColumns="0" insertHyperlinks="0" deleteColumns="0" deleteRows="0" selectLockedCells="1" sort="0" autoFilter="0"/>
  <customSheetViews>
    <customSheetView guid="{CCC3C480-7EFF-4539-BA29-9C13086C00B7}" showPageBreaks="1" showGridLines="0" printArea="1" view="pageBreakPreview">
      <selection activeCell="D18" sqref="D18:F18"/>
      <rowBreaks count="1" manualBreakCount="1">
        <brk id="82" max="13" man="1"/>
      </rowBreaks>
      <pageMargins left="0.7" right="0.7" top="0.75" bottom="0.75" header="0.3" footer="0.3"/>
      <printOptions horizontalCentered="1"/>
      <pageSetup scale="80" fitToHeight="2" orientation="portrait"/>
    </customSheetView>
  </customSheetViews>
  <mergeCells count="704">
    <mergeCell ref="G129:Q130"/>
    <mergeCell ref="G14:K14"/>
    <mergeCell ref="L14:O14"/>
    <mergeCell ref="G16:O17"/>
    <mergeCell ref="G18:O18"/>
    <mergeCell ref="G19:O19"/>
    <mergeCell ref="G20:O20"/>
    <mergeCell ref="G21:O21"/>
    <mergeCell ref="G22:O22"/>
    <mergeCell ref="G23:O23"/>
    <mergeCell ref="G24:O24"/>
    <mergeCell ref="G25:O25"/>
    <mergeCell ref="G26:O26"/>
    <mergeCell ref="G27:O27"/>
    <mergeCell ref="G28:O28"/>
    <mergeCell ref="G29:O29"/>
    <mergeCell ref="P38:Q39"/>
    <mergeCell ref="P19:R19"/>
    <mergeCell ref="G111:T111"/>
    <mergeCell ref="G104:AE105"/>
    <mergeCell ref="U103:AA103"/>
    <mergeCell ref="G103:T103"/>
    <mergeCell ref="AE21:AM21"/>
    <mergeCell ref="S26:T26"/>
    <mergeCell ref="B2:F2"/>
    <mergeCell ref="G36:O36"/>
    <mergeCell ref="AE36:AM36"/>
    <mergeCell ref="G50:O50"/>
    <mergeCell ref="G51:O51"/>
    <mergeCell ref="G52:O52"/>
    <mergeCell ref="G53:O53"/>
    <mergeCell ref="G54:O54"/>
    <mergeCell ref="AD39:AF39"/>
    <mergeCell ref="AG39:AI39"/>
    <mergeCell ref="AA44:AC44"/>
    <mergeCell ref="AD44:AF44"/>
    <mergeCell ref="AG44:AI44"/>
    <mergeCell ref="AJ39:AL39"/>
    <mergeCell ref="AM39:AO39"/>
    <mergeCell ref="AN33:AP33"/>
    <mergeCell ref="AN34:AP34"/>
    <mergeCell ref="AN35:AP35"/>
    <mergeCell ref="P33:R33"/>
    <mergeCell ref="P34:R34"/>
    <mergeCell ref="P35:R35"/>
    <mergeCell ref="AE34:AM34"/>
    <mergeCell ref="X40:Z40"/>
    <mergeCell ref="AP39:AR39"/>
    <mergeCell ref="AN36:AP36"/>
    <mergeCell ref="P36:R36"/>
    <mergeCell ref="P51:Q51"/>
    <mergeCell ref="AJ44:AL44"/>
    <mergeCell ref="AM43:AO43"/>
    <mergeCell ref="AP43:AR43"/>
    <mergeCell ref="AA42:AC42"/>
    <mergeCell ref="AQ36:AR36"/>
    <mergeCell ref="R38:AR38"/>
    <mergeCell ref="R41:T41"/>
    <mergeCell ref="R42:T42"/>
    <mergeCell ref="X43:Z43"/>
    <mergeCell ref="AA43:AC43"/>
    <mergeCell ref="AD43:AF43"/>
    <mergeCell ref="AG43:AI43"/>
    <mergeCell ref="AJ43:AL43"/>
    <mergeCell ref="AP40:AR40"/>
    <mergeCell ref="AA41:AC41"/>
    <mergeCell ref="AD41:AF41"/>
    <mergeCell ref="AG41:AI41"/>
    <mergeCell ref="AJ41:AL41"/>
    <mergeCell ref="AM41:AO41"/>
    <mergeCell ref="AP41:AR41"/>
    <mergeCell ref="AA40:AC40"/>
    <mergeCell ref="AQ56:BC56"/>
    <mergeCell ref="AQ57:AZ58"/>
    <mergeCell ref="AS38:BC39"/>
    <mergeCell ref="G37:BC37"/>
    <mergeCell ref="G38:O39"/>
    <mergeCell ref="AD42:AF42"/>
    <mergeCell ref="AG42:AI42"/>
    <mergeCell ref="AJ42:AL42"/>
    <mergeCell ref="AM42:AO42"/>
    <mergeCell ref="AM44:AO44"/>
    <mergeCell ref="AP44:AR44"/>
    <mergeCell ref="AD40:AF40"/>
    <mergeCell ref="AG40:AI40"/>
    <mergeCell ref="AJ40:AL40"/>
    <mergeCell ref="AM40:AO40"/>
    <mergeCell ref="U41:W41"/>
    <mergeCell ref="X41:Z41"/>
    <mergeCell ref="U40:W40"/>
    <mergeCell ref="AP42:AR42"/>
    <mergeCell ref="G55:O55"/>
    <mergeCell ref="P46:Q46"/>
    <mergeCell ref="P47:Q47"/>
    <mergeCell ref="P48:Q48"/>
    <mergeCell ref="P49:Q49"/>
    <mergeCell ref="AQ33:AR33"/>
    <mergeCell ref="AQ34:AR34"/>
    <mergeCell ref="AQ35:AR35"/>
    <mergeCell ref="AN31:AP31"/>
    <mergeCell ref="AN32:AP32"/>
    <mergeCell ref="AQ29:AR29"/>
    <mergeCell ref="AN24:AP24"/>
    <mergeCell ref="AQ30:AR30"/>
    <mergeCell ref="AQ31:AR31"/>
    <mergeCell ref="AQ23:AR23"/>
    <mergeCell ref="AQ24:AR24"/>
    <mergeCell ref="AQ25:AR25"/>
    <mergeCell ref="AQ26:AR26"/>
    <mergeCell ref="AQ27:AR27"/>
    <mergeCell ref="AQ28:AR28"/>
    <mergeCell ref="AE32:AM32"/>
    <mergeCell ref="AE29:AM29"/>
    <mergeCell ref="AE30:AM30"/>
    <mergeCell ref="AQ32:AR32"/>
    <mergeCell ref="G11:AD11"/>
    <mergeCell ref="AE11:BC11"/>
    <mergeCell ref="AS16:BC17"/>
    <mergeCell ref="AE14:BC14"/>
    <mergeCell ref="AE18:AM18"/>
    <mergeCell ref="G15:AD15"/>
    <mergeCell ref="U16:AD17"/>
    <mergeCell ref="AE16:AM17"/>
    <mergeCell ref="AE15:BC15"/>
    <mergeCell ref="P14:S14"/>
    <mergeCell ref="G13:L13"/>
    <mergeCell ref="G12:L12"/>
    <mergeCell ref="M12:AD12"/>
    <mergeCell ref="M13:AD13"/>
    <mergeCell ref="P16:R17"/>
    <mergeCell ref="AE12:AO12"/>
    <mergeCell ref="AP12:BC12"/>
    <mergeCell ref="AE13:AN13"/>
    <mergeCell ref="AP13:BC13"/>
    <mergeCell ref="AQ16:AR17"/>
    <mergeCell ref="AQ18:AR18"/>
    <mergeCell ref="AN16:AP17"/>
    <mergeCell ref="T14:U14"/>
    <mergeCell ref="V14:Y14"/>
    <mergeCell ref="AQ103:BC103"/>
    <mergeCell ref="AQ102:BC102"/>
    <mergeCell ref="AF111:AS111"/>
    <mergeCell ref="AT106:BC107"/>
    <mergeCell ref="AT108:BC109"/>
    <mergeCell ref="AF106:AS107"/>
    <mergeCell ref="AF108:AS109"/>
    <mergeCell ref="AT110:BC110"/>
    <mergeCell ref="AT111:BC111"/>
    <mergeCell ref="AI102:AP102"/>
    <mergeCell ref="AI103:AP103"/>
    <mergeCell ref="AG59:AP77"/>
    <mergeCell ref="X77:Z77"/>
    <mergeCell ref="AA77:AC77"/>
    <mergeCell ref="AD77:AF77"/>
    <mergeCell ref="U82:AA82"/>
    <mergeCell ref="AB82:AH82"/>
    <mergeCell ref="AB97:AH97"/>
    <mergeCell ref="AB98:AH98"/>
    <mergeCell ref="AM45:AO45"/>
    <mergeCell ref="G56:AP56"/>
    <mergeCell ref="R48:T48"/>
    <mergeCell ref="R49:T49"/>
    <mergeCell ref="U45:W45"/>
    <mergeCell ref="X45:Z45"/>
    <mergeCell ref="P50:Q50"/>
    <mergeCell ref="AA51:AC51"/>
    <mergeCell ref="AD51:AF51"/>
    <mergeCell ref="AG51:AI51"/>
    <mergeCell ref="AJ47:AL47"/>
    <mergeCell ref="AM47:AO47"/>
    <mergeCell ref="AG45:AI45"/>
    <mergeCell ref="AJ45:AL45"/>
    <mergeCell ref="AJ48:AL48"/>
    <mergeCell ref="AM48:AO48"/>
    <mergeCell ref="AM46:AO46"/>
    <mergeCell ref="AQ19:AR19"/>
    <mergeCell ref="AQ20:AR20"/>
    <mergeCell ref="AQ21:AR21"/>
    <mergeCell ref="AQ22:AR22"/>
    <mergeCell ref="P23:R23"/>
    <mergeCell ref="AN23:AP23"/>
    <mergeCell ref="AE23:AM23"/>
    <mergeCell ref="S23:T23"/>
    <mergeCell ref="AD45:AF45"/>
    <mergeCell ref="AN25:AP25"/>
    <mergeCell ref="AN26:AP26"/>
    <mergeCell ref="AN27:AP27"/>
    <mergeCell ref="AN28:AP28"/>
    <mergeCell ref="AN29:AP29"/>
    <mergeCell ref="AN30:AP30"/>
    <mergeCell ref="P40:Q40"/>
    <mergeCell ref="P41:Q41"/>
    <mergeCell ref="P42:Q42"/>
    <mergeCell ref="S27:T27"/>
    <mergeCell ref="R39:T39"/>
    <mergeCell ref="R40:T40"/>
    <mergeCell ref="U43:W43"/>
    <mergeCell ref="AE24:AM24"/>
    <mergeCell ref="R43:T43"/>
    <mergeCell ref="R44:T44"/>
    <mergeCell ref="R45:T45"/>
    <mergeCell ref="G30:O30"/>
    <mergeCell ref="G31:O31"/>
    <mergeCell ref="G32:O32"/>
    <mergeCell ref="G33:O33"/>
    <mergeCell ref="AE28:AM28"/>
    <mergeCell ref="AE35:AM35"/>
    <mergeCell ref="AE33:AM33"/>
    <mergeCell ref="P31:R31"/>
    <mergeCell ref="P32:R32"/>
    <mergeCell ref="S36:T36"/>
    <mergeCell ref="G34:O34"/>
    <mergeCell ref="G35:O35"/>
    <mergeCell ref="P43:Q43"/>
    <mergeCell ref="P44:Q44"/>
    <mergeCell ref="P45:Q45"/>
    <mergeCell ref="P52:Q52"/>
    <mergeCell ref="P53:Q53"/>
    <mergeCell ref="P54:Q54"/>
    <mergeCell ref="AN18:AP18"/>
    <mergeCell ref="AN19:AP19"/>
    <mergeCell ref="AN20:AP20"/>
    <mergeCell ref="AN21:AP21"/>
    <mergeCell ref="AN22:AP22"/>
    <mergeCell ref="Z14:AA14"/>
    <mergeCell ref="P20:R20"/>
    <mergeCell ref="P21:R21"/>
    <mergeCell ref="P22:R22"/>
    <mergeCell ref="AE22:AM22"/>
    <mergeCell ref="P18:R18"/>
    <mergeCell ref="S16:T17"/>
    <mergeCell ref="S18:T18"/>
    <mergeCell ref="S19:T19"/>
    <mergeCell ref="S20:T20"/>
    <mergeCell ref="S21:T21"/>
    <mergeCell ref="S22:T22"/>
    <mergeCell ref="AE19:AM19"/>
    <mergeCell ref="U18:AD36"/>
    <mergeCell ref="AE20:AM20"/>
    <mergeCell ref="AE25:AM25"/>
    <mergeCell ref="G49:O49"/>
    <mergeCell ref="G41:O41"/>
    <mergeCell ref="G42:O42"/>
    <mergeCell ref="G43:O43"/>
    <mergeCell ref="G44:O44"/>
    <mergeCell ref="G45:O45"/>
    <mergeCell ref="G46:O46"/>
    <mergeCell ref="G47:O47"/>
    <mergeCell ref="G48:O48"/>
    <mergeCell ref="P55:Q55"/>
    <mergeCell ref="G40:O40"/>
    <mergeCell ref="U39:W39"/>
    <mergeCell ref="AA39:AC39"/>
    <mergeCell ref="R50:T50"/>
    <mergeCell ref="R51:T51"/>
    <mergeCell ref="R52:T52"/>
    <mergeCell ref="R53:T53"/>
    <mergeCell ref="R54:T54"/>
    <mergeCell ref="R55:T55"/>
    <mergeCell ref="X42:Z42"/>
    <mergeCell ref="U44:W44"/>
    <mergeCell ref="X44:Z44"/>
    <mergeCell ref="U46:W46"/>
    <mergeCell ref="X46:Z46"/>
    <mergeCell ref="U48:W48"/>
    <mergeCell ref="X48:Z48"/>
    <mergeCell ref="U50:W50"/>
    <mergeCell ref="AA48:AC48"/>
    <mergeCell ref="AA47:AC47"/>
    <mergeCell ref="X50:Z50"/>
    <mergeCell ref="AA45:AC45"/>
    <mergeCell ref="X54:Z54"/>
    <mergeCell ref="U42:W42"/>
    <mergeCell ref="P24:R24"/>
    <mergeCell ref="P25:R25"/>
    <mergeCell ref="P26:R26"/>
    <mergeCell ref="P27:R27"/>
    <mergeCell ref="P28:R28"/>
    <mergeCell ref="P29:R29"/>
    <mergeCell ref="P30:R30"/>
    <mergeCell ref="AG47:AI47"/>
    <mergeCell ref="S28:T28"/>
    <mergeCell ref="S29:T29"/>
    <mergeCell ref="S30:T30"/>
    <mergeCell ref="S31:T31"/>
    <mergeCell ref="S32:T32"/>
    <mergeCell ref="S33:T33"/>
    <mergeCell ref="S34:T34"/>
    <mergeCell ref="S35:T35"/>
    <mergeCell ref="R46:T46"/>
    <mergeCell ref="R47:T47"/>
    <mergeCell ref="AE27:AM27"/>
    <mergeCell ref="AE31:AM31"/>
    <mergeCell ref="S24:T24"/>
    <mergeCell ref="X47:Z47"/>
    <mergeCell ref="AE26:AM26"/>
    <mergeCell ref="S25:T25"/>
    <mergeCell ref="AD47:AF47"/>
    <mergeCell ref="AP45:AR45"/>
    <mergeCell ref="AP53:AR53"/>
    <mergeCell ref="U52:W52"/>
    <mergeCell ref="X52:Z52"/>
    <mergeCell ref="AA50:AC50"/>
    <mergeCell ref="AD50:AF50"/>
    <mergeCell ref="AG50:AI50"/>
    <mergeCell ref="AJ50:AL50"/>
    <mergeCell ref="AM50:AO50"/>
    <mergeCell ref="AP50:AR50"/>
    <mergeCell ref="U51:W51"/>
    <mergeCell ref="X51:Z51"/>
    <mergeCell ref="AP48:AR48"/>
    <mergeCell ref="U49:W49"/>
    <mergeCell ref="X49:Z49"/>
    <mergeCell ref="AA49:AC49"/>
    <mergeCell ref="AD49:AF49"/>
    <mergeCell ref="AG49:AI49"/>
    <mergeCell ref="AJ49:AL49"/>
    <mergeCell ref="AM49:AO49"/>
    <mergeCell ref="AP49:AR49"/>
    <mergeCell ref="AD48:AF48"/>
    <mergeCell ref="AG48:AI48"/>
    <mergeCell ref="AA61:AC61"/>
    <mergeCell ref="AD61:AF61"/>
    <mergeCell ref="U62:W62"/>
    <mergeCell ref="AP47:AR47"/>
    <mergeCell ref="AA46:AC46"/>
    <mergeCell ref="AD46:AF46"/>
    <mergeCell ref="AG46:AI46"/>
    <mergeCell ref="AJ46:AL46"/>
    <mergeCell ref="AA52:AC52"/>
    <mergeCell ref="AD52:AF52"/>
    <mergeCell ref="AG52:AI52"/>
    <mergeCell ref="AJ52:AL52"/>
    <mergeCell ref="AM52:AO52"/>
    <mergeCell ref="AP52:AR52"/>
    <mergeCell ref="U53:W53"/>
    <mergeCell ref="X53:Z53"/>
    <mergeCell ref="AA53:AC53"/>
    <mergeCell ref="AD53:AF53"/>
    <mergeCell ref="AG53:AI53"/>
    <mergeCell ref="AJ53:AL53"/>
    <mergeCell ref="AM53:AO53"/>
    <mergeCell ref="AD62:AF62"/>
    <mergeCell ref="AP46:AR46"/>
    <mergeCell ref="U47:W47"/>
    <mergeCell ref="P57:Q58"/>
    <mergeCell ref="AJ51:AL51"/>
    <mergeCell ref="AM51:AO51"/>
    <mergeCell ref="AP51:AR51"/>
    <mergeCell ref="P59:Q59"/>
    <mergeCell ref="P60:Q60"/>
    <mergeCell ref="P61:Q61"/>
    <mergeCell ref="P62:Q62"/>
    <mergeCell ref="P63:Q63"/>
    <mergeCell ref="AA54:AC54"/>
    <mergeCell ref="AD54:AF54"/>
    <mergeCell ref="AG54:AI54"/>
    <mergeCell ref="AJ54:AL54"/>
    <mergeCell ref="AM54:AO54"/>
    <mergeCell ref="AP54:AR54"/>
    <mergeCell ref="U55:W55"/>
    <mergeCell ref="X55:Z55"/>
    <mergeCell ref="AA55:AC55"/>
    <mergeCell ref="AD55:AF55"/>
    <mergeCell ref="AG55:AI55"/>
    <mergeCell ref="AJ55:AL55"/>
    <mergeCell ref="AM55:AO55"/>
    <mergeCell ref="AP55:AR55"/>
    <mergeCell ref="U54:W54"/>
    <mergeCell ref="G67:O67"/>
    <mergeCell ref="G68:O68"/>
    <mergeCell ref="G69:O69"/>
    <mergeCell ref="G70:O70"/>
    <mergeCell ref="G71:O71"/>
    <mergeCell ref="G72:O72"/>
    <mergeCell ref="G73:O73"/>
    <mergeCell ref="G74:O74"/>
    <mergeCell ref="G75:O75"/>
    <mergeCell ref="G57:O58"/>
    <mergeCell ref="G59:O59"/>
    <mergeCell ref="G60:O60"/>
    <mergeCell ref="G61:O61"/>
    <mergeCell ref="G62:O62"/>
    <mergeCell ref="G63:O63"/>
    <mergeCell ref="G64:O64"/>
    <mergeCell ref="G65:O65"/>
    <mergeCell ref="G66:O66"/>
    <mergeCell ref="X60:Z60"/>
    <mergeCell ref="AA60:AC60"/>
    <mergeCell ref="AD60:AF60"/>
    <mergeCell ref="P76:Q76"/>
    <mergeCell ref="P70:Q70"/>
    <mergeCell ref="P71:Q71"/>
    <mergeCell ref="P72:Q72"/>
    <mergeCell ref="P73:Q73"/>
    <mergeCell ref="P74:Q74"/>
    <mergeCell ref="P75:Q75"/>
    <mergeCell ref="P64:Q64"/>
    <mergeCell ref="P65:Q65"/>
    <mergeCell ref="P66:Q66"/>
    <mergeCell ref="U74:W74"/>
    <mergeCell ref="X74:Z74"/>
    <mergeCell ref="AA74:AC74"/>
    <mergeCell ref="AD74:AF74"/>
    <mergeCell ref="X62:Z62"/>
    <mergeCell ref="AA62:AC62"/>
    <mergeCell ref="P67:Q67"/>
    <mergeCell ref="P68:Q68"/>
    <mergeCell ref="P69:Q69"/>
    <mergeCell ref="U61:W61"/>
    <mergeCell ref="X61:Z61"/>
    <mergeCell ref="R60:T60"/>
    <mergeCell ref="R61:T61"/>
    <mergeCell ref="R62:T62"/>
    <mergeCell ref="R63:T63"/>
    <mergeCell ref="R64:T64"/>
    <mergeCell ref="R65:T65"/>
    <mergeCell ref="R66:T66"/>
    <mergeCell ref="R67:T67"/>
    <mergeCell ref="U60:W60"/>
    <mergeCell ref="U63:W63"/>
    <mergeCell ref="R68:T68"/>
    <mergeCell ref="R69:T69"/>
    <mergeCell ref="R70:T70"/>
    <mergeCell ref="R71:T71"/>
    <mergeCell ref="R72:T72"/>
    <mergeCell ref="R73:T73"/>
    <mergeCell ref="R74:T74"/>
    <mergeCell ref="R75:T75"/>
    <mergeCell ref="R76:T76"/>
    <mergeCell ref="U59:W59"/>
    <mergeCell ref="X59:Z59"/>
    <mergeCell ref="AA59:AC59"/>
    <mergeCell ref="AD59:AF59"/>
    <mergeCell ref="R58:T58"/>
    <mergeCell ref="U58:W58"/>
    <mergeCell ref="X58:Z58"/>
    <mergeCell ref="AA58:AC58"/>
    <mergeCell ref="AD58:AF58"/>
    <mergeCell ref="R59:T59"/>
    <mergeCell ref="X63:Z63"/>
    <mergeCell ref="AA63:AC63"/>
    <mergeCell ref="AD63:AF63"/>
    <mergeCell ref="U64:W64"/>
    <mergeCell ref="X64:Z64"/>
    <mergeCell ref="AA64:AC64"/>
    <mergeCell ref="AD64:AF64"/>
    <mergeCell ref="U68:W68"/>
    <mergeCell ref="X68:Z68"/>
    <mergeCell ref="AA68:AC68"/>
    <mergeCell ref="AD68:AF68"/>
    <mergeCell ref="U69:W69"/>
    <mergeCell ref="X69:Z69"/>
    <mergeCell ref="AA69:AC69"/>
    <mergeCell ref="AD69:AF69"/>
    <mergeCell ref="X70:Z70"/>
    <mergeCell ref="AA70:AC70"/>
    <mergeCell ref="AD70:AF70"/>
    <mergeCell ref="U65:W65"/>
    <mergeCell ref="X65:Z65"/>
    <mergeCell ref="AA65:AC65"/>
    <mergeCell ref="AD65:AF65"/>
    <mergeCell ref="U66:W66"/>
    <mergeCell ref="X66:Z66"/>
    <mergeCell ref="AA66:AC66"/>
    <mergeCell ref="AD66:AF66"/>
    <mergeCell ref="U67:W67"/>
    <mergeCell ref="X67:Z67"/>
    <mergeCell ref="AA67:AC67"/>
    <mergeCell ref="AD67:AF67"/>
    <mergeCell ref="AQ66:AZ66"/>
    <mergeCell ref="AQ75:BC77"/>
    <mergeCell ref="AQ60:AZ60"/>
    <mergeCell ref="U75:W75"/>
    <mergeCell ref="X75:Z75"/>
    <mergeCell ref="AA75:AC75"/>
    <mergeCell ref="AD75:AF75"/>
    <mergeCell ref="U76:W76"/>
    <mergeCell ref="X76:Z76"/>
    <mergeCell ref="AA76:AC76"/>
    <mergeCell ref="AD76:AF76"/>
    <mergeCell ref="U71:W71"/>
    <mergeCell ref="X71:Z71"/>
    <mergeCell ref="AA71:AC71"/>
    <mergeCell ref="AD71:AF71"/>
    <mergeCell ref="U72:W72"/>
    <mergeCell ref="X72:Z72"/>
    <mergeCell ref="AA72:AC72"/>
    <mergeCell ref="AD72:AF72"/>
    <mergeCell ref="U73:W73"/>
    <mergeCell ref="X73:Z73"/>
    <mergeCell ref="AA73:AC73"/>
    <mergeCell ref="AD73:AF73"/>
    <mergeCell ref="U70:W70"/>
    <mergeCell ref="AQ67:AZ67"/>
    <mergeCell ref="AQ68:AZ68"/>
    <mergeCell ref="AQ69:AZ69"/>
    <mergeCell ref="AQ71:AZ71"/>
    <mergeCell ref="R57:AF57"/>
    <mergeCell ref="AG57:AP58"/>
    <mergeCell ref="BA67:BC67"/>
    <mergeCell ref="BA68:BC68"/>
    <mergeCell ref="BA69:BC69"/>
    <mergeCell ref="AQ70:BC70"/>
    <mergeCell ref="BA71:BC71"/>
    <mergeCell ref="BA57:BC58"/>
    <mergeCell ref="BA60:BC60"/>
    <mergeCell ref="BA61:BC61"/>
    <mergeCell ref="BA62:BC62"/>
    <mergeCell ref="BA63:BC63"/>
    <mergeCell ref="AQ59:BC59"/>
    <mergeCell ref="AQ64:BC64"/>
    <mergeCell ref="BA65:BC65"/>
    <mergeCell ref="BA66:BC66"/>
    <mergeCell ref="AQ61:AZ61"/>
    <mergeCell ref="AQ62:AZ62"/>
    <mergeCell ref="AQ63:AZ63"/>
    <mergeCell ref="AQ65:AZ65"/>
    <mergeCell ref="BA72:BC72"/>
    <mergeCell ref="BA73:BC73"/>
    <mergeCell ref="BA74:BC74"/>
    <mergeCell ref="AQ72:AZ72"/>
    <mergeCell ref="AQ73:AZ73"/>
    <mergeCell ref="AQ74:AZ74"/>
    <mergeCell ref="U79:AA79"/>
    <mergeCell ref="U80:AA80"/>
    <mergeCell ref="U81:AA81"/>
    <mergeCell ref="AB79:AH79"/>
    <mergeCell ref="AB80:AH80"/>
    <mergeCell ref="AB81:AH81"/>
    <mergeCell ref="AQ79:BC79"/>
    <mergeCell ref="AQ80:BC80"/>
    <mergeCell ref="AQ81:BC81"/>
    <mergeCell ref="G78:BC78"/>
    <mergeCell ref="U77:W77"/>
    <mergeCell ref="R77:T77"/>
    <mergeCell ref="P77:Q77"/>
    <mergeCell ref="G76:O76"/>
    <mergeCell ref="G77:O77"/>
    <mergeCell ref="G79:T79"/>
    <mergeCell ref="G80:T80"/>
    <mergeCell ref="G81:T81"/>
    <mergeCell ref="G82:T82"/>
    <mergeCell ref="AI79:AP79"/>
    <mergeCell ref="AI80:AP80"/>
    <mergeCell ref="AI81:AP81"/>
    <mergeCell ref="AI82:AP82"/>
    <mergeCell ref="AI83:AP83"/>
    <mergeCell ref="G99:T99"/>
    <mergeCell ref="U96:AA96"/>
    <mergeCell ref="U97:AA97"/>
    <mergeCell ref="U98:AA98"/>
    <mergeCell ref="U99:AA99"/>
    <mergeCell ref="G83:T83"/>
    <mergeCell ref="G84:T84"/>
    <mergeCell ref="AI96:AP96"/>
    <mergeCell ref="AI97:AP97"/>
    <mergeCell ref="AI98:AP98"/>
    <mergeCell ref="AI84:AP84"/>
    <mergeCell ref="AI85:AP85"/>
    <mergeCell ref="AQ82:BC82"/>
    <mergeCell ref="G85:T85"/>
    <mergeCell ref="G86:T86"/>
    <mergeCell ref="G87:T87"/>
    <mergeCell ref="G88:T88"/>
    <mergeCell ref="G89:T89"/>
    <mergeCell ref="G90:T90"/>
    <mergeCell ref="G91:T91"/>
    <mergeCell ref="AJ193:AK193"/>
    <mergeCell ref="AT193:AU193"/>
    <mergeCell ref="G117:S118"/>
    <mergeCell ref="AT117:BC118"/>
    <mergeCell ref="AF117:AR118"/>
    <mergeCell ref="X117:AC118"/>
    <mergeCell ref="X119:AC119"/>
    <mergeCell ref="T118:U118"/>
    <mergeCell ref="AW122:BB123"/>
    <mergeCell ref="AF124:AI125"/>
    <mergeCell ref="AJ124:AS125"/>
    <mergeCell ref="AW124:BB125"/>
    <mergeCell ref="AF126:AI127"/>
    <mergeCell ref="AJ126:AS127"/>
    <mergeCell ref="AW126:BB127"/>
    <mergeCell ref="H122:K123"/>
    <mergeCell ref="L124:U125"/>
    <mergeCell ref="L122:U123"/>
    <mergeCell ref="L126:U127"/>
    <mergeCell ref="Y126:AD127"/>
    <mergeCell ref="Y124:AD125"/>
    <mergeCell ref="G119:W119"/>
    <mergeCell ref="AB83:AH83"/>
    <mergeCell ref="AB84:AH84"/>
    <mergeCell ref="AB85:AH85"/>
    <mergeCell ref="AB86:AH86"/>
    <mergeCell ref="AB87:AH87"/>
    <mergeCell ref="AB88:AH88"/>
    <mergeCell ref="AB89:AH89"/>
    <mergeCell ref="X106:AC107"/>
    <mergeCell ref="X108:AC109"/>
    <mergeCell ref="X110:AC110"/>
    <mergeCell ref="X111:AC111"/>
    <mergeCell ref="AB103:AH103"/>
    <mergeCell ref="AB102:AH102"/>
    <mergeCell ref="U102:AA102"/>
    <mergeCell ref="AF104:BC105"/>
    <mergeCell ref="G106:T107"/>
    <mergeCell ref="G108:T109"/>
    <mergeCell ref="G110:T110"/>
    <mergeCell ref="P193:Q193"/>
    <mergeCell ref="Z193:AA193"/>
    <mergeCell ref="AB90:AH90"/>
    <mergeCell ref="AB91:AH91"/>
    <mergeCell ref="U83:AA83"/>
    <mergeCell ref="U84:AA84"/>
    <mergeCell ref="U85:AA85"/>
    <mergeCell ref="U86:AA86"/>
    <mergeCell ref="U87:AA87"/>
    <mergeCell ref="U88:AA88"/>
    <mergeCell ref="U89:AA89"/>
    <mergeCell ref="U90:AA90"/>
    <mergeCell ref="U91:AA91"/>
    <mergeCell ref="G95:T95"/>
    <mergeCell ref="G96:T96"/>
    <mergeCell ref="G97:T97"/>
    <mergeCell ref="G98:T98"/>
    <mergeCell ref="AB99:AH99"/>
    <mergeCell ref="AB100:AH100"/>
    <mergeCell ref="AB92:AH92"/>
    <mergeCell ref="AB93:AH93"/>
    <mergeCell ref="AB94:AH94"/>
    <mergeCell ref="H124:K125"/>
    <mergeCell ref="H126:K127"/>
    <mergeCell ref="AT116:BC116"/>
    <mergeCell ref="G116:S116"/>
    <mergeCell ref="T114:V114"/>
    <mergeCell ref="AI90:AP90"/>
    <mergeCell ref="AI91:AP91"/>
    <mergeCell ref="AI92:AP92"/>
    <mergeCell ref="U100:AA100"/>
    <mergeCell ref="U101:AA101"/>
    <mergeCell ref="AB101:AH101"/>
    <mergeCell ref="X115:AC116"/>
    <mergeCell ref="AF110:AS110"/>
    <mergeCell ref="AF113:AR113"/>
    <mergeCell ref="AF114:AR114"/>
    <mergeCell ref="AB95:AH95"/>
    <mergeCell ref="U92:AA92"/>
    <mergeCell ref="U93:AA93"/>
    <mergeCell ref="U94:AA94"/>
    <mergeCell ref="U95:AA95"/>
    <mergeCell ref="G100:T100"/>
    <mergeCell ref="G101:T101"/>
    <mergeCell ref="AI101:AP101"/>
    <mergeCell ref="AI93:AP93"/>
    <mergeCell ref="AI94:AP94"/>
    <mergeCell ref="AI95:AP95"/>
    <mergeCell ref="AQ83:BC83"/>
    <mergeCell ref="AI99:AP99"/>
    <mergeCell ref="AI100:AP100"/>
    <mergeCell ref="Y122:AD123"/>
    <mergeCell ref="AQ89:BC89"/>
    <mergeCell ref="AQ90:BC90"/>
    <mergeCell ref="AI86:AP86"/>
    <mergeCell ref="AI87:AP87"/>
    <mergeCell ref="AI88:AP88"/>
    <mergeCell ref="AI89:AP89"/>
    <mergeCell ref="G120:BC121"/>
    <mergeCell ref="G102:T102"/>
    <mergeCell ref="G92:T92"/>
    <mergeCell ref="G93:T93"/>
    <mergeCell ref="G94:T94"/>
    <mergeCell ref="X112:AC113"/>
    <mergeCell ref="X114:AC114"/>
    <mergeCell ref="AF116:AR116"/>
    <mergeCell ref="AF122:AI123"/>
    <mergeCell ref="AB96:AH96"/>
    <mergeCell ref="G113:S113"/>
    <mergeCell ref="G114:S114"/>
    <mergeCell ref="AT113:BC113"/>
    <mergeCell ref="AT114:BC114"/>
    <mergeCell ref="AS18:BC36"/>
    <mergeCell ref="AS40:BC55"/>
    <mergeCell ref="G194:BC195"/>
    <mergeCell ref="J4:AZ7"/>
    <mergeCell ref="AE8:AZ9"/>
    <mergeCell ref="AQ91:BC91"/>
    <mergeCell ref="AQ92:BC92"/>
    <mergeCell ref="AQ93:BC93"/>
    <mergeCell ref="AQ84:BC84"/>
    <mergeCell ref="AQ85:BC85"/>
    <mergeCell ref="AQ86:BC86"/>
    <mergeCell ref="AQ87:BC87"/>
    <mergeCell ref="AQ88:BC88"/>
    <mergeCell ref="AQ98:BC98"/>
    <mergeCell ref="AQ99:BC99"/>
    <mergeCell ref="AQ100:BC100"/>
    <mergeCell ref="AQ101:BC101"/>
    <mergeCell ref="AQ94:BC94"/>
    <mergeCell ref="AQ95:BC95"/>
    <mergeCell ref="AQ96:BC96"/>
    <mergeCell ref="AQ97:BC97"/>
    <mergeCell ref="AJ122:AS123"/>
    <mergeCell ref="AT119:BC119"/>
    <mergeCell ref="AF119:AR119"/>
  </mergeCells>
  <phoneticPr fontId="148" type="noConversion"/>
  <printOptions horizontalCentered="1" verticalCentered="1"/>
  <pageMargins left="0.25" right="0.25" top="0.25" bottom="0.25" header="0.3" footer="0.3"/>
  <pageSetup scale="73" fitToHeight="0" orientation="portrait" r:id="rId1"/>
  <headerFooter scaleWithDoc="0" alignWithMargins="0"/>
  <rowBreaks count="2" manualBreakCount="2">
    <brk id="77" min="6" max="54" man="1"/>
    <brk id="135" min="6" max="54" man="1"/>
  </rowBreaks>
  <ignoredErrors>
    <ignoredError sqref="G12:AD14 V103:AA103 W107:AC107 V79:AA79 W116:AC116 W115 Y115:AC115 Y119:AC119 W109:AC109 W108 Y108:AC108 W113:AC113 W110 Y110:AC110 W111 Y111:AC111 W106 Y106:AC106 W112 Y112:AC112 W114 Y114:AC114 W118:AC118 W117 Y117:AC117" unlocked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wsINVESTMENT_REPORTS">
    <tabColor theme="4" tint="0.79998168889431442"/>
  </sheetPr>
  <dimension ref="C1:AP365"/>
  <sheetViews>
    <sheetView showGridLines="0" showRowColHeaders="0" zoomScaleNormal="100" workbookViewId="0">
      <pane ySplit="4" topLeftCell="A5" activePane="bottomLeft" state="frozen"/>
      <selection pane="bottomLeft" activeCell="S68" sqref="S68:V68"/>
    </sheetView>
  </sheetViews>
  <sheetFormatPr defaultColWidth="8.8984375" defaultRowHeight="15"/>
  <cols>
    <col min="1" max="1" width="14.8984375" style="12" customWidth="1"/>
    <col min="2" max="2" width="6.8984375" style="12" customWidth="1"/>
    <col min="3" max="3" width="5.44921875" style="12" customWidth="1"/>
    <col min="4" max="4" width="7.09765625" style="12" customWidth="1"/>
    <col min="5" max="7" width="5.44921875" style="12" customWidth="1"/>
    <col min="8" max="24" width="6.09765625" style="24" customWidth="1"/>
    <col min="25" max="25" width="5.44921875" style="12" customWidth="1"/>
    <col min="26" max="26" width="2.8984375" style="12" customWidth="1"/>
    <col min="27" max="27" width="6.44921875" style="12" customWidth="1"/>
    <col min="28" max="28" width="5.44921875" style="12" customWidth="1"/>
    <col min="29" max="29" width="2.8984375" style="12" customWidth="1"/>
    <col min="30" max="30" width="8" style="12" customWidth="1"/>
    <col min="31" max="31" width="4.09765625" style="12" customWidth="1"/>
    <col min="32" max="32" width="5.44921875" style="12" hidden="1" customWidth="1"/>
    <col min="33" max="33" width="3.44921875" style="12" hidden="1" customWidth="1"/>
    <col min="34" max="34" width="5.44921875" style="12" hidden="1" customWidth="1"/>
    <col min="35" max="38" width="6.8984375" style="12" hidden="1" customWidth="1"/>
    <col min="39" max="42" width="5.44921875" style="12" hidden="1" customWidth="1"/>
    <col min="43" max="45" width="5.44921875" style="12" customWidth="1"/>
    <col min="46" max="59" width="5" style="12" customWidth="1"/>
    <col min="60" max="60" width="4.34765625" style="12" customWidth="1"/>
    <col min="61" max="16384" width="8.8984375" style="12"/>
  </cols>
  <sheetData>
    <row r="1" spans="3:41" s="109" customFormat="1" ht="45" customHeight="1"/>
    <row r="2" spans="3:41" s="110" customFormat="1" ht="15" customHeight="1">
      <c r="C2" s="3654" t="s">
        <v>887</v>
      </c>
      <c r="D2" s="3654"/>
      <c r="E2" s="3654"/>
      <c r="F2" s="3654"/>
      <c r="G2" s="3654"/>
      <c r="H2" s="208"/>
      <c r="I2" s="208"/>
      <c r="J2" s="209"/>
      <c r="K2" s="210"/>
      <c r="O2" s="211"/>
      <c r="P2" s="211"/>
      <c r="Q2" s="119"/>
      <c r="AB2" s="933"/>
      <c r="AC2" s="933"/>
      <c r="AD2" s="933"/>
      <c r="AE2" s="933"/>
      <c r="AF2" s="933"/>
      <c r="AH2" s="454" t="s">
        <v>1165</v>
      </c>
      <c r="AI2" s="454" t="s">
        <v>1163</v>
      </c>
      <c r="AJ2" s="454" t="s">
        <v>1903</v>
      </c>
      <c r="AK2" s="454" t="s">
        <v>1679</v>
      </c>
      <c r="AL2" s="454" t="s">
        <v>1672</v>
      </c>
      <c r="AM2" s="454" t="s">
        <v>1166</v>
      </c>
      <c r="AN2" s="454"/>
      <c r="AO2" s="454" t="s">
        <v>1167</v>
      </c>
    </row>
    <row r="3" spans="3:41" s="110" customFormat="1" ht="22.5" customHeight="1">
      <c r="C3" s="3654"/>
      <c r="D3" s="3654"/>
      <c r="E3" s="3654"/>
      <c r="F3" s="3654"/>
      <c r="G3" s="3654"/>
      <c r="H3" s="208"/>
      <c r="I3" s="208"/>
      <c r="J3" s="209"/>
      <c r="K3" s="212"/>
      <c r="O3" s="211"/>
      <c r="P3" s="211"/>
      <c r="Q3" s="119"/>
      <c r="AB3" s="933"/>
      <c r="AC3" s="933"/>
      <c r="AD3" s="933"/>
      <c r="AE3" s="933"/>
      <c r="AF3" s="933"/>
      <c r="AG3" s="3542">
        <f>COUNTIF(AH3:AN4,"Shown")</f>
        <v>7</v>
      </c>
      <c r="AH3" s="3540" t="s">
        <v>1126</v>
      </c>
      <c r="AI3" s="3540" t="s">
        <v>1126</v>
      </c>
      <c r="AJ3" s="3540" t="s">
        <v>1126</v>
      </c>
      <c r="AK3" s="3540" t="s">
        <v>1126</v>
      </c>
      <c r="AL3" s="3540" t="s">
        <v>1126</v>
      </c>
      <c r="AM3" s="3540" t="s">
        <v>1126</v>
      </c>
      <c r="AN3" s="3540" t="str">
        <f>Investment_Report_Photo_Setting</f>
        <v>Shown</v>
      </c>
      <c r="AO3" s="3540" t="str">
        <f>IF(AND(Investment_Report_Cover_Setting="Hidden",Investment_Report_Summary_Setting="Hidden",Investment_Report_Photo_Setting="Hidden"),"All Hidden","")</f>
        <v/>
      </c>
    </row>
    <row r="4" spans="3:41" s="116" customFormat="1" ht="8.25" customHeight="1">
      <c r="C4" s="3655"/>
      <c r="D4" s="3655"/>
      <c r="E4" s="3655"/>
      <c r="F4" s="3655"/>
      <c r="G4" s="3655"/>
      <c r="H4" s="234"/>
      <c r="I4" s="234"/>
      <c r="J4" s="235"/>
      <c r="K4" s="236"/>
      <c r="L4" s="237"/>
      <c r="M4" s="237"/>
      <c r="N4" s="237"/>
      <c r="O4" s="238"/>
      <c r="P4" s="238"/>
      <c r="Q4" s="239"/>
      <c r="AG4" s="3543"/>
      <c r="AH4" s="3541"/>
      <c r="AI4" s="3541"/>
      <c r="AJ4" s="3541"/>
      <c r="AK4" s="3541"/>
      <c r="AL4" s="3541"/>
      <c r="AM4" s="3541"/>
      <c r="AN4" s="3541"/>
      <c r="AO4" s="3541"/>
    </row>
    <row r="5" spans="3:41" s="6" customFormat="1" ht="15" customHeight="1">
      <c r="D5" s="457"/>
      <c r="E5" s="458"/>
      <c r="F5" s="458"/>
      <c r="G5" s="458"/>
      <c r="H5" s="458"/>
      <c r="I5" s="458"/>
      <c r="J5" s="459"/>
      <c r="K5" s="460"/>
      <c r="L5" s="252"/>
      <c r="M5" s="252"/>
      <c r="N5" s="252"/>
      <c r="O5" s="461"/>
      <c r="P5" s="461"/>
      <c r="Q5" s="29"/>
      <c r="AH5" s="462">
        <f>IF(Investment_Report_Cover_Setting="Shown",1,0)</f>
        <v>1</v>
      </c>
      <c r="AI5" s="462">
        <f>IF(Investment_Report_Summary_Setting="Shown",1,0)</f>
        <v>1</v>
      </c>
      <c r="AJ5" s="462">
        <f>IF(Investment_Report_Capital_Setting="Shown",1,0)</f>
        <v>1</v>
      </c>
      <c r="AK5" s="462">
        <f>IF(Comps_Report_Summary_Setting="Shown",1,0)</f>
        <v>1</v>
      </c>
      <c r="AL5" s="462">
        <f>IF(Estimate_Report_Summary_Setting="Shown",1,0)</f>
        <v>1</v>
      </c>
      <c r="AM5" s="462">
        <f>IF(Investment_Report_Photo_Setting="Shown",1,0)</f>
        <v>1</v>
      </c>
      <c r="AN5" s="462">
        <f>IF(AN3="Shown",1,0)</f>
        <v>1</v>
      </c>
      <c r="AO5" s="462"/>
    </row>
    <row r="6" spans="3:41" s="6" customFormat="1" ht="21.6" customHeight="1">
      <c r="D6" s="457"/>
      <c r="E6" s="458"/>
      <c r="F6" s="458"/>
      <c r="G6" s="458"/>
      <c r="H6" s="458"/>
      <c r="I6" s="3651" t="s">
        <v>1174</v>
      </c>
      <c r="J6" s="3651"/>
      <c r="K6" s="3651"/>
      <c r="L6" s="3651"/>
      <c r="M6" s="3651"/>
      <c r="N6" s="3651"/>
      <c r="O6" s="3651"/>
      <c r="P6" s="3651"/>
      <c r="Q6" s="3651"/>
      <c r="R6" s="3651"/>
      <c r="S6" s="3651"/>
      <c r="T6" s="3651"/>
      <c r="U6" s="3651"/>
      <c r="V6" s="3651"/>
      <c r="W6" s="3651"/>
      <c r="AH6" s="462">
        <f>SUM(AH5)</f>
        <v>1</v>
      </c>
      <c r="AI6" s="462">
        <f>SUM(AH5:AI5)</f>
        <v>2</v>
      </c>
      <c r="AJ6" s="462">
        <f>SUM(AH5:AJ5)</f>
        <v>3</v>
      </c>
      <c r="AK6" s="462">
        <f>SUM(AH5:AK5)</f>
        <v>4</v>
      </c>
      <c r="AL6" s="462">
        <f>SUM(AH5:AL5)</f>
        <v>5</v>
      </c>
      <c r="AM6" s="462">
        <f>SUM(AH5:AM5)</f>
        <v>6</v>
      </c>
      <c r="AN6" s="462">
        <f>SUM(AH5:AN5)</f>
        <v>7</v>
      </c>
      <c r="AO6" s="462"/>
    </row>
    <row r="7" spans="3:41" s="6" customFormat="1" ht="21.6" customHeight="1">
      <c r="D7" s="457"/>
      <c r="E7" s="458"/>
      <c r="F7" s="458"/>
      <c r="G7" s="458"/>
      <c r="H7" s="458"/>
      <c r="I7" s="3651"/>
      <c r="J7" s="3651"/>
      <c r="K7" s="3651"/>
      <c r="L7" s="3651"/>
      <c r="M7" s="3651"/>
      <c r="N7" s="3651"/>
      <c r="O7" s="3651"/>
      <c r="P7" s="3651"/>
      <c r="Q7" s="3651"/>
      <c r="R7" s="3651"/>
      <c r="S7" s="3651"/>
      <c r="T7" s="3651"/>
      <c r="U7" s="3651"/>
      <c r="V7" s="3651"/>
      <c r="W7" s="3651"/>
      <c r="AH7" s="462"/>
      <c r="AI7" s="462"/>
      <c r="AJ7" s="462"/>
      <c r="AK7" s="462"/>
      <c r="AL7" s="462"/>
      <c r="AM7" s="462"/>
      <c r="AN7" s="462"/>
      <c r="AO7" s="462"/>
    </row>
    <row r="8" spans="3:41" s="6" customFormat="1" ht="21.6" customHeight="1">
      <c r="D8" s="457"/>
      <c r="E8" s="458"/>
      <c r="F8" s="458"/>
      <c r="G8" s="458"/>
      <c r="H8" s="458"/>
      <c r="I8" s="3651"/>
      <c r="J8" s="3651"/>
      <c r="K8" s="3651"/>
      <c r="L8" s="3651"/>
      <c r="M8" s="3651"/>
      <c r="N8" s="3651"/>
      <c r="O8" s="3651"/>
      <c r="P8" s="3651"/>
      <c r="Q8" s="3651"/>
      <c r="R8" s="3651"/>
      <c r="S8" s="3651"/>
      <c r="T8" s="3651"/>
      <c r="U8" s="3651"/>
      <c r="V8" s="3651"/>
      <c r="W8" s="3651"/>
      <c r="AH8" s="462"/>
      <c r="AI8" s="462"/>
      <c r="AJ8" s="462"/>
      <c r="AK8" s="462"/>
      <c r="AL8" s="462"/>
      <c r="AM8" s="462"/>
      <c r="AN8" s="462"/>
      <c r="AO8" s="462"/>
    </row>
    <row r="9" spans="3:41" s="6" customFormat="1" ht="21.6" customHeight="1">
      <c r="D9" s="457"/>
      <c r="E9" s="458"/>
      <c r="F9" s="458"/>
      <c r="G9" s="458"/>
      <c r="H9" s="458"/>
      <c r="I9" s="3651"/>
      <c r="J9" s="3651"/>
      <c r="K9" s="3651"/>
      <c r="L9" s="3651"/>
      <c r="M9" s="3651"/>
      <c r="N9" s="3651"/>
      <c r="O9" s="3651"/>
      <c r="P9" s="3651"/>
      <c r="Q9" s="3651"/>
      <c r="R9" s="3651"/>
      <c r="S9" s="3651"/>
      <c r="T9" s="3651"/>
      <c r="U9" s="3651"/>
      <c r="V9" s="3651"/>
      <c r="W9" s="3651"/>
      <c r="AH9" s="462"/>
      <c r="AI9" s="462"/>
      <c r="AJ9" s="462"/>
      <c r="AK9" s="462"/>
      <c r="AL9" s="462"/>
      <c r="AM9" s="462"/>
      <c r="AN9" s="462"/>
      <c r="AO9" s="462"/>
    </row>
    <row r="10" spans="3:41" s="6" customFormat="1" ht="21.6" customHeight="1">
      <c r="D10" s="457"/>
      <c r="E10" s="458"/>
      <c r="F10" s="458"/>
      <c r="G10" s="458"/>
      <c r="H10" s="458"/>
      <c r="I10" s="466"/>
      <c r="J10" s="466"/>
      <c r="K10" s="466"/>
      <c r="L10" s="466"/>
      <c r="M10" s="466"/>
      <c r="N10" s="466"/>
      <c r="O10" s="466"/>
      <c r="P10" s="3652" t="s">
        <v>1170</v>
      </c>
      <c r="Q10" s="3652"/>
      <c r="R10" s="3652"/>
      <c r="S10" s="3652"/>
      <c r="T10" s="3652"/>
      <c r="U10" s="3652"/>
      <c r="V10" s="3652"/>
      <c r="W10" s="3652"/>
      <c r="AH10" s="462"/>
      <c r="AI10" s="462"/>
      <c r="AJ10" s="462"/>
      <c r="AK10" s="462"/>
      <c r="AL10" s="462"/>
      <c r="AM10" s="462"/>
      <c r="AN10" s="462"/>
      <c r="AO10" s="462"/>
    </row>
    <row r="11" spans="3:41" s="6" customFormat="1" ht="21.6" customHeight="1">
      <c r="D11" s="457"/>
      <c r="E11" s="458"/>
      <c r="F11" s="458"/>
      <c r="G11" s="458"/>
      <c r="H11" s="458"/>
      <c r="I11" s="466"/>
      <c r="J11" s="466"/>
      <c r="K11" s="466"/>
      <c r="L11" s="466"/>
      <c r="M11" s="466"/>
      <c r="N11" s="466"/>
      <c r="O11" s="466"/>
      <c r="P11" s="3652"/>
      <c r="Q11" s="3652"/>
      <c r="R11" s="3652"/>
      <c r="S11" s="3652"/>
      <c r="T11" s="3652"/>
      <c r="U11" s="3652"/>
      <c r="V11" s="3652"/>
      <c r="W11" s="3652"/>
      <c r="AH11" s="462"/>
      <c r="AI11" s="462"/>
      <c r="AJ11" s="462"/>
      <c r="AK11" s="462"/>
      <c r="AL11" s="462"/>
      <c r="AM11" s="462"/>
      <c r="AN11" s="462"/>
      <c r="AO11" s="462"/>
    </row>
    <row r="12" spans="3:41" ht="15" customHeight="1"/>
    <row r="13" spans="3:41" s="2" customFormat="1" ht="22.7" customHeight="1">
      <c r="H13" s="3562" t="str">
        <f>CONCATENATE(Street_Address,", ",City_State_Zip)</f>
        <v>, 0</v>
      </c>
      <c r="I13" s="3562"/>
      <c r="J13" s="3562"/>
      <c r="K13" s="3562"/>
      <c r="L13" s="3562"/>
      <c r="M13" s="3562"/>
      <c r="N13" s="3562"/>
      <c r="O13" s="3562"/>
      <c r="P13" s="3562"/>
      <c r="Q13" s="3562"/>
      <c r="R13" s="3562"/>
      <c r="S13" s="3562"/>
      <c r="T13" s="3562"/>
      <c r="U13" s="3562"/>
      <c r="V13" s="3562"/>
      <c r="W13" s="3562"/>
      <c r="X13" s="3562"/>
    </row>
    <row r="14" spans="3:41" s="2" customFormat="1" ht="22.7" customHeight="1">
      <c r="H14" s="141"/>
      <c r="I14" s="141"/>
      <c r="J14" s="141"/>
      <c r="K14" s="141"/>
      <c r="L14" s="141"/>
      <c r="M14" s="141"/>
      <c r="N14" s="141"/>
      <c r="O14" s="141"/>
      <c r="P14" s="141"/>
      <c r="Q14" s="141"/>
      <c r="R14" s="141"/>
      <c r="S14" s="141"/>
      <c r="T14" s="141"/>
      <c r="U14" s="141"/>
      <c r="V14" s="141"/>
      <c r="W14" s="141"/>
      <c r="X14" s="141"/>
    </row>
    <row r="15" spans="3:41" s="2" customFormat="1" ht="22.7" customHeight="1">
      <c r="H15" s="141"/>
      <c r="I15" s="141"/>
      <c r="J15" s="141"/>
      <c r="K15" s="141"/>
      <c r="L15" s="141"/>
      <c r="M15" s="141"/>
      <c r="N15" s="141"/>
      <c r="O15" s="141"/>
      <c r="P15" s="141"/>
      <c r="Q15" s="141"/>
      <c r="R15" s="141"/>
      <c r="S15" s="141"/>
      <c r="T15" s="141"/>
      <c r="U15" s="141"/>
      <c r="V15" s="141"/>
      <c r="W15" s="141"/>
      <c r="X15" s="141"/>
    </row>
    <row r="16" spans="3:41" s="2" customFormat="1" ht="22.7" customHeight="1">
      <c r="H16" s="141"/>
      <c r="I16" s="141"/>
      <c r="J16" s="141"/>
      <c r="K16" s="141"/>
      <c r="L16" s="141"/>
      <c r="M16" s="141"/>
      <c r="N16" s="141"/>
      <c r="O16" s="141"/>
      <c r="P16" s="141"/>
      <c r="Q16" s="141"/>
      <c r="R16" s="141"/>
      <c r="S16" s="141"/>
      <c r="T16" s="141"/>
      <c r="U16" s="141"/>
      <c r="V16" s="141"/>
      <c r="W16" s="141"/>
      <c r="X16" s="141"/>
    </row>
    <row r="17" spans="8:24" s="2" customFormat="1" ht="22.7" customHeight="1">
      <c r="H17" s="141"/>
      <c r="I17" s="3663" t="s">
        <v>482</v>
      </c>
      <c r="J17" s="3663"/>
      <c r="K17" s="3663"/>
      <c r="L17" s="3663"/>
      <c r="M17" s="3663"/>
      <c r="N17" s="3663"/>
      <c r="O17" s="3663"/>
      <c r="P17" s="3663"/>
      <c r="Q17" s="3663"/>
      <c r="R17" s="3663"/>
      <c r="S17" s="3663"/>
      <c r="T17" s="3663"/>
      <c r="U17" s="3663"/>
      <c r="V17" s="3663"/>
      <c r="W17" s="3663"/>
      <c r="X17" s="141"/>
    </row>
    <row r="18" spans="8:24" s="2" customFormat="1" ht="22.7" customHeight="1">
      <c r="H18" s="141"/>
      <c r="I18" s="3663"/>
      <c r="J18" s="3663"/>
      <c r="K18" s="3663"/>
      <c r="L18" s="3663"/>
      <c r="M18" s="3663"/>
      <c r="N18" s="3663"/>
      <c r="O18" s="3663"/>
      <c r="P18" s="3663"/>
      <c r="Q18" s="3663"/>
      <c r="R18" s="3663"/>
      <c r="S18" s="3663"/>
      <c r="T18" s="3663"/>
      <c r="U18" s="3663"/>
      <c r="V18" s="3663"/>
      <c r="W18" s="3663"/>
      <c r="X18" s="141"/>
    </row>
    <row r="19" spans="8:24" s="2" customFormat="1" ht="22.7" customHeight="1">
      <c r="H19" s="141"/>
      <c r="I19" s="3663"/>
      <c r="J19" s="3663"/>
      <c r="K19" s="3663"/>
      <c r="L19" s="3663"/>
      <c r="M19" s="3663"/>
      <c r="N19" s="3663"/>
      <c r="O19" s="3663"/>
      <c r="P19" s="3663"/>
      <c r="Q19" s="3663"/>
      <c r="R19" s="3663"/>
      <c r="S19" s="3663"/>
      <c r="T19" s="3663"/>
      <c r="U19" s="3663"/>
      <c r="V19" s="3663"/>
      <c r="W19" s="3663"/>
      <c r="X19" s="141"/>
    </row>
    <row r="20" spans="8:24" s="2" customFormat="1" ht="22.7" customHeight="1">
      <c r="H20" s="141"/>
      <c r="I20" s="3661" t="str">
        <f>T(Street_Address)</f>
        <v/>
      </c>
      <c r="J20" s="3661"/>
      <c r="K20" s="3661"/>
      <c r="L20" s="3661"/>
      <c r="M20" s="3661"/>
      <c r="N20" s="3661"/>
      <c r="O20" s="3661"/>
      <c r="P20" s="3661"/>
      <c r="Q20" s="3661"/>
      <c r="R20" s="3661"/>
      <c r="S20" s="3661"/>
      <c r="T20" s="3661"/>
      <c r="U20" s="3661"/>
      <c r="V20" s="3661"/>
      <c r="W20" s="3661"/>
      <c r="X20" s="141"/>
    </row>
    <row r="21" spans="8:24" s="2" customFormat="1" ht="22.7" customHeight="1">
      <c r="H21" s="141"/>
      <c r="I21" s="3661"/>
      <c r="J21" s="3661"/>
      <c r="K21" s="3661"/>
      <c r="L21" s="3661"/>
      <c r="M21" s="3661"/>
      <c r="N21" s="3661"/>
      <c r="O21" s="3661"/>
      <c r="P21" s="3661"/>
      <c r="Q21" s="3661"/>
      <c r="R21" s="3661"/>
      <c r="S21" s="3661"/>
      <c r="T21" s="3661"/>
      <c r="U21" s="3661"/>
      <c r="V21" s="3661"/>
      <c r="W21" s="3661"/>
      <c r="X21" s="141"/>
    </row>
    <row r="22" spans="8:24" s="2" customFormat="1" ht="22.7" customHeight="1">
      <c r="H22" s="141"/>
      <c r="I22" s="3662" t="str">
        <f>T(City_State_Zip)</f>
        <v/>
      </c>
      <c r="J22" s="3662"/>
      <c r="K22" s="3662"/>
      <c r="L22" s="3662"/>
      <c r="M22" s="3662"/>
      <c r="N22" s="3662"/>
      <c r="O22" s="3662"/>
      <c r="P22" s="3662"/>
      <c r="Q22" s="3662"/>
      <c r="R22" s="3662"/>
      <c r="S22" s="3662"/>
      <c r="T22" s="3662"/>
      <c r="U22" s="3662"/>
      <c r="V22" s="3662"/>
      <c r="W22" s="3662"/>
      <c r="X22" s="141"/>
    </row>
    <row r="23" spans="8:24" s="2" customFormat="1" ht="22.7" customHeight="1">
      <c r="H23" s="141"/>
      <c r="I23" s="3653">
        <f ca="1">TODAY()</f>
        <v>43691</v>
      </c>
      <c r="J23" s="3653"/>
      <c r="K23" s="3653"/>
      <c r="L23" s="3653"/>
      <c r="M23" s="3653"/>
      <c r="N23" s="3653"/>
      <c r="O23" s="3653"/>
      <c r="P23" s="3653"/>
      <c r="Q23" s="3653"/>
      <c r="R23" s="3653"/>
      <c r="S23" s="3653"/>
      <c r="T23" s="3653"/>
      <c r="U23" s="35"/>
      <c r="V23" s="35"/>
      <c r="W23" s="35"/>
      <c r="X23" s="141"/>
    </row>
    <row r="24" spans="8:24" s="2" customFormat="1" ht="22.7" customHeight="1">
      <c r="H24" s="141"/>
      <c r="I24" s="3653"/>
      <c r="J24" s="3653"/>
      <c r="K24" s="3653"/>
      <c r="L24" s="3653"/>
      <c r="M24" s="3653"/>
      <c r="N24" s="3653"/>
      <c r="O24" s="3653"/>
      <c r="P24" s="3653"/>
      <c r="Q24" s="3653"/>
      <c r="R24" s="3653"/>
      <c r="S24" s="3653"/>
      <c r="T24" s="3653"/>
      <c r="U24" s="35"/>
      <c r="V24" s="35"/>
      <c r="W24" s="35"/>
      <c r="X24" s="141"/>
    </row>
    <row r="25" spans="8:24" s="2" customFormat="1" ht="22.7" customHeight="1">
      <c r="H25" s="141"/>
      <c r="I25" s="35"/>
      <c r="J25" s="35"/>
      <c r="K25" s="35"/>
      <c r="L25" s="35"/>
      <c r="M25" s="35"/>
      <c r="N25" s="35"/>
      <c r="O25" s="35"/>
      <c r="P25" s="35"/>
      <c r="Q25" s="35"/>
      <c r="R25" s="35"/>
      <c r="S25" s="35"/>
      <c r="T25" s="35"/>
      <c r="U25" s="35"/>
      <c r="V25" s="35"/>
      <c r="W25" s="35"/>
      <c r="X25" s="141"/>
    </row>
    <row r="26" spans="8:24" s="2" customFormat="1" ht="22.7" customHeight="1">
      <c r="H26" s="141"/>
      <c r="I26" s="35"/>
      <c r="J26" s="35"/>
      <c r="K26" s="35"/>
      <c r="L26" s="35"/>
      <c r="M26" s="35"/>
      <c r="N26" s="35"/>
      <c r="O26" s="35"/>
      <c r="P26" s="35"/>
      <c r="Q26" s="35"/>
      <c r="R26" s="35"/>
      <c r="S26" s="35"/>
      <c r="T26" s="35"/>
      <c r="U26" s="35"/>
      <c r="V26" s="35"/>
      <c r="W26" s="35"/>
      <c r="X26" s="141"/>
    </row>
    <row r="27" spans="8:24" s="2" customFormat="1" ht="22.7" customHeight="1">
      <c r="H27" s="141"/>
      <c r="I27" s="35"/>
      <c r="J27" s="35"/>
      <c r="K27" s="35"/>
      <c r="L27" s="35"/>
      <c r="M27" s="35"/>
      <c r="N27" s="35"/>
      <c r="O27" s="35"/>
      <c r="P27" s="35"/>
      <c r="Q27" s="35"/>
      <c r="R27" s="35"/>
      <c r="S27" s="35"/>
      <c r="T27" s="35"/>
      <c r="U27" s="35"/>
      <c r="V27" s="35"/>
      <c r="W27" s="35"/>
      <c r="X27" s="141"/>
    </row>
    <row r="28" spans="8:24" s="2" customFormat="1" ht="22.7" customHeight="1">
      <c r="H28" s="141"/>
      <c r="I28" s="3531" t="s">
        <v>1586</v>
      </c>
      <c r="J28" s="3532"/>
      <c r="K28" s="3532"/>
      <c r="L28" s="3532"/>
      <c r="M28" s="3532"/>
      <c r="N28" s="3532"/>
      <c r="O28" s="3532"/>
      <c r="P28" s="3532"/>
      <c r="Q28" s="3532"/>
      <c r="R28" s="3532"/>
      <c r="S28" s="3532"/>
      <c r="T28" s="3532"/>
      <c r="U28" s="3532"/>
      <c r="V28" s="3532"/>
      <c r="W28" s="3533"/>
      <c r="X28" s="141"/>
    </row>
    <row r="29" spans="8:24" s="2" customFormat="1" ht="22.7" customHeight="1">
      <c r="H29" s="141"/>
      <c r="I29" s="3534"/>
      <c r="J29" s="3535"/>
      <c r="K29" s="3535"/>
      <c r="L29" s="3535"/>
      <c r="M29" s="3535"/>
      <c r="N29" s="3535"/>
      <c r="O29" s="3535"/>
      <c r="P29" s="3535"/>
      <c r="Q29" s="3535"/>
      <c r="R29" s="3535"/>
      <c r="S29" s="3535"/>
      <c r="T29" s="3535"/>
      <c r="U29" s="3535"/>
      <c r="V29" s="3535"/>
      <c r="W29" s="3536"/>
      <c r="X29" s="141"/>
    </row>
    <row r="30" spans="8:24" s="2" customFormat="1" ht="22.7" customHeight="1">
      <c r="H30" s="141"/>
      <c r="I30" s="3534"/>
      <c r="J30" s="3535"/>
      <c r="K30" s="3535"/>
      <c r="L30" s="3535"/>
      <c r="M30" s="3535"/>
      <c r="N30" s="3535"/>
      <c r="O30" s="3535"/>
      <c r="P30" s="3535"/>
      <c r="Q30" s="3535"/>
      <c r="R30" s="3535"/>
      <c r="S30" s="3535"/>
      <c r="T30" s="3535"/>
      <c r="U30" s="3535"/>
      <c r="V30" s="3535"/>
      <c r="W30" s="3536"/>
      <c r="X30" s="141"/>
    </row>
    <row r="31" spans="8:24" s="2" customFormat="1" ht="22.7" customHeight="1">
      <c r="H31" s="141"/>
      <c r="I31" s="3534"/>
      <c r="J31" s="3535"/>
      <c r="K31" s="3535"/>
      <c r="L31" s="3535"/>
      <c r="M31" s="3535"/>
      <c r="N31" s="3535"/>
      <c r="O31" s="3535"/>
      <c r="P31" s="3535"/>
      <c r="Q31" s="3535"/>
      <c r="R31" s="3535"/>
      <c r="S31" s="3535"/>
      <c r="T31" s="3535"/>
      <c r="U31" s="3535"/>
      <c r="V31" s="3535"/>
      <c r="W31" s="3536"/>
      <c r="X31" s="141"/>
    </row>
    <row r="32" spans="8:24" s="2" customFormat="1" ht="22.7" customHeight="1">
      <c r="H32" s="141"/>
      <c r="I32" s="3534"/>
      <c r="J32" s="3535"/>
      <c r="K32" s="3535"/>
      <c r="L32" s="3535"/>
      <c r="M32" s="3535"/>
      <c r="N32" s="3535"/>
      <c r="O32" s="3535"/>
      <c r="P32" s="3535"/>
      <c r="Q32" s="3535"/>
      <c r="R32" s="3535"/>
      <c r="S32" s="3535"/>
      <c r="T32" s="3535"/>
      <c r="U32" s="3535"/>
      <c r="V32" s="3535"/>
      <c r="W32" s="3536"/>
      <c r="X32" s="141"/>
    </row>
    <row r="33" spans="8:24" s="2" customFormat="1" ht="22.7" customHeight="1">
      <c r="H33" s="141"/>
      <c r="I33" s="3534"/>
      <c r="J33" s="3535"/>
      <c r="K33" s="3535"/>
      <c r="L33" s="3535"/>
      <c r="M33" s="3535"/>
      <c r="N33" s="3535"/>
      <c r="O33" s="3535"/>
      <c r="P33" s="3535"/>
      <c r="Q33" s="3535"/>
      <c r="R33" s="3535"/>
      <c r="S33" s="3535"/>
      <c r="T33" s="3535"/>
      <c r="U33" s="3535"/>
      <c r="V33" s="3535"/>
      <c r="W33" s="3536"/>
      <c r="X33" s="141"/>
    </row>
    <row r="34" spans="8:24" s="2" customFormat="1" ht="22.7" customHeight="1">
      <c r="H34" s="141"/>
      <c r="I34" s="3534"/>
      <c r="J34" s="3535"/>
      <c r="K34" s="3535"/>
      <c r="L34" s="3535"/>
      <c r="M34" s="3535"/>
      <c r="N34" s="3535"/>
      <c r="O34" s="3535"/>
      <c r="P34" s="3535"/>
      <c r="Q34" s="3535"/>
      <c r="R34" s="3535"/>
      <c r="S34" s="3535"/>
      <c r="T34" s="3535"/>
      <c r="U34" s="3535"/>
      <c r="V34" s="3535"/>
      <c r="W34" s="3536"/>
      <c r="X34" s="141"/>
    </row>
    <row r="35" spans="8:24" s="2" customFormat="1" ht="22.7" customHeight="1">
      <c r="H35" s="141"/>
      <c r="I35" s="3534"/>
      <c r="J35" s="3535"/>
      <c r="K35" s="3535"/>
      <c r="L35" s="3535"/>
      <c r="M35" s="3535"/>
      <c r="N35" s="3535"/>
      <c r="O35" s="3535"/>
      <c r="P35" s="3535"/>
      <c r="Q35" s="3535"/>
      <c r="R35" s="3535"/>
      <c r="S35" s="3535"/>
      <c r="T35" s="3535"/>
      <c r="U35" s="3535"/>
      <c r="V35" s="3535"/>
      <c r="W35" s="3536"/>
      <c r="X35" s="141"/>
    </row>
    <row r="36" spans="8:24" s="2" customFormat="1" ht="22.7" customHeight="1">
      <c r="H36" s="141"/>
      <c r="I36" s="3534"/>
      <c r="J36" s="3535"/>
      <c r="K36" s="3535"/>
      <c r="L36" s="3535"/>
      <c r="M36" s="3535"/>
      <c r="N36" s="3535"/>
      <c r="O36" s="3535"/>
      <c r="P36" s="3535"/>
      <c r="Q36" s="3535"/>
      <c r="R36" s="3535"/>
      <c r="S36" s="3535"/>
      <c r="T36" s="3535"/>
      <c r="U36" s="3535"/>
      <c r="V36" s="3535"/>
      <c r="W36" s="3536"/>
      <c r="X36" s="141"/>
    </row>
    <row r="37" spans="8:24" s="2" customFormat="1" ht="22.7" customHeight="1">
      <c r="H37" s="141"/>
      <c r="I37" s="3534"/>
      <c r="J37" s="3535"/>
      <c r="K37" s="3535"/>
      <c r="L37" s="3535"/>
      <c r="M37" s="3535"/>
      <c r="N37" s="3535"/>
      <c r="O37" s="3535"/>
      <c r="P37" s="3535"/>
      <c r="Q37" s="3535"/>
      <c r="R37" s="3535"/>
      <c r="S37" s="3535"/>
      <c r="T37" s="3535"/>
      <c r="U37" s="3535"/>
      <c r="V37" s="3535"/>
      <c r="W37" s="3536"/>
      <c r="X37" s="141"/>
    </row>
    <row r="38" spans="8:24" s="2" customFormat="1" ht="22.7" customHeight="1">
      <c r="H38" s="141"/>
      <c r="I38" s="3534"/>
      <c r="J38" s="3535"/>
      <c r="K38" s="3535"/>
      <c r="L38" s="3535"/>
      <c r="M38" s="3535"/>
      <c r="N38" s="3535"/>
      <c r="O38" s="3535"/>
      <c r="P38" s="3535"/>
      <c r="Q38" s="3535"/>
      <c r="R38" s="3535"/>
      <c r="S38" s="3535"/>
      <c r="T38" s="3535"/>
      <c r="U38" s="3535"/>
      <c r="V38" s="3535"/>
      <c r="W38" s="3536"/>
      <c r="X38" s="141"/>
    </row>
    <row r="39" spans="8:24" s="2" customFormat="1" ht="22.7" customHeight="1">
      <c r="H39" s="141"/>
      <c r="I39" s="3534"/>
      <c r="J39" s="3535"/>
      <c r="K39" s="3535"/>
      <c r="L39" s="3535"/>
      <c r="M39" s="3535"/>
      <c r="N39" s="3535"/>
      <c r="O39" s="3535"/>
      <c r="P39" s="3535"/>
      <c r="Q39" s="3535"/>
      <c r="R39" s="3535"/>
      <c r="S39" s="3535"/>
      <c r="T39" s="3535"/>
      <c r="U39" s="3535"/>
      <c r="V39" s="3535"/>
      <c r="W39" s="3536"/>
      <c r="X39" s="141"/>
    </row>
    <row r="40" spans="8:24" s="2" customFormat="1" ht="22.7" customHeight="1">
      <c r="H40" s="141"/>
      <c r="I40" s="3534"/>
      <c r="J40" s="3535"/>
      <c r="K40" s="3535"/>
      <c r="L40" s="3535"/>
      <c r="M40" s="3535"/>
      <c r="N40" s="3535"/>
      <c r="O40" s="3535"/>
      <c r="P40" s="3535"/>
      <c r="Q40" s="3535"/>
      <c r="R40" s="3535"/>
      <c r="S40" s="3535"/>
      <c r="T40" s="3535"/>
      <c r="U40" s="3535"/>
      <c r="V40" s="3535"/>
      <c r="W40" s="3536"/>
      <c r="X40" s="141"/>
    </row>
    <row r="41" spans="8:24" s="2" customFormat="1" ht="22.7" customHeight="1">
      <c r="H41" s="141"/>
      <c r="I41" s="3534"/>
      <c r="J41" s="3535"/>
      <c r="K41" s="3535"/>
      <c r="L41" s="3535"/>
      <c r="M41" s="3535"/>
      <c r="N41" s="3535"/>
      <c r="O41" s="3535"/>
      <c r="P41" s="3535"/>
      <c r="Q41" s="3535"/>
      <c r="R41" s="3535"/>
      <c r="S41" s="3535"/>
      <c r="T41" s="3535"/>
      <c r="U41" s="3535"/>
      <c r="V41" s="3535"/>
      <c r="W41" s="3536"/>
      <c r="X41" s="141"/>
    </row>
    <row r="42" spans="8:24" s="2" customFormat="1" ht="22.7" customHeight="1">
      <c r="H42" s="141"/>
      <c r="I42" s="3534"/>
      <c r="J42" s="3535"/>
      <c r="K42" s="3535"/>
      <c r="L42" s="3535"/>
      <c r="M42" s="3535"/>
      <c r="N42" s="3535"/>
      <c r="O42" s="3535"/>
      <c r="P42" s="3535"/>
      <c r="Q42" s="3535"/>
      <c r="R42" s="3535"/>
      <c r="S42" s="3535"/>
      <c r="T42" s="3535"/>
      <c r="U42" s="3535"/>
      <c r="V42" s="3535"/>
      <c r="W42" s="3536"/>
      <c r="X42" s="141"/>
    </row>
    <row r="43" spans="8:24" s="2" customFormat="1" ht="22.7" customHeight="1">
      <c r="H43" s="141"/>
      <c r="I43" s="3534"/>
      <c r="J43" s="3535"/>
      <c r="K43" s="3535"/>
      <c r="L43" s="3535"/>
      <c r="M43" s="3535"/>
      <c r="N43" s="3535"/>
      <c r="O43" s="3535"/>
      <c r="P43" s="3535"/>
      <c r="Q43" s="3535"/>
      <c r="R43" s="3535"/>
      <c r="S43" s="3535"/>
      <c r="T43" s="3535"/>
      <c r="U43" s="3535"/>
      <c r="V43" s="3535"/>
      <c r="W43" s="3536"/>
      <c r="X43" s="141"/>
    </row>
    <row r="44" spans="8:24" s="2" customFormat="1" ht="22.7" customHeight="1">
      <c r="H44" s="141"/>
      <c r="I44" s="3534"/>
      <c r="J44" s="3535"/>
      <c r="K44" s="3535"/>
      <c r="L44" s="3535"/>
      <c r="M44" s="3535"/>
      <c r="N44" s="3535"/>
      <c r="O44" s="3535"/>
      <c r="P44" s="3535"/>
      <c r="Q44" s="3535"/>
      <c r="R44" s="3535"/>
      <c r="S44" s="3535"/>
      <c r="T44" s="3535"/>
      <c r="U44" s="3535"/>
      <c r="V44" s="3535"/>
      <c r="W44" s="3536"/>
      <c r="X44" s="141"/>
    </row>
    <row r="45" spans="8:24" s="2" customFormat="1" ht="22.7" customHeight="1">
      <c r="H45" s="141"/>
      <c r="I45" s="3534"/>
      <c r="J45" s="3535"/>
      <c r="K45" s="3535"/>
      <c r="L45" s="3535"/>
      <c r="M45" s="3535"/>
      <c r="N45" s="3535"/>
      <c r="O45" s="3535"/>
      <c r="P45" s="3535"/>
      <c r="Q45" s="3535"/>
      <c r="R45" s="3535"/>
      <c r="S45" s="3535"/>
      <c r="T45" s="3535"/>
      <c r="U45" s="3535"/>
      <c r="V45" s="3535"/>
      <c r="W45" s="3536"/>
      <c r="X45" s="141"/>
    </row>
    <row r="46" spans="8:24" s="2" customFormat="1" ht="22.7" customHeight="1">
      <c r="H46" s="141"/>
      <c r="I46" s="3534"/>
      <c r="J46" s="3535"/>
      <c r="K46" s="3535"/>
      <c r="L46" s="3535"/>
      <c r="M46" s="3535"/>
      <c r="N46" s="3535"/>
      <c r="O46" s="3535"/>
      <c r="P46" s="3535"/>
      <c r="Q46" s="3535"/>
      <c r="R46" s="3535"/>
      <c r="S46" s="3535"/>
      <c r="T46" s="3535"/>
      <c r="U46" s="3535"/>
      <c r="V46" s="3535"/>
      <c r="W46" s="3536"/>
      <c r="X46" s="141"/>
    </row>
    <row r="47" spans="8:24" s="2" customFormat="1" ht="22.7" customHeight="1">
      <c r="H47" s="141"/>
      <c r="I47" s="3534"/>
      <c r="J47" s="3535"/>
      <c r="K47" s="3535"/>
      <c r="L47" s="3535"/>
      <c r="M47" s="3535"/>
      <c r="N47" s="3535"/>
      <c r="O47" s="3535"/>
      <c r="P47" s="3535"/>
      <c r="Q47" s="3535"/>
      <c r="R47" s="3535"/>
      <c r="S47" s="3535"/>
      <c r="T47" s="3535"/>
      <c r="U47" s="3535"/>
      <c r="V47" s="3535"/>
      <c r="W47" s="3536"/>
      <c r="X47" s="141"/>
    </row>
    <row r="48" spans="8:24" s="2" customFormat="1" ht="22.7" customHeight="1">
      <c r="H48" s="141"/>
      <c r="I48" s="3537"/>
      <c r="J48" s="3538"/>
      <c r="K48" s="3538"/>
      <c r="L48" s="3538"/>
      <c r="M48" s="3538"/>
      <c r="N48" s="3538"/>
      <c r="O48" s="3538"/>
      <c r="P48" s="3538"/>
      <c r="Q48" s="3538"/>
      <c r="R48" s="3538"/>
      <c r="S48" s="3538"/>
      <c r="T48" s="3538"/>
      <c r="U48" s="3538"/>
      <c r="V48" s="3538"/>
      <c r="W48" s="3539"/>
      <c r="X48" s="141"/>
    </row>
    <row r="49" spans="8:24" s="2" customFormat="1" ht="22.7" customHeight="1">
      <c r="H49" s="141"/>
      <c r="I49" s="141"/>
      <c r="J49" s="141"/>
      <c r="K49" s="141"/>
      <c r="L49" s="141"/>
      <c r="M49" s="141"/>
      <c r="N49" s="141"/>
      <c r="O49" s="141"/>
      <c r="P49" s="141"/>
      <c r="Q49" s="141"/>
      <c r="R49" s="141"/>
      <c r="S49" s="141"/>
      <c r="T49" s="141"/>
      <c r="U49" s="141"/>
      <c r="V49" s="141"/>
      <c r="W49" s="141"/>
      <c r="X49" s="141"/>
    </row>
    <row r="50" spans="8:24" s="2" customFormat="1" ht="22.7" customHeight="1">
      <c r="H50" s="141"/>
      <c r="I50" s="864"/>
      <c r="J50" s="864"/>
      <c r="K50" s="864"/>
      <c r="L50" s="864"/>
      <c r="M50" s="864"/>
      <c r="N50" s="864"/>
      <c r="O50" s="864"/>
      <c r="P50" s="141"/>
      <c r="Q50" s="141"/>
      <c r="R50" s="141"/>
      <c r="S50" s="141"/>
      <c r="T50" s="141"/>
      <c r="U50" s="141"/>
      <c r="V50" s="141"/>
      <c r="W50" s="141"/>
      <c r="X50" s="141"/>
    </row>
    <row r="51" spans="8:24" s="2" customFormat="1" ht="22.7" customHeight="1">
      <c r="H51" s="141"/>
      <c r="I51" s="3660">
        <f>Company_Name</f>
        <v>0</v>
      </c>
      <c r="J51" s="3660"/>
      <c r="K51" s="3660"/>
      <c r="L51" s="3660"/>
      <c r="M51" s="3660"/>
      <c r="N51" s="3660"/>
      <c r="O51" s="3660"/>
      <c r="P51" s="141"/>
      <c r="Q51" s="141"/>
      <c r="R51" s="141"/>
      <c r="S51" s="141"/>
      <c r="T51" s="141"/>
      <c r="U51" s="141"/>
      <c r="V51" s="141"/>
      <c r="W51" s="141"/>
      <c r="X51" s="141"/>
    </row>
    <row r="52" spans="8:24" s="2" customFormat="1" ht="22.7" customHeight="1">
      <c r="H52" s="141"/>
      <c r="I52" s="3665">
        <f>Investor_Name</f>
        <v>0</v>
      </c>
      <c r="J52" s="3665"/>
      <c r="K52" s="3665"/>
      <c r="L52" s="3665"/>
      <c r="M52" s="3665"/>
      <c r="N52" s="3665"/>
      <c r="O52" s="3665"/>
      <c r="P52" s="141"/>
      <c r="Q52" s="141"/>
      <c r="R52" s="141"/>
      <c r="S52" s="141"/>
      <c r="T52" s="141"/>
      <c r="U52" s="141"/>
      <c r="V52" s="141"/>
      <c r="W52" s="141"/>
      <c r="X52" s="141"/>
    </row>
    <row r="53" spans="8:24" s="2" customFormat="1" ht="22.7" customHeight="1">
      <c r="H53" s="141"/>
      <c r="I53" s="3665" t="str">
        <f>T(Company_Email)</f>
        <v/>
      </c>
      <c r="J53" s="3665"/>
      <c r="K53" s="3665"/>
      <c r="L53" s="3665"/>
      <c r="M53" s="3665"/>
      <c r="N53" s="3665"/>
      <c r="O53" s="3665"/>
      <c r="P53" s="141"/>
      <c r="Q53" s="141"/>
      <c r="R53" s="141"/>
      <c r="S53" s="141"/>
      <c r="T53" s="141"/>
      <c r="U53" s="141"/>
      <c r="V53" s="141"/>
      <c r="W53" s="141"/>
      <c r="X53" s="141"/>
    </row>
    <row r="54" spans="8:24" s="2" customFormat="1" ht="22.7" customHeight="1">
      <c r="H54" s="141"/>
      <c r="I54" s="3666">
        <f>Company_Phone</f>
        <v>0</v>
      </c>
      <c r="J54" s="3666"/>
      <c r="K54" s="3666"/>
      <c r="L54" s="3666"/>
      <c r="M54" s="3666"/>
      <c r="N54" s="3666"/>
      <c r="O54" s="3666"/>
      <c r="P54" s="141"/>
      <c r="Q54" s="141"/>
      <c r="R54" s="141"/>
      <c r="S54" s="141"/>
      <c r="T54" s="141"/>
      <c r="U54" s="141"/>
      <c r="V54" s="141"/>
      <c r="W54" s="141"/>
      <c r="X54" s="141"/>
    </row>
    <row r="55" spans="8:24" s="2" customFormat="1" ht="22.7" customHeight="1">
      <c r="H55" s="141"/>
      <c r="I55" s="864"/>
      <c r="J55" s="864"/>
      <c r="K55" s="864"/>
      <c r="L55" s="864"/>
      <c r="M55" s="864"/>
      <c r="N55" s="864"/>
      <c r="O55" s="864"/>
      <c r="P55" s="141"/>
      <c r="Q55" s="141"/>
      <c r="R55" s="141"/>
      <c r="S55" s="141"/>
      <c r="T55" s="141"/>
      <c r="U55" s="141"/>
      <c r="V55" s="141"/>
      <c r="W55" s="141"/>
      <c r="X55" s="141"/>
    </row>
    <row r="56" spans="8:24" s="2" customFormat="1" ht="22.7" customHeight="1">
      <c r="H56" s="141"/>
      <c r="I56" s="141"/>
      <c r="J56" s="141"/>
      <c r="K56" s="141"/>
      <c r="L56" s="141"/>
      <c r="M56" s="141"/>
      <c r="N56" s="141"/>
      <c r="O56" s="141"/>
      <c r="P56" s="141"/>
      <c r="Q56" s="141"/>
      <c r="R56" s="141"/>
      <c r="S56" s="141"/>
      <c r="T56" s="141"/>
      <c r="U56" s="141"/>
      <c r="V56" s="141"/>
      <c r="W56" s="141"/>
      <c r="X56" s="141"/>
    </row>
    <row r="57" spans="8:24" s="2" customFormat="1" ht="22.7" customHeight="1">
      <c r="H57" s="141"/>
      <c r="I57" s="141"/>
      <c r="J57" s="141"/>
      <c r="K57" s="141"/>
      <c r="L57" s="141"/>
      <c r="M57" s="141"/>
      <c r="N57" s="141"/>
      <c r="O57" s="141"/>
      <c r="P57" s="141"/>
      <c r="Q57" s="141"/>
      <c r="R57" s="141"/>
      <c r="S57" s="141"/>
      <c r="T57" s="141"/>
      <c r="U57" s="141"/>
      <c r="V57" s="141"/>
      <c r="W57" s="141"/>
      <c r="X57" s="141"/>
    </row>
    <row r="58" spans="8:24" s="2" customFormat="1" ht="22.7" customHeight="1">
      <c r="H58" s="3544" t="str">
        <f>CONCATENATE("Report Prepared By: ",Investor_Name,"  |  ",Company_Name,"  |  ",Company_Email,"  |  ",Company_Website)</f>
        <v xml:space="preserve">Report Prepared By:   |    |    |  </v>
      </c>
      <c r="I58" s="3544"/>
      <c r="J58" s="3544"/>
      <c r="K58" s="3544"/>
      <c r="L58" s="3544"/>
      <c r="M58" s="3544"/>
      <c r="N58" s="3544"/>
      <c r="O58" s="3544"/>
      <c r="P58" s="3544"/>
      <c r="Q58" s="3544"/>
      <c r="R58" s="3544"/>
      <c r="S58" s="3544"/>
      <c r="T58" s="3544"/>
      <c r="U58" s="3544"/>
      <c r="V58" s="3544"/>
      <c r="W58" s="3561" t="str">
        <f>CONCATENATE("Page ",AH6," of ",$AG$3)</f>
        <v>Page 1 of 7</v>
      </c>
      <c r="X58" s="3561"/>
    </row>
    <row r="59" spans="8:24" s="2" customFormat="1" ht="25" customHeight="1">
      <c r="H59" s="3562" t="str">
        <f>CONCATENATE(Street_Address,", ",City_State_Zip)</f>
        <v>, 0</v>
      </c>
      <c r="I59" s="3562"/>
      <c r="J59" s="3562"/>
      <c r="K59" s="3562"/>
      <c r="L59" s="3562"/>
      <c r="M59" s="3562"/>
      <c r="N59" s="3562"/>
      <c r="O59" s="3562"/>
      <c r="P59" s="3562"/>
      <c r="Q59" s="3562"/>
      <c r="R59" s="3562"/>
      <c r="S59" s="3562"/>
      <c r="T59" s="3562"/>
      <c r="U59" s="3562"/>
      <c r="V59" s="3562"/>
      <c r="W59" s="3562"/>
      <c r="X59" s="3562"/>
    </row>
    <row r="60" spans="8:24" s="2" customFormat="1" ht="25" customHeight="1">
      <c r="H60" s="856"/>
      <c r="I60" s="856"/>
      <c r="J60" s="856"/>
      <c r="K60" s="856"/>
      <c r="L60" s="854"/>
      <c r="M60" s="854"/>
      <c r="N60" s="854"/>
      <c r="O60" s="855"/>
      <c r="P60" s="855"/>
      <c r="Q60" s="855"/>
      <c r="R60" s="855"/>
      <c r="S60" s="855"/>
      <c r="T60" s="855"/>
      <c r="U60" s="855"/>
      <c r="V60" s="855"/>
      <c r="W60" s="855"/>
      <c r="X60" s="855"/>
    </row>
    <row r="61" spans="8:24" s="2" customFormat="1" ht="25" customHeight="1">
      <c r="H61" s="866" t="s">
        <v>1587</v>
      </c>
      <c r="I61" s="856"/>
      <c r="J61" s="856"/>
      <c r="K61" s="856"/>
      <c r="L61" s="854"/>
      <c r="M61" s="854"/>
      <c r="N61" s="854"/>
      <c r="O61" s="855"/>
      <c r="P61" s="855"/>
      <c r="Q61" s="855"/>
      <c r="R61" s="855"/>
      <c r="S61" s="855"/>
      <c r="T61" s="855"/>
      <c r="U61" s="855"/>
      <c r="V61" s="855"/>
      <c r="W61" s="855"/>
      <c r="X61" s="855"/>
    </row>
    <row r="62" spans="8:24" s="2" customFormat="1" ht="25" customHeight="1">
      <c r="H62" s="856"/>
      <c r="I62" s="856"/>
      <c r="J62" s="856"/>
      <c r="K62" s="856"/>
      <c r="L62" s="854"/>
      <c r="M62" s="854"/>
      <c r="N62" s="854"/>
      <c r="O62" s="855"/>
      <c r="P62" s="855"/>
      <c r="Q62" s="855"/>
      <c r="R62" s="855"/>
      <c r="S62" s="860"/>
      <c r="T62" s="855"/>
      <c r="U62" s="855"/>
      <c r="V62" s="855"/>
      <c r="W62" s="855"/>
      <c r="X62" s="855"/>
    </row>
    <row r="63" spans="8:24" s="2" customFormat="1" ht="25" customHeight="1">
      <c r="H63" s="3596" t="s">
        <v>1871</v>
      </c>
      <c r="I63" s="3596"/>
      <c r="J63" s="3596"/>
      <c r="K63" s="3596"/>
      <c r="L63" s="3596"/>
      <c r="M63" s="3596"/>
      <c r="N63" s="3596"/>
      <c r="O63" s="3596"/>
      <c r="P63" s="3596"/>
      <c r="Q63" s="3596"/>
      <c r="R63" s="855"/>
      <c r="S63" s="3667" t="s">
        <v>1599</v>
      </c>
      <c r="T63" s="3667"/>
      <c r="U63" s="3667"/>
      <c r="V63" s="3667"/>
      <c r="W63" s="3667"/>
      <c r="X63" s="3667"/>
    </row>
    <row r="64" spans="8:24" s="2" customFormat="1" ht="25" customHeight="1">
      <c r="H64" s="3606" t="s">
        <v>1339</v>
      </c>
      <c r="I64" s="3606"/>
      <c r="J64" s="3606"/>
      <c r="K64" s="3606"/>
      <c r="L64" s="3669" t="str">
        <f>CONCATENATE(Number_of_Beds," beds, ",Number_of_Baths," baths, ",Square_Feet," sf")</f>
        <v xml:space="preserve"> beds,  baths, 0 sf</v>
      </c>
      <c r="M64" s="3669"/>
      <c r="N64" s="3669"/>
      <c r="O64" s="3669"/>
      <c r="P64" s="3669"/>
      <c r="Q64" s="3669"/>
      <c r="R64" s="855"/>
      <c r="S64" s="855"/>
      <c r="T64" s="855"/>
      <c r="U64" s="855"/>
      <c r="V64" s="855"/>
      <c r="W64" s="855"/>
      <c r="X64" s="855"/>
    </row>
    <row r="65" spans="8:24" s="2" customFormat="1" ht="25" customHeight="1">
      <c r="H65" s="3606" t="s">
        <v>905</v>
      </c>
      <c r="I65" s="3606"/>
      <c r="J65" s="3606"/>
      <c r="K65" s="3606"/>
      <c r="L65" s="3669">
        <f>Subdivision</f>
        <v>0</v>
      </c>
      <c r="M65" s="3669"/>
      <c r="N65" s="3669"/>
      <c r="O65" s="3669"/>
      <c r="P65" s="3669"/>
      <c r="Q65" s="3669"/>
      <c r="R65" s="869"/>
      <c r="S65" s="3592" t="s">
        <v>1203</v>
      </c>
      <c r="T65" s="3592"/>
      <c r="U65" s="3592"/>
      <c r="V65" s="3592"/>
      <c r="W65" s="3592"/>
      <c r="X65" s="3592"/>
    </row>
    <row r="66" spans="8:24" s="2" customFormat="1" ht="25" customHeight="1">
      <c r="H66" s="3606" t="s">
        <v>83</v>
      </c>
      <c r="I66" s="3606"/>
      <c r="J66" s="3606"/>
      <c r="K66" s="3606"/>
      <c r="L66" s="3669">
        <f>School_District</f>
        <v>0</v>
      </c>
      <c r="M66" s="3669"/>
      <c r="N66" s="3669"/>
      <c r="O66" s="3669"/>
      <c r="P66" s="3669"/>
      <c r="Q66" s="3669"/>
      <c r="R66" s="869"/>
      <c r="S66" s="3668">
        <f>Purchase_Price_Result</f>
        <v>0</v>
      </c>
      <c r="T66" s="3668"/>
      <c r="U66" s="3668"/>
      <c r="V66" s="3668"/>
      <c r="W66" s="3668"/>
      <c r="X66" s="3668"/>
    </row>
    <row r="67" spans="8:24" s="2" customFormat="1" ht="25" customHeight="1">
      <c r="H67" s="1427"/>
      <c r="I67" s="1427"/>
      <c r="J67" s="1427"/>
      <c r="K67" s="1427"/>
      <c r="L67" s="1425"/>
      <c r="M67" s="1425"/>
      <c r="N67" s="1425"/>
      <c r="O67" s="1426"/>
      <c r="P67" s="1426"/>
      <c r="Q67" s="1426"/>
      <c r="R67" s="869"/>
      <c r="S67" s="3668"/>
      <c r="T67" s="3668"/>
      <c r="U67" s="3668"/>
      <c r="V67" s="3668"/>
      <c r="W67" s="3668"/>
      <c r="X67" s="3668"/>
    </row>
    <row r="68" spans="8:24" s="2" customFormat="1" ht="25" customHeight="1">
      <c r="H68" s="3596" t="s">
        <v>1588</v>
      </c>
      <c r="I68" s="3596"/>
      <c r="J68" s="3596"/>
      <c r="K68" s="3596"/>
      <c r="L68" s="3596"/>
      <c r="M68" s="3596"/>
      <c r="N68" s="3596"/>
      <c r="O68" s="3596"/>
      <c r="P68" s="3596"/>
      <c r="Q68" s="3596"/>
      <c r="R68" s="869"/>
      <c r="S68" s="3590" t="s">
        <v>1350</v>
      </c>
      <c r="T68" s="3590"/>
      <c r="U68" s="3590"/>
      <c r="V68" s="3590"/>
      <c r="W68" s="3664">
        <f>IFERROR(ARV/Property_Size,0)</f>
        <v>0</v>
      </c>
      <c r="X68" s="3664"/>
    </row>
    <row r="69" spans="8:24" s="2" customFormat="1" ht="25" customHeight="1">
      <c r="H69" s="3552"/>
      <c r="I69" s="3552"/>
      <c r="J69" s="3552"/>
      <c r="K69" s="3552"/>
      <c r="L69" s="3552"/>
      <c r="M69" s="3552"/>
      <c r="N69" s="3552"/>
      <c r="O69" s="3603" t="s">
        <v>1160</v>
      </c>
      <c r="P69" s="3603"/>
      <c r="Q69" s="3603"/>
      <c r="R69" s="869"/>
      <c r="S69" s="869"/>
      <c r="T69" s="869"/>
      <c r="U69" s="869"/>
      <c r="V69" s="869"/>
      <c r="W69" s="869"/>
      <c r="X69" s="869"/>
    </row>
    <row r="70" spans="8:24" s="2" customFormat="1" ht="25" customHeight="1">
      <c r="H70" s="3658" t="s">
        <v>794</v>
      </c>
      <c r="I70" s="3658"/>
      <c r="J70" s="3658"/>
      <c r="K70" s="3658"/>
      <c r="L70" s="3658"/>
      <c r="M70" s="3658"/>
      <c r="N70" s="3658"/>
      <c r="O70" s="3547">
        <f>Purchase_Price_Result</f>
        <v>0</v>
      </c>
      <c r="P70" s="3547"/>
      <c r="Q70" s="3547"/>
      <c r="R70" s="869"/>
      <c r="S70" s="3592" t="s">
        <v>794</v>
      </c>
      <c r="T70" s="3592"/>
      <c r="U70" s="3592"/>
      <c r="V70" s="3592"/>
      <c r="W70" s="3592"/>
      <c r="X70" s="3592"/>
    </row>
    <row r="71" spans="8:24" s="2" customFormat="1" ht="25" customHeight="1" thickBot="1">
      <c r="H71" s="3601" t="s">
        <v>74</v>
      </c>
      <c r="I71" s="3601"/>
      <c r="J71" s="3601"/>
      <c r="K71" s="3601"/>
      <c r="L71" s="3601"/>
      <c r="M71" s="3601"/>
      <c r="N71" s="3601"/>
      <c r="O71" s="3602">
        <f>Buying_Costs_Result</f>
        <v>0</v>
      </c>
      <c r="P71" s="3602"/>
      <c r="Q71" s="3602"/>
      <c r="R71" s="869"/>
      <c r="S71" s="3605">
        <f>Maximum_Purchase_Price</f>
        <v>0</v>
      </c>
      <c r="T71" s="3605"/>
      <c r="U71" s="3605"/>
      <c r="V71" s="3605"/>
      <c r="W71" s="3605"/>
      <c r="X71" s="3605"/>
    </row>
    <row r="72" spans="8:24" s="2" customFormat="1" ht="25" customHeight="1" thickTop="1">
      <c r="H72" s="3657" t="s">
        <v>1590</v>
      </c>
      <c r="I72" s="3657"/>
      <c r="J72" s="3657"/>
      <c r="K72" s="3657"/>
      <c r="L72" s="3657"/>
      <c r="M72" s="3657"/>
      <c r="N72" s="3657"/>
      <c r="O72" s="3656">
        <f>SUM(O70:Q71)</f>
        <v>0</v>
      </c>
      <c r="P72" s="3656"/>
      <c r="Q72" s="3656"/>
      <c r="R72" s="869"/>
      <c r="S72" s="3605"/>
      <c r="T72" s="3605"/>
      <c r="U72" s="3605"/>
      <c r="V72" s="3605"/>
      <c r="W72" s="3605"/>
      <c r="X72" s="3605"/>
    </row>
    <row r="73" spans="8:24" s="2" customFormat="1" ht="25" customHeight="1">
      <c r="H73" s="867"/>
      <c r="I73" s="867"/>
      <c r="J73" s="867"/>
      <c r="K73" s="867"/>
      <c r="L73" s="868"/>
      <c r="M73" s="868"/>
      <c r="N73" s="868"/>
      <c r="O73" s="3603"/>
      <c r="P73" s="3603"/>
      <c r="Q73" s="3603"/>
      <c r="R73" s="869"/>
      <c r="S73" s="3590" t="s">
        <v>1601</v>
      </c>
      <c r="T73" s="3590"/>
      <c r="U73" s="3590"/>
      <c r="V73" s="3590"/>
      <c r="W73" s="3591">
        <f>IFERROR(S71/ARV,0)</f>
        <v>0</v>
      </c>
      <c r="X73" s="3591"/>
    </row>
    <row r="74" spans="8:24" s="2" customFormat="1" ht="25" customHeight="1">
      <c r="H74" s="3598" t="s">
        <v>84</v>
      </c>
      <c r="I74" s="3598"/>
      <c r="J74" s="3598"/>
      <c r="K74" s="3598"/>
      <c r="L74" s="3598"/>
      <c r="M74" s="3598"/>
      <c r="N74" s="3598"/>
      <c r="O74" s="3547">
        <f>Raw_Repair_Costs_Result</f>
        <v>0</v>
      </c>
      <c r="P74" s="3547"/>
      <c r="Q74" s="3547"/>
      <c r="R74" s="869"/>
      <c r="S74" s="869"/>
      <c r="T74" s="869"/>
      <c r="U74" s="869"/>
      <c r="V74" s="869"/>
      <c r="W74" s="869"/>
      <c r="X74" s="869"/>
    </row>
    <row r="75" spans="8:24" s="2" customFormat="1" ht="25" customHeight="1" thickBot="1">
      <c r="H75" s="3601" t="str">
        <f>IF(O75=0,"Contingeny",CONCATENATE("Contingency (",TEXT(Adders_Percentage,"#.#%"),")"))</f>
        <v>Contingeny</v>
      </c>
      <c r="I75" s="3601"/>
      <c r="J75" s="3601"/>
      <c r="K75" s="3601"/>
      <c r="L75" s="3601"/>
      <c r="M75" s="3601"/>
      <c r="N75" s="3601"/>
      <c r="O75" s="3602">
        <f>Adders_Result</f>
        <v>0</v>
      </c>
      <c r="P75" s="3602"/>
      <c r="Q75" s="3602"/>
      <c r="R75" s="869"/>
      <c r="S75" s="3592" t="s">
        <v>1600</v>
      </c>
      <c r="T75" s="3592"/>
      <c r="U75" s="3592"/>
      <c r="V75" s="3592"/>
      <c r="W75" s="3592"/>
      <c r="X75" s="3592"/>
    </row>
    <row r="76" spans="8:24" s="2" customFormat="1" ht="25" customHeight="1" thickTop="1">
      <c r="H76" s="3657" t="s">
        <v>493</v>
      </c>
      <c r="I76" s="3657"/>
      <c r="J76" s="3657"/>
      <c r="K76" s="3657"/>
      <c r="L76" s="3657"/>
      <c r="M76" s="3657"/>
      <c r="N76" s="3657"/>
      <c r="O76" s="3656">
        <f>SUM(O74:Q75)</f>
        <v>0</v>
      </c>
      <c r="P76" s="3656"/>
      <c r="Q76" s="3656"/>
      <c r="R76" s="869"/>
      <c r="S76" s="3605">
        <f>O76</f>
        <v>0</v>
      </c>
      <c r="T76" s="3605"/>
      <c r="U76" s="3605"/>
      <c r="V76" s="3605"/>
      <c r="W76" s="3605"/>
      <c r="X76" s="3605"/>
    </row>
    <row r="77" spans="8:24" s="2" customFormat="1" ht="25" customHeight="1">
      <c r="H77" s="867"/>
      <c r="I77" s="867"/>
      <c r="J77" s="867"/>
      <c r="K77" s="867"/>
      <c r="L77" s="868"/>
      <c r="M77" s="868"/>
      <c r="N77" s="868"/>
      <c r="O77" s="3603"/>
      <c r="P77" s="3603"/>
      <c r="Q77" s="3603"/>
      <c r="R77" s="869"/>
      <c r="S77" s="3605"/>
      <c r="T77" s="3605"/>
      <c r="U77" s="3605"/>
      <c r="V77" s="3605"/>
      <c r="W77" s="3605"/>
      <c r="X77" s="3605"/>
    </row>
    <row r="78" spans="8:24" s="2" customFormat="1" ht="25" customHeight="1">
      <c r="H78" s="3598" t="s">
        <v>75</v>
      </c>
      <c r="I78" s="3598"/>
      <c r="J78" s="3598"/>
      <c r="K78" s="3598"/>
      <c r="L78" s="3598"/>
      <c r="M78" s="3598"/>
      <c r="N78" s="3598"/>
      <c r="O78" s="3547">
        <f>Holding_Costs_Result</f>
        <v>0</v>
      </c>
      <c r="P78" s="3547"/>
      <c r="Q78" s="3547"/>
      <c r="R78" s="869"/>
      <c r="S78" s="3590" t="s">
        <v>1350</v>
      </c>
      <c r="T78" s="3590"/>
      <c r="U78" s="3590"/>
      <c r="V78" s="3590"/>
      <c r="W78" s="3664">
        <f>IFERROR(S76/Property_Size,0)</f>
        <v>0</v>
      </c>
      <c r="X78" s="3664"/>
    </row>
    <row r="79" spans="8:24" s="2" customFormat="1" ht="25" customHeight="1" thickBot="1">
      <c r="H79" s="3601" t="s">
        <v>1591</v>
      </c>
      <c r="I79" s="3601"/>
      <c r="J79" s="3601"/>
      <c r="K79" s="3601"/>
      <c r="L79" s="3601"/>
      <c r="M79" s="3601"/>
      <c r="N79" s="3601"/>
      <c r="O79" s="3602">
        <f>'ANALYSIS DATABASE'!C158</f>
        <v>0</v>
      </c>
      <c r="P79" s="3602"/>
      <c r="Q79" s="3602"/>
      <c r="R79" s="869"/>
      <c r="S79" s="869"/>
      <c r="T79" s="869"/>
      <c r="U79" s="869"/>
      <c r="V79" s="869"/>
      <c r="W79" s="869"/>
      <c r="X79" s="869"/>
    </row>
    <row r="80" spans="8:24" s="2" customFormat="1" ht="25" customHeight="1" thickTop="1">
      <c r="H80" s="3657" t="s">
        <v>1592</v>
      </c>
      <c r="I80" s="3657"/>
      <c r="J80" s="3657"/>
      <c r="K80" s="3657"/>
      <c r="L80" s="3657"/>
      <c r="M80" s="3657"/>
      <c r="N80" s="3657"/>
      <c r="O80" s="3656">
        <f>SUM(O78:Q79)</f>
        <v>0</v>
      </c>
      <c r="P80" s="3656"/>
      <c r="Q80" s="3656"/>
      <c r="R80" s="869"/>
      <c r="S80" s="3592" t="s">
        <v>1602</v>
      </c>
      <c r="T80" s="3592"/>
      <c r="U80" s="3592"/>
      <c r="V80" s="3592"/>
      <c r="W80" s="3592"/>
      <c r="X80" s="3592"/>
    </row>
    <row r="81" spans="8:24" s="2" customFormat="1" ht="25" customHeight="1">
      <c r="H81" s="867"/>
      <c r="I81" s="867"/>
      <c r="J81" s="867"/>
      <c r="K81" s="867"/>
      <c r="L81" s="868"/>
      <c r="M81" s="868"/>
      <c r="N81" s="868"/>
      <c r="O81" s="3649"/>
      <c r="P81" s="3649"/>
      <c r="Q81" s="3649"/>
      <c r="R81" s="869"/>
      <c r="S81" s="3605">
        <f>O71+O78+O79+-O93</f>
        <v>0</v>
      </c>
      <c r="T81" s="3605"/>
      <c r="U81" s="3605"/>
      <c r="V81" s="3605"/>
      <c r="W81" s="3605"/>
      <c r="X81" s="3605"/>
    </row>
    <row r="82" spans="8:24" s="2" customFormat="1" ht="25" customHeight="1">
      <c r="H82" s="3596" t="s">
        <v>1854</v>
      </c>
      <c r="I82" s="3596"/>
      <c r="J82" s="3596"/>
      <c r="K82" s="3596"/>
      <c r="L82" s="3596"/>
      <c r="M82" s="3596"/>
      <c r="N82" s="3596"/>
      <c r="O82" s="3596"/>
      <c r="P82" s="3596"/>
      <c r="Q82" s="3596"/>
      <c r="R82" s="869"/>
      <c r="S82" s="3605"/>
      <c r="T82" s="3605"/>
      <c r="U82" s="3605"/>
      <c r="V82" s="3605"/>
      <c r="W82" s="3605"/>
      <c r="X82" s="3605"/>
    </row>
    <row r="83" spans="8:24" s="2" customFormat="1" ht="25" customHeight="1">
      <c r="H83" s="867"/>
      <c r="I83" s="867"/>
      <c r="J83" s="867"/>
      <c r="K83" s="867"/>
      <c r="L83" s="868"/>
      <c r="M83" s="868"/>
      <c r="N83" s="868"/>
      <c r="O83" s="869"/>
      <c r="P83" s="869"/>
      <c r="Q83" s="869"/>
      <c r="R83" s="869"/>
      <c r="S83" s="3590" t="s">
        <v>1601</v>
      </c>
      <c r="T83" s="3590"/>
      <c r="U83" s="3590"/>
      <c r="V83" s="3590"/>
      <c r="W83" s="3591">
        <f>IFERROR(S81/ARV,0)</f>
        <v>0</v>
      </c>
      <c r="X83" s="3591"/>
    </row>
    <row r="84" spans="8:24" s="2" customFormat="1" ht="25" customHeight="1">
      <c r="H84" s="3597" t="s">
        <v>1596</v>
      </c>
      <c r="I84" s="3598"/>
      <c r="J84" s="3598"/>
      <c r="K84" s="3598"/>
      <c r="L84" s="3598"/>
      <c r="M84" s="3598"/>
      <c r="N84" s="3598"/>
      <c r="O84" s="3599">
        <f>O70+O71+O76+O80</f>
        <v>0</v>
      </c>
      <c r="P84" s="3599"/>
      <c r="Q84" s="3599"/>
      <c r="R84" s="869"/>
      <c r="S84" s="869"/>
      <c r="T84" s="869"/>
      <c r="U84" s="869"/>
      <c r="V84" s="869"/>
      <c r="W84" s="869"/>
      <c r="X84" s="869"/>
    </row>
    <row r="85" spans="8:24" s="2" customFormat="1" ht="25" customHeight="1">
      <c r="H85" s="3597" t="s">
        <v>1855</v>
      </c>
      <c r="I85" s="3598"/>
      <c r="J85" s="3598"/>
      <c r="K85" s="3598"/>
      <c r="L85" s="3598"/>
      <c r="M85" s="3598"/>
      <c r="N85" s="3598"/>
      <c r="O85" s="3599">
        <f>-'ANALYSIS DATABASE'!C250</f>
        <v>0</v>
      </c>
      <c r="P85" s="3599"/>
      <c r="Q85" s="3599"/>
      <c r="R85" s="869"/>
      <c r="S85" s="3592" t="s">
        <v>1205</v>
      </c>
      <c r="T85" s="3592"/>
      <c r="U85" s="3592"/>
      <c r="V85" s="3592"/>
      <c r="W85" s="3592"/>
      <c r="X85" s="3592"/>
    </row>
    <row r="86" spans="8:24" s="2" customFormat="1" ht="25" customHeight="1" thickBot="1">
      <c r="H86" s="3600" t="s">
        <v>1856</v>
      </c>
      <c r="I86" s="3601"/>
      <c r="J86" s="3601"/>
      <c r="K86" s="3601"/>
      <c r="L86" s="3601"/>
      <c r="M86" s="3601"/>
      <c r="N86" s="3601"/>
      <c r="O86" s="3602">
        <f>-'ANALYSIS DATABASE'!C251</f>
        <v>0</v>
      </c>
      <c r="P86" s="3602"/>
      <c r="Q86" s="3602"/>
      <c r="R86" s="869"/>
      <c r="S86" s="3604">
        <f>-O92-O93</f>
        <v>0</v>
      </c>
      <c r="T86" s="3604"/>
      <c r="U86" s="3604"/>
      <c r="V86" s="3604"/>
      <c r="W86" s="3604"/>
      <c r="X86" s="3604"/>
    </row>
    <row r="87" spans="8:24" s="2" customFormat="1" ht="25" customHeight="1" thickTop="1">
      <c r="H87" s="3594" t="s">
        <v>1857</v>
      </c>
      <c r="I87" s="3552"/>
      <c r="J87" s="3552"/>
      <c r="K87" s="3552"/>
      <c r="L87" s="3552"/>
      <c r="M87" s="3552"/>
      <c r="N87" s="3552"/>
      <c r="O87" s="3595">
        <f>SUM(O84:Q86)</f>
        <v>0</v>
      </c>
      <c r="P87" s="3595"/>
      <c r="Q87" s="3595"/>
      <c r="R87" s="869"/>
      <c r="S87" s="3604"/>
      <c r="T87" s="3604"/>
      <c r="U87" s="3604"/>
      <c r="V87" s="3604"/>
      <c r="W87" s="3604"/>
      <c r="X87" s="3604"/>
    </row>
    <row r="88" spans="8:24" s="2" customFormat="1" ht="25" customHeight="1">
      <c r="H88" s="867"/>
      <c r="I88" s="867"/>
      <c r="J88" s="867"/>
      <c r="K88" s="867"/>
      <c r="L88" s="868"/>
      <c r="M88" s="868"/>
      <c r="N88" s="868"/>
      <c r="O88" s="869"/>
      <c r="P88" s="869"/>
      <c r="Q88" s="869"/>
      <c r="R88" s="869"/>
      <c r="S88" s="3590" t="s">
        <v>1601</v>
      </c>
      <c r="T88" s="3590"/>
      <c r="U88" s="3590"/>
      <c r="V88" s="3590"/>
      <c r="W88" s="3591">
        <f>IFERROR(S86/ARV,0)</f>
        <v>0</v>
      </c>
      <c r="X88" s="3591"/>
    </row>
    <row r="89" spans="8:24" s="2" customFormat="1" ht="25" customHeight="1">
      <c r="H89" s="3596" t="s">
        <v>1594</v>
      </c>
      <c r="I89" s="3596"/>
      <c r="J89" s="3596"/>
      <c r="K89" s="3596"/>
      <c r="L89" s="3596"/>
      <c r="M89" s="3596"/>
      <c r="N89" s="3596"/>
      <c r="O89" s="3596"/>
      <c r="P89" s="3596"/>
      <c r="Q89" s="3596"/>
      <c r="R89" s="869"/>
      <c r="S89" s="869"/>
      <c r="T89" s="869"/>
      <c r="U89" s="869"/>
      <c r="V89" s="869"/>
      <c r="W89" s="869"/>
      <c r="X89" s="869"/>
    </row>
    <row r="90" spans="8:24" s="2" customFormat="1" ht="25" customHeight="1">
      <c r="H90" s="867"/>
      <c r="I90" s="867"/>
      <c r="J90" s="867"/>
      <c r="K90" s="867"/>
      <c r="L90" s="868"/>
      <c r="M90" s="868"/>
      <c r="N90" s="868"/>
      <c r="O90" s="3603"/>
      <c r="P90" s="3603"/>
      <c r="Q90" s="3603"/>
      <c r="R90" s="869"/>
      <c r="S90" s="3592" t="s">
        <v>1597</v>
      </c>
      <c r="T90" s="3592"/>
      <c r="U90" s="3592"/>
      <c r="V90" s="3592"/>
      <c r="W90" s="3592"/>
      <c r="X90" s="3592"/>
    </row>
    <row r="91" spans="8:24" s="2" customFormat="1" ht="25" customHeight="1">
      <c r="H91" s="3598" t="s">
        <v>1595</v>
      </c>
      <c r="I91" s="3598"/>
      <c r="J91" s="3598"/>
      <c r="K91" s="3598"/>
      <c r="L91" s="3598"/>
      <c r="M91" s="3598"/>
      <c r="N91" s="3598"/>
      <c r="O91" s="3547">
        <f>ARV</f>
        <v>0</v>
      </c>
      <c r="P91" s="3547"/>
      <c r="Q91" s="3547"/>
      <c r="R91" s="869"/>
      <c r="S91" s="3593">
        <f>O94</f>
        <v>0</v>
      </c>
      <c r="T91" s="3593"/>
      <c r="U91" s="3593"/>
      <c r="V91" s="3593"/>
      <c r="W91" s="3593"/>
      <c r="X91" s="3593"/>
    </row>
    <row r="92" spans="8:24" s="2" customFormat="1" ht="25" customHeight="1">
      <c r="H92" s="3658" t="s">
        <v>1596</v>
      </c>
      <c r="I92" s="3658"/>
      <c r="J92" s="3658"/>
      <c r="K92" s="3658"/>
      <c r="L92" s="3658"/>
      <c r="M92" s="3658"/>
      <c r="N92" s="3658"/>
      <c r="O92" s="3599">
        <f>-O84</f>
        <v>0</v>
      </c>
      <c r="P92" s="3599"/>
      <c r="Q92" s="3599"/>
      <c r="R92" s="869"/>
      <c r="S92" s="3593"/>
      <c r="T92" s="3593"/>
      <c r="U92" s="3593"/>
      <c r="V92" s="3593"/>
      <c r="W92" s="3593"/>
      <c r="X92" s="3593"/>
    </row>
    <row r="93" spans="8:24" s="2" customFormat="1" ht="25" customHeight="1" thickBot="1">
      <c r="H93" s="3659" t="str">
        <f>IF(O93=0,"Selling Costs",CONCATENATE("Selling Costs (",TEXT(IFERROR(Selling_Costs_Result/ARV,0),"#.#%"),")"))</f>
        <v>Selling Costs</v>
      </c>
      <c r="I93" s="3601"/>
      <c r="J93" s="3601"/>
      <c r="K93" s="3601"/>
      <c r="L93" s="3601"/>
      <c r="M93" s="3601"/>
      <c r="N93" s="3601"/>
      <c r="O93" s="3560">
        <f>-Selling_Costs_Result</f>
        <v>0</v>
      </c>
      <c r="P93" s="3560"/>
      <c r="Q93" s="3560"/>
      <c r="R93" s="869"/>
      <c r="S93" s="3590" t="s">
        <v>1601</v>
      </c>
      <c r="T93" s="3590"/>
      <c r="U93" s="3590"/>
      <c r="V93" s="3590"/>
      <c r="W93" s="3591">
        <f>IFERROR(S91/ARV,0)</f>
        <v>0</v>
      </c>
      <c r="X93" s="3591"/>
    </row>
    <row r="94" spans="8:24" s="2" customFormat="1" ht="25" customHeight="1" thickTop="1">
      <c r="H94" s="3657" t="s">
        <v>1597</v>
      </c>
      <c r="I94" s="3657"/>
      <c r="J94" s="3657"/>
      <c r="K94" s="3657"/>
      <c r="L94" s="3657"/>
      <c r="M94" s="3657"/>
      <c r="N94" s="3657"/>
      <c r="O94" s="3656">
        <f>SUM(O91:Q93)</f>
        <v>0</v>
      </c>
      <c r="P94" s="3656"/>
      <c r="Q94" s="3656"/>
      <c r="R94" s="869"/>
      <c r="S94" s="869"/>
      <c r="T94" s="869"/>
      <c r="U94" s="869"/>
      <c r="V94" s="869"/>
      <c r="W94" s="869"/>
      <c r="X94" s="869"/>
    </row>
    <row r="95" spans="8:24" s="2" customFormat="1" ht="25" customHeight="1">
      <c r="H95" s="867"/>
      <c r="I95" s="867"/>
      <c r="J95" s="867"/>
      <c r="K95" s="867"/>
      <c r="L95" s="868"/>
      <c r="M95" s="868"/>
      <c r="N95" s="868"/>
      <c r="O95" s="869"/>
      <c r="P95" s="869"/>
      <c r="Q95" s="869"/>
      <c r="R95" s="869"/>
      <c r="S95" s="869"/>
      <c r="T95" s="869"/>
      <c r="U95" s="869"/>
      <c r="V95" s="869"/>
      <c r="W95" s="869"/>
      <c r="X95" s="869"/>
    </row>
    <row r="96" spans="8:24" s="2" customFormat="1" ht="25" customHeight="1">
      <c r="H96" s="3598" t="s">
        <v>1598</v>
      </c>
      <c r="I96" s="3598"/>
      <c r="J96" s="3598"/>
      <c r="K96" s="3598"/>
      <c r="L96" s="3598"/>
      <c r="M96" s="3598"/>
      <c r="N96" s="3598"/>
      <c r="O96" s="3670">
        <f>IFERROR(IF(O87&lt;0,"inf %",O94/O87),0)</f>
        <v>0</v>
      </c>
      <c r="P96" s="3670"/>
      <c r="Q96" s="3670"/>
      <c r="R96" s="869"/>
      <c r="S96" s="869"/>
      <c r="T96" s="869"/>
      <c r="U96" s="869"/>
      <c r="V96" s="869"/>
      <c r="W96" s="869"/>
      <c r="X96" s="869"/>
    </row>
    <row r="97" spans="8:24" s="2" customFormat="1" ht="25" customHeight="1">
      <c r="H97" s="3598" t="s">
        <v>1021</v>
      </c>
      <c r="I97" s="3598"/>
      <c r="J97" s="3598"/>
      <c r="K97" s="3598"/>
      <c r="L97" s="3598"/>
      <c r="M97" s="3598"/>
      <c r="N97" s="3598"/>
      <c r="O97" s="3670">
        <f>IFERROR(IF(O87&lt;0,"inf %",O96/(Total_Schedule_Cell/12)),0)</f>
        <v>0</v>
      </c>
      <c r="P97" s="3670"/>
      <c r="Q97" s="3670"/>
      <c r="R97" s="869"/>
      <c r="S97" s="869"/>
      <c r="T97" s="869"/>
      <c r="U97" s="869"/>
      <c r="V97" s="869"/>
      <c r="W97" s="869"/>
      <c r="X97" s="869"/>
    </row>
    <row r="98" spans="8:24" s="2" customFormat="1" ht="25" customHeight="1">
      <c r="H98" s="867"/>
      <c r="I98" s="867"/>
      <c r="J98" s="867"/>
      <c r="K98" s="867"/>
      <c r="L98" s="868"/>
      <c r="M98" s="868"/>
      <c r="N98" s="868"/>
      <c r="O98" s="869"/>
      <c r="P98" s="869"/>
      <c r="Q98" s="869"/>
      <c r="R98" s="869"/>
      <c r="S98" s="869"/>
      <c r="T98" s="869"/>
      <c r="U98" s="869"/>
      <c r="V98" s="869"/>
      <c r="W98" s="869"/>
      <c r="X98" s="869"/>
    </row>
    <row r="99" spans="8:24" s="2" customFormat="1" ht="22.7" customHeight="1">
      <c r="H99" s="3544" t="str">
        <f>CONCATENATE("Report Prepared By: ",Investor_Name,"  |  ",Company_Name,"  |  ",Company_Email,"  |  ",Company_Website)</f>
        <v xml:space="preserve">Report Prepared By:   |    |    |  </v>
      </c>
      <c r="I99" s="3544"/>
      <c r="J99" s="3544"/>
      <c r="K99" s="3544"/>
      <c r="L99" s="3544"/>
      <c r="M99" s="3544"/>
      <c r="N99" s="3544"/>
      <c r="O99" s="3544"/>
      <c r="P99" s="3544"/>
      <c r="Q99" s="3544"/>
      <c r="R99" s="3544"/>
      <c r="S99" s="3544"/>
      <c r="T99" s="3544"/>
      <c r="U99" s="3544"/>
      <c r="V99" s="3544"/>
      <c r="W99" s="3561" t="str">
        <f>CONCATENATE("Page ",AI6," of ",$AG$3)</f>
        <v>Page 2 of 7</v>
      </c>
      <c r="X99" s="3561"/>
    </row>
    <row r="100" spans="8:24" s="2" customFormat="1" ht="25" customHeight="1">
      <c r="H100" s="3562" t="str">
        <f>CONCATENATE(Street_Address,", ",City_State_Zip)</f>
        <v>, 0</v>
      </c>
      <c r="I100" s="3562"/>
      <c r="J100" s="3562"/>
      <c r="K100" s="3562"/>
      <c r="L100" s="3562"/>
      <c r="M100" s="3562"/>
      <c r="N100" s="3562"/>
      <c r="O100" s="3562"/>
      <c r="P100" s="3562"/>
      <c r="Q100" s="3562"/>
      <c r="R100" s="3562"/>
      <c r="S100" s="3562"/>
      <c r="T100" s="3562"/>
      <c r="U100" s="3562"/>
      <c r="V100" s="3562"/>
      <c r="W100" s="3562"/>
      <c r="X100" s="3562"/>
    </row>
    <row r="101" spans="8:24" s="2" customFormat="1" ht="25" customHeight="1">
      <c r="H101" s="1434"/>
      <c r="I101" s="1434"/>
      <c r="J101" s="1432"/>
      <c r="K101" s="1432"/>
      <c r="L101" s="1433"/>
      <c r="M101" s="1433"/>
      <c r="N101" s="1433"/>
      <c r="O101" s="1433"/>
      <c r="P101" s="1433"/>
      <c r="Q101" s="1433"/>
      <c r="R101" s="1433"/>
      <c r="S101" s="1433"/>
      <c r="T101" s="1433"/>
      <c r="U101" s="1433"/>
      <c r="V101" s="1433"/>
      <c r="W101" s="1433"/>
      <c r="X101" s="1433"/>
    </row>
    <row r="102" spans="8:24" s="2" customFormat="1" ht="25" customHeight="1">
      <c r="H102" s="1436" t="s">
        <v>1898</v>
      </c>
      <c r="I102" s="1434"/>
      <c r="J102" s="1432"/>
      <c r="K102" s="1432"/>
      <c r="L102" s="1433"/>
      <c r="M102" s="1433"/>
      <c r="N102" s="1433"/>
      <c r="O102" s="1433"/>
      <c r="P102" s="1433"/>
      <c r="Q102" s="1433"/>
      <c r="R102" s="1433"/>
      <c r="S102" s="1433"/>
      <c r="T102" s="1433"/>
      <c r="U102" s="1433"/>
      <c r="V102" s="1433"/>
      <c r="W102" s="1433"/>
      <c r="X102" s="1433"/>
    </row>
    <row r="103" spans="8:24" s="2" customFormat="1" ht="25" customHeight="1">
      <c r="H103" s="1453"/>
      <c r="I103" s="1453"/>
      <c r="J103" s="1453"/>
      <c r="K103" s="1453"/>
      <c r="L103" s="1453"/>
      <c r="M103" s="1453"/>
      <c r="N103" s="1453"/>
      <c r="O103" s="1453"/>
      <c r="P103" s="1453"/>
      <c r="Q103" s="1453"/>
      <c r="R103" s="1453"/>
      <c r="S103" s="1453"/>
      <c r="T103" s="1453"/>
      <c r="U103" s="1453"/>
      <c r="V103" s="1453"/>
      <c r="W103" s="1453"/>
      <c r="X103" s="1453"/>
    </row>
    <row r="104" spans="8:24" s="2" customFormat="1" ht="25" customHeight="1">
      <c r="H104" s="3552" t="s">
        <v>1875</v>
      </c>
      <c r="I104" s="3552"/>
      <c r="J104" s="3552"/>
      <c r="K104" s="3552"/>
      <c r="L104" s="3552"/>
      <c r="M104" s="3552"/>
      <c r="N104" s="3552"/>
      <c r="O104" s="3552"/>
      <c r="P104" s="3552"/>
      <c r="Q104" s="3552"/>
      <c r="R104" s="3552"/>
      <c r="S104" s="3552"/>
      <c r="T104" s="3552"/>
      <c r="U104" s="3552"/>
      <c r="V104" s="3553" t="s">
        <v>1874</v>
      </c>
      <c r="W104" s="3553"/>
      <c r="X104" s="3553"/>
    </row>
    <row r="105" spans="8:24" s="2" customFormat="1" ht="25" customHeight="1">
      <c r="H105" s="3546" t="s">
        <v>1876</v>
      </c>
      <c r="I105" s="3546"/>
      <c r="J105" s="3546"/>
      <c r="K105" s="3546"/>
      <c r="L105" s="3546"/>
      <c r="M105" s="3546"/>
      <c r="N105" s="3546"/>
      <c r="O105" s="3546"/>
      <c r="P105" s="3546"/>
      <c r="Q105" s="3546"/>
      <c r="R105" s="3546"/>
      <c r="S105" s="3546"/>
      <c r="T105" s="3546"/>
      <c r="U105" s="3546"/>
      <c r="V105" s="3547">
        <f>'REHAB FINANCING SETUP'!BL97</f>
        <v>0</v>
      </c>
      <c r="W105" s="3547"/>
      <c r="X105" s="3547"/>
    </row>
    <row r="106" spans="8:24" s="2" customFormat="1" ht="15" customHeight="1">
      <c r="H106" s="1453"/>
      <c r="I106" s="1453"/>
      <c r="J106" s="1453"/>
      <c r="K106" s="1453"/>
      <c r="L106" s="1453"/>
      <c r="M106" s="1453"/>
      <c r="N106" s="1453"/>
      <c r="O106" s="1453"/>
      <c r="P106" s="1453"/>
      <c r="Q106" s="1453"/>
      <c r="R106" s="1453"/>
      <c r="S106" s="1453"/>
      <c r="T106" s="1453"/>
      <c r="U106" s="1453"/>
      <c r="V106" s="1453"/>
      <c r="W106" s="1453"/>
      <c r="X106" s="1453"/>
    </row>
    <row r="107" spans="8:24" s="2" customFormat="1" ht="32.700000000000003" customHeight="1">
      <c r="H107" s="3552" t="s">
        <v>1855</v>
      </c>
      <c r="I107" s="3552"/>
      <c r="J107" s="3552"/>
      <c r="K107" s="3552"/>
      <c r="L107" s="3552"/>
      <c r="M107" s="3552"/>
      <c r="N107" s="3552"/>
      <c r="O107" s="3552"/>
      <c r="P107" s="3552"/>
      <c r="Q107" s="3552"/>
      <c r="R107" s="3552"/>
      <c r="S107" s="3552"/>
      <c r="T107" s="3552"/>
      <c r="U107" s="3552"/>
      <c r="V107" s="3553"/>
      <c r="W107" s="3553"/>
      <c r="X107" s="3553"/>
    </row>
    <row r="108" spans="8:24" s="2" customFormat="1" ht="25" customHeight="1">
      <c r="H108" s="3546" t="s">
        <v>1211</v>
      </c>
      <c r="I108" s="3546"/>
      <c r="J108" s="3546"/>
      <c r="K108" s="3546"/>
      <c r="L108" s="3546"/>
      <c r="M108" s="3546"/>
      <c r="N108" s="3546"/>
      <c r="O108" s="3546"/>
      <c r="P108" s="3546"/>
      <c r="Q108" s="3546"/>
      <c r="R108" s="3546"/>
      <c r="S108" s="3546"/>
      <c r="T108" s="3546"/>
      <c r="U108" s="3546"/>
      <c r="V108" s="3547">
        <f>'REHAB FINANCING SETUP'!BL100</f>
        <v>0</v>
      </c>
      <c r="W108" s="3547"/>
      <c r="X108" s="3547"/>
    </row>
    <row r="109" spans="8:24" s="2" customFormat="1" ht="25" customHeight="1" thickBot="1">
      <c r="H109" s="3559" t="s">
        <v>1216</v>
      </c>
      <c r="I109" s="3559"/>
      <c r="J109" s="3559"/>
      <c r="K109" s="3559"/>
      <c r="L109" s="3559"/>
      <c r="M109" s="3559"/>
      <c r="N109" s="3559"/>
      <c r="O109" s="3559"/>
      <c r="P109" s="3559"/>
      <c r="Q109" s="3559"/>
      <c r="R109" s="3559"/>
      <c r="S109" s="3559"/>
      <c r="T109" s="3559"/>
      <c r="U109" s="3559"/>
      <c r="V109" s="3560">
        <f>'REHAB FINANCING SETUP'!BL101</f>
        <v>0</v>
      </c>
      <c r="W109" s="3560"/>
      <c r="X109" s="3560"/>
    </row>
    <row r="110" spans="8:24" s="2" customFormat="1" ht="25" customHeight="1" thickTop="1">
      <c r="H110" s="3548" t="s">
        <v>1877</v>
      </c>
      <c r="I110" s="3548"/>
      <c r="J110" s="3548"/>
      <c r="K110" s="3548"/>
      <c r="L110" s="3548"/>
      <c r="M110" s="3548"/>
      <c r="N110" s="3548"/>
      <c r="O110" s="3548"/>
      <c r="P110" s="3548"/>
      <c r="Q110" s="3548"/>
      <c r="R110" s="3548"/>
      <c r="S110" s="3548"/>
      <c r="T110" s="3548"/>
      <c r="U110" s="3548"/>
      <c r="V110" s="3549">
        <f>'REHAB FINANCING SETUP'!BL102</f>
        <v>0</v>
      </c>
      <c r="W110" s="3549"/>
      <c r="X110" s="3549"/>
    </row>
    <row r="111" spans="8:24" s="2" customFormat="1" ht="13.7" customHeight="1">
      <c r="H111" s="1438"/>
      <c r="I111" s="1438"/>
      <c r="J111" s="1438"/>
      <c r="K111" s="1438"/>
      <c r="L111" s="1438"/>
      <c r="M111" s="1438"/>
      <c r="N111" s="1438"/>
      <c r="O111" s="1438"/>
      <c r="P111" s="1438"/>
      <c r="Q111" s="1438"/>
      <c r="R111" s="1438"/>
      <c r="S111" s="1438"/>
      <c r="T111" s="1438"/>
      <c r="U111" s="1438"/>
      <c r="V111" s="1437"/>
      <c r="W111" s="1437"/>
      <c r="X111" s="1437"/>
    </row>
    <row r="112" spans="8:24" s="2" customFormat="1" ht="25" customHeight="1">
      <c r="H112" s="3552" t="s">
        <v>1856</v>
      </c>
      <c r="I112" s="3552"/>
      <c r="J112" s="3552"/>
      <c r="K112" s="3552"/>
      <c r="L112" s="3552"/>
      <c r="M112" s="3552"/>
      <c r="N112" s="3552"/>
      <c r="O112" s="3552"/>
      <c r="P112" s="3552"/>
      <c r="Q112" s="3552"/>
      <c r="R112" s="3552"/>
      <c r="S112" s="3552"/>
      <c r="T112" s="3552"/>
      <c r="U112" s="3552"/>
      <c r="V112" s="3553"/>
      <c r="W112" s="3553"/>
      <c r="X112" s="3553"/>
    </row>
    <row r="113" spans="8:24" s="2" customFormat="1" ht="25" customHeight="1">
      <c r="H113" s="3557" t="s">
        <v>1878</v>
      </c>
      <c r="I113" s="3557"/>
      <c r="J113" s="3557"/>
      <c r="K113" s="3557"/>
      <c r="L113" s="3557"/>
      <c r="M113" s="3557"/>
      <c r="N113" s="3557"/>
      <c r="O113" s="3557"/>
      <c r="P113" s="3557"/>
      <c r="Q113" s="3557"/>
      <c r="R113" s="3557"/>
      <c r="S113" s="3557"/>
      <c r="T113" s="3557"/>
      <c r="U113" s="3557"/>
      <c r="V113" s="3558">
        <f>'REHAB FINANCING SETUP'!BL104</f>
        <v>0</v>
      </c>
      <c r="W113" s="3558"/>
      <c r="X113" s="3558"/>
    </row>
    <row r="114" spans="8:24" s="2" customFormat="1" ht="13.7" customHeight="1">
      <c r="H114" s="1438"/>
      <c r="I114" s="1438"/>
      <c r="J114" s="1438"/>
      <c r="K114" s="1438"/>
      <c r="L114" s="1438"/>
      <c r="M114" s="1438"/>
      <c r="N114" s="1438"/>
      <c r="O114" s="1438"/>
      <c r="P114" s="1438"/>
      <c r="Q114" s="1438"/>
      <c r="R114" s="1438"/>
      <c r="S114" s="1438"/>
      <c r="T114" s="1438"/>
      <c r="U114" s="1438"/>
      <c r="V114" s="1437"/>
      <c r="W114" s="1437"/>
      <c r="X114" s="1437"/>
    </row>
    <row r="115" spans="8:24" s="2" customFormat="1" ht="25" customHeight="1">
      <c r="H115" s="3552" t="s">
        <v>1564</v>
      </c>
      <c r="I115" s="3552"/>
      <c r="J115" s="3552"/>
      <c r="K115" s="3552"/>
      <c r="L115" s="3552"/>
      <c r="M115" s="3552"/>
      <c r="N115" s="3552"/>
      <c r="O115" s="3552"/>
      <c r="P115" s="3552"/>
      <c r="Q115" s="3552"/>
      <c r="R115" s="3552"/>
      <c r="S115" s="3552"/>
      <c r="T115" s="3552"/>
      <c r="U115" s="3552"/>
      <c r="V115" s="3553"/>
      <c r="W115" s="3553"/>
      <c r="X115" s="3553"/>
    </row>
    <row r="116" spans="8:24" s="2" customFormat="1" ht="25" customHeight="1">
      <c r="H116" s="3546" t="s">
        <v>1876</v>
      </c>
      <c r="I116" s="3546"/>
      <c r="J116" s="3546"/>
      <c r="K116" s="3546"/>
      <c r="L116" s="3546"/>
      <c r="M116" s="3546"/>
      <c r="N116" s="3546"/>
      <c r="O116" s="3546"/>
      <c r="P116" s="3546"/>
      <c r="Q116" s="3546"/>
      <c r="R116" s="3546"/>
      <c r="S116" s="3546"/>
      <c r="T116" s="3546"/>
      <c r="U116" s="3546"/>
      <c r="V116" s="3547">
        <f>'REHAB FINANCING SETUP'!BL107</f>
        <v>0</v>
      </c>
      <c r="W116" s="3547"/>
      <c r="X116" s="3547"/>
    </row>
    <row r="117" spans="8:24" s="2" customFormat="1" ht="25" customHeight="1">
      <c r="H117" s="3545" t="s">
        <v>1879</v>
      </c>
      <c r="I117" s="3546"/>
      <c r="J117" s="3546"/>
      <c r="K117" s="3546"/>
      <c r="L117" s="3546"/>
      <c r="M117" s="3546"/>
      <c r="N117" s="3546"/>
      <c r="O117" s="3546"/>
      <c r="P117" s="3546"/>
      <c r="Q117" s="3546"/>
      <c r="R117" s="3546"/>
      <c r="S117" s="3546"/>
      <c r="T117" s="3546"/>
      <c r="U117" s="3546"/>
      <c r="V117" s="3547">
        <f>-V110</f>
        <v>0</v>
      </c>
      <c r="W117" s="3547"/>
      <c r="X117" s="3547"/>
    </row>
    <row r="118" spans="8:24" s="2" customFormat="1" ht="25" customHeight="1" thickBot="1">
      <c r="H118" s="3545" t="s">
        <v>1899</v>
      </c>
      <c r="I118" s="3546"/>
      <c r="J118" s="3546"/>
      <c r="K118" s="3546"/>
      <c r="L118" s="3546"/>
      <c r="M118" s="3546"/>
      <c r="N118" s="3546"/>
      <c r="O118" s="3546"/>
      <c r="P118" s="3546"/>
      <c r="Q118" s="3546"/>
      <c r="R118" s="3546"/>
      <c r="S118" s="3546"/>
      <c r="T118" s="3546"/>
      <c r="U118" s="3546"/>
      <c r="V118" s="3547">
        <f>'REHAB FINANCING SETUP'!BL109</f>
        <v>0</v>
      </c>
      <c r="W118" s="3547"/>
      <c r="X118" s="3547"/>
    </row>
    <row r="119" spans="8:24" s="2" customFormat="1" ht="25" customHeight="1" thickTop="1">
      <c r="H119" s="3548" t="s">
        <v>1857</v>
      </c>
      <c r="I119" s="3548"/>
      <c r="J119" s="3548"/>
      <c r="K119" s="3548"/>
      <c r="L119" s="3548"/>
      <c r="M119" s="3548"/>
      <c r="N119" s="3548"/>
      <c r="O119" s="3548"/>
      <c r="P119" s="3548"/>
      <c r="Q119" s="3548"/>
      <c r="R119" s="3548"/>
      <c r="S119" s="3548"/>
      <c r="T119" s="3548"/>
      <c r="U119" s="3548"/>
      <c r="V119" s="3549">
        <f>'REHAB FINANCING SETUP'!BL110</f>
        <v>0</v>
      </c>
      <c r="W119" s="3549"/>
      <c r="X119" s="3549"/>
    </row>
    <row r="120" spans="8:24" s="2" customFormat="1" ht="25" customHeight="1">
      <c r="H120" s="1436" t="s">
        <v>1605</v>
      </c>
      <c r="I120" s="1453"/>
      <c r="J120" s="1453"/>
      <c r="K120" s="1453"/>
      <c r="L120" s="1453"/>
      <c r="M120" s="1453"/>
      <c r="N120" s="1453"/>
      <c r="O120" s="1453"/>
      <c r="P120" s="1453"/>
      <c r="Q120" s="1453"/>
      <c r="R120" s="1453"/>
      <c r="S120" s="1453"/>
      <c r="T120" s="1453"/>
      <c r="U120" s="1453"/>
      <c r="V120" s="1453"/>
      <c r="W120" s="1453"/>
      <c r="X120" s="1453"/>
    </row>
    <row r="121" spans="8:24" s="2" customFormat="1" ht="18.350000000000001" customHeight="1">
      <c r="H121" s="1453"/>
      <c r="I121" s="1453"/>
      <c r="J121" s="1453"/>
      <c r="K121" s="1453"/>
      <c r="L121" s="1453"/>
      <c r="M121" s="1453"/>
      <c r="N121" s="1453"/>
      <c r="O121" s="1453"/>
      <c r="P121" s="1453"/>
      <c r="Q121" s="1453"/>
      <c r="R121" s="1453"/>
      <c r="S121" s="1453"/>
      <c r="T121" s="1453"/>
      <c r="U121" s="1453"/>
      <c r="V121" s="1453"/>
      <c r="W121" s="1453"/>
      <c r="X121" s="1453"/>
    </row>
    <row r="122" spans="8:24" s="2" customFormat="1" ht="25" customHeight="1">
      <c r="H122" s="3552" t="s">
        <v>1882</v>
      </c>
      <c r="I122" s="3552"/>
      <c r="J122" s="3552"/>
      <c r="K122" s="3552"/>
      <c r="L122" s="3552"/>
      <c r="M122" s="3552"/>
      <c r="N122" s="3552"/>
      <c r="O122" s="3552"/>
      <c r="P122" s="3552"/>
      <c r="Q122" s="3552"/>
      <c r="R122" s="3552"/>
      <c r="S122" s="3552"/>
      <c r="T122" s="3552"/>
      <c r="U122" s="3552"/>
      <c r="V122" s="3553" t="s">
        <v>1160</v>
      </c>
      <c r="W122" s="3553"/>
      <c r="X122" s="3553"/>
    </row>
    <row r="123" spans="8:24" s="2" customFormat="1" ht="25" customHeight="1">
      <c r="H123" s="3554" t="s">
        <v>1900</v>
      </c>
      <c r="I123" s="3554"/>
      <c r="J123" s="3554"/>
      <c r="K123" s="3554"/>
      <c r="L123" s="3554"/>
      <c r="M123" s="3554"/>
      <c r="N123" s="3554"/>
      <c r="O123" s="3554"/>
      <c r="P123" s="3554"/>
      <c r="Q123" s="3554"/>
      <c r="R123" s="3554"/>
      <c r="S123" s="3554"/>
      <c r="T123" s="3554"/>
      <c r="U123" s="3554"/>
      <c r="V123" s="3558"/>
      <c r="W123" s="3558"/>
      <c r="X123" s="3558"/>
    </row>
    <row r="124" spans="8:24" s="2" customFormat="1" ht="25" customHeight="1">
      <c r="H124" s="3555" t="s">
        <v>1883</v>
      </c>
      <c r="I124" s="3556"/>
      <c r="J124" s="3556"/>
      <c r="K124" s="3556"/>
      <c r="L124" s="3556"/>
      <c r="M124" s="3556"/>
      <c r="N124" s="3556"/>
      <c r="O124" s="3556"/>
      <c r="P124" s="3556"/>
      <c r="Q124" s="3556"/>
      <c r="R124" s="3556"/>
      <c r="S124" s="3556"/>
      <c r="T124" s="3556"/>
      <c r="U124" s="3556"/>
      <c r="V124" s="3547">
        <f>'REHAB FINANCING SETUP'!BL116</f>
        <v>0</v>
      </c>
      <c r="W124" s="3547"/>
      <c r="X124" s="3547"/>
    </row>
    <row r="125" spans="8:24" s="2" customFormat="1" ht="25" customHeight="1">
      <c r="H125" s="3555" t="s">
        <v>1901</v>
      </c>
      <c r="I125" s="3556"/>
      <c r="J125" s="3556"/>
      <c r="K125" s="3556"/>
      <c r="L125" s="3556"/>
      <c r="M125" s="3556"/>
      <c r="N125" s="3556"/>
      <c r="O125" s="3556"/>
      <c r="P125" s="3556"/>
      <c r="Q125" s="3556"/>
      <c r="R125" s="3556"/>
      <c r="S125" s="3556"/>
      <c r="T125" s="3556"/>
      <c r="U125" s="3556"/>
      <c r="V125" s="3547">
        <f>'REHAB FINANCING SETUP'!BL117</f>
        <v>0</v>
      </c>
      <c r="W125" s="3547"/>
      <c r="X125" s="3547"/>
    </row>
    <row r="126" spans="8:24" s="2" customFormat="1" ht="25" customHeight="1" thickBot="1">
      <c r="H126" s="3555" t="s">
        <v>1887</v>
      </c>
      <c r="I126" s="3556"/>
      <c r="J126" s="3556"/>
      <c r="K126" s="3556"/>
      <c r="L126" s="3556"/>
      <c r="M126" s="3556"/>
      <c r="N126" s="3556"/>
      <c r="O126" s="3556"/>
      <c r="P126" s="3556"/>
      <c r="Q126" s="3556"/>
      <c r="R126" s="3556"/>
      <c r="S126" s="3556"/>
      <c r="T126" s="3556"/>
      <c r="U126" s="3556"/>
      <c r="V126" s="3547">
        <f>'REHAB FINANCING SETUP'!BL118</f>
        <v>0</v>
      </c>
      <c r="W126" s="3547"/>
      <c r="X126" s="3547"/>
    </row>
    <row r="127" spans="8:24" s="2" customFormat="1" ht="25" customHeight="1" thickTop="1">
      <c r="H127" s="3548" t="s">
        <v>1888</v>
      </c>
      <c r="I127" s="3548"/>
      <c r="J127" s="3548"/>
      <c r="K127" s="3548"/>
      <c r="L127" s="3548"/>
      <c r="M127" s="3548"/>
      <c r="N127" s="3548"/>
      <c r="O127" s="3548"/>
      <c r="P127" s="3548"/>
      <c r="Q127" s="3548"/>
      <c r="R127" s="3548"/>
      <c r="S127" s="3548"/>
      <c r="T127" s="3548"/>
      <c r="U127" s="3548"/>
      <c r="V127" s="3549">
        <f>'REHAB FINANCING SETUP'!BL119</f>
        <v>0</v>
      </c>
      <c r="W127" s="3549"/>
      <c r="X127" s="3549"/>
    </row>
    <row r="128" spans="8:24" s="2" customFormat="1" ht="25" customHeight="1">
      <c r="H128" s="3554" t="s">
        <v>1889</v>
      </c>
      <c r="I128" s="3554"/>
      <c r="J128" s="3554"/>
      <c r="K128" s="3554"/>
      <c r="L128" s="3554"/>
      <c r="M128" s="3554"/>
      <c r="N128" s="3554"/>
      <c r="O128" s="3554"/>
      <c r="P128" s="3554"/>
      <c r="Q128" s="3554"/>
      <c r="R128" s="3554"/>
      <c r="S128" s="3554"/>
      <c r="T128" s="3554"/>
      <c r="U128" s="3554"/>
      <c r="V128" s="3547"/>
      <c r="W128" s="3547"/>
      <c r="X128" s="3547"/>
    </row>
    <row r="129" spans="8:24" s="2" customFormat="1" ht="25" customHeight="1">
      <c r="H129" s="3555" t="s">
        <v>1890</v>
      </c>
      <c r="I129" s="3556"/>
      <c r="J129" s="3556"/>
      <c r="K129" s="3556"/>
      <c r="L129" s="3556"/>
      <c r="M129" s="3556"/>
      <c r="N129" s="3556"/>
      <c r="O129" s="3556"/>
      <c r="P129" s="3556"/>
      <c r="Q129" s="3556"/>
      <c r="R129" s="3556"/>
      <c r="S129" s="3556"/>
      <c r="T129" s="3556"/>
      <c r="U129" s="3556"/>
      <c r="V129" s="3547">
        <f>'REHAB FINANCING SETUP'!BL121</f>
        <v>0</v>
      </c>
      <c r="W129" s="3547"/>
      <c r="X129" s="3547"/>
    </row>
    <row r="130" spans="8:24" s="2" customFormat="1" ht="25" customHeight="1">
      <c r="H130" s="3555" t="s">
        <v>1902</v>
      </c>
      <c r="I130" s="3556"/>
      <c r="J130" s="3556"/>
      <c r="K130" s="3556"/>
      <c r="L130" s="3556"/>
      <c r="M130" s="3556"/>
      <c r="N130" s="3556"/>
      <c r="O130" s="3556"/>
      <c r="P130" s="3556"/>
      <c r="Q130" s="3556"/>
      <c r="R130" s="3556"/>
      <c r="S130" s="3556"/>
      <c r="T130" s="3556"/>
      <c r="U130" s="3556"/>
      <c r="V130" s="3547">
        <f>'REHAB FINANCING SETUP'!BL122</f>
        <v>0</v>
      </c>
      <c r="W130" s="3547"/>
      <c r="X130" s="3547"/>
    </row>
    <row r="131" spans="8:24" s="2" customFormat="1" ht="25" customHeight="1" thickBot="1">
      <c r="H131" s="3555" t="s">
        <v>1885</v>
      </c>
      <c r="I131" s="3556"/>
      <c r="J131" s="3556"/>
      <c r="K131" s="3556"/>
      <c r="L131" s="3556"/>
      <c r="M131" s="3556"/>
      <c r="N131" s="3556"/>
      <c r="O131" s="3556"/>
      <c r="P131" s="3556"/>
      <c r="Q131" s="3556"/>
      <c r="R131" s="3556"/>
      <c r="S131" s="3556"/>
      <c r="T131" s="3556"/>
      <c r="U131" s="3556"/>
      <c r="V131" s="3547">
        <f>'REHAB FINANCING SETUP'!BL123</f>
        <v>0</v>
      </c>
      <c r="W131" s="3547"/>
      <c r="X131" s="3547"/>
    </row>
    <row r="132" spans="8:24" s="2" customFormat="1" ht="25" customHeight="1" thickTop="1">
      <c r="H132" s="3548" t="s">
        <v>1891</v>
      </c>
      <c r="I132" s="3548"/>
      <c r="J132" s="3548"/>
      <c r="K132" s="3548"/>
      <c r="L132" s="3548"/>
      <c r="M132" s="3548"/>
      <c r="N132" s="3548"/>
      <c r="O132" s="3548"/>
      <c r="P132" s="3548"/>
      <c r="Q132" s="3548"/>
      <c r="R132" s="3548"/>
      <c r="S132" s="3548"/>
      <c r="T132" s="3548"/>
      <c r="U132" s="3548"/>
      <c r="V132" s="3549">
        <f>'REHAB FINANCING SETUP'!BL124</f>
        <v>0</v>
      </c>
      <c r="W132" s="3549"/>
      <c r="X132" s="3549"/>
    </row>
    <row r="133" spans="8:24" s="2" customFormat="1" ht="15.45" customHeight="1">
      <c r="H133" s="1453"/>
      <c r="I133" s="1453"/>
      <c r="J133" s="1453"/>
      <c r="K133" s="1453"/>
      <c r="L133" s="1453"/>
      <c r="M133" s="1453"/>
      <c r="N133" s="1453"/>
      <c r="O133" s="1453"/>
      <c r="P133" s="1453"/>
      <c r="Q133" s="1453"/>
      <c r="R133" s="1453"/>
      <c r="S133" s="1453"/>
      <c r="T133" s="1453"/>
      <c r="U133" s="1453"/>
      <c r="V133" s="1453"/>
      <c r="W133" s="1453"/>
      <c r="X133" s="1453"/>
    </row>
    <row r="134" spans="8:24" s="2" customFormat="1" ht="25" customHeight="1">
      <c r="H134" s="3550" t="s">
        <v>1897</v>
      </c>
      <c r="I134" s="3550"/>
      <c r="J134" s="3550"/>
      <c r="K134" s="3550"/>
      <c r="L134" s="3550"/>
      <c r="M134" s="3550"/>
      <c r="N134" s="3550"/>
      <c r="O134" s="3550"/>
      <c r="P134" s="3550"/>
      <c r="Q134" s="3550"/>
      <c r="R134" s="3550"/>
      <c r="S134" s="3550"/>
      <c r="T134" s="3550"/>
      <c r="U134" s="3550"/>
      <c r="V134" s="3551">
        <f>'REHAB FINANCING SETUP'!BL127</f>
        <v>0</v>
      </c>
      <c r="W134" s="3551"/>
      <c r="X134" s="3551"/>
    </row>
    <row r="135" spans="8:24" s="2" customFormat="1" ht="25" customHeight="1">
      <c r="H135" s="1453"/>
      <c r="I135" s="1453"/>
      <c r="J135" s="1453"/>
      <c r="K135" s="1453"/>
      <c r="L135" s="1453"/>
      <c r="M135" s="1453"/>
      <c r="N135" s="1453"/>
      <c r="O135" s="1453"/>
      <c r="P135" s="1453"/>
      <c r="Q135" s="1453"/>
      <c r="R135" s="1453"/>
      <c r="S135" s="1453"/>
      <c r="T135" s="1453"/>
      <c r="U135" s="1453"/>
      <c r="V135" s="1453"/>
      <c r="W135" s="1453"/>
      <c r="X135" s="1453"/>
    </row>
    <row r="136" spans="8:24" s="2" customFormat="1" ht="25" customHeight="1">
      <c r="H136" s="3552" t="s">
        <v>857</v>
      </c>
      <c r="I136" s="3552"/>
      <c r="J136" s="3552"/>
      <c r="K136" s="3552"/>
      <c r="L136" s="3552"/>
      <c r="M136" s="3552"/>
      <c r="N136" s="3552"/>
      <c r="O136" s="3552"/>
      <c r="P136" s="3552"/>
      <c r="Q136" s="3552"/>
      <c r="R136" s="3552"/>
      <c r="S136" s="3552"/>
      <c r="T136" s="3552"/>
      <c r="U136" s="3552"/>
      <c r="V136" s="3553" t="s">
        <v>1160</v>
      </c>
      <c r="W136" s="3553"/>
      <c r="X136" s="3553"/>
    </row>
    <row r="137" spans="8:24" s="2" customFormat="1" ht="25" customHeight="1">
      <c r="H137" s="3545" t="s">
        <v>1894</v>
      </c>
      <c r="I137" s="3546"/>
      <c r="J137" s="3546"/>
      <c r="K137" s="3546"/>
      <c r="L137" s="3546"/>
      <c r="M137" s="3546"/>
      <c r="N137" s="3546"/>
      <c r="O137" s="3546"/>
      <c r="P137" s="3546"/>
      <c r="Q137" s="3546"/>
      <c r="R137" s="3546"/>
      <c r="S137" s="3546"/>
      <c r="T137" s="3546"/>
      <c r="U137" s="3546"/>
      <c r="V137" s="3547">
        <f>V127</f>
        <v>0</v>
      </c>
      <c r="W137" s="3547"/>
      <c r="X137" s="3547"/>
    </row>
    <row r="138" spans="8:24" s="2" customFormat="1" ht="25" customHeight="1">
      <c r="H138" s="3545" t="s">
        <v>1895</v>
      </c>
      <c r="I138" s="3546"/>
      <c r="J138" s="3546"/>
      <c r="K138" s="3546"/>
      <c r="L138" s="3546"/>
      <c r="M138" s="3546"/>
      <c r="N138" s="3546"/>
      <c r="O138" s="3546"/>
      <c r="P138" s="3546"/>
      <c r="Q138" s="3546"/>
      <c r="R138" s="3546"/>
      <c r="S138" s="3546"/>
      <c r="T138" s="3546"/>
      <c r="U138" s="3546"/>
      <c r="V138" s="3547">
        <f>V132</f>
        <v>0</v>
      </c>
      <c r="W138" s="3547"/>
      <c r="X138" s="3547"/>
    </row>
    <row r="139" spans="8:24" s="2" customFormat="1" ht="25" customHeight="1" thickBot="1">
      <c r="H139" s="3545" t="s">
        <v>1897</v>
      </c>
      <c r="I139" s="3546"/>
      <c r="J139" s="3546"/>
      <c r="K139" s="3546"/>
      <c r="L139" s="3546"/>
      <c r="M139" s="3546"/>
      <c r="N139" s="3546"/>
      <c r="O139" s="3546"/>
      <c r="P139" s="3546"/>
      <c r="Q139" s="3546"/>
      <c r="R139" s="3546"/>
      <c r="S139" s="3546"/>
      <c r="T139" s="3546"/>
      <c r="U139" s="3546"/>
      <c r="V139" s="3547">
        <f>V134</f>
        <v>0</v>
      </c>
      <c r="W139" s="3547"/>
      <c r="X139" s="3547"/>
    </row>
    <row r="140" spans="8:24" s="2" customFormat="1" ht="25" customHeight="1" thickTop="1">
      <c r="H140" s="3548" t="s">
        <v>857</v>
      </c>
      <c r="I140" s="3548"/>
      <c r="J140" s="3548"/>
      <c r="K140" s="3548"/>
      <c r="L140" s="3548"/>
      <c r="M140" s="3548"/>
      <c r="N140" s="3548"/>
      <c r="O140" s="3548"/>
      <c r="P140" s="3548"/>
      <c r="Q140" s="3548"/>
      <c r="R140" s="3548"/>
      <c r="S140" s="3548"/>
      <c r="T140" s="3548"/>
      <c r="U140" s="3548"/>
      <c r="V140" s="3549">
        <f>SUM(V137:X139)</f>
        <v>0</v>
      </c>
      <c r="W140" s="3549"/>
      <c r="X140" s="3549"/>
    </row>
    <row r="141" spans="8:24" s="2" customFormat="1" ht="25" customHeight="1">
      <c r="H141" s="867"/>
      <c r="I141" s="867"/>
      <c r="J141" s="868"/>
      <c r="K141" s="868"/>
      <c r="L141" s="869"/>
      <c r="M141" s="869"/>
      <c r="N141" s="869"/>
      <c r="O141" s="869"/>
      <c r="P141" s="869"/>
      <c r="Q141" s="869"/>
      <c r="R141" s="869"/>
      <c r="S141" s="869"/>
      <c r="T141" s="869"/>
      <c r="U141" s="869"/>
      <c r="V141" s="869"/>
      <c r="W141" s="869"/>
      <c r="X141" s="869"/>
    </row>
    <row r="142" spans="8:24" s="2" customFormat="1" ht="22.7" customHeight="1">
      <c r="H142" s="3544" t="str">
        <f>CONCATENATE("Report Prepared By: ",Investor_Name,"  |  ",Company_Name,"  |  ",Company_Email,"  |  ",Company_Website)</f>
        <v xml:space="preserve">Report Prepared By:   |    |    |  </v>
      </c>
      <c r="I142" s="3544"/>
      <c r="J142" s="3544"/>
      <c r="K142" s="3544"/>
      <c r="L142" s="3544"/>
      <c r="M142" s="3544"/>
      <c r="N142" s="3544"/>
      <c r="O142" s="3544"/>
      <c r="P142" s="3544"/>
      <c r="Q142" s="3544"/>
      <c r="R142" s="3544"/>
      <c r="S142" s="3544"/>
      <c r="T142" s="3544"/>
      <c r="U142" s="3544"/>
      <c r="V142" s="1435"/>
      <c r="W142" s="3561" t="str">
        <f>CONCATENATE("Page ",AJ6," of ",$AG$3)</f>
        <v>Page 3 of 7</v>
      </c>
      <c r="X142" s="3561"/>
    </row>
    <row r="143" spans="8:24" s="2" customFormat="1" ht="25" customHeight="1">
      <c r="H143" s="3562" t="str">
        <f>CONCATENATE(Street_Address,", ",City_State_Zip)</f>
        <v>, 0</v>
      </c>
      <c r="I143" s="3562"/>
      <c r="J143" s="3562"/>
      <c r="K143" s="3562"/>
      <c r="L143" s="3562"/>
      <c r="M143" s="3562"/>
      <c r="N143" s="3562"/>
      <c r="O143" s="3562"/>
      <c r="P143" s="3562"/>
      <c r="Q143" s="3562"/>
      <c r="R143" s="3562"/>
      <c r="S143" s="3562"/>
      <c r="T143" s="3562"/>
      <c r="U143" s="3562"/>
      <c r="V143" s="3562"/>
      <c r="W143" s="3562"/>
      <c r="X143" s="3562"/>
    </row>
    <row r="144" spans="8:24" s="2" customFormat="1" ht="25" customHeight="1">
      <c r="H144" s="859"/>
      <c r="I144" s="859"/>
      <c r="J144" s="857"/>
      <c r="K144" s="857"/>
      <c r="L144" s="858"/>
      <c r="M144" s="858"/>
      <c r="N144" s="929"/>
      <c r="O144" s="858"/>
      <c r="P144" s="858"/>
      <c r="Q144" s="858"/>
      <c r="R144" s="929"/>
      <c r="S144" s="858"/>
      <c r="T144" s="858"/>
      <c r="U144" s="858"/>
      <c r="V144" s="929"/>
      <c r="W144" s="858"/>
      <c r="X144" s="858"/>
    </row>
    <row r="145" spans="8:24" s="2" customFormat="1" ht="25" customHeight="1">
      <c r="H145" s="866" t="s">
        <v>1557</v>
      </c>
      <c r="I145" s="859"/>
      <c r="J145" s="857"/>
      <c r="K145" s="857"/>
      <c r="L145" s="858"/>
      <c r="M145" s="858"/>
      <c r="N145" s="929"/>
      <c r="O145" s="858"/>
      <c r="P145" s="858"/>
      <c r="Q145" s="858"/>
      <c r="R145" s="929"/>
      <c r="S145" s="858"/>
      <c r="T145" s="858"/>
      <c r="U145" s="858"/>
      <c r="V145" s="929"/>
      <c r="W145" s="858"/>
      <c r="X145" s="858"/>
    </row>
    <row r="146" spans="8:24" s="2" customFormat="1" ht="25" customHeight="1">
      <c r="H146" s="859"/>
      <c r="I146" s="859"/>
      <c r="J146" s="857"/>
      <c r="K146" s="857"/>
      <c r="L146" s="858"/>
      <c r="M146" s="858"/>
      <c r="N146" s="929"/>
      <c r="O146" s="858"/>
      <c r="P146" s="858"/>
      <c r="Q146" s="860"/>
      <c r="R146" s="932"/>
      <c r="S146" s="858"/>
      <c r="T146" s="858"/>
      <c r="U146" s="858"/>
      <c r="V146" s="929"/>
      <c r="W146" s="858"/>
      <c r="X146" s="858"/>
    </row>
    <row r="147" spans="8:24" s="2" customFormat="1" ht="25" customHeight="1">
      <c r="H147" s="3645" t="s">
        <v>1184</v>
      </c>
      <c r="I147" s="3646"/>
      <c r="J147" s="3646"/>
      <c r="K147" s="3646"/>
      <c r="L147" s="3646"/>
      <c r="M147" s="3646"/>
      <c r="N147" s="3646"/>
      <c r="O147" s="3646"/>
      <c r="P147" s="3646"/>
      <c r="Q147" s="3646"/>
      <c r="R147" s="3646"/>
      <c r="S147" s="3646"/>
      <c r="T147" s="3646"/>
      <c r="U147" s="3646"/>
      <c r="V147" s="3646"/>
      <c r="W147" s="3646"/>
      <c r="X147" s="3647"/>
    </row>
    <row r="148" spans="8:24" s="2" customFormat="1" ht="25" customHeight="1">
      <c r="H148" s="3637" t="s">
        <v>1258</v>
      </c>
      <c r="I148" s="3638"/>
      <c r="J148" s="3638"/>
      <c r="K148" s="3639" t="s">
        <v>1673</v>
      </c>
      <c r="L148" s="3639"/>
      <c r="M148" s="3639" t="s">
        <v>1263</v>
      </c>
      <c r="N148" s="3639"/>
      <c r="O148" s="3639"/>
      <c r="P148" s="3639"/>
      <c r="Q148" s="3639" t="s">
        <v>1264</v>
      </c>
      <c r="R148" s="3639"/>
      <c r="S148" s="3639"/>
      <c r="T148" s="3639"/>
      <c r="U148" s="3639" t="s">
        <v>1265</v>
      </c>
      <c r="V148" s="3639"/>
      <c r="W148" s="3639"/>
      <c r="X148" s="3648"/>
    </row>
    <row r="149" spans="8:24" s="2" customFormat="1" ht="32.700000000000003" customHeight="1">
      <c r="H149" s="3568" t="s">
        <v>609</v>
      </c>
      <c r="I149" s="3569"/>
      <c r="J149" s="3569"/>
      <c r="K149" s="3575" t="str">
        <f>CONCATENATE(COMPS!W6," ",COMPS!W7)</f>
        <v xml:space="preserve"> </v>
      </c>
      <c r="L149" s="3575"/>
      <c r="M149" s="3575" t="str">
        <f>CONCATENATE(COMPS!AJ6," ",COMPS!AJ7)</f>
        <v xml:space="preserve"> </v>
      </c>
      <c r="N149" s="3575"/>
      <c r="O149" s="3575"/>
      <c r="P149" s="3575"/>
      <c r="Q149" s="3575" t="str">
        <f>CONCATENATE(COMPS!AW6," ",COMPS!AW7)</f>
        <v xml:space="preserve"> </v>
      </c>
      <c r="R149" s="3575"/>
      <c r="S149" s="3575"/>
      <c r="T149" s="3575"/>
      <c r="U149" s="3575" t="str">
        <f>CONCATENATE(COMPS!BJ6," ",COMPS!BJ7)</f>
        <v xml:space="preserve"> </v>
      </c>
      <c r="V149" s="3575"/>
      <c r="W149" s="3575"/>
      <c r="X149" s="3704"/>
    </row>
    <row r="150" spans="8:24" s="2" customFormat="1" ht="32.700000000000003" customHeight="1">
      <c r="H150" s="3702"/>
      <c r="I150" s="3703"/>
      <c r="J150" s="3703"/>
      <c r="K150" s="3578"/>
      <c r="L150" s="3578"/>
      <c r="M150" s="3578"/>
      <c r="N150" s="3578"/>
      <c r="O150" s="3578"/>
      <c r="P150" s="3578"/>
      <c r="Q150" s="3578"/>
      <c r="R150" s="3578"/>
      <c r="S150" s="3578"/>
      <c r="T150" s="3578"/>
      <c r="U150" s="3578"/>
      <c r="V150" s="3578"/>
      <c r="W150" s="3578"/>
      <c r="X150" s="3705"/>
    </row>
    <row r="151" spans="8:24" s="2" customFormat="1" ht="25" customHeight="1">
      <c r="H151" s="3583" t="s">
        <v>1266</v>
      </c>
      <c r="I151" s="3584"/>
      <c r="J151" s="3584"/>
      <c r="K151" s="3585" t="str">
        <f>T(COMPS!W8)</f>
        <v/>
      </c>
      <c r="L151" s="3585"/>
      <c r="M151" s="3585" t="str">
        <f>T(COMPS!AJ8)</f>
        <v/>
      </c>
      <c r="N151" s="3585"/>
      <c r="O151" s="3585"/>
      <c r="P151" s="3585"/>
      <c r="Q151" s="3585" t="str">
        <f>T(COMPS!AW8)</f>
        <v/>
      </c>
      <c r="R151" s="3585"/>
      <c r="S151" s="3585"/>
      <c r="T151" s="3585"/>
      <c r="U151" s="3585" t="str">
        <f>T(COMPS!BJ8)</f>
        <v/>
      </c>
      <c r="V151" s="3585"/>
      <c r="W151" s="3585"/>
      <c r="X151" s="3673"/>
    </row>
    <row r="152" spans="8:24" s="2" customFormat="1" ht="25" customHeight="1">
      <c r="H152" s="3583" t="s">
        <v>1674</v>
      </c>
      <c r="I152" s="3584"/>
      <c r="J152" s="3584"/>
      <c r="K152" s="3585" t="str">
        <f>T(COMPS!W9)</f>
        <v/>
      </c>
      <c r="L152" s="3585"/>
      <c r="M152" s="3585" t="str">
        <f>T(COMPS!AJ9)</f>
        <v/>
      </c>
      <c r="N152" s="3585"/>
      <c r="O152" s="3585"/>
      <c r="P152" s="3585"/>
      <c r="Q152" s="3585" t="str">
        <f>T(COMPS!AW9)</f>
        <v/>
      </c>
      <c r="R152" s="3585"/>
      <c r="S152" s="3585"/>
      <c r="T152" s="3585"/>
      <c r="U152" s="3585" t="str">
        <f>T(COMPS!BJ9)</f>
        <v/>
      </c>
      <c r="V152" s="3585"/>
      <c r="W152" s="3585"/>
      <c r="X152" s="3673"/>
    </row>
    <row r="153" spans="8:24" s="2" customFormat="1" ht="25" customHeight="1">
      <c r="H153" s="3583" t="s">
        <v>1269</v>
      </c>
      <c r="I153" s="3584"/>
      <c r="J153" s="3584"/>
      <c r="K153" s="3628">
        <f>(COMPS!W10)</f>
        <v>0</v>
      </c>
      <c r="L153" s="3628"/>
      <c r="M153" s="3628">
        <f>(COMPS!AJ10)</f>
        <v>0</v>
      </c>
      <c r="N153" s="3628"/>
      <c r="O153" s="3628"/>
      <c r="P153" s="3628"/>
      <c r="Q153" s="3628">
        <f>(COMPS!AW10)</f>
        <v>0</v>
      </c>
      <c r="R153" s="3628"/>
      <c r="S153" s="3628"/>
      <c r="T153" s="3628"/>
      <c r="U153" s="3628">
        <f>(COMPS!BJ10)</f>
        <v>0</v>
      </c>
      <c r="V153" s="3628"/>
      <c r="W153" s="3628"/>
      <c r="X153" s="3629"/>
    </row>
    <row r="154" spans="8:24" s="2" customFormat="1" ht="25" customHeight="1">
      <c r="H154" s="3583" t="s">
        <v>1271</v>
      </c>
      <c r="I154" s="3584"/>
      <c r="J154" s="3584"/>
      <c r="K154" s="3630">
        <f>(COMPS!W11)</f>
        <v>0</v>
      </c>
      <c r="L154" s="3630"/>
      <c r="M154" s="3630" t="str">
        <f>T(COMPS!AJ11)</f>
        <v/>
      </c>
      <c r="N154" s="3630"/>
      <c r="O154" s="3630"/>
      <c r="P154" s="3630"/>
      <c r="Q154" s="3630" t="str">
        <f>T(COMPS!AW11)</f>
        <v/>
      </c>
      <c r="R154" s="3630"/>
      <c r="S154" s="3630"/>
      <c r="T154" s="3630"/>
      <c r="U154" s="3630" t="str">
        <f>T(COMPS!BJ11)</f>
        <v/>
      </c>
      <c r="V154" s="3630"/>
      <c r="W154" s="3630"/>
      <c r="X154" s="3631"/>
    </row>
    <row r="155" spans="8:24" s="2" customFormat="1" ht="25" customHeight="1">
      <c r="H155" s="3583" t="s">
        <v>1270</v>
      </c>
      <c r="I155" s="3584"/>
      <c r="J155" s="3584"/>
      <c r="K155" s="3671">
        <f>(COMPS!W12)</f>
        <v>0</v>
      </c>
      <c r="L155" s="3671"/>
      <c r="M155" s="3671" t="str">
        <f>T(COMPS!AJ12)</f>
        <v/>
      </c>
      <c r="N155" s="3671"/>
      <c r="O155" s="3671"/>
      <c r="P155" s="3671"/>
      <c r="Q155" s="3671" t="str">
        <f>T(COMPS!AW12)</f>
        <v/>
      </c>
      <c r="R155" s="3671"/>
      <c r="S155" s="3671"/>
      <c r="T155" s="3671"/>
      <c r="U155" s="3671" t="str">
        <f>T(COMPS!BJ12)</f>
        <v/>
      </c>
      <c r="V155" s="3671"/>
      <c r="W155" s="3671"/>
      <c r="X155" s="3672"/>
    </row>
    <row r="156" spans="8:24" s="2" customFormat="1" ht="25" customHeight="1">
      <c r="H156" s="3583" t="s">
        <v>1268</v>
      </c>
      <c r="I156" s="3584"/>
      <c r="J156" s="3584"/>
      <c r="K156" s="3632">
        <f>(COMPS!W13)</f>
        <v>0</v>
      </c>
      <c r="L156" s="3632"/>
      <c r="M156" s="3632" t="str">
        <f>T(COMPS!AJ13)</f>
        <v/>
      </c>
      <c r="N156" s="3632"/>
      <c r="O156" s="3632"/>
      <c r="P156" s="3632"/>
      <c r="Q156" s="3632" t="str">
        <f>T(COMPS!AW13)</f>
        <v/>
      </c>
      <c r="R156" s="3632"/>
      <c r="S156" s="3632"/>
      <c r="T156" s="3632"/>
      <c r="U156" s="3632" t="str">
        <f>T(COMPS!BJ13)</f>
        <v/>
      </c>
      <c r="V156" s="3632"/>
      <c r="W156" s="3632"/>
      <c r="X156" s="3633"/>
    </row>
    <row r="157" spans="8:24" s="2" customFormat="1" ht="25" customHeight="1">
      <c r="H157" s="3634" t="s">
        <v>1346</v>
      </c>
      <c r="I157" s="3635"/>
      <c r="J157" s="3635"/>
      <c r="K157" s="3635"/>
      <c r="L157" s="3635"/>
      <c r="M157" s="3635"/>
      <c r="N157" s="3635"/>
      <c r="O157" s="3635"/>
      <c r="P157" s="3635"/>
      <c r="Q157" s="3635"/>
      <c r="R157" s="3635"/>
      <c r="S157" s="3635"/>
      <c r="T157" s="3635"/>
      <c r="U157" s="3635"/>
      <c r="V157" s="3635"/>
      <c r="W157" s="3635"/>
      <c r="X157" s="3636"/>
    </row>
    <row r="158" spans="8:24" s="2" customFormat="1" ht="25" customHeight="1">
      <c r="H158" s="3637" t="s">
        <v>1258</v>
      </c>
      <c r="I158" s="3638"/>
      <c r="J158" s="3638"/>
      <c r="K158" s="3639" t="s">
        <v>1673</v>
      </c>
      <c r="L158" s="3639"/>
      <c r="M158" s="3639" t="s">
        <v>1263</v>
      </c>
      <c r="N158" s="3639"/>
      <c r="O158" s="3639"/>
      <c r="P158" s="935" t="s">
        <v>1349</v>
      </c>
      <c r="Q158" s="3638" t="s">
        <v>1264</v>
      </c>
      <c r="R158" s="3638"/>
      <c r="S158" s="3638"/>
      <c r="T158" s="935" t="s">
        <v>1349</v>
      </c>
      <c r="U158" s="3638" t="s">
        <v>1265</v>
      </c>
      <c r="V158" s="3638"/>
      <c r="W158" s="3638"/>
      <c r="X158" s="1461" t="s">
        <v>1349</v>
      </c>
    </row>
    <row r="159" spans="8:24" s="2" customFormat="1" ht="25" customHeight="1">
      <c r="H159" s="3583" t="s">
        <v>984</v>
      </c>
      <c r="I159" s="3584"/>
      <c r="J159" s="3584"/>
      <c r="K159" s="3607">
        <f>COMPS!W16</f>
        <v>0</v>
      </c>
      <c r="L159" s="3609"/>
      <c r="M159" s="3607">
        <f>COMPS!AJ16</f>
        <v>0</v>
      </c>
      <c r="N159" s="3608"/>
      <c r="O159" s="3609"/>
      <c r="P159" s="1430">
        <f>COMPS!AR16</f>
        <v>0</v>
      </c>
      <c r="Q159" s="3613">
        <f>COMPS!AW16</f>
        <v>0</v>
      </c>
      <c r="R159" s="3613"/>
      <c r="S159" s="3613"/>
      <c r="T159" s="1430">
        <f>COMPS!BE16</f>
        <v>0</v>
      </c>
      <c r="U159" s="3607">
        <f>COMPS!BJ16</f>
        <v>0</v>
      </c>
      <c r="V159" s="3608"/>
      <c r="W159" s="3609"/>
      <c r="X159" s="1462">
        <f>COMPS!BR16</f>
        <v>0</v>
      </c>
    </row>
    <row r="160" spans="8:24" s="2" customFormat="1" ht="25" customHeight="1">
      <c r="H160" s="3583" t="s">
        <v>985</v>
      </c>
      <c r="I160" s="3584"/>
      <c r="J160" s="3584"/>
      <c r="K160" s="3585">
        <f>COMPS!W17</f>
        <v>0</v>
      </c>
      <c r="L160" s="3585"/>
      <c r="M160" s="3610">
        <f>COMPS!AJ17</f>
        <v>0</v>
      </c>
      <c r="N160" s="3611"/>
      <c r="O160" s="3612"/>
      <c r="P160" s="1430">
        <f>COMPS!AR17</f>
        <v>0</v>
      </c>
      <c r="Q160" s="3614">
        <f>COMPS!AW17</f>
        <v>0</v>
      </c>
      <c r="R160" s="3614"/>
      <c r="S160" s="3614"/>
      <c r="T160" s="1430">
        <f>COMPS!BE17</f>
        <v>0</v>
      </c>
      <c r="U160" s="3610">
        <f>COMPS!BJ17</f>
        <v>0</v>
      </c>
      <c r="V160" s="3611"/>
      <c r="W160" s="3612"/>
      <c r="X160" s="1462">
        <f>COMPS!BR17</f>
        <v>0</v>
      </c>
    </row>
    <row r="161" spans="8:24" s="2" customFormat="1" ht="25" customHeight="1">
      <c r="H161" s="3583" t="s">
        <v>1277</v>
      </c>
      <c r="I161" s="3584"/>
      <c r="J161" s="3584"/>
      <c r="K161" s="3585">
        <f>COMPS!W18</f>
        <v>0</v>
      </c>
      <c r="L161" s="3585"/>
      <c r="M161" s="3622">
        <f>COMPS!AJ18</f>
        <v>0</v>
      </c>
      <c r="N161" s="3623"/>
      <c r="O161" s="3624"/>
      <c r="P161" s="1430">
        <f>COMPS!AR18</f>
        <v>0</v>
      </c>
      <c r="Q161" s="3615">
        <f>COMPS!AW18</f>
        <v>0</v>
      </c>
      <c r="R161" s="3615"/>
      <c r="S161" s="3615"/>
      <c r="T161" s="1430">
        <f>COMPS!BE18</f>
        <v>0</v>
      </c>
      <c r="U161" s="3622">
        <f>COMPS!BJ18</f>
        <v>0</v>
      </c>
      <c r="V161" s="3623"/>
      <c r="W161" s="3624"/>
      <c r="X161" s="1462">
        <f>COMPS!BR18</f>
        <v>0</v>
      </c>
    </row>
    <row r="162" spans="8:24" s="2" customFormat="1" ht="25" customHeight="1">
      <c r="H162" s="3583" t="s">
        <v>1260</v>
      </c>
      <c r="I162" s="3584"/>
      <c r="J162" s="3584"/>
      <c r="K162" s="3585">
        <f>COMPS!W19</f>
        <v>0</v>
      </c>
      <c r="L162" s="3585"/>
      <c r="M162" s="3625">
        <f>COMPS!AJ19</f>
        <v>0</v>
      </c>
      <c r="N162" s="3626"/>
      <c r="O162" s="3627"/>
      <c r="P162" s="1430">
        <f>COMPS!AR19</f>
        <v>0</v>
      </c>
      <c r="Q162" s="3616">
        <f>COMPS!AW19</f>
        <v>0</v>
      </c>
      <c r="R162" s="3616"/>
      <c r="S162" s="3616"/>
      <c r="T162" s="1430">
        <f>COMPS!BE19</f>
        <v>0</v>
      </c>
      <c r="U162" s="3625">
        <f>COMPS!BJ19</f>
        <v>0</v>
      </c>
      <c r="V162" s="3626"/>
      <c r="W162" s="3627"/>
      <c r="X162" s="1462">
        <f>COMPS!BR19</f>
        <v>0</v>
      </c>
    </row>
    <row r="163" spans="8:24" s="2" customFormat="1" ht="25" customHeight="1">
      <c r="H163" s="3583" t="s">
        <v>1276</v>
      </c>
      <c r="I163" s="3584"/>
      <c r="J163" s="3584"/>
      <c r="K163" s="3585">
        <f>COMPS!W20</f>
        <v>0</v>
      </c>
      <c r="L163" s="3585"/>
      <c r="M163" s="3619">
        <f>COMPS!AJ20</f>
        <v>0</v>
      </c>
      <c r="N163" s="3620"/>
      <c r="O163" s="3621"/>
      <c r="P163" s="1430">
        <f>COMPS!AR20</f>
        <v>0</v>
      </c>
      <c r="Q163" s="3617">
        <f>COMPS!AW20</f>
        <v>0</v>
      </c>
      <c r="R163" s="3617"/>
      <c r="S163" s="3617"/>
      <c r="T163" s="1430">
        <f>COMPS!BE20</f>
        <v>0</v>
      </c>
      <c r="U163" s="3619">
        <f>COMPS!BJ20</f>
        <v>0</v>
      </c>
      <c r="V163" s="3620"/>
      <c r="W163" s="3621"/>
      <c r="X163" s="1462">
        <f>COMPS!BR20</f>
        <v>0</v>
      </c>
    </row>
    <row r="164" spans="8:24" s="2" customFormat="1" ht="25" customHeight="1">
      <c r="H164" s="3583" t="s">
        <v>1675</v>
      </c>
      <c r="I164" s="3584"/>
      <c r="J164" s="3584"/>
      <c r="K164" s="3585">
        <f>COMPS!W21</f>
        <v>0</v>
      </c>
      <c r="L164" s="3585"/>
      <c r="M164" s="3586">
        <f>COMPS!AJ21</f>
        <v>0</v>
      </c>
      <c r="N164" s="3587"/>
      <c r="O164" s="3588"/>
      <c r="P164" s="1430">
        <f>COMPS!AR21</f>
        <v>0</v>
      </c>
      <c r="Q164" s="3618">
        <f>COMPS!AW21</f>
        <v>0</v>
      </c>
      <c r="R164" s="3618"/>
      <c r="S164" s="3618"/>
      <c r="T164" s="1430">
        <f>COMPS!BE21</f>
        <v>0</v>
      </c>
      <c r="U164" s="3586">
        <f>COMPS!BJ21</f>
        <v>0</v>
      </c>
      <c r="V164" s="3587"/>
      <c r="W164" s="3588"/>
      <c r="X164" s="1462">
        <f>COMPS!BR21</f>
        <v>0</v>
      </c>
    </row>
    <row r="165" spans="8:24" s="2" customFormat="1" ht="25" customHeight="1">
      <c r="H165" s="3583" t="s">
        <v>1278</v>
      </c>
      <c r="I165" s="3584"/>
      <c r="J165" s="3584"/>
      <c r="K165" s="3585">
        <f>COMPS!W22</f>
        <v>0</v>
      </c>
      <c r="L165" s="3585"/>
      <c r="M165" s="3586">
        <f>COMPS!AJ22</f>
        <v>0</v>
      </c>
      <c r="N165" s="3587"/>
      <c r="O165" s="3588"/>
      <c r="P165" s="1430">
        <f>COMPS!AR22</f>
        <v>0</v>
      </c>
      <c r="Q165" s="3618">
        <f>COMPS!AW22</f>
        <v>0</v>
      </c>
      <c r="R165" s="3618"/>
      <c r="S165" s="3618"/>
      <c r="T165" s="1430">
        <f>COMPS!BE22</f>
        <v>0</v>
      </c>
      <c r="U165" s="3586">
        <f>COMPS!BJ22</f>
        <v>0</v>
      </c>
      <c r="V165" s="3587"/>
      <c r="W165" s="3588"/>
      <c r="X165" s="1462">
        <f>COMPS!BR22</f>
        <v>0</v>
      </c>
    </row>
    <row r="166" spans="8:24" s="2" customFormat="1" ht="25" customHeight="1">
      <c r="H166" s="3583" t="s">
        <v>1279</v>
      </c>
      <c r="I166" s="3584"/>
      <c r="J166" s="3584"/>
      <c r="K166" s="3585">
        <f>COMPS!W23</f>
        <v>0</v>
      </c>
      <c r="L166" s="3585"/>
      <c r="M166" s="3586">
        <f>COMPS!AJ23</f>
        <v>0</v>
      </c>
      <c r="N166" s="3587"/>
      <c r="O166" s="3588"/>
      <c r="P166" s="1430">
        <f>COMPS!AR23</f>
        <v>0</v>
      </c>
      <c r="Q166" s="3618">
        <f>COMPS!AW23</f>
        <v>0</v>
      </c>
      <c r="R166" s="3618"/>
      <c r="S166" s="3618"/>
      <c r="T166" s="1430">
        <f>COMPS!BE23</f>
        <v>0</v>
      </c>
      <c r="U166" s="3586">
        <f>COMPS!BJ23</f>
        <v>0</v>
      </c>
      <c r="V166" s="3587"/>
      <c r="W166" s="3588"/>
      <c r="X166" s="1462">
        <f>COMPS!BR23</f>
        <v>0</v>
      </c>
    </row>
    <row r="167" spans="8:24" s="2" customFormat="1" ht="25" customHeight="1">
      <c r="H167" s="3583" t="s">
        <v>1280</v>
      </c>
      <c r="I167" s="3584"/>
      <c r="J167" s="3584"/>
      <c r="K167" s="3585">
        <f>COMPS!W24</f>
        <v>0</v>
      </c>
      <c r="L167" s="3585"/>
      <c r="M167" s="3586">
        <f>COMPS!AJ24</f>
        <v>0</v>
      </c>
      <c r="N167" s="3587"/>
      <c r="O167" s="3588"/>
      <c r="P167" s="1430">
        <f>COMPS!AR24</f>
        <v>0</v>
      </c>
      <c r="Q167" s="3618">
        <f>COMPS!AW24</f>
        <v>0</v>
      </c>
      <c r="R167" s="3618"/>
      <c r="S167" s="3618"/>
      <c r="T167" s="1430">
        <f>COMPS!BE24</f>
        <v>0</v>
      </c>
      <c r="U167" s="3586">
        <f>COMPS!BJ24</f>
        <v>0</v>
      </c>
      <c r="V167" s="3587"/>
      <c r="W167" s="3588"/>
      <c r="X167" s="1462">
        <f>COMPS!BR24</f>
        <v>0</v>
      </c>
    </row>
    <row r="168" spans="8:24" s="2" customFormat="1" ht="25" customHeight="1">
      <c r="H168" s="3568" t="s">
        <v>1676</v>
      </c>
      <c r="I168" s="3569"/>
      <c r="J168" s="3569"/>
      <c r="K168" s="3576" t="str">
        <f>T(COMPS!W25)</f>
        <v/>
      </c>
      <c r="L168" s="3576"/>
      <c r="M168" s="3576" t="str">
        <f>T(COMPS!AJ25)</f>
        <v/>
      </c>
      <c r="N168" s="3576"/>
      <c r="O168" s="3576"/>
      <c r="P168" s="3579">
        <v>0</v>
      </c>
      <c r="Q168" s="3589" t="str">
        <f>T(COMPS!AW25)</f>
        <v/>
      </c>
      <c r="R168" s="3589"/>
      <c r="S168" s="3589"/>
      <c r="T168" s="3579">
        <f>COMPS!BE25</f>
        <v>0</v>
      </c>
      <c r="U168" s="3576" t="str">
        <f>T(COMPS!BJ25)</f>
        <v/>
      </c>
      <c r="V168" s="3576"/>
      <c r="W168" s="3576"/>
      <c r="X168" s="3641">
        <f>COMPS!BR25</f>
        <v>0</v>
      </c>
    </row>
    <row r="169" spans="8:24" s="2" customFormat="1" ht="25" customHeight="1">
      <c r="H169" s="3570"/>
      <c r="I169" s="3571"/>
      <c r="J169" s="3571"/>
      <c r="K169" s="3576">
        <f>COMPS!W26</f>
        <v>0</v>
      </c>
      <c r="L169" s="3576"/>
      <c r="M169" s="3576">
        <f>COMPS!AJ26</f>
        <v>0</v>
      </c>
      <c r="N169" s="3576"/>
      <c r="O169" s="3576"/>
      <c r="P169" s="3580">
        <f>COMPS!AR26</f>
        <v>0</v>
      </c>
      <c r="Q169" s="3576"/>
      <c r="R169" s="3576"/>
      <c r="S169" s="3576"/>
      <c r="T169" s="3580">
        <f>COMPS!BE26</f>
        <v>0</v>
      </c>
      <c r="U169" s="3576">
        <f>COMPS!BJ26</f>
        <v>0</v>
      </c>
      <c r="V169" s="3576"/>
      <c r="W169" s="3576"/>
      <c r="X169" s="3642">
        <f>COMPS!BR26</f>
        <v>0</v>
      </c>
    </row>
    <row r="170" spans="8:24" s="2" customFormat="1" ht="25" customHeight="1">
      <c r="H170" s="3570"/>
      <c r="I170" s="3571"/>
      <c r="J170" s="3571"/>
      <c r="K170" s="3576">
        <f>COMPS!W27</f>
        <v>0</v>
      </c>
      <c r="L170" s="3576"/>
      <c r="M170" s="3576">
        <f>COMPS!AJ27</f>
        <v>0</v>
      </c>
      <c r="N170" s="3576"/>
      <c r="O170" s="3576"/>
      <c r="P170" s="3580">
        <f>COMPS!AR27</f>
        <v>0</v>
      </c>
      <c r="Q170" s="3576"/>
      <c r="R170" s="3576"/>
      <c r="S170" s="3576"/>
      <c r="T170" s="3580">
        <f>COMPS!BE27</f>
        <v>0</v>
      </c>
      <c r="U170" s="3576">
        <f>COMPS!BJ27</f>
        <v>0</v>
      </c>
      <c r="V170" s="3576"/>
      <c r="W170" s="3576"/>
      <c r="X170" s="3642">
        <f>COMPS!BR27</f>
        <v>0</v>
      </c>
    </row>
    <row r="171" spans="8:24" s="2" customFormat="1" ht="25" customHeight="1">
      <c r="H171" s="3570"/>
      <c r="I171" s="3571"/>
      <c r="J171" s="3571"/>
      <c r="K171" s="3578">
        <f>COMPS!W28</f>
        <v>0</v>
      </c>
      <c r="L171" s="3578"/>
      <c r="M171" s="3578">
        <f>COMPS!AJ28</f>
        <v>0</v>
      </c>
      <c r="N171" s="3578"/>
      <c r="O171" s="3578"/>
      <c r="P171" s="3582">
        <f>COMPS!AR28</f>
        <v>0</v>
      </c>
      <c r="Q171" s="3578"/>
      <c r="R171" s="3578"/>
      <c r="S171" s="3578"/>
      <c r="T171" s="3582">
        <f>COMPS!BE28</f>
        <v>0</v>
      </c>
      <c r="U171" s="3578">
        <f>COMPS!BJ28</f>
        <v>0</v>
      </c>
      <c r="V171" s="3578"/>
      <c r="W171" s="3578"/>
      <c r="X171" s="3643">
        <f>COMPS!BR28</f>
        <v>0</v>
      </c>
    </row>
    <row r="172" spans="8:24" s="2" customFormat="1" ht="25" customHeight="1">
      <c r="H172" s="3568" t="s">
        <v>150</v>
      </c>
      <c r="I172" s="3569"/>
      <c r="J172" s="3569"/>
      <c r="K172" s="3574" t="str">
        <f>T(COMPS!W26)</f>
        <v/>
      </c>
      <c r="L172" s="3575"/>
      <c r="M172" s="3574" t="str">
        <f>T(COMPS!AJ26)</f>
        <v/>
      </c>
      <c r="N172" s="3575"/>
      <c r="O172" s="3575"/>
      <c r="P172" s="3579">
        <f>COMPS!AR29</f>
        <v>0</v>
      </c>
      <c r="Q172" s="3575" t="str">
        <f>T(COMPS!AW26)</f>
        <v/>
      </c>
      <c r="R172" s="3575"/>
      <c r="S172" s="3575"/>
      <c r="T172" s="3579">
        <f>COMPS!BE29</f>
        <v>0</v>
      </c>
      <c r="U172" s="3575" t="str">
        <f>T(COMPS!BJ26)</f>
        <v/>
      </c>
      <c r="V172" s="3575"/>
      <c r="W172" s="3575"/>
      <c r="X172" s="3641">
        <f>COMPS!BR29</f>
        <v>0</v>
      </c>
    </row>
    <row r="173" spans="8:24" s="2" customFormat="1" ht="25" customHeight="1">
      <c r="H173" s="3570"/>
      <c r="I173" s="3571"/>
      <c r="J173" s="3571"/>
      <c r="K173" s="3576"/>
      <c r="L173" s="3576"/>
      <c r="M173" s="3576"/>
      <c r="N173" s="3576"/>
      <c r="O173" s="3576"/>
      <c r="P173" s="3580">
        <f>COMPS!AR30</f>
        <v>0</v>
      </c>
      <c r="Q173" s="3576"/>
      <c r="R173" s="3576"/>
      <c r="S173" s="3576"/>
      <c r="T173" s="3580">
        <f>COMPS!BE30</f>
        <v>0</v>
      </c>
      <c r="U173" s="3576"/>
      <c r="V173" s="3576"/>
      <c r="W173" s="3576"/>
      <c r="X173" s="3642">
        <f>COMPS!BR30</f>
        <v>0</v>
      </c>
    </row>
    <row r="174" spans="8:24" s="2" customFormat="1" ht="25" customHeight="1">
      <c r="H174" s="3570"/>
      <c r="I174" s="3571"/>
      <c r="J174" s="3571"/>
      <c r="K174" s="3576"/>
      <c r="L174" s="3576"/>
      <c r="M174" s="3576"/>
      <c r="N174" s="3576"/>
      <c r="O174" s="3576"/>
      <c r="P174" s="3580">
        <f>COMPS!AR31</f>
        <v>0</v>
      </c>
      <c r="Q174" s="3576"/>
      <c r="R174" s="3576"/>
      <c r="S174" s="3576"/>
      <c r="T174" s="3580">
        <f>COMPS!BE31</f>
        <v>0</v>
      </c>
      <c r="U174" s="3576"/>
      <c r="V174" s="3576"/>
      <c r="W174" s="3576"/>
      <c r="X174" s="3642">
        <f>COMPS!BR31</f>
        <v>0</v>
      </c>
    </row>
    <row r="175" spans="8:24" s="2" customFormat="1" ht="25" customHeight="1">
      <c r="H175" s="3570"/>
      <c r="I175" s="3571"/>
      <c r="J175" s="3571"/>
      <c r="K175" s="3576"/>
      <c r="L175" s="3576"/>
      <c r="M175" s="3576"/>
      <c r="N175" s="3576"/>
      <c r="O175" s="3576"/>
      <c r="P175" s="3580">
        <f>COMPS!AR32</f>
        <v>0</v>
      </c>
      <c r="Q175" s="3576"/>
      <c r="R175" s="3576"/>
      <c r="S175" s="3576"/>
      <c r="T175" s="3580">
        <f>COMPS!BE32</f>
        <v>0</v>
      </c>
      <c r="U175" s="3576"/>
      <c r="V175" s="3576"/>
      <c r="W175" s="3576"/>
      <c r="X175" s="3642">
        <f>COMPS!BR32</f>
        <v>0</v>
      </c>
    </row>
    <row r="176" spans="8:24" s="2" customFormat="1" ht="25" customHeight="1" thickBot="1">
      <c r="H176" s="3572"/>
      <c r="I176" s="3573"/>
      <c r="J176" s="3573"/>
      <c r="K176" s="3577"/>
      <c r="L176" s="3577"/>
      <c r="M176" s="3577"/>
      <c r="N176" s="3577"/>
      <c r="O176" s="3577"/>
      <c r="P176" s="3581">
        <f>COMPS!AR33</f>
        <v>0</v>
      </c>
      <c r="Q176" s="3577"/>
      <c r="R176" s="3577"/>
      <c r="S176" s="3577"/>
      <c r="T176" s="3581">
        <f>COMPS!BE33</f>
        <v>0</v>
      </c>
      <c r="U176" s="3577"/>
      <c r="V176" s="3577"/>
      <c r="W176" s="3577"/>
      <c r="X176" s="3644">
        <f>COMPS!BR33</f>
        <v>0</v>
      </c>
    </row>
    <row r="177" spans="8:24" s="2" customFormat="1" ht="25" customHeight="1" thickTop="1">
      <c r="H177" s="3674" t="s">
        <v>1677</v>
      </c>
      <c r="I177" s="3675"/>
      <c r="J177" s="3675"/>
      <c r="K177" s="3675"/>
      <c r="L177" s="3675"/>
      <c r="M177" s="3681">
        <f>COMPS!AJ33</f>
        <v>0</v>
      </c>
      <c r="N177" s="3681"/>
      <c r="O177" s="3681"/>
      <c r="P177" s="3681"/>
      <c r="Q177" s="3681">
        <f>COMPS!AW33</f>
        <v>0</v>
      </c>
      <c r="R177" s="3681"/>
      <c r="S177" s="3681"/>
      <c r="T177" s="3681"/>
      <c r="U177" s="3681">
        <f>COMPS!BJ33</f>
        <v>0</v>
      </c>
      <c r="V177" s="3681"/>
      <c r="W177" s="3681"/>
      <c r="X177" s="3682"/>
    </row>
    <row r="178" spans="8:24" s="2" customFormat="1" ht="25" customHeight="1">
      <c r="H178" s="3678" t="s">
        <v>1678</v>
      </c>
      <c r="I178" s="3679"/>
      <c r="J178" s="3679"/>
      <c r="K178" s="3680">
        <f>COMPS!W34</f>
        <v>0</v>
      </c>
      <c r="L178" s="3680"/>
      <c r="M178" s="3676">
        <f>COMPS!AJ34</f>
        <v>0</v>
      </c>
      <c r="N178" s="3676"/>
      <c r="O178" s="3676"/>
      <c r="P178" s="3676"/>
      <c r="Q178" s="3676">
        <f>COMPS!AW34</f>
        <v>0</v>
      </c>
      <c r="R178" s="3676"/>
      <c r="S178" s="3676"/>
      <c r="T178" s="3676"/>
      <c r="U178" s="3676">
        <f>COMPS!BJ34</f>
        <v>0</v>
      </c>
      <c r="V178" s="3676"/>
      <c r="W178" s="3676"/>
      <c r="X178" s="3677"/>
    </row>
    <row r="179" spans="8:24" s="2" customFormat="1" ht="25" customHeight="1">
      <c r="H179" s="934"/>
      <c r="I179" s="934"/>
      <c r="J179" s="934"/>
      <c r="K179" s="934"/>
      <c r="L179" s="934"/>
      <c r="M179" s="934"/>
      <c r="N179" s="934"/>
      <c r="O179" s="934"/>
      <c r="P179" s="934"/>
      <c r="Q179" s="934"/>
      <c r="R179" s="934"/>
      <c r="S179" s="934"/>
      <c r="T179" s="934"/>
      <c r="U179" s="934"/>
      <c r="V179" s="934"/>
      <c r="W179" s="934"/>
      <c r="X179" s="934"/>
    </row>
    <row r="180" spans="8:24" s="2" customFormat="1" ht="25" customHeight="1">
      <c r="H180" s="934"/>
      <c r="I180" s="934"/>
      <c r="J180" s="934"/>
      <c r="K180" s="934"/>
      <c r="L180" s="934"/>
      <c r="M180" s="934"/>
      <c r="N180" s="934"/>
      <c r="O180" s="934"/>
      <c r="P180" s="934"/>
      <c r="Q180" s="934"/>
      <c r="R180" s="934"/>
      <c r="S180" s="934"/>
      <c r="T180" s="934"/>
      <c r="U180" s="934"/>
      <c r="V180" s="934"/>
      <c r="W180" s="934"/>
      <c r="X180" s="934"/>
    </row>
    <row r="181" spans="8:24" s="2" customFormat="1" ht="25" customHeight="1">
      <c r="H181" s="930"/>
      <c r="I181" s="930"/>
      <c r="J181" s="928"/>
      <c r="K181" s="928"/>
      <c r="L181" s="929"/>
      <c r="M181" s="929"/>
      <c r="N181" s="929"/>
      <c r="O181" s="929"/>
      <c r="P181" s="929"/>
      <c r="Q181" s="929"/>
      <c r="R181" s="929"/>
      <c r="S181" s="929"/>
      <c r="T181" s="929"/>
      <c r="U181" s="929"/>
      <c r="V181" s="929"/>
      <c r="W181" s="929"/>
      <c r="X181" s="929"/>
    </row>
    <row r="182" spans="8:24" s="2" customFormat="1" ht="25" customHeight="1">
      <c r="H182" s="867"/>
      <c r="I182" s="867"/>
      <c r="J182" s="868"/>
      <c r="K182" s="868"/>
      <c r="L182" s="869"/>
      <c r="M182" s="869"/>
      <c r="N182" s="869"/>
      <c r="O182" s="869"/>
      <c r="P182" s="869"/>
      <c r="Q182" s="869"/>
      <c r="R182" s="869"/>
      <c r="S182" s="869"/>
      <c r="T182" s="869"/>
      <c r="U182" s="869"/>
      <c r="V182" s="869"/>
      <c r="W182" s="869"/>
      <c r="X182" s="869"/>
    </row>
    <row r="183" spans="8:24" s="2" customFormat="1" ht="22.7" customHeight="1">
      <c r="H183" s="3544" t="str">
        <f>CONCATENATE("Report Prepared By: ",Investor_Name,"  |  ",Company_Name,"  |  ",Company_Email,"  |  ",Company_Website)</f>
        <v xml:space="preserve">Report Prepared By:   |    |    |  </v>
      </c>
      <c r="I183" s="3544"/>
      <c r="J183" s="3544"/>
      <c r="K183" s="3544"/>
      <c r="L183" s="3544"/>
      <c r="M183" s="3544"/>
      <c r="N183" s="3544"/>
      <c r="O183" s="3544"/>
      <c r="P183" s="3544"/>
      <c r="Q183" s="3544"/>
      <c r="R183" s="3544"/>
      <c r="S183" s="3544"/>
      <c r="T183" s="3544"/>
      <c r="U183" s="3544"/>
      <c r="V183" s="931"/>
      <c r="W183" s="3561" t="str">
        <f>CONCATENATE("Page ",AK6," of ",$AG$3)</f>
        <v>Page 4 of 7</v>
      </c>
      <c r="X183" s="3561"/>
    </row>
    <row r="184" spans="8:24" s="2" customFormat="1" ht="25" customHeight="1">
      <c r="H184" s="3562" t="str">
        <f>CONCATENATE(Street_Address,", ",City_State_Zip)</f>
        <v>, 0</v>
      </c>
      <c r="I184" s="3562"/>
      <c r="J184" s="3562"/>
      <c r="K184" s="3562"/>
      <c r="L184" s="3562"/>
      <c r="M184" s="3562"/>
      <c r="N184" s="3562"/>
      <c r="O184" s="3562"/>
      <c r="P184" s="3562"/>
      <c r="Q184" s="3562"/>
      <c r="R184" s="3562"/>
      <c r="S184" s="3562"/>
      <c r="T184" s="3562"/>
      <c r="U184" s="3562"/>
      <c r="V184" s="3562"/>
      <c r="W184" s="3562"/>
      <c r="X184" s="3562"/>
    </row>
    <row r="185" spans="8:24" s="2" customFormat="1" ht="25" customHeight="1">
      <c r="H185" s="859"/>
      <c r="I185" s="859"/>
      <c r="J185" s="859"/>
      <c r="K185" s="859"/>
      <c r="L185" s="857"/>
      <c r="M185" s="857"/>
      <c r="N185" s="857"/>
      <c r="O185" s="858"/>
      <c r="P185" s="858"/>
      <c r="Q185" s="858"/>
      <c r="R185" s="858"/>
      <c r="S185" s="858"/>
      <c r="T185" s="858"/>
      <c r="U185" s="858"/>
      <c r="V185" s="858"/>
      <c r="W185" s="858"/>
      <c r="X185" s="858"/>
    </row>
    <row r="186" spans="8:24" s="2" customFormat="1" ht="25" customHeight="1">
      <c r="H186" s="866" t="s">
        <v>1179</v>
      </c>
      <c r="I186" s="859"/>
      <c r="J186" s="859"/>
      <c r="K186" s="859"/>
      <c r="L186" s="857"/>
      <c r="M186" s="857"/>
      <c r="N186" s="857"/>
      <c r="O186" s="858"/>
      <c r="P186" s="858"/>
      <c r="Q186" s="858"/>
      <c r="R186" s="858"/>
      <c r="S186" s="858"/>
      <c r="T186" s="858"/>
      <c r="U186" s="858"/>
      <c r="V186" s="858"/>
      <c r="W186" s="858"/>
      <c r="X186" s="858"/>
    </row>
    <row r="187" spans="8:24" s="2" customFormat="1" ht="25" customHeight="1">
      <c r="H187" s="859"/>
      <c r="I187" s="859"/>
      <c r="J187" s="859"/>
      <c r="K187" s="859"/>
      <c r="L187" s="857"/>
      <c r="M187" s="857"/>
      <c r="N187" s="857"/>
      <c r="O187" s="858"/>
      <c r="P187" s="858"/>
      <c r="Q187" s="858"/>
      <c r="R187" s="858"/>
      <c r="S187" s="860"/>
      <c r="T187" s="858"/>
      <c r="U187" s="858"/>
      <c r="V187" s="858"/>
      <c r="W187" s="858"/>
      <c r="X187" s="858"/>
    </row>
    <row r="188" spans="8:24" s="2" customFormat="1" ht="25" customHeight="1">
      <c r="H188" s="3706" t="s">
        <v>1608</v>
      </c>
      <c r="I188" s="3707"/>
      <c r="J188" s="3707"/>
      <c r="K188" s="3707"/>
      <c r="L188" s="3707"/>
      <c r="M188" s="3707"/>
      <c r="N188" s="3707"/>
      <c r="O188" s="3707"/>
      <c r="P188" s="3707"/>
      <c r="Q188" s="3707"/>
      <c r="R188" s="3707"/>
      <c r="S188" s="3707"/>
      <c r="T188" s="3707"/>
      <c r="U188" s="3707"/>
      <c r="V188" s="3707"/>
      <c r="W188" s="3707"/>
      <c r="X188" s="3708"/>
    </row>
    <row r="189" spans="8:24" s="2" customFormat="1" ht="25" customHeight="1">
      <c r="H189" s="3709"/>
      <c r="I189" s="3710"/>
      <c r="J189" s="3710"/>
      <c r="K189" s="3710"/>
      <c r="L189" s="3710"/>
      <c r="M189" s="3710"/>
      <c r="N189" s="3710"/>
      <c r="O189" s="3710"/>
      <c r="P189" s="3710"/>
      <c r="Q189" s="3710"/>
      <c r="R189" s="3710"/>
      <c r="S189" s="3710"/>
      <c r="T189" s="3710"/>
      <c r="U189" s="3710"/>
      <c r="V189" s="3710"/>
      <c r="W189" s="3710"/>
      <c r="X189" s="3711"/>
    </row>
    <row r="190" spans="8:24" s="2" customFormat="1" ht="25" customHeight="1">
      <c r="H190" s="3709"/>
      <c r="I190" s="3710"/>
      <c r="J190" s="3710"/>
      <c r="K190" s="3710"/>
      <c r="L190" s="3710"/>
      <c r="M190" s="3710"/>
      <c r="N190" s="3710"/>
      <c r="O190" s="3710"/>
      <c r="P190" s="3710"/>
      <c r="Q190" s="3710"/>
      <c r="R190" s="3710"/>
      <c r="S190" s="3710"/>
      <c r="T190" s="3710"/>
      <c r="U190" s="3710"/>
      <c r="V190" s="3710"/>
      <c r="W190" s="3710"/>
      <c r="X190" s="3711"/>
    </row>
    <row r="191" spans="8:24" s="2" customFormat="1" ht="25" customHeight="1">
      <c r="H191" s="3712"/>
      <c r="I191" s="3713"/>
      <c r="J191" s="3713"/>
      <c r="K191" s="3713"/>
      <c r="L191" s="3713"/>
      <c r="M191" s="3713"/>
      <c r="N191" s="3713"/>
      <c r="O191" s="3713"/>
      <c r="P191" s="3713"/>
      <c r="Q191" s="3713"/>
      <c r="R191" s="3713"/>
      <c r="S191" s="3713"/>
      <c r="T191" s="3713"/>
      <c r="U191" s="3713"/>
      <c r="V191" s="3713"/>
      <c r="W191" s="3713"/>
      <c r="X191" s="3714"/>
    </row>
    <row r="192" spans="8:24" s="2" customFormat="1" ht="25" customHeight="1">
      <c r="H192" s="859"/>
      <c r="I192" s="859"/>
      <c r="J192" s="859"/>
      <c r="K192" s="859"/>
      <c r="L192" s="857"/>
      <c r="M192" s="857"/>
      <c r="N192" s="857"/>
      <c r="O192" s="858"/>
      <c r="P192" s="858"/>
      <c r="Q192" s="858"/>
      <c r="R192" s="858"/>
      <c r="S192" s="860"/>
      <c r="T192" s="858"/>
      <c r="U192" s="858"/>
      <c r="V192" s="858"/>
      <c r="W192" s="858"/>
      <c r="X192" s="858"/>
    </row>
    <row r="193" spans="8:24" s="2" customFormat="1" ht="25" customHeight="1">
      <c r="H193" s="3686" t="s">
        <v>965</v>
      </c>
      <c r="I193" s="3687"/>
      <c r="J193" s="3687"/>
      <c r="K193" s="3687"/>
      <c r="L193" s="3687"/>
      <c r="M193" s="3687"/>
      <c r="N193" s="3687"/>
      <c r="O193" s="3687"/>
      <c r="P193" s="3687"/>
      <c r="Q193" s="3687"/>
      <c r="R193" s="3688" t="s">
        <v>413</v>
      </c>
      <c r="S193" s="3688"/>
      <c r="T193" s="3688"/>
      <c r="U193" s="3688"/>
      <c r="V193" s="3688" t="s">
        <v>1603</v>
      </c>
      <c r="W193" s="3688"/>
      <c r="X193" s="3689"/>
    </row>
    <row r="194" spans="8:24" s="2" customFormat="1" ht="25" customHeight="1">
      <c r="H194" s="3683" t="str">
        <f>PROPER('ANALYSIS DATABASE'!B75)</f>
        <v>General Conditions</v>
      </c>
      <c r="I194" s="3684"/>
      <c r="J194" s="3684"/>
      <c r="K194" s="3684"/>
      <c r="L194" s="3684"/>
      <c r="M194" s="3684"/>
      <c r="N194" s="3684"/>
      <c r="O194" s="3684"/>
      <c r="P194" s="3684"/>
      <c r="Q194" s="3684"/>
      <c r="R194" s="3685">
        <f>'ANALYSIS DATABASE'!C75</f>
        <v>0</v>
      </c>
      <c r="S194" s="3685"/>
      <c r="T194" s="3685"/>
      <c r="U194" s="3685"/>
      <c r="V194" s="3565">
        <f>IFERROR(R194/$R$221,0)</f>
        <v>0</v>
      </c>
      <c r="W194" s="3565"/>
      <c r="X194" s="3566"/>
    </row>
    <row r="195" spans="8:24" s="2" customFormat="1" ht="25" customHeight="1">
      <c r="H195" s="3683" t="str">
        <f>PROPER('ANALYSIS DATABASE'!B76)</f>
        <v>Demolition</v>
      </c>
      <c r="I195" s="3684"/>
      <c r="J195" s="3684"/>
      <c r="K195" s="3684"/>
      <c r="L195" s="3684"/>
      <c r="M195" s="3684"/>
      <c r="N195" s="3684"/>
      <c r="O195" s="3684"/>
      <c r="P195" s="3684"/>
      <c r="Q195" s="3684"/>
      <c r="R195" s="3685">
        <f>'ANALYSIS DATABASE'!C76</f>
        <v>0</v>
      </c>
      <c r="S195" s="3685"/>
      <c r="T195" s="3685"/>
      <c r="U195" s="3685"/>
      <c r="V195" s="3565">
        <f t="shared" ref="V195:V217" si="0">IFERROR(R195/$R$221,0)</f>
        <v>0</v>
      </c>
      <c r="W195" s="3565"/>
      <c r="X195" s="3566"/>
    </row>
    <row r="196" spans="8:24" s="2" customFormat="1" ht="25" customHeight="1">
      <c r="H196" s="3683" t="str">
        <f>PROPER('ANALYSIS DATABASE'!B77)</f>
        <v>Structural Concrete</v>
      </c>
      <c r="I196" s="3684"/>
      <c r="J196" s="3684"/>
      <c r="K196" s="3684"/>
      <c r="L196" s="3684"/>
      <c r="M196" s="3684"/>
      <c r="N196" s="3684"/>
      <c r="O196" s="3684"/>
      <c r="P196" s="3684"/>
      <c r="Q196" s="3684"/>
      <c r="R196" s="3685">
        <f>'ANALYSIS DATABASE'!C77</f>
        <v>0</v>
      </c>
      <c r="S196" s="3685"/>
      <c r="T196" s="3685"/>
      <c r="U196" s="3685"/>
      <c r="V196" s="3565">
        <f t="shared" si="0"/>
        <v>0</v>
      </c>
      <c r="W196" s="3565"/>
      <c r="X196" s="3566"/>
    </row>
    <row r="197" spans="8:24" s="2" customFormat="1" ht="25" customHeight="1">
      <c r="H197" s="3683" t="str">
        <f>PROPER('ANALYSIS DATABASE'!B78)</f>
        <v>Concrete &amp; Flatwork</v>
      </c>
      <c r="I197" s="3684"/>
      <c r="J197" s="3684"/>
      <c r="K197" s="3684"/>
      <c r="L197" s="3684"/>
      <c r="M197" s="3684"/>
      <c r="N197" s="3684"/>
      <c r="O197" s="3684"/>
      <c r="P197" s="3684"/>
      <c r="Q197" s="3684"/>
      <c r="R197" s="3685">
        <f>'ANALYSIS DATABASE'!C78</f>
        <v>0</v>
      </c>
      <c r="S197" s="3685"/>
      <c r="T197" s="3685"/>
      <c r="U197" s="3685"/>
      <c r="V197" s="3565">
        <f t="shared" si="0"/>
        <v>0</v>
      </c>
      <c r="W197" s="3565"/>
      <c r="X197" s="3566"/>
    </row>
    <row r="198" spans="8:24" s="2" customFormat="1" ht="25" customHeight="1">
      <c r="H198" s="3683" t="str">
        <f>PROPER('ANALYSIS DATABASE'!B79)</f>
        <v>Masonry</v>
      </c>
      <c r="I198" s="3684"/>
      <c r="J198" s="3684"/>
      <c r="K198" s="3684"/>
      <c r="L198" s="3684"/>
      <c r="M198" s="3684"/>
      <c r="N198" s="3684"/>
      <c r="O198" s="3684"/>
      <c r="P198" s="3684"/>
      <c r="Q198" s="3684"/>
      <c r="R198" s="3685">
        <f>'ANALYSIS DATABASE'!C79</f>
        <v>0</v>
      </c>
      <c r="S198" s="3685"/>
      <c r="T198" s="3685"/>
      <c r="U198" s="3685"/>
      <c r="V198" s="3565">
        <f t="shared" si="0"/>
        <v>0</v>
      </c>
      <c r="W198" s="3565"/>
      <c r="X198" s="3566"/>
    </row>
    <row r="199" spans="8:24" s="2" customFormat="1" ht="25" customHeight="1">
      <c r="H199" s="3683" t="str">
        <f>PROPER('ANALYSIS DATABASE'!B80)</f>
        <v>Siding</v>
      </c>
      <c r="I199" s="3684"/>
      <c r="J199" s="3684"/>
      <c r="K199" s="3684"/>
      <c r="L199" s="3684"/>
      <c r="M199" s="3684"/>
      <c r="N199" s="3684"/>
      <c r="O199" s="3684"/>
      <c r="P199" s="3684"/>
      <c r="Q199" s="3684"/>
      <c r="R199" s="3685">
        <f>'ANALYSIS DATABASE'!C80</f>
        <v>0</v>
      </c>
      <c r="S199" s="3685"/>
      <c r="T199" s="3685"/>
      <c r="U199" s="3685"/>
      <c r="V199" s="3565">
        <f t="shared" si="0"/>
        <v>0</v>
      </c>
      <c r="W199" s="3565"/>
      <c r="X199" s="3566"/>
    </row>
    <row r="200" spans="8:24" s="2" customFormat="1" ht="25" customHeight="1">
      <c r="H200" s="3683" t="str">
        <f>PROPER('ANALYSIS DATABASE'!B81)</f>
        <v>Decking And Patios</v>
      </c>
      <c r="I200" s="3684"/>
      <c r="J200" s="3684"/>
      <c r="K200" s="3684"/>
      <c r="L200" s="3684"/>
      <c r="M200" s="3684"/>
      <c r="N200" s="3684"/>
      <c r="O200" s="3684"/>
      <c r="P200" s="3684"/>
      <c r="Q200" s="3684"/>
      <c r="R200" s="3685">
        <f>'ANALYSIS DATABASE'!C81</f>
        <v>0</v>
      </c>
      <c r="S200" s="3685"/>
      <c r="T200" s="3685"/>
      <c r="U200" s="3685"/>
      <c r="V200" s="3565">
        <f t="shared" si="0"/>
        <v>0</v>
      </c>
      <c r="W200" s="3565"/>
      <c r="X200" s="3566"/>
    </row>
    <row r="201" spans="8:24" s="2" customFormat="1" ht="25" customHeight="1">
      <c r="H201" s="3683" t="str">
        <f>PROPER('ANALYSIS DATABASE'!B82)</f>
        <v>Roofing</v>
      </c>
      <c r="I201" s="3684"/>
      <c r="J201" s="3684"/>
      <c r="K201" s="3684"/>
      <c r="L201" s="3684"/>
      <c r="M201" s="3684"/>
      <c r="N201" s="3684"/>
      <c r="O201" s="3684"/>
      <c r="P201" s="3684"/>
      <c r="Q201" s="3684"/>
      <c r="R201" s="3685">
        <f>'ANALYSIS DATABASE'!C82</f>
        <v>0</v>
      </c>
      <c r="S201" s="3685"/>
      <c r="T201" s="3685"/>
      <c r="U201" s="3685"/>
      <c r="V201" s="3565">
        <f t="shared" si="0"/>
        <v>0</v>
      </c>
      <c r="W201" s="3565"/>
      <c r="X201" s="3566"/>
    </row>
    <row r="202" spans="8:24" s="2" customFormat="1" ht="25" customHeight="1">
      <c r="H202" s="3683" t="str">
        <f>PROPER('ANALYSIS DATABASE'!B83)</f>
        <v>Exterior Doors &amp; Windows</v>
      </c>
      <c r="I202" s="3684"/>
      <c r="J202" s="3684"/>
      <c r="K202" s="3684"/>
      <c r="L202" s="3684"/>
      <c r="M202" s="3684"/>
      <c r="N202" s="3684"/>
      <c r="O202" s="3684"/>
      <c r="P202" s="3684"/>
      <c r="Q202" s="3684"/>
      <c r="R202" s="3685">
        <f>'ANALYSIS DATABASE'!C83</f>
        <v>0</v>
      </c>
      <c r="S202" s="3685"/>
      <c r="T202" s="3685"/>
      <c r="U202" s="3685"/>
      <c r="V202" s="3565">
        <f t="shared" si="0"/>
        <v>0</v>
      </c>
      <c r="W202" s="3565"/>
      <c r="X202" s="3566"/>
    </row>
    <row r="203" spans="8:24" s="2" customFormat="1" ht="25" customHeight="1">
      <c r="H203" s="3683" t="str">
        <f>PROPER('ANALYSIS DATABASE'!B84)</f>
        <v>Garage Doors</v>
      </c>
      <c r="I203" s="3684"/>
      <c r="J203" s="3684"/>
      <c r="K203" s="3684"/>
      <c r="L203" s="3684"/>
      <c r="M203" s="3684"/>
      <c r="N203" s="3684"/>
      <c r="O203" s="3684"/>
      <c r="P203" s="3684"/>
      <c r="Q203" s="3684"/>
      <c r="R203" s="3685">
        <f>'ANALYSIS DATABASE'!C84</f>
        <v>0</v>
      </c>
      <c r="S203" s="3685"/>
      <c r="T203" s="3685"/>
      <c r="U203" s="3685"/>
      <c r="V203" s="3565">
        <f t="shared" si="0"/>
        <v>0</v>
      </c>
      <c r="W203" s="3565"/>
      <c r="X203" s="3566"/>
    </row>
    <row r="204" spans="8:24" s="2" customFormat="1" ht="25" customHeight="1">
      <c r="H204" s="3683" t="str">
        <f>PROPER('ANALYSIS DATABASE'!B85)</f>
        <v>Landscaping</v>
      </c>
      <c r="I204" s="3684"/>
      <c r="J204" s="3684"/>
      <c r="K204" s="3684"/>
      <c r="L204" s="3684"/>
      <c r="M204" s="3684"/>
      <c r="N204" s="3684"/>
      <c r="O204" s="3684"/>
      <c r="P204" s="3684"/>
      <c r="Q204" s="3684"/>
      <c r="R204" s="3685">
        <f>'ANALYSIS DATABASE'!C85</f>
        <v>0</v>
      </c>
      <c r="S204" s="3685"/>
      <c r="T204" s="3685"/>
      <c r="U204" s="3685"/>
      <c r="V204" s="3565">
        <f t="shared" si="0"/>
        <v>0</v>
      </c>
      <c r="W204" s="3565"/>
      <c r="X204" s="3566"/>
    </row>
    <row r="205" spans="8:24" s="2" customFormat="1" ht="25" customHeight="1">
      <c r="H205" s="3683" t="str">
        <f>PROPER('ANALYSIS DATABASE'!B86)</f>
        <v>Misc. Exterior Items</v>
      </c>
      <c r="I205" s="3684"/>
      <c r="J205" s="3684"/>
      <c r="K205" s="3684"/>
      <c r="L205" s="3684"/>
      <c r="M205" s="3684"/>
      <c r="N205" s="3684"/>
      <c r="O205" s="3684"/>
      <c r="P205" s="3684"/>
      <c r="Q205" s="3684"/>
      <c r="R205" s="3685">
        <f>'ANALYSIS DATABASE'!C86</f>
        <v>0</v>
      </c>
      <c r="S205" s="3685"/>
      <c r="T205" s="3685"/>
      <c r="U205" s="3685"/>
      <c r="V205" s="3565">
        <f t="shared" si="0"/>
        <v>0</v>
      </c>
      <c r="W205" s="3565"/>
      <c r="X205" s="3566"/>
    </row>
    <row r="206" spans="8:24" s="2" customFormat="1" ht="25" customHeight="1">
      <c r="H206" s="3683" t="str">
        <f>PROPER('ANALYSIS DATABASE'!B87)</f>
        <v>Framing &amp; Drywall</v>
      </c>
      <c r="I206" s="3684"/>
      <c r="J206" s="3684"/>
      <c r="K206" s="3684"/>
      <c r="L206" s="3684"/>
      <c r="M206" s="3684"/>
      <c r="N206" s="3684"/>
      <c r="O206" s="3684"/>
      <c r="P206" s="3684"/>
      <c r="Q206" s="3684"/>
      <c r="R206" s="3685">
        <f>'ANALYSIS DATABASE'!C87</f>
        <v>0</v>
      </c>
      <c r="S206" s="3685"/>
      <c r="T206" s="3685"/>
      <c r="U206" s="3685"/>
      <c r="V206" s="3565">
        <f t="shared" si="0"/>
        <v>0</v>
      </c>
      <c r="W206" s="3565"/>
      <c r="X206" s="3566"/>
    </row>
    <row r="207" spans="8:24" s="2" customFormat="1" ht="25" customHeight="1">
      <c r="H207" s="3683" t="str">
        <f>PROPER('ANALYSIS DATABASE'!B88)</f>
        <v>Cabinets &amp; Countertops</v>
      </c>
      <c r="I207" s="3684"/>
      <c r="J207" s="3684"/>
      <c r="K207" s="3684"/>
      <c r="L207" s="3684"/>
      <c r="M207" s="3684"/>
      <c r="N207" s="3684"/>
      <c r="O207" s="3684"/>
      <c r="P207" s="3684"/>
      <c r="Q207" s="3684"/>
      <c r="R207" s="3685">
        <f>'ANALYSIS DATABASE'!C88</f>
        <v>0</v>
      </c>
      <c r="S207" s="3685"/>
      <c r="T207" s="3685"/>
      <c r="U207" s="3685"/>
      <c r="V207" s="3565">
        <f t="shared" si="0"/>
        <v>0</v>
      </c>
      <c r="W207" s="3565"/>
      <c r="X207" s="3566"/>
    </row>
    <row r="208" spans="8:24" s="2" customFormat="1" ht="25" customHeight="1">
      <c r="H208" s="3683" t="str">
        <f>PROPER('ANALYSIS DATABASE'!B89)</f>
        <v>Doors &amp; Trim</v>
      </c>
      <c r="I208" s="3684"/>
      <c r="J208" s="3684"/>
      <c r="K208" s="3684"/>
      <c r="L208" s="3684"/>
      <c r="M208" s="3684"/>
      <c r="N208" s="3684"/>
      <c r="O208" s="3684"/>
      <c r="P208" s="3684"/>
      <c r="Q208" s="3684"/>
      <c r="R208" s="3685">
        <f>'ANALYSIS DATABASE'!C89</f>
        <v>0</v>
      </c>
      <c r="S208" s="3685"/>
      <c r="T208" s="3685"/>
      <c r="U208" s="3685"/>
      <c r="V208" s="3565">
        <f t="shared" si="0"/>
        <v>0</v>
      </c>
      <c r="W208" s="3565"/>
      <c r="X208" s="3566"/>
    </row>
    <row r="209" spans="8:24" s="2" customFormat="1" ht="25" customHeight="1">
      <c r="H209" s="3683" t="str">
        <f>PROPER('ANALYSIS DATABASE'!B90)</f>
        <v>Carpet &amp; Resilient</v>
      </c>
      <c r="I209" s="3684"/>
      <c r="J209" s="3684"/>
      <c r="K209" s="3684"/>
      <c r="L209" s="3684"/>
      <c r="M209" s="3684"/>
      <c r="N209" s="3684"/>
      <c r="O209" s="3684"/>
      <c r="P209" s="3684"/>
      <c r="Q209" s="3684"/>
      <c r="R209" s="3685">
        <f>'ANALYSIS DATABASE'!C90</f>
        <v>0</v>
      </c>
      <c r="S209" s="3685"/>
      <c r="T209" s="3685"/>
      <c r="U209" s="3685"/>
      <c r="V209" s="3565">
        <f t="shared" si="0"/>
        <v>0</v>
      </c>
      <c r="W209" s="3565"/>
      <c r="X209" s="3566"/>
    </row>
    <row r="210" spans="8:24" s="2" customFormat="1" ht="25" customHeight="1">
      <c r="H210" s="3683" t="str">
        <f>PROPER('ANALYSIS DATABASE'!B91)</f>
        <v>Hardwood Flooring</v>
      </c>
      <c r="I210" s="3684"/>
      <c r="J210" s="3684"/>
      <c r="K210" s="3684"/>
      <c r="L210" s="3684"/>
      <c r="M210" s="3684"/>
      <c r="N210" s="3684"/>
      <c r="O210" s="3684"/>
      <c r="P210" s="3684"/>
      <c r="Q210" s="3684"/>
      <c r="R210" s="3685">
        <f>'ANALYSIS DATABASE'!C91</f>
        <v>0</v>
      </c>
      <c r="S210" s="3685"/>
      <c r="T210" s="3685"/>
      <c r="U210" s="3685"/>
      <c r="V210" s="3565">
        <f t="shared" si="0"/>
        <v>0</v>
      </c>
      <c r="W210" s="3565"/>
      <c r="X210" s="3566"/>
    </row>
    <row r="211" spans="8:24" s="2" customFormat="1" ht="25" customHeight="1">
      <c r="H211" s="3683" t="str">
        <f>PROPER('ANALYSIS DATABASE'!B92)</f>
        <v>Tiling</v>
      </c>
      <c r="I211" s="3684"/>
      <c r="J211" s="3684"/>
      <c r="K211" s="3684"/>
      <c r="L211" s="3684"/>
      <c r="M211" s="3684"/>
      <c r="N211" s="3684"/>
      <c r="O211" s="3684"/>
      <c r="P211" s="3684"/>
      <c r="Q211" s="3684"/>
      <c r="R211" s="3685">
        <f>'ANALYSIS DATABASE'!C92</f>
        <v>0</v>
      </c>
      <c r="S211" s="3685"/>
      <c r="T211" s="3685"/>
      <c r="U211" s="3685"/>
      <c r="V211" s="3565">
        <f t="shared" si="0"/>
        <v>0</v>
      </c>
      <c r="W211" s="3565"/>
      <c r="X211" s="3566"/>
    </row>
    <row r="212" spans="8:24" s="2" customFormat="1" ht="25" customHeight="1">
      <c r="H212" s="3683" t="str">
        <f>PROPER('ANALYSIS DATABASE'!B93)</f>
        <v>Painting</v>
      </c>
      <c r="I212" s="3684"/>
      <c r="J212" s="3684"/>
      <c r="K212" s="3684"/>
      <c r="L212" s="3684"/>
      <c r="M212" s="3684"/>
      <c r="N212" s="3684"/>
      <c r="O212" s="3684"/>
      <c r="P212" s="3684"/>
      <c r="Q212" s="3684"/>
      <c r="R212" s="3685">
        <f>'ANALYSIS DATABASE'!C93</f>
        <v>0</v>
      </c>
      <c r="S212" s="3685"/>
      <c r="T212" s="3685"/>
      <c r="U212" s="3685"/>
      <c r="V212" s="3565">
        <f t="shared" si="0"/>
        <v>0</v>
      </c>
      <c r="W212" s="3565"/>
      <c r="X212" s="3566"/>
    </row>
    <row r="213" spans="8:24" s="2" customFormat="1" ht="25" customHeight="1">
      <c r="H213" s="3683" t="str">
        <f>PROPER('ANALYSIS DATABASE'!B94)</f>
        <v>Appliances</v>
      </c>
      <c r="I213" s="3684"/>
      <c r="J213" s="3684"/>
      <c r="K213" s="3684"/>
      <c r="L213" s="3684"/>
      <c r="M213" s="3684"/>
      <c r="N213" s="3684"/>
      <c r="O213" s="3684"/>
      <c r="P213" s="3684"/>
      <c r="Q213" s="3684"/>
      <c r="R213" s="3685">
        <f>'ANALYSIS DATABASE'!C94</f>
        <v>0</v>
      </c>
      <c r="S213" s="3685"/>
      <c r="T213" s="3685"/>
      <c r="U213" s="3685"/>
      <c r="V213" s="3565">
        <f t="shared" si="0"/>
        <v>0</v>
      </c>
      <c r="W213" s="3565"/>
      <c r="X213" s="3566"/>
    </row>
    <row r="214" spans="8:24" s="2" customFormat="1" ht="25" customHeight="1">
      <c r="H214" s="3683" t="str">
        <f>PROPER('ANALYSIS DATABASE'!B95)</f>
        <v>Plumbing</v>
      </c>
      <c r="I214" s="3684"/>
      <c r="J214" s="3684"/>
      <c r="K214" s="3684"/>
      <c r="L214" s="3684"/>
      <c r="M214" s="3684"/>
      <c r="N214" s="3684"/>
      <c r="O214" s="3684"/>
      <c r="P214" s="3684"/>
      <c r="Q214" s="3684"/>
      <c r="R214" s="3685">
        <f>'ANALYSIS DATABASE'!C95</f>
        <v>0</v>
      </c>
      <c r="S214" s="3685"/>
      <c r="T214" s="3685"/>
      <c r="U214" s="3685"/>
      <c r="V214" s="3565">
        <f t="shared" si="0"/>
        <v>0</v>
      </c>
      <c r="W214" s="3565"/>
      <c r="X214" s="3566"/>
    </row>
    <row r="215" spans="8:24" s="2" customFormat="1" ht="25" customHeight="1">
      <c r="H215" s="3683" t="str">
        <f>PROPER('ANALYSIS DATABASE'!B96)</f>
        <v>Hvac</v>
      </c>
      <c r="I215" s="3684"/>
      <c r="J215" s="3684"/>
      <c r="K215" s="3684"/>
      <c r="L215" s="3684"/>
      <c r="M215" s="3684"/>
      <c r="N215" s="3684"/>
      <c r="O215" s="3684"/>
      <c r="P215" s="3684"/>
      <c r="Q215" s="3684"/>
      <c r="R215" s="3685">
        <f>'ANALYSIS DATABASE'!C96</f>
        <v>0</v>
      </c>
      <c r="S215" s="3685"/>
      <c r="T215" s="3685"/>
      <c r="U215" s="3685"/>
      <c r="V215" s="3565">
        <f t="shared" si="0"/>
        <v>0</v>
      </c>
      <c r="W215" s="3565"/>
      <c r="X215" s="3566"/>
    </row>
    <row r="216" spans="8:24" s="2" customFormat="1" ht="25" customHeight="1">
      <c r="H216" s="3683" t="str">
        <f>PROPER('ANALYSIS DATABASE'!B97)</f>
        <v>Electrical</v>
      </c>
      <c r="I216" s="3684"/>
      <c r="J216" s="3684"/>
      <c r="K216" s="3684"/>
      <c r="L216" s="3684"/>
      <c r="M216" s="3684"/>
      <c r="N216" s="3684"/>
      <c r="O216" s="3684"/>
      <c r="P216" s="3684"/>
      <c r="Q216" s="3684"/>
      <c r="R216" s="3685">
        <f>'ANALYSIS DATABASE'!C97</f>
        <v>0</v>
      </c>
      <c r="S216" s="3685"/>
      <c r="T216" s="3685"/>
      <c r="U216" s="3685"/>
      <c r="V216" s="3565">
        <f t="shared" si="0"/>
        <v>0</v>
      </c>
      <c r="W216" s="3565"/>
      <c r="X216" s="3566"/>
    </row>
    <row r="217" spans="8:24" s="2" customFormat="1" ht="25" customHeight="1" thickBot="1">
      <c r="H217" s="3694" t="str">
        <f>PROPER('ANALYSIS DATABASE'!B98)</f>
        <v>Miscellaneous</v>
      </c>
      <c r="I217" s="3695"/>
      <c r="J217" s="3695"/>
      <c r="K217" s="3695"/>
      <c r="L217" s="3695"/>
      <c r="M217" s="3695"/>
      <c r="N217" s="3695"/>
      <c r="O217" s="3695"/>
      <c r="P217" s="3695"/>
      <c r="Q217" s="3695"/>
      <c r="R217" s="3696">
        <f>'ANALYSIS DATABASE'!C98</f>
        <v>0</v>
      </c>
      <c r="S217" s="3696"/>
      <c r="T217" s="3696"/>
      <c r="U217" s="3696"/>
      <c r="V217" s="3563">
        <f t="shared" si="0"/>
        <v>0</v>
      </c>
      <c r="W217" s="3563"/>
      <c r="X217" s="3567"/>
    </row>
    <row r="218" spans="8:24" s="2" customFormat="1" ht="25" customHeight="1" thickTop="1">
      <c r="H218" s="3698" t="s">
        <v>1294</v>
      </c>
      <c r="I218" s="3699"/>
      <c r="J218" s="3699"/>
      <c r="K218" s="3699"/>
      <c r="L218" s="3699"/>
      <c r="M218" s="3699"/>
      <c r="N218" s="3699"/>
      <c r="O218" s="3699"/>
      <c r="P218" s="3699"/>
      <c r="Q218" s="3699"/>
      <c r="R218" s="3697">
        <f>'1 REHAB ANALYZER'!BG57</f>
        <v>0</v>
      </c>
      <c r="S218" s="3697"/>
      <c r="T218" s="3697"/>
      <c r="U218" s="3697"/>
      <c r="V218" s="3700">
        <f>IFERROR(R218/$R$221,0)</f>
        <v>0</v>
      </c>
      <c r="W218" s="3700"/>
      <c r="X218" s="3701"/>
    </row>
    <row r="219" spans="8:24" s="2" customFormat="1" ht="25" customHeight="1">
      <c r="H219" s="870"/>
      <c r="I219" s="870"/>
      <c r="J219" s="870"/>
      <c r="K219" s="870"/>
      <c r="L219" s="870"/>
      <c r="M219" s="870"/>
      <c r="N219" s="870"/>
      <c r="O219" s="870"/>
      <c r="P219" s="870"/>
      <c r="Q219" s="870"/>
      <c r="R219" s="870"/>
      <c r="S219" s="870"/>
      <c r="T219" s="870"/>
      <c r="U219" s="870"/>
      <c r="V219" s="870"/>
      <c r="W219" s="870"/>
      <c r="X219" s="870"/>
    </row>
    <row r="220" spans="8:24" s="2" customFormat="1" ht="25" customHeight="1" thickBot="1">
      <c r="H220" s="3690" t="s">
        <v>1604</v>
      </c>
      <c r="I220" s="3690"/>
      <c r="J220" s="3690"/>
      <c r="K220" s="3690"/>
      <c r="L220" s="3690"/>
      <c r="M220" s="3690"/>
      <c r="N220" s="3690"/>
      <c r="O220" s="3690"/>
      <c r="P220" s="3690"/>
      <c r="Q220" s="3690"/>
      <c r="R220" s="3691">
        <f>Adders_Result</f>
        <v>0</v>
      </c>
      <c r="S220" s="3691"/>
      <c r="T220" s="3691"/>
      <c r="U220" s="3691"/>
      <c r="V220" s="3563">
        <f>IFERROR(R220/$R$221,0)</f>
        <v>0</v>
      </c>
      <c r="W220" s="3563"/>
      <c r="X220" s="3563"/>
    </row>
    <row r="221" spans="8:24" s="2" customFormat="1" ht="25" customHeight="1" thickTop="1">
      <c r="H221" s="3692" t="s">
        <v>1295</v>
      </c>
      <c r="I221" s="3692"/>
      <c r="J221" s="3692"/>
      <c r="K221" s="3692"/>
      <c r="L221" s="3692"/>
      <c r="M221" s="3692"/>
      <c r="N221" s="3692"/>
      <c r="O221" s="3692"/>
      <c r="P221" s="3692"/>
      <c r="Q221" s="3692"/>
      <c r="R221" s="3693">
        <f>R218+R220</f>
        <v>0</v>
      </c>
      <c r="S221" s="3693"/>
      <c r="T221" s="3693"/>
      <c r="U221" s="3693"/>
      <c r="V221" s="3564">
        <f>IFERROR(R221/$R$221,0)</f>
        <v>0</v>
      </c>
      <c r="W221" s="3564"/>
      <c r="X221" s="3564"/>
    </row>
    <row r="222" spans="8:24" s="2" customFormat="1" ht="25" customHeight="1">
      <c r="H222" s="870"/>
      <c r="I222" s="870"/>
      <c r="J222" s="870"/>
      <c r="K222" s="870"/>
      <c r="L222" s="870"/>
      <c r="M222" s="870"/>
      <c r="N222" s="870"/>
      <c r="O222" s="870"/>
      <c r="P222" s="870"/>
      <c r="Q222" s="870"/>
      <c r="R222" s="870"/>
      <c r="S222" s="870"/>
      <c r="T222" s="870"/>
      <c r="U222" s="870"/>
      <c r="V222" s="870"/>
      <c r="W222" s="870"/>
      <c r="X222" s="870"/>
    </row>
    <row r="223" spans="8:24" s="2" customFormat="1" ht="25" customHeight="1">
      <c r="H223" s="871"/>
      <c r="I223" s="871"/>
      <c r="J223" s="871"/>
      <c r="K223" s="871"/>
      <c r="L223" s="872"/>
      <c r="M223" s="872"/>
      <c r="N223" s="872"/>
      <c r="O223" s="873"/>
      <c r="P223" s="873"/>
      <c r="Q223" s="873"/>
      <c r="R223" s="873"/>
      <c r="S223" s="873"/>
      <c r="T223" s="873"/>
      <c r="U223" s="873"/>
      <c r="V223" s="873"/>
      <c r="W223" s="873"/>
      <c r="X223" s="873"/>
    </row>
    <row r="224" spans="8:24" s="2" customFormat="1" ht="22.7" customHeight="1">
      <c r="H224" s="3544" t="str">
        <f>CONCATENATE("Report Prepared By: ",Investor_Name,"  |  ",Company_Name,"  |  ",Company_Email,"  |  ",Company_Website)</f>
        <v xml:space="preserve">Report Prepared By:   |    |    |  </v>
      </c>
      <c r="I224" s="3544"/>
      <c r="J224" s="3544"/>
      <c r="K224" s="3544"/>
      <c r="L224" s="3544"/>
      <c r="M224" s="3544"/>
      <c r="N224" s="3544"/>
      <c r="O224" s="3544"/>
      <c r="P224" s="3544"/>
      <c r="Q224" s="3544"/>
      <c r="R224" s="3544"/>
      <c r="S224" s="3544"/>
      <c r="T224" s="3544"/>
      <c r="U224" s="3544"/>
      <c r="V224" s="1460"/>
      <c r="W224" s="3561" t="str">
        <f>CONCATENATE("Page ",AL6," of ",$AG$3)</f>
        <v>Page 5 of 7</v>
      </c>
      <c r="X224" s="3561"/>
    </row>
    <row r="225" spans="8:24" s="2" customFormat="1" ht="18.600000000000001" customHeight="1">
      <c r="H225" s="3562" t="str">
        <f>CONCATENATE(Street_Address,", ",City_State_Zip)</f>
        <v>, 0</v>
      </c>
      <c r="I225" s="3562"/>
      <c r="J225" s="3562"/>
      <c r="K225" s="3562"/>
      <c r="L225" s="3562"/>
      <c r="M225" s="3562"/>
      <c r="N225" s="3562"/>
      <c r="O225" s="3562"/>
      <c r="P225" s="3562"/>
      <c r="Q225" s="3562"/>
      <c r="R225" s="3562"/>
      <c r="S225" s="3562"/>
      <c r="T225" s="3562"/>
      <c r="U225" s="3562"/>
      <c r="V225" s="3562"/>
      <c r="W225" s="3562"/>
      <c r="X225" s="3562"/>
    </row>
    <row r="226" spans="8:24" s="2" customFormat="1" ht="18.600000000000001" customHeight="1">
      <c r="H226" s="863"/>
      <c r="I226" s="863"/>
      <c r="J226" s="863"/>
      <c r="K226" s="863"/>
      <c r="L226" s="861"/>
      <c r="M226" s="861"/>
      <c r="N226" s="861"/>
      <c r="O226" s="862"/>
      <c r="P226" s="862"/>
      <c r="Q226" s="862"/>
      <c r="R226" s="862"/>
      <c r="S226" s="862"/>
      <c r="T226" s="862"/>
      <c r="U226" s="862"/>
      <c r="V226" s="862"/>
      <c r="W226" s="862"/>
      <c r="X226" s="862"/>
    </row>
    <row r="227" spans="8:24" s="2" customFormat="1" ht="18.600000000000001" customHeight="1">
      <c r="H227" s="866" t="s">
        <v>1609</v>
      </c>
      <c r="I227" s="863"/>
      <c r="J227" s="863"/>
      <c r="K227" s="863"/>
      <c r="L227" s="861"/>
      <c r="M227" s="861"/>
      <c r="N227" s="861"/>
      <c r="O227" s="862"/>
      <c r="P227" s="862"/>
      <c r="Q227" s="862"/>
      <c r="R227" s="862"/>
      <c r="S227" s="862"/>
      <c r="T227" s="862"/>
      <c r="U227" s="862"/>
      <c r="V227" s="862"/>
      <c r="W227" s="862"/>
      <c r="X227" s="862"/>
    </row>
    <row r="228" spans="8:24" s="2" customFormat="1" ht="18.600000000000001" customHeight="1">
      <c r="H228" s="1459"/>
      <c r="I228" s="1458"/>
      <c r="J228" s="1458"/>
      <c r="K228" s="1458"/>
      <c r="L228" s="1456"/>
      <c r="M228" s="1456"/>
      <c r="N228" s="1456"/>
      <c r="O228" s="1457"/>
      <c r="P228" s="1457"/>
      <c r="Q228" s="1457"/>
      <c r="R228" s="1457"/>
      <c r="S228" s="1457"/>
      <c r="T228" s="1457"/>
      <c r="U228" s="1457"/>
      <c r="V228" s="1457"/>
      <c r="W228" s="1457"/>
      <c r="X228" s="1457"/>
    </row>
    <row r="229" spans="8:24" s="2" customFormat="1" ht="18.600000000000001" customHeight="1">
      <c r="H229" s="1459"/>
      <c r="I229" s="1458"/>
      <c r="J229" s="1458"/>
      <c r="K229" s="1458"/>
      <c r="L229" s="1456"/>
      <c r="M229" s="1456"/>
      <c r="N229" s="1456"/>
      <c r="O229" s="1457"/>
      <c r="P229" s="1457"/>
      <c r="Q229" s="1457"/>
      <c r="R229" s="1457"/>
      <c r="S229" s="1457"/>
      <c r="T229" s="1457"/>
      <c r="U229" s="1457"/>
      <c r="V229" s="1457"/>
      <c r="W229" s="1457"/>
      <c r="X229" s="1457"/>
    </row>
    <row r="230" spans="8:24" s="2" customFormat="1" ht="18.600000000000001" customHeight="1">
      <c r="H230" s="1459"/>
      <c r="I230" s="1458"/>
      <c r="J230" s="1458"/>
      <c r="K230" s="1458"/>
      <c r="L230" s="1456"/>
      <c r="M230" s="1456"/>
      <c r="N230" s="1456"/>
      <c r="O230" s="1457"/>
      <c r="P230" s="1457"/>
      <c r="Q230" s="1457"/>
      <c r="R230" s="1457"/>
      <c r="S230" s="1457"/>
      <c r="T230" s="1457"/>
      <c r="U230" s="1457"/>
      <c r="V230" s="1457"/>
      <c r="W230" s="1457"/>
      <c r="X230" s="1457"/>
    </row>
    <row r="231" spans="8:24" s="2" customFormat="1" ht="18.600000000000001" customHeight="1">
      <c r="H231" s="3640"/>
      <c r="I231" s="3640"/>
      <c r="J231" s="3640"/>
      <c r="K231" s="3640"/>
      <c r="L231" s="3640"/>
      <c r="M231" s="141"/>
      <c r="N231" s="3640"/>
      <c r="O231" s="3640"/>
      <c r="P231" s="3640"/>
      <c r="Q231" s="3640"/>
      <c r="R231" s="3640"/>
      <c r="S231" s="141"/>
      <c r="T231" s="3640"/>
      <c r="U231" s="3640"/>
      <c r="V231" s="3640"/>
      <c r="W231" s="3640"/>
      <c r="X231" s="3640"/>
    </row>
    <row r="232" spans="8:24" s="2" customFormat="1" ht="18.600000000000001" customHeight="1">
      <c r="H232" s="3640"/>
      <c r="I232" s="3640"/>
      <c r="J232" s="3640"/>
      <c r="K232" s="3640"/>
      <c r="L232" s="3640"/>
      <c r="M232" s="141"/>
      <c r="N232" s="3640"/>
      <c r="O232" s="3640"/>
      <c r="P232" s="3640"/>
      <c r="Q232" s="3640"/>
      <c r="R232" s="3640"/>
      <c r="S232" s="141"/>
      <c r="T232" s="3640"/>
      <c r="U232" s="3640"/>
      <c r="V232" s="3640"/>
      <c r="W232" s="3640"/>
      <c r="X232" s="3640"/>
    </row>
    <row r="233" spans="8:24" s="2" customFormat="1" ht="18.600000000000001" customHeight="1">
      <c r="H233" s="3640"/>
      <c r="I233" s="3640"/>
      <c r="J233" s="3640"/>
      <c r="K233" s="3640"/>
      <c r="L233" s="3640"/>
      <c r="M233" s="141"/>
      <c r="N233" s="3640"/>
      <c r="O233" s="3640"/>
      <c r="P233" s="3640"/>
      <c r="Q233" s="3640"/>
      <c r="R233" s="3640"/>
      <c r="S233" s="141"/>
      <c r="T233" s="3640"/>
      <c r="U233" s="3640"/>
      <c r="V233" s="3640"/>
      <c r="W233" s="3640"/>
      <c r="X233" s="3640"/>
    </row>
    <row r="234" spans="8:24" s="2" customFormat="1" ht="18.600000000000001" customHeight="1">
      <c r="H234" s="3640"/>
      <c r="I234" s="3640"/>
      <c r="J234" s="3640"/>
      <c r="K234" s="3640"/>
      <c r="L234" s="3640"/>
      <c r="M234" s="141"/>
      <c r="N234" s="3640"/>
      <c r="O234" s="3640"/>
      <c r="P234" s="3640"/>
      <c r="Q234" s="3640"/>
      <c r="R234" s="3640"/>
      <c r="S234" s="141"/>
      <c r="T234" s="3640"/>
      <c r="U234" s="3640"/>
      <c r="V234" s="3640"/>
      <c r="W234" s="3640"/>
      <c r="X234" s="3640"/>
    </row>
    <row r="235" spans="8:24" s="2" customFormat="1" ht="18.600000000000001" customHeight="1">
      <c r="H235" s="3640"/>
      <c r="I235" s="3640"/>
      <c r="J235" s="3640"/>
      <c r="K235" s="3640"/>
      <c r="L235" s="3640"/>
      <c r="M235" s="141"/>
      <c r="N235" s="3640"/>
      <c r="O235" s="3640"/>
      <c r="P235" s="3640"/>
      <c r="Q235" s="3640"/>
      <c r="R235" s="3640"/>
      <c r="S235" s="141"/>
      <c r="T235" s="3640"/>
      <c r="U235" s="3640"/>
      <c r="V235" s="3640"/>
      <c r="W235" s="3640"/>
      <c r="X235" s="3640"/>
    </row>
    <row r="236" spans="8:24" s="2" customFormat="1" ht="18.600000000000001" customHeight="1">
      <c r="H236" s="3640"/>
      <c r="I236" s="3640"/>
      <c r="J236" s="3640"/>
      <c r="K236" s="3640"/>
      <c r="L236" s="3640"/>
      <c r="M236" s="141"/>
      <c r="N236" s="3640"/>
      <c r="O236" s="3640"/>
      <c r="P236" s="3640"/>
      <c r="Q236" s="3640"/>
      <c r="R236" s="3640"/>
      <c r="S236" s="141"/>
      <c r="T236" s="3640"/>
      <c r="U236" s="3640"/>
      <c r="V236" s="3640"/>
      <c r="W236" s="3640"/>
      <c r="X236" s="3640"/>
    </row>
    <row r="237" spans="8:24" s="2" customFormat="1" ht="18.600000000000001" customHeight="1">
      <c r="H237" s="3640"/>
      <c r="I237" s="3640"/>
      <c r="J237" s="3640"/>
      <c r="K237" s="3640"/>
      <c r="L237" s="3640"/>
      <c r="M237" s="141"/>
      <c r="N237" s="3640"/>
      <c r="O237" s="3640"/>
      <c r="P237" s="3640"/>
      <c r="Q237" s="3640"/>
      <c r="R237" s="3640"/>
      <c r="S237" s="141"/>
      <c r="T237" s="3640"/>
      <c r="U237" s="3640"/>
      <c r="V237" s="3640"/>
      <c r="W237" s="3640"/>
      <c r="X237" s="3640"/>
    </row>
    <row r="238" spans="8:24" s="2" customFormat="1" ht="18.600000000000001" customHeight="1">
      <c r="H238" s="3640"/>
      <c r="I238" s="3640"/>
      <c r="J238" s="3640"/>
      <c r="K238" s="3640"/>
      <c r="L238" s="3640"/>
      <c r="M238" s="141"/>
      <c r="N238" s="3640"/>
      <c r="O238" s="3640"/>
      <c r="P238" s="3640"/>
      <c r="Q238" s="3640"/>
      <c r="R238" s="3640"/>
      <c r="S238" s="141"/>
      <c r="T238" s="3640"/>
      <c r="U238" s="3640"/>
      <c r="V238" s="3640"/>
      <c r="W238" s="3640"/>
      <c r="X238" s="3640"/>
    </row>
    <row r="239" spans="8:24" s="2" customFormat="1" ht="18.600000000000001" customHeight="1">
      <c r="H239" s="3640"/>
      <c r="I239" s="3640"/>
      <c r="J239" s="3640"/>
      <c r="K239" s="3640"/>
      <c r="L239" s="3640"/>
      <c r="M239" s="141"/>
      <c r="N239" s="3640"/>
      <c r="O239" s="3640"/>
      <c r="P239" s="3640"/>
      <c r="Q239" s="3640"/>
      <c r="R239" s="3640"/>
      <c r="S239" s="141"/>
      <c r="T239" s="3640"/>
      <c r="U239" s="3640"/>
      <c r="V239" s="3640"/>
      <c r="W239" s="3640"/>
      <c r="X239" s="3640"/>
    </row>
    <row r="240" spans="8:24" s="2" customFormat="1" ht="18.600000000000001" customHeight="1">
      <c r="H240" s="3650" t="s">
        <v>469</v>
      </c>
      <c r="I240" s="3650"/>
      <c r="J240" s="3650"/>
      <c r="K240" s="3650"/>
      <c r="L240" s="3650"/>
      <c r="M240" s="141"/>
      <c r="N240" s="3650" t="s">
        <v>469</v>
      </c>
      <c r="O240" s="3650"/>
      <c r="P240" s="3650"/>
      <c r="Q240" s="3650"/>
      <c r="R240" s="3650"/>
      <c r="S240" s="141"/>
      <c r="T240" s="3650" t="s">
        <v>469</v>
      </c>
      <c r="U240" s="3650"/>
      <c r="V240" s="3650"/>
      <c r="W240" s="3650"/>
      <c r="X240" s="3650"/>
    </row>
    <row r="241" spans="8:24" s="2" customFormat="1" ht="18.600000000000001" customHeight="1">
      <c r="H241" s="3650"/>
      <c r="I241" s="3650"/>
      <c r="J241" s="3650"/>
      <c r="K241" s="3650"/>
      <c r="L241" s="3650"/>
      <c r="M241" s="140"/>
      <c r="N241" s="3650"/>
      <c r="O241" s="3650"/>
      <c r="P241" s="3650"/>
      <c r="Q241" s="3650"/>
      <c r="R241" s="3650"/>
      <c r="S241" s="140"/>
      <c r="T241" s="3650"/>
      <c r="U241" s="3650"/>
      <c r="V241" s="3650"/>
      <c r="W241" s="3650"/>
      <c r="X241" s="3650"/>
    </row>
    <row r="242" spans="8:24" s="2" customFormat="1" ht="9.75" customHeight="1">
      <c r="H242" s="141"/>
      <c r="I242" s="141"/>
      <c r="J242" s="141"/>
      <c r="K242" s="141"/>
      <c r="L242" s="141"/>
      <c r="M242" s="141"/>
      <c r="N242" s="141"/>
      <c r="O242" s="141"/>
      <c r="P242" s="141"/>
      <c r="Q242" s="141"/>
      <c r="R242" s="141"/>
      <c r="S242" s="141"/>
      <c r="T242" s="141"/>
      <c r="U242" s="141"/>
      <c r="V242" s="141"/>
      <c r="W242" s="141"/>
      <c r="X242" s="141"/>
    </row>
    <row r="243" spans="8:24" s="2" customFormat="1" ht="18" customHeight="1">
      <c r="H243" s="3640"/>
      <c r="I243" s="3640"/>
      <c r="J243" s="3640"/>
      <c r="K243" s="3640"/>
      <c r="L243" s="3640"/>
      <c r="M243" s="141"/>
      <c r="N243" s="3640"/>
      <c r="O243" s="3640"/>
      <c r="P243" s="3640"/>
      <c r="Q243" s="3640"/>
      <c r="R243" s="3640"/>
      <c r="S243" s="141"/>
      <c r="T243" s="3640"/>
      <c r="U243" s="3640"/>
      <c r="V243" s="3640"/>
      <c r="W243" s="3640"/>
      <c r="X243" s="3640"/>
    </row>
    <row r="244" spans="8:24" s="2" customFormat="1" ht="18" customHeight="1">
      <c r="H244" s="3640"/>
      <c r="I244" s="3640"/>
      <c r="J244" s="3640"/>
      <c r="K244" s="3640"/>
      <c r="L244" s="3640"/>
      <c r="M244" s="141"/>
      <c r="N244" s="3640"/>
      <c r="O244" s="3640"/>
      <c r="P244" s="3640"/>
      <c r="Q244" s="3640"/>
      <c r="R244" s="3640"/>
      <c r="S244" s="141"/>
      <c r="T244" s="3640"/>
      <c r="U244" s="3640"/>
      <c r="V244" s="3640"/>
      <c r="W244" s="3640"/>
      <c r="X244" s="3640"/>
    </row>
    <row r="245" spans="8:24" s="2" customFormat="1" ht="18" customHeight="1">
      <c r="H245" s="3640"/>
      <c r="I245" s="3640"/>
      <c r="J245" s="3640"/>
      <c r="K245" s="3640"/>
      <c r="L245" s="3640"/>
      <c r="M245" s="141"/>
      <c r="N245" s="3640"/>
      <c r="O245" s="3640"/>
      <c r="P245" s="3640"/>
      <c r="Q245" s="3640"/>
      <c r="R245" s="3640"/>
      <c r="S245" s="141"/>
      <c r="T245" s="3640"/>
      <c r="U245" s="3640"/>
      <c r="V245" s="3640"/>
      <c r="W245" s="3640"/>
      <c r="X245" s="3640"/>
    </row>
    <row r="246" spans="8:24" s="2" customFormat="1" ht="18" customHeight="1">
      <c r="H246" s="3640"/>
      <c r="I246" s="3640"/>
      <c r="J246" s="3640"/>
      <c r="K246" s="3640"/>
      <c r="L246" s="3640"/>
      <c r="M246" s="141"/>
      <c r="N246" s="3640"/>
      <c r="O246" s="3640"/>
      <c r="P246" s="3640"/>
      <c r="Q246" s="3640"/>
      <c r="R246" s="3640"/>
      <c r="S246" s="141"/>
      <c r="T246" s="3640"/>
      <c r="U246" s="3640"/>
      <c r="V246" s="3640"/>
      <c r="W246" s="3640"/>
      <c r="X246" s="3640"/>
    </row>
    <row r="247" spans="8:24" s="2" customFormat="1" ht="18" customHeight="1">
      <c r="H247" s="3640"/>
      <c r="I247" s="3640"/>
      <c r="J247" s="3640"/>
      <c r="K247" s="3640"/>
      <c r="L247" s="3640"/>
      <c r="M247" s="141"/>
      <c r="N247" s="3640"/>
      <c r="O247" s="3640"/>
      <c r="P247" s="3640"/>
      <c r="Q247" s="3640"/>
      <c r="R247" s="3640"/>
      <c r="S247" s="141"/>
      <c r="T247" s="3640"/>
      <c r="U247" s="3640"/>
      <c r="V247" s="3640"/>
      <c r="W247" s="3640"/>
      <c r="X247" s="3640"/>
    </row>
    <row r="248" spans="8:24" s="2" customFormat="1" ht="18" customHeight="1">
      <c r="H248" s="3640"/>
      <c r="I248" s="3640"/>
      <c r="J248" s="3640"/>
      <c r="K248" s="3640"/>
      <c r="L248" s="3640"/>
      <c r="M248" s="141"/>
      <c r="N248" s="3640"/>
      <c r="O248" s="3640"/>
      <c r="P248" s="3640"/>
      <c r="Q248" s="3640"/>
      <c r="R248" s="3640"/>
      <c r="S248" s="141"/>
      <c r="T248" s="3640"/>
      <c r="U248" s="3640"/>
      <c r="V248" s="3640"/>
      <c r="W248" s="3640"/>
      <c r="X248" s="3640"/>
    </row>
    <row r="249" spans="8:24" s="2" customFormat="1" ht="18" customHeight="1">
      <c r="H249" s="3640"/>
      <c r="I249" s="3640"/>
      <c r="J249" s="3640"/>
      <c r="K249" s="3640"/>
      <c r="L249" s="3640"/>
      <c r="M249" s="141"/>
      <c r="N249" s="3640"/>
      <c r="O249" s="3640"/>
      <c r="P249" s="3640"/>
      <c r="Q249" s="3640"/>
      <c r="R249" s="3640"/>
      <c r="S249" s="141"/>
      <c r="T249" s="3640"/>
      <c r="U249" s="3640"/>
      <c r="V249" s="3640"/>
      <c r="W249" s="3640"/>
      <c r="X249" s="3640"/>
    </row>
    <row r="250" spans="8:24" s="2" customFormat="1" ht="18" customHeight="1">
      <c r="H250" s="3640"/>
      <c r="I250" s="3640"/>
      <c r="J250" s="3640"/>
      <c r="K250" s="3640"/>
      <c r="L250" s="3640"/>
      <c r="M250" s="141"/>
      <c r="N250" s="3640"/>
      <c r="O250" s="3640"/>
      <c r="P250" s="3640"/>
      <c r="Q250" s="3640"/>
      <c r="R250" s="3640"/>
      <c r="S250" s="141"/>
      <c r="T250" s="3640"/>
      <c r="U250" s="3640"/>
      <c r="V250" s="3640"/>
      <c r="W250" s="3640"/>
      <c r="X250" s="3640"/>
    </row>
    <row r="251" spans="8:24" s="2" customFormat="1" ht="18" customHeight="1">
      <c r="H251" s="3640"/>
      <c r="I251" s="3640"/>
      <c r="J251" s="3640"/>
      <c r="K251" s="3640"/>
      <c r="L251" s="3640"/>
      <c r="M251" s="141"/>
      <c r="N251" s="3640"/>
      <c r="O251" s="3640"/>
      <c r="P251" s="3640"/>
      <c r="Q251" s="3640"/>
      <c r="R251" s="3640"/>
      <c r="S251" s="141"/>
      <c r="T251" s="3640"/>
      <c r="U251" s="3640"/>
      <c r="V251" s="3640"/>
      <c r="W251" s="3640"/>
      <c r="X251" s="3640"/>
    </row>
    <row r="252" spans="8:24" s="2" customFormat="1" ht="18" customHeight="1">
      <c r="H252" s="3650" t="s">
        <v>469</v>
      </c>
      <c r="I252" s="3650"/>
      <c r="J252" s="3650"/>
      <c r="K252" s="3650"/>
      <c r="L252" s="3650"/>
      <c r="M252" s="141"/>
      <c r="N252" s="3650" t="s">
        <v>469</v>
      </c>
      <c r="O252" s="3650"/>
      <c r="P252" s="3650"/>
      <c r="Q252" s="3650"/>
      <c r="R252" s="3650"/>
      <c r="S252" s="141"/>
      <c r="T252" s="3650" t="s">
        <v>469</v>
      </c>
      <c r="U252" s="3650"/>
      <c r="V252" s="3650"/>
      <c r="W252" s="3650"/>
      <c r="X252" s="3650"/>
    </row>
    <row r="253" spans="8:24" s="2" customFormat="1" ht="18" customHeight="1">
      <c r="H253" s="3650"/>
      <c r="I253" s="3650"/>
      <c r="J253" s="3650"/>
      <c r="K253" s="3650"/>
      <c r="L253" s="3650"/>
      <c r="M253" s="140"/>
      <c r="N253" s="3650"/>
      <c r="O253" s="3650"/>
      <c r="P253" s="3650"/>
      <c r="Q253" s="3650"/>
      <c r="R253" s="3650"/>
      <c r="S253" s="140"/>
      <c r="T253" s="3650"/>
      <c r="U253" s="3650"/>
      <c r="V253" s="3650"/>
      <c r="W253" s="3650"/>
      <c r="X253" s="3650"/>
    </row>
    <row r="254" spans="8:24" s="2" customFormat="1" ht="18" customHeight="1">
      <c r="H254" s="510"/>
      <c r="I254" s="510"/>
      <c r="J254" s="510"/>
      <c r="K254" s="510"/>
      <c r="L254" s="510"/>
      <c r="M254" s="140"/>
      <c r="N254" s="510"/>
      <c r="O254" s="510"/>
      <c r="P254" s="510"/>
      <c r="Q254" s="510"/>
      <c r="R254" s="510"/>
      <c r="S254" s="140"/>
      <c r="T254" s="510"/>
      <c r="U254" s="510"/>
      <c r="V254" s="510"/>
      <c r="W254" s="510"/>
      <c r="X254" s="510"/>
    </row>
    <row r="255" spans="8:24" s="2" customFormat="1" ht="18" customHeight="1">
      <c r="H255" s="3640"/>
      <c r="I255" s="3640"/>
      <c r="J255" s="3640"/>
      <c r="K255" s="3640"/>
      <c r="L255" s="3640"/>
      <c r="M255" s="141"/>
      <c r="N255" s="3640"/>
      <c r="O255" s="3640"/>
      <c r="P255" s="3640"/>
      <c r="Q255" s="3640"/>
      <c r="R255" s="3640"/>
      <c r="S255" s="141"/>
      <c r="T255" s="3640"/>
      <c r="U255" s="3640"/>
      <c r="V255" s="3640"/>
      <c r="W255" s="3640"/>
      <c r="X255" s="3640"/>
    </row>
    <row r="256" spans="8:24" s="2" customFormat="1" ht="18" customHeight="1">
      <c r="H256" s="3640"/>
      <c r="I256" s="3640"/>
      <c r="J256" s="3640"/>
      <c r="K256" s="3640"/>
      <c r="L256" s="3640"/>
      <c r="M256" s="141"/>
      <c r="N256" s="3640"/>
      <c r="O256" s="3640"/>
      <c r="P256" s="3640"/>
      <c r="Q256" s="3640"/>
      <c r="R256" s="3640"/>
      <c r="S256" s="141"/>
      <c r="T256" s="3640"/>
      <c r="U256" s="3640"/>
      <c r="V256" s="3640"/>
      <c r="W256" s="3640"/>
      <c r="X256" s="3640"/>
    </row>
    <row r="257" spans="8:24" s="2" customFormat="1" ht="18" customHeight="1">
      <c r="H257" s="3640"/>
      <c r="I257" s="3640"/>
      <c r="J257" s="3640"/>
      <c r="K257" s="3640"/>
      <c r="L257" s="3640"/>
      <c r="M257" s="141"/>
      <c r="N257" s="3640"/>
      <c r="O257" s="3640"/>
      <c r="P257" s="3640"/>
      <c r="Q257" s="3640"/>
      <c r="R257" s="3640"/>
      <c r="S257" s="141"/>
      <c r="T257" s="3640"/>
      <c r="U257" s="3640"/>
      <c r="V257" s="3640"/>
      <c r="W257" s="3640"/>
      <c r="X257" s="3640"/>
    </row>
    <row r="258" spans="8:24" s="2" customFormat="1" ht="18" customHeight="1">
      <c r="H258" s="3640"/>
      <c r="I258" s="3640"/>
      <c r="J258" s="3640"/>
      <c r="K258" s="3640"/>
      <c r="L258" s="3640"/>
      <c r="M258" s="141"/>
      <c r="N258" s="3640"/>
      <c r="O258" s="3640"/>
      <c r="P258" s="3640"/>
      <c r="Q258" s="3640"/>
      <c r="R258" s="3640"/>
      <c r="S258" s="141"/>
      <c r="T258" s="3640"/>
      <c r="U258" s="3640"/>
      <c r="V258" s="3640"/>
      <c r="W258" s="3640"/>
      <c r="X258" s="3640"/>
    </row>
    <row r="259" spans="8:24" s="2" customFormat="1" ht="18" customHeight="1">
      <c r="H259" s="3640"/>
      <c r="I259" s="3640"/>
      <c r="J259" s="3640"/>
      <c r="K259" s="3640"/>
      <c r="L259" s="3640"/>
      <c r="M259" s="141"/>
      <c r="N259" s="3640"/>
      <c r="O259" s="3640"/>
      <c r="P259" s="3640"/>
      <c r="Q259" s="3640"/>
      <c r="R259" s="3640"/>
      <c r="S259" s="141"/>
      <c r="T259" s="3640"/>
      <c r="U259" s="3640"/>
      <c r="V259" s="3640"/>
      <c r="W259" s="3640"/>
      <c r="X259" s="3640"/>
    </row>
    <row r="260" spans="8:24" s="2" customFormat="1" ht="18" customHeight="1">
      <c r="H260" s="3640"/>
      <c r="I260" s="3640"/>
      <c r="J260" s="3640"/>
      <c r="K260" s="3640"/>
      <c r="L260" s="3640"/>
      <c r="M260" s="141"/>
      <c r="N260" s="3640"/>
      <c r="O260" s="3640"/>
      <c r="P260" s="3640"/>
      <c r="Q260" s="3640"/>
      <c r="R260" s="3640"/>
      <c r="S260" s="141"/>
      <c r="T260" s="3640"/>
      <c r="U260" s="3640"/>
      <c r="V260" s="3640"/>
      <c r="W260" s="3640"/>
      <c r="X260" s="3640"/>
    </row>
    <row r="261" spans="8:24" s="2" customFormat="1" ht="18" customHeight="1">
      <c r="H261" s="3640"/>
      <c r="I261" s="3640"/>
      <c r="J261" s="3640"/>
      <c r="K261" s="3640"/>
      <c r="L261" s="3640"/>
      <c r="M261" s="141"/>
      <c r="N261" s="3640"/>
      <c r="O261" s="3640"/>
      <c r="P261" s="3640"/>
      <c r="Q261" s="3640"/>
      <c r="R261" s="3640"/>
      <c r="S261" s="141"/>
      <c r="T261" s="3640"/>
      <c r="U261" s="3640"/>
      <c r="V261" s="3640"/>
      <c r="W261" s="3640"/>
      <c r="X261" s="3640"/>
    </row>
    <row r="262" spans="8:24" s="2" customFormat="1" ht="18" customHeight="1">
      <c r="H262" s="3640"/>
      <c r="I262" s="3640"/>
      <c r="J262" s="3640"/>
      <c r="K262" s="3640"/>
      <c r="L262" s="3640"/>
      <c r="M262" s="141"/>
      <c r="N262" s="3640"/>
      <c r="O262" s="3640"/>
      <c r="P262" s="3640"/>
      <c r="Q262" s="3640"/>
      <c r="R262" s="3640"/>
      <c r="S262" s="141"/>
      <c r="T262" s="3640"/>
      <c r="U262" s="3640"/>
      <c r="V262" s="3640"/>
      <c r="W262" s="3640"/>
      <c r="X262" s="3640"/>
    </row>
    <row r="263" spans="8:24" s="2" customFormat="1" ht="18" customHeight="1">
      <c r="H263" s="3640"/>
      <c r="I263" s="3640"/>
      <c r="J263" s="3640"/>
      <c r="K263" s="3640"/>
      <c r="L263" s="3640"/>
      <c r="M263" s="141"/>
      <c r="N263" s="3640"/>
      <c r="O263" s="3640"/>
      <c r="P263" s="3640"/>
      <c r="Q263" s="3640"/>
      <c r="R263" s="3640"/>
      <c r="S263" s="141"/>
      <c r="T263" s="3640"/>
      <c r="U263" s="3640"/>
      <c r="V263" s="3640"/>
      <c r="W263" s="3640"/>
      <c r="X263" s="3640"/>
    </row>
    <row r="264" spans="8:24" s="2" customFormat="1" ht="18" customHeight="1">
      <c r="H264" s="3650" t="s">
        <v>469</v>
      </c>
      <c r="I264" s="3650"/>
      <c r="J264" s="3650"/>
      <c r="K264" s="3650"/>
      <c r="L264" s="3650"/>
      <c r="M264" s="141"/>
      <c r="N264" s="3650" t="s">
        <v>469</v>
      </c>
      <c r="O264" s="3650"/>
      <c r="P264" s="3650"/>
      <c r="Q264" s="3650"/>
      <c r="R264" s="3650"/>
      <c r="S264" s="141"/>
      <c r="T264" s="3650" t="s">
        <v>469</v>
      </c>
      <c r="U264" s="3650"/>
      <c r="V264" s="3650"/>
      <c r="W264" s="3650"/>
      <c r="X264" s="3650"/>
    </row>
    <row r="265" spans="8:24" s="2" customFormat="1" ht="18" customHeight="1">
      <c r="H265" s="3650"/>
      <c r="I265" s="3650"/>
      <c r="J265" s="3650"/>
      <c r="K265" s="3650"/>
      <c r="L265" s="3650"/>
      <c r="M265" s="140"/>
      <c r="N265" s="3650"/>
      <c r="O265" s="3650"/>
      <c r="P265" s="3650"/>
      <c r="Q265" s="3650"/>
      <c r="R265" s="3650"/>
      <c r="S265" s="140"/>
      <c r="T265" s="3650"/>
      <c r="U265" s="3650"/>
      <c r="V265" s="3650"/>
      <c r="W265" s="3650"/>
      <c r="X265" s="3650"/>
    </row>
    <row r="266" spans="8:24" s="2" customFormat="1" ht="18" customHeight="1">
      <c r="H266" s="510"/>
      <c r="I266" s="510"/>
      <c r="J266" s="510"/>
      <c r="K266" s="510"/>
      <c r="L266" s="510"/>
      <c r="M266" s="140"/>
      <c r="N266" s="510"/>
      <c r="O266" s="510"/>
      <c r="P266" s="510"/>
      <c r="Q266" s="510"/>
      <c r="R266" s="510"/>
      <c r="S266" s="140"/>
      <c r="T266" s="510"/>
      <c r="U266" s="510"/>
      <c r="V266" s="510"/>
      <c r="W266" s="510"/>
      <c r="X266" s="510"/>
    </row>
    <row r="267" spans="8:24" s="2" customFormat="1" ht="18" customHeight="1">
      <c r="H267" s="3640"/>
      <c r="I267" s="3640"/>
      <c r="J267" s="3640"/>
      <c r="K267" s="3640"/>
      <c r="L267" s="3640"/>
      <c r="M267" s="141"/>
      <c r="N267" s="3640"/>
      <c r="O267" s="3640"/>
      <c r="P267" s="3640"/>
      <c r="Q267" s="3640"/>
      <c r="R267" s="3640"/>
      <c r="S267" s="141"/>
      <c r="T267" s="3640"/>
      <c r="U267" s="3640"/>
      <c r="V267" s="3640"/>
      <c r="W267" s="3640"/>
      <c r="X267" s="3640"/>
    </row>
    <row r="268" spans="8:24" s="2" customFormat="1" ht="18" customHeight="1">
      <c r="H268" s="3640"/>
      <c r="I268" s="3640"/>
      <c r="J268" s="3640"/>
      <c r="K268" s="3640"/>
      <c r="L268" s="3640"/>
      <c r="M268" s="141"/>
      <c r="N268" s="3640"/>
      <c r="O268" s="3640"/>
      <c r="P268" s="3640"/>
      <c r="Q268" s="3640"/>
      <c r="R268" s="3640"/>
      <c r="S268" s="141"/>
      <c r="T268" s="3640"/>
      <c r="U268" s="3640"/>
      <c r="V268" s="3640"/>
      <c r="W268" s="3640"/>
      <c r="X268" s="3640"/>
    </row>
    <row r="269" spans="8:24" s="2" customFormat="1" ht="18" customHeight="1">
      <c r="H269" s="3640"/>
      <c r="I269" s="3640"/>
      <c r="J269" s="3640"/>
      <c r="K269" s="3640"/>
      <c r="L269" s="3640"/>
      <c r="M269" s="141"/>
      <c r="N269" s="3640"/>
      <c r="O269" s="3640"/>
      <c r="P269" s="3640"/>
      <c r="Q269" s="3640"/>
      <c r="R269" s="3640"/>
      <c r="S269" s="141"/>
      <c r="T269" s="3640"/>
      <c r="U269" s="3640"/>
      <c r="V269" s="3640"/>
      <c r="W269" s="3640"/>
      <c r="X269" s="3640"/>
    </row>
    <row r="270" spans="8:24" s="2" customFormat="1" ht="18" customHeight="1">
      <c r="H270" s="3640"/>
      <c r="I270" s="3640"/>
      <c r="J270" s="3640"/>
      <c r="K270" s="3640"/>
      <c r="L270" s="3640"/>
      <c r="M270" s="141"/>
      <c r="N270" s="3640"/>
      <c r="O270" s="3640"/>
      <c r="P270" s="3640"/>
      <c r="Q270" s="3640"/>
      <c r="R270" s="3640"/>
      <c r="S270" s="141"/>
      <c r="T270" s="3640"/>
      <c r="U270" s="3640"/>
      <c r="V270" s="3640"/>
      <c r="W270" s="3640"/>
      <c r="X270" s="3640"/>
    </row>
    <row r="271" spans="8:24" s="2" customFormat="1" ht="18" customHeight="1">
      <c r="H271" s="3640"/>
      <c r="I271" s="3640"/>
      <c r="J271" s="3640"/>
      <c r="K271" s="3640"/>
      <c r="L271" s="3640"/>
      <c r="M271" s="141"/>
      <c r="N271" s="3640"/>
      <c r="O271" s="3640"/>
      <c r="P271" s="3640"/>
      <c r="Q271" s="3640"/>
      <c r="R271" s="3640"/>
      <c r="S271" s="141"/>
      <c r="T271" s="3640"/>
      <c r="U271" s="3640"/>
      <c r="V271" s="3640"/>
      <c r="W271" s="3640"/>
      <c r="X271" s="3640"/>
    </row>
    <row r="272" spans="8:24" s="2" customFormat="1" ht="18" customHeight="1">
      <c r="H272" s="3640"/>
      <c r="I272" s="3640"/>
      <c r="J272" s="3640"/>
      <c r="K272" s="3640"/>
      <c r="L272" s="3640"/>
      <c r="M272" s="141"/>
      <c r="N272" s="3640"/>
      <c r="O272" s="3640"/>
      <c r="P272" s="3640"/>
      <c r="Q272" s="3640"/>
      <c r="R272" s="3640"/>
      <c r="S272" s="141"/>
      <c r="T272" s="3640"/>
      <c r="U272" s="3640"/>
      <c r="V272" s="3640"/>
      <c r="W272" s="3640"/>
      <c r="X272" s="3640"/>
    </row>
    <row r="273" spans="8:24" s="2" customFormat="1" ht="18" customHeight="1">
      <c r="H273" s="3640"/>
      <c r="I273" s="3640"/>
      <c r="J273" s="3640"/>
      <c r="K273" s="3640"/>
      <c r="L273" s="3640"/>
      <c r="M273" s="141"/>
      <c r="N273" s="3640"/>
      <c r="O273" s="3640"/>
      <c r="P273" s="3640"/>
      <c r="Q273" s="3640"/>
      <c r="R273" s="3640"/>
      <c r="S273" s="141"/>
      <c r="T273" s="3640"/>
      <c r="U273" s="3640"/>
      <c r="V273" s="3640"/>
      <c r="W273" s="3640"/>
      <c r="X273" s="3640"/>
    </row>
    <row r="274" spans="8:24" s="2" customFormat="1" ht="18" customHeight="1">
      <c r="H274" s="3640"/>
      <c r="I274" s="3640"/>
      <c r="J274" s="3640"/>
      <c r="K274" s="3640"/>
      <c r="L274" s="3640"/>
      <c r="M274" s="141"/>
      <c r="N274" s="3640"/>
      <c r="O274" s="3640"/>
      <c r="P274" s="3640"/>
      <c r="Q274" s="3640"/>
      <c r="R274" s="3640"/>
      <c r="S274" s="141"/>
      <c r="T274" s="3640"/>
      <c r="U274" s="3640"/>
      <c r="V274" s="3640"/>
      <c r="W274" s="3640"/>
      <c r="X274" s="3640"/>
    </row>
    <row r="275" spans="8:24" s="2" customFormat="1" ht="18" customHeight="1">
      <c r="H275" s="3640"/>
      <c r="I275" s="3640"/>
      <c r="J275" s="3640"/>
      <c r="K275" s="3640"/>
      <c r="L275" s="3640"/>
      <c r="M275" s="141"/>
      <c r="N275" s="3640"/>
      <c r="O275" s="3640"/>
      <c r="P275" s="3640"/>
      <c r="Q275" s="3640"/>
      <c r="R275" s="3640"/>
      <c r="S275" s="141"/>
      <c r="T275" s="3640"/>
      <c r="U275" s="3640"/>
      <c r="V275" s="3640"/>
      <c r="W275" s="3640"/>
      <c r="X275" s="3640"/>
    </row>
    <row r="276" spans="8:24" s="2" customFormat="1" ht="18" customHeight="1">
      <c r="H276" s="3650" t="s">
        <v>469</v>
      </c>
      <c r="I276" s="3650"/>
      <c r="J276" s="3650"/>
      <c r="K276" s="3650"/>
      <c r="L276" s="3650"/>
      <c r="M276" s="141"/>
      <c r="N276" s="3650" t="s">
        <v>469</v>
      </c>
      <c r="O276" s="3650"/>
      <c r="P276" s="3650"/>
      <c r="Q276" s="3650"/>
      <c r="R276" s="3650"/>
      <c r="S276" s="141"/>
      <c r="T276" s="3650" t="s">
        <v>469</v>
      </c>
      <c r="U276" s="3650"/>
      <c r="V276" s="3650"/>
      <c r="W276" s="3650"/>
      <c r="X276" s="3650"/>
    </row>
    <row r="277" spans="8:24" s="2" customFormat="1" ht="18" customHeight="1">
      <c r="H277" s="3650"/>
      <c r="I277" s="3650"/>
      <c r="J277" s="3650"/>
      <c r="K277" s="3650"/>
      <c r="L277" s="3650"/>
      <c r="M277" s="140"/>
      <c r="N277" s="3650"/>
      <c r="O277" s="3650"/>
      <c r="P277" s="3650"/>
      <c r="Q277" s="3650"/>
      <c r="R277" s="3650"/>
      <c r="S277" s="140"/>
      <c r="T277" s="3650"/>
      <c r="U277" s="3650"/>
      <c r="V277" s="3650"/>
      <c r="W277" s="3650"/>
      <c r="X277" s="3650"/>
    </row>
    <row r="278" spans="8:24" s="2" customFormat="1" ht="21.7" customHeight="1">
      <c r="H278" s="141"/>
      <c r="I278" s="141"/>
      <c r="J278" s="141"/>
      <c r="K278" s="141"/>
      <c r="L278" s="141"/>
      <c r="M278" s="141"/>
      <c r="N278" s="141"/>
      <c r="O278" s="141"/>
      <c r="P278" s="141"/>
      <c r="Q278" s="141"/>
      <c r="R278" s="141"/>
      <c r="S278" s="141"/>
      <c r="T278" s="141"/>
      <c r="U278" s="141"/>
      <c r="V278" s="141"/>
      <c r="W278" s="141"/>
      <c r="X278" s="141"/>
    </row>
    <row r="279" spans="8:24" s="2" customFormat="1" ht="21.7" customHeight="1">
      <c r="H279" s="141"/>
      <c r="I279" s="141"/>
      <c r="J279" s="141"/>
      <c r="K279" s="141"/>
      <c r="L279" s="141"/>
      <c r="M279" s="141"/>
      <c r="N279" s="141"/>
      <c r="O279" s="141"/>
      <c r="P279" s="141"/>
      <c r="Q279" s="141"/>
      <c r="R279" s="141"/>
      <c r="S279" s="141"/>
      <c r="T279" s="141"/>
      <c r="U279" s="141"/>
      <c r="V279" s="141"/>
      <c r="W279" s="141"/>
      <c r="X279" s="141"/>
    </row>
    <row r="280" spans="8:24" s="2" customFormat="1" ht="27.95" customHeight="1">
      <c r="H280" s="141"/>
      <c r="I280" s="141"/>
      <c r="J280" s="141"/>
      <c r="K280" s="141"/>
      <c r="L280" s="141"/>
      <c r="M280" s="141"/>
      <c r="N280" s="141"/>
      <c r="O280" s="141"/>
      <c r="P280" s="141"/>
      <c r="Q280" s="141"/>
      <c r="R280" s="141"/>
      <c r="S280" s="141"/>
      <c r="T280" s="141"/>
      <c r="U280" s="141"/>
      <c r="V280" s="141"/>
      <c r="W280" s="141"/>
      <c r="X280" s="141"/>
    </row>
    <row r="281" spans="8:24" s="2" customFormat="1" ht="18" customHeight="1">
      <c r="H281" s="1460" t="str">
        <f>CONCATENATE("Report Prepared By: ",Investor_Name,"  |  ",Company_Name,"  |  ",Company_Email,"  |  ",Company_Website)</f>
        <v xml:space="preserve">Report Prepared By:   |    |    |  </v>
      </c>
      <c r="I281" s="1460"/>
      <c r="J281" s="1460"/>
      <c r="K281" s="1460"/>
      <c r="L281" s="1460"/>
      <c r="M281" s="1460"/>
      <c r="N281" s="1460"/>
      <c r="O281" s="1460"/>
      <c r="P281" s="1460"/>
      <c r="Q281" s="1460"/>
      <c r="R281" s="1460"/>
      <c r="S281" s="1460"/>
      <c r="T281" s="1460"/>
      <c r="U281" s="1460"/>
      <c r="V281" s="1460"/>
      <c r="W281" s="3561" t="str">
        <f>CONCATENATE("Page ",AM6," of ",$AG$3)</f>
        <v>Page 6 of 7</v>
      </c>
      <c r="X281" s="3561"/>
    </row>
    <row r="282" spans="8:24" s="2" customFormat="1" ht="18.600000000000001" customHeight="1">
      <c r="H282" s="3562" t="str">
        <f>CONCATENATE(Street_Address,", ",City_State_Zip)</f>
        <v>, 0</v>
      </c>
      <c r="I282" s="3562"/>
      <c r="J282" s="3562"/>
      <c r="K282" s="3562"/>
      <c r="L282" s="3562"/>
      <c r="M282" s="3562"/>
      <c r="N282" s="3562"/>
      <c r="O282" s="3562"/>
      <c r="P282" s="3562"/>
      <c r="Q282" s="3562"/>
      <c r="R282" s="3562"/>
      <c r="S282" s="3562"/>
      <c r="T282" s="3562"/>
      <c r="U282" s="3562"/>
      <c r="V282" s="3562"/>
      <c r="W282" s="3562"/>
      <c r="X282" s="3562"/>
    </row>
    <row r="283" spans="8:24" s="2" customFormat="1" ht="18.600000000000001" customHeight="1">
      <c r="H283" s="863"/>
      <c r="I283" s="863"/>
      <c r="J283" s="863"/>
      <c r="K283" s="863"/>
      <c r="L283" s="861"/>
      <c r="M283" s="861"/>
      <c r="N283" s="861"/>
      <c r="O283" s="862"/>
      <c r="P283" s="862"/>
      <c r="Q283" s="862"/>
      <c r="R283" s="862"/>
      <c r="S283" s="862"/>
      <c r="T283" s="862"/>
      <c r="U283" s="862"/>
      <c r="V283" s="862"/>
      <c r="W283" s="862"/>
      <c r="X283" s="862"/>
    </row>
    <row r="284" spans="8:24" s="2" customFormat="1" ht="18.600000000000001" customHeight="1">
      <c r="H284" s="866" t="s">
        <v>1609</v>
      </c>
      <c r="I284" s="863"/>
      <c r="J284" s="863"/>
      <c r="K284" s="863"/>
      <c r="L284" s="861"/>
      <c r="M284" s="861"/>
      <c r="N284" s="861"/>
      <c r="O284" s="862"/>
      <c r="P284" s="862"/>
      <c r="Q284" s="862"/>
      <c r="R284" s="862"/>
      <c r="S284" s="862"/>
      <c r="T284" s="862"/>
      <c r="U284" s="862"/>
      <c r="V284" s="862"/>
      <c r="W284" s="862"/>
      <c r="X284" s="862"/>
    </row>
    <row r="285" spans="8:24" s="2" customFormat="1" ht="18.600000000000001" customHeight="1">
      <c r="H285" s="1459"/>
      <c r="I285" s="1458"/>
      <c r="J285" s="1458"/>
      <c r="K285" s="1458"/>
      <c r="L285" s="1456"/>
      <c r="M285" s="1456"/>
      <c r="N285" s="1456"/>
      <c r="O285" s="1457"/>
      <c r="P285" s="1457"/>
      <c r="Q285" s="1457"/>
      <c r="R285" s="1457"/>
      <c r="S285" s="1457"/>
      <c r="T285" s="1457"/>
      <c r="U285" s="1457"/>
      <c r="V285" s="1457"/>
      <c r="W285" s="1457"/>
      <c r="X285" s="1457"/>
    </row>
    <row r="286" spans="8:24" s="2" customFormat="1" ht="18.600000000000001" customHeight="1">
      <c r="H286" s="1459"/>
      <c r="I286" s="1458"/>
      <c r="J286" s="1458"/>
      <c r="K286" s="1458"/>
      <c r="L286" s="1456"/>
      <c r="M286" s="1456"/>
      <c r="N286" s="1456"/>
      <c r="O286" s="1457"/>
      <c r="P286" s="1457"/>
      <c r="Q286" s="1457"/>
      <c r="R286" s="1457"/>
      <c r="S286" s="1457"/>
      <c r="T286" s="1457"/>
      <c r="U286" s="1457"/>
      <c r="V286" s="1457"/>
      <c r="W286" s="1457"/>
      <c r="X286" s="1457"/>
    </row>
    <row r="287" spans="8:24" s="2" customFormat="1" ht="18.600000000000001" customHeight="1">
      <c r="H287" s="3640"/>
      <c r="I287" s="3640"/>
      <c r="J287" s="3640"/>
      <c r="K287" s="3640"/>
      <c r="L287" s="3640"/>
      <c r="M287" s="141"/>
      <c r="N287" s="3640"/>
      <c r="O287" s="3640"/>
      <c r="P287" s="3640"/>
      <c r="Q287" s="3640"/>
      <c r="R287" s="3640"/>
      <c r="S287" s="141"/>
      <c r="T287" s="3640"/>
      <c r="U287" s="3640"/>
      <c r="V287" s="3640"/>
      <c r="W287" s="3640"/>
      <c r="X287" s="3640"/>
    </row>
    <row r="288" spans="8:24" s="2" customFormat="1" ht="18.600000000000001" customHeight="1">
      <c r="H288" s="3640"/>
      <c r="I288" s="3640"/>
      <c r="J288" s="3640"/>
      <c r="K288" s="3640"/>
      <c r="L288" s="3640"/>
      <c r="M288" s="141"/>
      <c r="N288" s="3640"/>
      <c r="O288" s="3640"/>
      <c r="P288" s="3640"/>
      <c r="Q288" s="3640"/>
      <c r="R288" s="3640"/>
      <c r="S288" s="141"/>
      <c r="T288" s="3640"/>
      <c r="U288" s="3640"/>
      <c r="V288" s="3640"/>
      <c r="W288" s="3640"/>
      <c r="X288" s="3640"/>
    </row>
    <row r="289" spans="8:24" s="2" customFormat="1" ht="18.600000000000001" customHeight="1">
      <c r="H289" s="3640"/>
      <c r="I289" s="3640"/>
      <c r="J289" s="3640"/>
      <c r="K289" s="3640"/>
      <c r="L289" s="3640"/>
      <c r="M289" s="141"/>
      <c r="N289" s="3640"/>
      <c r="O289" s="3640"/>
      <c r="P289" s="3640"/>
      <c r="Q289" s="3640"/>
      <c r="R289" s="3640"/>
      <c r="S289" s="141"/>
      <c r="T289" s="3640"/>
      <c r="U289" s="3640"/>
      <c r="V289" s="3640"/>
      <c r="W289" s="3640"/>
      <c r="X289" s="3640"/>
    </row>
    <row r="290" spans="8:24" s="2" customFormat="1" ht="18.600000000000001" customHeight="1">
      <c r="H290" s="3640"/>
      <c r="I290" s="3640"/>
      <c r="J290" s="3640"/>
      <c r="K290" s="3640"/>
      <c r="L290" s="3640"/>
      <c r="M290" s="141"/>
      <c r="N290" s="3640"/>
      <c r="O290" s="3640"/>
      <c r="P290" s="3640"/>
      <c r="Q290" s="3640"/>
      <c r="R290" s="3640"/>
      <c r="S290" s="141"/>
      <c r="T290" s="3640"/>
      <c r="U290" s="3640"/>
      <c r="V290" s="3640"/>
      <c r="W290" s="3640"/>
      <c r="X290" s="3640"/>
    </row>
    <row r="291" spans="8:24" s="2" customFormat="1" ht="18.600000000000001" customHeight="1">
      <c r="H291" s="3640"/>
      <c r="I291" s="3640"/>
      <c r="J291" s="3640"/>
      <c r="K291" s="3640"/>
      <c r="L291" s="3640"/>
      <c r="M291" s="141"/>
      <c r="N291" s="3640"/>
      <c r="O291" s="3640"/>
      <c r="P291" s="3640"/>
      <c r="Q291" s="3640"/>
      <c r="R291" s="3640"/>
      <c r="S291" s="141"/>
      <c r="T291" s="3640"/>
      <c r="U291" s="3640"/>
      <c r="V291" s="3640"/>
      <c r="W291" s="3640"/>
      <c r="X291" s="3640"/>
    </row>
    <row r="292" spans="8:24" s="2" customFormat="1" ht="18.600000000000001" customHeight="1">
      <c r="H292" s="3640"/>
      <c r="I292" s="3640"/>
      <c r="J292" s="3640"/>
      <c r="K292" s="3640"/>
      <c r="L292" s="3640"/>
      <c r="M292" s="141"/>
      <c r="N292" s="3640"/>
      <c r="O292" s="3640"/>
      <c r="P292" s="3640"/>
      <c r="Q292" s="3640"/>
      <c r="R292" s="3640"/>
      <c r="S292" s="141"/>
      <c r="T292" s="3640"/>
      <c r="U292" s="3640"/>
      <c r="V292" s="3640"/>
      <c r="W292" s="3640"/>
      <c r="X292" s="3640"/>
    </row>
    <row r="293" spans="8:24" s="2" customFormat="1" ht="18.600000000000001" customHeight="1">
      <c r="H293" s="3640"/>
      <c r="I293" s="3640"/>
      <c r="J293" s="3640"/>
      <c r="K293" s="3640"/>
      <c r="L293" s="3640"/>
      <c r="M293" s="141"/>
      <c r="N293" s="3640"/>
      <c r="O293" s="3640"/>
      <c r="P293" s="3640"/>
      <c r="Q293" s="3640"/>
      <c r="R293" s="3640"/>
      <c r="S293" s="141"/>
      <c r="T293" s="3640"/>
      <c r="U293" s="3640"/>
      <c r="V293" s="3640"/>
      <c r="W293" s="3640"/>
      <c r="X293" s="3640"/>
    </row>
    <row r="294" spans="8:24" s="2" customFormat="1" ht="18.600000000000001" customHeight="1">
      <c r="H294" s="3640"/>
      <c r="I294" s="3640"/>
      <c r="J294" s="3640"/>
      <c r="K294" s="3640"/>
      <c r="L294" s="3640"/>
      <c r="M294" s="141"/>
      <c r="N294" s="3640"/>
      <c r="O294" s="3640"/>
      <c r="P294" s="3640"/>
      <c r="Q294" s="3640"/>
      <c r="R294" s="3640"/>
      <c r="S294" s="141"/>
      <c r="T294" s="3640"/>
      <c r="U294" s="3640"/>
      <c r="V294" s="3640"/>
      <c r="W294" s="3640"/>
      <c r="X294" s="3640"/>
    </row>
    <row r="295" spans="8:24" s="2" customFormat="1" ht="18.600000000000001" customHeight="1">
      <c r="H295" s="3640"/>
      <c r="I295" s="3640"/>
      <c r="J295" s="3640"/>
      <c r="K295" s="3640"/>
      <c r="L295" s="3640"/>
      <c r="M295" s="141"/>
      <c r="N295" s="3640"/>
      <c r="O295" s="3640"/>
      <c r="P295" s="3640"/>
      <c r="Q295" s="3640"/>
      <c r="R295" s="3640"/>
      <c r="S295" s="141"/>
      <c r="T295" s="3640"/>
      <c r="U295" s="3640"/>
      <c r="V295" s="3640"/>
      <c r="W295" s="3640"/>
      <c r="X295" s="3640"/>
    </row>
    <row r="296" spans="8:24" s="2" customFormat="1" ht="18.600000000000001" customHeight="1">
      <c r="H296" s="3650" t="s">
        <v>469</v>
      </c>
      <c r="I296" s="3650"/>
      <c r="J296" s="3650"/>
      <c r="K296" s="3650"/>
      <c r="L296" s="3650"/>
      <c r="M296" s="141"/>
      <c r="N296" s="3650" t="s">
        <v>469</v>
      </c>
      <c r="O296" s="3650"/>
      <c r="P296" s="3650"/>
      <c r="Q296" s="3650"/>
      <c r="R296" s="3650"/>
      <c r="S296" s="141"/>
      <c r="T296" s="3650" t="s">
        <v>469</v>
      </c>
      <c r="U296" s="3650"/>
      <c r="V296" s="3650"/>
      <c r="W296" s="3650"/>
      <c r="X296" s="3650"/>
    </row>
    <row r="297" spans="8:24" s="2" customFormat="1" ht="18.600000000000001" customHeight="1">
      <c r="H297" s="3650"/>
      <c r="I297" s="3650"/>
      <c r="J297" s="3650"/>
      <c r="K297" s="3650"/>
      <c r="L297" s="3650"/>
      <c r="M297" s="140"/>
      <c r="N297" s="3650"/>
      <c r="O297" s="3650"/>
      <c r="P297" s="3650"/>
      <c r="Q297" s="3650"/>
      <c r="R297" s="3650"/>
      <c r="S297" s="140"/>
      <c r="T297" s="3650"/>
      <c r="U297" s="3650"/>
      <c r="V297" s="3650"/>
      <c r="W297" s="3650"/>
      <c r="X297" s="3650"/>
    </row>
    <row r="298" spans="8:24" s="2" customFormat="1" ht="9.75" customHeight="1">
      <c r="H298" s="141"/>
      <c r="I298" s="141"/>
      <c r="J298" s="141"/>
      <c r="K298" s="141"/>
      <c r="L298" s="141"/>
      <c r="M298" s="141"/>
      <c r="N298" s="141"/>
      <c r="O298" s="141"/>
      <c r="P298" s="141"/>
      <c r="Q298" s="141"/>
      <c r="R298" s="141"/>
      <c r="S298" s="141"/>
      <c r="T298" s="141"/>
      <c r="U298" s="141"/>
      <c r="V298" s="141"/>
      <c r="W298" s="141"/>
      <c r="X298" s="141"/>
    </row>
    <row r="299" spans="8:24" s="2" customFormat="1" ht="18" customHeight="1">
      <c r="H299" s="3640"/>
      <c r="I299" s="3640"/>
      <c r="J299" s="3640"/>
      <c r="K299" s="3640"/>
      <c r="L299" s="3640"/>
      <c r="M299" s="141"/>
      <c r="N299" s="3640"/>
      <c r="O299" s="3640"/>
      <c r="P299" s="3640"/>
      <c r="Q299" s="3640"/>
      <c r="R299" s="3640"/>
      <c r="S299" s="141"/>
      <c r="T299" s="3640"/>
      <c r="U299" s="3640"/>
      <c r="V299" s="3640"/>
      <c r="W299" s="3640"/>
      <c r="X299" s="3640"/>
    </row>
    <row r="300" spans="8:24" s="2" customFormat="1" ht="18" customHeight="1">
      <c r="H300" s="3640"/>
      <c r="I300" s="3640"/>
      <c r="J300" s="3640"/>
      <c r="K300" s="3640"/>
      <c r="L300" s="3640"/>
      <c r="M300" s="141"/>
      <c r="N300" s="3640"/>
      <c r="O300" s="3640"/>
      <c r="P300" s="3640"/>
      <c r="Q300" s="3640"/>
      <c r="R300" s="3640"/>
      <c r="S300" s="141"/>
      <c r="T300" s="3640"/>
      <c r="U300" s="3640"/>
      <c r="V300" s="3640"/>
      <c r="W300" s="3640"/>
      <c r="X300" s="3640"/>
    </row>
    <row r="301" spans="8:24" s="2" customFormat="1" ht="18" customHeight="1">
      <c r="H301" s="3640"/>
      <c r="I301" s="3640"/>
      <c r="J301" s="3640"/>
      <c r="K301" s="3640"/>
      <c r="L301" s="3640"/>
      <c r="M301" s="141"/>
      <c r="N301" s="3640"/>
      <c r="O301" s="3640"/>
      <c r="P301" s="3640"/>
      <c r="Q301" s="3640"/>
      <c r="R301" s="3640"/>
      <c r="S301" s="141"/>
      <c r="T301" s="3640"/>
      <c r="U301" s="3640"/>
      <c r="V301" s="3640"/>
      <c r="W301" s="3640"/>
      <c r="X301" s="3640"/>
    </row>
    <row r="302" spans="8:24" s="2" customFormat="1" ht="18" customHeight="1">
      <c r="H302" s="3640"/>
      <c r="I302" s="3640"/>
      <c r="J302" s="3640"/>
      <c r="K302" s="3640"/>
      <c r="L302" s="3640"/>
      <c r="M302" s="141"/>
      <c r="N302" s="3640"/>
      <c r="O302" s="3640"/>
      <c r="P302" s="3640"/>
      <c r="Q302" s="3640"/>
      <c r="R302" s="3640"/>
      <c r="S302" s="141"/>
      <c r="T302" s="3640"/>
      <c r="U302" s="3640"/>
      <c r="V302" s="3640"/>
      <c r="W302" s="3640"/>
      <c r="X302" s="3640"/>
    </row>
    <row r="303" spans="8:24" s="2" customFormat="1" ht="18" customHeight="1">
      <c r="H303" s="3640"/>
      <c r="I303" s="3640"/>
      <c r="J303" s="3640"/>
      <c r="K303" s="3640"/>
      <c r="L303" s="3640"/>
      <c r="M303" s="141"/>
      <c r="N303" s="3640"/>
      <c r="O303" s="3640"/>
      <c r="P303" s="3640"/>
      <c r="Q303" s="3640"/>
      <c r="R303" s="3640"/>
      <c r="S303" s="141"/>
      <c r="T303" s="3640"/>
      <c r="U303" s="3640"/>
      <c r="V303" s="3640"/>
      <c r="W303" s="3640"/>
      <c r="X303" s="3640"/>
    </row>
    <row r="304" spans="8:24" s="2" customFormat="1" ht="18" customHeight="1">
      <c r="H304" s="3640"/>
      <c r="I304" s="3640"/>
      <c r="J304" s="3640"/>
      <c r="K304" s="3640"/>
      <c r="L304" s="3640"/>
      <c r="M304" s="141"/>
      <c r="N304" s="3640"/>
      <c r="O304" s="3640"/>
      <c r="P304" s="3640"/>
      <c r="Q304" s="3640"/>
      <c r="R304" s="3640"/>
      <c r="S304" s="141"/>
      <c r="T304" s="3640"/>
      <c r="U304" s="3640"/>
      <c r="V304" s="3640"/>
      <c r="W304" s="3640"/>
      <c r="X304" s="3640"/>
    </row>
    <row r="305" spans="8:24" s="2" customFormat="1" ht="18" customHeight="1">
      <c r="H305" s="3640"/>
      <c r="I305" s="3640"/>
      <c r="J305" s="3640"/>
      <c r="K305" s="3640"/>
      <c r="L305" s="3640"/>
      <c r="M305" s="141"/>
      <c r="N305" s="3640"/>
      <c r="O305" s="3640"/>
      <c r="P305" s="3640"/>
      <c r="Q305" s="3640"/>
      <c r="R305" s="3640"/>
      <c r="S305" s="141"/>
      <c r="T305" s="3640"/>
      <c r="U305" s="3640"/>
      <c r="V305" s="3640"/>
      <c r="W305" s="3640"/>
      <c r="X305" s="3640"/>
    </row>
    <row r="306" spans="8:24" s="2" customFormat="1" ht="18" customHeight="1">
      <c r="H306" s="3640"/>
      <c r="I306" s="3640"/>
      <c r="J306" s="3640"/>
      <c r="K306" s="3640"/>
      <c r="L306" s="3640"/>
      <c r="M306" s="141"/>
      <c r="N306" s="3640"/>
      <c r="O306" s="3640"/>
      <c r="P306" s="3640"/>
      <c r="Q306" s="3640"/>
      <c r="R306" s="3640"/>
      <c r="S306" s="141"/>
      <c r="T306" s="3640"/>
      <c r="U306" s="3640"/>
      <c r="V306" s="3640"/>
      <c r="W306" s="3640"/>
      <c r="X306" s="3640"/>
    </row>
    <row r="307" spans="8:24" s="2" customFormat="1" ht="18" customHeight="1">
      <c r="H307" s="3640"/>
      <c r="I307" s="3640"/>
      <c r="J307" s="3640"/>
      <c r="K307" s="3640"/>
      <c r="L307" s="3640"/>
      <c r="M307" s="141"/>
      <c r="N307" s="3640"/>
      <c r="O307" s="3640"/>
      <c r="P307" s="3640"/>
      <c r="Q307" s="3640"/>
      <c r="R307" s="3640"/>
      <c r="S307" s="141"/>
      <c r="T307" s="3640"/>
      <c r="U307" s="3640"/>
      <c r="V307" s="3640"/>
      <c r="W307" s="3640"/>
      <c r="X307" s="3640"/>
    </row>
    <row r="308" spans="8:24" s="2" customFormat="1" ht="18" customHeight="1">
      <c r="H308" s="3650" t="s">
        <v>469</v>
      </c>
      <c r="I308" s="3650"/>
      <c r="J308" s="3650"/>
      <c r="K308" s="3650"/>
      <c r="L308" s="3650"/>
      <c r="M308" s="141"/>
      <c r="N308" s="3650" t="s">
        <v>469</v>
      </c>
      <c r="O308" s="3650"/>
      <c r="P308" s="3650"/>
      <c r="Q308" s="3650"/>
      <c r="R308" s="3650"/>
      <c r="S308" s="141"/>
      <c r="T308" s="3650" t="s">
        <v>469</v>
      </c>
      <c r="U308" s="3650"/>
      <c r="V308" s="3650"/>
      <c r="W308" s="3650"/>
      <c r="X308" s="3650"/>
    </row>
    <row r="309" spans="8:24" s="2" customFormat="1" ht="18" customHeight="1">
      <c r="H309" s="3650"/>
      <c r="I309" s="3650"/>
      <c r="J309" s="3650"/>
      <c r="K309" s="3650"/>
      <c r="L309" s="3650"/>
      <c r="M309" s="140"/>
      <c r="N309" s="3650"/>
      <c r="O309" s="3650"/>
      <c r="P309" s="3650"/>
      <c r="Q309" s="3650"/>
      <c r="R309" s="3650"/>
      <c r="S309" s="140"/>
      <c r="T309" s="3650"/>
      <c r="U309" s="3650"/>
      <c r="V309" s="3650"/>
      <c r="W309" s="3650"/>
      <c r="X309" s="3650"/>
    </row>
    <row r="310" spans="8:24" s="2" customFormat="1" ht="18" customHeight="1">
      <c r="H310" s="510"/>
      <c r="I310" s="510"/>
      <c r="J310" s="510"/>
      <c r="K310" s="510"/>
      <c r="L310" s="510"/>
      <c r="M310" s="140"/>
      <c r="N310" s="510"/>
      <c r="O310" s="510"/>
      <c r="P310" s="510"/>
      <c r="Q310" s="510"/>
      <c r="R310" s="510"/>
      <c r="S310" s="140"/>
      <c r="T310" s="510"/>
      <c r="U310" s="510"/>
      <c r="V310" s="510"/>
      <c r="W310" s="510"/>
      <c r="X310" s="510"/>
    </row>
    <row r="311" spans="8:24" s="2" customFormat="1" ht="18" customHeight="1">
      <c r="H311" s="3640"/>
      <c r="I311" s="3640"/>
      <c r="J311" s="3640"/>
      <c r="K311" s="3640"/>
      <c r="L311" s="3640"/>
      <c r="M311" s="141"/>
      <c r="N311" s="3640"/>
      <c r="O311" s="3640"/>
      <c r="P311" s="3640"/>
      <c r="Q311" s="3640"/>
      <c r="R311" s="3640"/>
      <c r="S311" s="141"/>
      <c r="T311" s="3640"/>
      <c r="U311" s="3640"/>
      <c r="V311" s="3640"/>
      <c r="W311" s="3640"/>
      <c r="X311" s="3640"/>
    </row>
    <row r="312" spans="8:24" s="2" customFormat="1" ht="18" customHeight="1">
      <c r="H312" s="3640"/>
      <c r="I312" s="3640"/>
      <c r="J312" s="3640"/>
      <c r="K312" s="3640"/>
      <c r="L312" s="3640"/>
      <c r="M312" s="141"/>
      <c r="N312" s="3640"/>
      <c r="O312" s="3640"/>
      <c r="P312" s="3640"/>
      <c r="Q312" s="3640"/>
      <c r="R312" s="3640"/>
      <c r="S312" s="141"/>
      <c r="T312" s="3640"/>
      <c r="U312" s="3640"/>
      <c r="V312" s="3640"/>
      <c r="W312" s="3640"/>
      <c r="X312" s="3640"/>
    </row>
    <row r="313" spans="8:24" s="2" customFormat="1" ht="18" customHeight="1">
      <c r="H313" s="3640"/>
      <c r="I313" s="3640"/>
      <c r="J313" s="3640"/>
      <c r="K313" s="3640"/>
      <c r="L313" s="3640"/>
      <c r="M313" s="141"/>
      <c r="N313" s="3640"/>
      <c r="O313" s="3640"/>
      <c r="P313" s="3640"/>
      <c r="Q313" s="3640"/>
      <c r="R313" s="3640"/>
      <c r="S313" s="141"/>
      <c r="T313" s="3640"/>
      <c r="U313" s="3640"/>
      <c r="V313" s="3640"/>
      <c r="W313" s="3640"/>
      <c r="X313" s="3640"/>
    </row>
    <row r="314" spans="8:24" s="2" customFormat="1" ht="18" customHeight="1">
      <c r="H314" s="3640"/>
      <c r="I314" s="3640"/>
      <c r="J314" s="3640"/>
      <c r="K314" s="3640"/>
      <c r="L314" s="3640"/>
      <c r="M314" s="141"/>
      <c r="N314" s="3640"/>
      <c r="O314" s="3640"/>
      <c r="P314" s="3640"/>
      <c r="Q314" s="3640"/>
      <c r="R314" s="3640"/>
      <c r="S314" s="141"/>
      <c r="T314" s="3640"/>
      <c r="U314" s="3640"/>
      <c r="V314" s="3640"/>
      <c r="W314" s="3640"/>
      <c r="X314" s="3640"/>
    </row>
    <row r="315" spans="8:24" s="2" customFormat="1" ht="18" customHeight="1">
      <c r="H315" s="3640"/>
      <c r="I315" s="3640"/>
      <c r="J315" s="3640"/>
      <c r="K315" s="3640"/>
      <c r="L315" s="3640"/>
      <c r="M315" s="141"/>
      <c r="N315" s="3640"/>
      <c r="O315" s="3640"/>
      <c r="P315" s="3640"/>
      <c r="Q315" s="3640"/>
      <c r="R315" s="3640"/>
      <c r="S315" s="141"/>
      <c r="T315" s="3640"/>
      <c r="U315" s="3640"/>
      <c r="V315" s="3640"/>
      <c r="W315" s="3640"/>
      <c r="X315" s="3640"/>
    </row>
    <row r="316" spans="8:24" s="2" customFormat="1" ht="18" customHeight="1">
      <c r="H316" s="3640"/>
      <c r="I316" s="3640"/>
      <c r="J316" s="3640"/>
      <c r="K316" s="3640"/>
      <c r="L316" s="3640"/>
      <c r="M316" s="141"/>
      <c r="N316" s="3640"/>
      <c r="O316" s="3640"/>
      <c r="P316" s="3640"/>
      <c r="Q316" s="3640"/>
      <c r="R316" s="3640"/>
      <c r="S316" s="141"/>
      <c r="T316" s="3640"/>
      <c r="U316" s="3640"/>
      <c r="V316" s="3640"/>
      <c r="W316" s="3640"/>
      <c r="X316" s="3640"/>
    </row>
    <row r="317" spans="8:24" s="2" customFormat="1" ht="18" customHeight="1">
      <c r="H317" s="3640"/>
      <c r="I317" s="3640"/>
      <c r="J317" s="3640"/>
      <c r="K317" s="3640"/>
      <c r="L317" s="3640"/>
      <c r="M317" s="141"/>
      <c r="N317" s="3640"/>
      <c r="O317" s="3640"/>
      <c r="P317" s="3640"/>
      <c r="Q317" s="3640"/>
      <c r="R317" s="3640"/>
      <c r="S317" s="141"/>
      <c r="T317" s="3640"/>
      <c r="U317" s="3640"/>
      <c r="V317" s="3640"/>
      <c r="W317" s="3640"/>
      <c r="X317" s="3640"/>
    </row>
    <row r="318" spans="8:24" s="2" customFormat="1" ht="18" customHeight="1">
      <c r="H318" s="3640"/>
      <c r="I318" s="3640"/>
      <c r="J318" s="3640"/>
      <c r="K318" s="3640"/>
      <c r="L318" s="3640"/>
      <c r="M318" s="141"/>
      <c r="N318" s="3640"/>
      <c r="O318" s="3640"/>
      <c r="P318" s="3640"/>
      <c r="Q318" s="3640"/>
      <c r="R318" s="3640"/>
      <c r="S318" s="141"/>
      <c r="T318" s="3640"/>
      <c r="U318" s="3640"/>
      <c r="V318" s="3640"/>
      <c r="W318" s="3640"/>
      <c r="X318" s="3640"/>
    </row>
    <row r="319" spans="8:24" s="2" customFormat="1" ht="18" customHeight="1">
      <c r="H319" s="3640"/>
      <c r="I319" s="3640"/>
      <c r="J319" s="3640"/>
      <c r="K319" s="3640"/>
      <c r="L319" s="3640"/>
      <c r="M319" s="141"/>
      <c r="N319" s="3640"/>
      <c r="O319" s="3640"/>
      <c r="P319" s="3640"/>
      <c r="Q319" s="3640"/>
      <c r="R319" s="3640"/>
      <c r="S319" s="141"/>
      <c r="T319" s="3640"/>
      <c r="U319" s="3640"/>
      <c r="V319" s="3640"/>
      <c r="W319" s="3640"/>
      <c r="X319" s="3640"/>
    </row>
    <row r="320" spans="8:24" s="2" customFormat="1" ht="18" customHeight="1">
      <c r="H320" s="3650" t="s">
        <v>469</v>
      </c>
      <c r="I320" s="3650"/>
      <c r="J320" s="3650"/>
      <c r="K320" s="3650"/>
      <c r="L320" s="3650"/>
      <c r="M320" s="141"/>
      <c r="N320" s="3650" t="s">
        <v>469</v>
      </c>
      <c r="O320" s="3650"/>
      <c r="P320" s="3650"/>
      <c r="Q320" s="3650"/>
      <c r="R320" s="3650"/>
      <c r="S320" s="141"/>
      <c r="T320" s="3650" t="s">
        <v>469</v>
      </c>
      <c r="U320" s="3650"/>
      <c r="V320" s="3650"/>
      <c r="W320" s="3650"/>
      <c r="X320" s="3650"/>
    </row>
    <row r="321" spans="8:24" s="2" customFormat="1" ht="18" customHeight="1">
      <c r="H321" s="3650"/>
      <c r="I321" s="3650"/>
      <c r="J321" s="3650"/>
      <c r="K321" s="3650"/>
      <c r="L321" s="3650"/>
      <c r="M321" s="140"/>
      <c r="N321" s="3650"/>
      <c r="O321" s="3650"/>
      <c r="P321" s="3650"/>
      <c r="Q321" s="3650"/>
      <c r="R321" s="3650"/>
      <c r="S321" s="140"/>
      <c r="T321" s="3650"/>
      <c r="U321" s="3650"/>
      <c r="V321" s="3650"/>
      <c r="W321" s="3650"/>
      <c r="X321" s="3650"/>
    </row>
    <row r="322" spans="8:24" s="2" customFormat="1" ht="18" customHeight="1">
      <c r="H322" s="510"/>
      <c r="I322" s="510"/>
      <c r="J322" s="510"/>
      <c r="K322" s="510"/>
      <c r="L322" s="510"/>
      <c r="M322" s="140"/>
      <c r="N322" s="510"/>
      <c r="O322" s="510"/>
      <c r="P322" s="510"/>
      <c r="Q322" s="510"/>
      <c r="R322" s="510"/>
      <c r="S322" s="140"/>
      <c r="T322" s="510"/>
      <c r="U322" s="510"/>
      <c r="V322" s="510"/>
      <c r="W322" s="510"/>
      <c r="X322" s="510"/>
    </row>
    <row r="323" spans="8:24" s="2" customFormat="1" ht="18" customHeight="1">
      <c r="H323" s="3640"/>
      <c r="I323" s="3640"/>
      <c r="J323" s="3640"/>
      <c r="K323" s="3640"/>
      <c r="L323" s="3640"/>
      <c r="M323" s="141"/>
      <c r="N323" s="3640"/>
      <c r="O323" s="3640"/>
      <c r="P323" s="3640"/>
      <c r="Q323" s="3640"/>
      <c r="R323" s="3640"/>
      <c r="S323" s="141"/>
      <c r="T323" s="3640"/>
      <c r="U323" s="3640"/>
      <c r="V323" s="3640"/>
      <c r="W323" s="3640"/>
      <c r="X323" s="3640"/>
    </row>
    <row r="324" spans="8:24" s="2" customFormat="1" ht="18" customHeight="1">
      <c r="H324" s="3640"/>
      <c r="I324" s="3640"/>
      <c r="J324" s="3640"/>
      <c r="K324" s="3640"/>
      <c r="L324" s="3640"/>
      <c r="M324" s="141"/>
      <c r="N324" s="3640"/>
      <c r="O324" s="3640"/>
      <c r="P324" s="3640"/>
      <c r="Q324" s="3640"/>
      <c r="R324" s="3640"/>
      <c r="S324" s="141"/>
      <c r="T324" s="3640"/>
      <c r="U324" s="3640"/>
      <c r="V324" s="3640"/>
      <c r="W324" s="3640"/>
      <c r="X324" s="3640"/>
    </row>
    <row r="325" spans="8:24" s="2" customFormat="1" ht="18" customHeight="1">
      <c r="H325" s="3640"/>
      <c r="I325" s="3640"/>
      <c r="J325" s="3640"/>
      <c r="K325" s="3640"/>
      <c r="L325" s="3640"/>
      <c r="M325" s="141"/>
      <c r="N325" s="3640"/>
      <c r="O325" s="3640"/>
      <c r="P325" s="3640"/>
      <c r="Q325" s="3640"/>
      <c r="R325" s="3640"/>
      <c r="S325" s="141"/>
      <c r="T325" s="3640"/>
      <c r="U325" s="3640"/>
      <c r="V325" s="3640"/>
      <c r="W325" s="3640"/>
      <c r="X325" s="3640"/>
    </row>
    <row r="326" spans="8:24" s="2" customFormat="1" ht="18" customHeight="1">
      <c r="H326" s="3640"/>
      <c r="I326" s="3640"/>
      <c r="J326" s="3640"/>
      <c r="K326" s="3640"/>
      <c r="L326" s="3640"/>
      <c r="M326" s="141"/>
      <c r="N326" s="3640"/>
      <c r="O326" s="3640"/>
      <c r="P326" s="3640"/>
      <c r="Q326" s="3640"/>
      <c r="R326" s="3640"/>
      <c r="S326" s="141"/>
      <c r="T326" s="3640"/>
      <c r="U326" s="3640"/>
      <c r="V326" s="3640"/>
      <c r="W326" s="3640"/>
      <c r="X326" s="3640"/>
    </row>
    <row r="327" spans="8:24" s="2" customFormat="1" ht="18" customHeight="1">
      <c r="H327" s="3640"/>
      <c r="I327" s="3640"/>
      <c r="J327" s="3640"/>
      <c r="K327" s="3640"/>
      <c r="L327" s="3640"/>
      <c r="M327" s="141"/>
      <c r="N327" s="3640"/>
      <c r="O327" s="3640"/>
      <c r="P327" s="3640"/>
      <c r="Q327" s="3640"/>
      <c r="R327" s="3640"/>
      <c r="S327" s="141"/>
      <c r="T327" s="3640"/>
      <c r="U327" s="3640"/>
      <c r="V327" s="3640"/>
      <c r="W327" s="3640"/>
      <c r="X327" s="3640"/>
    </row>
    <row r="328" spans="8:24" s="2" customFormat="1" ht="18" customHeight="1">
      <c r="H328" s="3640"/>
      <c r="I328" s="3640"/>
      <c r="J328" s="3640"/>
      <c r="K328" s="3640"/>
      <c r="L328" s="3640"/>
      <c r="M328" s="141"/>
      <c r="N328" s="3640"/>
      <c r="O328" s="3640"/>
      <c r="P328" s="3640"/>
      <c r="Q328" s="3640"/>
      <c r="R328" s="3640"/>
      <c r="S328" s="141"/>
      <c r="T328" s="3640"/>
      <c r="U328" s="3640"/>
      <c r="V328" s="3640"/>
      <c r="W328" s="3640"/>
      <c r="X328" s="3640"/>
    </row>
    <row r="329" spans="8:24" s="2" customFormat="1" ht="18" customHeight="1">
      <c r="H329" s="3640"/>
      <c r="I329" s="3640"/>
      <c r="J329" s="3640"/>
      <c r="K329" s="3640"/>
      <c r="L329" s="3640"/>
      <c r="M329" s="141"/>
      <c r="N329" s="3640"/>
      <c r="O329" s="3640"/>
      <c r="P329" s="3640"/>
      <c r="Q329" s="3640"/>
      <c r="R329" s="3640"/>
      <c r="S329" s="141"/>
      <c r="T329" s="3640"/>
      <c r="U329" s="3640"/>
      <c r="V329" s="3640"/>
      <c r="W329" s="3640"/>
      <c r="X329" s="3640"/>
    </row>
    <row r="330" spans="8:24" s="2" customFormat="1" ht="18" customHeight="1">
      <c r="H330" s="3640"/>
      <c r="I330" s="3640"/>
      <c r="J330" s="3640"/>
      <c r="K330" s="3640"/>
      <c r="L330" s="3640"/>
      <c r="M330" s="141"/>
      <c r="N330" s="3640"/>
      <c r="O330" s="3640"/>
      <c r="P330" s="3640"/>
      <c r="Q330" s="3640"/>
      <c r="R330" s="3640"/>
      <c r="S330" s="141"/>
      <c r="T330" s="3640"/>
      <c r="U330" s="3640"/>
      <c r="V330" s="3640"/>
      <c r="W330" s="3640"/>
      <c r="X330" s="3640"/>
    </row>
    <row r="331" spans="8:24" s="2" customFormat="1" ht="18" customHeight="1">
      <c r="H331" s="3640"/>
      <c r="I331" s="3640"/>
      <c r="J331" s="3640"/>
      <c r="K331" s="3640"/>
      <c r="L331" s="3640"/>
      <c r="M331" s="141"/>
      <c r="N331" s="3640"/>
      <c r="O331" s="3640"/>
      <c r="P331" s="3640"/>
      <c r="Q331" s="3640"/>
      <c r="R331" s="3640"/>
      <c r="S331" s="141"/>
      <c r="T331" s="3640"/>
      <c r="U331" s="3640"/>
      <c r="V331" s="3640"/>
      <c r="W331" s="3640"/>
      <c r="X331" s="3640"/>
    </row>
    <row r="332" spans="8:24" s="2" customFormat="1" ht="18" customHeight="1">
      <c r="H332" s="3650" t="s">
        <v>469</v>
      </c>
      <c r="I332" s="3650"/>
      <c r="J332" s="3650"/>
      <c r="K332" s="3650"/>
      <c r="L332" s="3650"/>
      <c r="M332" s="141"/>
      <c r="N332" s="3650" t="s">
        <v>469</v>
      </c>
      <c r="O332" s="3650"/>
      <c r="P332" s="3650"/>
      <c r="Q332" s="3650"/>
      <c r="R332" s="3650"/>
      <c r="S332" s="141"/>
      <c r="T332" s="3650" t="s">
        <v>469</v>
      </c>
      <c r="U332" s="3650"/>
      <c r="V332" s="3650"/>
      <c r="W332" s="3650"/>
      <c r="X332" s="3650"/>
    </row>
    <row r="333" spans="8:24" s="2" customFormat="1" ht="18" customHeight="1">
      <c r="H333" s="3650"/>
      <c r="I333" s="3650"/>
      <c r="J333" s="3650"/>
      <c r="K333" s="3650"/>
      <c r="L333" s="3650"/>
      <c r="M333" s="140"/>
      <c r="N333" s="3650"/>
      <c r="O333" s="3650"/>
      <c r="P333" s="3650"/>
      <c r="Q333" s="3650"/>
      <c r="R333" s="3650"/>
      <c r="S333" s="140"/>
      <c r="T333" s="3650"/>
      <c r="U333" s="3650"/>
      <c r="V333" s="3650"/>
      <c r="W333" s="3650"/>
      <c r="X333" s="3650"/>
    </row>
    <row r="334" spans="8:24" s="2" customFormat="1" ht="18.7" customHeight="1">
      <c r="H334" s="595"/>
      <c r="I334" s="595"/>
      <c r="J334" s="595"/>
      <c r="K334" s="595"/>
      <c r="L334" s="595"/>
      <c r="M334" s="140"/>
      <c r="N334" s="595"/>
      <c r="O334" s="595"/>
      <c r="P334" s="595"/>
      <c r="Q334" s="595"/>
      <c r="R334" s="595"/>
      <c r="S334" s="140"/>
      <c r="T334" s="595"/>
      <c r="U334" s="595"/>
      <c r="V334" s="595"/>
      <c r="W334" s="595"/>
      <c r="X334" s="595"/>
    </row>
    <row r="335" spans="8:24" s="2" customFormat="1" ht="18.7" customHeight="1">
      <c r="H335" s="595"/>
      <c r="I335" s="595"/>
      <c r="J335" s="595"/>
      <c r="K335" s="595"/>
      <c r="L335" s="595"/>
      <c r="M335" s="140"/>
      <c r="N335" s="595"/>
      <c r="O335" s="595"/>
      <c r="P335" s="595"/>
      <c r="Q335" s="595"/>
      <c r="R335" s="595"/>
      <c r="S335" s="140"/>
      <c r="T335" s="595"/>
      <c r="U335" s="595"/>
      <c r="V335" s="595"/>
      <c r="W335" s="595"/>
      <c r="X335" s="595"/>
    </row>
    <row r="336" spans="8:24" s="2" customFormat="1" ht="18.7" customHeight="1">
      <c r="H336" s="141"/>
      <c r="I336" s="141"/>
      <c r="J336" s="141"/>
      <c r="K336" s="141"/>
      <c r="L336" s="141"/>
      <c r="M336" s="141"/>
      <c r="N336" s="141"/>
      <c r="O336" s="141"/>
      <c r="P336" s="141"/>
      <c r="Q336" s="141"/>
      <c r="R336" s="141"/>
      <c r="S336" s="141"/>
      <c r="T336" s="141"/>
      <c r="U336" s="141"/>
      <c r="V336" s="141"/>
      <c r="W336" s="141"/>
      <c r="X336" s="141"/>
    </row>
    <row r="337" spans="8:24" s="2" customFormat="1" ht="18" customHeight="1">
      <c r="H337" s="3544" t="str">
        <f t="shared" ref="H337:V337" si="1">CONCATENATE("Report Prepared By: ",Investor_Name,"  |  ",Company_Name,"  |  ",Company_Email,"  |  ",Company_Website)</f>
        <v xml:space="preserve">Report Prepared By:   |    |    |  </v>
      </c>
      <c r="I337" s="3544" t="str">
        <f t="shared" si="1"/>
        <v xml:space="preserve">Report Prepared By:   |    |    |  </v>
      </c>
      <c r="J337" s="3544" t="str">
        <f t="shared" si="1"/>
        <v xml:space="preserve">Report Prepared By:   |    |    |  </v>
      </c>
      <c r="K337" s="3544" t="str">
        <f t="shared" si="1"/>
        <v xml:space="preserve">Report Prepared By:   |    |    |  </v>
      </c>
      <c r="L337" s="3544" t="str">
        <f t="shared" si="1"/>
        <v xml:space="preserve">Report Prepared By:   |    |    |  </v>
      </c>
      <c r="M337" s="3544" t="str">
        <f t="shared" si="1"/>
        <v xml:space="preserve">Report Prepared By:   |    |    |  </v>
      </c>
      <c r="N337" s="3544" t="str">
        <f t="shared" si="1"/>
        <v xml:space="preserve">Report Prepared By:   |    |    |  </v>
      </c>
      <c r="O337" s="3544" t="str">
        <f t="shared" si="1"/>
        <v xml:space="preserve">Report Prepared By:   |    |    |  </v>
      </c>
      <c r="P337" s="3544" t="str">
        <f t="shared" si="1"/>
        <v xml:space="preserve">Report Prepared By:   |    |    |  </v>
      </c>
      <c r="Q337" s="3544" t="str">
        <f t="shared" si="1"/>
        <v xml:space="preserve">Report Prepared By:   |    |    |  </v>
      </c>
      <c r="R337" s="3544" t="str">
        <f t="shared" si="1"/>
        <v xml:space="preserve">Report Prepared By:   |    |    |  </v>
      </c>
      <c r="S337" s="3544" t="str">
        <f t="shared" si="1"/>
        <v xml:space="preserve">Report Prepared By:   |    |    |  </v>
      </c>
      <c r="T337" s="3544" t="str">
        <f t="shared" si="1"/>
        <v xml:space="preserve">Report Prepared By:   |    |    |  </v>
      </c>
      <c r="U337" s="3544" t="str">
        <f t="shared" si="1"/>
        <v xml:space="preserve">Report Prepared By:   |    |    |  </v>
      </c>
      <c r="V337" s="3544" t="str">
        <f t="shared" si="1"/>
        <v xml:space="preserve">Report Prepared By:   |    |    |  </v>
      </c>
      <c r="W337" s="3561" t="str">
        <f>CONCATENATE("Page ",AN6," of ",$AG$3)</f>
        <v>Page 7 of 7</v>
      </c>
      <c r="X337" s="3561"/>
    </row>
    <row r="338" spans="8:24" ht="14.85" customHeight="1">
      <c r="H338" s="3433" t="s">
        <v>1607</v>
      </c>
      <c r="I338" s="3433"/>
      <c r="J338" s="3433"/>
      <c r="K338" s="3433"/>
      <c r="L338" s="3433"/>
      <c r="M338" s="3433"/>
      <c r="N338" s="3433"/>
      <c r="O338" s="3433"/>
      <c r="P338" s="3433"/>
      <c r="Q338" s="3433"/>
      <c r="R338" s="3433"/>
      <c r="S338" s="3433"/>
      <c r="T338" s="3433"/>
      <c r="U338" s="3433"/>
      <c r="V338" s="3433"/>
      <c r="W338" s="3433"/>
      <c r="X338" s="3433"/>
    </row>
    <row r="339" spans="8:24" ht="14.85" customHeight="1">
      <c r="H339" s="3433"/>
      <c r="I339" s="3433"/>
      <c r="J339" s="3433"/>
      <c r="K339" s="3433"/>
      <c r="L339" s="3433"/>
      <c r="M339" s="3433"/>
      <c r="N339" s="3433"/>
      <c r="O339" s="3433"/>
      <c r="P339" s="3433"/>
      <c r="Q339" s="3433"/>
      <c r="R339" s="3433"/>
      <c r="S339" s="3433"/>
      <c r="T339" s="3433"/>
      <c r="U339" s="3433"/>
      <c r="V339" s="3433"/>
      <c r="W339" s="3433"/>
      <c r="X339" s="3433"/>
    </row>
    <row r="340" spans="8:24" ht="14.85" customHeight="1"/>
    <row r="341" spans="8:24" ht="14.85" customHeight="1"/>
    <row r="342" spans="8:24" ht="14.85" customHeight="1"/>
    <row r="343" spans="8:24" ht="14.85" customHeight="1"/>
    <row r="344" spans="8:24" ht="14.85" customHeight="1"/>
    <row r="345" spans="8:24" ht="14.85" customHeight="1"/>
    <row r="346" spans="8:24" ht="14.85" customHeight="1"/>
    <row r="347" spans="8:24" ht="14.85" customHeight="1"/>
    <row r="348" spans="8:24" ht="14.85" customHeight="1"/>
    <row r="349" spans="8:24" ht="14.85" customHeight="1"/>
    <row r="350" spans="8:24" ht="14.85" customHeight="1"/>
    <row r="351" spans="8:24" ht="14.85" customHeight="1"/>
    <row r="352" spans="8:24" ht="14.85" customHeight="1"/>
    <row r="353" ht="14.85" customHeight="1"/>
    <row r="354" ht="14.85" customHeight="1"/>
    <row r="355" ht="14.85" customHeight="1"/>
    <row r="356" ht="14.85" customHeight="1"/>
    <row r="357" ht="14.85" customHeight="1"/>
    <row r="358" ht="14.85" customHeight="1"/>
    <row r="359" ht="14.85" customHeight="1"/>
    <row r="360" ht="14.85" customHeight="1"/>
    <row r="361" ht="14.85" customHeight="1"/>
    <row r="362" ht="14.85" customHeight="1"/>
    <row r="363" ht="14.85" customHeight="1"/>
    <row r="364" ht="14.85" customHeight="1"/>
    <row r="365" ht="14.85" customHeight="1"/>
  </sheetData>
  <sheetProtection formatCells="0" formatColumns="0" formatRows="0" insertColumns="0" insertHyperlinks="0" deleteColumns="0" deleteRows="0" selectLockedCells="1" sort="0" autoFilter="0"/>
  <mergeCells count="431">
    <mergeCell ref="K149:L150"/>
    <mergeCell ref="H149:J150"/>
    <mergeCell ref="M149:P150"/>
    <mergeCell ref="Q149:T150"/>
    <mergeCell ref="U149:X150"/>
    <mergeCell ref="H337:V337"/>
    <mergeCell ref="W337:X337"/>
    <mergeCell ref="H188:X191"/>
    <mergeCell ref="R203:U203"/>
    <mergeCell ref="V203:X203"/>
    <mergeCell ref="H204:Q204"/>
    <mergeCell ref="R204:U204"/>
    <mergeCell ref="V204:X204"/>
    <mergeCell ref="H205:Q205"/>
    <mergeCell ref="H206:Q206"/>
    <mergeCell ref="H207:Q207"/>
    <mergeCell ref="H199:Q199"/>
    <mergeCell ref="R199:U199"/>
    <mergeCell ref="V199:X199"/>
    <mergeCell ref="H200:Q200"/>
    <mergeCell ref="R200:U200"/>
    <mergeCell ref="V200:X200"/>
    <mergeCell ref="H201:Q201"/>
    <mergeCell ref="R201:U201"/>
    <mergeCell ref="H202:Q202"/>
    <mergeCell ref="R202:U202"/>
    <mergeCell ref="V202:X202"/>
    <mergeCell ref="H203:Q203"/>
    <mergeCell ref="H208:Q208"/>
    <mergeCell ref="R205:U205"/>
    <mergeCell ref="R206:U206"/>
    <mergeCell ref="R207:U207"/>
    <mergeCell ref="R208:U208"/>
    <mergeCell ref="V205:X205"/>
    <mergeCell ref="V206:X206"/>
    <mergeCell ref="V207:X207"/>
    <mergeCell ref="V208:X208"/>
    <mergeCell ref="W224:X224"/>
    <mergeCell ref="H197:Q197"/>
    <mergeCell ref="R197:U197"/>
    <mergeCell ref="V197:X197"/>
    <mergeCell ref="H198:Q198"/>
    <mergeCell ref="R198:U198"/>
    <mergeCell ref="V198:X198"/>
    <mergeCell ref="H220:Q220"/>
    <mergeCell ref="R220:U220"/>
    <mergeCell ref="H221:Q221"/>
    <mergeCell ref="R221:U221"/>
    <mergeCell ref="H214:Q214"/>
    <mergeCell ref="H215:Q215"/>
    <mergeCell ref="H216:Q216"/>
    <mergeCell ref="H217:Q217"/>
    <mergeCell ref="R214:U214"/>
    <mergeCell ref="R215:U215"/>
    <mergeCell ref="R216:U216"/>
    <mergeCell ref="R217:U217"/>
    <mergeCell ref="R218:U218"/>
    <mergeCell ref="H218:Q218"/>
    <mergeCell ref="V218:X218"/>
    <mergeCell ref="H213:Q213"/>
    <mergeCell ref="V201:X201"/>
    <mergeCell ref="H193:Q193"/>
    <mergeCell ref="R193:U193"/>
    <mergeCell ref="V193:X193"/>
    <mergeCell ref="R194:U194"/>
    <mergeCell ref="V194:X194"/>
    <mergeCell ref="H195:Q195"/>
    <mergeCell ref="R195:U195"/>
    <mergeCell ref="V195:X195"/>
    <mergeCell ref="H196:Q196"/>
    <mergeCell ref="R196:U196"/>
    <mergeCell ref="V196:X196"/>
    <mergeCell ref="H194:Q194"/>
    <mergeCell ref="H209:Q209"/>
    <mergeCell ref="H210:Q210"/>
    <mergeCell ref="H211:Q211"/>
    <mergeCell ref="H212:Q212"/>
    <mergeCell ref="R209:U209"/>
    <mergeCell ref="R210:U210"/>
    <mergeCell ref="R211:U211"/>
    <mergeCell ref="R212:U212"/>
    <mergeCell ref="R213:U213"/>
    <mergeCell ref="H177:L177"/>
    <mergeCell ref="H183:U183"/>
    <mergeCell ref="W183:X183"/>
    <mergeCell ref="H184:X184"/>
    <mergeCell ref="M178:P178"/>
    <mergeCell ref="Q178:T178"/>
    <mergeCell ref="U178:X178"/>
    <mergeCell ref="H178:J178"/>
    <mergeCell ref="K178:L178"/>
    <mergeCell ref="M177:P177"/>
    <mergeCell ref="Q177:T177"/>
    <mergeCell ref="U177:X177"/>
    <mergeCell ref="H97:N97"/>
    <mergeCell ref="O97:Q97"/>
    <mergeCell ref="H96:N96"/>
    <mergeCell ref="O96:Q96"/>
    <mergeCell ref="H143:X143"/>
    <mergeCell ref="K155:L155"/>
    <mergeCell ref="M155:P155"/>
    <mergeCell ref="Q155:T155"/>
    <mergeCell ref="U155:X155"/>
    <mergeCell ref="H152:J152"/>
    <mergeCell ref="H153:J153"/>
    <mergeCell ref="H154:J154"/>
    <mergeCell ref="H155:J155"/>
    <mergeCell ref="K151:L151"/>
    <mergeCell ref="M151:P151"/>
    <mergeCell ref="Q151:T151"/>
    <mergeCell ref="U151:X151"/>
    <mergeCell ref="H151:J151"/>
    <mergeCell ref="K152:L152"/>
    <mergeCell ref="M152:P152"/>
    <mergeCell ref="Q152:T152"/>
    <mergeCell ref="U152:X152"/>
    <mergeCell ref="K153:L153"/>
    <mergeCell ref="M153:P153"/>
    <mergeCell ref="S78:V78"/>
    <mergeCell ref="W78:X78"/>
    <mergeCell ref="S80:X80"/>
    <mergeCell ref="S81:X82"/>
    <mergeCell ref="I52:O52"/>
    <mergeCell ref="I53:O53"/>
    <mergeCell ref="I54:O54"/>
    <mergeCell ref="S63:X63"/>
    <mergeCell ref="S65:X65"/>
    <mergeCell ref="S68:V68"/>
    <mergeCell ref="W68:X68"/>
    <mergeCell ref="S66:X67"/>
    <mergeCell ref="S70:X70"/>
    <mergeCell ref="L64:Q64"/>
    <mergeCell ref="H65:K65"/>
    <mergeCell ref="L65:Q65"/>
    <mergeCell ref="H66:K66"/>
    <mergeCell ref="L66:Q66"/>
    <mergeCell ref="AM3:AM4"/>
    <mergeCell ref="AO3:AO4"/>
    <mergeCell ref="H13:X13"/>
    <mergeCell ref="I51:O51"/>
    <mergeCell ref="I20:W21"/>
    <mergeCell ref="H243:L251"/>
    <mergeCell ref="N243:R251"/>
    <mergeCell ref="T243:X251"/>
    <mergeCell ref="I22:W22"/>
    <mergeCell ref="I17:W19"/>
    <mergeCell ref="H59:X59"/>
    <mergeCell ref="H99:V99"/>
    <mergeCell ref="W99:X99"/>
    <mergeCell ref="H69:N69"/>
    <mergeCell ref="O69:Q69"/>
    <mergeCell ref="H70:N70"/>
    <mergeCell ref="H71:N71"/>
    <mergeCell ref="H72:N72"/>
    <mergeCell ref="H74:N74"/>
    <mergeCell ref="H75:N75"/>
    <mergeCell ref="H76:N76"/>
    <mergeCell ref="O70:Q70"/>
    <mergeCell ref="H89:Q89"/>
    <mergeCell ref="H91:N91"/>
    <mergeCell ref="C2:G4"/>
    <mergeCell ref="H264:L265"/>
    <mergeCell ref="N264:R265"/>
    <mergeCell ref="O71:Q71"/>
    <mergeCell ref="O72:Q72"/>
    <mergeCell ref="O75:Q75"/>
    <mergeCell ref="O76:Q76"/>
    <mergeCell ref="O74:Q74"/>
    <mergeCell ref="O73:Q73"/>
    <mergeCell ref="H78:N78"/>
    <mergeCell ref="O78:Q78"/>
    <mergeCell ref="H68:Q68"/>
    <mergeCell ref="O91:Q91"/>
    <mergeCell ref="H79:N79"/>
    <mergeCell ref="O79:Q79"/>
    <mergeCell ref="H80:N80"/>
    <mergeCell ref="O80:Q80"/>
    <mergeCell ref="O77:Q77"/>
    <mergeCell ref="H92:N92"/>
    <mergeCell ref="O92:Q92"/>
    <mergeCell ref="H93:N93"/>
    <mergeCell ref="O93:Q93"/>
    <mergeCell ref="H94:N94"/>
    <mergeCell ref="O94:Q94"/>
    <mergeCell ref="H338:X339"/>
    <mergeCell ref="H252:L253"/>
    <mergeCell ref="N252:R253"/>
    <mergeCell ref="T252:X253"/>
    <mergeCell ref="I6:W9"/>
    <mergeCell ref="P10:W11"/>
    <mergeCell ref="I23:T24"/>
    <mergeCell ref="W58:X58"/>
    <mergeCell ref="H58:V58"/>
    <mergeCell ref="H225:X225"/>
    <mergeCell ref="H231:L239"/>
    <mergeCell ref="N231:R239"/>
    <mergeCell ref="T231:X239"/>
    <mergeCell ref="H240:L241"/>
    <mergeCell ref="N240:R241"/>
    <mergeCell ref="T240:X241"/>
    <mergeCell ref="H282:X282"/>
    <mergeCell ref="H276:L277"/>
    <mergeCell ref="N276:R277"/>
    <mergeCell ref="H287:L295"/>
    <mergeCell ref="H323:L331"/>
    <mergeCell ref="N323:R331"/>
    <mergeCell ref="T323:X331"/>
    <mergeCell ref="S76:X77"/>
    <mergeCell ref="H332:L333"/>
    <mergeCell ref="N332:R333"/>
    <mergeCell ref="T332:X333"/>
    <mergeCell ref="N296:R297"/>
    <mergeCell ref="T296:X297"/>
    <mergeCell ref="H299:L307"/>
    <mergeCell ref="N299:R307"/>
    <mergeCell ref="T299:X307"/>
    <mergeCell ref="H308:L309"/>
    <mergeCell ref="N308:R309"/>
    <mergeCell ref="T308:X309"/>
    <mergeCell ref="H311:L319"/>
    <mergeCell ref="N311:R319"/>
    <mergeCell ref="T311:X319"/>
    <mergeCell ref="H296:L297"/>
    <mergeCell ref="H320:L321"/>
    <mergeCell ref="N320:R321"/>
    <mergeCell ref="T320:X321"/>
    <mergeCell ref="T276:X277"/>
    <mergeCell ref="H255:L263"/>
    <mergeCell ref="N255:R263"/>
    <mergeCell ref="T255:X263"/>
    <mergeCell ref="T264:X265"/>
    <mergeCell ref="H267:L275"/>
    <mergeCell ref="N267:R275"/>
    <mergeCell ref="T267:X275"/>
    <mergeCell ref="W281:X281"/>
    <mergeCell ref="N287:R295"/>
    <mergeCell ref="T287:X295"/>
    <mergeCell ref="X168:X171"/>
    <mergeCell ref="T172:T176"/>
    <mergeCell ref="Q172:S176"/>
    <mergeCell ref="U172:W176"/>
    <mergeCell ref="X172:X176"/>
    <mergeCell ref="U158:W158"/>
    <mergeCell ref="AK3:AK4"/>
    <mergeCell ref="H147:X147"/>
    <mergeCell ref="H148:J148"/>
    <mergeCell ref="K148:L148"/>
    <mergeCell ref="M148:P148"/>
    <mergeCell ref="Q148:T148"/>
    <mergeCell ref="U148:X148"/>
    <mergeCell ref="AH3:AH4"/>
    <mergeCell ref="AI3:AI4"/>
    <mergeCell ref="O81:Q81"/>
    <mergeCell ref="S83:V83"/>
    <mergeCell ref="W83:X83"/>
    <mergeCell ref="S85:X85"/>
    <mergeCell ref="H156:J156"/>
    <mergeCell ref="H165:J165"/>
    <mergeCell ref="K165:L165"/>
    <mergeCell ref="H157:X157"/>
    <mergeCell ref="U165:W165"/>
    <mergeCell ref="K160:L160"/>
    <mergeCell ref="H161:J161"/>
    <mergeCell ref="K161:L161"/>
    <mergeCell ref="U166:W166"/>
    <mergeCell ref="U159:W159"/>
    <mergeCell ref="U160:W160"/>
    <mergeCell ref="U161:W161"/>
    <mergeCell ref="U162:W162"/>
    <mergeCell ref="U163:W163"/>
    <mergeCell ref="U164:W164"/>
    <mergeCell ref="H158:J158"/>
    <mergeCell ref="K158:L158"/>
    <mergeCell ref="M158:O158"/>
    <mergeCell ref="Q158:S158"/>
    <mergeCell ref="H162:J162"/>
    <mergeCell ref="K162:L162"/>
    <mergeCell ref="H163:J163"/>
    <mergeCell ref="K163:L163"/>
    <mergeCell ref="H164:J164"/>
    <mergeCell ref="K164:L164"/>
    <mergeCell ref="H166:J166"/>
    <mergeCell ref="K166:L166"/>
    <mergeCell ref="Q153:T153"/>
    <mergeCell ref="U153:X153"/>
    <mergeCell ref="K154:L154"/>
    <mergeCell ref="M154:P154"/>
    <mergeCell ref="Q154:T154"/>
    <mergeCell ref="U154:X154"/>
    <mergeCell ref="K156:L156"/>
    <mergeCell ref="M156:P156"/>
    <mergeCell ref="Q156:T156"/>
    <mergeCell ref="U156:X156"/>
    <mergeCell ref="P168:P171"/>
    <mergeCell ref="M159:O159"/>
    <mergeCell ref="M160:O160"/>
    <mergeCell ref="H159:J159"/>
    <mergeCell ref="K159:L159"/>
    <mergeCell ref="H160:J160"/>
    <mergeCell ref="U167:W167"/>
    <mergeCell ref="M166:O166"/>
    <mergeCell ref="M168:O171"/>
    <mergeCell ref="Q159:S159"/>
    <mergeCell ref="Q160:S160"/>
    <mergeCell ref="Q161:S161"/>
    <mergeCell ref="Q162:S162"/>
    <mergeCell ref="Q163:S163"/>
    <mergeCell ref="Q164:S164"/>
    <mergeCell ref="Q165:S165"/>
    <mergeCell ref="Q166:S166"/>
    <mergeCell ref="Q167:S167"/>
    <mergeCell ref="M163:O163"/>
    <mergeCell ref="M164:O164"/>
    <mergeCell ref="M165:O165"/>
    <mergeCell ref="M161:O161"/>
    <mergeCell ref="M162:O162"/>
    <mergeCell ref="S88:V88"/>
    <mergeCell ref="W88:X88"/>
    <mergeCell ref="S90:X90"/>
    <mergeCell ref="S91:X92"/>
    <mergeCell ref="S93:V93"/>
    <mergeCell ref="W93:X93"/>
    <mergeCell ref="H87:N87"/>
    <mergeCell ref="O87:Q87"/>
    <mergeCell ref="AL3:AL4"/>
    <mergeCell ref="H82:Q82"/>
    <mergeCell ref="H84:N84"/>
    <mergeCell ref="O84:Q84"/>
    <mergeCell ref="H85:N85"/>
    <mergeCell ref="O85:Q85"/>
    <mergeCell ref="H86:N86"/>
    <mergeCell ref="O86:Q86"/>
    <mergeCell ref="O90:Q90"/>
    <mergeCell ref="S86:X87"/>
    <mergeCell ref="S71:X72"/>
    <mergeCell ref="S73:V73"/>
    <mergeCell ref="W73:X73"/>
    <mergeCell ref="S75:X75"/>
    <mergeCell ref="H63:Q63"/>
    <mergeCell ref="H64:K64"/>
    <mergeCell ref="H100:X100"/>
    <mergeCell ref="V220:X220"/>
    <mergeCell ref="V221:X221"/>
    <mergeCell ref="V209:X209"/>
    <mergeCell ref="V210:X210"/>
    <mergeCell ref="V211:X211"/>
    <mergeCell ref="V212:X212"/>
    <mergeCell ref="V213:X213"/>
    <mergeCell ref="V214:X214"/>
    <mergeCell ref="V215:X215"/>
    <mergeCell ref="V216:X216"/>
    <mergeCell ref="V217:X217"/>
    <mergeCell ref="H172:J176"/>
    <mergeCell ref="K172:L176"/>
    <mergeCell ref="U168:W171"/>
    <mergeCell ref="M172:O176"/>
    <mergeCell ref="P172:P176"/>
    <mergeCell ref="T168:T171"/>
    <mergeCell ref="H167:J167"/>
    <mergeCell ref="K167:L167"/>
    <mergeCell ref="M167:O167"/>
    <mergeCell ref="H168:J171"/>
    <mergeCell ref="K168:L171"/>
    <mergeCell ref="Q168:S171"/>
    <mergeCell ref="V123:X123"/>
    <mergeCell ref="H119:U119"/>
    <mergeCell ref="V119:X119"/>
    <mergeCell ref="H117:U117"/>
    <mergeCell ref="V117:X117"/>
    <mergeCell ref="H118:U118"/>
    <mergeCell ref="V118:X118"/>
    <mergeCell ref="H116:U116"/>
    <mergeCell ref="V116:X116"/>
    <mergeCell ref="H123:U123"/>
    <mergeCell ref="H142:U142"/>
    <mergeCell ref="W142:X142"/>
    <mergeCell ref="V124:X124"/>
    <mergeCell ref="H124:U124"/>
    <mergeCell ref="H125:U125"/>
    <mergeCell ref="V125:X125"/>
    <mergeCell ref="H126:U126"/>
    <mergeCell ref="V126:X126"/>
    <mergeCell ref="H127:U127"/>
    <mergeCell ref="V127:X127"/>
    <mergeCell ref="V131:X131"/>
    <mergeCell ref="H132:U132"/>
    <mergeCell ref="V132:X132"/>
    <mergeCell ref="V105:X105"/>
    <mergeCell ref="H105:U105"/>
    <mergeCell ref="H104:U104"/>
    <mergeCell ref="V104:X104"/>
    <mergeCell ref="H107:U107"/>
    <mergeCell ref="V107:X107"/>
    <mergeCell ref="H108:U108"/>
    <mergeCell ref="V108:X108"/>
    <mergeCell ref="H109:U109"/>
    <mergeCell ref="V109:X109"/>
    <mergeCell ref="V110:X110"/>
    <mergeCell ref="H110:U110"/>
    <mergeCell ref="H112:U112"/>
    <mergeCell ref="V112:X112"/>
    <mergeCell ref="H113:U113"/>
    <mergeCell ref="V113:X113"/>
    <mergeCell ref="H115:U115"/>
    <mergeCell ref="V115:X115"/>
    <mergeCell ref="H122:U122"/>
    <mergeCell ref="V122:X122"/>
    <mergeCell ref="I28:W48"/>
    <mergeCell ref="AN3:AN4"/>
    <mergeCell ref="AG3:AG4"/>
    <mergeCell ref="H224:U224"/>
    <mergeCell ref="H139:U139"/>
    <mergeCell ref="V139:X139"/>
    <mergeCell ref="H140:U140"/>
    <mergeCell ref="V140:X140"/>
    <mergeCell ref="AJ3:AJ4"/>
    <mergeCell ref="H134:U134"/>
    <mergeCell ref="V134:X134"/>
    <mergeCell ref="H136:U136"/>
    <mergeCell ref="V136:X136"/>
    <mergeCell ref="H137:U137"/>
    <mergeCell ref="V137:X137"/>
    <mergeCell ref="H138:U138"/>
    <mergeCell ref="V138:X138"/>
    <mergeCell ref="H128:U128"/>
    <mergeCell ref="V128:X128"/>
    <mergeCell ref="H129:U129"/>
    <mergeCell ref="V129:X129"/>
    <mergeCell ref="H130:U130"/>
    <mergeCell ref="V130:X130"/>
    <mergeCell ref="H131:U131"/>
  </mergeCells>
  <phoneticPr fontId="148" type="noConversion"/>
  <conditionalFormatting sqref="P159:P176">
    <cfRule type="cellIs" dxfId="112" priority="11" operator="lessThan">
      <formula>0</formula>
    </cfRule>
    <cfRule type="cellIs" dxfId="111" priority="12" operator="greaterThan">
      <formula>0</formula>
    </cfRule>
  </conditionalFormatting>
  <conditionalFormatting sqref="T159:T176">
    <cfRule type="cellIs" dxfId="110" priority="9" operator="lessThan">
      <formula>0</formula>
    </cfRule>
    <cfRule type="cellIs" dxfId="109" priority="10" operator="greaterThan">
      <formula>0</formula>
    </cfRule>
  </conditionalFormatting>
  <conditionalFormatting sqref="X159:X176">
    <cfRule type="cellIs" dxfId="108" priority="7" operator="lessThan">
      <formula>0</formula>
    </cfRule>
    <cfRule type="cellIs" dxfId="107" priority="8" operator="greaterThan">
      <formula>0</formula>
    </cfRule>
  </conditionalFormatting>
  <printOptions horizontalCentered="1" verticalCentered="1"/>
  <pageMargins left="0.25" right="0.25" top="0.5" bottom="0.5" header="0.3" footer="0.3"/>
  <pageSetup scale="70" fitToHeight="3" orientation="portrait" r:id="rId1"/>
  <headerFooter scaleWithDoc="0" alignWithMargins="0"/>
  <ignoredErrors>
    <ignoredError sqref="H29 H242:X252 H40:H48 X40:X48 H49:X50 H55:X55 H51 P51:X51 H25 X25:X27 H26:H28 X28 X34:X35 H34:H35 H52 H56:X57 P52:X52 H54 P54:X54 H253:X264 H265:X276 H277:X278 H13 H32:H33 H30:H31 X30:X31 X29 X32:X33" unlockedFormula="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wsESTIMATE_REPORTS" filterMode="1">
    <tabColor theme="4" tint="0.79998168889431442"/>
    <pageSetUpPr fitToPage="1"/>
  </sheetPr>
  <dimension ref="B1:AD1142"/>
  <sheetViews>
    <sheetView showGridLines="0" showRowColHeaders="0" zoomScaleNormal="100" workbookViewId="0">
      <pane ySplit="4" topLeftCell="A46" activePane="bottomLeft" state="frozen"/>
      <selection pane="bottomLeft" activeCell="N3" sqref="N3:O3"/>
    </sheetView>
  </sheetViews>
  <sheetFormatPr defaultColWidth="8.8984375" defaultRowHeight="15"/>
  <cols>
    <col min="1" max="1" width="25.19921875" style="12" customWidth="1"/>
    <col min="2" max="2" width="23" style="12" customWidth="1"/>
    <col min="3" max="5" width="9.09765625" style="194" customWidth="1"/>
    <col min="6" max="6" width="1.44921875" style="194" customWidth="1"/>
    <col min="7" max="8" width="9.09765625" style="194" customWidth="1"/>
    <col min="9" max="9" width="9.6484375" style="195" customWidth="1"/>
    <col min="10" max="10" width="9.09765625" style="196" customWidth="1"/>
    <col min="11" max="13" width="9.09765625" style="197" customWidth="1"/>
    <col min="14" max="15" width="9.09765625" style="213" customWidth="1"/>
    <col min="16" max="16" width="8.44921875" style="13" hidden="1" customWidth="1"/>
    <col min="17" max="17" width="5.44921875" style="12" hidden="1" customWidth="1"/>
    <col min="18" max="18" width="14.09765625" style="12" hidden="1" customWidth="1"/>
    <col min="19" max="19" width="16.6484375" style="12" hidden="1" customWidth="1"/>
    <col min="20" max="20" width="13" style="12" hidden="1" customWidth="1"/>
    <col min="21" max="21" width="13" style="12" customWidth="1"/>
    <col min="22" max="23" width="11.8984375" style="12" customWidth="1"/>
    <col min="24" max="24" width="2.09765625" style="12" customWidth="1"/>
    <col min="25" max="28" width="8.8984375" style="12" customWidth="1"/>
    <col min="29" max="30" width="8.8984375" style="12" hidden="1" customWidth="1"/>
    <col min="31" max="31" width="8.8984375" style="12" customWidth="1"/>
    <col min="32" max="16384" width="8.8984375" style="12"/>
  </cols>
  <sheetData>
    <row r="1" spans="2:30" s="109" customFormat="1" ht="45" customHeight="1">
      <c r="C1" s="193"/>
      <c r="D1" s="193"/>
      <c r="E1" s="193"/>
      <c r="F1" s="193"/>
      <c r="G1" s="193"/>
      <c r="H1" s="193"/>
      <c r="I1" s="193"/>
      <c r="J1" s="193"/>
      <c r="K1" s="193"/>
      <c r="L1" s="193"/>
      <c r="M1" s="193"/>
      <c r="N1" s="193"/>
      <c r="O1" s="193"/>
    </row>
    <row r="2" spans="2:30" s="110" customFormat="1" ht="21.6" customHeight="1" thickBot="1">
      <c r="B2" s="3654" t="s">
        <v>1361</v>
      </c>
      <c r="C2" s="207"/>
      <c r="D2" s="208"/>
      <c r="E2" s="208"/>
      <c r="F2" s="208"/>
      <c r="G2" s="208"/>
      <c r="H2" s="208"/>
      <c r="I2" s="209"/>
      <c r="J2" s="210"/>
      <c r="N2" s="3796" t="s">
        <v>500</v>
      </c>
      <c r="O2" s="3796"/>
      <c r="P2" s="119"/>
      <c r="AC2" s="453" t="s">
        <v>1163</v>
      </c>
      <c r="AD2" s="453" t="s">
        <v>1164</v>
      </c>
    </row>
    <row r="3" spans="2:30" s="110" customFormat="1" ht="22.5" customHeight="1" thickBot="1">
      <c r="B3" s="3654"/>
      <c r="C3" s="207"/>
      <c r="D3" s="208"/>
      <c r="E3" s="208"/>
      <c r="F3" s="208"/>
      <c r="G3" s="208"/>
      <c r="H3" s="208"/>
      <c r="I3" s="209"/>
      <c r="J3" s="212"/>
      <c r="N3" s="3797" t="s">
        <v>468</v>
      </c>
      <c r="O3" s="3798"/>
      <c r="P3" s="119"/>
      <c r="AC3" s="3819" t="s">
        <v>1126</v>
      </c>
      <c r="AD3" s="3819" t="s">
        <v>1126</v>
      </c>
    </row>
    <row r="4" spans="2:30" s="116" customFormat="1" ht="7.5" customHeight="1">
      <c r="B4" s="3655"/>
      <c r="C4" s="233"/>
      <c r="D4" s="234"/>
      <c r="E4" s="234"/>
      <c r="F4" s="234"/>
      <c r="G4" s="234"/>
      <c r="H4" s="234"/>
      <c r="I4" s="235"/>
      <c r="J4" s="236"/>
      <c r="K4" s="237"/>
      <c r="L4" s="237"/>
      <c r="M4" s="237"/>
      <c r="N4" s="238"/>
      <c r="O4" s="238"/>
      <c r="P4" s="239"/>
      <c r="AC4" s="3820"/>
      <c r="AD4" s="3820"/>
    </row>
    <row r="5" spans="2:30" ht="15" customHeight="1">
      <c r="I5" s="194"/>
      <c r="J5" s="194"/>
      <c r="K5" s="194"/>
      <c r="L5" s="194"/>
      <c r="M5" s="194"/>
      <c r="N5" s="194"/>
      <c r="O5" s="194"/>
      <c r="P5" s="194"/>
    </row>
    <row r="6" spans="2:30" ht="18.600000000000001" customHeight="1">
      <c r="D6" s="3731" t="s">
        <v>1369</v>
      </c>
      <c r="E6" s="3731"/>
      <c r="F6" s="3731"/>
      <c r="G6" s="3731"/>
      <c r="H6" s="3731"/>
      <c r="I6" s="3731"/>
      <c r="J6" s="3731"/>
      <c r="K6" s="3731"/>
      <c r="L6" s="3731"/>
      <c r="M6" s="3731"/>
      <c r="N6" s="3731"/>
      <c r="O6" s="194"/>
      <c r="P6" s="194"/>
    </row>
    <row r="7" spans="2:30" ht="18.600000000000001" customHeight="1">
      <c r="D7" s="3731"/>
      <c r="E7" s="3731"/>
      <c r="F7" s="3731"/>
      <c r="G7" s="3731"/>
      <c r="H7" s="3731"/>
      <c r="I7" s="3731"/>
      <c r="J7" s="3731"/>
      <c r="K7" s="3731"/>
      <c r="L7" s="3731"/>
      <c r="M7" s="3731"/>
      <c r="N7" s="3731"/>
      <c r="O7" s="194"/>
      <c r="P7" s="194"/>
    </row>
    <row r="8" spans="2:30" ht="18.600000000000001" customHeight="1">
      <c r="D8" s="3731"/>
      <c r="E8" s="3731"/>
      <c r="F8" s="3731"/>
      <c r="G8" s="3731"/>
      <c r="H8" s="3731"/>
      <c r="I8" s="3731"/>
      <c r="J8" s="3731"/>
      <c r="K8" s="3731"/>
      <c r="L8" s="3731"/>
      <c r="M8" s="3731"/>
      <c r="N8" s="3731"/>
      <c r="O8" s="194"/>
      <c r="P8" s="194"/>
    </row>
    <row r="9" spans="2:30" ht="18.600000000000001" customHeight="1">
      <c r="D9" s="3731"/>
      <c r="E9" s="3731"/>
      <c r="F9" s="3731"/>
      <c r="G9" s="3731"/>
      <c r="H9" s="3731"/>
      <c r="I9" s="3731"/>
      <c r="J9" s="3731"/>
      <c r="K9" s="3731"/>
      <c r="L9" s="3731"/>
      <c r="M9" s="3731"/>
      <c r="N9" s="3731"/>
      <c r="O9" s="194"/>
      <c r="P9" s="194"/>
    </row>
    <row r="10" spans="2:30" ht="18.600000000000001" customHeight="1">
      <c r="D10" s="677"/>
      <c r="E10" s="677"/>
      <c r="F10" s="677"/>
      <c r="G10" s="677"/>
      <c r="H10" s="677"/>
      <c r="I10" s="677"/>
      <c r="J10" s="3732" t="s">
        <v>1368</v>
      </c>
      <c r="K10" s="3732"/>
      <c r="L10" s="3732"/>
      <c r="M10" s="3732"/>
      <c r="N10" s="3732"/>
      <c r="O10" s="194"/>
      <c r="P10" s="194"/>
    </row>
    <row r="11" spans="2:30" ht="18.600000000000001" customHeight="1">
      <c r="D11" s="677"/>
      <c r="E11" s="677"/>
      <c r="F11" s="677"/>
      <c r="G11" s="677"/>
      <c r="H11" s="677"/>
      <c r="I11" s="677"/>
      <c r="J11" s="3732"/>
      <c r="K11" s="3732"/>
      <c r="L11" s="3732"/>
      <c r="M11" s="3732"/>
      <c r="N11" s="3732"/>
      <c r="O11" s="194"/>
      <c r="P11" s="194"/>
    </row>
    <row r="12" spans="2:30" ht="15" customHeight="1">
      <c r="I12" s="194"/>
      <c r="J12" s="194"/>
      <c r="K12" s="194"/>
      <c r="L12" s="194"/>
      <c r="M12" s="194"/>
      <c r="N12" s="194"/>
      <c r="O12" s="194"/>
      <c r="P12" s="194"/>
    </row>
    <row r="13" spans="2:30" ht="22.7" customHeight="1">
      <c r="C13" s="3816" t="str">
        <f>CONCATENATE(Street_Address,", ",City_State_Zip)</f>
        <v>, 0</v>
      </c>
      <c r="D13" s="3817"/>
      <c r="E13" s="3817"/>
      <c r="F13" s="3817"/>
      <c r="G13" s="3817"/>
      <c r="H13" s="3817"/>
      <c r="I13" s="3817"/>
      <c r="J13" s="3817"/>
      <c r="K13" s="3817"/>
      <c r="L13" s="3817"/>
      <c r="M13" s="3817"/>
      <c r="N13" s="3817"/>
      <c r="O13" s="3818"/>
      <c r="P13" s="194"/>
    </row>
    <row r="14" spans="2:30" ht="15" customHeight="1">
      <c r="C14" s="3799" t="s">
        <v>1179</v>
      </c>
      <c r="D14" s="3799"/>
      <c r="E14" s="3799"/>
      <c r="F14" s="3799"/>
      <c r="G14" s="3799"/>
      <c r="H14" s="3799"/>
      <c r="I14" s="3799"/>
      <c r="J14" s="215"/>
      <c r="K14" s="216"/>
      <c r="L14" s="3800"/>
      <c r="M14" s="3800"/>
      <c r="N14" s="3800"/>
      <c r="O14" s="3800"/>
      <c r="P14" s="478">
        <v>1</v>
      </c>
    </row>
    <row r="15" spans="2:30" ht="15" customHeight="1">
      <c r="C15" s="3799"/>
      <c r="D15" s="3799"/>
      <c r="E15" s="3799"/>
      <c r="F15" s="3799"/>
      <c r="G15" s="3799"/>
      <c r="H15" s="3799"/>
      <c r="I15" s="3799"/>
      <c r="J15" s="215"/>
      <c r="K15" s="216"/>
      <c r="L15" s="3800"/>
      <c r="M15" s="3800"/>
      <c r="N15" s="3800"/>
      <c r="O15" s="3800"/>
      <c r="P15" s="478">
        <v>1</v>
      </c>
    </row>
    <row r="16" spans="2:30" ht="15" customHeight="1">
      <c r="C16" s="3802"/>
      <c r="D16" s="3802"/>
      <c r="E16" s="3802"/>
      <c r="F16" s="3802"/>
      <c r="G16" s="3802"/>
      <c r="H16" s="217"/>
      <c r="I16" s="214"/>
      <c r="J16" s="215"/>
      <c r="K16" s="216"/>
      <c r="L16" s="216"/>
      <c r="M16" s="216"/>
      <c r="N16" s="218"/>
      <c r="O16" s="218"/>
      <c r="P16" s="478">
        <v>1</v>
      </c>
    </row>
    <row r="17" spans="2:19" ht="15" customHeight="1">
      <c r="C17" s="3802"/>
      <c r="D17" s="3802"/>
      <c r="E17" s="3802"/>
      <c r="F17" s="3802"/>
      <c r="G17" s="3802"/>
      <c r="H17" s="219"/>
      <c r="I17" s="220"/>
      <c r="J17" s="220"/>
      <c r="K17" s="216"/>
      <c r="L17" s="221"/>
      <c r="M17" s="221"/>
      <c r="N17" s="222"/>
      <c r="O17" s="222"/>
      <c r="P17" s="478">
        <v>1</v>
      </c>
    </row>
    <row r="18" spans="2:19" ht="15" customHeight="1" thickBot="1">
      <c r="B18" s="16"/>
      <c r="C18" s="231"/>
      <c r="D18" s="231"/>
      <c r="E18" s="231"/>
      <c r="F18" s="231"/>
      <c r="G18" s="223"/>
      <c r="H18" s="219"/>
      <c r="I18" s="224"/>
      <c r="J18" s="224"/>
      <c r="K18" s="224"/>
      <c r="L18" s="221"/>
      <c r="M18" s="221"/>
      <c r="N18" s="222"/>
      <c r="O18" s="222"/>
      <c r="P18" s="478">
        <v>1</v>
      </c>
      <c r="S18" s="12" t="s">
        <v>468</v>
      </c>
    </row>
    <row r="19" spans="2:19" ht="15" customHeight="1">
      <c r="B19" s="6"/>
      <c r="C19" s="3803" t="s">
        <v>1367</v>
      </c>
      <c r="D19" s="3804"/>
      <c r="E19" s="3804"/>
      <c r="F19" s="3804"/>
      <c r="G19" s="3804"/>
      <c r="H19" s="3804"/>
      <c r="I19" s="3804"/>
      <c r="J19" s="3804"/>
      <c r="K19" s="3804"/>
      <c r="L19" s="3804"/>
      <c r="M19" s="3804"/>
      <c r="N19" s="3804"/>
      <c r="O19" s="3805"/>
      <c r="P19" s="478">
        <v>1</v>
      </c>
      <c r="S19" s="12" t="s">
        <v>467</v>
      </c>
    </row>
    <row r="20" spans="2:19" ht="15" customHeight="1">
      <c r="B20" s="6"/>
      <c r="C20" s="3806"/>
      <c r="D20" s="3807"/>
      <c r="E20" s="3807"/>
      <c r="F20" s="3807"/>
      <c r="G20" s="3807"/>
      <c r="H20" s="3807"/>
      <c r="I20" s="3807"/>
      <c r="J20" s="3807"/>
      <c r="K20" s="3807"/>
      <c r="L20" s="3807"/>
      <c r="M20" s="3807"/>
      <c r="N20" s="3807"/>
      <c r="O20" s="3808"/>
      <c r="P20" s="478">
        <v>1</v>
      </c>
    </row>
    <row r="21" spans="2:19" ht="15" customHeight="1">
      <c r="B21" s="6"/>
      <c r="C21" s="3806"/>
      <c r="D21" s="3807"/>
      <c r="E21" s="3807"/>
      <c r="F21" s="3807"/>
      <c r="G21" s="3807"/>
      <c r="H21" s="3807"/>
      <c r="I21" s="3807"/>
      <c r="J21" s="3807"/>
      <c r="K21" s="3807"/>
      <c r="L21" s="3807"/>
      <c r="M21" s="3807"/>
      <c r="N21" s="3807"/>
      <c r="O21" s="3808"/>
      <c r="P21" s="478"/>
    </row>
    <row r="22" spans="2:19" ht="15" customHeight="1">
      <c r="B22" s="6"/>
      <c r="C22" s="3806"/>
      <c r="D22" s="3807"/>
      <c r="E22" s="3807"/>
      <c r="F22" s="3807"/>
      <c r="G22" s="3807"/>
      <c r="H22" s="3807"/>
      <c r="I22" s="3807"/>
      <c r="J22" s="3807"/>
      <c r="K22" s="3807"/>
      <c r="L22" s="3807"/>
      <c r="M22" s="3807"/>
      <c r="N22" s="3807"/>
      <c r="O22" s="3808"/>
      <c r="P22" s="478">
        <v>1</v>
      </c>
    </row>
    <row r="23" spans="2:19" ht="15" customHeight="1">
      <c r="B23" s="6"/>
      <c r="C23" s="3806"/>
      <c r="D23" s="3807"/>
      <c r="E23" s="3807"/>
      <c r="F23" s="3807"/>
      <c r="G23" s="3807"/>
      <c r="H23" s="3807"/>
      <c r="I23" s="3807"/>
      <c r="J23" s="3807"/>
      <c r="K23" s="3807"/>
      <c r="L23" s="3807"/>
      <c r="M23" s="3807"/>
      <c r="N23" s="3807"/>
      <c r="O23" s="3808"/>
      <c r="P23" s="478">
        <v>1</v>
      </c>
    </row>
    <row r="24" spans="2:19" ht="15" customHeight="1" thickBot="1">
      <c r="B24" s="6"/>
      <c r="C24" s="3809"/>
      <c r="D24" s="3810"/>
      <c r="E24" s="3810"/>
      <c r="F24" s="3810"/>
      <c r="G24" s="3810"/>
      <c r="H24" s="3810"/>
      <c r="I24" s="3810"/>
      <c r="J24" s="3810"/>
      <c r="K24" s="3810"/>
      <c r="L24" s="3810"/>
      <c r="M24" s="3810"/>
      <c r="N24" s="3810"/>
      <c r="O24" s="3811"/>
      <c r="P24" s="478">
        <v>1</v>
      </c>
    </row>
    <row r="25" spans="2:19" ht="9" customHeight="1">
      <c r="C25" s="226"/>
      <c r="D25" s="226"/>
      <c r="E25" s="226"/>
      <c r="F25" s="226"/>
      <c r="G25" s="226"/>
      <c r="H25" s="226"/>
      <c r="I25" s="226"/>
      <c r="J25" s="226"/>
      <c r="K25" s="226"/>
      <c r="L25" s="227"/>
      <c r="M25" s="227"/>
      <c r="N25" s="227"/>
      <c r="O25" s="227"/>
      <c r="P25" s="478">
        <v>1</v>
      </c>
    </row>
    <row r="26" spans="2:19" ht="27.75" customHeight="1">
      <c r="C26" s="3812" t="s">
        <v>965</v>
      </c>
      <c r="D26" s="3813"/>
      <c r="E26" s="3813"/>
      <c r="F26" s="3813"/>
      <c r="G26" s="3813"/>
      <c r="H26" s="3813" t="s">
        <v>413</v>
      </c>
      <c r="I26" s="3813"/>
      <c r="J26" s="940" t="s">
        <v>966</v>
      </c>
      <c r="K26" s="940" t="s">
        <v>934</v>
      </c>
      <c r="L26" s="3813" t="s">
        <v>801</v>
      </c>
      <c r="M26" s="3813"/>
      <c r="N26" s="3813"/>
      <c r="O26" s="3814"/>
      <c r="P26" s="232" t="s">
        <v>457</v>
      </c>
    </row>
    <row r="27" spans="2:19" ht="21.75" customHeight="1">
      <c r="C27" s="3725" t="str">
        <f>'2 REPAIR ESTIMATOR'!N75</f>
        <v>GENERAL CONDITIONS</v>
      </c>
      <c r="D27" s="3726"/>
      <c r="E27" s="3726"/>
      <c r="F27" s="3726"/>
      <c r="G27" s="3726"/>
      <c r="H27" s="3815">
        <f>N113</f>
        <v>0</v>
      </c>
      <c r="I27" s="3815" t="e">
        <f>#REF!</f>
        <v>#REF!</v>
      </c>
      <c r="J27" s="911">
        <f t="shared" ref="J27:J50" si="0">IFERROR(H27/Square_Feet,0)</f>
        <v>0</v>
      </c>
      <c r="K27" s="912">
        <f t="shared" ref="K27:K50" si="1">IFERROR(IF(Estimate_Report_Adders_Selection="Allocate Adders",H27/TOTAL_REPAIRS_ESTIMATE,H27/$H$60),0)</f>
        <v>0</v>
      </c>
      <c r="L27" s="3774"/>
      <c r="M27" s="3774"/>
      <c r="N27" s="3774"/>
      <c r="O27" s="3775"/>
      <c r="P27" s="479">
        <f>IF(H27&gt;0,1,0)</f>
        <v>0</v>
      </c>
    </row>
    <row r="28" spans="2:19" ht="21.75" customHeight="1">
      <c r="C28" s="3725" t="str">
        <f>'2 REPAIR ESTIMATOR'!N76</f>
        <v>DEMOLITION</v>
      </c>
      <c r="D28" s="3726"/>
      <c r="E28" s="3726"/>
      <c r="F28" s="3726"/>
      <c r="G28" s="3726"/>
      <c r="H28" s="3815">
        <f>N156</f>
        <v>0</v>
      </c>
      <c r="I28" s="3815">
        <f>N108</f>
        <v>0</v>
      </c>
      <c r="J28" s="911">
        <f t="shared" si="0"/>
        <v>0</v>
      </c>
      <c r="K28" s="912">
        <f t="shared" si="1"/>
        <v>0</v>
      </c>
      <c r="L28" s="3774"/>
      <c r="M28" s="3774"/>
      <c r="N28" s="3774"/>
      <c r="O28" s="3775"/>
      <c r="P28" s="479">
        <f t="shared" ref="P28:P51" si="2">IF(H28&gt;0,1,0)</f>
        <v>0</v>
      </c>
    </row>
    <row r="29" spans="2:19" ht="21.75" customHeight="1">
      <c r="C29" s="3725" t="str">
        <f>'2 REPAIR ESTIMATOR'!N77</f>
        <v>STRUCTURAL CONCRETE</v>
      </c>
      <c r="D29" s="3726"/>
      <c r="E29" s="3726"/>
      <c r="F29" s="3726"/>
      <c r="G29" s="3726"/>
      <c r="H29" s="3815">
        <f>N199</f>
        <v>0</v>
      </c>
      <c r="I29" s="3815">
        <f>N151</f>
        <v>0</v>
      </c>
      <c r="J29" s="911">
        <f t="shared" si="0"/>
        <v>0</v>
      </c>
      <c r="K29" s="912">
        <f t="shared" si="1"/>
        <v>0</v>
      </c>
      <c r="L29" s="3774"/>
      <c r="M29" s="3774"/>
      <c r="N29" s="3774"/>
      <c r="O29" s="3775"/>
      <c r="P29" s="479">
        <f t="shared" si="2"/>
        <v>0</v>
      </c>
    </row>
    <row r="30" spans="2:19" ht="21.75" customHeight="1">
      <c r="C30" s="3725" t="str">
        <f>'2 REPAIR ESTIMATOR'!N78</f>
        <v>CONCRETE &amp; FLATWORK</v>
      </c>
      <c r="D30" s="3726"/>
      <c r="E30" s="3726"/>
      <c r="F30" s="3726"/>
      <c r="G30" s="3726"/>
      <c r="H30" s="3815">
        <f>N242</f>
        <v>0</v>
      </c>
      <c r="I30" s="3815">
        <f>N194</f>
        <v>0</v>
      </c>
      <c r="J30" s="911">
        <f t="shared" si="0"/>
        <v>0</v>
      </c>
      <c r="K30" s="912">
        <f t="shared" si="1"/>
        <v>0</v>
      </c>
      <c r="L30" s="3774"/>
      <c r="M30" s="3774"/>
      <c r="N30" s="3774"/>
      <c r="O30" s="3775"/>
      <c r="P30" s="479">
        <f t="shared" si="2"/>
        <v>0</v>
      </c>
    </row>
    <row r="31" spans="2:19" ht="21.75" customHeight="1">
      <c r="C31" s="3725" t="str">
        <f>'2 REPAIR ESTIMATOR'!N79</f>
        <v>MASONRY</v>
      </c>
      <c r="D31" s="3726"/>
      <c r="E31" s="3726"/>
      <c r="F31" s="3726"/>
      <c r="G31" s="3726"/>
      <c r="H31" s="3815">
        <f>N285</f>
        <v>0</v>
      </c>
      <c r="I31" s="3815">
        <f>N237</f>
        <v>0</v>
      </c>
      <c r="J31" s="911">
        <f t="shared" si="0"/>
        <v>0</v>
      </c>
      <c r="K31" s="912">
        <f t="shared" si="1"/>
        <v>0</v>
      </c>
      <c r="L31" s="3774"/>
      <c r="M31" s="3774"/>
      <c r="N31" s="3774"/>
      <c r="O31" s="3775"/>
      <c r="P31" s="479">
        <f t="shared" si="2"/>
        <v>0</v>
      </c>
    </row>
    <row r="32" spans="2:19" ht="21.75" customHeight="1">
      <c r="C32" s="3725" t="str">
        <f>'2 REPAIR ESTIMATOR'!N80</f>
        <v>SIDING</v>
      </c>
      <c r="D32" s="3726"/>
      <c r="E32" s="3726"/>
      <c r="F32" s="3726"/>
      <c r="G32" s="3726"/>
      <c r="H32" s="3815">
        <f>N328</f>
        <v>0</v>
      </c>
      <c r="I32" s="3815">
        <f>N280</f>
        <v>0</v>
      </c>
      <c r="J32" s="911">
        <f t="shared" si="0"/>
        <v>0</v>
      </c>
      <c r="K32" s="912">
        <f t="shared" si="1"/>
        <v>0</v>
      </c>
      <c r="L32" s="3774"/>
      <c r="M32" s="3774"/>
      <c r="N32" s="3774"/>
      <c r="O32" s="3775"/>
      <c r="P32" s="479">
        <f t="shared" si="2"/>
        <v>0</v>
      </c>
    </row>
    <row r="33" spans="3:16" ht="21.75" customHeight="1">
      <c r="C33" s="3725" t="str">
        <f>'2 REPAIR ESTIMATOR'!N81</f>
        <v>DECKING AND PATIOS</v>
      </c>
      <c r="D33" s="3726"/>
      <c r="E33" s="3726"/>
      <c r="F33" s="3726"/>
      <c r="G33" s="3726"/>
      <c r="H33" s="3815">
        <f>N371</f>
        <v>0</v>
      </c>
      <c r="I33" s="3815">
        <f>N323</f>
        <v>0</v>
      </c>
      <c r="J33" s="911">
        <f t="shared" si="0"/>
        <v>0</v>
      </c>
      <c r="K33" s="912">
        <f t="shared" si="1"/>
        <v>0</v>
      </c>
      <c r="L33" s="3774"/>
      <c r="M33" s="3774"/>
      <c r="N33" s="3774"/>
      <c r="O33" s="3775"/>
      <c r="P33" s="479">
        <f t="shared" si="2"/>
        <v>0</v>
      </c>
    </row>
    <row r="34" spans="3:16" ht="21.75" customHeight="1">
      <c r="C34" s="3725" t="str">
        <f>'2 REPAIR ESTIMATOR'!N82</f>
        <v>ROOFING</v>
      </c>
      <c r="D34" s="3726"/>
      <c r="E34" s="3726"/>
      <c r="F34" s="3726"/>
      <c r="G34" s="3726"/>
      <c r="H34" s="3815">
        <f>N414</f>
        <v>0</v>
      </c>
      <c r="I34" s="3815">
        <f>N366</f>
        <v>0</v>
      </c>
      <c r="J34" s="911">
        <f t="shared" si="0"/>
        <v>0</v>
      </c>
      <c r="K34" s="912">
        <f t="shared" si="1"/>
        <v>0</v>
      </c>
      <c r="L34" s="3774"/>
      <c r="M34" s="3774"/>
      <c r="N34" s="3774"/>
      <c r="O34" s="3775"/>
      <c r="P34" s="479">
        <f t="shared" si="2"/>
        <v>0</v>
      </c>
    </row>
    <row r="35" spans="3:16" ht="21.75" customHeight="1">
      <c r="C35" s="3725" t="str">
        <f>'2 REPAIR ESTIMATOR'!Y75</f>
        <v>EXTERIOR DOORS &amp; WINDOWS</v>
      </c>
      <c r="D35" s="3726"/>
      <c r="E35" s="3726"/>
      <c r="F35" s="3726"/>
      <c r="G35" s="3726"/>
      <c r="H35" s="3815">
        <f>N457</f>
        <v>0</v>
      </c>
      <c r="I35" s="3815"/>
      <c r="J35" s="911">
        <f t="shared" si="0"/>
        <v>0</v>
      </c>
      <c r="K35" s="912">
        <f t="shared" si="1"/>
        <v>0</v>
      </c>
      <c r="L35" s="3774"/>
      <c r="M35" s="3774"/>
      <c r="N35" s="3774"/>
      <c r="O35" s="3775"/>
      <c r="P35" s="479">
        <f t="shared" si="2"/>
        <v>0</v>
      </c>
    </row>
    <row r="36" spans="3:16" ht="21.75" customHeight="1">
      <c r="C36" s="3725" t="str">
        <f>'2 REPAIR ESTIMATOR'!Y76</f>
        <v>GARAGE DOORS</v>
      </c>
      <c r="D36" s="3726"/>
      <c r="E36" s="3726"/>
      <c r="F36" s="3726"/>
      <c r="G36" s="3726"/>
      <c r="H36" s="3815">
        <f>N500</f>
        <v>0</v>
      </c>
      <c r="I36" s="3815"/>
      <c r="J36" s="911">
        <f t="shared" si="0"/>
        <v>0</v>
      </c>
      <c r="K36" s="912">
        <f t="shared" si="1"/>
        <v>0</v>
      </c>
      <c r="L36" s="3774"/>
      <c r="M36" s="3774"/>
      <c r="N36" s="3774"/>
      <c r="O36" s="3775"/>
      <c r="P36" s="479">
        <f t="shared" si="2"/>
        <v>0</v>
      </c>
    </row>
    <row r="37" spans="3:16" ht="21.75" customHeight="1">
      <c r="C37" s="3725" t="str">
        <f>'2 REPAIR ESTIMATOR'!Y77</f>
        <v>LANDSCAPING</v>
      </c>
      <c r="D37" s="3726"/>
      <c r="E37" s="3726"/>
      <c r="F37" s="3726"/>
      <c r="G37" s="3726"/>
      <c r="H37" s="3815">
        <f>N543</f>
        <v>0</v>
      </c>
      <c r="I37" s="3815"/>
      <c r="J37" s="911">
        <f t="shared" si="0"/>
        <v>0</v>
      </c>
      <c r="K37" s="912">
        <f t="shared" si="1"/>
        <v>0</v>
      </c>
      <c r="L37" s="3774"/>
      <c r="M37" s="3774"/>
      <c r="N37" s="3774"/>
      <c r="O37" s="3775"/>
      <c r="P37" s="479">
        <f t="shared" si="2"/>
        <v>0</v>
      </c>
    </row>
    <row r="38" spans="3:16" ht="21.75" customHeight="1">
      <c r="C38" s="3725" t="str">
        <f>'2 REPAIR ESTIMATOR'!Y78</f>
        <v>MISC. EXTERIOR ITEMS</v>
      </c>
      <c r="D38" s="3726"/>
      <c r="E38" s="3726"/>
      <c r="F38" s="3726"/>
      <c r="G38" s="3726"/>
      <c r="H38" s="3815">
        <f>N586</f>
        <v>0</v>
      </c>
      <c r="I38" s="3815"/>
      <c r="J38" s="911">
        <f t="shared" si="0"/>
        <v>0</v>
      </c>
      <c r="K38" s="912">
        <f t="shared" si="1"/>
        <v>0</v>
      </c>
      <c r="L38" s="3774"/>
      <c r="M38" s="3774"/>
      <c r="N38" s="3774"/>
      <c r="O38" s="3775"/>
      <c r="P38" s="479">
        <f t="shared" si="2"/>
        <v>0</v>
      </c>
    </row>
    <row r="39" spans="3:16" ht="21.75" customHeight="1">
      <c r="C39" s="3725" t="str">
        <f>'2 REPAIR ESTIMATOR'!Y79</f>
        <v>FRAMING &amp; DRYWALL</v>
      </c>
      <c r="D39" s="3726"/>
      <c r="E39" s="3726"/>
      <c r="F39" s="3726"/>
      <c r="G39" s="3726"/>
      <c r="H39" s="3815">
        <f>N629</f>
        <v>0</v>
      </c>
      <c r="I39" s="3815"/>
      <c r="J39" s="911">
        <f t="shared" si="0"/>
        <v>0</v>
      </c>
      <c r="K39" s="912">
        <f t="shared" si="1"/>
        <v>0</v>
      </c>
      <c r="L39" s="3774"/>
      <c r="M39" s="3774"/>
      <c r="N39" s="3774"/>
      <c r="O39" s="3775"/>
      <c r="P39" s="479">
        <f t="shared" si="2"/>
        <v>0</v>
      </c>
    </row>
    <row r="40" spans="3:16" ht="21.75" customHeight="1">
      <c r="C40" s="3725" t="str">
        <f>'2 REPAIR ESTIMATOR'!Y80</f>
        <v>CABINETS &amp; COUNTERTOPS</v>
      </c>
      <c r="D40" s="3726"/>
      <c r="E40" s="3726"/>
      <c r="F40" s="3726"/>
      <c r="G40" s="3726"/>
      <c r="H40" s="3815">
        <f>N672</f>
        <v>0</v>
      </c>
      <c r="I40" s="3815"/>
      <c r="J40" s="911">
        <f t="shared" si="0"/>
        <v>0</v>
      </c>
      <c r="K40" s="912">
        <f t="shared" si="1"/>
        <v>0</v>
      </c>
      <c r="L40" s="3774"/>
      <c r="M40" s="3774"/>
      <c r="N40" s="3774"/>
      <c r="O40" s="3775"/>
      <c r="P40" s="479">
        <f t="shared" si="2"/>
        <v>0</v>
      </c>
    </row>
    <row r="41" spans="3:16" ht="21.75" customHeight="1">
      <c r="C41" s="3725" t="str">
        <f>'2 REPAIR ESTIMATOR'!Y81</f>
        <v>DOORS &amp; TRIM</v>
      </c>
      <c r="D41" s="3726"/>
      <c r="E41" s="3726"/>
      <c r="F41" s="3726"/>
      <c r="G41" s="3726"/>
      <c r="H41" s="3815">
        <f>N715</f>
        <v>0</v>
      </c>
      <c r="I41" s="3815"/>
      <c r="J41" s="911">
        <f t="shared" si="0"/>
        <v>0</v>
      </c>
      <c r="K41" s="912">
        <f t="shared" si="1"/>
        <v>0</v>
      </c>
      <c r="L41" s="3774"/>
      <c r="M41" s="3774"/>
      <c r="N41" s="3774"/>
      <c r="O41" s="3775"/>
      <c r="P41" s="479">
        <f t="shared" si="2"/>
        <v>0</v>
      </c>
    </row>
    <row r="42" spans="3:16" ht="21.75" customHeight="1">
      <c r="C42" s="3725" t="str">
        <f>'2 REPAIR ESTIMATOR'!Y82</f>
        <v>CARPET &amp; RESILIENT</v>
      </c>
      <c r="D42" s="3726"/>
      <c r="E42" s="3726"/>
      <c r="F42" s="3726"/>
      <c r="G42" s="3726"/>
      <c r="H42" s="3815">
        <f>N758</f>
        <v>0</v>
      </c>
      <c r="I42" s="3815"/>
      <c r="J42" s="911">
        <f t="shared" si="0"/>
        <v>0</v>
      </c>
      <c r="K42" s="912">
        <f t="shared" si="1"/>
        <v>0</v>
      </c>
      <c r="L42" s="3774"/>
      <c r="M42" s="3774"/>
      <c r="N42" s="3774"/>
      <c r="O42" s="3775"/>
      <c r="P42" s="479">
        <f t="shared" si="2"/>
        <v>0</v>
      </c>
    </row>
    <row r="43" spans="3:16" ht="21.75" customHeight="1">
      <c r="C43" s="3725" t="str">
        <f>'2 REPAIR ESTIMATOR'!AJ75</f>
        <v>HARDWOOD FLOORING</v>
      </c>
      <c r="D43" s="3726"/>
      <c r="E43" s="3726"/>
      <c r="F43" s="3726"/>
      <c r="G43" s="3726"/>
      <c r="H43" s="3815">
        <f>N801</f>
        <v>0</v>
      </c>
      <c r="I43" s="3815"/>
      <c r="J43" s="911">
        <f t="shared" si="0"/>
        <v>0</v>
      </c>
      <c r="K43" s="912">
        <f t="shared" si="1"/>
        <v>0</v>
      </c>
      <c r="L43" s="3774"/>
      <c r="M43" s="3774"/>
      <c r="N43" s="3774"/>
      <c r="O43" s="3775"/>
      <c r="P43" s="479">
        <f t="shared" si="2"/>
        <v>0</v>
      </c>
    </row>
    <row r="44" spans="3:16" ht="21.75" customHeight="1">
      <c r="C44" s="3725" t="str">
        <f>'2 REPAIR ESTIMATOR'!AJ76</f>
        <v>TILING</v>
      </c>
      <c r="D44" s="3726"/>
      <c r="E44" s="3726"/>
      <c r="F44" s="3726"/>
      <c r="G44" s="3726"/>
      <c r="H44" s="3815">
        <f>N844</f>
        <v>0</v>
      </c>
      <c r="I44" s="3815"/>
      <c r="J44" s="911">
        <f t="shared" si="0"/>
        <v>0</v>
      </c>
      <c r="K44" s="912">
        <f t="shared" si="1"/>
        <v>0</v>
      </c>
      <c r="L44" s="3774"/>
      <c r="M44" s="3774"/>
      <c r="N44" s="3774"/>
      <c r="O44" s="3775"/>
      <c r="P44" s="479">
        <f t="shared" si="2"/>
        <v>0</v>
      </c>
    </row>
    <row r="45" spans="3:16" ht="21.75" customHeight="1">
      <c r="C45" s="3725" t="str">
        <f>'2 REPAIR ESTIMATOR'!AJ77</f>
        <v>PAINTING</v>
      </c>
      <c r="D45" s="3726"/>
      <c r="E45" s="3726"/>
      <c r="F45" s="3726"/>
      <c r="G45" s="3726"/>
      <c r="H45" s="3815">
        <f>N887</f>
        <v>0</v>
      </c>
      <c r="I45" s="3815"/>
      <c r="J45" s="911">
        <f t="shared" si="0"/>
        <v>0</v>
      </c>
      <c r="K45" s="912">
        <f t="shared" si="1"/>
        <v>0</v>
      </c>
      <c r="L45" s="3774"/>
      <c r="M45" s="3774"/>
      <c r="N45" s="3774"/>
      <c r="O45" s="3775"/>
      <c r="P45" s="479">
        <f t="shared" si="2"/>
        <v>0</v>
      </c>
    </row>
    <row r="46" spans="3:16" ht="21.75" customHeight="1">
      <c r="C46" s="3725" t="str">
        <f>'2 REPAIR ESTIMATOR'!AJ78</f>
        <v>APPLIANCES</v>
      </c>
      <c r="D46" s="3726"/>
      <c r="E46" s="3726"/>
      <c r="F46" s="3726"/>
      <c r="G46" s="3726"/>
      <c r="H46" s="3815">
        <f>N930</f>
        <v>0</v>
      </c>
      <c r="I46" s="3815"/>
      <c r="J46" s="911">
        <f t="shared" si="0"/>
        <v>0</v>
      </c>
      <c r="K46" s="912">
        <f t="shared" si="1"/>
        <v>0</v>
      </c>
      <c r="L46" s="3774"/>
      <c r="M46" s="3774"/>
      <c r="N46" s="3774"/>
      <c r="O46" s="3775"/>
      <c r="P46" s="479">
        <f t="shared" si="2"/>
        <v>0</v>
      </c>
    </row>
    <row r="47" spans="3:16" ht="21.75" customHeight="1">
      <c r="C47" s="3725" t="str">
        <f>'2 REPAIR ESTIMATOR'!AJ79</f>
        <v>PLUMBING</v>
      </c>
      <c r="D47" s="3726"/>
      <c r="E47" s="3726"/>
      <c r="F47" s="3726"/>
      <c r="G47" s="3726"/>
      <c r="H47" s="3815">
        <f>N973</f>
        <v>0</v>
      </c>
      <c r="I47" s="3815"/>
      <c r="J47" s="911">
        <f t="shared" si="0"/>
        <v>0</v>
      </c>
      <c r="K47" s="912">
        <f t="shared" si="1"/>
        <v>0</v>
      </c>
      <c r="L47" s="3774"/>
      <c r="M47" s="3774"/>
      <c r="N47" s="3774"/>
      <c r="O47" s="3775"/>
      <c r="P47" s="479">
        <f t="shared" si="2"/>
        <v>0</v>
      </c>
    </row>
    <row r="48" spans="3:16" ht="21.75" customHeight="1">
      <c r="C48" s="3725" t="str">
        <f>'2 REPAIR ESTIMATOR'!AJ80</f>
        <v>HVAC</v>
      </c>
      <c r="D48" s="3726"/>
      <c r="E48" s="3726"/>
      <c r="F48" s="3726"/>
      <c r="G48" s="3726"/>
      <c r="H48" s="3815">
        <f>N1016</f>
        <v>0</v>
      </c>
      <c r="I48" s="3815"/>
      <c r="J48" s="911">
        <f t="shared" si="0"/>
        <v>0</v>
      </c>
      <c r="K48" s="912">
        <f t="shared" si="1"/>
        <v>0</v>
      </c>
      <c r="L48" s="3774"/>
      <c r="M48" s="3774"/>
      <c r="N48" s="3774"/>
      <c r="O48" s="3775"/>
      <c r="P48" s="479">
        <f t="shared" si="2"/>
        <v>0</v>
      </c>
    </row>
    <row r="49" spans="3:16" ht="21.75" customHeight="1">
      <c r="C49" s="3725" t="str">
        <f>'2 REPAIR ESTIMATOR'!AJ81</f>
        <v>ELECTRICAL</v>
      </c>
      <c r="D49" s="3726"/>
      <c r="E49" s="3726"/>
      <c r="F49" s="3726"/>
      <c r="G49" s="3726"/>
      <c r="H49" s="3815">
        <f>N1059</f>
        <v>0</v>
      </c>
      <c r="I49" s="3815"/>
      <c r="J49" s="911">
        <f t="shared" si="0"/>
        <v>0</v>
      </c>
      <c r="K49" s="912">
        <f t="shared" si="1"/>
        <v>0</v>
      </c>
      <c r="L49" s="3774"/>
      <c r="M49" s="3774"/>
      <c r="N49" s="3774"/>
      <c r="O49" s="3775"/>
      <c r="P49" s="479">
        <f t="shared" si="2"/>
        <v>0</v>
      </c>
    </row>
    <row r="50" spans="3:16" ht="21.75" customHeight="1" thickBot="1">
      <c r="C50" s="3727" t="str">
        <f>'2 REPAIR ESTIMATOR'!AJ82</f>
        <v>MISCELLANEOUS</v>
      </c>
      <c r="D50" s="3728"/>
      <c r="E50" s="3728"/>
      <c r="F50" s="3728"/>
      <c r="G50" s="3728"/>
      <c r="H50" s="3824">
        <f>N1102</f>
        <v>0</v>
      </c>
      <c r="I50" s="3824"/>
      <c r="J50" s="924">
        <f t="shared" si="0"/>
        <v>0</v>
      </c>
      <c r="K50" s="925">
        <f t="shared" si="1"/>
        <v>0</v>
      </c>
      <c r="L50" s="3776"/>
      <c r="M50" s="3776"/>
      <c r="N50" s="3776"/>
      <c r="O50" s="3777"/>
      <c r="P50" s="479">
        <f t="shared" si="2"/>
        <v>0</v>
      </c>
    </row>
    <row r="51" spans="3:16" ht="21" thickTop="1">
      <c r="C51" s="3729" t="str">
        <f>IF(Estimate_Report_Adders_Selection="Allocate Adders","TOTAL ESTIMATE","SUBTOTAL ESTIMATE")</f>
        <v>SUBTOTAL ESTIMATE</v>
      </c>
      <c r="D51" s="3729"/>
      <c r="E51" s="3729"/>
      <c r="F51" s="3729"/>
      <c r="G51" s="3729"/>
      <c r="H51" s="3760">
        <f>SUM(H27:H50)</f>
        <v>0</v>
      </c>
      <c r="I51" s="3760"/>
      <c r="J51" s="516">
        <f>SUM(J27:J50)</f>
        <v>0</v>
      </c>
      <c r="K51" s="513">
        <f>SUM(K27:K50)</f>
        <v>0</v>
      </c>
      <c r="L51" s="512"/>
      <c r="M51" s="512"/>
      <c r="N51" s="512"/>
      <c r="O51" s="514"/>
      <c r="P51" s="479">
        <f t="shared" si="2"/>
        <v>0</v>
      </c>
    </row>
    <row r="52" spans="3:16" ht="20.7">
      <c r="C52" s="515"/>
      <c r="D52" s="515"/>
      <c r="E52" s="515"/>
      <c r="F52" s="515"/>
      <c r="G52" s="515"/>
      <c r="H52" s="498"/>
      <c r="I52" s="498"/>
      <c r="J52" s="516"/>
      <c r="K52" s="517"/>
      <c r="L52" s="512"/>
      <c r="M52" s="512"/>
      <c r="N52" s="512"/>
      <c r="O52" s="512"/>
      <c r="P52" s="480" t="b">
        <f t="shared" ref="P52:P58" si="3">IF($H$58&gt;0,1)</f>
        <v>0</v>
      </c>
    </row>
    <row r="53" spans="3:16" ht="20.7">
      <c r="C53" s="3729" t="s">
        <v>1128</v>
      </c>
      <c r="D53" s="3729"/>
      <c r="E53" s="3729"/>
      <c r="F53" s="3729"/>
      <c r="G53" s="3729"/>
      <c r="H53" s="3751" t="s">
        <v>1160</v>
      </c>
      <c r="I53" s="3751"/>
      <c r="J53" s="518" t="s">
        <v>335</v>
      </c>
      <c r="K53" s="518" t="s">
        <v>934</v>
      </c>
      <c r="L53" s="512"/>
      <c r="M53" s="512"/>
      <c r="N53" s="512"/>
      <c r="O53" s="512"/>
      <c r="P53" s="480" t="b">
        <f t="shared" si="3"/>
        <v>0</v>
      </c>
    </row>
    <row r="54" spans="3:16" ht="18">
      <c r="C54" s="3752" t="str">
        <f>CONCATENATE("Location Multiplier of ",TEXT(Location_Mutiplier,"0.00"))</f>
        <v>Location Multiplier of 0.00</v>
      </c>
      <c r="D54" s="3753"/>
      <c r="E54" s="3753"/>
      <c r="F54" s="3753"/>
      <c r="G54" s="3753"/>
      <c r="H54" s="3730">
        <f>Location_Mutiplier_Amount</f>
        <v>0</v>
      </c>
      <c r="I54" s="3730"/>
      <c r="J54" s="585">
        <f>IFERROR(H54/Square_Feet,0)</f>
        <v>0</v>
      </c>
      <c r="K54" s="588">
        <f>IFERROR(H54/$H$60,0)</f>
        <v>0</v>
      </c>
      <c r="L54" s="3733" t="s">
        <v>1298</v>
      </c>
      <c r="M54" s="3734"/>
      <c r="N54" s="3734"/>
      <c r="O54" s="3735"/>
      <c r="P54" s="480" t="b">
        <f t="shared" si="3"/>
        <v>0</v>
      </c>
    </row>
    <row r="55" spans="3:16" ht="18">
      <c r="C55" s="3754" t="str">
        <f>CONCATENATE("Building Permit Costs (",TEXT(Permit_Percentage,"0.0%"),")")</f>
        <v>Building Permit Costs (0.0%)</v>
      </c>
      <c r="D55" s="3755"/>
      <c r="E55" s="3755"/>
      <c r="F55" s="3755"/>
      <c r="G55" s="3755"/>
      <c r="H55" s="3756">
        <f>Permit_Amount</f>
        <v>0</v>
      </c>
      <c r="I55" s="3756"/>
      <c r="J55" s="586">
        <f>IFERROR(H55/Square_Feet,0)</f>
        <v>0</v>
      </c>
      <c r="K55" s="589">
        <f>IFERROR(H55/$H$60,0)</f>
        <v>0</v>
      </c>
      <c r="L55" s="3736"/>
      <c r="M55" s="3737"/>
      <c r="N55" s="3737"/>
      <c r="O55" s="3738"/>
      <c r="P55" s="480" t="b">
        <f t="shared" si="3"/>
        <v>0</v>
      </c>
    </row>
    <row r="56" spans="3:16" ht="18">
      <c r="C56" s="3754" t="str">
        <f>CONCATENATE("Contractors Overhead and Profit (",TEXT(Contractos_Overhead_Percentage,"0.0%"),")")</f>
        <v>Contractors Overhead and Profit (0.0%)</v>
      </c>
      <c r="D56" s="3755"/>
      <c r="E56" s="3755"/>
      <c r="F56" s="3755"/>
      <c r="G56" s="3755"/>
      <c r="H56" s="3756">
        <f>Contractors_Overhead_Profit_Amount</f>
        <v>0</v>
      </c>
      <c r="I56" s="3756"/>
      <c r="J56" s="586">
        <f>IFERROR(H56/Square_Feet,0)</f>
        <v>0</v>
      </c>
      <c r="K56" s="589">
        <f>IFERROR(H56/$H$60,0)</f>
        <v>0</v>
      </c>
      <c r="L56" s="3736"/>
      <c r="M56" s="3737"/>
      <c r="N56" s="3737"/>
      <c r="O56" s="3738"/>
      <c r="P56" s="480" t="b">
        <f t="shared" si="3"/>
        <v>0</v>
      </c>
    </row>
    <row r="57" spans="3:16" ht="18">
      <c r="C57" s="3757" t="str">
        <f>CONCATENATE("Estimate Contingency  (",TEXT(Contingency_Percentage,"0.0%"),")")</f>
        <v>Estimate Contingency  (0.0%)</v>
      </c>
      <c r="D57" s="3758"/>
      <c r="E57" s="3758"/>
      <c r="F57" s="3758"/>
      <c r="G57" s="3758"/>
      <c r="H57" s="3759">
        <f>Contingency_Amount</f>
        <v>0</v>
      </c>
      <c r="I57" s="3759"/>
      <c r="J57" s="587">
        <f>IFERROR(H57/Square_Feet,0)</f>
        <v>0</v>
      </c>
      <c r="K57" s="590">
        <f>IFERROR(H57/$H$60,0)</f>
        <v>0</v>
      </c>
      <c r="L57" s="3739"/>
      <c r="M57" s="3740"/>
      <c r="N57" s="3740"/>
      <c r="O57" s="3741"/>
      <c r="P57" s="480" t="b">
        <f t="shared" si="3"/>
        <v>0</v>
      </c>
    </row>
    <row r="58" spans="3:16" ht="20.7">
      <c r="C58" s="3729" t="s">
        <v>1158</v>
      </c>
      <c r="D58" s="3729"/>
      <c r="E58" s="3729"/>
      <c r="F58" s="3729"/>
      <c r="G58" s="3729"/>
      <c r="H58" s="3760">
        <f>TOTAL_ADDERS</f>
        <v>0</v>
      </c>
      <c r="I58" s="3760"/>
      <c r="J58" s="516">
        <f>IFERROR(H58/Square_Feet,0)</f>
        <v>0</v>
      </c>
      <c r="K58" s="513">
        <f>IFERROR(H58/$H$60,0)</f>
        <v>0</v>
      </c>
      <c r="L58" s="512"/>
      <c r="M58" s="512"/>
      <c r="N58" s="512"/>
      <c r="O58" s="512"/>
      <c r="P58" s="480" t="b">
        <f t="shared" si="3"/>
        <v>0</v>
      </c>
    </row>
    <row r="59" spans="3:16" ht="18">
      <c r="C59" s="445"/>
      <c r="D59" s="445"/>
      <c r="E59" s="445"/>
      <c r="F59" s="445"/>
      <c r="G59" s="445"/>
      <c r="H59" s="445"/>
      <c r="I59" s="445"/>
      <c r="J59" s="445"/>
      <c r="K59" s="445"/>
      <c r="L59" s="512"/>
      <c r="M59" s="512"/>
      <c r="N59" s="512"/>
      <c r="O59" s="512"/>
      <c r="P59" s="480" t="b">
        <f>IF($H$60&gt;0,1)</f>
        <v>0</v>
      </c>
    </row>
    <row r="60" spans="3:16" ht="20.7">
      <c r="C60" s="3784" t="s">
        <v>1156</v>
      </c>
      <c r="D60" s="3785"/>
      <c r="E60" s="3785"/>
      <c r="F60" s="3785"/>
      <c r="G60" s="3785"/>
      <c r="H60" s="3786">
        <f>H51+H58</f>
        <v>0</v>
      </c>
      <c r="I60" s="3786"/>
      <c r="J60" s="594">
        <f>J51+J58</f>
        <v>0</v>
      </c>
      <c r="K60" s="591">
        <f>IFERROR(H60/$H$60,0)</f>
        <v>0</v>
      </c>
      <c r="L60" s="592"/>
      <c r="M60" s="592"/>
      <c r="N60" s="592"/>
      <c r="O60" s="593"/>
      <c r="P60" s="480" t="b">
        <f>IF($H$60&gt;0,1)</f>
        <v>0</v>
      </c>
    </row>
    <row r="61" spans="3:16" ht="20.7">
      <c r="C61" s="584"/>
      <c r="D61" s="584"/>
      <c r="E61" s="584"/>
      <c r="F61" s="584"/>
      <c r="G61" s="584"/>
      <c r="H61" s="583"/>
      <c r="I61" s="583"/>
      <c r="J61" s="516"/>
      <c r="K61" s="513"/>
      <c r="L61" s="512"/>
      <c r="M61" s="512"/>
      <c r="N61" s="512"/>
      <c r="O61" s="512"/>
      <c r="P61" s="480"/>
    </row>
    <row r="62" spans="3:16" ht="20.7">
      <c r="C62" s="515"/>
      <c r="D62" s="515"/>
      <c r="E62" s="515"/>
      <c r="F62" s="515"/>
      <c r="G62" s="515"/>
      <c r="H62" s="498"/>
      <c r="I62" s="498"/>
      <c r="J62" s="516"/>
      <c r="K62" s="517"/>
      <c r="L62" s="512"/>
      <c r="M62" s="512"/>
      <c r="N62" s="512"/>
      <c r="O62" s="512"/>
      <c r="P62" s="480">
        <v>1</v>
      </c>
    </row>
    <row r="63" spans="3:16" ht="20.7">
      <c r="C63" s="519"/>
      <c r="D63" s="519"/>
      <c r="E63" s="519"/>
      <c r="F63" s="519"/>
      <c r="G63" s="519"/>
      <c r="H63" s="520"/>
      <c r="I63" s="520"/>
      <c r="J63" s="520"/>
      <c r="K63" s="521"/>
      <c r="L63" s="522"/>
      <c r="M63" s="522"/>
      <c r="N63" s="522"/>
      <c r="O63" s="522"/>
      <c r="P63" s="480">
        <v>1</v>
      </c>
    </row>
    <row r="64" spans="3:16" ht="18">
      <c r="C64" s="3823" t="str">
        <f>T(Company_Name)</f>
        <v/>
      </c>
      <c r="D64" s="3823"/>
      <c r="E64" s="3823"/>
      <c r="F64" s="3823"/>
      <c r="G64" s="3823"/>
      <c r="H64" s="3821">
        <f>(Company_Phone)</f>
        <v>0</v>
      </c>
      <c r="I64" s="3821"/>
      <c r="J64" s="3822" t="str">
        <f>T(Company_Email)</f>
        <v/>
      </c>
      <c r="K64" s="3822"/>
      <c r="L64" s="3822"/>
      <c r="M64" s="3778" t="str">
        <f>T(Company_Website)</f>
        <v/>
      </c>
      <c r="N64" s="3778"/>
      <c r="O64" s="3778"/>
      <c r="P64" s="480" t="b">
        <f>IF($H$60&gt;0,1)</f>
        <v>0</v>
      </c>
    </row>
    <row r="65" spans="2:23" ht="22.7" customHeight="1">
      <c r="C65" s="3816" t="str">
        <f>CONCATENATE(Street_Address,", ",City_State_Zip)</f>
        <v>, 0</v>
      </c>
      <c r="D65" s="3817"/>
      <c r="E65" s="3817"/>
      <c r="F65" s="3817"/>
      <c r="G65" s="3817"/>
      <c r="H65" s="3817"/>
      <c r="I65" s="3817"/>
      <c r="J65" s="3817"/>
      <c r="K65" s="3817"/>
      <c r="L65" s="3817"/>
      <c r="M65" s="3817"/>
      <c r="N65" s="3817"/>
      <c r="O65" s="3818"/>
      <c r="P65" s="480"/>
    </row>
    <row r="66" spans="2:23" ht="18">
      <c r="C66" s="3799" t="s">
        <v>1671</v>
      </c>
      <c r="D66" s="3799"/>
      <c r="E66" s="3799"/>
      <c r="F66" s="3799"/>
      <c r="G66" s="3799"/>
      <c r="H66" s="3799"/>
      <c r="I66" s="214"/>
      <c r="J66" s="215"/>
      <c r="K66" s="216"/>
      <c r="L66" s="3800"/>
      <c r="M66" s="3800"/>
      <c r="N66" s="3800"/>
      <c r="O66" s="3800"/>
      <c r="P66" s="479">
        <v>1</v>
      </c>
    </row>
    <row r="67" spans="2:23" ht="15" customHeight="1">
      <c r="C67" s="3799"/>
      <c r="D67" s="3799"/>
      <c r="E67" s="3799"/>
      <c r="F67" s="3799"/>
      <c r="G67" s="3799"/>
      <c r="H67" s="3799"/>
      <c r="I67" s="214"/>
      <c r="J67" s="215"/>
      <c r="K67" s="216"/>
      <c r="L67" s="3800"/>
      <c r="M67" s="3800"/>
      <c r="N67" s="3800"/>
      <c r="O67" s="3800"/>
      <c r="P67" s="479">
        <v>1</v>
      </c>
    </row>
    <row r="68" spans="2:23" ht="15" customHeight="1" thickBot="1">
      <c r="B68" s="16"/>
      <c r="C68" s="225"/>
      <c r="D68" s="225"/>
      <c r="E68" s="225"/>
      <c r="F68" s="225"/>
      <c r="G68" s="223"/>
      <c r="H68" s="219"/>
      <c r="I68" s="224"/>
      <c r="J68" s="224"/>
      <c r="K68" s="224"/>
      <c r="L68" s="221"/>
      <c r="M68" s="221"/>
      <c r="N68" s="222"/>
      <c r="O68" s="222"/>
      <c r="P68" s="479">
        <v>1</v>
      </c>
      <c r="S68" s="12" t="s">
        <v>468</v>
      </c>
    </row>
    <row r="69" spans="2:23" ht="17.850000000000001" customHeight="1">
      <c r="C69" s="3764" t="s">
        <v>0</v>
      </c>
      <c r="D69" s="3765"/>
      <c r="E69" s="3765"/>
      <c r="F69" s="3765"/>
      <c r="G69" s="3765"/>
      <c r="H69" s="3766"/>
      <c r="I69" s="3770" t="s">
        <v>40</v>
      </c>
      <c r="J69" s="3772" t="s">
        <v>35</v>
      </c>
      <c r="K69" s="3801" t="s">
        <v>522</v>
      </c>
      <c r="L69" s="3801"/>
      <c r="M69" s="3801"/>
      <c r="N69" s="3715" t="s">
        <v>81</v>
      </c>
      <c r="O69" s="3716"/>
      <c r="P69" s="913"/>
      <c r="S69" s="12" t="s">
        <v>1555</v>
      </c>
    </row>
    <row r="70" spans="2:23" ht="26.85" customHeight="1">
      <c r="C70" s="3767"/>
      <c r="D70" s="3768"/>
      <c r="E70" s="3768"/>
      <c r="F70" s="3768"/>
      <c r="G70" s="3768"/>
      <c r="H70" s="3769"/>
      <c r="I70" s="3771"/>
      <c r="J70" s="3773"/>
      <c r="K70" s="914" t="s">
        <v>310</v>
      </c>
      <c r="L70" s="914" t="s">
        <v>311</v>
      </c>
      <c r="M70" s="914" t="s">
        <v>295</v>
      </c>
      <c r="N70" s="3717"/>
      <c r="O70" s="3718"/>
      <c r="P70" s="915" t="s">
        <v>457</v>
      </c>
      <c r="S70" s="12">
        <f>IF(S69="Allocate Adders",1+Adders_Percentage,1)</f>
        <v>1</v>
      </c>
    </row>
    <row r="71" spans="2:23" ht="5.85" customHeight="1">
      <c r="C71" s="3794"/>
      <c r="D71" s="3794"/>
      <c r="E71" s="3794"/>
      <c r="F71" s="3794"/>
      <c r="G71" s="3794"/>
      <c r="H71" s="3794"/>
      <c r="I71" s="491"/>
      <c r="J71" s="492"/>
      <c r="K71" s="493"/>
      <c r="L71" s="493"/>
      <c r="M71" s="493"/>
      <c r="N71" s="3795"/>
      <c r="O71" s="3795"/>
      <c r="P71" s="228"/>
    </row>
    <row r="72" spans="2:23" ht="21" hidden="1" customHeight="1" thickBot="1">
      <c r="C72" s="3782" t="str">
        <f>T('2 REPAIR ESTIMATOR'!D87:O87)</f>
        <v>GENERAL CONDITIONS</v>
      </c>
      <c r="D72" s="3783"/>
      <c r="E72" s="3783"/>
      <c r="F72" s="3783"/>
      <c r="G72" s="3783"/>
      <c r="H72" s="3783"/>
      <c r="I72" s="799">
        <f>SUM(I73:I112)</f>
        <v>0</v>
      </c>
      <c r="J72" s="800"/>
      <c r="K72" s="850"/>
      <c r="L72" s="850"/>
      <c r="M72" s="850"/>
      <c r="N72" s="3722"/>
      <c r="O72" s="3722"/>
      <c r="P72" s="489">
        <f t="shared" ref="P72:P92" si="4">I72</f>
        <v>0</v>
      </c>
      <c r="S72" s="34" t="s">
        <v>802</v>
      </c>
      <c r="T72" s="34" t="s">
        <v>412</v>
      </c>
      <c r="U72" s="34" t="s">
        <v>803</v>
      </c>
      <c r="V72" s="34" t="s">
        <v>458</v>
      </c>
      <c r="W72" s="34" t="s">
        <v>38</v>
      </c>
    </row>
    <row r="73" spans="2:23" ht="15.75" hidden="1" customHeight="1" thickBot="1">
      <c r="C73" s="3792" t="str">
        <f>T('2 REPAIR ESTIMATOR'!D88:O88)</f>
        <v>Dumpster rental-40 yard</v>
      </c>
      <c r="D73" s="3793"/>
      <c r="E73" s="3793"/>
      <c r="F73" s="3793"/>
      <c r="G73" s="3793"/>
      <c r="H73" s="3793"/>
      <c r="I73" s="916">
        <f>'2 REPAIR ESTIMATOR'!P88</f>
        <v>0</v>
      </c>
      <c r="J73" s="917" t="str">
        <f>'2 REPAIR ESTIMATOR'!S88</f>
        <v>ea</v>
      </c>
      <c r="K73" s="918">
        <f t="shared" ref="K73:K112" si="5">IF($N$3="subbed",U73,S73)*$S$70</f>
        <v>0</v>
      </c>
      <c r="L73" s="918">
        <f>V73*$S$70</f>
        <v>0</v>
      </c>
      <c r="M73" s="918">
        <f>W73*$S$70</f>
        <v>0</v>
      </c>
      <c r="N73" s="3719">
        <f>SUM(K73:M73)</f>
        <v>0</v>
      </c>
      <c r="O73" s="3719"/>
      <c r="P73" s="489">
        <f t="shared" si="4"/>
        <v>0</v>
      </c>
      <c r="S73" s="32">
        <f>'2 REPAIR ESTIMATOR'!AD88</f>
        <v>0</v>
      </c>
      <c r="T73" s="32">
        <f>'2 REPAIR ESTIMATOR'!AM88</f>
        <v>0</v>
      </c>
      <c r="U73" s="32">
        <f>T73+S73</f>
        <v>0</v>
      </c>
      <c r="V73" s="32">
        <f>'2 REPAIR ESTIMATOR'!AG88</f>
        <v>0</v>
      </c>
      <c r="W73" s="32">
        <f>'2 REPAIR ESTIMATOR'!AJ88</f>
        <v>0</v>
      </c>
    </row>
    <row r="74" spans="2:23" ht="16.5" hidden="1" customHeight="1" thickBot="1">
      <c r="C74" s="3792" t="str">
        <f>T('2 REPAIR ESTIMATOR'!D89:O89)</f>
        <v>Storage Container</v>
      </c>
      <c r="D74" s="3793"/>
      <c r="E74" s="3793"/>
      <c r="F74" s="3793"/>
      <c r="G74" s="3793"/>
      <c r="H74" s="3793"/>
      <c r="I74" s="916">
        <f>'2 REPAIR ESTIMATOR'!P89</f>
        <v>0</v>
      </c>
      <c r="J74" s="917" t="str">
        <f>'2 REPAIR ESTIMATOR'!S89</f>
        <v>job</v>
      </c>
      <c r="K74" s="918">
        <f t="shared" si="5"/>
        <v>0</v>
      </c>
      <c r="L74" s="918">
        <f t="shared" ref="L74:L112" si="6">V74*$S$70</f>
        <v>0</v>
      </c>
      <c r="M74" s="918">
        <f t="shared" ref="M74:M112" si="7">W74*$S$70</f>
        <v>0</v>
      </c>
      <c r="N74" s="3719">
        <f t="shared" ref="N74:N112" si="8">SUM(K74:M74)</f>
        <v>0</v>
      </c>
      <c r="O74" s="3719"/>
      <c r="P74" s="490">
        <f t="shared" si="4"/>
        <v>0</v>
      </c>
      <c r="S74" s="32">
        <f>'2 REPAIR ESTIMATOR'!AD89</f>
        <v>0</v>
      </c>
      <c r="T74" s="32">
        <f>'2 REPAIR ESTIMATOR'!AM89</f>
        <v>0</v>
      </c>
      <c r="U74" s="32">
        <f t="shared" ref="U74:U112" si="9">T74+S74</f>
        <v>0</v>
      </c>
      <c r="V74" s="32">
        <f>'2 REPAIR ESTIMATOR'!AG89</f>
        <v>0</v>
      </c>
      <c r="W74" s="32">
        <f>'2 REPAIR ESTIMATOR'!AJ89</f>
        <v>0</v>
      </c>
    </row>
    <row r="75" spans="2:23" ht="18" hidden="1">
      <c r="C75" s="3792" t="str">
        <f>T('2 REPAIR ESTIMATOR'!D90:O90)</f>
        <v>Chemical Toilet</v>
      </c>
      <c r="D75" s="3793"/>
      <c r="E75" s="3793"/>
      <c r="F75" s="3793"/>
      <c r="G75" s="3793"/>
      <c r="H75" s="3793"/>
      <c r="I75" s="916">
        <f>'2 REPAIR ESTIMATOR'!P90</f>
        <v>0</v>
      </c>
      <c r="J75" s="917" t="str">
        <f>'2 REPAIR ESTIMATOR'!S90</f>
        <v>mo</v>
      </c>
      <c r="K75" s="918">
        <f t="shared" si="5"/>
        <v>0</v>
      </c>
      <c r="L75" s="918">
        <f t="shared" si="6"/>
        <v>0</v>
      </c>
      <c r="M75" s="918">
        <f t="shared" si="7"/>
        <v>0</v>
      </c>
      <c r="N75" s="3719">
        <f t="shared" si="8"/>
        <v>0</v>
      </c>
      <c r="O75" s="3719"/>
      <c r="P75" s="490">
        <f t="shared" si="4"/>
        <v>0</v>
      </c>
      <c r="S75" s="32">
        <f>'2 REPAIR ESTIMATOR'!AD90</f>
        <v>0</v>
      </c>
      <c r="T75" s="32">
        <f>'2 REPAIR ESTIMATOR'!AM90</f>
        <v>0</v>
      </c>
      <c r="U75" s="32">
        <f t="shared" si="9"/>
        <v>0</v>
      </c>
      <c r="V75" s="32">
        <f>'2 REPAIR ESTIMATOR'!AG90</f>
        <v>0</v>
      </c>
      <c r="W75" s="32">
        <f>'2 REPAIR ESTIMATOR'!AJ90</f>
        <v>0</v>
      </c>
    </row>
    <row r="76" spans="2:23" ht="18" hidden="1">
      <c r="C76" s="3792" t="str">
        <f>T('2 REPAIR ESTIMATOR'!D91:O91)</f>
        <v>Misc. Tools &amp; Materials</v>
      </c>
      <c r="D76" s="3793"/>
      <c r="E76" s="3793"/>
      <c r="F76" s="3793"/>
      <c r="G76" s="3793"/>
      <c r="H76" s="3793"/>
      <c r="I76" s="916">
        <f>'2 REPAIR ESTIMATOR'!P91</f>
        <v>0</v>
      </c>
      <c r="J76" s="917" t="str">
        <f>'2 REPAIR ESTIMATOR'!S91</f>
        <v>ls</v>
      </c>
      <c r="K76" s="918">
        <f t="shared" si="5"/>
        <v>0</v>
      </c>
      <c r="L76" s="918">
        <f t="shared" si="6"/>
        <v>0</v>
      </c>
      <c r="M76" s="918">
        <f t="shared" si="7"/>
        <v>0</v>
      </c>
      <c r="N76" s="3719">
        <f t="shared" si="8"/>
        <v>0</v>
      </c>
      <c r="O76" s="3719"/>
      <c r="P76" s="490">
        <f t="shared" si="4"/>
        <v>0</v>
      </c>
      <c r="S76" s="32">
        <f>'2 REPAIR ESTIMATOR'!AD91</f>
        <v>0</v>
      </c>
      <c r="T76" s="32">
        <f>'2 REPAIR ESTIMATOR'!AM91</f>
        <v>0</v>
      </c>
      <c r="U76" s="32">
        <f t="shared" si="9"/>
        <v>0</v>
      </c>
      <c r="V76" s="32">
        <f>'2 REPAIR ESTIMATOR'!AG91</f>
        <v>0</v>
      </c>
      <c r="W76" s="32">
        <f>'2 REPAIR ESTIMATOR'!AJ91</f>
        <v>0</v>
      </c>
    </row>
    <row r="77" spans="2:23" ht="18" hidden="1">
      <c r="C77" s="3792" t="str">
        <f>T('2 REPAIR ESTIMATOR'!D92:O92)</f>
        <v>Rekey/lock box</v>
      </c>
      <c r="D77" s="3793"/>
      <c r="E77" s="3793"/>
      <c r="F77" s="3793"/>
      <c r="G77" s="3793"/>
      <c r="H77" s="3793"/>
      <c r="I77" s="916">
        <f>'2 REPAIR ESTIMATOR'!P92</f>
        <v>0</v>
      </c>
      <c r="J77" s="917" t="str">
        <f>'2 REPAIR ESTIMATOR'!S92</f>
        <v>ea</v>
      </c>
      <c r="K77" s="918">
        <f t="shared" si="5"/>
        <v>0</v>
      </c>
      <c r="L77" s="918">
        <f t="shared" si="6"/>
        <v>0</v>
      </c>
      <c r="M77" s="918">
        <f t="shared" si="7"/>
        <v>0</v>
      </c>
      <c r="N77" s="3719">
        <f t="shared" si="8"/>
        <v>0</v>
      </c>
      <c r="O77" s="3719"/>
      <c r="P77" s="490">
        <f t="shared" si="4"/>
        <v>0</v>
      </c>
      <c r="S77" s="32">
        <f>'2 REPAIR ESTIMATOR'!AD92</f>
        <v>0</v>
      </c>
      <c r="T77" s="32">
        <f>'2 REPAIR ESTIMATOR'!AM92</f>
        <v>0</v>
      </c>
      <c r="U77" s="32">
        <f t="shared" si="9"/>
        <v>0</v>
      </c>
      <c r="V77" s="32">
        <f>'2 REPAIR ESTIMATOR'!AG92</f>
        <v>0</v>
      </c>
      <c r="W77" s="32">
        <f>'2 REPAIR ESTIMATOR'!AJ92</f>
        <v>0</v>
      </c>
    </row>
    <row r="78" spans="2:23" ht="18" hidden="1">
      <c r="C78" s="3792" t="str">
        <f>T('2 REPAIR ESTIMATOR'!D93:O93)</f>
        <v>Turn on utilities</v>
      </c>
      <c r="D78" s="3793"/>
      <c r="E78" s="3793"/>
      <c r="F78" s="3793"/>
      <c r="G78" s="3793"/>
      <c r="H78" s="3793"/>
      <c r="I78" s="916">
        <f>'2 REPAIR ESTIMATOR'!P93</f>
        <v>0</v>
      </c>
      <c r="J78" s="917" t="str">
        <f>'2 REPAIR ESTIMATOR'!S93</f>
        <v>ls</v>
      </c>
      <c r="K78" s="918">
        <f t="shared" si="5"/>
        <v>0</v>
      </c>
      <c r="L78" s="918">
        <f t="shared" si="6"/>
        <v>0</v>
      </c>
      <c r="M78" s="918">
        <f t="shared" si="7"/>
        <v>0</v>
      </c>
      <c r="N78" s="3719">
        <f t="shared" si="8"/>
        <v>0</v>
      </c>
      <c r="O78" s="3719"/>
      <c r="P78" s="490">
        <f t="shared" si="4"/>
        <v>0</v>
      </c>
      <c r="S78" s="32">
        <f>'2 REPAIR ESTIMATOR'!AD93</f>
        <v>0</v>
      </c>
      <c r="T78" s="32">
        <f>'2 REPAIR ESTIMATOR'!AM93</f>
        <v>0</v>
      </c>
      <c r="U78" s="32">
        <f t="shared" si="9"/>
        <v>0</v>
      </c>
      <c r="V78" s="32">
        <f>'2 REPAIR ESTIMATOR'!AG93</f>
        <v>0</v>
      </c>
      <c r="W78" s="32">
        <f>'2 REPAIR ESTIMATOR'!AJ93</f>
        <v>0</v>
      </c>
    </row>
    <row r="79" spans="2:23" ht="18" hidden="1">
      <c r="C79" s="3792" t="str">
        <f>T('2 REPAIR ESTIMATOR'!D94:O94)</f>
        <v>Truck expense/car payment</v>
      </c>
      <c r="D79" s="3793"/>
      <c r="E79" s="3793"/>
      <c r="F79" s="3793"/>
      <c r="G79" s="3793"/>
      <c r="H79" s="3793"/>
      <c r="I79" s="916">
        <f>'2 REPAIR ESTIMATOR'!P94</f>
        <v>0</v>
      </c>
      <c r="J79" s="917" t="str">
        <f>'2 REPAIR ESTIMATOR'!S94</f>
        <v>month</v>
      </c>
      <c r="K79" s="918">
        <f t="shared" si="5"/>
        <v>0</v>
      </c>
      <c r="L79" s="918">
        <f t="shared" si="6"/>
        <v>0</v>
      </c>
      <c r="M79" s="918">
        <f t="shared" si="7"/>
        <v>0</v>
      </c>
      <c r="N79" s="3719">
        <f t="shared" si="8"/>
        <v>0</v>
      </c>
      <c r="O79" s="3719"/>
      <c r="P79" s="490">
        <f t="shared" si="4"/>
        <v>0</v>
      </c>
      <c r="S79" s="32">
        <f>'2 REPAIR ESTIMATOR'!AD94</f>
        <v>0</v>
      </c>
      <c r="T79" s="32">
        <f>'2 REPAIR ESTIMATOR'!AM94</f>
        <v>0</v>
      </c>
      <c r="U79" s="32">
        <f t="shared" si="9"/>
        <v>0</v>
      </c>
      <c r="V79" s="32">
        <f>'2 REPAIR ESTIMATOR'!AG94</f>
        <v>0</v>
      </c>
      <c r="W79" s="32">
        <f>'2 REPAIR ESTIMATOR'!AJ94</f>
        <v>0</v>
      </c>
    </row>
    <row r="80" spans="2:23" ht="18" hidden="1">
      <c r="C80" s="3792" t="str">
        <f>T('2 REPAIR ESTIMATOR'!D95:O95)</f>
        <v>Fuel/gas expense</v>
      </c>
      <c r="D80" s="3793"/>
      <c r="E80" s="3793"/>
      <c r="F80" s="3793"/>
      <c r="G80" s="3793"/>
      <c r="H80" s="3793"/>
      <c r="I80" s="916">
        <f>'2 REPAIR ESTIMATOR'!P95</f>
        <v>0</v>
      </c>
      <c r="J80" s="917" t="str">
        <f>'2 REPAIR ESTIMATOR'!S95</f>
        <v>wk</v>
      </c>
      <c r="K80" s="918">
        <f t="shared" si="5"/>
        <v>0</v>
      </c>
      <c r="L80" s="918">
        <f t="shared" si="6"/>
        <v>0</v>
      </c>
      <c r="M80" s="918">
        <f t="shared" si="7"/>
        <v>0</v>
      </c>
      <c r="N80" s="3719">
        <f t="shared" si="8"/>
        <v>0</v>
      </c>
      <c r="O80" s="3719"/>
      <c r="P80" s="490">
        <f t="shared" si="4"/>
        <v>0</v>
      </c>
      <c r="S80" s="32">
        <f>'2 REPAIR ESTIMATOR'!AD95</f>
        <v>0</v>
      </c>
      <c r="T80" s="32">
        <f>'2 REPAIR ESTIMATOR'!AM95</f>
        <v>0</v>
      </c>
      <c r="U80" s="32">
        <f t="shared" si="9"/>
        <v>0</v>
      </c>
      <c r="V80" s="32">
        <f>'2 REPAIR ESTIMATOR'!AG95</f>
        <v>0</v>
      </c>
      <c r="W80" s="32">
        <f>'2 REPAIR ESTIMATOR'!AJ95</f>
        <v>0</v>
      </c>
    </row>
    <row r="81" spans="3:23" ht="18" hidden="1">
      <c r="C81" s="3792" t="str">
        <f>T('2 REPAIR ESTIMATOR'!D96:O96)</f>
        <v>Project management</v>
      </c>
      <c r="D81" s="3793"/>
      <c r="E81" s="3793"/>
      <c r="F81" s="3793"/>
      <c r="G81" s="3793"/>
      <c r="H81" s="3793"/>
      <c r="I81" s="916">
        <f>'2 REPAIR ESTIMATOR'!P96</f>
        <v>0</v>
      </c>
      <c r="J81" s="917" t="str">
        <f>'2 REPAIR ESTIMATOR'!S96</f>
        <v>wk</v>
      </c>
      <c r="K81" s="918">
        <f t="shared" si="5"/>
        <v>0</v>
      </c>
      <c r="L81" s="918">
        <f t="shared" si="6"/>
        <v>0</v>
      </c>
      <c r="M81" s="918">
        <f t="shared" si="7"/>
        <v>0</v>
      </c>
      <c r="N81" s="3719">
        <f t="shared" si="8"/>
        <v>0</v>
      </c>
      <c r="O81" s="3719"/>
      <c r="P81" s="490">
        <f t="shared" si="4"/>
        <v>0</v>
      </c>
      <c r="S81" s="32">
        <f>'2 REPAIR ESTIMATOR'!AD96</f>
        <v>0</v>
      </c>
      <c r="T81" s="32">
        <f>'2 REPAIR ESTIMATOR'!AM96</f>
        <v>0</v>
      </c>
      <c r="U81" s="32">
        <f t="shared" si="9"/>
        <v>0</v>
      </c>
      <c r="V81" s="32">
        <f>'2 REPAIR ESTIMATOR'!AG96</f>
        <v>0</v>
      </c>
      <c r="W81" s="32">
        <f>'2 REPAIR ESTIMATOR'!AJ96</f>
        <v>0</v>
      </c>
    </row>
    <row r="82" spans="3:23" ht="18" hidden="1">
      <c r="C82" s="3792" t="str">
        <f>T('2 REPAIR ESTIMATOR'!D97:O97)</f>
        <v>Architectural Fees</v>
      </c>
      <c r="D82" s="3793"/>
      <c r="E82" s="3793"/>
      <c r="F82" s="3793"/>
      <c r="G82" s="3793"/>
      <c r="H82" s="3793"/>
      <c r="I82" s="916">
        <f>'2 REPAIR ESTIMATOR'!P97</f>
        <v>0</v>
      </c>
      <c r="J82" s="917" t="str">
        <f>'2 REPAIR ESTIMATOR'!S97</f>
        <v>hrs</v>
      </c>
      <c r="K82" s="918">
        <f t="shared" si="5"/>
        <v>0</v>
      </c>
      <c r="L82" s="918">
        <f t="shared" si="6"/>
        <v>0</v>
      </c>
      <c r="M82" s="918">
        <f t="shared" si="7"/>
        <v>0</v>
      </c>
      <c r="N82" s="3719">
        <f t="shared" si="8"/>
        <v>0</v>
      </c>
      <c r="O82" s="3719"/>
      <c r="P82" s="490">
        <f t="shared" si="4"/>
        <v>0</v>
      </c>
      <c r="S82" s="32">
        <f>'2 REPAIR ESTIMATOR'!AD97</f>
        <v>0</v>
      </c>
      <c r="T82" s="32">
        <f>'2 REPAIR ESTIMATOR'!AM97</f>
        <v>0</v>
      </c>
      <c r="U82" s="32">
        <f t="shared" si="9"/>
        <v>0</v>
      </c>
      <c r="V82" s="32">
        <f>'2 REPAIR ESTIMATOR'!AG97</f>
        <v>0</v>
      </c>
      <c r="W82" s="32">
        <f>'2 REPAIR ESTIMATOR'!AJ97</f>
        <v>0</v>
      </c>
    </row>
    <row r="83" spans="3:23" ht="18" hidden="1">
      <c r="C83" s="3792" t="str">
        <f>T('2 REPAIR ESTIMATOR'!D98:O98)</f>
        <v>Engineering Fees</v>
      </c>
      <c r="D83" s="3793"/>
      <c r="E83" s="3793"/>
      <c r="F83" s="3793"/>
      <c r="G83" s="3793"/>
      <c r="H83" s="3793"/>
      <c r="I83" s="916">
        <f>'2 REPAIR ESTIMATOR'!P98</f>
        <v>0</v>
      </c>
      <c r="J83" s="917" t="str">
        <f>'2 REPAIR ESTIMATOR'!S98</f>
        <v>hrs</v>
      </c>
      <c r="K83" s="918">
        <f t="shared" si="5"/>
        <v>0</v>
      </c>
      <c r="L83" s="918">
        <f t="shared" si="6"/>
        <v>0</v>
      </c>
      <c r="M83" s="918">
        <f t="shared" si="7"/>
        <v>0</v>
      </c>
      <c r="N83" s="3719">
        <f t="shared" si="8"/>
        <v>0</v>
      </c>
      <c r="O83" s="3719"/>
      <c r="P83" s="490">
        <f t="shared" si="4"/>
        <v>0</v>
      </c>
      <c r="S83" s="32">
        <f>'2 REPAIR ESTIMATOR'!AD98</f>
        <v>0</v>
      </c>
      <c r="T83" s="32">
        <f>'2 REPAIR ESTIMATOR'!AM98</f>
        <v>0</v>
      </c>
      <c r="U83" s="32">
        <f t="shared" si="9"/>
        <v>0</v>
      </c>
      <c r="V83" s="32">
        <f>'2 REPAIR ESTIMATOR'!AG98</f>
        <v>0</v>
      </c>
      <c r="W83" s="32">
        <f>'2 REPAIR ESTIMATOR'!AJ98</f>
        <v>0</v>
      </c>
    </row>
    <row r="84" spans="3:23" ht="18" hidden="1">
      <c r="C84" s="3792" t="str">
        <f>T('2 REPAIR ESTIMATOR'!D99:O99)</f>
        <v>Professional Photography</v>
      </c>
      <c r="D84" s="3793"/>
      <c r="E84" s="3793"/>
      <c r="F84" s="3793"/>
      <c r="G84" s="3793"/>
      <c r="H84" s="3793"/>
      <c r="I84" s="916">
        <f>'2 REPAIR ESTIMATOR'!P99</f>
        <v>0</v>
      </c>
      <c r="J84" s="917" t="str">
        <f>'2 REPAIR ESTIMATOR'!S99</f>
        <v>ls</v>
      </c>
      <c r="K84" s="918">
        <f t="shared" si="5"/>
        <v>0</v>
      </c>
      <c r="L84" s="918">
        <f t="shared" si="6"/>
        <v>0</v>
      </c>
      <c r="M84" s="918">
        <f t="shared" si="7"/>
        <v>0</v>
      </c>
      <c r="N84" s="3719">
        <f t="shared" si="8"/>
        <v>0</v>
      </c>
      <c r="O84" s="3719"/>
      <c r="P84" s="490">
        <f t="shared" si="4"/>
        <v>0</v>
      </c>
      <c r="S84" s="32">
        <f>'2 REPAIR ESTIMATOR'!AD99</f>
        <v>0</v>
      </c>
      <c r="T84" s="32">
        <f>'2 REPAIR ESTIMATOR'!AM99</f>
        <v>0</v>
      </c>
      <c r="U84" s="32">
        <f t="shared" si="9"/>
        <v>0</v>
      </c>
      <c r="V84" s="32">
        <f>'2 REPAIR ESTIMATOR'!AG99</f>
        <v>0</v>
      </c>
      <c r="W84" s="32">
        <f>'2 REPAIR ESTIMATOR'!AJ99</f>
        <v>0</v>
      </c>
    </row>
    <row r="85" spans="3:23" ht="18" hidden="1">
      <c r="C85" s="3792" t="str">
        <f>T('2 REPAIR ESTIMATOR'!D100:O100)</f>
        <v>Material Deliveries</v>
      </c>
      <c r="D85" s="3793"/>
      <c r="E85" s="3793"/>
      <c r="F85" s="3793"/>
      <c r="G85" s="3793"/>
      <c r="H85" s="3793"/>
      <c r="I85" s="916">
        <f>'2 REPAIR ESTIMATOR'!P100</f>
        <v>0</v>
      </c>
      <c r="J85" s="917" t="str">
        <f>'2 REPAIR ESTIMATOR'!S100</f>
        <v>ea</v>
      </c>
      <c r="K85" s="918">
        <f t="shared" si="5"/>
        <v>0</v>
      </c>
      <c r="L85" s="918">
        <f t="shared" si="6"/>
        <v>0</v>
      </c>
      <c r="M85" s="918">
        <f t="shared" si="7"/>
        <v>0</v>
      </c>
      <c r="N85" s="3719">
        <f t="shared" si="8"/>
        <v>0</v>
      </c>
      <c r="O85" s="3719"/>
      <c r="P85" s="490">
        <f t="shared" si="4"/>
        <v>0</v>
      </c>
      <c r="S85" s="32">
        <f>'2 REPAIR ESTIMATOR'!AD100</f>
        <v>0</v>
      </c>
      <c r="T85" s="32">
        <f>'2 REPAIR ESTIMATOR'!AM100</f>
        <v>0</v>
      </c>
      <c r="U85" s="32">
        <f t="shared" si="9"/>
        <v>0</v>
      </c>
      <c r="V85" s="32">
        <f>'2 REPAIR ESTIMATOR'!AG100</f>
        <v>0</v>
      </c>
      <c r="W85" s="32">
        <f>'2 REPAIR ESTIMATOR'!AJ100</f>
        <v>0</v>
      </c>
    </row>
    <row r="86" spans="3:23" ht="18" hidden="1">
      <c r="C86" s="3792" t="str">
        <f>T('2 REPAIR ESTIMATOR'!D101:O101)</f>
        <v>Final cleaning</v>
      </c>
      <c r="D86" s="3793"/>
      <c r="E86" s="3793"/>
      <c r="F86" s="3793"/>
      <c r="G86" s="3793"/>
      <c r="H86" s="3793"/>
      <c r="I86" s="916">
        <f>'2 REPAIR ESTIMATOR'!P101</f>
        <v>0</v>
      </c>
      <c r="J86" s="917" t="str">
        <f>'2 REPAIR ESTIMATOR'!S101</f>
        <v>hrs</v>
      </c>
      <c r="K86" s="918">
        <f t="shared" si="5"/>
        <v>0</v>
      </c>
      <c r="L86" s="918">
        <f t="shared" si="6"/>
        <v>0</v>
      </c>
      <c r="M86" s="918">
        <f t="shared" si="7"/>
        <v>0</v>
      </c>
      <c r="N86" s="3719">
        <f t="shared" si="8"/>
        <v>0</v>
      </c>
      <c r="O86" s="3719"/>
      <c r="P86" s="490">
        <f t="shared" si="4"/>
        <v>0</v>
      </c>
      <c r="S86" s="32">
        <f>'2 REPAIR ESTIMATOR'!AD101</f>
        <v>0</v>
      </c>
      <c r="T86" s="32">
        <f>'2 REPAIR ESTIMATOR'!AM101</f>
        <v>0</v>
      </c>
      <c r="U86" s="32">
        <f t="shared" si="9"/>
        <v>0</v>
      </c>
      <c r="V86" s="32">
        <f>'2 REPAIR ESTIMATOR'!AG101</f>
        <v>0</v>
      </c>
      <c r="W86" s="32">
        <f>'2 REPAIR ESTIMATOR'!AJ101</f>
        <v>0</v>
      </c>
    </row>
    <row r="87" spans="3:23" ht="18" hidden="1">
      <c r="C87" s="3792" t="str">
        <f>T('2 REPAIR ESTIMATOR'!D102:O102)</f>
        <v/>
      </c>
      <c r="D87" s="3793"/>
      <c r="E87" s="3793"/>
      <c r="F87" s="3793"/>
      <c r="G87" s="3793"/>
      <c r="H87" s="3793"/>
      <c r="I87" s="916">
        <f>'2 REPAIR ESTIMATOR'!P102</f>
        <v>0</v>
      </c>
      <c r="J87" s="917">
        <f>'2 REPAIR ESTIMATOR'!S102</f>
        <v>0</v>
      </c>
      <c r="K87" s="918">
        <f t="shared" si="5"/>
        <v>0</v>
      </c>
      <c r="L87" s="918">
        <f t="shared" si="6"/>
        <v>0</v>
      </c>
      <c r="M87" s="918">
        <f t="shared" si="7"/>
        <v>0</v>
      </c>
      <c r="N87" s="3719">
        <f t="shared" si="8"/>
        <v>0</v>
      </c>
      <c r="O87" s="3719"/>
      <c r="P87" s="489">
        <f t="shared" si="4"/>
        <v>0</v>
      </c>
      <c r="S87" s="32">
        <f>'2 REPAIR ESTIMATOR'!AD102</f>
        <v>0</v>
      </c>
      <c r="T87" s="32">
        <f>'2 REPAIR ESTIMATOR'!AM102</f>
        <v>0</v>
      </c>
      <c r="U87" s="32">
        <f t="shared" si="9"/>
        <v>0</v>
      </c>
      <c r="V87" s="32">
        <f>'2 REPAIR ESTIMATOR'!AG102</f>
        <v>0</v>
      </c>
      <c r="W87" s="32">
        <f>'2 REPAIR ESTIMATOR'!AJ102</f>
        <v>0</v>
      </c>
    </row>
    <row r="88" spans="3:23" ht="18" hidden="1">
      <c r="C88" s="3792" t="str">
        <f>T('2 REPAIR ESTIMATOR'!D103:O103)</f>
        <v/>
      </c>
      <c r="D88" s="3793"/>
      <c r="E88" s="3793"/>
      <c r="F88" s="3793"/>
      <c r="G88" s="3793"/>
      <c r="H88" s="3793"/>
      <c r="I88" s="916">
        <f>'2 REPAIR ESTIMATOR'!P103</f>
        <v>0</v>
      </c>
      <c r="J88" s="917">
        <f>'2 REPAIR ESTIMATOR'!S103</f>
        <v>0</v>
      </c>
      <c r="K88" s="918">
        <f t="shared" si="5"/>
        <v>0</v>
      </c>
      <c r="L88" s="918">
        <f t="shared" si="6"/>
        <v>0</v>
      </c>
      <c r="M88" s="918">
        <f t="shared" si="7"/>
        <v>0</v>
      </c>
      <c r="N88" s="3719">
        <f t="shared" si="8"/>
        <v>0</v>
      </c>
      <c r="O88" s="3719"/>
      <c r="P88" s="489">
        <f t="shared" si="4"/>
        <v>0</v>
      </c>
      <c r="S88" s="32">
        <f>'2 REPAIR ESTIMATOR'!AD103</f>
        <v>0</v>
      </c>
      <c r="T88" s="32">
        <f>'2 REPAIR ESTIMATOR'!AM103</f>
        <v>0</v>
      </c>
      <c r="U88" s="32">
        <f t="shared" si="9"/>
        <v>0</v>
      </c>
      <c r="V88" s="32">
        <f>'2 REPAIR ESTIMATOR'!AG103</f>
        <v>0</v>
      </c>
      <c r="W88" s="32">
        <f>'2 REPAIR ESTIMATOR'!AJ103</f>
        <v>0</v>
      </c>
    </row>
    <row r="89" spans="3:23" ht="18" hidden="1">
      <c r="C89" s="3792" t="str">
        <f>T('2 REPAIR ESTIMATOR'!D104:O104)</f>
        <v/>
      </c>
      <c r="D89" s="3793"/>
      <c r="E89" s="3793"/>
      <c r="F89" s="3793"/>
      <c r="G89" s="3793"/>
      <c r="H89" s="3793"/>
      <c r="I89" s="916">
        <f>'2 REPAIR ESTIMATOR'!P104</f>
        <v>0</v>
      </c>
      <c r="J89" s="917">
        <f>'2 REPAIR ESTIMATOR'!S104</f>
        <v>0</v>
      </c>
      <c r="K89" s="918">
        <f t="shared" si="5"/>
        <v>0</v>
      </c>
      <c r="L89" s="918">
        <f t="shared" si="6"/>
        <v>0</v>
      </c>
      <c r="M89" s="918">
        <f t="shared" si="7"/>
        <v>0</v>
      </c>
      <c r="N89" s="3719">
        <f t="shared" si="8"/>
        <v>0</v>
      </c>
      <c r="O89" s="3719"/>
      <c r="P89" s="489">
        <f t="shared" si="4"/>
        <v>0</v>
      </c>
      <c r="S89" s="32">
        <f>'2 REPAIR ESTIMATOR'!AD104</f>
        <v>0</v>
      </c>
      <c r="T89" s="32">
        <f>'2 REPAIR ESTIMATOR'!AM104</f>
        <v>0</v>
      </c>
      <c r="U89" s="32">
        <f t="shared" si="9"/>
        <v>0</v>
      </c>
      <c r="V89" s="32">
        <f>'2 REPAIR ESTIMATOR'!AG104</f>
        <v>0</v>
      </c>
      <c r="W89" s="32">
        <f>'2 REPAIR ESTIMATOR'!AJ104</f>
        <v>0</v>
      </c>
    </row>
    <row r="90" spans="3:23" ht="18" hidden="1">
      <c r="C90" s="3792" t="str">
        <f>T('2 REPAIR ESTIMATOR'!D105:O105)</f>
        <v/>
      </c>
      <c r="D90" s="3793"/>
      <c r="E90" s="3793"/>
      <c r="F90" s="3793"/>
      <c r="G90" s="3793"/>
      <c r="H90" s="3793"/>
      <c r="I90" s="916">
        <f>'2 REPAIR ESTIMATOR'!P105</f>
        <v>0</v>
      </c>
      <c r="J90" s="917">
        <f>'2 REPAIR ESTIMATOR'!S105</f>
        <v>0</v>
      </c>
      <c r="K90" s="918">
        <f t="shared" si="5"/>
        <v>0</v>
      </c>
      <c r="L90" s="918">
        <f t="shared" si="6"/>
        <v>0</v>
      </c>
      <c r="M90" s="918">
        <f t="shared" si="7"/>
        <v>0</v>
      </c>
      <c r="N90" s="3719">
        <f t="shared" si="8"/>
        <v>0</v>
      </c>
      <c r="O90" s="3719"/>
      <c r="P90" s="490">
        <f t="shared" si="4"/>
        <v>0</v>
      </c>
      <c r="S90" s="32">
        <f>'2 REPAIR ESTIMATOR'!AD105</f>
        <v>0</v>
      </c>
      <c r="T90" s="32">
        <f>'2 REPAIR ESTIMATOR'!AM105</f>
        <v>0</v>
      </c>
      <c r="U90" s="32">
        <f t="shared" si="9"/>
        <v>0</v>
      </c>
      <c r="V90" s="32">
        <f>'2 REPAIR ESTIMATOR'!AG105</f>
        <v>0</v>
      </c>
      <c r="W90" s="32">
        <f>'2 REPAIR ESTIMATOR'!AJ105</f>
        <v>0</v>
      </c>
    </row>
    <row r="91" spans="3:23" ht="18" hidden="1">
      <c r="C91" s="3792" t="str">
        <f>T('2 REPAIR ESTIMATOR'!D106:O106)</f>
        <v/>
      </c>
      <c r="D91" s="3793"/>
      <c r="E91" s="3793"/>
      <c r="F91" s="3793"/>
      <c r="G91" s="3793"/>
      <c r="H91" s="3793"/>
      <c r="I91" s="916">
        <f>'2 REPAIR ESTIMATOR'!P106</f>
        <v>0</v>
      </c>
      <c r="J91" s="917">
        <f>'2 REPAIR ESTIMATOR'!S106</f>
        <v>0</v>
      </c>
      <c r="K91" s="918">
        <f t="shared" si="5"/>
        <v>0</v>
      </c>
      <c r="L91" s="918">
        <f t="shared" si="6"/>
        <v>0</v>
      </c>
      <c r="M91" s="918">
        <f t="shared" si="7"/>
        <v>0</v>
      </c>
      <c r="N91" s="3719">
        <f t="shared" si="8"/>
        <v>0</v>
      </c>
      <c r="O91" s="3719"/>
      <c r="P91" s="490">
        <f t="shared" si="4"/>
        <v>0</v>
      </c>
      <c r="S91" s="32">
        <f>'2 REPAIR ESTIMATOR'!AD106</f>
        <v>0</v>
      </c>
      <c r="T91" s="32">
        <f>'2 REPAIR ESTIMATOR'!AM106</f>
        <v>0</v>
      </c>
      <c r="U91" s="32">
        <f t="shared" si="9"/>
        <v>0</v>
      </c>
      <c r="V91" s="32">
        <f>'2 REPAIR ESTIMATOR'!AG106</f>
        <v>0</v>
      </c>
      <c r="W91" s="32">
        <f>'2 REPAIR ESTIMATOR'!AJ106</f>
        <v>0</v>
      </c>
    </row>
    <row r="92" spans="3:23" ht="18" hidden="1">
      <c r="C92" s="3792" t="str">
        <f>T('2 REPAIR ESTIMATOR'!D107:O107)</f>
        <v/>
      </c>
      <c r="D92" s="3793"/>
      <c r="E92" s="3793"/>
      <c r="F92" s="3793"/>
      <c r="G92" s="3793"/>
      <c r="H92" s="3793"/>
      <c r="I92" s="916">
        <f>'2 REPAIR ESTIMATOR'!P107</f>
        <v>0</v>
      </c>
      <c r="J92" s="917">
        <f>'2 REPAIR ESTIMATOR'!S107</f>
        <v>0</v>
      </c>
      <c r="K92" s="918">
        <f t="shared" si="5"/>
        <v>0</v>
      </c>
      <c r="L92" s="918">
        <f t="shared" si="6"/>
        <v>0</v>
      </c>
      <c r="M92" s="918">
        <f t="shared" si="7"/>
        <v>0</v>
      </c>
      <c r="N92" s="3719">
        <f t="shared" si="8"/>
        <v>0</v>
      </c>
      <c r="O92" s="3719"/>
      <c r="P92" s="490">
        <f t="shared" si="4"/>
        <v>0</v>
      </c>
      <c r="S92" s="32">
        <f>'2 REPAIR ESTIMATOR'!AD107</f>
        <v>0</v>
      </c>
      <c r="T92" s="32">
        <f>'2 REPAIR ESTIMATOR'!AM107</f>
        <v>0</v>
      </c>
      <c r="U92" s="32">
        <f t="shared" si="9"/>
        <v>0</v>
      </c>
      <c r="V92" s="32">
        <f>'2 REPAIR ESTIMATOR'!AG107</f>
        <v>0</v>
      </c>
      <c r="W92" s="32">
        <f>'2 REPAIR ESTIMATOR'!AJ107</f>
        <v>0</v>
      </c>
    </row>
    <row r="93" spans="3:23" ht="15.75" hidden="1" customHeight="1" thickBot="1">
      <c r="C93" s="3792" t="str">
        <f>T('2 REPAIR ESTIMATOR'!D108:O108)</f>
        <v/>
      </c>
      <c r="D93" s="3793"/>
      <c r="E93" s="3793"/>
      <c r="F93" s="3793"/>
      <c r="G93" s="3793"/>
      <c r="H93" s="3793"/>
      <c r="I93" s="916">
        <f>'2 REPAIR ESTIMATOR'!P108</f>
        <v>0</v>
      </c>
      <c r="J93" s="917">
        <f>'2 REPAIR ESTIMATOR'!S108</f>
        <v>0</v>
      </c>
      <c r="K93" s="918">
        <f t="shared" si="5"/>
        <v>0</v>
      </c>
      <c r="L93" s="918">
        <f t="shared" si="6"/>
        <v>0</v>
      </c>
      <c r="M93" s="918">
        <f t="shared" si="7"/>
        <v>0</v>
      </c>
      <c r="N93" s="3719">
        <f t="shared" si="8"/>
        <v>0</v>
      </c>
      <c r="O93" s="3719"/>
      <c r="P93" s="490">
        <f t="shared" ref="P93:P112" si="10">I93</f>
        <v>0</v>
      </c>
      <c r="S93" s="32">
        <f>'2 REPAIR ESTIMATOR'!AD108</f>
        <v>0</v>
      </c>
      <c r="T93" s="32">
        <f>'2 REPAIR ESTIMATOR'!AM108</f>
        <v>0</v>
      </c>
      <c r="U93" s="32">
        <f t="shared" si="9"/>
        <v>0</v>
      </c>
      <c r="V93" s="32">
        <f>'2 REPAIR ESTIMATOR'!AG108</f>
        <v>0</v>
      </c>
      <c r="W93" s="32">
        <f>'2 REPAIR ESTIMATOR'!AJ108</f>
        <v>0</v>
      </c>
    </row>
    <row r="94" spans="3:23" ht="16.5" hidden="1" customHeight="1" thickBot="1">
      <c r="C94" s="3792" t="str">
        <f>T('2 REPAIR ESTIMATOR'!D109:O109)</f>
        <v/>
      </c>
      <c r="D94" s="3793"/>
      <c r="E94" s="3793"/>
      <c r="F94" s="3793"/>
      <c r="G94" s="3793"/>
      <c r="H94" s="3793"/>
      <c r="I94" s="916">
        <f>'2 REPAIR ESTIMATOR'!P109</f>
        <v>0</v>
      </c>
      <c r="J94" s="917">
        <f>'2 REPAIR ESTIMATOR'!S109</f>
        <v>0</v>
      </c>
      <c r="K94" s="918">
        <f t="shared" si="5"/>
        <v>0</v>
      </c>
      <c r="L94" s="918">
        <f t="shared" si="6"/>
        <v>0</v>
      </c>
      <c r="M94" s="918">
        <f t="shared" si="7"/>
        <v>0</v>
      </c>
      <c r="N94" s="3719">
        <f t="shared" si="8"/>
        <v>0</v>
      </c>
      <c r="O94" s="3719"/>
      <c r="P94" s="490">
        <f t="shared" si="10"/>
        <v>0</v>
      </c>
      <c r="S94" s="32">
        <f>'2 REPAIR ESTIMATOR'!AD109</f>
        <v>0</v>
      </c>
      <c r="T94" s="32">
        <f>'2 REPAIR ESTIMATOR'!AM109</f>
        <v>0</v>
      </c>
      <c r="U94" s="32">
        <f t="shared" si="9"/>
        <v>0</v>
      </c>
      <c r="V94" s="32">
        <f>'2 REPAIR ESTIMATOR'!AG109</f>
        <v>0</v>
      </c>
      <c r="W94" s="32">
        <f>'2 REPAIR ESTIMATOR'!AJ109</f>
        <v>0</v>
      </c>
    </row>
    <row r="95" spans="3:23" ht="18" hidden="1">
      <c r="C95" s="3792" t="str">
        <f>T('2 REPAIR ESTIMATOR'!D110:O110)</f>
        <v/>
      </c>
      <c r="D95" s="3793"/>
      <c r="E95" s="3793"/>
      <c r="F95" s="3793"/>
      <c r="G95" s="3793"/>
      <c r="H95" s="3793"/>
      <c r="I95" s="916">
        <f>'2 REPAIR ESTIMATOR'!P110</f>
        <v>0</v>
      </c>
      <c r="J95" s="917">
        <f>'2 REPAIR ESTIMATOR'!S110</f>
        <v>0</v>
      </c>
      <c r="K95" s="918">
        <f t="shared" si="5"/>
        <v>0</v>
      </c>
      <c r="L95" s="918">
        <f t="shared" si="6"/>
        <v>0</v>
      </c>
      <c r="M95" s="918">
        <f t="shared" si="7"/>
        <v>0</v>
      </c>
      <c r="N95" s="3719">
        <f t="shared" si="8"/>
        <v>0</v>
      </c>
      <c r="O95" s="3719"/>
      <c r="P95" s="490">
        <f t="shared" si="10"/>
        <v>0</v>
      </c>
      <c r="S95" s="32">
        <f>'2 REPAIR ESTIMATOR'!AD110</f>
        <v>0</v>
      </c>
      <c r="T95" s="32">
        <f>'2 REPAIR ESTIMATOR'!AM110</f>
        <v>0</v>
      </c>
      <c r="U95" s="32">
        <f t="shared" si="9"/>
        <v>0</v>
      </c>
      <c r="V95" s="32">
        <f>'2 REPAIR ESTIMATOR'!AG110</f>
        <v>0</v>
      </c>
      <c r="W95" s="32">
        <f>'2 REPAIR ESTIMATOR'!AJ110</f>
        <v>0</v>
      </c>
    </row>
    <row r="96" spans="3:23" ht="18" hidden="1">
      <c r="C96" s="3792" t="str">
        <f>T('2 REPAIR ESTIMATOR'!D111:O111)</f>
        <v/>
      </c>
      <c r="D96" s="3793"/>
      <c r="E96" s="3793"/>
      <c r="F96" s="3793"/>
      <c r="G96" s="3793"/>
      <c r="H96" s="3793"/>
      <c r="I96" s="916">
        <f>'2 REPAIR ESTIMATOR'!P111</f>
        <v>0</v>
      </c>
      <c r="J96" s="917">
        <f>'2 REPAIR ESTIMATOR'!S111</f>
        <v>0</v>
      </c>
      <c r="K96" s="918">
        <f t="shared" si="5"/>
        <v>0</v>
      </c>
      <c r="L96" s="918">
        <f t="shared" si="6"/>
        <v>0</v>
      </c>
      <c r="M96" s="918">
        <f t="shared" si="7"/>
        <v>0</v>
      </c>
      <c r="N96" s="3719">
        <f t="shared" si="8"/>
        <v>0</v>
      </c>
      <c r="O96" s="3719"/>
      <c r="P96" s="490">
        <f t="shared" si="10"/>
        <v>0</v>
      </c>
      <c r="S96" s="32">
        <f>'2 REPAIR ESTIMATOR'!AD111</f>
        <v>0</v>
      </c>
      <c r="T96" s="32">
        <f>'2 REPAIR ESTIMATOR'!AM111</f>
        <v>0</v>
      </c>
      <c r="U96" s="32">
        <f t="shared" si="9"/>
        <v>0</v>
      </c>
      <c r="V96" s="32">
        <f>'2 REPAIR ESTIMATOR'!AG111</f>
        <v>0</v>
      </c>
      <c r="W96" s="32">
        <f>'2 REPAIR ESTIMATOR'!AJ111</f>
        <v>0</v>
      </c>
    </row>
    <row r="97" spans="3:23" ht="18" hidden="1">
      <c r="C97" s="3792" t="str">
        <f>T('2 REPAIR ESTIMATOR'!D112:O112)</f>
        <v/>
      </c>
      <c r="D97" s="3793"/>
      <c r="E97" s="3793"/>
      <c r="F97" s="3793"/>
      <c r="G97" s="3793"/>
      <c r="H97" s="3793"/>
      <c r="I97" s="916">
        <f>'2 REPAIR ESTIMATOR'!P112</f>
        <v>0</v>
      </c>
      <c r="J97" s="917">
        <f>'2 REPAIR ESTIMATOR'!S112</f>
        <v>0</v>
      </c>
      <c r="K97" s="918">
        <f t="shared" si="5"/>
        <v>0</v>
      </c>
      <c r="L97" s="918">
        <f t="shared" si="6"/>
        <v>0</v>
      </c>
      <c r="M97" s="918">
        <f t="shared" si="7"/>
        <v>0</v>
      </c>
      <c r="N97" s="3719">
        <f t="shared" si="8"/>
        <v>0</v>
      </c>
      <c r="O97" s="3719"/>
      <c r="P97" s="490">
        <f t="shared" si="10"/>
        <v>0</v>
      </c>
      <c r="S97" s="32">
        <f>'2 REPAIR ESTIMATOR'!AD112</f>
        <v>0</v>
      </c>
      <c r="T97" s="32">
        <f>'2 REPAIR ESTIMATOR'!AM112</f>
        <v>0</v>
      </c>
      <c r="U97" s="32">
        <f t="shared" si="9"/>
        <v>0</v>
      </c>
      <c r="V97" s="32">
        <f>'2 REPAIR ESTIMATOR'!AG112</f>
        <v>0</v>
      </c>
      <c r="W97" s="32">
        <f>'2 REPAIR ESTIMATOR'!AJ112</f>
        <v>0</v>
      </c>
    </row>
    <row r="98" spans="3:23" ht="18" hidden="1">
      <c r="C98" s="3792" t="str">
        <f>T('2 REPAIR ESTIMATOR'!D113:O113)</f>
        <v/>
      </c>
      <c r="D98" s="3793"/>
      <c r="E98" s="3793"/>
      <c r="F98" s="3793"/>
      <c r="G98" s="3793"/>
      <c r="H98" s="3793"/>
      <c r="I98" s="916">
        <f>'2 REPAIR ESTIMATOR'!P113</f>
        <v>0</v>
      </c>
      <c r="J98" s="917">
        <f>'2 REPAIR ESTIMATOR'!S113</f>
        <v>0</v>
      </c>
      <c r="K98" s="918">
        <f t="shared" si="5"/>
        <v>0</v>
      </c>
      <c r="L98" s="918">
        <f t="shared" si="6"/>
        <v>0</v>
      </c>
      <c r="M98" s="918">
        <f t="shared" si="7"/>
        <v>0</v>
      </c>
      <c r="N98" s="3719">
        <f t="shared" si="8"/>
        <v>0</v>
      </c>
      <c r="O98" s="3719"/>
      <c r="P98" s="490">
        <f t="shared" si="10"/>
        <v>0</v>
      </c>
      <c r="S98" s="32">
        <f>'2 REPAIR ESTIMATOR'!AD113</f>
        <v>0</v>
      </c>
      <c r="T98" s="32">
        <f>'2 REPAIR ESTIMATOR'!AM113</f>
        <v>0</v>
      </c>
      <c r="U98" s="32">
        <f t="shared" si="9"/>
        <v>0</v>
      </c>
      <c r="V98" s="32">
        <f>'2 REPAIR ESTIMATOR'!AG113</f>
        <v>0</v>
      </c>
      <c r="W98" s="32">
        <f>'2 REPAIR ESTIMATOR'!AJ113</f>
        <v>0</v>
      </c>
    </row>
    <row r="99" spans="3:23" ht="18" hidden="1">
      <c r="C99" s="3792" t="str">
        <f>T('2 REPAIR ESTIMATOR'!D114:O114)</f>
        <v/>
      </c>
      <c r="D99" s="3793"/>
      <c r="E99" s="3793"/>
      <c r="F99" s="3793"/>
      <c r="G99" s="3793"/>
      <c r="H99" s="3793"/>
      <c r="I99" s="916">
        <f>'2 REPAIR ESTIMATOR'!P114</f>
        <v>0</v>
      </c>
      <c r="J99" s="917">
        <f>'2 REPAIR ESTIMATOR'!S114</f>
        <v>0</v>
      </c>
      <c r="K99" s="918">
        <f t="shared" si="5"/>
        <v>0</v>
      </c>
      <c r="L99" s="918">
        <f t="shared" si="6"/>
        <v>0</v>
      </c>
      <c r="M99" s="918">
        <f t="shared" si="7"/>
        <v>0</v>
      </c>
      <c r="N99" s="3719">
        <f t="shared" si="8"/>
        <v>0</v>
      </c>
      <c r="O99" s="3719"/>
      <c r="P99" s="490">
        <f t="shared" si="10"/>
        <v>0</v>
      </c>
      <c r="S99" s="32">
        <f>'2 REPAIR ESTIMATOR'!AD114</f>
        <v>0</v>
      </c>
      <c r="T99" s="32">
        <f>'2 REPAIR ESTIMATOR'!AM114</f>
        <v>0</v>
      </c>
      <c r="U99" s="32">
        <f t="shared" si="9"/>
        <v>0</v>
      </c>
      <c r="V99" s="32">
        <f>'2 REPAIR ESTIMATOR'!AG114</f>
        <v>0</v>
      </c>
      <c r="W99" s="32">
        <f>'2 REPAIR ESTIMATOR'!AJ114</f>
        <v>0</v>
      </c>
    </row>
    <row r="100" spans="3:23" ht="18" hidden="1">
      <c r="C100" s="3792" t="str">
        <f>T('2 REPAIR ESTIMATOR'!D115:O115)</f>
        <v/>
      </c>
      <c r="D100" s="3793"/>
      <c r="E100" s="3793"/>
      <c r="F100" s="3793"/>
      <c r="G100" s="3793"/>
      <c r="H100" s="3793"/>
      <c r="I100" s="916">
        <f>'2 REPAIR ESTIMATOR'!P115</f>
        <v>0</v>
      </c>
      <c r="J100" s="917">
        <f>'2 REPAIR ESTIMATOR'!S115</f>
        <v>0</v>
      </c>
      <c r="K100" s="918">
        <f t="shared" si="5"/>
        <v>0</v>
      </c>
      <c r="L100" s="918">
        <f t="shared" si="6"/>
        <v>0</v>
      </c>
      <c r="M100" s="918">
        <f t="shared" si="7"/>
        <v>0</v>
      </c>
      <c r="N100" s="3719">
        <f t="shared" si="8"/>
        <v>0</v>
      </c>
      <c r="O100" s="3719"/>
      <c r="P100" s="490">
        <f t="shared" si="10"/>
        <v>0</v>
      </c>
      <c r="S100" s="32">
        <f>'2 REPAIR ESTIMATOR'!AD115</f>
        <v>0</v>
      </c>
      <c r="T100" s="32">
        <f>'2 REPAIR ESTIMATOR'!AM115</f>
        <v>0</v>
      </c>
      <c r="U100" s="32">
        <f t="shared" si="9"/>
        <v>0</v>
      </c>
      <c r="V100" s="32">
        <f>'2 REPAIR ESTIMATOR'!AG115</f>
        <v>0</v>
      </c>
      <c r="W100" s="32">
        <f>'2 REPAIR ESTIMATOR'!AJ115</f>
        <v>0</v>
      </c>
    </row>
    <row r="101" spans="3:23" ht="18" hidden="1">
      <c r="C101" s="3792" t="str">
        <f>T('2 REPAIR ESTIMATOR'!D116:O116)</f>
        <v/>
      </c>
      <c r="D101" s="3793"/>
      <c r="E101" s="3793"/>
      <c r="F101" s="3793"/>
      <c r="G101" s="3793"/>
      <c r="H101" s="3793"/>
      <c r="I101" s="916">
        <f>'2 REPAIR ESTIMATOR'!P116</f>
        <v>0</v>
      </c>
      <c r="J101" s="917">
        <f>'2 REPAIR ESTIMATOR'!S116</f>
        <v>0</v>
      </c>
      <c r="K101" s="918">
        <f t="shared" si="5"/>
        <v>0</v>
      </c>
      <c r="L101" s="918">
        <f t="shared" si="6"/>
        <v>0</v>
      </c>
      <c r="M101" s="918">
        <f t="shared" si="7"/>
        <v>0</v>
      </c>
      <c r="N101" s="3719">
        <f t="shared" si="8"/>
        <v>0</v>
      </c>
      <c r="O101" s="3719"/>
      <c r="P101" s="490">
        <f t="shared" si="10"/>
        <v>0</v>
      </c>
      <c r="S101" s="32">
        <f>'2 REPAIR ESTIMATOR'!AD116</f>
        <v>0</v>
      </c>
      <c r="T101" s="32">
        <f>'2 REPAIR ESTIMATOR'!AM116</f>
        <v>0</v>
      </c>
      <c r="U101" s="32">
        <f t="shared" si="9"/>
        <v>0</v>
      </c>
      <c r="V101" s="32">
        <f>'2 REPAIR ESTIMATOR'!AG116</f>
        <v>0</v>
      </c>
      <c r="W101" s="32">
        <f>'2 REPAIR ESTIMATOR'!AJ116</f>
        <v>0</v>
      </c>
    </row>
    <row r="102" spans="3:23" ht="18" hidden="1">
      <c r="C102" s="3792" t="str">
        <f>T('2 REPAIR ESTIMATOR'!D117:O117)</f>
        <v/>
      </c>
      <c r="D102" s="3793"/>
      <c r="E102" s="3793"/>
      <c r="F102" s="3793"/>
      <c r="G102" s="3793"/>
      <c r="H102" s="3793"/>
      <c r="I102" s="916">
        <f>'2 REPAIR ESTIMATOR'!P117</f>
        <v>0</v>
      </c>
      <c r="J102" s="917">
        <f>'2 REPAIR ESTIMATOR'!S117</f>
        <v>0</v>
      </c>
      <c r="K102" s="918">
        <f t="shared" si="5"/>
        <v>0</v>
      </c>
      <c r="L102" s="918">
        <f t="shared" si="6"/>
        <v>0</v>
      </c>
      <c r="M102" s="918">
        <f t="shared" si="7"/>
        <v>0</v>
      </c>
      <c r="N102" s="3719">
        <f t="shared" si="8"/>
        <v>0</v>
      </c>
      <c r="O102" s="3719"/>
      <c r="P102" s="490">
        <f t="shared" si="10"/>
        <v>0</v>
      </c>
      <c r="S102" s="32">
        <f>'2 REPAIR ESTIMATOR'!AD117</f>
        <v>0</v>
      </c>
      <c r="T102" s="32">
        <f>'2 REPAIR ESTIMATOR'!AM117</f>
        <v>0</v>
      </c>
      <c r="U102" s="32">
        <f t="shared" si="9"/>
        <v>0</v>
      </c>
      <c r="V102" s="32">
        <f>'2 REPAIR ESTIMATOR'!AG117</f>
        <v>0</v>
      </c>
      <c r="W102" s="32">
        <f>'2 REPAIR ESTIMATOR'!AJ117</f>
        <v>0</v>
      </c>
    </row>
    <row r="103" spans="3:23" ht="18" hidden="1">
      <c r="C103" s="3792" t="str">
        <f>T('2 REPAIR ESTIMATOR'!D118:O118)</f>
        <v/>
      </c>
      <c r="D103" s="3793"/>
      <c r="E103" s="3793"/>
      <c r="F103" s="3793"/>
      <c r="G103" s="3793"/>
      <c r="H103" s="3793"/>
      <c r="I103" s="916">
        <f>'2 REPAIR ESTIMATOR'!P118</f>
        <v>0</v>
      </c>
      <c r="J103" s="917">
        <f>'2 REPAIR ESTIMATOR'!S118</f>
        <v>0</v>
      </c>
      <c r="K103" s="918">
        <f t="shared" si="5"/>
        <v>0</v>
      </c>
      <c r="L103" s="918">
        <f t="shared" si="6"/>
        <v>0</v>
      </c>
      <c r="M103" s="918">
        <f t="shared" si="7"/>
        <v>0</v>
      </c>
      <c r="N103" s="3719">
        <f t="shared" si="8"/>
        <v>0</v>
      </c>
      <c r="O103" s="3719"/>
      <c r="P103" s="490">
        <f t="shared" si="10"/>
        <v>0</v>
      </c>
      <c r="S103" s="32">
        <f>'2 REPAIR ESTIMATOR'!AD118</f>
        <v>0</v>
      </c>
      <c r="T103" s="32">
        <f>'2 REPAIR ESTIMATOR'!AM118</f>
        <v>0</v>
      </c>
      <c r="U103" s="32">
        <f t="shared" si="9"/>
        <v>0</v>
      </c>
      <c r="V103" s="32">
        <f>'2 REPAIR ESTIMATOR'!AG118</f>
        <v>0</v>
      </c>
      <c r="W103" s="32">
        <f>'2 REPAIR ESTIMATOR'!AJ118</f>
        <v>0</v>
      </c>
    </row>
    <row r="104" spans="3:23" ht="18" hidden="1">
      <c r="C104" s="3792" t="str">
        <f>T('2 REPAIR ESTIMATOR'!D119:O119)</f>
        <v/>
      </c>
      <c r="D104" s="3793"/>
      <c r="E104" s="3793"/>
      <c r="F104" s="3793"/>
      <c r="G104" s="3793"/>
      <c r="H104" s="3793"/>
      <c r="I104" s="916">
        <f>'2 REPAIR ESTIMATOR'!P119</f>
        <v>0</v>
      </c>
      <c r="J104" s="917">
        <f>'2 REPAIR ESTIMATOR'!S119</f>
        <v>0</v>
      </c>
      <c r="K104" s="918">
        <f t="shared" si="5"/>
        <v>0</v>
      </c>
      <c r="L104" s="918">
        <f t="shared" si="6"/>
        <v>0</v>
      </c>
      <c r="M104" s="918">
        <f t="shared" si="7"/>
        <v>0</v>
      </c>
      <c r="N104" s="3719">
        <f t="shared" si="8"/>
        <v>0</v>
      </c>
      <c r="O104" s="3719"/>
      <c r="P104" s="490">
        <f t="shared" si="10"/>
        <v>0</v>
      </c>
      <c r="S104" s="32">
        <f>'2 REPAIR ESTIMATOR'!AD119</f>
        <v>0</v>
      </c>
      <c r="T104" s="32">
        <f>'2 REPAIR ESTIMATOR'!AM119</f>
        <v>0</v>
      </c>
      <c r="U104" s="32">
        <f t="shared" si="9"/>
        <v>0</v>
      </c>
      <c r="V104" s="32">
        <f>'2 REPAIR ESTIMATOR'!AG119</f>
        <v>0</v>
      </c>
      <c r="W104" s="32">
        <f>'2 REPAIR ESTIMATOR'!AJ119</f>
        <v>0</v>
      </c>
    </row>
    <row r="105" spans="3:23" ht="18" hidden="1">
      <c r="C105" s="3792" t="str">
        <f>T('2 REPAIR ESTIMATOR'!D120:O120)</f>
        <v/>
      </c>
      <c r="D105" s="3793"/>
      <c r="E105" s="3793"/>
      <c r="F105" s="3793"/>
      <c r="G105" s="3793"/>
      <c r="H105" s="3793"/>
      <c r="I105" s="916">
        <f>'2 REPAIR ESTIMATOR'!P120</f>
        <v>0</v>
      </c>
      <c r="J105" s="917">
        <f>'2 REPAIR ESTIMATOR'!S120</f>
        <v>0</v>
      </c>
      <c r="K105" s="918">
        <f t="shared" si="5"/>
        <v>0</v>
      </c>
      <c r="L105" s="918">
        <f t="shared" si="6"/>
        <v>0</v>
      </c>
      <c r="M105" s="918">
        <f t="shared" si="7"/>
        <v>0</v>
      </c>
      <c r="N105" s="3719">
        <f t="shared" si="8"/>
        <v>0</v>
      </c>
      <c r="O105" s="3719"/>
      <c r="P105" s="490">
        <f t="shared" si="10"/>
        <v>0</v>
      </c>
      <c r="S105" s="32">
        <f>'2 REPAIR ESTIMATOR'!AD120</f>
        <v>0</v>
      </c>
      <c r="T105" s="32">
        <f>'2 REPAIR ESTIMATOR'!AM120</f>
        <v>0</v>
      </c>
      <c r="U105" s="32">
        <f t="shared" si="9"/>
        <v>0</v>
      </c>
      <c r="V105" s="32">
        <f>'2 REPAIR ESTIMATOR'!AG120</f>
        <v>0</v>
      </c>
      <c r="W105" s="32">
        <f>'2 REPAIR ESTIMATOR'!AJ120</f>
        <v>0</v>
      </c>
    </row>
    <row r="106" spans="3:23" ht="18" hidden="1">
      <c r="C106" s="3792" t="str">
        <f>T('2 REPAIR ESTIMATOR'!D121:O121)</f>
        <v/>
      </c>
      <c r="D106" s="3793"/>
      <c r="E106" s="3793"/>
      <c r="F106" s="3793"/>
      <c r="G106" s="3793"/>
      <c r="H106" s="3793"/>
      <c r="I106" s="916">
        <f>'2 REPAIR ESTIMATOR'!P121</f>
        <v>0</v>
      </c>
      <c r="J106" s="917">
        <f>'2 REPAIR ESTIMATOR'!S121</f>
        <v>0</v>
      </c>
      <c r="K106" s="918">
        <f t="shared" si="5"/>
        <v>0</v>
      </c>
      <c r="L106" s="918">
        <f t="shared" si="6"/>
        <v>0</v>
      </c>
      <c r="M106" s="918">
        <f t="shared" si="7"/>
        <v>0</v>
      </c>
      <c r="N106" s="3719">
        <f t="shared" si="8"/>
        <v>0</v>
      </c>
      <c r="O106" s="3719"/>
      <c r="P106" s="490">
        <f t="shared" si="10"/>
        <v>0</v>
      </c>
      <c r="S106" s="32">
        <f>'2 REPAIR ESTIMATOR'!AD121</f>
        <v>0</v>
      </c>
      <c r="T106" s="32">
        <f>'2 REPAIR ESTIMATOR'!AM121</f>
        <v>0</v>
      </c>
      <c r="U106" s="32">
        <f t="shared" si="9"/>
        <v>0</v>
      </c>
      <c r="V106" s="32">
        <f>'2 REPAIR ESTIMATOR'!AG121</f>
        <v>0</v>
      </c>
      <c r="W106" s="32">
        <f>'2 REPAIR ESTIMATOR'!AJ121</f>
        <v>0</v>
      </c>
    </row>
    <row r="107" spans="3:23" ht="18" hidden="1">
      <c r="C107" s="3792" t="str">
        <f>T('2 REPAIR ESTIMATOR'!D122:O122)</f>
        <v/>
      </c>
      <c r="D107" s="3793"/>
      <c r="E107" s="3793"/>
      <c r="F107" s="3793"/>
      <c r="G107" s="3793"/>
      <c r="H107" s="3793"/>
      <c r="I107" s="916">
        <f>'2 REPAIR ESTIMATOR'!P122</f>
        <v>0</v>
      </c>
      <c r="J107" s="917">
        <f>'2 REPAIR ESTIMATOR'!S122</f>
        <v>0</v>
      </c>
      <c r="K107" s="918">
        <f t="shared" si="5"/>
        <v>0</v>
      </c>
      <c r="L107" s="918">
        <f t="shared" si="6"/>
        <v>0</v>
      </c>
      <c r="M107" s="918">
        <f t="shared" si="7"/>
        <v>0</v>
      </c>
      <c r="N107" s="3719">
        <f t="shared" si="8"/>
        <v>0</v>
      </c>
      <c r="O107" s="3719"/>
      <c r="P107" s="490">
        <f t="shared" si="10"/>
        <v>0</v>
      </c>
      <c r="S107" s="32">
        <f>'2 REPAIR ESTIMATOR'!AD122</f>
        <v>0</v>
      </c>
      <c r="T107" s="32">
        <f>'2 REPAIR ESTIMATOR'!AM122</f>
        <v>0</v>
      </c>
      <c r="U107" s="32">
        <f t="shared" si="9"/>
        <v>0</v>
      </c>
      <c r="V107" s="32">
        <f>'2 REPAIR ESTIMATOR'!AG122</f>
        <v>0</v>
      </c>
      <c r="W107" s="32">
        <f>'2 REPAIR ESTIMATOR'!AJ122</f>
        <v>0</v>
      </c>
    </row>
    <row r="108" spans="3:23" ht="18" hidden="1">
      <c r="C108" s="3792" t="str">
        <f>T('2 REPAIR ESTIMATOR'!D123:O123)</f>
        <v/>
      </c>
      <c r="D108" s="3793"/>
      <c r="E108" s="3793"/>
      <c r="F108" s="3793"/>
      <c r="G108" s="3793"/>
      <c r="H108" s="3793"/>
      <c r="I108" s="916">
        <f>'2 REPAIR ESTIMATOR'!P123</f>
        <v>0</v>
      </c>
      <c r="J108" s="917">
        <f>'2 REPAIR ESTIMATOR'!S123</f>
        <v>0</v>
      </c>
      <c r="K108" s="918">
        <f t="shared" si="5"/>
        <v>0</v>
      </c>
      <c r="L108" s="918">
        <f t="shared" si="6"/>
        <v>0</v>
      </c>
      <c r="M108" s="918">
        <f t="shared" si="7"/>
        <v>0</v>
      </c>
      <c r="N108" s="3719">
        <f t="shared" si="8"/>
        <v>0</v>
      </c>
      <c r="O108" s="3719"/>
      <c r="P108" s="490">
        <f t="shared" si="10"/>
        <v>0</v>
      </c>
      <c r="S108" s="32">
        <f>'2 REPAIR ESTIMATOR'!AD123</f>
        <v>0</v>
      </c>
      <c r="T108" s="32">
        <f>'2 REPAIR ESTIMATOR'!AM123</f>
        <v>0</v>
      </c>
      <c r="U108" s="32">
        <f t="shared" si="9"/>
        <v>0</v>
      </c>
      <c r="V108" s="32">
        <f>'2 REPAIR ESTIMATOR'!AG123</f>
        <v>0</v>
      </c>
      <c r="W108" s="32">
        <f>'2 REPAIR ESTIMATOR'!AJ123</f>
        <v>0</v>
      </c>
    </row>
    <row r="109" spans="3:23" ht="18" hidden="1">
      <c r="C109" s="3792" t="str">
        <f>T('2 REPAIR ESTIMATOR'!D124:O124)</f>
        <v/>
      </c>
      <c r="D109" s="3793"/>
      <c r="E109" s="3793"/>
      <c r="F109" s="3793"/>
      <c r="G109" s="3793"/>
      <c r="H109" s="3793"/>
      <c r="I109" s="916">
        <f>'2 REPAIR ESTIMATOR'!P124</f>
        <v>0</v>
      </c>
      <c r="J109" s="917">
        <f>'2 REPAIR ESTIMATOR'!S124</f>
        <v>0</v>
      </c>
      <c r="K109" s="918">
        <f t="shared" si="5"/>
        <v>0</v>
      </c>
      <c r="L109" s="918">
        <f t="shared" si="6"/>
        <v>0</v>
      </c>
      <c r="M109" s="918">
        <f t="shared" si="7"/>
        <v>0</v>
      </c>
      <c r="N109" s="3719">
        <f t="shared" si="8"/>
        <v>0</v>
      </c>
      <c r="O109" s="3719"/>
      <c r="P109" s="490">
        <f t="shared" si="10"/>
        <v>0</v>
      </c>
      <c r="S109" s="32">
        <f>'2 REPAIR ESTIMATOR'!AD124</f>
        <v>0</v>
      </c>
      <c r="T109" s="32">
        <f>'2 REPAIR ESTIMATOR'!AM124</f>
        <v>0</v>
      </c>
      <c r="U109" s="32">
        <f t="shared" si="9"/>
        <v>0</v>
      </c>
      <c r="V109" s="32">
        <f>'2 REPAIR ESTIMATOR'!AG124</f>
        <v>0</v>
      </c>
      <c r="W109" s="32">
        <f>'2 REPAIR ESTIMATOR'!AJ124</f>
        <v>0</v>
      </c>
    </row>
    <row r="110" spans="3:23" ht="18" hidden="1">
      <c r="C110" s="3792" t="str">
        <f>T('2 REPAIR ESTIMATOR'!D125:O125)</f>
        <v/>
      </c>
      <c r="D110" s="3793"/>
      <c r="E110" s="3793"/>
      <c r="F110" s="3793"/>
      <c r="G110" s="3793"/>
      <c r="H110" s="3793"/>
      <c r="I110" s="916">
        <f>'2 REPAIR ESTIMATOR'!P125</f>
        <v>0</v>
      </c>
      <c r="J110" s="917">
        <f>'2 REPAIR ESTIMATOR'!S125</f>
        <v>0</v>
      </c>
      <c r="K110" s="918">
        <f t="shared" si="5"/>
        <v>0</v>
      </c>
      <c r="L110" s="918">
        <f t="shared" si="6"/>
        <v>0</v>
      </c>
      <c r="M110" s="918">
        <f t="shared" si="7"/>
        <v>0</v>
      </c>
      <c r="N110" s="3719">
        <f t="shared" si="8"/>
        <v>0</v>
      </c>
      <c r="O110" s="3719"/>
      <c r="P110" s="490">
        <f t="shared" si="10"/>
        <v>0</v>
      </c>
      <c r="S110" s="32">
        <f>'2 REPAIR ESTIMATOR'!AD125</f>
        <v>0</v>
      </c>
      <c r="T110" s="32">
        <f>'2 REPAIR ESTIMATOR'!AM125</f>
        <v>0</v>
      </c>
      <c r="U110" s="32">
        <f t="shared" si="9"/>
        <v>0</v>
      </c>
      <c r="V110" s="32">
        <f>'2 REPAIR ESTIMATOR'!AG125</f>
        <v>0</v>
      </c>
      <c r="W110" s="32">
        <f>'2 REPAIR ESTIMATOR'!AJ125</f>
        <v>0</v>
      </c>
    </row>
    <row r="111" spans="3:23" ht="18" hidden="1">
      <c r="C111" s="3792" t="str">
        <f>T('2 REPAIR ESTIMATOR'!D126:O126)</f>
        <v/>
      </c>
      <c r="D111" s="3793"/>
      <c r="E111" s="3793"/>
      <c r="F111" s="3793"/>
      <c r="G111" s="3793"/>
      <c r="H111" s="3793"/>
      <c r="I111" s="916">
        <f>'2 REPAIR ESTIMATOR'!P126</f>
        <v>0</v>
      </c>
      <c r="J111" s="917">
        <f>'2 REPAIR ESTIMATOR'!S126</f>
        <v>0</v>
      </c>
      <c r="K111" s="918">
        <f t="shared" si="5"/>
        <v>0</v>
      </c>
      <c r="L111" s="918">
        <f t="shared" si="6"/>
        <v>0</v>
      </c>
      <c r="M111" s="918">
        <f t="shared" si="7"/>
        <v>0</v>
      </c>
      <c r="N111" s="3719">
        <f t="shared" si="8"/>
        <v>0</v>
      </c>
      <c r="O111" s="3719"/>
      <c r="P111" s="490">
        <f t="shared" si="10"/>
        <v>0</v>
      </c>
      <c r="S111" s="32">
        <f>'2 REPAIR ESTIMATOR'!AD126</f>
        <v>0</v>
      </c>
      <c r="T111" s="32">
        <f>'2 REPAIR ESTIMATOR'!AM126</f>
        <v>0</v>
      </c>
      <c r="U111" s="32">
        <f t="shared" si="9"/>
        <v>0</v>
      </c>
      <c r="V111" s="32">
        <f>'2 REPAIR ESTIMATOR'!AG126</f>
        <v>0</v>
      </c>
      <c r="W111" s="32">
        <f>'2 REPAIR ESTIMATOR'!AJ126</f>
        <v>0</v>
      </c>
    </row>
    <row r="112" spans="3:23" ht="18.350000000000001" hidden="1" thickBot="1">
      <c r="C112" s="3779" t="str">
        <f>T('2 REPAIR ESTIMATOR'!D127:O127)</f>
        <v/>
      </c>
      <c r="D112" s="3780"/>
      <c r="E112" s="3780"/>
      <c r="F112" s="3780"/>
      <c r="G112" s="3780"/>
      <c r="H112" s="3780"/>
      <c r="I112" s="919">
        <f>'2 REPAIR ESTIMATOR'!P127</f>
        <v>0</v>
      </c>
      <c r="J112" s="920">
        <f>'2 REPAIR ESTIMATOR'!S127</f>
        <v>0</v>
      </c>
      <c r="K112" s="921">
        <f t="shared" si="5"/>
        <v>0</v>
      </c>
      <c r="L112" s="921">
        <f t="shared" si="6"/>
        <v>0</v>
      </c>
      <c r="M112" s="921">
        <f t="shared" si="7"/>
        <v>0</v>
      </c>
      <c r="N112" s="3781">
        <f t="shared" si="8"/>
        <v>0</v>
      </c>
      <c r="O112" s="3781"/>
      <c r="P112" s="490">
        <f t="shared" si="10"/>
        <v>0</v>
      </c>
      <c r="S112" s="32">
        <f>'2 REPAIR ESTIMATOR'!AD127</f>
        <v>0</v>
      </c>
      <c r="T112" s="32">
        <f>'2 REPAIR ESTIMATOR'!AM127</f>
        <v>0</v>
      </c>
      <c r="U112" s="32">
        <f t="shared" si="9"/>
        <v>0</v>
      </c>
      <c r="V112" s="32">
        <f>'2 REPAIR ESTIMATOR'!AG127</f>
        <v>0</v>
      </c>
      <c r="W112" s="32">
        <f>'2 REPAIR ESTIMATOR'!AJ127</f>
        <v>0</v>
      </c>
    </row>
    <row r="113" spans="3:23" ht="18.350000000000001" hidden="1" thickBot="1">
      <c r="C113" s="3723" t="str">
        <f>T('2 REPAIR ESTIMATOR'!AC129)</f>
        <v>GENERAL CONDITIONS TOTAL</v>
      </c>
      <c r="D113" s="3724"/>
      <c r="E113" s="3724"/>
      <c r="F113" s="3724"/>
      <c r="G113" s="3724"/>
      <c r="H113" s="3724"/>
      <c r="I113" s="3724"/>
      <c r="J113" s="3724"/>
      <c r="K113" s="922">
        <f>SUM(K73:K112)</f>
        <v>0</v>
      </c>
      <c r="L113" s="922">
        <f>SUM(L73:L112)</f>
        <v>0</v>
      </c>
      <c r="M113" s="922">
        <f>SUM(M73:M112)</f>
        <v>0</v>
      </c>
      <c r="N113" s="3789">
        <f>SUM(N73:O112)</f>
        <v>0</v>
      </c>
      <c r="O113" s="3789"/>
      <c r="P113" s="489">
        <f>SUM(P72:P90)</f>
        <v>0</v>
      </c>
      <c r="S113" s="33">
        <f>SUM(S73:S112)</f>
        <v>0</v>
      </c>
      <c r="T113" s="33">
        <f>SUM(T73:T112)</f>
        <v>0</v>
      </c>
      <c r="U113" s="33">
        <f>SUM(U73:U112)</f>
        <v>0</v>
      </c>
      <c r="V113" s="33">
        <f>SUM(V73:V112)</f>
        <v>0</v>
      </c>
      <c r="W113" s="33">
        <f>SUM(W73:W112)</f>
        <v>0</v>
      </c>
    </row>
    <row r="114" spans="3:23" ht="8.85" hidden="1" customHeight="1">
      <c r="C114" s="841"/>
      <c r="D114" s="841"/>
      <c r="E114" s="841"/>
      <c r="F114" s="841"/>
      <c r="G114" s="841"/>
      <c r="H114" s="841"/>
      <c r="I114" s="842"/>
      <c r="J114" s="842"/>
      <c r="K114" s="842"/>
      <c r="L114" s="842"/>
      <c r="M114" s="842"/>
      <c r="N114" s="843"/>
      <c r="O114" s="798"/>
      <c r="P114" s="489">
        <f>P113</f>
        <v>0</v>
      </c>
    </row>
    <row r="115" spans="3:23" ht="21" hidden="1" customHeight="1" thickBot="1">
      <c r="C115" s="3782" t="str">
        <f>T('2 REPAIR ESTIMATOR'!D132:O132)</f>
        <v>DEMOLITION</v>
      </c>
      <c r="D115" s="3783"/>
      <c r="E115" s="3783"/>
      <c r="F115" s="3783"/>
      <c r="G115" s="3783"/>
      <c r="H115" s="3783"/>
      <c r="I115" s="799">
        <f>SUM(I116:I155)</f>
        <v>0</v>
      </c>
      <c r="J115" s="800"/>
      <c r="K115" s="850"/>
      <c r="L115" s="850"/>
      <c r="M115" s="850"/>
      <c r="N115" s="3722"/>
      <c r="O115" s="3722"/>
      <c r="P115" s="489">
        <f t="shared" ref="P115:P135" si="11">I115</f>
        <v>0</v>
      </c>
      <c r="S115" s="34"/>
      <c r="T115" s="34"/>
      <c r="U115" s="34"/>
      <c r="V115" s="34"/>
      <c r="W115" s="34"/>
    </row>
    <row r="116" spans="3:23" ht="18" hidden="1">
      <c r="C116" s="3787" t="str">
        <f>T('2 REPAIR ESTIMATOR'!D133:O133)</f>
        <v>Demolition</v>
      </c>
      <c r="D116" s="3788"/>
      <c r="E116" s="3788"/>
      <c r="F116" s="3788"/>
      <c r="G116" s="3788"/>
      <c r="H116" s="3788"/>
      <c r="I116" s="916">
        <f>'2 REPAIR ESTIMATOR'!P133</f>
        <v>0</v>
      </c>
      <c r="J116" s="917" t="str">
        <f>'2 REPAIR ESTIMATOR'!S133</f>
        <v>ls</v>
      </c>
      <c r="K116" s="918">
        <f t="shared" ref="K116:K155" si="12">IF($N$3="subbed",U116,S116)*$S$70</f>
        <v>0</v>
      </c>
      <c r="L116" s="918">
        <f>V116*$S$70</f>
        <v>0</v>
      </c>
      <c r="M116" s="918">
        <f>W116*$S$70</f>
        <v>0</v>
      </c>
      <c r="N116" s="3719">
        <f>SUM(K116:M116)</f>
        <v>0</v>
      </c>
      <c r="O116" s="3719"/>
      <c r="P116" s="490">
        <f t="shared" si="11"/>
        <v>0</v>
      </c>
      <c r="S116" s="32">
        <f>'2 REPAIR ESTIMATOR'!AD133</f>
        <v>0</v>
      </c>
      <c r="T116" s="32">
        <f>'2 REPAIR ESTIMATOR'!AM133</f>
        <v>0</v>
      </c>
      <c r="U116" s="32">
        <f>T116+S116</f>
        <v>0</v>
      </c>
      <c r="V116" s="32">
        <f>'2 REPAIR ESTIMATOR'!AG133</f>
        <v>0</v>
      </c>
      <c r="W116" s="32">
        <f>'2 REPAIR ESTIMATOR'!AJ133</f>
        <v>0</v>
      </c>
    </row>
    <row r="117" spans="3:23" ht="18" hidden="1">
      <c r="C117" s="3720" t="str">
        <f>T('2 REPAIR ESTIMATOR'!D134:O134)</f>
        <v>Demo bid/allowance</v>
      </c>
      <c r="D117" s="3721"/>
      <c r="E117" s="3721"/>
      <c r="F117" s="3721"/>
      <c r="G117" s="3721"/>
      <c r="H117" s="3721"/>
      <c r="I117" s="916">
        <f>'2 REPAIR ESTIMATOR'!P134</f>
        <v>0</v>
      </c>
      <c r="J117" s="917" t="str">
        <f>'2 REPAIR ESTIMATOR'!S134</f>
        <v>ls</v>
      </c>
      <c r="K117" s="918">
        <f t="shared" si="12"/>
        <v>0</v>
      </c>
      <c r="L117" s="918">
        <f t="shared" ref="L117:L155" si="13">V117*$S$70</f>
        <v>0</v>
      </c>
      <c r="M117" s="918">
        <f t="shared" ref="M117:M155" si="14">W117*$S$70</f>
        <v>0</v>
      </c>
      <c r="N117" s="3719">
        <f t="shared" ref="N117:N155" si="15">SUM(K117:M117)</f>
        <v>0</v>
      </c>
      <c r="O117" s="3719"/>
      <c r="P117" s="490">
        <f t="shared" si="11"/>
        <v>0</v>
      </c>
      <c r="S117" s="32">
        <f>'2 REPAIR ESTIMATOR'!AD134</f>
        <v>0</v>
      </c>
      <c r="T117" s="32">
        <f>'2 REPAIR ESTIMATOR'!AM134</f>
        <v>0</v>
      </c>
      <c r="U117" s="32">
        <f t="shared" ref="U117:U155" si="16">T117+S117</f>
        <v>0</v>
      </c>
      <c r="V117" s="32">
        <f>'2 REPAIR ESTIMATOR'!AG134</f>
        <v>0</v>
      </c>
      <c r="W117" s="32">
        <f>'2 REPAIR ESTIMATOR'!AJ134</f>
        <v>0</v>
      </c>
    </row>
    <row r="118" spans="3:23" ht="18" hidden="1">
      <c r="C118" s="3720" t="str">
        <f>T('2 REPAIR ESTIMATOR'!D135:O135)</f>
        <v>Demolition work per hour</v>
      </c>
      <c r="D118" s="3721"/>
      <c r="E118" s="3721"/>
      <c r="F118" s="3721"/>
      <c r="G118" s="3721"/>
      <c r="H118" s="3721"/>
      <c r="I118" s="916">
        <f>'2 REPAIR ESTIMATOR'!P135</f>
        <v>0</v>
      </c>
      <c r="J118" s="917" t="str">
        <f>'2 REPAIR ESTIMATOR'!S135</f>
        <v>hrs</v>
      </c>
      <c r="K118" s="918">
        <f t="shared" si="12"/>
        <v>0</v>
      </c>
      <c r="L118" s="918">
        <f t="shared" si="13"/>
        <v>0</v>
      </c>
      <c r="M118" s="918">
        <f t="shared" si="14"/>
        <v>0</v>
      </c>
      <c r="N118" s="3719">
        <f t="shared" si="15"/>
        <v>0</v>
      </c>
      <c r="O118" s="3719"/>
      <c r="P118" s="489">
        <f t="shared" si="11"/>
        <v>0</v>
      </c>
      <c r="S118" s="32">
        <f>'2 REPAIR ESTIMATOR'!AD135</f>
        <v>0</v>
      </c>
      <c r="T118" s="32">
        <f>'2 REPAIR ESTIMATOR'!AM135</f>
        <v>0</v>
      </c>
      <c r="U118" s="32">
        <f t="shared" si="16"/>
        <v>0</v>
      </c>
      <c r="V118" s="32">
        <f>'2 REPAIR ESTIMATOR'!AG135</f>
        <v>0</v>
      </c>
      <c r="W118" s="32">
        <f>'2 REPAIR ESTIMATOR'!AJ135</f>
        <v>0</v>
      </c>
    </row>
    <row r="119" spans="3:23" ht="18" hidden="1">
      <c r="C119" s="3720" t="str">
        <f>T('2 REPAIR ESTIMATOR'!D136:O136)</f>
        <v>Room demolition, typical room</v>
      </c>
      <c r="D119" s="3721"/>
      <c r="E119" s="3721"/>
      <c r="F119" s="3721"/>
      <c r="G119" s="3721"/>
      <c r="H119" s="3721"/>
      <c r="I119" s="916">
        <f>'2 REPAIR ESTIMATOR'!P136</f>
        <v>0</v>
      </c>
      <c r="J119" s="917" t="str">
        <f>'2 REPAIR ESTIMATOR'!S136</f>
        <v>sf</v>
      </c>
      <c r="K119" s="918">
        <f t="shared" si="12"/>
        <v>0</v>
      </c>
      <c r="L119" s="918">
        <f t="shared" si="13"/>
        <v>0</v>
      </c>
      <c r="M119" s="918">
        <f t="shared" si="14"/>
        <v>0</v>
      </c>
      <c r="N119" s="3719">
        <f t="shared" si="15"/>
        <v>0</v>
      </c>
      <c r="O119" s="3719"/>
      <c r="P119" s="490">
        <f t="shared" si="11"/>
        <v>0</v>
      </c>
      <c r="S119" s="32">
        <f>'2 REPAIR ESTIMATOR'!AD136</f>
        <v>0</v>
      </c>
      <c r="T119" s="32">
        <f>'2 REPAIR ESTIMATOR'!AM136</f>
        <v>0</v>
      </c>
      <c r="U119" s="32">
        <f t="shared" si="16"/>
        <v>0</v>
      </c>
      <c r="V119" s="32">
        <f>'2 REPAIR ESTIMATOR'!AG136</f>
        <v>0</v>
      </c>
      <c r="W119" s="32">
        <f>'2 REPAIR ESTIMATOR'!AJ136</f>
        <v>0</v>
      </c>
    </row>
    <row r="120" spans="3:23" ht="18" hidden="1">
      <c r="C120" s="3720" t="str">
        <f>T('2 REPAIR ESTIMATOR'!D137:O137)</f>
        <v>Room demolition, bathroom</v>
      </c>
      <c r="D120" s="3721"/>
      <c r="E120" s="3721"/>
      <c r="F120" s="3721"/>
      <c r="G120" s="3721"/>
      <c r="H120" s="3721"/>
      <c r="I120" s="916">
        <f>'2 REPAIR ESTIMATOR'!P137</f>
        <v>0</v>
      </c>
      <c r="J120" s="917" t="str">
        <f>'2 REPAIR ESTIMATOR'!S137</f>
        <v>sf</v>
      </c>
      <c r="K120" s="918">
        <f t="shared" si="12"/>
        <v>0</v>
      </c>
      <c r="L120" s="918">
        <f t="shared" si="13"/>
        <v>0</v>
      </c>
      <c r="M120" s="918">
        <f t="shared" si="14"/>
        <v>0</v>
      </c>
      <c r="N120" s="3719">
        <f t="shared" si="15"/>
        <v>0</v>
      </c>
      <c r="O120" s="3719"/>
      <c r="P120" s="490">
        <f t="shared" si="11"/>
        <v>0</v>
      </c>
      <c r="S120" s="32">
        <f>'2 REPAIR ESTIMATOR'!AD137</f>
        <v>0</v>
      </c>
      <c r="T120" s="32">
        <f>'2 REPAIR ESTIMATOR'!AM137</f>
        <v>0</v>
      </c>
      <c r="U120" s="32">
        <f t="shared" si="16"/>
        <v>0</v>
      </c>
      <c r="V120" s="32">
        <f>'2 REPAIR ESTIMATOR'!AG137</f>
        <v>0</v>
      </c>
      <c r="W120" s="32">
        <f>'2 REPAIR ESTIMATOR'!AJ137</f>
        <v>0</v>
      </c>
    </row>
    <row r="121" spans="3:23" ht="18" hidden="1">
      <c r="C121" s="3720" t="str">
        <f>T('2 REPAIR ESTIMATOR'!D138:O138)</f>
        <v>Room demolition, kitchen</v>
      </c>
      <c r="D121" s="3721"/>
      <c r="E121" s="3721"/>
      <c r="F121" s="3721"/>
      <c r="G121" s="3721"/>
      <c r="H121" s="3721"/>
      <c r="I121" s="916">
        <f>'2 REPAIR ESTIMATOR'!P138</f>
        <v>0</v>
      </c>
      <c r="J121" s="917" t="str">
        <f>'2 REPAIR ESTIMATOR'!S138</f>
        <v>sf</v>
      </c>
      <c r="K121" s="918">
        <f t="shared" si="12"/>
        <v>0</v>
      </c>
      <c r="L121" s="918">
        <f t="shared" si="13"/>
        <v>0</v>
      </c>
      <c r="M121" s="918">
        <f t="shared" si="14"/>
        <v>0</v>
      </c>
      <c r="N121" s="3719">
        <f t="shared" si="15"/>
        <v>0</v>
      </c>
      <c r="O121" s="3719"/>
      <c r="P121" s="490">
        <f t="shared" si="11"/>
        <v>0</v>
      </c>
      <c r="S121" s="32">
        <f>'2 REPAIR ESTIMATOR'!AD138</f>
        <v>0</v>
      </c>
      <c r="T121" s="32">
        <f>'2 REPAIR ESTIMATOR'!AM138</f>
        <v>0</v>
      </c>
      <c r="U121" s="32">
        <f t="shared" si="16"/>
        <v>0</v>
      </c>
      <c r="V121" s="32">
        <f>'2 REPAIR ESTIMATOR'!AG138</f>
        <v>0</v>
      </c>
      <c r="W121" s="32">
        <f>'2 REPAIR ESTIMATOR'!AJ138</f>
        <v>0</v>
      </c>
    </row>
    <row r="122" spans="3:23" ht="18" hidden="1">
      <c r="C122" s="3720" t="str">
        <f>T('2 REPAIR ESTIMATOR'!D139:O139)</f>
        <v>Building demolition, 1-story wood-framed</v>
      </c>
      <c r="D122" s="3721"/>
      <c r="E122" s="3721"/>
      <c r="F122" s="3721"/>
      <c r="G122" s="3721"/>
      <c r="H122" s="3721"/>
      <c r="I122" s="916">
        <f>'2 REPAIR ESTIMATOR'!P139</f>
        <v>0</v>
      </c>
      <c r="J122" s="917" t="str">
        <f>'2 REPAIR ESTIMATOR'!S139</f>
        <v>sf</v>
      </c>
      <c r="K122" s="918">
        <f t="shared" si="12"/>
        <v>0</v>
      </c>
      <c r="L122" s="918">
        <f t="shared" si="13"/>
        <v>0</v>
      </c>
      <c r="M122" s="918">
        <f t="shared" si="14"/>
        <v>0</v>
      </c>
      <c r="N122" s="3719">
        <f t="shared" si="15"/>
        <v>0</v>
      </c>
      <c r="O122" s="3719"/>
      <c r="P122" s="490">
        <f t="shared" si="11"/>
        <v>0</v>
      </c>
      <c r="S122" s="32">
        <f>'2 REPAIR ESTIMATOR'!AD139</f>
        <v>0</v>
      </c>
      <c r="T122" s="32">
        <f>'2 REPAIR ESTIMATOR'!AM139</f>
        <v>0</v>
      </c>
      <c r="U122" s="32">
        <f t="shared" si="16"/>
        <v>0</v>
      </c>
      <c r="V122" s="32">
        <f>'2 REPAIR ESTIMATOR'!AG139</f>
        <v>0</v>
      </c>
      <c r="W122" s="32">
        <f>'2 REPAIR ESTIMATOR'!AJ139</f>
        <v>0</v>
      </c>
    </row>
    <row r="123" spans="3:23" ht="18" hidden="1">
      <c r="C123" s="3720" t="str">
        <f>T('2 REPAIR ESTIMATOR'!D140:O140)</f>
        <v>Building demolition, 2-story wood framed</v>
      </c>
      <c r="D123" s="3721"/>
      <c r="E123" s="3721"/>
      <c r="F123" s="3721"/>
      <c r="G123" s="3721"/>
      <c r="H123" s="3721"/>
      <c r="I123" s="916">
        <f>'2 REPAIR ESTIMATOR'!P140</f>
        <v>0</v>
      </c>
      <c r="J123" s="917" t="str">
        <f>'2 REPAIR ESTIMATOR'!S140</f>
        <v>sf</v>
      </c>
      <c r="K123" s="918">
        <f t="shared" si="12"/>
        <v>0</v>
      </c>
      <c r="L123" s="918">
        <f t="shared" si="13"/>
        <v>0</v>
      </c>
      <c r="M123" s="918">
        <f t="shared" si="14"/>
        <v>0</v>
      </c>
      <c r="N123" s="3719">
        <f t="shared" si="15"/>
        <v>0</v>
      </c>
      <c r="O123" s="3719"/>
      <c r="P123" s="490">
        <f t="shared" si="11"/>
        <v>0</v>
      </c>
      <c r="S123" s="32">
        <f>'2 REPAIR ESTIMATOR'!AD140</f>
        <v>0</v>
      </c>
      <c r="T123" s="32">
        <f>'2 REPAIR ESTIMATOR'!AM140</f>
        <v>0</v>
      </c>
      <c r="U123" s="32">
        <f t="shared" si="16"/>
        <v>0</v>
      </c>
      <c r="V123" s="32">
        <f>'2 REPAIR ESTIMATOR'!AG140</f>
        <v>0</v>
      </c>
      <c r="W123" s="32">
        <f>'2 REPAIR ESTIMATOR'!AJ140</f>
        <v>0</v>
      </c>
    </row>
    <row r="124" spans="3:23" ht="18" hidden="1">
      <c r="C124" s="3720" t="str">
        <f>T('2 REPAIR ESTIMATOR'!D141:O141)</f>
        <v>Building demolition, masonry</v>
      </c>
      <c r="D124" s="3721"/>
      <c r="E124" s="3721"/>
      <c r="F124" s="3721"/>
      <c r="G124" s="3721"/>
      <c r="H124" s="3721"/>
      <c r="I124" s="916">
        <f>'2 REPAIR ESTIMATOR'!P141</f>
        <v>0</v>
      </c>
      <c r="J124" s="917" t="str">
        <f>'2 REPAIR ESTIMATOR'!S141</f>
        <v>sf</v>
      </c>
      <c r="K124" s="918">
        <f t="shared" si="12"/>
        <v>0</v>
      </c>
      <c r="L124" s="918">
        <f t="shared" si="13"/>
        <v>0</v>
      </c>
      <c r="M124" s="918">
        <f t="shared" si="14"/>
        <v>0</v>
      </c>
      <c r="N124" s="3719">
        <f t="shared" si="15"/>
        <v>0</v>
      </c>
      <c r="O124" s="3719"/>
      <c r="P124" s="490">
        <f t="shared" si="11"/>
        <v>0</v>
      </c>
      <c r="S124" s="32">
        <f>'2 REPAIR ESTIMATOR'!AD141</f>
        <v>0</v>
      </c>
      <c r="T124" s="32">
        <f>'2 REPAIR ESTIMATOR'!AM141</f>
        <v>0</v>
      </c>
      <c r="U124" s="32">
        <f t="shared" si="16"/>
        <v>0</v>
      </c>
      <c r="V124" s="32">
        <f>'2 REPAIR ESTIMATOR'!AG141</f>
        <v>0</v>
      </c>
      <c r="W124" s="32">
        <f>'2 REPAIR ESTIMATOR'!AJ141</f>
        <v>0</v>
      </c>
    </row>
    <row r="125" spans="3:23" ht="18" hidden="1">
      <c r="C125" s="3720" t="str">
        <f>T('2 REPAIR ESTIMATOR'!D142:O142)</f>
        <v>Building demolition, steel/concrete</v>
      </c>
      <c r="D125" s="3721"/>
      <c r="E125" s="3721"/>
      <c r="F125" s="3721"/>
      <c r="G125" s="3721"/>
      <c r="H125" s="3721"/>
      <c r="I125" s="916">
        <f>'2 REPAIR ESTIMATOR'!P142</f>
        <v>0</v>
      </c>
      <c r="J125" s="917" t="str">
        <f>'2 REPAIR ESTIMATOR'!S142</f>
        <v>sf</v>
      </c>
      <c r="K125" s="918">
        <f t="shared" si="12"/>
        <v>0</v>
      </c>
      <c r="L125" s="918">
        <f t="shared" si="13"/>
        <v>0</v>
      </c>
      <c r="M125" s="918">
        <f t="shared" si="14"/>
        <v>0</v>
      </c>
      <c r="N125" s="3719">
        <f t="shared" si="15"/>
        <v>0</v>
      </c>
      <c r="O125" s="3719"/>
      <c r="P125" s="490">
        <f t="shared" si="11"/>
        <v>0</v>
      </c>
      <c r="S125" s="32">
        <f>'2 REPAIR ESTIMATOR'!AD142</f>
        <v>0</v>
      </c>
      <c r="T125" s="32">
        <f>'2 REPAIR ESTIMATOR'!AM142</f>
        <v>0</v>
      </c>
      <c r="U125" s="32">
        <f t="shared" si="16"/>
        <v>0</v>
      </c>
      <c r="V125" s="32">
        <f>'2 REPAIR ESTIMATOR'!AG142</f>
        <v>0</v>
      </c>
      <c r="W125" s="32">
        <f>'2 REPAIR ESTIMATOR'!AJ142</f>
        <v>0</v>
      </c>
    </row>
    <row r="126" spans="3:23" ht="18" hidden="1">
      <c r="C126" s="3720" t="str">
        <f>T('2 REPAIR ESTIMATOR'!D143:O143)</f>
        <v>Concrete slab demolition, 4"-6"</v>
      </c>
      <c r="D126" s="3721"/>
      <c r="E126" s="3721"/>
      <c r="F126" s="3721"/>
      <c r="G126" s="3721"/>
      <c r="H126" s="3721"/>
      <c r="I126" s="916">
        <f>'2 REPAIR ESTIMATOR'!P143</f>
        <v>0</v>
      </c>
      <c r="J126" s="917">
        <f>'2 REPAIR ESTIMATOR'!S143</f>
        <v>0</v>
      </c>
      <c r="K126" s="918">
        <f t="shared" si="12"/>
        <v>0</v>
      </c>
      <c r="L126" s="918">
        <f t="shared" si="13"/>
        <v>0</v>
      </c>
      <c r="M126" s="918">
        <f t="shared" si="14"/>
        <v>0</v>
      </c>
      <c r="N126" s="3719">
        <f t="shared" si="15"/>
        <v>0</v>
      </c>
      <c r="O126" s="3719"/>
      <c r="P126" s="490">
        <f t="shared" si="11"/>
        <v>0</v>
      </c>
      <c r="S126" s="32">
        <f>'2 REPAIR ESTIMATOR'!AD143</f>
        <v>0</v>
      </c>
      <c r="T126" s="32">
        <f>'2 REPAIR ESTIMATOR'!AM143</f>
        <v>0</v>
      </c>
      <c r="U126" s="32">
        <f t="shared" si="16"/>
        <v>0</v>
      </c>
      <c r="V126" s="32">
        <f>'2 REPAIR ESTIMATOR'!AG143</f>
        <v>0</v>
      </c>
      <c r="W126" s="32">
        <f>'2 REPAIR ESTIMATOR'!AJ143</f>
        <v>0</v>
      </c>
    </row>
    <row r="127" spans="3:23" ht="18" hidden="1">
      <c r="C127" s="3720" t="str">
        <f>T('2 REPAIR ESTIMATOR'!D144:O144)</f>
        <v/>
      </c>
      <c r="D127" s="3721"/>
      <c r="E127" s="3721"/>
      <c r="F127" s="3721"/>
      <c r="G127" s="3721"/>
      <c r="H127" s="3721"/>
      <c r="I127" s="916">
        <f>'2 REPAIR ESTIMATOR'!P144</f>
        <v>0</v>
      </c>
      <c r="J127" s="917">
        <f>'2 REPAIR ESTIMATOR'!S144</f>
        <v>0</v>
      </c>
      <c r="K127" s="918">
        <f t="shared" si="12"/>
        <v>0</v>
      </c>
      <c r="L127" s="918">
        <f t="shared" si="13"/>
        <v>0</v>
      </c>
      <c r="M127" s="918">
        <f t="shared" si="14"/>
        <v>0</v>
      </c>
      <c r="N127" s="3719">
        <f t="shared" si="15"/>
        <v>0</v>
      </c>
      <c r="O127" s="3719"/>
      <c r="P127" s="490">
        <f t="shared" si="11"/>
        <v>0</v>
      </c>
      <c r="S127" s="32">
        <f>'2 REPAIR ESTIMATOR'!AD144</f>
        <v>0</v>
      </c>
      <c r="T127" s="32">
        <f>'2 REPAIR ESTIMATOR'!AM144</f>
        <v>0</v>
      </c>
      <c r="U127" s="32">
        <f t="shared" si="16"/>
        <v>0</v>
      </c>
      <c r="V127" s="32">
        <f>'2 REPAIR ESTIMATOR'!AG144</f>
        <v>0</v>
      </c>
      <c r="W127" s="32">
        <f>'2 REPAIR ESTIMATOR'!AJ144</f>
        <v>0</v>
      </c>
    </row>
    <row r="128" spans="3:23" ht="18" hidden="1">
      <c r="C128" s="3720" t="str">
        <f>T('2 REPAIR ESTIMATOR'!D145:O145)</f>
        <v/>
      </c>
      <c r="D128" s="3721"/>
      <c r="E128" s="3721"/>
      <c r="F128" s="3721"/>
      <c r="G128" s="3721"/>
      <c r="H128" s="3721"/>
      <c r="I128" s="916">
        <f>'2 REPAIR ESTIMATOR'!P145</f>
        <v>0</v>
      </c>
      <c r="J128" s="917">
        <f>'2 REPAIR ESTIMATOR'!S145</f>
        <v>0</v>
      </c>
      <c r="K128" s="918">
        <f t="shared" si="12"/>
        <v>0</v>
      </c>
      <c r="L128" s="918">
        <f t="shared" si="13"/>
        <v>0</v>
      </c>
      <c r="M128" s="918">
        <f t="shared" si="14"/>
        <v>0</v>
      </c>
      <c r="N128" s="3719">
        <f t="shared" si="15"/>
        <v>0</v>
      </c>
      <c r="O128" s="3719"/>
      <c r="P128" s="490">
        <f t="shared" si="11"/>
        <v>0</v>
      </c>
      <c r="S128" s="32">
        <f>'2 REPAIR ESTIMATOR'!AD145</f>
        <v>0</v>
      </c>
      <c r="T128" s="32">
        <f>'2 REPAIR ESTIMATOR'!AM145</f>
        <v>0</v>
      </c>
      <c r="U128" s="32">
        <f t="shared" si="16"/>
        <v>0</v>
      </c>
      <c r="V128" s="32">
        <f>'2 REPAIR ESTIMATOR'!AG145</f>
        <v>0</v>
      </c>
      <c r="W128" s="32">
        <f>'2 REPAIR ESTIMATOR'!AJ145</f>
        <v>0</v>
      </c>
    </row>
    <row r="129" spans="3:23" ht="18" hidden="1">
      <c r="C129" s="3787" t="str">
        <f>T('2 REPAIR ESTIMATOR'!D146:O146)</f>
        <v>Abatement</v>
      </c>
      <c r="D129" s="3788"/>
      <c r="E129" s="3788"/>
      <c r="F129" s="3788"/>
      <c r="G129" s="3788"/>
      <c r="H129" s="3788"/>
      <c r="I129" s="916">
        <f>'2 REPAIR ESTIMATOR'!P146</f>
        <v>0</v>
      </c>
      <c r="J129" s="917" t="str">
        <f>'2 REPAIR ESTIMATOR'!S146</f>
        <v>ls</v>
      </c>
      <c r="K129" s="918">
        <f t="shared" si="12"/>
        <v>0</v>
      </c>
      <c r="L129" s="918">
        <f t="shared" si="13"/>
        <v>0</v>
      </c>
      <c r="M129" s="918">
        <f t="shared" si="14"/>
        <v>0</v>
      </c>
      <c r="N129" s="3719">
        <f t="shared" si="15"/>
        <v>0</v>
      </c>
      <c r="O129" s="3719"/>
      <c r="P129" s="490">
        <f t="shared" si="11"/>
        <v>0</v>
      </c>
      <c r="S129" s="32">
        <f>'2 REPAIR ESTIMATOR'!AD146</f>
        <v>0</v>
      </c>
      <c r="T129" s="32">
        <f>'2 REPAIR ESTIMATOR'!AM146</f>
        <v>0</v>
      </c>
      <c r="U129" s="32">
        <f t="shared" si="16"/>
        <v>0</v>
      </c>
      <c r="V129" s="32">
        <f>'2 REPAIR ESTIMATOR'!AG146</f>
        <v>0</v>
      </c>
      <c r="W129" s="32">
        <f>'2 REPAIR ESTIMATOR'!AJ146</f>
        <v>0</v>
      </c>
    </row>
    <row r="130" spans="3:23" ht="18" hidden="1">
      <c r="C130" s="3720" t="str">
        <f>T('2 REPAIR ESTIMATOR'!D147:O147)</f>
        <v>Asbestos bid/allowance</v>
      </c>
      <c r="D130" s="3721"/>
      <c r="E130" s="3721"/>
      <c r="F130" s="3721"/>
      <c r="G130" s="3721"/>
      <c r="H130" s="3721"/>
      <c r="I130" s="916">
        <f>'2 REPAIR ESTIMATOR'!P147</f>
        <v>0</v>
      </c>
      <c r="J130" s="917" t="str">
        <f>'2 REPAIR ESTIMATOR'!S147</f>
        <v>ls</v>
      </c>
      <c r="K130" s="918">
        <f t="shared" si="12"/>
        <v>0</v>
      </c>
      <c r="L130" s="918">
        <f t="shared" si="13"/>
        <v>0</v>
      </c>
      <c r="M130" s="918">
        <f t="shared" si="14"/>
        <v>0</v>
      </c>
      <c r="N130" s="3719">
        <f t="shared" si="15"/>
        <v>0</v>
      </c>
      <c r="O130" s="3719"/>
      <c r="P130" s="490">
        <f t="shared" si="11"/>
        <v>0</v>
      </c>
      <c r="S130" s="32">
        <f>'2 REPAIR ESTIMATOR'!AD147</f>
        <v>0</v>
      </c>
      <c r="T130" s="32">
        <f>'2 REPAIR ESTIMATOR'!AM147</f>
        <v>0</v>
      </c>
      <c r="U130" s="32">
        <f t="shared" si="16"/>
        <v>0</v>
      </c>
      <c r="V130" s="32">
        <f>'2 REPAIR ESTIMATOR'!AG147</f>
        <v>0</v>
      </c>
      <c r="W130" s="32">
        <f>'2 REPAIR ESTIMATOR'!AJ147</f>
        <v>0</v>
      </c>
    </row>
    <row r="131" spans="3:23" ht="18" hidden="1">
      <c r="C131" s="3720" t="str">
        <f>T('2 REPAIR ESTIMATOR'!D148:O148)</f>
        <v>Asbestos testing</v>
      </c>
      <c r="D131" s="3721"/>
      <c r="E131" s="3721"/>
      <c r="F131" s="3721"/>
      <c r="G131" s="3721"/>
      <c r="H131" s="3721"/>
      <c r="I131" s="916">
        <f>'2 REPAIR ESTIMATOR'!P148</f>
        <v>0</v>
      </c>
      <c r="J131" s="917" t="str">
        <f>'2 REPAIR ESTIMATOR'!S148</f>
        <v>ea</v>
      </c>
      <c r="K131" s="918">
        <f t="shared" si="12"/>
        <v>0</v>
      </c>
      <c r="L131" s="918">
        <f t="shared" si="13"/>
        <v>0</v>
      </c>
      <c r="M131" s="918">
        <f t="shared" si="14"/>
        <v>0</v>
      </c>
      <c r="N131" s="3719">
        <f t="shared" si="15"/>
        <v>0</v>
      </c>
      <c r="O131" s="3719"/>
      <c r="P131" s="490">
        <f t="shared" si="11"/>
        <v>0</v>
      </c>
      <c r="S131" s="32">
        <f>'2 REPAIR ESTIMATOR'!AD148</f>
        <v>0</v>
      </c>
      <c r="T131" s="32">
        <f>'2 REPAIR ESTIMATOR'!AM148</f>
        <v>0</v>
      </c>
      <c r="U131" s="32">
        <f t="shared" si="16"/>
        <v>0</v>
      </c>
      <c r="V131" s="32">
        <f>'2 REPAIR ESTIMATOR'!AG148</f>
        <v>0</v>
      </c>
      <c r="W131" s="32">
        <f>'2 REPAIR ESTIMATOR'!AJ148</f>
        <v>0</v>
      </c>
    </row>
    <row r="132" spans="3:23" ht="18" hidden="1">
      <c r="C132" s="3720" t="str">
        <f>T('2 REPAIR ESTIMATOR'!D149:O149)</f>
        <v>Asbestos abatement, minimum charge</v>
      </c>
      <c r="D132" s="3721"/>
      <c r="E132" s="3721"/>
      <c r="F132" s="3721"/>
      <c r="G132" s="3721"/>
      <c r="H132" s="3721"/>
      <c r="I132" s="916">
        <f>'2 REPAIR ESTIMATOR'!P149</f>
        <v>0</v>
      </c>
      <c r="J132" s="917" t="str">
        <f>'2 REPAIR ESTIMATOR'!S149</f>
        <v>ea</v>
      </c>
      <c r="K132" s="918">
        <f t="shared" si="12"/>
        <v>0</v>
      </c>
      <c r="L132" s="918">
        <f t="shared" si="13"/>
        <v>0</v>
      </c>
      <c r="M132" s="918">
        <f t="shared" si="14"/>
        <v>0</v>
      </c>
      <c r="N132" s="3719">
        <f t="shared" si="15"/>
        <v>0</v>
      </c>
      <c r="O132" s="3719"/>
      <c r="P132" s="490">
        <f t="shared" si="11"/>
        <v>0</v>
      </c>
      <c r="S132" s="32">
        <f>'2 REPAIR ESTIMATOR'!AD149</f>
        <v>0</v>
      </c>
      <c r="T132" s="32">
        <f>'2 REPAIR ESTIMATOR'!AM149</f>
        <v>0</v>
      </c>
      <c r="U132" s="32">
        <f t="shared" si="16"/>
        <v>0</v>
      </c>
      <c r="V132" s="32">
        <f>'2 REPAIR ESTIMATOR'!AG149</f>
        <v>0</v>
      </c>
      <c r="W132" s="32">
        <f>'2 REPAIR ESTIMATOR'!AJ149</f>
        <v>0</v>
      </c>
    </row>
    <row r="133" spans="3:23" ht="18" hidden="1">
      <c r="C133" s="3720" t="str">
        <f>T('2 REPAIR ESTIMATOR'!D150:O150)</f>
        <v>Mold, minimum charge</v>
      </c>
      <c r="D133" s="3721"/>
      <c r="E133" s="3721"/>
      <c r="F133" s="3721"/>
      <c r="G133" s="3721"/>
      <c r="H133" s="3721"/>
      <c r="I133" s="916">
        <f>'2 REPAIR ESTIMATOR'!P150</f>
        <v>0</v>
      </c>
      <c r="J133" s="917">
        <f>'2 REPAIR ESTIMATOR'!S150</f>
        <v>0</v>
      </c>
      <c r="K133" s="918">
        <f t="shared" si="12"/>
        <v>0</v>
      </c>
      <c r="L133" s="918">
        <f t="shared" si="13"/>
        <v>0</v>
      </c>
      <c r="M133" s="918">
        <f t="shared" si="14"/>
        <v>0</v>
      </c>
      <c r="N133" s="3719">
        <f t="shared" si="15"/>
        <v>0</v>
      </c>
      <c r="O133" s="3719"/>
      <c r="P133" s="490">
        <f t="shared" si="11"/>
        <v>0</v>
      </c>
      <c r="S133" s="32">
        <f>'2 REPAIR ESTIMATOR'!AD150</f>
        <v>0</v>
      </c>
      <c r="T133" s="32">
        <f>'2 REPAIR ESTIMATOR'!AM150</f>
        <v>0</v>
      </c>
      <c r="U133" s="32">
        <f t="shared" si="16"/>
        <v>0</v>
      </c>
      <c r="V133" s="32">
        <f>'2 REPAIR ESTIMATOR'!AG150</f>
        <v>0</v>
      </c>
      <c r="W133" s="32">
        <f>'2 REPAIR ESTIMATOR'!AJ150</f>
        <v>0</v>
      </c>
    </row>
    <row r="134" spans="3:23" ht="18" hidden="1">
      <c r="C134" s="3720" t="str">
        <f>T('2 REPAIR ESTIMATOR'!D151:O151)</f>
        <v/>
      </c>
      <c r="D134" s="3721"/>
      <c r="E134" s="3721"/>
      <c r="F134" s="3721"/>
      <c r="G134" s="3721"/>
      <c r="H134" s="3721"/>
      <c r="I134" s="916">
        <f>'2 REPAIR ESTIMATOR'!P151</f>
        <v>0</v>
      </c>
      <c r="J134" s="917">
        <f>'2 REPAIR ESTIMATOR'!S151</f>
        <v>0</v>
      </c>
      <c r="K134" s="918">
        <f t="shared" si="12"/>
        <v>0</v>
      </c>
      <c r="L134" s="918">
        <f t="shared" si="13"/>
        <v>0</v>
      </c>
      <c r="M134" s="918">
        <f t="shared" si="14"/>
        <v>0</v>
      </c>
      <c r="N134" s="3719">
        <f t="shared" si="15"/>
        <v>0</v>
      </c>
      <c r="O134" s="3719"/>
      <c r="P134" s="490">
        <f t="shared" si="11"/>
        <v>0</v>
      </c>
      <c r="S134" s="32">
        <f>'2 REPAIR ESTIMATOR'!AD151</f>
        <v>0</v>
      </c>
      <c r="T134" s="32">
        <f>'2 REPAIR ESTIMATOR'!AM151</f>
        <v>0</v>
      </c>
      <c r="U134" s="32">
        <f t="shared" si="16"/>
        <v>0</v>
      </c>
      <c r="V134" s="32">
        <f>'2 REPAIR ESTIMATOR'!AG151</f>
        <v>0</v>
      </c>
      <c r="W134" s="32">
        <f>'2 REPAIR ESTIMATOR'!AJ151</f>
        <v>0</v>
      </c>
    </row>
    <row r="135" spans="3:23" ht="18" hidden="1">
      <c r="C135" s="3720" t="str">
        <f>T('2 REPAIR ESTIMATOR'!D152:O152)</f>
        <v/>
      </c>
      <c r="D135" s="3721"/>
      <c r="E135" s="3721"/>
      <c r="F135" s="3721"/>
      <c r="G135" s="3721"/>
      <c r="H135" s="3721"/>
      <c r="I135" s="916">
        <f>'2 REPAIR ESTIMATOR'!P152</f>
        <v>0</v>
      </c>
      <c r="J135" s="917">
        <f>'2 REPAIR ESTIMATOR'!S152</f>
        <v>0</v>
      </c>
      <c r="K135" s="918">
        <f t="shared" si="12"/>
        <v>0</v>
      </c>
      <c r="L135" s="918">
        <f t="shared" si="13"/>
        <v>0</v>
      </c>
      <c r="M135" s="918">
        <f t="shared" si="14"/>
        <v>0</v>
      </c>
      <c r="N135" s="3719">
        <f t="shared" si="15"/>
        <v>0</v>
      </c>
      <c r="O135" s="3719"/>
      <c r="P135" s="490">
        <f t="shared" si="11"/>
        <v>0</v>
      </c>
      <c r="S135" s="32">
        <f>'2 REPAIR ESTIMATOR'!AD152</f>
        <v>0</v>
      </c>
      <c r="T135" s="32">
        <f>'2 REPAIR ESTIMATOR'!AM152</f>
        <v>0</v>
      </c>
      <c r="U135" s="32">
        <f t="shared" si="16"/>
        <v>0</v>
      </c>
      <c r="V135" s="32">
        <f>'2 REPAIR ESTIMATOR'!AG152</f>
        <v>0</v>
      </c>
      <c r="W135" s="32">
        <f>'2 REPAIR ESTIMATOR'!AJ152</f>
        <v>0</v>
      </c>
    </row>
    <row r="136" spans="3:23" ht="18" hidden="1">
      <c r="C136" s="3720" t="str">
        <f>T('2 REPAIR ESTIMATOR'!D153:O153)</f>
        <v/>
      </c>
      <c r="D136" s="3721"/>
      <c r="E136" s="3721"/>
      <c r="F136" s="3721"/>
      <c r="G136" s="3721"/>
      <c r="H136" s="3721"/>
      <c r="I136" s="916">
        <f>'2 REPAIR ESTIMATOR'!P153</f>
        <v>0</v>
      </c>
      <c r="J136" s="917">
        <f>'2 REPAIR ESTIMATOR'!S153</f>
        <v>0</v>
      </c>
      <c r="K136" s="918">
        <f t="shared" si="12"/>
        <v>0</v>
      </c>
      <c r="L136" s="918">
        <f t="shared" si="13"/>
        <v>0</v>
      </c>
      <c r="M136" s="918">
        <f t="shared" si="14"/>
        <v>0</v>
      </c>
      <c r="N136" s="3719">
        <f t="shared" si="15"/>
        <v>0</v>
      </c>
      <c r="O136" s="3719"/>
      <c r="P136" s="490">
        <f t="shared" ref="P136:P155" si="17">I136</f>
        <v>0</v>
      </c>
      <c r="S136" s="32">
        <f>'2 REPAIR ESTIMATOR'!AD153</f>
        <v>0</v>
      </c>
      <c r="T136" s="32">
        <f>'2 REPAIR ESTIMATOR'!AM153</f>
        <v>0</v>
      </c>
      <c r="U136" s="32">
        <f t="shared" si="16"/>
        <v>0</v>
      </c>
      <c r="V136" s="32">
        <f>'2 REPAIR ESTIMATOR'!AG153</f>
        <v>0</v>
      </c>
      <c r="W136" s="32">
        <f>'2 REPAIR ESTIMATOR'!AJ153</f>
        <v>0</v>
      </c>
    </row>
    <row r="137" spans="3:23" ht="18" hidden="1">
      <c r="C137" s="3720" t="str">
        <f>T('2 REPAIR ESTIMATOR'!D154:O154)</f>
        <v/>
      </c>
      <c r="D137" s="3721"/>
      <c r="E137" s="3721"/>
      <c r="F137" s="3721"/>
      <c r="G137" s="3721"/>
      <c r="H137" s="3721"/>
      <c r="I137" s="916">
        <f>'2 REPAIR ESTIMATOR'!P154</f>
        <v>0</v>
      </c>
      <c r="J137" s="917">
        <f>'2 REPAIR ESTIMATOR'!S154</f>
        <v>0</v>
      </c>
      <c r="K137" s="918">
        <f t="shared" si="12"/>
        <v>0</v>
      </c>
      <c r="L137" s="918">
        <f t="shared" si="13"/>
        <v>0</v>
      </c>
      <c r="M137" s="918">
        <f t="shared" si="14"/>
        <v>0</v>
      </c>
      <c r="N137" s="3719">
        <f t="shared" si="15"/>
        <v>0</v>
      </c>
      <c r="O137" s="3719"/>
      <c r="P137" s="490">
        <f t="shared" si="17"/>
        <v>0</v>
      </c>
      <c r="S137" s="32">
        <f>'2 REPAIR ESTIMATOR'!AD154</f>
        <v>0</v>
      </c>
      <c r="T137" s="32">
        <f>'2 REPAIR ESTIMATOR'!AM154</f>
        <v>0</v>
      </c>
      <c r="U137" s="32">
        <f t="shared" si="16"/>
        <v>0</v>
      </c>
      <c r="V137" s="32">
        <f>'2 REPAIR ESTIMATOR'!AG154</f>
        <v>0</v>
      </c>
      <c r="W137" s="32">
        <f>'2 REPAIR ESTIMATOR'!AJ154</f>
        <v>0</v>
      </c>
    </row>
    <row r="138" spans="3:23" ht="18" hidden="1">
      <c r="C138" s="3720" t="str">
        <f>T('2 REPAIR ESTIMATOR'!D155:O155)</f>
        <v/>
      </c>
      <c r="D138" s="3721"/>
      <c r="E138" s="3721"/>
      <c r="F138" s="3721"/>
      <c r="G138" s="3721"/>
      <c r="H138" s="3721"/>
      <c r="I138" s="916">
        <f>'2 REPAIR ESTIMATOR'!P155</f>
        <v>0</v>
      </c>
      <c r="J138" s="917">
        <f>'2 REPAIR ESTIMATOR'!S155</f>
        <v>0</v>
      </c>
      <c r="K138" s="918">
        <f t="shared" si="12"/>
        <v>0</v>
      </c>
      <c r="L138" s="918">
        <f t="shared" si="13"/>
        <v>0</v>
      </c>
      <c r="M138" s="918">
        <f t="shared" si="14"/>
        <v>0</v>
      </c>
      <c r="N138" s="3719">
        <f t="shared" si="15"/>
        <v>0</v>
      </c>
      <c r="O138" s="3719"/>
      <c r="P138" s="490">
        <f t="shared" si="17"/>
        <v>0</v>
      </c>
      <c r="S138" s="32">
        <f>'2 REPAIR ESTIMATOR'!AD155</f>
        <v>0</v>
      </c>
      <c r="T138" s="32">
        <f>'2 REPAIR ESTIMATOR'!AM155</f>
        <v>0</v>
      </c>
      <c r="U138" s="32">
        <f t="shared" si="16"/>
        <v>0</v>
      </c>
      <c r="V138" s="32">
        <f>'2 REPAIR ESTIMATOR'!AG155</f>
        <v>0</v>
      </c>
      <c r="W138" s="32">
        <f>'2 REPAIR ESTIMATOR'!AJ155</f>
        <v>0</v>
      </c>
    </row>
    <row r="139" spans="3:23" ht="18" hidden="1">
      <c r="C139" s="3720" t="str">
        <f>T('2 REPAIR ESTIMATOR'!D156:O156)</f>
        <v/>
      </c>
      <c r="D139" s="3721"/>
      <c r="E139" s="3721"/>
      <c r="F139" s="3721"/>
      <c r="G139" s="3721"/>
      <c r="H139" s="3721"/>
      <c r="I139" s="916">
        <f>'2 REPAIR ESTIMATOR'!P156</f>
        <v>0</v>
      </c>
      <c r="J139" s="917">
        <f>'2 REPAIR ESTIMATOR'!S156</f>
        <v>0</v>
      </c>
      <c r="K139" s="918">
        <f t="shared" si="12"/>
        <v>0</v>
      </c>
      <c r="L139" s="918">
        <f t="shared" si="13"/>
        <v>0</v>
      </c>
      <c r="M139" s="918">
        <f t="shared" si="14"/>
        <v>0</v>
      </c>
      <c r="N139" s="3719">
        <f t="shared" si="15"/>
        <v>0</v>
      </c>
      <c r="O139" s="3719"/>
      <c r="P139" s="490">
        <f t="shared" si="17"/>
        <v>0</v>
      </c>
      <c r="S139" s="32">
        <f>'2 REPAIR ESTIMATOR'!AD156</f>
        <v>0</v>
      </c>
      <c r="T139" s="32">
        <f>'2 REPAIR ESTIMATOR'!AM156</f>
        <v>0</v>
      </c>
      <c r="U139" s="32">
        <f t="shared" si="16"/>
        <v>0</v>
      </c>
      <c r="V139" s="32">
        <f>'2 REPAIR ESTIMATOR'!AG156</f>
        <v>0</v>
      </c>
      <c r="W139" s="32">
        <f>'2 REPAIR ESTIMATOR'!AJ156</f>
        <v>0</v>
      </c>
    </row>
    <row r="140" spans="3:23" ht="18" hidden="1">
      <c r="C140" s="3720" t="str">
        <f>T('2 REPAIR ESTIMATOR'!D157:O157)</f>
        <v/>
      </c>
      <c r="D140" s="3721"/>
      <c r="E140" s="3721"/>
      <c r="F140" s="3721"/>
      <c r="G140" s="3721"/>
      <c r="H140" s="3721"/>
      <c r="I140" s="916">
        <f>'2 REPAIR ESTIMATOR'!P157</f>
        <v>0</v>
      </c>
      <c r="J140" s="917">
        <f>'2 REPAIR ESTIMATOR'!S157</f>
        <v>0</v>
      </c>
      <c r="K140" s="918">
        <f t="shared" si="12"/>
        <v>0</v>
      </c>
      <c r="L140" s="918">
        <f t="shared" si="13"/>
        <v>0</v>
      </c>
      <c r="M140" s="918">
        <f t="shared" si="14"/>
        <v>0</v>
      </c>
      <c r="N140" s="3719">
        <f t="shared" si="15"/>
        <v>0</v>
      </c>
      <c r="O140" s="3719"/>
      <c r="P140" s="490">
        <f t="shared" si="17"/>
        <v>0</v>
      </c>
      <c r="S140" s="32">
        <f>'2 REPAIR ESTIMATOR'!AD157</f>
        <v>0</v>
      </c>
      <c r="T140" s="32">
        <f>'2 REPAIR ESTIMATOR'!AM157</f>
        <v>0</v>
      </c>
      <c r="U140" s="32">
        <f t="shared" si="16"/>
        <v>0</v>
      </c>
      <c r="V140" s="32">
        <f>'2 REPAIR ESTIMATOR'!AG157</f>
        <v>0</v>
      </c>
      <c r="W140" s="32">
        <f>'2 REPAIR ESTIMATOR'!AJ157</f>
        <v>0</v>
      </c>
    </row>
    <row r="141" spans="3:23" ht="18" hidden="1">
      <c r="C141" s="3720" t="str">
        <f>T('2 REPAIR ESTIMATOR'!D158:O158)</f>
        <v/>
      </c>
      <c r="D141" s="3721"/>
      <c r="E141" s="3721"/>
      <c r="F141" s="3721"/>
      <c r="G141" s="3721"/>
      <c r="H141" s="3721"/>
      <c r="I141" s="916">
        <f>'2 REPAIR ESTIMATOR'!P158</f>
        <v>0</v>
      </c>
      <c r="J141" s="917">
        <f>'2 REPAIR ESTIMATOR'!S158</f>
        <v>0</v>
      </c>
      <c r="K141" s="918">
        <f t="shared" si="12"/>
        <v>0</v>
      </c>
      <c r="L141" s="918">
        <f t="shared" si="13"/>
        <v>0</v>
      </c>
      <c r="M141" s="918">
        <f t="shared" si="14"/>
        <v>0</v>
      </c>
      <c r="N141" s="3719">
        <f t="shared" si="15"/>
        <v>0</v>
      </c>
      <c r="O141" s="3719"/>
      <c r="P141" s="490">
        <f t="shared" si="17"/>
        <v>0</v>
      </c>
      <c r="S141" s="32">
        <f>'2 REPAIR ESTIMATOR'!AD158</f>
        <v>0</v>
      </c>
      <c r="T141" s="32">
        <f>'2 REPAIR ESTIMATOR'!AM158</f>
        <v>0</v>
      </c>
      <c r="U141" s="32">
        <f t="shared" si="16"/>
        <v>0</v>
      </c>
      <c r="V141" s="32">
        <f>'2 REPAIR ESTIMATOR'!AG158</f>
        <v>0</v>
      </c>
      <c r="W141" s="32">
        <f>'2 REPAIR ESTIMATOR'!AJ158</f>
        <v>0</v>
      </c>
    </row>
    <row r="142" spans="3:23" ht="18" hidden="1">
      <c r="C142" s="3720" t="str">
        <f>T('2 REPAIR ESTIMATOR'!D159:O159)</f>
        <v/>
      </c>
      <c r="D142" s="3721"/>
      <c r="E142" s="3721"/>
      <c r="F142" s="3721"/>
      <c r="G142" s="3721"/>
      <c r="H142" s="3721"/>
      <c r="I142" s="916">
        <f>'2 REPAIR ESTIMATOR'!P159</f>
        <v>0</v>
      </c>
      <c r="J142" s="917">
        <f>'2 REPAIR ESTIMATOR'!S159</f>
        <v>0</v>
      </c>
      <c r="K142" s="918">
        <f t="shared" si="12"/>
        <v>0</v>
      </c>
      <c r="L142" s="918">
        <f t="shared" si="13"/>
        <v>0</v>
      </c>
      <c r="M142" s="918">
        <f t="shared" si="14"/>
        <v>0</v>
      </c>
      <c r="N142" s="3719">
        <f t="shared" si="15"/>
        <v>0</v>
      </c>
      <c r="O142" s="3719"/>
      <c r="P142" s="490">
        <f t="shared" si="17"/>
        <v>0</v>
      </c>
      <c r="S142" s="32">
        <f>'2 REPAIR ESTIMATOR'!AD159</f>
        <v>0</v>
      </c>
      <c r="T142" s="32">
        <f>'2 REPAIR ESTIMATOR'!AM159</f>
        <v>0</v>
      </c>
      <c r="U142" s="32">
        <f t="shared" si="16"/>
        <v>0</v>
      </c>
      <c r="V142" s="32">
        <f>'2 REPAIR ESTIMATOR'!AG159</f>
        <v>0</v>
      </c>
      <c r="W142" s="32">
        <f>'2 REPAIR ESTIMATOR'!AJ159</f>
        <v>0</v>
      </c>
    </row>
    <row r="143" spans="3:23" ht="18" hidden="1">
      <c r="C143" s="3720" t="str">
        <f>T('2 REPAIR ESTIMATOR'!D160:O160)</f>
        <v/>
      </c>
      <c r="D143" s="3721"/>
      <c r="E143" s="3721"/>
      <c r="F143" s="3721"/>
      <c r="G143" s="3721"/>
      <c r="H143" s="3721"/>
      <c r="I143" s="916">
        <f>'2 REPAIR ESTIMATOR'!P160</f>
        <v>0</v>
      </c>
      <c r="J143" s="917">
        <f>'2 REPAIR ESTIMATOR'!S160</f>
        <v>0</v>
      </c>
      <c r="K143" s="918">
        <f t="shared" si="12"/>
        <v>0</v>
      </c>
      <c r="L143" s="918">
        <f t="shared" si="13"/>
        <v>0</v>
      </c>
      <c r="M143" s="918">
        <f t="shared" si="14"/>
        <v>0</v>
      </c>
      <c r="N143" s="3719">
        <f t="shared" si="15"/>
        <v>0</v>
      </c>
      <c r="O143" s="3719"/>
      <c r="P143" s="490">
        <f t="shared" si="17"/>
        <v>0</v>
      </c>
      <c r="S143" s="32">
        <f>'2 REPAIR ESTIMATOR'!AD160</f>
        <v>0</v>
      </c>
      <c r="T143" s="32">
        <f>'2 REPAIR ESTIMATOR'!AM160</f>
        <v>0</v>
      </c>
      <c r="U143" s="32">
        <f t="shared" si="16"/>
        <v>0</v>
      </c>
      <c r="V143" s="32">
        <f>'2 REPAIR ESTIMATOR'!AG160</f>
        <v>0</v>
      </c>
      <c r="W143" s="32">
        <f>'2 REPAIR ESTIMATOR'!AJ160</f>
        <v>0</v>
      </c>
    </row>
    <row r="144" spans="3:23" ht="18" hidden="1">
      <c r="C144" s="3720" t="str">
        <f>T('2 REPAIR ESTIMATOR'!D161:O161)</f>
        <v/>
      </c>
      <c r="D144" s="3721"/>
      <c r="E144" s="3721"/>
      <c r="F144" s="3721"/>
      <c r="G144" s="3721"/>
      <c r="H144" s="3721"/>
      <c r="I144" s="916">
        <f>'2 REPAIR ESTIMATOR'!P161</f>
        <v>0</v>
      </c>
      <c r="J144" s="917">
        <f>'2 REPAIR ESTIMATOR'!S161</f>
        <v>0</v>
      </c>
      <c r="K144" s="918">
        <f t="shared" si="12"/>
        <v>0</v>
      </c>
      <c r="L144" s="918">
        <f t="shared" si="13"/>
        <v>0</v>
      </c>
      <c r="M144" s="918">
        <f t="shared" si="14"/>
        <v>0</v>
      </c>
      <c r="N144" s="3719">
        <f t="shared" si="15"/>
        <v>0</v>
      </c>
      <c r="O144" s="3719"/>
      <c r="P144" s="490">
        <f t="shared" si="17"/>
        <v>0</v>
      </c>
      <c r="S144" s="32">
        <f>'2 REPAIR ESTIMATOR'!AD161</f>
        <v>0</v>
      </c>
      <c r="T144" s="32">
        <f>'2 REPAIR ESTIMATOR'!AM161</f>
        <v>0</v>
      </c>
      <c r="U144" s="32">
        <f t="shared" si="16"/>
        <v>0</v>
      </c>
      <c r="V144" s="32">
        <f>'2 REPAIR ESTIMATOR'!AG161</f>
        <v>0</v>
      </c>
      <c r="W144" s="32">
        <f>'2 REPAIR ESTIMATOR'!AJ161</f>
        <v>0</v>
      </c>
    </row>
    <row r="145" spans="3:23" ht="18" hidden="1">
      <c r="C145" s="3720" t="str">
        <f>T('2 REPAIR ESTIMATOR'!D162:O162)</f>
        <v/>
      </c>
      <c r="D145" s="3721"/>
      <c r="E145" s="3721"/>
      <c r="F145" s="3721"/>
      <c r="G145" s="3721"/>
      <c r="H145" s="3721"/>
      <c r="I145" s="916">
        <f>'2 REPAIR ESTIMATOR'!P162</f>
        <v>0</v>
      </c>
      <c r="J145" s="917">
        <f>'2 REPAIR ESTIMATOR'!S162</f>
        <v>0</v>
      </c>
      <c r="K145" s="918">
        <f t="shared" si="12"/>
        <v>0</v>
      </c>
      <c r="L145" s="918">
        <f t="shared" si="13"/>
        <v>0</v>
      </c>
      <c r="M145" s="918">
        <f t="shared" si="14"/>
        <v>0</v>
      </c>
      <c r="N145" s="3719">
        <f t="shared" si="15"/>
        <v>0</v>
      </c>
      <c r="O145" s="3719"/>
      <c r="P145" s="490">
        <f t="shared" si="17"/>
        <v>0</v>
      </c>
      <c r="S145" s="32">
        <f>'2 REPAIR ESTIMATOR'!AD162</f>
        <v>0</v>
      </c>
      <c r="T145" s="32">
        <f>'2 REPAIR ESTIMATOR'!AM162</f>
        <v>0</v>
      </c>
      <c r="U145" s="32">
        <f t="shared" si="16"/>
        <v>0</v>
      </c>
      <c r="V145" s="32">
        <f>'2 REPAIR ESTIMATOR'!AG162</f>
        <v>0</v>
      </c>
      <c r="W145" s="32">
        <f>'2 REPAIR ESTIMATOR'!AJ162</f>
        <v>0</v>
      </c>
    </row>
    <row r="146" spans="3:23" ht="18" hidden="1">
      <c r="C146" s="3720" t="str">
        <f>T('2 REPAIR ESTIMATOR'!D163:O163)</f>
        <v/>
      </c>
      <c r="D146" s="3721"/>
      <c r="E146" s="3721"/>
      <c r="F146" s="3721"/>
      <c r="G146" s="3721"/>
      <c r="H146" s="3721"/>
      <c r="I146" s="916">
        <f>'2 REPAIR ESTIMATOR'!P163</f>
        <v>0</v>
      </c>
      <c r="J146" s="917">
        <f>'2 REPAIR ESTIMATOR'!S163</f>
        <v>0</v>
      </c>
      <c r="K146" s="918">
        <f t="shared" si="12"/>
        <v>0</v>
      </c>
      <c r="L146" s="918">
        <f t="shared" si="13"/>
        <v>0</v>
      </c>
      <c r="M146" s="918">
        <f t="shared" si="14"/>
        <v>0</v>
      </c>
      <c r="N146" s="3719">
        <f t="shared" si="15"/>
        <v>0</v>
      </c>
      <c r="O146" s="3719"/>
      <c r="P146" s="490">
        <f t="shared" si="17"/>
        <v>0</v>
      </c>
      <c r="S146" s="32">
        <f>'2 REPAIR ESTIMATOR'!AD163</f>
        <v>0</v>
      </c>
      <c r="T146" s="32">
        <f>'2 REPAIR ESTIMATOR'!AM163</f>
        <v>0</v>
      </c>
      <c r="U146" s="32">
        <f t="shared" si="16"/>
        <v>0</v>
      </c>
      <c r="V146" s="32">
        <f>'2 REPAIR ESTIMATOR'!AG163</f>
        <v>0</v>
      </c>
      <c r="W146" s="32">
        <f>'2 REPAIR ESTIMATOR'!AJ163</f>
        <v>0</v>
      </c>
    </row>
    <row r="147" spans="3:23" ht="18" hidden="1">
      <c r="C147" s="3720" t="str">
        <f>T('2 REPAIR ESTIMATOR'!D164:O164)</f>
        <v/>
      </c>
      <c r="D147" s="3721"/>
      <c r="E147" s="3721"/>
      <c r="F147" s="3721"/>
      <c r="G147" s="3721"/>
      <c r="H147" s="3721"/>
      <c r="I147" s="916">
        <f>'2 REPAIR ESTIMATOR'!P164</f>
        <v>0</v>
      </c>
      <c r="J147" s="917">
        <f>'2 REPAIR ESTIMATOR'!S164</f>
        <v>0</v>
      </c>
      <c r="K147" s="918">
        <f t="shared" si="12"/>
        <v>0</v>
      </c>
      <c r="L147" s="918">
        <f t="shared" si="13"/>
        <v>0</v>
      </c>
      <c r="M147" s="918">
        <f t="shared" si="14"/>
        <v>0</v>
      </c>
      <c r="N147" s="3719">
        <f t="shared" si="15"/>
        <v>0</v>
      </c>
      <c r="O147" s="3719"/>
      <c r="P147" s="490">
        <f t="shared" si="17"/>
        <v>0</v>
      </c>
      <c r="S147" s="32">
        <f>'2 REPAIR ESTIMATOR'!AD164</f>
        <v>0</v>
      </c>
      <c r="T147" s="32">
        <f>'2 REPAIR ESTIMATOR'!AM164</f>
        <v>0</v>
      </c>
      <c r="U147" s="32">
        <f t="shared" si="16"/>
        <v>0</v>
      </c>
      <c r="V147" s="32">
        <f>'2 REPAIR ESTIMATOR'!AG164</f>
        <v>0</v>
      </c>
      <c r="W147" s="32">
        <f>'2 REPAIR ESTIMATOR'!AJ164</f>
        <v>0</v>
      </c>
    </row>
    <row r="148" spans="3:23" ht="18" hidden="1">
      <c r="C148" s="3720" t="str">
        <f>T('2 REPAIR ESTIMATOR'!D165:O165)</f>
        <v/>
      </c>
      <c r="D148" s="3721"/>
      <c r="E148" s="3721"/>
      <c r="F148" s="3721"/>
      <c r="G148" s="3721"/>
      <c r="H148" s="3721"/>
      <c r="I148" s="916">
        <f>'2 REPAIR ESTIMATOR'!P165</f>
        <v>0</v>
      </c>
      <c r="J148" s="917">
        <f>'2 REPAIR ESTIMATOR'!S165</f>
        <v>0</v>
      </c>
      <c r="K148" s="918">
        <f t="shared" si="12"/>
        <v>0</v>
      </c>
      <c r="L148" s="918">
        <f t="shared" si="13"/>
        <v>0</v>
      </c>
      <c r="M148" s="918">
        <f t="shared" si="14"/>
        <v>0</v>
      </c>
      <c r="N148" s="3719">
        <f t="shared" si="15"/>
        <v>0</v>
      </c>
      <c r="O148" s="3719"/>
      <c r="P148" s="490">
        <f t="shared" si="17"/>
        <v>0</v>
      </c>
      <c r="S148" s="32">
        <f>'2 REPAIR ESTIMATOR'!AD165</f>
        <v>0</v>
      </c>
      <c r="T148" s="32">
        <f>'2 REPAIR ESTIMATOR'!AM165</f>
        <v>0</v>
      </c>
      <c r="U148" s="32">
        <f t="shared" si="16"/>
        <v>0</v>
      </c>
      <c r="V148" s="32">
        <f>'2 REPAIR ESTIMATOR'!AG165</f>
        <v>0</v>
      </c>
      <c r="W148" s="32">
        <f>'2 REPAIR ESTIMATOR'!AJ165</f>
        <v>0</v>
      </c>
    </row>
    <row r="149" spans="3:23" ht="18" hidden="1">
      <c r="C149" s="3720" t="str">
        <f>T('2 REPAIR ESTIMATOR'!D166:O166)</f>
        <v/>
      </c>
      <c r="D149" s="3721"/>
      <c r="E149" s="3721"/>
      <c r="F149" s="3721"/>
      <c r="G149" s="3721"/>
      <c r="H149" s="3721"/>
      <c r="I149" s="916">
        <f>'2 REPAIR ESTIMATOR'!P166</f>
        <v>0</v>
      </c>
      <c r="J149" s="917">
        <f>'2 REPAIR ESTIMATOR'!S166</f>
        <v>0</v>
      </c>
      <c r="K149" s="918">
        <f t="shared" si="12"/>
        <v>0</v>
      </c>
      <c r="L149" s="918">
        <f t="shared" si="13"/>
        <v>0</v>
      </c>
      <c r="M149" s="918">
        <f t="shared" si="14"/>
        <v>0</v>
      </c>
      <c r="N149" s="3719">
        <f t="shared" si="15"/>
        <v>0</v>
      </c>
      <c r="O149" s="3719"/>
      <c r="P149" s="490">
        <f t="shared" si="17"/>
        <v>0</v>
      </c>
      <c r="S149" s="32">
        <f>'2 REPAIR ESTIMATOR'!AD166</f>
        <v>0</v>
      </c>
      <c r="T149" s="32">
        <f>'2 REPAIR ESTIMATOR'!AM166</f>
        <v>0</v>
      </c>
      <c r="U149" s="32">
        <f t="shared" si="16"/>
        <v>0</v>
      </c>
      <c r="V149" s="32">
        <f>'2 REPAIR ESTIMATOR'!AG166</f>
        <v>0</v>
      </c>
      <c r="W149" s="32">
        <f>'2 REPAIR ESTIMATOR'!AJ166</f>
        <v>0</v>
      </c>
    </row>
    <row r="150" spans="3:23" ht="18" hidden="1">
      <c r="C150" s="3720" t="str">
        <f>T('2 REPAIR ESTIMATOR'!D167:O167)</f>
        <v/>
      </c>
      <c r="D150" s="3721"/>
      <c r="E150" s="3721"/>
      <c r="F150" s="3721"/>
      <c r="G150" s="3721"/>
      <c r="H150" s="3721"/>
      <c r="I150" s="916">
        <f>'2 REPAIR ESTIMATOR'!P167</f>
        <v>0</v>
      </c>
      <c r="J150" s="917">
        <f>'2 REPAIR ESTIMATOR'!S167</f>
        <v>0</v>
      </c>
      <c r="K150" s="918">
        <f t="shared" si="12"/>
        <v>0</v>
      </c>
      <c r="L150" s="918">
        <f t="shared" si="13"/>
        <v>0</v>
      </c>
      <c r="M150" s="918">
        <f t="shared" si="14"/>
        <v>0</v>
      </c>
      <c r="N150" s="3719">
        <f t="shared" si="15"/>
        <v>0</v>
      </c>
      <c r="O150" s="3719"/>
      <c r="P150" s="490">
        <f t="shared" si="17"/>
        <v>0</v>
      </c>
      <c r="S150" s="32">
        <f>'2 REPAIR ESTIMATOR'!AD167</f>
        <v>0</v>
      </c>
      <c r="T150" s="32">
        <f>'2 REPAIR ESTIMATOR'!AM167</f>
        <v>0</v>
      </c>
      <c r="U150" s="32">
        <f t="shared" si="16"/>
        <v>0</v>
      </c>
      <c r="V150" s="32">
        <f>'2 REPAIR ESTIMATOR'!AG167</f>
        <v>0</v>
      </c>
      <c r="W150" s="32">
        <f>'2 REPAIR ESTIMATOR'!AJ167</f>
        <v>0</v>
      </c>
    </row>
    <row r="151" spans="3:23" ht="18" hidden="1">
      <c r="C151" s="3720" t="str">
        <f>T('2 REPAIR ESTIMATOR'!D168:O168)</f>
        <v/>
      </c>
      <c r="D151" s="3721"/>
      <c r="E151" s="3721"/>
      <c r="F151" s="3721"/>
      <c r="G151" s="3721"/>
      <c r="H151" s="3721"/>
      <c r="I151" s="916">
        <f>'2 REPAIR ESTIMATOR'!P168</f>
        <v>0</v>
      </c>
      <c r="J151" s="917">
        <f>'2 REPAIR ESTIMATOR'!S168</f>
        <v>0</v>
      </c>
      <c r="K151" s="918">
        <f t="shared" si="12"/>
        <v>0</v>
      </c>
      <c r="L151" s="918">
        <f t="shared" si="13"/>
        <v>0</v>
      </c>
      <c r="M151" s="918">
        <f t="shared" si="14"/>
        <v>0</v>
      </c>
      <c r="N151" s="3719">
        <f t="shared" si="15"/>
        <v>0</v>
      </c>
      <c r="O151" s="3719"/>
      <c r="P151" s="490">
        <f t="shared" si="17"/>
        <v>0</v>
      </c>
      <c r="S151" s="32">
        <f>'2 REPAIR ESTIMATOR'!AD168</f>
        <v>0</v>
      </c>
      <c r="T151" s="32">
        <f>'2 REPAIR ESTIMATOR'!AM168</f>
        <v>0</v>
      </c>
      <c r="U151" s="32">
        <f t="shared" si="16"/>
        <v>0</v>
      </c>
      <c r="V151" s="32">
        <f>'2 REPAIR ESTIMATOR'!AG168</f>
        <v>0</v>
      </c>
      <c r="W151" s="32">
        <f>'2 REPAIR ESTIMATOR'!AJ168</f>
        <v>0</v>
      </c>
    </row>
    <row r="152" spans="3:23" ht="18" hidden="1">
      <c r="C152" s="3720" t="str">
        <f>T('2 REPAIR ESTIMATOR'!D169:O169)</f>
        <v/>
      </c>
      <c r="D152" s="3721"/>
      <c r="E152" s="3721"/>
      <c r="F152" s="3721"/>
      <c r="G152" s="3721"/>
      <c r="H152" s="3721"/>
      <c r="I152" s="916">
        <f>'2 REPAIR ESTIMATOR'!P169</f>
        <v>0</v>
      </c>
      <c r="J152" s="917">
        <f>'2 REPAIR ESTIMATOR'!S169</f>
        <v>0</v>
      </c>
      <c r="K152" s="918">
        <f t="shared" si="12"/>
        <v>0</v>
      </c>
      <c r="L152" s="918">
        <f t="shared" si="13"/>
        <v>0</v>
      </c>
      <c r="M152" s="918">
        <f t="shared" si="14"/>
        <v>0</v>
      </c>
      <c r="N152" s="3719">
        <f t="shared" si="15"/>
        <v>0</v>
      </c>
      <c r="O152" s="3719"/>
      <c r="P152" s="490">
        <f t="shared" si="17"/>
        <v>0</v>
      </c>
      <c r="S152" s="32">
        <f>'2 REPAIR ESTIMATOR'!AD169</f>
        <v>0</v>
      </c>
      <c r="T152" s="32">
        <f>'2 REPAIR ESTIMATOR'!AM169</f>
        <v>0</v>
      </c>
      <c r="U152" s="32">
        <f t="shared" si="16"/>
        <v>0</v>
      </c>
      <c r="V152" s="32">
        <f>'2 REPAIR ESTIMATOR'!AG169</f>
        <v>0</v>
      </c>
      <c r="W152" s="32">
        <f>'2 REPAIR ESTIMATOR'!AJ169</f>
        <v>0</v>
      </c>
    </row>
    <row r="153" spans="3:23" ht="18" hidden="1">
      <c r="C153" s="3720" t="str">
        <f>T('2 REPAIR ESTIMATOR'!D170:O170)</f>
        <v/>
      </c>
      <c r="D153" s="3721"/>
      <c r="E153" s="3721"/>
      <c r="F153" s="3721"/>
      <c r="G153" s="3721"/>
      <c r="H153" s="3721"/>
      <c r="I153" s="916">
        <f>'2 REPAIR ESTIMATOR'!P170</f>
        <v>0</v>
      </c>
      <c r="J153" s="917">
        <f>'2 REPAIR ESTIMATOR'!S170</f>
        <v>0</v>
      </c>
      <c r="K153" s="918">
        <f t="shared" si="12"/>
        <v>0</v>
      </c>
      <c r="L153" s="918">
        <f t="shared" si="13"/>
        <v>0</v>
      </c>
      <c r="M153" s="918">
        <f t="shared" si="14"/>
        <v>0</v>
      </c>
      <c r="N153" s="3719">
        <f t="shared" si="15"/>
        <v>0</v>
      </c>
      <c r="O153" s="3719"/>
      <c r="P153" s="490">
        <f t="shared" si="17"/>
        <v>0</v>
      </c>
      <c r="S153" s="32">
        <f>'2 REPAIR ESTIMATOR'!AD170</f>
        <v>0</v>
      </c>
      <c r="T153" s="32">
        <f>'2 REPAIR ESTIMATOR'!AM170</f>
        <v>0</v>
      </c>
      <c r="U153" s="32">
        <f t="shared" si="16"/>
        <v>0</v>
      </c>
      <c r="V153" s="32">
        <f>'2 REPAIR ESTIMATOR'!AG170</f>
        <v>0</v>
      </c>
      <c r="W153" s="32">
        <f>'2 REPAIR ESTIMATOR'!AJ170</f>
        <v>0</v>
      </c>
    </row>
    <row r="154" spans="3:23" ht="18" hidden="1">
      <c r="C154" s="3720" t="str">
        <f>T('2 REPAIR ESTIMATOR'!D171:O171)</f>
        <v/>
      </c>
      <c r="D154" s="3721"/>
      <c r="E154" s="3721"/>
      <c r="F154" s="3721"/>
      <c r="G154" s="3721"/>
      <c r="H154" s="3721"/>
      <c r="I154" s="916">
        <f>'2 REPAIR ESTIMATOR'!P171</f>
        <v>0</v>
      </c>
      <c r="J154" s="917">
        <f>'2 REPAIR ESTIMATOR'!S171</f>
        <v>0</v>
      </c>
      <c r="K154" s="918">
        <f t="shared" si="12"/>
        <v>0</v>
      </c>
      <c r="L154" s="918">
        <f t="shared" si="13"/>
        <v>0</v>
      </c>
      <c r="M154" s="918">
        <f t="shared" si="14"/>
        <v>0</v>
      </c>
      <c r="N154" s="3719">
        <f t="shared" si="15"/>
        <v>0</v>
      </c>
      <c r="O154" s="3719"/>
      <c r="P154" s="490">
        <f t="shared" si="17"/>
        <v>0</v>
      </c>
      <c r="S154" s="32">
        <f>'2 REPAIR ESTIMATOR'!AD171</f>
        <v>0</v>
      </c>
      <c r="T154" s="32">
        <f>'2 REPAIR ESTIMATOR'!AM171</f>
        <v>0</v>
      </c>
      <c r="U154" s="32">
        <f t="shared" si="16"/>
        <v>0</v>
      </c>
      <c r="V154" s="32">
        <f>'2 REPAIR ESTIMATOR'!AG171</f>
        <v>0</v>
      </c>
      <c r="W154" s="32">
        <f>'2 REPAIR ESTIMATOR'!AJ171</f>
        <v>0</v>
      </c>
    </row>
    <row r="155" spans="3:23" ht="18.350000000000001" hidden="1" thickBot="1">
      <c r="C155" s="3779" t="str">
        <f>T('2 REPAIR ESTIMATOR'!D172:O172)</f>
        <v/>
      </c>
      <c r="D155" s="3780"/>
      <c r="E155" s="3780"/>
      <c r="F155" s="3780"/>
      <c r="G155" s="3780"/>
      <c r="H155" s="3780"/>
      <c r="I155" s="919">
        <f>'2 REPAIR ESTIMATOR'!P172</f>
        <v>0</v>
      </c>
      <c r="J155" s="920">
        <f>'2 REPAIR ESTIMATOR'!S172</f>
        <v>0</v>
      </c>
      <c r="K155" s="921">
        <f t="shared" si="12"/>
        <v>0</v>
      </c>
      <c r="L155" s="921">
        <f t="shared" si="13"/>
        <v>0</v>
      </c>
      <c r="M155" s="921">
        <f t="shared" si="14"/>
        <v>0</v>
      </c>
      <c r="N155" s="3781">
        <f t="shared" si="15"/>
        <v>0</v>
      </c>
      <c r="O155" s="3781"/>
      <c r="P155" s="490">
        <f t="shared" si="17"/>
        <v>0</v>
      </c>
      <c r="S155" s="32">
        <f>'2 REPAIR ESTIMATOR'!AD172</f>
        <v>0</v>
      </c>
      <c r="T155" s="32">
        <f>'2 REPAIR ESTIMATOR'!AM172</f>
        <v>0</v>
      </c>
      <c r="U155" s="32">
        <f t="shared" si="16"/>
        <v>0</v>
      </c>
      <c r="V155" s="32">
        <f>'2 REPAIR ESTIMATOR'!AG172</f>
        <v>0</v>
      </c>
      <c r="W155" s="32">
        <f>'2 REPAIR ESTIMATOR'!AJ172</f>
        <v>0</v>
      </c>
    </row>
    <row r="156" spans="3:23" ht="18.350000000000001" hidden="1" thickBot="1">
      <c r="C156" s="3723" t="str">
        <f>T('2 REPAIR ESTIMATOR'!AC174)</f>
        <v>DEMOLITION TOTAL</v>
      </c>
      <c r="D156" s="3724"/>
      <c r="E156" s="3724"/>
      <c r="F156" s="3724"/>
      <c r="G156" s="3724"/>
      <c r="H156" s="3724"/>
      <c r="I156" s="3724"/>
      <c r="J156" s="3724"/>
      <c r="K156" s="922">
        <f>SUM(K116:K155)</f>
        <v>0</v>
      </c>
      <c r="L156" s="922">
        <f>SUM(L116:L155)</f>
        <v>0</v>
      </c>
      <c r="M156" s="922">
        <f>SUM(M116:M155)</f>
        <v>0</v>
      </c>
      <c r="N156" s="3789">
        <f>SUM(N116:O155)</f>
        <v>0</v>
      </c>
      <c r="O156" s="3789"/>
      <c r="P156" s="489">
        <f>SUM(P115:P125)</f>
        <v>0</v>
      </c>
      <c r="S156" s="33">
        <f>SUM(S116:S155)</f>
        <v>0</v>
      </c>
      <c r="T156" s="33">
        <f>SUM(T116:T155)</f>
        <v>0</v>
      </c>
      <c r="U156" s="33">
        <f>SUM(U116:U155)</f>
        <v>0</v>
      </c>
      <c r="V156" s="33">
        <f>SUM(V116:V155)</f>
        <v>0</v>
      </c>
      <c r="W156" s="33">
        <f>SUM(W116:W155)</f>
        <v>0</v>
      </c>
    </row>
    <row r="157" spans="3:23" ht="8.85" hidden="1" customHeight="1">
      <c r="C157" s="841"/>
      <c r="D157" s="841"/>
      <c r="E157" s="841"/>
      <c r="F157" s="841"/>
      <c r="G157" s="841"/>
      <c r="H157" s="841"/>
      <c r="I157" s="842"/>
      <c r="J157" s="842"/>
      <c r="K157" s="842"/>
      <c r="L157" s="842"/>
      <c r="M157" s="842"/>
      <c r="N157" s="843"/>
      <c r="O157" s="798"/>
      <c r="P157" s="489">
        <f>P156</f>
        <v>0</v>
      </c>
    </row>
    <row r="158" spans="3:23" ht="21" hidden="1" customHeight="1" thickBot="1">
      <c r="C158" s="3782" t="str">
        <f>T('2 REPAIR ESTIMATOR'!D177:O177)</f>
        <v>STRUCTURAL CONCRETE</v>
      </c>
      <c r="D158" s="3783"/>
      <c r="E158" s="3783"/>
      <c r="F158" s="3783"/>
      <c r="G158" s="3783"/>
      <c r="H158" s="3783"/>
      <c r="I158" s="799">
        <f>SUM(I159:I198)</f>
        <v>0</v>
      </c>
      <c r="J158" s="800"/>
      <c r="K158" s="850"/>
      <c r="L158" s="850"/>
      <c r="M158" s="850"/>
      <c r="N158" s="3722"/>
      <c r="O158" s="3722"/>
      <c r="P158" s="489">
        <f t="shared" ref="P158:P185" si="18">I158</f>
        <v>0</v>
      </c>
      <c r="S158" s="34"/>
      <c r="T158" s="34"/>
      <c r="U158" s="34"/>
      <c r="V158" s="34"/>
      <c r="W158" s="34"/>
    </row>
    <row r="159" spans="3:23" ht="18" hidden="1">
      <c r="C159" s="3787" t="str">
        <f>T('2 REPAIR ESTIMATOR'!D178:O178)</f>
        <v>Excavation</v>
      </c>
      <c r="D159" s="3788"/>
      <c r="E159" s="3788"/>
      <c r="F159" s="3788"/>
      <c r="G159" s="3788"/>
      <c r="H159" s="3788"/>
      <c r="I159" s="916">
        <f>'2 REPAIR ESTIMATOR'!P178</f>
        <v>0</v>
      </c>
      <c r="J159" s="917">
        <f>'2 REPAIR ESTIMATOR'!S178</f>
        <v>0</v>
      </c>
      <c r="K159" s="918">
        <f t="shared" ref="K159:K198" si="19">IF($N$3="subbed",U159,S159)*$S$70</f>
        <v>0</v>
      </c>
      <c r="L159" s="918">
        <f>V159*$S$70</f>
        <v>0</v>
      </c>
      <c r="M159" s="918">
        <f>W159*$S$70</f>
        <v>0</v>
      </c>
      <c r="N159" s="3719">
        <f>SUM(K159:M159)</f>
        <v>0</v>
      </c>
      <c r="O159" s="3719"/>
      <c r="P159" s="490">
        <f t="shared" si="18"/>
        <v>0</v>
      </c>
      <c r="S159" s="32">
        <f>'2 REPAIR ESTIMATOR'!AD178</f>
        <v>0</v>
      </c>
      <c r="T159" s="32">
        <f>'2 REPAIR ESTIMATOR'!AM178</f>
        <v>0</v>
      </c>
      <c r="U159" s="32">
        <f>T159+S159</f>
        <v>0</v>
      </c>
      <c r="V159" s="32">
        <f>'2 REPAIR ESTIMATOR'!AG178</f>
        <v>0</v>
      </c>
      <c r="W159" s="32">
        <f>'2 REPAIR ESTIMATOR'!AJ178</f>
        <v>0</v>
      </c>
    </row>
    <row r="160" spans="3:23" ht="18" hidden="1">
      <c r="C160" s="3720" t="str">
        <f>T('2 REPAIR ESTIMATOR'!D179:O179)</f>
        <v>Excavation bid/allowance</v>
      </c>
      <c r="D160" s="3721"/>
      <c r="E160" s="3721"/>
      <c r="F160" s="3721"/>
      <c r="G160" s="3721"/>
      <c r="H160" s="3721"/>
      <c r="I160" s="916">
        <f>'2 REPAIR ESTIMATOR'!P179</f>
        <v>0</v>
      </c>
      <c r="J160" s="917" t="str">
        <f>'2 REPAIR ESTIMATOR'!S179</f>
        <v>ls</v>
      </c>
      <c r="K160" s="918">
        <f t="shared" si="19"/>
        <v>0</v>
      </c>
      <c r="L160" s="918">
        <f t="shared" ref="L160:L198" si="20">V160*$S$70</f>
        <v>0</v>
      </c>
      <c r="M160" s="918">
        <f t="shared" ref="M160:M198" si="21">W160*$S$70</f>
        <v>0</v>
      </c>
      <c r="N160" s="3719">
        <f t="shared" ref="N160:N198" si="22">SUM(K160:M160)</f>
        <v>0</v>
      </c>
      <c r="O160" s="3719"/>
      <c r="P160" s="490">
        <f t="shared" si="18"/>
        <v>0</v>
      </c>
      <c r="S160" s="32">
        <f>'2 REPAIR ESTIMATOR'!AD179</f>
        <v>0</v>
      </c>
      <c r="T160" s="32">
        <f>'2 REPAIR ESTIMATOR'!AM179</f>
        <v>0</v>
      </c>
      <c r="U160" s="32">
        <f t="shared" ref="U160:U198" si="23">T160+S160</f>
        <v>0</v>
      </c>
      <c r="V160" s="32">
        <f>'2 REPAIR ESTIMATOR'!AG179</f>
        <v>0</v>
      </c>
      <c r="W160" s="32">
        <f>'2 REPAIR ESTIMATOR'!AJ179</f>
        <v>0</v>
      </c>
    </row>
    <row r="161" spans="3:23" ht="18" hidden="1">
      <c r="C161" s="3720" t="str">
        <f>T('2 REPAIR ESTIMATOR'!D180:O180)</f>
        <v>Footing trenching</v>
      </c>
      <c r="D161" s="3721"/>
      <c r="E161" s="3721"/>
      <c r="F161" s="3721"/>
      <c r="G161" s="3721"/>
      <c r="H161" s="3721"/>
      <c r="I161" s="916">
        <f>'2 REPAIR ESTIMATOR'!P180</f>
        <v>0</v>
      </c>
      <c r="J161" s="917" t="str">
        <f>'2 REPAIR ESTIMATOR'!S180</f>
        <v>cy</v>
      </c>
      <c r="K161" s="918">
        <f t="shared" si="19"/>
        <v>0</v>
      </c>
      <c r="L161" s="918">
        <f t="shared" si="20"/>
        <v>0</v>
      </c>
      <c r="M161" s="918">
        <f t="shared" si="21"/>
        <v>0</v>
      </c>
      <c r="N161" s="3719">
        <f t="shared" si="22"/>
        <v>0</v>
      </c>
      <c r="O161" s="3719"/>
      <c r="P161" s="490">
        <f t="shared" si="18"/>
        <v>0</v>
      </c>
      <c r="S161" s="32">
        <f>'2 REPAIR ESTIMATOR'!AD180</f>
        <v>0</v>
      </c>
      <c r="T161" s="32">
        <f>'2 REPAIR ESTIMATOR'!AM180</f>
        <v>0</v>
      </c>
      <c r="U161" s="32">
        <f t="shared" si="23"/>
        <v>0</v>
      </c>
      <c r="V161" s="32">
        <f>'2 REPAIR ESTIMATOR'!AG180</f>
        <v>0</v>
      </c>
      <c r="W161" s="32">
        <f>'2 REPAIR ESTIMATOR'!AJ180</f>
        <v>0</v>
      </c>
    </row>
    <row r="162" spans="3:23" ht="18" hidden="1">
      <c r="C162" s="3720" t="str">
        <f>T('2 REPAIR ESTIMATOR'!D181:O181)</f>
        <v xml:space="preserve">Backfill of trenches </v>
      </c>
      <c r="D162" s="3721"/>
      <c r="E162" s="3721"/>
      <c r="F162" s="3721"/>
      <c r="G162" s="3721"/>
      <c r="H162" s="3721"/>
      <c r="I162" s="916">
        <f>'2 REPAIR ESTIMATOR'!P181</f>
        <v>0</v>
      </c>
      <c r="J162" s="917" t="str">
        <f>'2 REPAIR ESTIMATOR'!S181</f>
        <v>cy</v>
      </c>
      <c r="K162" s="918">
        <f t="shared" si="19"/>
        <v>0</v>
      </c>
      <c r="L162" s="918">
        <f t="shared" si="20"/>
        <v>0</v>
      </c>
      <c r="M162" s="918">
        <f t="shared" si="21"/>
        <v>0</v>
      </c>
      <c r="N162" s="3719">
        <f t="shared" si="22"/>
        <v>0</v>
      </c>
      <c r="O162" s="3719"/>
      <c r="P162" s="490">
        <f t="shared" si="18"/>
        <v>0</v>
      </c>
      <c r="S162" s="32">
        <f>'2 REPAIR ESTIMATOR'!AD181</f>
        <v>0</v>
      </c>
      <c r="T162" s="32">
        <f>'2 REPAIR ESTIMATOR'!AM181</f>
        <v>0</v>
      </c>
      <c r="U162" s="32">
        <f t="shared" si="23"/>
        <v>0</v>
      </c>
      <c r="V162" s="32">
        <f>'2 REPAIR ESTIMATOR'!AG181</f>
        <v>0</v>
      </c>
      <c r="W162" s="32">
        <f>'2 REPAIR ESTIMATOR'!AJ181</f>
        <v>0</v>
      </c>
    </row>
    <row r="163" spans="3:23" ht="18" hidden="1">
      <c r="C163" s="3720" t="str">
        <f>T('2 REPAIR ESTIMATOR'!D182:O182)</f>
        <v/>
      </c>
      <c r="D163" s="3721"/>
      <c r="E163" s="3721"/>
      <c r="F163" s="3721"/>
      <c r="G163" s="3721"/>
      <c r="H163" s="3721"/>
      <c r="I163" s="916">
        <f>'2 REPAIR ESTIMATOR'!P182</f>
        <v>0</v>
      </c>
      <c r="J163" s="917">
        <f>'2 REPAIR ESTIMATOR'!S182</f>
        <v>0</v>
      </c>
      <c r="K163" s="918">
        <f t="shared" si="19"/>
        <v>0</v>
      </c>
      <c r="L163" s="918">
        <f t="shared" si="20"/>
        <v>0</v>
      </c>
      <c r="M163" s="918">
        <f t="shared" si="21"/>
        <v>0</v>
      </c>
      <c r="N163" s="3719">
        <f t="shared" si="22"/>
        <v>0</v>
      </c>
      <c r="O163" s="3719"/>
      <c r="P163" s="490">
        <f t="shared" si="18"/>
        <v>0</v>
      </c>
      <c r="S163" s="32">
        <f>'2 REPAIR ESTIMATOR'!AD182</f>
        <v>0</v>
      </c>
      <c r="T163" s="32">
        <f>'2 REPAIR ESTIMATOR'!AM182</f>
        <v>0</v>
      </c>
      <c r="U163" s="32">
        <f t="shared" si="23"/>
        <v>0</v>
      </c>
      <c r="V163" s="32">
        <f>'2 REPAIR ESTIMATOR'!AG182</f>
        <v>0</v>
      </c>
      <c r="W163" s="32">
        <f>'2 REPAIR ESTIMATOR'!AJ182</f>
        <v>0</v>
      </c>
    </row>
    <row r="164" spans="3:23" ht="18" hidden="1">
      <c r="C164" s="3720" t="str">
        <f>T('2 REPAIR ESTIMATOR'!D183:O183)</f>
        <v/>
      </c>
      <c r="D164" s="3721"/>
      <c r="E164" s="3721"/>
      <c r="F164" s="3721"/>
      <c r="G164" s="3721"/>
      <c r="H164" s="3721"/>
      <c r="I164" s="916">
        <f>'2 REPAIR ESTIMATOR'!P183</f>
        <v>0</v>
      </c>
      <c r="J164" s="917">
        <f>'2 REPAIR ESTIMATOR'!S183</f>
        <v>0</v>
      </c>
      <c r="K164" s="918">
        <f t="shared" si="19"/>
        <v>0</v>
      </c>
      <c r="L164" s="918">
        <f t="shared" si="20"/>
        <v>0</v>
      </c>
      <c r="M164" s="918">
        <f t="shared" si="21"/>
        <v>0</v>
      </c>
      <c r="N164" s="3719">
        <f t="shared" si="22"/>
        <v>0</v>
      </c>
      <c r="O164" s="3719"/>
      <c r="P164" s="490">
        <f t="shared" si="18"/>
        <v>0</v>
      </c>
      <c r="S164" s="32">
        <f>'2 REPAIR ESTIMATOR'!AD183</f>
        <v>0</v>
      </c>
      <c r="T164" s="32">
        <f>'2 REPAIR ESTIMATOR'!AM183</f>
        <v>0</v>
      </c>
      <c r="U164" s="32">
        <f t="shared" si="23"/>
        <v>0</v>
      </c>
      <c r="V164" s="32">
        <f>'2 REPAIR ESTIMATOR'!AG183</f>
        <v>0</v>
      </c>
      <c r="W164" s="32">
        <f>'2 REPAIR ESTIMATOR'!AJ183</f>
        <v>0</v>
      </c>
    </row>
    <row r="165" spans="3:23" ht="18" hidden="1">
      <c r="C165" s="3787" t="str">
        <f>T('2 REPAIR ESTIMATOR'!D184:O184)</f>
        <v>Foundation</v>
      </c>
      <c r="D165" s="3788"/>
      <c r="E165" s="3788"/>
      <c r="F165" s="3788"/>
      <c r="G165" s="3788"/>
      <c r="H165" s="3788"/>
      <c r="I165" s="916">
        <f>'2 REPAIR ESTIMATOR'!P184</f>
        <v>0</v>
      </c>
      <c r="J165" s="917">
        <f>'2 REPAIR ESTIMATOR'!S184</f>
        <v>0</v>
      </c>
      <c r="K165" s="918">
        <f t="shared" si="19"/>
        <v>0</v>
      </c>
      <c r="L165" s="918">
        <f t="shared" si="20"/>
        <v>0</v>
      </c>
      <c r="M165" s="918">
        <f t="shared" si="21"/>
        <v>0</v>
      </c>
      <c r="N165" s="3719">
        <f t="shared" si="22"/>
        <v>0</v>
      </c>
      <c r="O165" s="3719"/>
      <c r="P165" s="490">
        <f t="shared" si="18"/>
        <v>0</v>
      </c>
      <c r="S165" s="32">
        <f>'2 REPAIR ESTIMATOR'!AD184</f>
        <v>0</v>
      </c>
      <c r="T165" s="32">
        <f>'2 REPAIR ESTIMATOR'!AM184</f>
        <v>0</v>
      </c>
      <c r="U165" s="32">
        <f t="shared" si="23"/>
        <v>0</v>
      </c>
      <c r="V165" s="32">
        <f>'2 REPAIR ESTIMATOR'!AG184</f>
        <v>0</v>
      </c>
      <c r="W165" s="32">
        <f>'2 REPAIR ESTIMATOR'!AJ184</f>
        <v>0</v>
      </c>
    </row>
    <row r="166" spans="3:23" ht="18" hidden="1">
      <c r="C166" s="3720" t="str">
        <f>T('2 REPAIR ESTIMATOR'!D185:O185)</f>
        <v>Foundation bid/allowance</v>
      </c>
      <c r="D166" s="3721"/>
      <c r="E166" s="3721"/>
      <c r="F166" s="3721"/>
      <c r="G166" s="3721"/>
      <c r="H166" s="3721"/>
      <c r="I166" s="916">
        <f>'2 REPAIR ESTIMATOR'!P185</f>
        <v>0</v>
      </c>
      <c r="J166" s="917" t="str">
        <f>'2 REPAIR ESTIMATOR'!S185</f>
        <v>ls</v>
      </c>
      <c r="K166" s="918">
        <f t="shared" si="19"/>
        <v>0</v>
      </c>
      <c r="L166" s="918">
        <f t="shared" si="20"/>
        <v>0</v>
      </c>
      <c r="M166" s="918">
        <f t="shared" si="21"/>
        <v>0</v>
      </c>
      <c r="N166" s="3719">
        <f t="shared" si="22"/>
        <v>0</v>
      </c>
      <c r="O166" s="3719"/>
      <c r="P166" s="490">
        <f t="shared" si="18"/>
        <v>0</v>
      </c>
      <c r="S166" s="32">
        <f>'2 REPAIR ESTIMATOR'!AD185</f>
        <v>0</v>
      </c>
      <c r="T166" s="32">
        <f>'2 REPAIR ESTIMATOR'!AM185</f>
        <v>0</v>
      </c>
      <c r="U166" s="32">
        <f t="shared" si="23"/>
        <v>0</v>
      </c>
      <c r="V166" s="32">
        <f>'2 REPAIR ESTIMATOR'!AG185</f>
        <v>0</v>
      </c>
      <c r="W166" s="32">
        <f>'2 REPAIR ESTIMATOR'!AJ185</f>
        <v>0</v>
      </c>
    </row>
    <row r="167" spans="3:23" ht="18" hidden="1">
      <c r="C167" s="3720" t="str">
        <f>T('2 REPAIR ESTIMATOR'!D186:O186)</f>
        <v>Concrete slab on grade, 4" thick</v>
      </c>
      <c r="D167" s="3721"/>
      <c r="E167" s="3721"/>
      <c r="F167" s="3721"/>
      <c r="G167" s="3721"/>
      <c r="H167" s="3721"/>
      <c r="I167" s="916">
        <f>'2 REPAIR ESTIMATOR'!P186</f>
        <v>0</v>
      </c>
      <c r="J167" s="917" t="str">
        <f>'2 REPAIR ESTIMATOR'!S186</f>
        <v>sf</v>
      </c>
      <c r="K167" s="918">
        <f t="shared" si="19"/>
        <v>0</v>
      </c>
      <c r="L167" s="918">
        <f t="shared" si="20"/>
        <v>0</v>
      </c>
      <c r="M167" s="918">
        <f t="shared" si="21"/>
        <v>0</v>
      </c>
      <c r="N167" s="3719">
        <f t="shared" si="22"/>
        <v>0</v>
      </c>
      <c r="O167" s="3719"/>
      <c r="P167" s="490">
        <f t="shared" si="18"/>
        <v>0</v>
      </c>
      <c r="S167" s="32">
        <f>'2 REPAIR ESTIMATOR'!AD186</f>
        <v>0</v>
      </c>
      <c r="T167" s="32">
        <f>'2 REPAIR ESTIMATOR'!AM186</f>
        <v>0</v>
      </c>
      <c r="U167" s="32">
        <f t="shared" si="23"/>
        <v>0</v>
      </c>
      <c r="V167" s="32">
        <f>'2 REPAIR ESTIMATOR'!AG186</f>
        <v>0</v>
      </c>
      <c r="W167" s="32">
        <f>'2 REPAIR ESTIMATOR'!AJ186</f>
        <v>0</v>
      </c>
    </row>
    <row r="168" spans="3:23" ht="18" hidden="1">
      <c r="C168" s="3720" t="str">
        <f>T('2 REPAIR ESTIMATOR'!D187:O187)</f>
        <v xml:space="preserve">Concrete footing, 12" wide </v>
      </c>
      <c r="D168" s="3721"/>
      <c r="E168" s="3721"/>
      <c r="F168" s="3721"/>
      <c r="G168" s="3721"/>
      <c r="H168" s="3721"/>
      <c r="I168" s="916">
        <f>'2 REPAIR ESTIMATOR'!P187</f>
        <v>0</v>
      </c>
      <c r="J168" s="917" t="str">
        <f>'2 REPAIR ESTIMATOR'!S187</f>
        <v>lf</v>
      </c>
      <c r="K168" s="918">
        <f t="shared" si="19"/>
        <v>0</v>
      </c>
      <c r="L168" s="918">
        <f t="shared" si="20"/>
        <v>0</v>
      </c>
      <c r="M168" s="918">
        <f t="shared" si="21"/>
        <v>0</v>
      </c>
      <c r="N168" s="3719">
        <f t="shared" si="22"/>
        <v>0</v>
      </c>
      <c r="O168" s="3719"/>
      <c r="P168" s="490">
        <f t="shared" si="18"/>
        <v>0</v>
      </c>
      <c r="S168" s="32">
        <f>'2 REPAIR ESTIMATOR'!AD187</f>
        <v>0</v>
      </c>
      <c r="T168" s="32">
        <f>'2 REPAIR ESTIMATOR'!AM187</f>
        <v>0</v>
      </c>
      <c r="U168" s="32">
        <f t="shared" si="23"/>
        <v>0</v>
      </c>
      <c r="V168" s="32">
        <f>'2 REPAIR ESTIMATOR'!AG187</f>
        <v>0</v>
      </c>
      <c r="W168" s="32">
        <f>'2 REPAIR ESTIMATOR'!AJ187</f>
        <v>0</v>
      </c>
    </row>
    <row r="169" spans="3:23" ht="18" hidden="1">
      <c r="C169" s="3720" t="str">
        <f>T('2 REPAIR ESTIMATOR'!D188:O188)</f>
        <v>Stem wall, single story</v>
      </c>
      <c r="D169" s="3721"/>
      <c r="E169" s="3721"/>
      <c r="F169" s="3721"/>
      <c r="G169" s="3721"/>
      <c r="H169" s="3721"/>
      <c r="I169" s="916">
        <f>'2 REPAIR ESTIMATOR'!P188</f>
        <v>0</v>
      </c>
      <c r="J169" s="917" t="str">
        <f>'2 REPAIR ESTIMATOR'!S188</f>
        <v>lf</v>
      </c>
      <c r="K169" s="918">
        <f t="shared" si="19"/>
        <v>0</v>
      </c>
      <c r="L169" s="918">
        <f t="shared" si="20"/>
        <v>0</v>
      </c>
      <c r="M169" s="918">
        <f t="shared" si="21"/>
        <v>0</v>
      </c>
      <c r="N169" s="3719">
        <f t="shared" si="22"/>
        <v>0</v>
      </c>
      <c r="O169" s="3719"/>
      <c r="P169" s="490">
        <f t="shared" si="18"/>
        <v>0</v>
      </c>
      <c r="S169" s="32">
        <f>'2 REPAIR ESTIMATOR'!AD188</f>
        <v>0</v>
      </c>
      <c r="T169" s="32">
        <f>'2 REPAIR ESTIMATOR'!AM188</f>
        <v>0</v>
      </c>
      <c r="U169" s="32">
        <f t="shared" si="23"/>
        <v>0</v>
      </c>
      <c r="V169" s="32">
        <f>'2 REPAIR ESTIMATOR'!AG188</f>
        <v>0</v>
      </c>
      <c r="W169" s="32">
        <f>'2 REPAIR ESTIMATOR'!AJ188</f>
        <v>0</v>
      </c>
    </row>
    <row r="170" spans="3:23" ht="18" hidden="1">
      <c r="C170" s="3720" t="str">
        <f>T('2 REPAIR ESTIMATOR'!D189:O189)</f>
        <v/>
      </c>
      <c r="D170" s="3721"/>
      <c r="E170" s="3721"/>
      <c r="F170" s="3721"/>
      <c r="G170" s="3721"/>
      <c r="H170" s="3721"/>
      <c r="I170" s="916">
        <f>'2 REPAIR ESTIMATOR'!P189</f>
        <v>0</v>
      </c>
      <c r="J170" s="917">
        <f>'2 REPAIR ESTIMATOR'!S189</f>
        <v>0</v>
      </c>
      <c r="K170" s="918">
        <f t="shared" si="19"/>
        <v>0</v>
      </c>
      <c r="L170" s="918">
        <f t="shared" si="20"/>
        <v>0</v>
      </c>
      <c r="M170" s="918">
        <f t="shared" si="21"/>
        <v>0</v>
      </c>
      <c r="N170" s="3719">
        <f t="shared" si="22"/>
        <v>0</v>
      </c>
      <c r="O170" s="3719"/>
      <c r="P170" s="490">
        <f t="shared" si="18"/>
        <v>0</v>
      </c>
      <c r="S170" s="32">
        <f>'2 REPAIR ESTIMATOR'!AD189</f>
        <v>0</v>
      </c>
      <c r="T170" s="32">
        <f>'2 REPAIR ESTIMATOR'!AM189</f>
        <v>0</v>
      </c>
      <c r="U170" s="32">
        <f t="shared" si="23"/>
        <v>0</v>
      </c>
      <c r="V170" s="32">
        <f>'2 REPAIR ESTIMATOR'!AG189</f>
        <v>0</v>
      </c>
      <c r="W170" s="32">
        <f>'2 REPAIR ESTIMATOR'!AJ189</f>
        <v>0</v>
      </c>
    </row>
    <row r="171" spans="3:23" ht="18" hidden="1">
      <c r="C171" s="3720" t="str">
        <f>T('2 REPAIR ESTIMATOR'!D190:O190)</f>
        <v/>
      </c>
      <c r="D171" s="3721"/>
      <c r="E171" s="3721"/>
      <c r="F171" s="3721"/>
      <c r="G171" s="3721"/>
      <c r="H171" s="3721"/>
      <c r="I171" s="916">
        <f>'2 REPAIR ESTIMATOR'!P190</f>
        <v>0</v>
      </c>
      <c r="J171" s="917">
        <f>'2 REPAIR ESTIMATOR'!S190</f>
        <v>0</v>
      </c>
      <c r="K171" s="918">
        <f t="shared" si="19"/>
        <v>0</v>
      </c>
      <c r="L171" s="918">
        <f t="shared" si="20"/>
        <v>0</v>
      </c>
      <c r="M171" s="918">
        <f t="shared" si="21"/>
        <v>0</v>
      </c>
      <c r="N171" s="3719">
        <f t="shared" si="22"/>
        <v>0</v>
      </c>
      <c r="O171" s="3719"/>
      <c r="P171" s="490">
        <f t="shared" si="18"/>
        <v>0</v>
      </c>
      <c r="S171" s="32">
        <f>'2 REPAIR ESTIMATOR'!AD190</f>
        <v>0</v>
      </c>
      <c r="T171" s="32">
        <f>'2 REPAIR ESTIMATOR'!AM190</f>
        <v>0</v>
      </c>
      <c r="U171" s="32">
        <f t="shared" si="23"/>
        <v>0</v>
      </c>
      <c r="V171" s="32">
        <f>'2 REPAIR ESTIMATOR'!AG190</f>
        <v>0</v>
      </c>
      <c r="W171" s="32">
        <f>'2 REPAIR ESTIMATOR'!AJ190</f>
        <v>0</v>
      </c>
    </row>
    <row r="172" spans="3:23" ht="18" hidden="1">
      <c r="C172" s="3787" t="str">
        <f>T('2 REPAIR ESTIMATOR'!D191:O191)</f>
        <v>Structural Repairs</v>
      </c>
      <c r="D172" s="3788"/>
      <c r="E172" s="3788"/>
      <c r="F172" s="3788"/>
      <c r="G172" s="3788"/>
      <c r="H172" s="3788"/>
      <c r="I172" s="916">
        <f>'2 REPAIR ESTIMATOR'!P191</f>
        <v>0</v>
      </c>
      <c r="J172" s="917">
        <f>'2 REPAIR ESTIMATOR'!S191</f>
        <v>0</v>
      </c>
      <c r="K172" s="918">
        <f t="shared" si="19"/>
        <v>0</v>
      </c>
      <c r="L172" s="918">
        <f t="shared" si="20"/>
        <v>0</v>
      </c>
      <c r="M172" s="918">
        <f t="shared" si="21"/>
        <v>0</v>
      </c>
      <c r="N172" s="3719">
        <f t="shared" si="22"/>
        <v>0</v>
      </c>
      <c r="O172" s="3719"/>
      <c r="P172" s="490">
        <f t="shared" si="18"/>
        <v>0</v>
      </c>
      <c r="S172" s="32">
        <f>'2 REPAIR ESTIMATOR'!AD191</f>
        <v>0</v>
      </c>
      <c r="T172" s="32">
        <f>'2 REPAIR ESTIMATOR'!AM191</f>
        <v>0</v>
      </c>
      <c r="U172" s="32">
        <f t="shared" si="23"/>
        <v>0</v>
      </c>
      <c r="V172" s="32">
        <f>'2 REPAIR ESTIMATOR'!AG191</f>
        <v>0</v>
      </c>
      <c r="W172" s="32">
        <f>'2 REPAIR ESTIMATOR'!AJ191</f>
        <v>0</v>
      </c>
    </row>
    <row r="173" spans="3:23" ht="18" hidden="1">
      <c r="C173" s="3720" t="str">
        <f>T('2 REPAIR ESTIMATOR'!D192:O192)</f>
        <v>Structural Repairs bid/allowance</v>
      </c>
      <c r="D173" s="3721"/>
      <c r="E173" s="3721"/>
      <c r="F173" s="3721"/>
      <c r="G173" s="3721"/>
      <c r="H173" s="3721"/>
      <c r="I173" s="916">
        <f>'2 REPAIR ESTIMATOR'!P192</f>
        <v>0</v>
      </c>
      <c r="J173" s="917" t="str">
        <f>'2 REPAIR ESTIMATOR'!S192</f>
        <v>ls</v>
      </c>
      <c r="K173" s="918">
        <f t="shared" si="19"/>
        <v>0</v>
      </c>
      <c r="L173" s="918">
        <f t="shared" si="20"/>
        <v>0</v>
      </c>
      <c r="M173" s="918">
        <f t="shared" si="21"/>
        <v>0</v>
      </c>
      <c r="N173" s="3719">
        <f t="shared" si="22"/>
        <v>0</v>
      </c>
      <c r="O173" s="3719"/>
      <c r="P173" s="490">
        <f t="shared" si="18"/>
        <v>0</v>
      </c>
      <c r="S173" s="32">
        <f>'2 REPAIR ESTIMATOR'!AD192</f>
        <v>0</v>
      </c>
      <c r="T173" s="32">
        <f>'2 REPAIR ESTIMATOR'!AM192</f>
        <v>0</v>
      </c>
      <c r="U173" s="32">
        <f t="shared" si="23"/>
        <v>0</v>
      </c>
      <c r="V173" s="32">
        <f>'2 REPAIR ESTIMATOR'!AG192</f>
        <v>0</v>
      </c>
      <c r="W173" s="32">
        <f>'2 REPAIR ESTIMATOR'!AJ192</f>
        <v>0</v>
      </c>
    </row>
    <row r="174" spans="3:23" ht="18" hidden="1">
      <c r="C174" s="3720" t="str">
        <f>T('2 REPAIR ESTIMATOR'!D193:O193)</f>
        <v>Stair mud jacking, case by case</v>
      </c>
      <c r="D174" s="3721"/>
      <c r="E174" s="3721"/>
      <c r="F174" s="3721"/>
      <c r="G174" s="3721"/>
      <c r="H174" s="3721"/>
      <c r="I174" s="916">
        <f>'2 REPAIR ESTIMATOR'!P193</f>
        <v>0</v>
      </c>
      <c r="J174" s="917" t="str">
        <f>'2 REPAIR ESTIMATOR'!S193</f>
        <v>ea</v>
      </c>
      <c r="K174" s="918">
        <f t="shared" si="19"/>
        <v>0</v>
      </c>
      <c r="L174" s="918">
        <f t="shared" si="20"/>
        <v>0</v>
      </c>
      <c r="M174" s="918">
        <f t="shared" si="21"/>
        <v>0</v>
      </c>
      <c r="N174" s="3719">
        <f t="shared" si="22"/>
        <v>0</v>
      </c>
      <c r="O174" s="3719"/>
      <c r="P174" s="490">
        <f t="shared" si="18"/>
        <v>0</v>
      </c>
      <c r="S174" s="32">
        <f>'2 REPAIR ESTIMATOR'!AD193</f>
        <v>0</v>
      </c>
      <c r="T174" s="32">
        <f>'2 REPAIR ESTIMATOR'!AM193</f>
        <v>0</v>
      </c>
      <c r="U174" s="32">
        <f t="shared" si="23"/>
        <v>0</v>
      </c>
      <c r="V174" s="32">
        <f>'2 REPAIR ESTIMATOR'!AG193</f>
        <v>0</v>
      </c>
      <c r="W174" s="32">
        <f>'2 REPAIR ESTIMATOR'!AJ193</f>
        <v>0</v>
      </c>
    </row>
    <row r="175" spans="3:23" ht="18" hidden="1">
      <c r="C175" s="3720" t="str">
        <f>T('2 REPAIR ESTIMATOR'!D194:O194)</f>
        <v>Bowing foundation walls, vertical I-Beams</v>
      </c>
      <c r="D175" s="3721"/>
      <c r="E175" s="3721"/>
      <c r="F175" s="3721"/>
      <c r="G175" s="3721"/>
      <c r="H175" s="3721"/>
      <c r="I175" s="916">
        <f>'2 REPAIR ESTIMATOR'!P194</f>
        <v>0</v>
      </c>
      <c r="J175" s="917" t="str">
        <f>'2 REPAIR ESTIMATOR'!S194</f>
        <v>ea</v>
      </c>
      <c r="K175" s="918">
        <f t="shared" si="19"/>
        <v>0</v>
      </c>
      <c r="L175" s="918">
        <f t="shared" si="20"/>
        <v>0</v>
      </c>
      <c r="M175" s="918">
        <f t="shared" si="21"/>
        <v>0</v>
      </c>
      <c r="N175" s="3719">
        <f t="shared" si="22"/>
        <v>0</v>
      </c>
      <c r="O175" s="3719"/>
      <c r="P175" s="490">
        <f t="shared" si="18"/>
        <v>0</v>
      </c>
      <c r="S175" s="32">
        <f>'2 REPAIR ESTIMATOR'!AD194</f>
        <v>0</v>
      </c>
      <c r="T175" s="32">
        <f>'2 REPAIR ESTIMATOR'!AM194</f>
        <v>0</v>
      </c>
      <c r="U175" s="32">
        <f t="shared" si="23"/>
        <v>0</v>
      </c>
      <c r="V175" s="32">
        <f>'2 REPAIR ESTIMATOR'!AG194</f>
        <v>0</v>
      </c>
      <c r="W175" s="32">
        <f>'2 REPAIR ESTIMATOR'!AJ194</f>
        <v>0</v>
      </c>
    </row>
    <row r="176" spans="3:23" ht="18" hidden="1">
      <c r="C176" s="3720" t="str">
        <f>T('2 REPAIR ESTIMATOR'!D195:O195)</f>
        <v>Settled foundation walls, concrete piers/underpinning</v>
      </c>
      <c r="D176" s="3721"/>
      <c r="E176" s="3721"/>
      <c r="F176" s="3721"/>
      <c r="G176" s="3721"/>
      <c r="H176" s="3721"/>
      <c r="I176" s="916">
        <f>'2 REPAIR ESTIMATOR'!P195</f>
        <v>0</v>
      </c>
      <c r="J176" s="917" t="str">
        <f>'2 REPAIR ESTIMATOR'!S195</f>
        <v>ea</v>
      </c>
      <c r="K176" s="918">
        <f t="shared" si="19"/>
        <v>0</v>
      </c>
      <c r="L176" s="918">
        <f t="shared" si="20"/>
        <v>0</v>
      </c>
      <c r="M176" s="918">
        <f t="shared" si="21"/>
        <v>0</v>
      </c>
      <c r="N176" s="3719">
        <f t="shared" si="22"/>
        <v>0</v>
      </c>
      <c r="O176" s="3719"/>
      <c r="P176" s="490">
        <f t="shared" si="18"/>
        <v>0</v>
      </c>
      <c r="S176" s="32">
        <f>'2 REPAIR ESTIMATOR'!AD195</f>
        <v>0</v>
      </c>
      <c r="T176" s="32">
        <f>'2 REPAIR ESTIMATOR'!AM195</f>
        <v>0</v>
      </c>
      <c r="U176" s="32">
        <f t="shared" si="23"/>
        <v>0</v>
      </c>
      <c r="V176" s="32">
        <f>'2 REPAIR ESTIMATOR'!AG195</f>
        <v>0</v>
      </c>
      <c r="W176" s="32">
        <f>'2 REPAIR ESTIMATOR'!AJ195</f>
        <v>0</v>
      </c>
    </row>
    <row r="177" spans="3:23" ht="18" hidden="1">
      <c r="C177" s="3720" t="str">
        <f>T('2 REPAIR ESTIMATOR'!D196:O196)</f>
        <v>Foundation waterproofing &amp; drain tile, single story</v>
      </c>
      <c r="D177" s="3721"/>
      <c r="E177" s="3721"/>
      <c r="F177" s="3721"/>
      <c r="G177" s="3721"/>
      <c r="H177" s="3721"/>
      <c r="I177" s="916">
        <f>'2 REPAIR ESTIMATOR'!P196</f>
        <v>0</v>
      </c>
      <c r="J177" s="917" t="str">
        <f>'2 REPAIR ESTIMATOR'!S196</f>
        <v>lf</v>
      </c>
      <c r="K177" s="918">
        <f t="shared" si="19"/>
        <v>0</v>
      </c>
      <c r="L177" s="918">
        <f t="shared" si="20"/>
        <v>0</v>
      </c>
      <c r="M177" s="918">
        <f t="shared" si="21"/>
        <v>0</v>
      </c>
      <c r="N177" s="3719">
        <f t="shared" si="22"/>
        <v>0</v>
      </c>
      <c r="O177" s="3719"/>
      <c r="P177" s="490">
        <f t="shared" si="18"/>
        <v>0</v>
      </c>
      <c r="S177" s="32">
        <f>'2 REPAIR ESTIMATOR'!AD196</f>
        <v>0</v>
      </c>
      <c r="T177" s="32">
        <f>'2 REPAIR ESTIMATOR'!AM196</f>
        <v>0</v>
      </c>
      <c r="U177" s="32">
        <f t="shared" si="23"/>
        <v>0</v>
      </c>
      <c r="V177" s="32">
        <f>'2 REPAIR ESTIMATOR'!AG196</f>
        <v>0</v>
      </c>
      <c r="W177" s="32">
        <f>'2 REPAIR ESTIMATOR'!AJ196</f>
        <v>0</v>
      </c>
    </row>
    <row r="178" spans="3:23" ht="18" hidden="1">
      <c r="C178" s="3720" t="str">
        <f>T('2 REPAIR ESTIMATOR'!D197:O197)</f>
        <v>Epoxy crack injection</v>
      </c>
      <c r="D178" s="3721"/>
      <c r="E178" s="3721"/>
      <c r="F178" s="3721"/>
      <c r="G178" s="3721"/>
      <c r="H178" s="3721"/>
      <c r="I178" s="916">
        <f>'2 REPAIR ESTIMATOR'!P197</f>
        <v>0</v>
      </c>
      <c r="J178" s="917" t="str">
        <f>'2 REPAIR ESTIMATOR'!S197</f>
        <v>lf</v>
      </c>
      <c r="K178" s="918">
        <f t="shared" si="19"/>
        <v>0</v>
      </c>
      <c r="L178" s="918">
        <f t="shared" si="20"/>
        <v>0</v>
      </c>
      <c r="M178" s="918">
        <f t="shared" si="21"/>
        <v>0</v>
      </c>
      <c r="N178" s="3719">
        <f t="shared" si="22"/>
        <v>0</v>
      </c>
      <c r="O178" s="3719"/>
      <c r="P178" s="490">
        <f t="shared" si="18"/>
        <v>0</v>
      </c>
      <c r="S178" s="32">
        <f>'2 REPAIR ESTIMATOR'!AD197</f>
        <v>0</v>
      </c>
      <c r="T178" s="32">
        <f>'2 REPAIR ESTIMATOR'!AM197</f>
        <v>0</v>
      </c>
      <c r="U178" s="32">
        <f t="shared" si="23"/>
        <v>0</v>
      </c>
      <c r="V178" s="32">
        <f>'2 REPAIR ESTIMATOR'!AG197</f>
        <v>0</v>
      </c>
      <c r="W178" s="32">
        <f>'2 REPAIR ESTIMATOR'!AJ197</f>
        <v>0</v>
      </c>
    </row>
    <row r="179" spans="3:23" ht="18" hidden="1">
      <c r="C179" s="3720" t="str">
        <f>T('2 REPAIR ESTIMATOR'!D198:O198)</f>
        <v/>
      </c>
      <c r="D179" s="3721"/>
      <c r="E179" s="3721"/>
      <c r="F179" s="3721"/>
      <c r="G179" s="3721"/>
      <c r="H179" s="3721"/>
      <c r="I179" s="916">
        <f>'2 REPAIR ESTIMATOR'!P198</f>
        <v>0</v>
      </c>
      <c r="J179" s="917">
        <f>'2 REPAIR ESTIMATOR'!S198</f>
        <v>0</v>
      </c>
      <c r="K179" s="918">
        <f t="shared" si="19"/>
        <v>0</v>
      </c>
      <c r="L179" s="918">
        <f t="shared" si="20"/>
        <v>0</v>
      </c>
      <c r="M179" s="918">
        <f t="shared" si="21"/>
        <v>0</v>
      </c>
      <c r="N179" s="3719">
        <f t="shared" si="22"/>
        <v>0</v>
      </c>
      <c r="O179" s="3719"/>
      <c r="P179" s="490">
        <f t="shared" si="18"/>
        <v>0</v>
      </c>
      <c r="S179" s="32">
        <f>'2 REPAIR ESTIMATOR'!AD198</f>
        <v>0</v>
      </c>
      <c r="T179" s="32">
        <f>'2 REPAIR ESTIMATOR'!AM198</f>
        <v>0</v>
      </c>
      <c r="U179" s="32">
        <f t="shared" si="23"/>
        <v>0</v>
      </c>
      <c r="V179" s="32">
        <f>'2 REPAIR ESTIMATOR'!AG198</f>
        <v>0</v>
      </c>
      <c r="W179" s="32">
        <f>'2 REPAIR ESTIMATOR'!AJ198</f>
        <v>0</v>
      </c>
    </row>
    <row r="180" spans="3:23" ht="18" hidden="1">
      <c r="C180" s="3720" t="str">
        <f>T('2 REPAIR ESTIMATOR'!D199:O199)</f>
        <v/>
      </c>
      <c r="D180" s="3721"/>
      <c r="E180" s="3721"/>
      <c r="F180" s="3721"/>
      <c r="G180" s="3721"/>
      <c r="H180" s="3721"/>
      <c r="I180" s="916">
        <f>'2 REPAIR ESTIMATOR'!P199</f>
        <v>0</v>
      </c>
      <c r="J180" s="917">
        <f>'2 REPAIR ESTIMATOR'!S199</f>
        <v>0</v>
      </c>
      <c r="K180" s="918">
        <f t="shared" si="19"/>
        <v>0</v>
      </c>
      <c r="L180" s="918">
        <f t="shared" si="20"/>
        <v>0</v>
      </c>
      <c r="M180" s="918">
        <f t="shared" si="21"/>
        <v>0</v>
      </c>
      <c r="N180" s="3719">
        <f t="shared" si="22"/>
        <v>0</v>
      </c>
      <c r="O180" s="3719"/>
      <c r="P180" s="490">
        <f t="shared" si="18"/>
        <v>0</v>
      </c>
      <c r="S180" s="32">
        <f>'2 REPAIR ESTIMATOR'!AD199</f>
        <v>0</v>
      </c>
      <c r="T180" s="32">
        <f>'2 REPAIR ESTIMATOR'!AM199</f>
        <v>0</v>
      </c>
      <c r="U180" s="32">
        <f t="shared" si="23"/>
        <v>0</v>
      </c>
      <c r="V180" s="32">
        <f>'2 REPAIR ESTIMATOR'!AG199</f>
        <v>0</v>
      </c>
      <c r="W180" s="32">
        <f>'2 REPAIR ESTIMATOR'!AJ199</f>
        <v>0</v>
      </c>
    </row>
    <row r="181" spans="3:23" ht="18" hidden="1">
      <c r="C181" s="3720" t="str">
        <f>T('2 REPAIR ESTIMATOR'!D200:O200)</f>
        <v/>
      </c>
      <c r="D181" s="3721"/>
      <c r="E181" s="3721"/>
      <c r="F181" s="3721"/>
      <c r="G181" s="3721"/>
      <c r="H181" s="3721"/>
      <c r="I181" s="916">
        <f>'2 REPAIR ESTIMATOR'!P200</f>
        <v>0</v>
      </c>
      <c r="J181" s="917">
        <f>'2 REPAIR ESTIMATOR'!S200</f>
        <v>0</v>
      </c>
      <c r="K181" s="918">
        <f t="shared" si="19"/>
        <v>0</v>
      </c>
      <c r="L181" s="918">
        <f t="shared" si="20"/>
        <v>0</v>
      </c>
      <c r="M181" s="918">
        <f t="shared" si="21"/>
        <v>0</v>
      </c>
      <c r="N181" s="3719">
        <f t="shared" si="22"/>
        <v>0</v>
      </c>
      <c r="O181" s="3719"/>
      <c r="P181" s="490">
        <f t="shared" si="18"/>
        <v>0</v>
      </c>
      <c r="S181" s="32">
        <f>'2 REPAIR ESTIMATOR'!AD200</f>
        <v>0</v>
      </c>
      <c r="T181" s="32">
        <f>'2 REPAIR ESTIMATOR'!AM200</f>
        <v>0</v>
      </c>
      <c r="U181" s="32">
        <f t="shared" si="23"/>
        <v>0</v>
      </c>
      <c r="V181" s="32">
        <f>'2 REPAIR ESTIMATOR'!AG200</f>
        <v>0</v>
      </c>
      <c r="W181" s="32">
        <f>'2 REPAIR ESTIMATOR'!AJ200</f>
        <v>0</v>
      </c>
    </row>
    <row r="182" spans="3:23" ht="18" hidden="1">
      <c r="C182" s="3720" t="str">
        <f>T('2 REPAIR ESTIMATOR'!D201:O201)</f>
        <v/>
      </c>
      <c r="D182" s="3721"/>
      <c r="E182" s="3721"/>
      <c r="F182" s="3721"/>
      <c r="G182" s="3721"/>
      <c r="H182" s="3721"/>
      <c r="I182" s="916">
        <f>'2 REPAIR ESTIMATOR'!P201</f>
        <v>0</v>
      </c>
      <c r="J182" s="917">
        <f>'2 REPAIR ESTIMATOR'!S201</f>
        <v>0</v>
      </c>
      <c r="K182" s="918">
        <f t="shared" si="19"/>
        <v>0</v>
      </c>
      <c r="L182" s="918">
        <f t="shared" si="20"/>
        <v>0</v>
      </c>
      <c r="M182" s="918">
        <f t="shared" si="21"/>
        <v>0</v>
      </c>
      <c r="N182" s="3719">
        <f t="shared" si="22"/>
        <v>0</v>
      </c>
      <c r="O182" s="3719"/>
      <c r="P182" s="490">
        <f t="shared" si="18"/>
        <v>0</v>
      </c>
      <c r="S182" s="32">
        <f>'2 REPAIR ESTIMATOR'!AD201</f>
        <v>0</v>
      </c>
      <c r="T182" s="32">
        <f>'2 REPAIR ESTIMATOR'!AM201</f>
        <v>0</v>
      </c>
      <c r="U182" s="32">
        <f t="shared" si="23"/>
        <v>0</v>
      </c>
      <c r="V182" s="32">
        <f>'2 REPAIR ESTIMATOR'!AG201</f>
        <v>0</v>
      </c>
      <c r="W182" s="32">
        <f>'2 REPAIR ESTIMATOR'!AJ201</f>
        <v>0</v>
      </c>
    </row>
    <row r="183" spans="3:23" ht="18" hidden="1">
      <c r="C183" s="3720" t="str">
        <f>T('2 REPAIR ESTIMATOR'!D202:O202)</f>
        <v/>
      </c>
      <c r="D183" s="3721"/>
      <c r="E183" s="3721"/>
      <c r="F183" s="3721"/>
      <c r="G183" s="3721"/>
      <c r="H183" s="3721"/>
      <c r="I183" s="916">
        <f>'2 REPAIR ESTIMATOR'!P202</f>
        <v>0</v>
      </c>
      <c r="J183" s="917">
        <f>'2 REPAIR ESTIMATOR'!S202</f>
        <v>0</v>
      </c>
      <c r="K183" s="918">
        <f t="shared" si="19"/>
        <v>0</v>
      </c>
      <c r="L183" s="918">
        <f t="shared" si="20"/>
        <v>0</v>
      </c>
      <c r="M183" s="918">
        <f t="shared" si="21"/>
        <v>0</v>
      </c>
      <c r="N183" s="3719">
        <f t="shared" si="22"/>
        <v>0</v>
      </c>
      <c r="O183" s="3719"/>
      <c r="P183" s="490">
        <f t="shared" si="18"/>
        <v>0</v>
      </c>
      <c r="S183" s="32">
        <f>'2 REPAIR ESTIMATOR'!AD202</f>
        <v>0</v>
      </c>
      <c r="T183" s="32">
        <f>'2 REPAIR ESTIMATOR'!AM202</f>
        <v>0</v>
      </c>
      <c r="U183" s="32">
        <f t="shared" si="23"/>
        <v>0</v>
      </c>
      <c r="V183" s="32">
        <f>'2 REPAIR ESTIMATOR'!AG202</f>
        <v>0</v>
      </c>
      <c r="W183" s="32">
        <f>'2 REPAIR ESTIMATOR'!AJ202</f>
        <v>0</v>
      </c>
    </row>
    <row r="184" spans="3:23" ht="18" hidden="1">
      <c r="C184" s="3720" t="str">
        <f>T('2 REPAIR ESTIMATOR'!D203:O203)</f>
        <v/>
      </c>
      <c r="D184" s="3721"/>
      <c r="E184" s="3721"/>
      <c r="F184" s="3721"/>
      <c r="G184" s="3721"/>
      <c r="H184" s="3721"/>
      <c r="I184" s="916">
        <f>'2 REPAIR ESTIMATOR'!P203</f>
        <v>0</v>
      </c>
      <c r="J184" s="917">
        <f>'2 REPAIR ESTIMATOR'!S203</f>
        <v>0</v>
      </c>
      <c r="K184" s="918">
        <f t="shared" si="19"/>
        <v>0</v>
      </c>
      <c r="L184" s="918">
        <f t="shared" si="20"/>
        <v>0</v>
      </c>
      <c r="M184" s="918">
        <f t="shared" si="21"/>
        <v>0</v>
      </c>
      <c r="N184" s="3719">
        <f t="shared" si="22"/>
        <v>0</v>
      </c>
      <c r="O184" s="3719"/>
      <c r="P184" s="490">
        <f t="shared" si="18"/>
        <v>0</v>
      </c>
      <c r="S184" s="32">
        <f>'2 REPAIR ESTIMATOR'!AD203</f>
        <v>0</v>
      </c>
      <c r="T184" s="32">
        <f>'2 REPAIR ESTIMATOR'!AM203</f>
        <v>0</v>
      </c>
      <c r="U184" s="32">
        <f t="shared" si="23"/>
        <v>0</v>
      </c>
      <c r="V184" s="32">
        <f>'2 REPAIR ESTIMATOR'!AG203</f>
        <v>0</v>
      </c>
      <c r="W184" s="32">
        <f>'2 REPAIR ESTIMATOR'!AJ203</f>
        <v>0</v>
      </c>
    </row>
    <row r="185" spans="3:23" ht="18" hidden="1">
      <c r="C185" s="3720" t="str">
        <f>T('2 REPAIR ESTIMATOR'!D204:O204)</f>
        <v/>
      </c>
      <c r="D185" s="3721"/>
      <c r="E185" s="3721"/>
      <c r="F185" s="3721"/>
      <c r="G185" s="3721"/>
      <c r="H185" s="3721"/>
      <c r="I185" s="916">
        <f>'2 REPAIR ESTIMATOR'!P204</f>
        <v>0</v>
      </c>
      <c r="J185" s="917">
        <f>'2 REPAIR ESTIMATOR'!S204</f>
        <v>0</v>
      </c>
      <c r="K185" s="918">
        <f t="shared" si="19"/>
        <v>0</v>
      </c>
      <c r="L185" s="918">
        <f t="shared" si="20"/>
        <v>0</v>
      </c>
      <c r="M185" s="918">
        <f t="shared" si="21"/>
        <v>0</v>
      </c>
      <c r="N185" s="3719">
        <f t="shared" si="22"/>
        <v>0</v>
      </c>
      <c r="O185" s="3719"/>
      <c r="P185" s="490">
        <f t="shared" si="18"/>
        <v>0</v>
      </c>
      <c r="S185" s="32">
        <f>'2 REPAIR ESTIMATOR'!AD204</f>
        <v>0</v>
      </c>
      <c r="T185" s="32">
        <f>'2 REPAIR ESTIMATOR'!AM204</f>
        <v>0</v>
      </c>
      <c r="U185" s="32">
        <f t="shared" si="23"/>
        <v>0</v>
      </c>
      <c r="V185" s="32">
        <f>'2 REPAIR ESTIMATOR'!AG204</f>
        <v>0</v>
      </c>
      <c r="W185" s="32">
        <f>'2 REPAIR ESTIMATOR'!AJ204</f>
        <v>0</v>
      </c>
    </row>
    <row r="186" spans="3:23" ht="18" hidden="1">
      <c r="C186" s="3720" t="str">
        <f>T('2 REPAIR ESTIMATOR'!D205:O205)</f>
        <v/>
      </c>
      <c r="D186" s="3721"/>
      <c r="E186" s="3721"/>
      <c r="F186" s="3721"/>
      <c r="G186" s="3721"/>
      <c r="H186" s="3721"/>
      <c r="I186" s="916">
        <f>'2 REPAIR ESTIMATOR'!P205</f>
        <v>0</v>
      </c>
      <c r="J186" s="917">
        <f>'2 REPAIR ESTIMATOR'!S205</f>
        <v>0</v>
      </c>
      <c r="K186" s="918">
        <f t="shared" si="19"/>
        <v>0</v>
      </c>
      <c r="L186" s="918">
        <f t="shared" si="20"/>
        <v>0</v>
      </c>
      <c r="M186" s="918">
        <f t="shared" si="21"/>
        <v>0</v>
      </c>
      <c r="N186" s="3719">
        <f t="shared" si="22"/>
        <v>0</v>
      </c>
      <c r="O186" s="3719"/>
      <c r="P186" s="490">
        <f t="shared" ref="P186:P191" si="24">I186</f>
        <v>0</v>
      </c>
      <c r="S186" s="32">
        <f>'2 REPAIR ESTIMATOR'!AD205</f>
        <v>0</v>
      </c>
      <c r="T186" s="32">
        <f>'2 REPAIR ESTIMATOR'!AM205</f>
        <v>0</v>
      </c>
      <c r="U186" s="32">
        <f t="shared" si="23"/>
        <v>0</v>
      </c>
      <c r="V186" s="32">
        <f>'2 REPAIR ESTIMATOR'!AG205</f>
        <v>0</v>
      </c>
      <c r="W186" s="32">
        <f>'2 REPAIR ESTIMATOR'!AJ205</f>
        <v>0</v>
      </c>
    </row>
    <row r="187" spans="3:23" ht="18" hidden="1">
      <c r="C187" s="3720" t="str">
        <f>T('2 REPAIR ESTIMATOR'!D206:O206)</f>
        <v/>
      </c>
      <c r="D187" s="3721"/>
      <c r="E187" s="3721"/>
      <c r="F187" s="3721"/>
      <c r="G187" s="3721"/>
      <c r="H187" s="3721"/>
      <c r="I187" s="916">
        <f>'2 REPAIR ESTIMATOR'!P206</f>
        <v>0</v>
      </c>
      <c r="J187" s="917">
        <f>'2 REPAIR ESTIMATOR'!S206</f>
        <v>0</v>
      </c>
      <c r="K187" s="918">
        <f t="shared" si="19"/>
        <v>0</v>
      </c>
      <c r="L187" s="918">
        <f t="shared" si="20"/>
        <v>0</v>
      </c>
      <c r="M187" s="918">
        <f t="shared" si="21"/>
        <v>0</v>
      </c>
      <c r="N187" s="3719">
        <f t="shared" si="22"/>
        <v>0</v>
      </c>
      <c r="O187" s="3719"/>
      <c r="P187" s="490">
        <f t="shared" si="24"/>
        <v>0</v>
      </c>
      <c r="S187" s="32">
        <f>'2 REPAIR ESTIMATOR'!AD206</f>
        <v>0</v>
      </c>
      <c r="T187" s="32">
        <f>'2 REPAIR ESTIMATOR'!AM206</f>
        <v>0</v>
      </c>
      <c r="U187" s="32">
        <f t="shared" si="23"/>
        <v>0</v>
      </c>
      <c r="V187" s="32">
        <f>'2 REPAIR ESTIMATOR'!AG206</f>
        <v>0</v>
      </c>
      <c r="W187" s="32">
        <f>'2 REPAIR ESTIMATOR'!AJ206</f>
        <v>0</v>
      </c>
    </row>
    <row r="188" spans="3:23" ht="18" hidden="1">
      <c r="C188" s="3720" t="str">
        <f>T('2 REPAIR ESTIMATOR'!D207:O207)</f>
        <v/>
      </c>
      <c r="D188" s="3721"/>
      <c r="E188" s="3721"/>
      <c r="F188" s="3721"/>
      <c r="G188" s="3721"/>
      <c r="H188" s="3721"/>
      <c r="I188" s="916">
        <f>'2 REPAIR ESTIMATOR'!P207</f>
        <v>0</v>
      </c>
      <c r="J188" s="917">
        <f>'2 REPAIR ESTIMATOR'!S207</f>
        <v>0</v>
      </c>
      <c r="K188" s="918">
        <f t="shared" si="19"/>
        <v>0</v>
      </c>
      <c r="L188" s="918">
        <f t="shared" si="20"/>
        <v>0</v>
      </c>
      <c r="M188" s="918">
        <f t="shared" si="21"/>
        <v>0</v>
      </c>
      <c r="N188" s="3719">
        <f t="shared" si="22"/>
        <v>0</v>
      </c>
      <c r="O188" s="3719"/>
      <c r="P188" s="490">
        <f t="shared" si="24"/>
        <v>0</v>
      </c>
      <c r="S188" s="32">
        <f>'2 REPAIR ESTIMATOR'!AD207</f>
        <v>0</v>
      </c>
      <c r="T188" s="32">
        <f>'2 REPAIR ESTIMATOR'!AM207</f>
        <v>0</v>
      </c>
      <c r="U188" s="32">
        <f t="shared" si="23"/>
        <v>0</v>
      </c>
      <c r="V188" s="32">
        <f>'2 REPAIR ESTIMATOR'!AG207</f>
        <v>0</v>
      </c>
      <c r="W188" s="32">
        <f>'2 REPAIR ESTIMATOR'!AJ207</f>
        <v>0</v>
      </c>
    </row>
    <row r="189" spans="3:23" ht="18" hidden="1">
      <c r="C189" s="3720" t="str">
        <f>T('2 REPAIR ESTIMATOR'!D208:O208)</f>
        <v/>
      </c>
      <c r="D189" s="3721"/>
      <c r="E189" s="3721"/>
      <c r="F189" s="3721"/>
      <c r="G189" s="3721"/>
      <c r="H189" s="3721"/>
      <c r="I189" s="916">
        <f>'2 REPAIR ESTIMATOR'!P208</f>
        <v>0</v>
      </c>
      <c r="J189" s="917">
        <f>'2 REPAIR ESTIMATOR'!S208</f>
        <v>0</v>
      </c>
      <c r="K189" s="918">
        <f t="shared" si="19"/>
        <v>0</v>
      </c>
      <c r="L189" s="918">
        <f t="shared" si="20"/>
        <v>0</v>
      </c>
      <c r="M189" s="918">
        <f t="shared" si="21"/>
        <v>0</v>
      </c>
      <c r="N189" s="3719">
        <f t="shared" si="22"/>
        <v>0</v>
      </c>
      <c r="O189" s="3719"/>
      <c r="P189" s="490">
        <f t="shared" si="24"/>
        <v>0</v>
      </c>
      <c r="S189" s="32">
        <f>'2 REPAIR ESTIMATOR'!AD208</f>
        <v>0</v>
      </c>
      <c r="T189" s="32">
        <f>'2 REPAIR ESTIMATOR'!AM208</f>
        <v>0</v>
      </c>
      <c r="U189" s="32">
        <f t="shared" si="23"/>
        <v>0</v>
      </c>
      <c r="V189" s="32">
        <f>'2 REPAIR ESTIMATOR'!AG208</f>
        <v>0</v>
      </c>
      <c r="W189" s="32">
        <f>'2 REPAIR ESTIMATOR'!AJ208</f>
        <v>0</v>
      </c>
    </row>
    <row r="190" spans="3:23" ht="18" hidden="1">
      <c r="C190" s="3720" t="str">
        <f>T('2 REPAIR ESTIMATOR'!D209:O209)</f>
        <v/>
      </c>
      <c r="D190" s="3721"/>
      <c r="E190" s="3721"/>
      <c r="F190" s="3721"/>
      <c r="G190" s="3721"/>
      <c r="H190" s="3721"/>
      <c r="I190" s="916">
        <f>'2 REPAIR ESTIMATOR'!P209</f>
        <v>0</v>
      </c>
      <c r="J190" s="917">
        <f>'2 REPAIR ESTIMATOR'!S209</f>
        <v>0</v>
      </c>
      <c r="K190" s="918">
        <f t="shared" si="19"/>
        <v>0</v>
      </c>
      <c r="L190" s="918">
        <f t="shared" si="20"/>
        <v>0</v>
      </c>
      <c r="M190" s="918">
        <f t="shared" si="21"/>
        <v>0</v>
      </c>
      <c r="N190" s="3719">
        <f t="shared" si="22"/>
        <v>0</v>
      </c>
      <c r="O190" s="3719"/>
      <c r="P190" s="490">
        <f t="shared" si="24"/>
        <v>0</v>
      </c>
      <c r="S190" s="32">
        <f>'2 REPAIR ESTIMATOR'!AD209</f>
        <v>0</v>
      </c>
      <c r="T190" s="32">
        <f>'2 REPAIR ESTIMATOR'!AM209</f>
        <v>0</v>
      </c>
      <c r="U190" s="32">
        <f t="shared" si="23"/>
        <v>0</v>
      </c>
      <c r="V190" s="32">
        <f>'2 REPAIR ESTIMATOR'!AG209</f>
        <v>0</v>
      </c>
      <c r="W190" s="32">
        <f>'2 REPAIR ESTIMATOR'!AJ209</f>
        <v>0</v>
      </c>
    </row>
    <row r="191" spans="3:23" ht="18" hidden="1">
      <c r="C191" s="3720" t="str">
        <f>T('2 REPAIR ESTIMATOR'!D210:O210)</f>
        <v/>
      </c>
      <c r="D191" s="3721"/>
      <c r="E191" s="3721"/>
      <c r="F191" s="3721"/>
      <c r="G191" s="3721"/>
      <c r="H191" s="3721"/>
      <c r="I191" s="916">
        <f>'2 REPAIR ESTIMATOR'!P210</f>
        <v>0</v>
      </c>
      <c r="J191" s="917">
        <f>'2 REPAIR ESTIMATOR'!S210</f>
        <v>0</v>
      </c>
      <c r="K191" s="918">
        <f t="shared" si="19"/>
        <v>0</v>
      </c>
      <c r="L191" s="918">
        <f t="shared" si="20"/>
        <v>0</v>
      </c>
      <c r="M191" s="918">
        <f t="shared" si="21"/>
        <v>0</v>
      </c>
      <c r="N191" s="3719">
        <f t="shared" si="22"/>
        <v>0</v>
      </c>
      <c r="O191" s="3719"/>
      <c r="P191" s="490">
        <f t="shared" si="24"/>
        <v>0</v>
      </c>
      <c r="S191" s="32">
        <f>'2 REPAIR ESTIMATOR'!AD210</f>
        <v>0</v>
      </c>
      <c r="T191" s="32">
        <f>'2 REPAIR ESTIMATOR'!AM210</f>
        <v>0</v>
      </c>
      <c r="U191" s="32">
        <f t="shared" si="23"/>
        <v>0</v>
      </c>
      <c r="V191" s="32">
        <f>'2 REPAIR ESTIMATOR'!AG210</f>
        <v>0</v>
      </c>
      <c r="W191" s="32">
        <f>'2 REPAIR ESTIMATOR'!AJ210</f>
        <v>0</v>
      </c>
    </row>
    <row r="192" spans="3:23" ht="18" hidden="1">
      <c r="C192" s="3720" t="str">
        <f>T('2 REPAIR ESTIMATOR'!D211:O211)</f>
        <v/>
      </c>
      <c r="D192" s="3721"/>
      <c r="E192" s="3721"/>
      <c r="F192" s="3721"/>
      <c r="G192" s="3721"/>
      <c r="H192" s="3721"/>
      <c r="I192" s="916">
        <f>'2 REPAIR ESTIMATOR'!P211</f>
        <v>0</v>
      </c>
      <c r="J192" s="917">
        <f>'2 REPAIR ESTIMATOR'!S211</f>
        <v>0</v>
      </c>
      <c r="K192" s="918">
        <f t="shared" si="19"/>
        <v>0</v>
      </c>
      <c r="L192" s="918">
        <f t="shared" si="20"/>
        <v>0</v>
      </c>
      <c r="M192" s="918">
        <f t="shared" si="21"/>
        <v>0</v>
      </c>
      <c r="N192" s="3719">
        <f t="shared" si="22"/>
        <v>0</v>
      </c>
      <c r="O192" s="3719"/>
      <c r="P192" s="490">
        <f>I192</f>
        <v>0</v>
      </c>
      <c r="S192" s="32">
        <f>'2 REPAIR ESTIMATOR'!AD211</f>
        <v>0</v>
      </c>
      <c r="T192" s="32">
        <f>'2 REPAIR ESTIMATOR'!AM211</f>
        <v>0</v>
      </c>
      <c r="U192" s="32">
        <f t="shared" si="23"/>
        <v>0</v>
      </c>
      <c r="V192" s="32">
        <f>'2 REPAIR ESTIMATOR'!AG211</f>
        <v>0</v>
      </c>
      <c r="W192" s="32">
        <f>'2 REPAIR ESTIMATOR'!AJ211</f>
        <v>0</v>
      </c>
    </row>
    <row r="193" spans="3:23" ht="18" hidden="1">
      <c r="C193" s="3720" t="str">
        <f>T('2 REPAIR ESTIMATOR'!D212:O212)</f>
        <v/>
      </c>
      <c r="D193" s="3721"/>
      <c r="E193" s="3721"/>
      <c r="F193" s="3721"/>
      <c r="G193" s="3721"/>
      <c r="H193" s="3721"/>
      <c r="I193" s="916">
        <f>'2 REPAIR ESTIMATOR'!P212</f>
        <v>0</v>
      </c>
      <c r="J193" s="917">
        <f>'2 REPAIR ESTIMATOR'!S212</f>
        <v>0</v>
      </c>
      <c r="K193" s="918">
        <f t="shared" si="19"/>
        <v>0</v>
      </c>
      <c r="L193" s="918">
        <f t="shared" si="20"/>
        <v>0</v>
      </c>
      <c r="M193" s="918">
        <f t="shared" si="21"/>
        <v>0</v>
      </c>
      <c r="N193" s="3719">
        <f t="shared" si="22"/>
        <v>0</v>
      </c>
      <c r="O193" s="3719"/>
      <c r="P193" s="490">
        <f t="shared" ref="P193:P198" si="25">I193</f>
        <v>0</v>
      </c>
      <c r="S193" s="32">
        <f>'2 REPAIR ESTIMATOR'!AD212</f>
        <v>0</v>
      </c>
      <c r="T193" s="32">
        <f>'2 REPAIR ESTIMATOR'!AM212</f>
        <v>0</v>
      </c>
      <c r="U193" s="32">
        <f t="shared" si="23"/>
        <v>0</v>
      </c>
      <c r="V193" s="32">
        <f>'2 REPAIR ESTIMATOR'!AG212</f>
        <v>0</v>
      </c>
      <c r="W193" s="32">
        <f>'2 REPAIR ESTIMATOR'!AJ212</f>
        <v>0</v>
      </c>
    </row>
    <row r="194" spans="3:23" ht="18" hidden="1">
      <c r="C194" s="3720" t="str">
        <f>T('2 REPAIR ESTIMATOR'!D213:O213)</f>
        <v/>
      </c>
      <c r="D194" s="3721"/>
      <c r="E194" s="3721"/>
      <c r="F194" s="3721"/>
      <c r="G194" s="3721"/>
      <c r="H194" s="3721"/>
      <c r="I194" s="916">
        <f>'2 REPAIR ESTIMATOR'!P213</f>
        <v>0</v>
      </c>
      <c r="J194" s="917">
        <f>'2 REPAIR ESTIMATOR'!S213</f>
        <v>0</v>
      </c>
      <c r="K194" s="918">
        <f t="shared" si="19"/>
        <v>0</v>
      </c>
      <c r="L194" s="918">
        <f t="shared" si="20"/>
        <v>0</v>
      </c>
      <c r="M194" s="918">
        <f t="shared" si="21"/>
        <v>0</v>
      </c>
      <c r="N194" s="3719">
        <f t="shared" si="22"/>
        <v>0</v>
      </c>
      <c r="O194" s="3719"/>
      <c r="P194" s="490">
        <f t="shared" si="25"/>
        <v>0</v>
      </c>
      <c r="S194" s="32">
        <f>'2 REPAIR ESTIMATOR'!AD213</f>
        <v>0</v>
      </c>
      <c r="T194" s="32">
        <f>'2 REPAIR ESTIMATOR'!AM213</f>
        <v>0</v>
      </c>
      <c r="U194" s="32">
        <f t="shared" si="23"/>
        <v>0</v>
      </c>
      <c r="V194" s="32">
        <f>'2 REPAIR ESTIMATOR'!AG213</f>
        <v>0</v>
      </c>
      <c r="W194" s="32">
        <f>'2 REPAIR ESTIMATOR'!AJ213</f>
        <v>0</v>
      </c>
    </row>
    <row r="195" spans="3:23" ht="18" hidden="1">
      <c r="C195" s="3720" t="str">
        <f>T('2 REPAIR ESTIMATOR'!D214:O214)</f>
        <v/>
      </c>
      <c r="D195" s="3721"/>
      <c r="E195" s="3721"/>
      <c r="F195" s="3721"/>
      <c r="G195" s="3721"/>
      <c r="H195" s="3721"/>
      <c r="I195" s="916">
        <f>'2 REPAIR ESTIMATOR'!P214</f>
        <v>0</v>
      </c>
      <c r="J195" s="917">
        <f>'2 REPAIR ESTIMATOR'!S214</f>
        <v>0</v>
      </c>
      <c r="K195" s="918">
        <f t="shared" si="19"/>
        <v>0</v>
      </c>
      <c r="L195" s="918">
        <f t="shared" si="20"/>
        <v>0</v>
      </c>
      <c r="M195" s="918">
        <f t="shared" si="21"/>
        <v>0</v>
      </c>
      <c r="N195" s="3719">
        <f t="shared" si="22"/>
        <v>0</v>
      </c>
      <c r="O195" s="3719"/>
      <c r="P195" s="490">
        <f t="shared" si="25"/>
        <v>0</v>
      </c>
      <c r="S195" s="32">
        <f>'2 REPAIR ESTIMATOR'!AD214</f>
        <v>0</v>
      </c>
      <c r="T195" s="32">
        <f>'2 REPAIR ESTIMATOR'!AM214</f>
        <v>0</v>
      </c>
      <c r="U195" s="32">
        <f t="shared" si="23"/>
        <v>0</v>
      </c>
      <c r="V195" s="32">
        <f>'2 REPAIR ESTIMATOR'!AG214</f>
        <v>0</v>
      </c>
      <c r="W195" s="32">
        <f>'2 REPAIR ESTIMATOR'!AJ214</f>
        <v>0</v>
      </c>
    </row>
    <row r="196" spans="3:23" ht="18" hidden="1">
      <c r="C196" s="3720" t="str">
        <f>T('2 REPAIR ESTIMATOR'!D215:O215)</f>
        <v/>
      </c>
      <c r="D196" s="3721"/>
      <c r="E196" s="3721"/>
      <c r="F196" s="3721"/>
      <c r="G196" s="3721"/>
      <c r="H196" s="3721"/>
      <c r="I196" s="916">
        <f>'2 REPAIR ESTIMATOR'!P215</f>
        <v>0</v>
      </c>
      <c r="J196" s="917">
        <f>'2 REPAIR ESTIMATOR'!S215</f>
        <v>0</v>
      </c>
      <c r="K196" s="918">
        <f t="shared" si="19"/>
        <v>0</v>
      </c>
      <c r="L196" s="918">
        <f t="shared" si="20"/>
        <v>0</v>
      </c>
      <c r="M196" s="918">
        <f t="shared" si="21"/>
        <v>0</v>
      </c>
      <c r="N196" s="3719">
        <f t="shared" si="22"/>
        <v>0</v>
      </c>
      <c r="O196" s="3719"/>
      <c r="P196" s="490">
        <f t="shared" si="25"/>
        <v>0</v>
      </c>
      <c r="S196" s="32">
        <f>'2 REPAIR ESTIMATOR'!AD215</f>
        <v>0</v>
      </c>
      <c r="T196" s="32">
        <f>'2 REPAIR ESTIMATOR'!AM215</f>
        <v>0</v>
      </c>
      <c r="U196" s="32">
        <f t="shared" si="23"/>
        <v>0</v>
      </c>
      <c r="V196" s="32">
        <f>'2 REPAIR ESTIMATOR'!AG215</f>
        <v>0</v>
      </c>
      <c r="W196" s="32">
        <f>'2 REPAIR ESTIMATOR'!AJ215</f>
        <v>0</v>
      </c>
    </row>
    <row r="197" spans="3:23" ht="18" hidden="1">
      <c r="C197" s="3720" t="str">
        <f>T('2 REPAIR ESTIMATOR'!D216:O216)</f>
        <v/>
      </c>
      <c r="D197" s="3721"/>
      <c r="E197" s="3721"/>
      <c r="F197" s="3721"/>
      <c r="G197" s="3721"/>
      <c r="H197" s="3721"/>
      <c r="I197" s="916">
        <f>'2 REPAIR ESTIMATOR'!P216</f>
        <v>0</v>
      </c>
      <c r="J197" s="917">
        <f>'2 REPAIR ESTIMATOR'!S216</f>
        <v>0</v>
      </c>
      <c r="K197" s="918">
        <f t="shared" si="19"/>
        <v>0</v>
      </c>
      <c r="L197" s="918">
        <f t="shared" si="20"/>
        <v>0</v>
      </c>
      <c r="M197" s="918">
        <f t="shared" si="21"/>
        <v>0</v>
      </c>
      <c r="N197" s="3719">
        <f t="shared" si="22"/>
        <v>0</v>
      </c>
      <c r="O197" s="3719"/>
      <c r="P197" s="490">
        <f t="shared" si="25"/>
        <v>0</v>
      </c>
      <c r="S197" s="32">
        <f>'2 REPAIR ESTIMATOR'!AD216</f>
        <v>0</v>
      </c>
      <c r="T197" s="32">
        <f>'2 REPAIR ESTIMATOR'!AM216</f>
        <v>0</v>
      </c>
      <c r="U197" s="32">
        <f t="shared" si="23"/>
        <v>0</v>
      </c>
      <c r="V197" s="32">
        <f>'2 REPAIR ESTIMATOR'!AG216</f>
        <v>0</v>
      </c>
      <c r="W197" s="32">
        <f>'2 REPAIR ESTIMATOR'!AJ216</f>
        <v>0</v>
      </c>
    </row>
    <row r="198" spans="3:23" ht="18.350000000000001" hidden="1" thickBot="1">
      <c r="C198" s="3779" t="str">
        <f>T('2 REPAIR ESTIMATOR'!D217:O217)</f>
        <v/>
      </c>
      <c r="D198" s="3780"/>
      <c r="E198" s="3780"/>
      <c r="F198" s="3780"/>
      <c r="G198" s="3780"/>
      <c r="H198" s="3780"/>
      <c r="I198" s="919">
        <f>'2 REPAIR ESTIMATOR'!P217</f>
        <v>0</v>
      </c>
      <c r="J198" s="920">
        <f>'2 REPAIR ESTIMATOR'!S217</f>
        <v>0</v>
      </c>
      <c r="K198" s="921">
        <f t="shared" si="19"/>
        <v>0</v>
      </c>
      <c r="L198" s="921">
        <f t="shared" si="20"/>
        <v>0</v>
      </c>
      <c r="M198" s="921">
        <f t="shared" si="21"/>
        <v>0</v>
      </c>
      <c r="N198" s="3781">
        <f t="shared" si="22"/>
        <v>0</v>
      </c>
      <c r="O198" s="3781"/>
      <c r="P198" s="490">
        <f t="shared" si="25"/>
        <v>0</v>
      </c>
      <c r="S198" s="32">
        <f>'2 REPAIR ESTIMATOR'!AD217</f>
        <v>0</v>
      </c>
      <c r="T198" s="32">
        <f>'2 REPAIR ESTIMATOR'!AM217</f>
        <v>0</v>
      </c>
      <c r="U198" s="32">
        <f t="shared" si="23"/>
        <v>0</v>
      </c>
      <c r="V198" s="32">
        <f>'2 REPAIR ESTIMATOR'!AG217</f>
        <v>0</v>
      </c>
      <c r="W198" s="32">
        <f>'2 REPAIR ESTIMATOR'!AJ217</f>
        <v>0</v>
      </c>
    </row>
    <row r="199" spans="3:23" ht="18.350000000000001" hidden="1" thickBot="1">
      <c r="C199" s="3723" t="str">
        <f>T('2 REPAIR ESTIMATOR'!AC219)</f>
        <v>STRUCTURAL CONCRETE TOTAL</v>
      </c>
      <c r="D199" s="3724"/>
      <c r="E199" s="3724"/>
      <c r="F199" s="3724"/>
      <c r="G199" s="3724"/>
      <c r="H199" s="3724"/>
      <c r="I199" s="3724"/>
      <c r="J199" s="3724"/>
      <c r="K199" s="922">
        <f>SUM(K159:K198)</f>
        <v>0</v>
      </c>
      <c r="L199" s="922">
        <f>SUM(L159:L198)</f>
        <v>0</v>
      </c>
      <c r="M199" s="922">
        <f>SUM(M159:M198)</f>
        <v>0</v>
      </c>
      <c r="N199" s="3789">
        <f>SUM(N159:O198)</f>
        <v>0</v>
      </c>
      <c r="O199" s="3789"/>
      <c r="P199" s="490">
        <f>SUM(P158:P178)</f>
        <v>0</v>
      </c>
      <c r="S199" s="33">
        <f>SUM(S159:S198)</f>
        <v>0</v>
      </c>
      <c r="T199" s="33">
        <f>SUM(T159:T198)</f>
        <v>0</v>
      </c>
      <c r="U199" s="33">
        <f>SUM(U159:U198)</f>
        <v>0</v>
      </c>
      <c r="V199" s="33">
        <f>SUM(V159:V198)</f>
        <v>0</v>
      </c>
      <c r="W199" s="33">
        <f>SUM(W159:W198)</f>
        <v>0</v>
      </c>
    </row>
    <row r="200" spans="3:23" ht="8.85" hidden="1" customHeight="1">
      <c r="C200" s="841"/>
      <c r="D200" s="841"/>
      <c r="E200" s="841"/>
      <c r="F200" s="841"/>
      <c r="G200" s="841"/>
      <c r="H200" s="841"/>
      <c r="I200" s="842"/>
      <c r="J200" s="842"/>
      <c r="K200" s="842"/>
      <c r="L200" s="842"/>
      <c r="M200" s="842"/>
      <c r="N200" s="843"/>
      <c r="O200" s="798"/>
      <c r="P200" s="490">
        <f>P199</f>
        <v>0</v>
      </c>
    </row>
    <row r="201" spans="3:23" ht="21" hidden="1" customHeight="1" thickBot="1">
      <c r="C201" s="3782" t="str">
        <f>T('2 REPAIR ESTIMATOR'!D222:O222)</f>
        <v>CONCRETE &amp; FLATWORK</v>
      </c>
      <c r="D201" s="3783"/>
      <c r="E201" s="3783"/>
      <c r="F201" s="3783"/>
      <c r="G201" s="3783"/>
      <c r="H201" s="3783"/>
      <c r="I201" s="799">
        <f>SUM(I202:I241)</f>
        <v>0</v>
      </c>
      <c r="J201" s="800"/>
      <c r="K201" s="850"/>
      <c r="L201" s="850"/>
      <c r="M201" s="850"/>
      <c r="N201" s="3722"/>
      <c r="O201" s="3722"/>
      <c r="P201" s="489">
        <f t="shared" ref="P201:P221" si="26">I201</f>
        <v>0</v>
      </c>
      <c r="S201" s="34"/>
      <c r="T201" s="34"/>
      <c r="U201" s="34"/>
      <c r="V201" s="34"/>
      <c r="W201" s="34"/>
    </row>
    <row r="202" spans="3:23" ht="18" hidden="1">
      <c r="C202" s="3787" t="str">
        <f>T('2 REPAIR ESTIMATOR'!D223:O223)</f>
        <v>Concrete</v>
      </c>
      <c r="D202" s="3788"/>
      <c r="E202" s="3788"/>
      <c r="F202" s="3788"/>
      <c r="G202" s="3788"/>
      <c r="H202" s="3788"/>
      <c r="I202" s="916">
        <f>'2 REPAIR ESTIMATOR'!P223</f>
        <v>0</v>
      </c>
      <c r="J202" s="917">
        <f>'2 REPAIR ESTIMATOR'!S223</f>
        <v>0</v>
      </c>
      <c r="K202" s="918">
        <f t="shared" ref="K202:K241" si="27">IF($N$3="subbed",U202,S202)*$S$70</f>
        <v>0</v>
      </c>
      <c r="L202" s="918">
        <f>V202*$S$70</f>
        <v>0</v>
      </c>
      <c r="M202" s="918">
        <f>W202*$S$70</f>
        <v>0</v>
      </c>
      <c r="N202" s="3719">
        <f>SUM(K202:M202)</f>
        <v>0</v>
      </c>
      <c r="O202" s="3719"/>
      <c r="P202" s="490">
        <f t="shared" si="26"/>
        <v>0</v>
      </c>
      <c r="S202" s="32">
        <f>'2 REPAIR ESTIMATOR'!AD223</f>
        <v>0</v>
      </c>
      <c r="T202" s="32">
        <f>'2 REPAIR ESTIMATOR'!AM223</f>
        <v>0</v>
      </c>
      <c r="U202" s="32">
        <f>T202+S202</f>
        <v>0</v>
      </c>
      <c r="V202" s="32">
        <f>'2 REPAIR ESTIMATOR'!AG223</f>
        <v>0</v>
      </c>
      <c r="W202" s="32">
        <f>'2 REPAIR ESTIMATOR'!AJ223</f>
        <v>0</v>
      </c>
    </row>
    <row r="203" spans="3:23" ht="18" hidden="1">
      <c r="C203" s="3720" t="str">
        <f>T('2 REPAIR ESTIMATOR'!D224:O224)</f>
        <v>Concrete bid/allowance</v>
      </c>
      <c r="D203" s="3721"/>
      <c r="E203" s="3721"/>
      <c r="F203" s="3721"/>
      <c r="G203" s="3721"/>
      <c r="H203" s="3721"/>
      <c r="I203" s="916">
        <f>'2 REPAIR ESTIMATOR'!P224</f>
        <v>0</v>
      </c>
      <c r="J203" s="917" t="str">
        <f>'2 REPAIR ESTIMATOR'!S224</f>
        <v>ls</v>
      </c>
      <c r="K203" s="918">
        <f t="shared" si="27"/>
        <v>0</v>
      </c>
      <c r="L203" s="918">
        <f t="shared" ref="L203:L241" si="28">V203*$S$70</f>
        <v>0</v>
      </c>
      <c r="M203" s="918">
        <f t="shared" ref="M203:M241" si="29">W203*$S$70</f>
        <v>0</v>
      </c>
      <c r="N203" s="3719">
        <f t="shared" ref="N203:N241" si="30">SUM(K203:M203)</f>
        <v>0</v>
      </c>
      <c r="O203" s="3719"/>
      <c r="P203" s="490">
        <f t="shared" si="26"/>
        <v>0</v>
      </c>
      <c r="S203" s="32">
        <f>'2 REPAIR ESTIMATOR'!AD224</f>
        <v>0</v>
      </c>
      <c r="T203" s="32">
        <f>'2 REPAIR ESTIMATOR'!AM224</f>
        <v>0</v>
      </c>
      <c r="U203" s="32">
        <f t="shared" ref="U203:U241" si="31">T203+S203</f>
        <v>0</v>
      </c>
      <c r="V203" s="32">
        <f>'2 REPAIR ESTIMATOR'!AG224</f>
        <v>0</v>
      </c>
      <c r="W203" s="32">
        <f>'2 REPAIR ESTIMATOR'!AJ224</f>
        <v>0</v>
      </c>
    </row>
    <row r="204" spans="3:23" ht="18" hidden="1">
      <c r="C204" s="3720" t="str">
        <f>T('2 REPAIR ESTIMATOR'!D225:O225)</f>
        <v>Concrete flatwork demo</v>
      </c>
      <c r="D204" s="3721"/>
      <c r="E204" s="3721"/>
      <c r="F204" s="3721"/>
      <c r="G204" s="3721"/>
      <c r="H204" s="3721"/>
      <c r="I204" s="916">
        <f>'2 REPAIR ESTIMATOR'!P225</f>
        <v>0</v>
      </c>
      <c r="J204" s="917" t="str">
        <f>'2 REPAIR ESTIMATOR'!S225</f>
        <v>sf</v>
      </c>
      <c r="K204" s="918">
        <f t="shared" si="27"/>
        <v>0</v>
      </c>
      <c r="L204" s="918">
        <f t="shared" si="28"/>
        <v>0</v>
      </c>
      <c r="M204" s="918">
        <f t="shared" si="29"/>
        <v>0</v>
      </c>
      <c r="N204" s="3719">
        <f t="shared" si="30"/>
        <v>0</v>
      </c>
      <c r="O204" s="3719"/>
      <c r="P204" s="490">
        <f t="shared" si="26"/>
        <v>0</v>
      </c>
      <c r="S204" s="32">
        <f>'2 REPAIR ESTIMATOR'!AD225</f>
        <v>0</v>
      </c>
      <c r="T204" s="32">
        <f>'2 REPAIR ESTIMATOR'!AM225</f>
        <v>0</v>
      </c>
      <c r="U204" s="32">
        <f t="shared" si="31"/>
        <v>0</v>
      </c>
      <c r="V204" s="32">
        <f>'2 REPAIR ESTIMATOR'!AG225</f>
        <v>0</v>
      </c>
      <c r="W204" s="32">
        <f>'2 REPAIR ESTIMATOR'!AJ225</f>
        <v>0</v>
      </c>
    </row>
    <row r="205" spans="3:23" ht="18" hidden="1">
      <c r="C205" s="3720" t="str">
        <f>T('2 REPAIR ESTIMATOR'!D226:O226)</f>
        <v>Concrete driveway/patio, 6" thick</v>
      </c>
      <c r="D205" s="3721"/>
      <c r="E205" s="3721"/>
      <c r="F205" s="3721"/>
      <c r="G205" s="3721"/>
      <c r="H205" s="3721"/>
      <c r="I205" s="916">
        <f>'2 REPAIR ESTIMATOR'!P226</f>
        <v>0</v>
      </c>
      <c r="J205" s="917" t="str">
        <f>'2 REPAIR ESTIMATOR'!S226</f>
        <v>sf</v>
      </c>
      <c r="K205" s="918">
        <f t="shared" si="27"/>
        <v>0</v>
      </c>
      <c r="L205" s="918">
        <f t="shared" si="28"/>
        <v>0</v>
      </c>
      <c r="M205" s="918">
        <f t="shared" si="29"/>
        <v>0</v>
      </c>
      <c r="N205" s="3719">
        <f t="shared" si="30"/>
        <v>0</v>
      </c>
      <c r="O205" s="3719"/>
      <c r="P205" s="490">
        <f t="shared" si="26"/>
        <v>0</v>
      </c>
      <c r="S205" s="32">
        <f>'2 REPAIR ESTIMATOR'!AD226</f>
        <v>0</v>
      </c>
      <c r="T205" s="32">
        <f>'2 REPAIR ESTIMATOR'!AM226</f>
        <v>0</v>
      </c>
      <c r="U205" s="32">
        <f t="shared" si="31"/>
        <v>0</v>
      </c>
      <c r="V205" s="32">
        <f>'2 REPAIR ESTIMATOR'!AG226</f>
        <v>0</v>
      </c>
      <c r="W205" s="32">
        <f>'2 REPAIR ESTIMATOR'!AJ226</f>
        <v>0</v>
      </c>
    </row>
    <row r="206" spans="3:23" ht="18" hidden="1">
      <c r="C206" s="3720" t="str">
        <f>T('2 REPAIR ESTIMATOR'!D227:O227)</f>
        <v>Concrete sidewalk, 4" thick</v>
      </c>
      <c r="D206" s="3721"/>
      <c r="E206" s="3721"/>
      <c r="F206" s="3721"/>
      <c r="G206" s="3721"/>
      <c r="H206" s="3721"/>
      <c r="I206" s="916">
        <f>'2 REPAIR ESTIMATOR'!P227</f>
        <v>0</v>
      </c>
      <c r="J206" s="917" t="str">
        <f>'2 REPAIR ESTIMATOR'!S227</f>
        <v>sf</v>
      </c>
      <c r="K206" s="918">
        <f t="shared" si="27"/>
        <v>0</v>
      </c>
      <c r="L206" s="918">
        <f t="shared" si="28"/>
        <v>0</v>
      </c>
      <c r="M206" s="918">
        <f t="shared" si="29"/>
        <v>0</v>
      </c>
      <c r="N206" s="3719">
        <f t="shared" si="30"/>
        <v>0</v>
      </c>
      <c r="O206" s="3719"/>
      <c r="P206" s="490">
        <f t="shared" si="26"/>
        <v>0</v>
      </c>
      <c r="S206" s="32">
        <f>'2 REPAIR ESTIMATOR'!AD227</f>
        <v>0</v>
      </c>
      <c r="T206" s="32">
        <f>'2 REPAIR ESTIMATOR'!AM227</f>
        <v>0</v>
      </c>
      <c r="U206" s="32">
        <f t="shared" si="31"/>
        <v>0</v>
      </c>
      <c r="V206" s="32">
        <f>'2 REPAIR ESTIMATOR'!AG227</f>
        <v>0</v>
      </c>
      <c r="W206" s="32">
        <f>'2 REPAIR ESTIMATOR'!AJ227</f>
        <v>0</v>
      </c>
    </row>
    <row r="207" spans="3:23" ht="18" hidden="1">
      <c r="C207" s="3720" t="str">
        <f>T('2 REPAIR ESTIMATOR'!D228:O228)</f>
        <v>Add for 4" base rock below concrete pavement</v>
      </c>
      <c r="D207" s="3721"/>
      <c r="E207" s="3721"/>
      <c r="F207" s="3721"/>
      <c r="G207" s="3721"/>
      <c r="H207" s="3721"/>
      <c r="I207" s="916">
        <f>'2 REPAIR ESTIMATOR'!P228</f>
        <v>0</v>
      </c>
      <c r="J207" s="917" t="str">
        <f>'2 REPAIR ESTIMATOR'!S228</f>
        <v>sf</v>
      </c>
      <c r="K207" s="918">
        <f t="shared" si="27"/>
        <v>0</v>
      </c>
      <c r="L207" s="918">
        <f t="shared" si="28"/>
        <v>0</v>
      </c>
      <c r="M207" s="918">
        <f t="shared" si="29"/>
        <v>0</v>
      </c>
      <c r="N207" s="3719">
        <f t="shared" si="30"/>
        <v>0</v>
      </c>
      <c r="O207" s="3719"/>
      <c r="P207" s="490">
        <f t="shared" si="26"/>
        <v>0</v>
      </c>
      <c r="S207" s="32">
        <f>'2 REPAIR ESTIMATOR'!AD228</f>
        <v>0</v>
      </c>
      <c r="T207" s="32">
        <f>'2 REPAIR ESTIMATOR'!AM228</f>
        <v>0</v>
      </c>
      <c r="U207" s="32">
        <f t="shared" si="31"/>
        <v>0</v>
      </c>
      <c r="V207" s="32">
        <f>'2 REPAIR ESTIMATOR'!AG228</f>
        <v>0</v>
      </c>
      <c r="W207" s="32">
        <f>'2 REPAIR ESTIMATOR'!AJ228</f>
        <v>0</v>
      </c>
    </row>
    <row r="208" spans="3:23" ht="18" hidden="1">
      <c r="C208" s="3720" t="str">
        <f>T('2 REPAIR ESTIMATOR'!D229:O229)</f>
        <v/>
      </c>
      <c r="D208" s="3721"/>
      <c r="E208" s="3721"/>
      <c r="F208" s="3721"/>
      <c r="G208" s="3721"/>
      <c r="H208" s="3721"/>
      <c r="I208" s="916">
        <f>'2 REPAIR ESTIMATOR'!P229</f>
        <v>0</v>
      </c>
      <c r="J208" s="917">
        <f>'2 REPAIR ESTIMATOR'!S229</f>
        <v>0</v>
      </c>
      <c r="K208" s="918">
        <f t="shared" si="27"/>
        <v>0</v>
      </c>
      <c r="L208" s="918">
        <f t="shared" si="28"/>
        <v>0</v>
      </c>
      <c r="M208" s="918">
        <f t="shared" si="29"/>
        <v>0</v>
      </c>
      <c r="N208" s="3719">
        <f t="shared" si="30"/>
        <v>0</v>
      </c>
      <c r="O208" s="3719"/>
      <c r="P208" s="490">
        <f t="shared" si="26"/>
        <v>0</v>
      </c>
      <c r="S208" s="32">
        <f>'2 REPAIR ESTIMATOR'!AD229</f>
        <v>0</v>
      </c>
      <c r="T208" s="32">
        <f>'2 REPAIR ESTIMATOR'!AM229</f>
        <v>0</v>
      </c>
      <c r="U208" s="32">
        <f t="shared" si="31"/>
        <v>0</v>
      </c>
      <c r="V208" s="32">
        <f>'2 REPAIR ESTIMATOR'!AG229</f>
        <v>0</v>
      </c>
      <c r="W208" s="32">
        <f>'2 REPAIR ESTIMATOR'!AJ229</f>
        <v>0</v>
      </c>
    </row>
    <row r="209" spans="3:23" ht="18" hidden="1">
      <c r="C209" s="3787" t="str">
        <f>T('2 REPAIR ESTIMATOR'!D230:O230)</f>
        <v>Asphalt</v>
      </c>
      <c r="D209" s="3788"/>
      <c r="E209" s="3788"/>
      <c r="F209" s="3788"/>
      <c r="G209" s="3788"/>
      <c r="H209" s="3788"/>
      <c r="I209" s="916">
        <f>'2 REPAIR ESTIMATOR'!P230</f>
        <v>0</v>
      </c>
      <c r="J209" s="917">
        <f>'2 REPAIR ESTIMATOR'!S230</f>
        <v>0</v>
      </c>
      <c r="K209" s="918">
        <f t="shared" si="27"/>
        <v>0</v>
      </c>
      <c r="L209" s="918">
        <f t="shared" si="28"/>
        <v>0</v>
      </c>
      <c r="M209" s="918">
        <f t="shared" si="29"/>
        <v>0</v>
      </c>
      <c r="N209" s="3719">
        <f t="shared" si="30"/>
        <v>0</v>
      </c>
      <c r="O209" s="3719"/>
      <c r="P209" s="490">
        <f t="shared" si="26"/>
        <v>0</v>
      </c>
      <c r="S209" s="32">
        <f>'2 REPAIR ESTIMATOR'!AD230</f>
        <v>0</v>
      </c>
      <c r="T209" s="32">
        <f>'2 REPAIR ESTIMATOR'!AM230</f>
        <v>0</v>
      </c>
      <c r="U209" s="32">
        <f t="shared" si="31"/>
        <v>0</v>
      </c>
      <c r="V209" s="32">
        <f>'2 REPAIR ESTIMATOR'!AG230</f>
        <v>0</v>
      </c>
      <c r="W209" s="32">
        <f>'2 REPAIR ESTIMATOR'!AJ230</f>
        <v>0</v>
      </c>
    </row>
    <row r="210" spans="3:23" ht="18" hidden="1">
      <c r="C210" s="3720" t="str">
        <f>T('2 REPAIR ESTIMATOR'!D231:O231)</f>
        <v>Asphalt bid/allowance</v>
      </c>
      <c r="D210" s="3721"/>
      <c r="E210" s="3721"/>
      <c r="F210" s="3721"/>
      <c r="G210" s="3721"/>
      <c r="H210" s="3721"/>
      <c r="I210" s="916">
        <f>'2 REPAIR ESTIMATOR'!P231</f>
        <v>0</v>
      </c>
      <c r="J210" s="917" t="str">
        <f>'2 REPAIR ESTIMATOR'!S231</f>
        <v>ls</v>
      </c>
      <c r="K210" s="918">
        <f t="shared" si="27"/>
        <v>0</v>
      </c>
      <c r="L210" s="918">
        <f t="shared" si="28"/>
        <v>0</v>
      </c>
      <c r="M210" s="918">
        <f t="shared" si="29"/>
        <v>0</v>
      </c>
      <c r="N210" s="3719">
        <f t="shared" si="30"/>
        <v>0</v>
      </c>
      <c r="O210" s="3719"/>
      <c r="P210" s="490">
        <f t="shared" si="26"/>
        <v>0</v>
      </c>
      <c r="S210" s="32">
        <f>'2 REPAIR ESTIMATOR'!AD231</f>
        <v>0</v>
      </c>
      <c r="T210" s="32">
        <f>'2 REPAIR ESTIMATOR'!AM231</f>
        <v>0</v>
      </c>
      <c r="U210" s="32">
        <f t="shared" si="31"/>
        <v>0</v>
      </c>
      <c r="V210" s="32">
        <f>'2 REPAIR ESTIMATOR'!AG231</f>
        <v>0</v>
      </c>
      <c r="W210" s="32">
        <f>'2 REPAIR ESTIMATOR'!AJ231</f>
        <v>0</v>
      </c>
    </row>
    <row r="211" spans="3:23" ht="18" hidden="1">
      <c r="C211" s="3720" t="str">
        <f>T('2 REPAIR ESTIMATOR'!D232:O232)</f>
        <v>Asphalt pavement, 5" thick</v>
      </c>
      <c r="D211" s="3721"/>
      <c r="E211" s="3721"/>
      <c r="F211" s="3721"/>
      <c r="G211" s="3721"/>
      <c r="H211" s="3721"/>
      <c r="I211" s="916">
        <f>'2 REPAIR ESTIMATOR'!P232</f>
        <v>0</v>
      </c>
      <c r="J211" s="917" t="str">
        <f>'2 REPAIR ESTIMATOR'!S232</f>
        <v>sy</v>
      </c>
      <c r="K211" s="918">
        <f t="shared" si="27"/>
        <v>0</v>
      </c>
      <c r="L211" s="918">
        <f t="shared" si="28"/>
        <v>0</v>
      </c>
      <c r="M211" s="918">
        <f t="shared" si="29"/>
        <v>0</v>
      </c>
      <c r="N211" s="3719">
        <f t="shared" si="30"/>
        <v>0</v>
      </c>
      <c r="O211" s="3719"/>
      <c r="P211" s="490">
        <f t="shared" si="26"/>
        <v>0</v>
      </c>
      <c r="S211" s="32">
        <f>'2 REPAIR ESTIMATOR'!AD232</f>
        <v>0</v>
      </c>
      <c r="T211" s="32">
        <f>'2 REPAIR ESTIMATOR'!AM232</f>
        <v>0</v>
      </c>
      <c r="U211" s="32">
        <f t="shared" si="31"/>
        <v>0</v>
      </c>
      <c r="V211" s="32">
        <f>'2 REPAIR ESTIMATOR'!AG232</f>
        <v>0</v>
      </c>
      <c r="W211" s="32">
        <f>'2 REPAIR ESTIMATOR'!AJ232</f>
        <v>0</v>
      </c>
    </row>
    <row r="212" spans="3:23" ht="18" hidden="1">
      <c r="C212" s="3720" t="str">
        <f>T('2 REPAIR ESTIMATOR'!D233:O233)</f>
        <v>Asphalt pavement, 7" thick</v>
      </c>
      <c r="D212" s="3721"/>
      <c r="E212" s="3721"/>
      <c r="F212" s="3721"/>
      <c r="G212" s="3721"/>
      <c r="H212" s="3721"/>
      <c r="I212" s="916">
        <f>'2 REPAIR ESTIMATOR'!P233</f>
        <v>0</v>
      </c>
      <c r="J212" s="917" t="str">
        <f>'2 REPAIR ESTIMATOR'!S233</f>
        <v>sy</v>
      </c>
      <c r="K212" s="918">
        <f t="shared" si="27"/>
        <v>0</v>
      </c>
      <c r="L212" s="918">
        <f t="shared" si="28"/>
        <v>0</v>
      </c>
      <c r="M212" s="918">
        <f t="shared" si="29"/>
        <v>0</v>
      </c>
      <c r="N212" s="3719">
        <f t="shared" si="30"/>
        <v>0</v>
      </c>
      <c r="O212" s="3719"/>
      <c r="P212" s="490">
        <f t="shared" si="26"/>
        <v>0</v>
      </c>
      <c r="S212" s="32">
        <f>'2 REPAIR ESTIMATOR'!AD233</f>
        <v>0</v>
      </c>
      <c r="T212" s="32">
        <f>'2 REPAIR ESTIMATOR'!AM233</f>
        <v>0</v>
      </c>
      <c r="U212" s="32">
        <f t="shared" si="31"/>
        <v>0</v>
      </c>
      <c r="V212" s="32">
        <f>'2 REPAIR ESTIMATOR'!AG233</f>
        <v>0</v>
      </c>
      <c r="W212" s="32">
        <f>'2 REPAIR ESTIMATOR'!AJ233</f>
        <v>0</v>
      </c>
    </row>
    <row r="213" spans="3:23" ht="18" hidden="1">
      <c r="C213" s="3720" t="str">
        <f>T('2 REPAIR ESTIMATOR'!D234:O234)</f>
        <v>Asphalt pavement, wearing course, 1" thick only</v>
      </c>
      <c r="D213" s="3721"/>
      <c r="E213" s="3721"/>
      <c r="F213" s="3721"/>
      <c r="G213" s="3721"/>
      <c r="H213" s="3721"/>
      <c r="I213" s="916">
        <f>'2 REPAIR ESTIMATOR'!P234</f>
        <v>0</v>
      </c>
      <c r="J213" s="917" t="str">
        <f>'2 REPAIR ESTIMATOR'!S234</f>
        <v>sy</v>
      </c>
      <c r="K213" s="918">
        <f t="shared" si="27"/>
        <v>0</v>
      </c>
      <c r="L213" s="918">
        <f t="shared" si="28"/>
        <v>0</v>
      </c>
      <c r="M213" s="918">
        <f t="shared" si="29"/>
        <v>0</v>
      </c>
      <c r="N213" s="3719">
        <f t="shared" si="30"/>
        <v>0</v>
      </c>
      <c r="O213" s="3719"/>
      <c r="P213" s="490">
        <f t="shared" si="26"/>
        <v>0</v>
      </c>
      <c r="S213" s="32">
        <f>'2 REPAIR ESTIMATOR'!AD234</f>
        <v>0</v>
      </c>
      <c r="T213" s="32">
        <f>'2 REPAIR ESTIMATOR'!AM234</f>
        <v>0</v>
      </c>
      <c r="U213" s="32">
        <f t="shared" si="31"/>
        <v>0</v>
      </c>
      <c r="V213" s="32">
        <f>'2 REPAIR ESTIMATOR'!AG234</f>
        <v>0</v>
      </c>
      <c r="W213" s="32">
        <f>'2 REPAIR ESTIMATOR'!AJ234</f>
        <v>0</v>
      </c>
    </row>
    <row r="214" spans="3:23" ht="18" hidden="1">
      <c r="C214" s="3720" t="str">
        <f>T('2 REPAIR ESTIMATOR'!D235:O235)</f>
        <v>Asphalt seal coat</v>
      </c>
      <c r="D214" s="3721"/>
      <c r="E214" s="3721"/>
      <c r="F214" s="3721"/>
      <c r="G214" s="3721"/>
      <c r="H214" s="3721"/>
      <c r="I214" s="916">
        <f>'2 REPAIR ESTIMATOR'!P235</f>
        <v>0</v>
      </c>
      <c r="J214" s="917" t="str">
        <f>'2 REPAIR ESTIMATOR'!S235</f>
        <v>sy</v>
      </c>
      <c r="K214" s="918">
        <f t="shared" si="27"/>
        <v>0</v>
      </c>
      <c r="L214" s="918">
        <f t="shared" si="28"/>
        <v>0</v>
      </c>
      <c r="M214" s="918">
        <f t="shared" si="29"/>
        <v>0</v>
      </c>
      <c r="N214" s="3719">
        <f t="shared" si="30"/>
        <v>0</v>
      </c>
      <c r="O214" s="3719"/>
      <c r="P214" s="490">
        <f t="shared" si="26"/>
        <v>0</v>
      </c>
      <c r="S214" s="32">
        <f>'2 REPAIR ESTIMATOR'!AD235</f>
        <v>0</v>
      </c>
      <c r="T214" s="32">
        <f>'2 REPAIR ESTIMATOR'!AM235</f>
        <v>0</v>
      </c>
      <c r="U214" s="32">
        <f t="shared" si="31"/>
        <v>0</v>
      </c>
      <c r="V214" s="32">
        <f>'2 REPAIR ESTIMATOR'!AG235</f>
        <v>0</v>
      </c>
      <c r="W214" s="32">
        <f>'2 REPAIR ESTIMATOR'!AJ235</f>
        <v>0</v>
      </c>
    </row>
    <row r="215" spans="3:23" ht="18" hidden="1">
      <c r="C215" s="3720" t="str">
        <f>T('2 REPAIR ESTIMATOR'!D236:O236)</f>
        <v>Add for 4" base rock below asphalt pavement</v>
      </c>
      <c r="D215" s="3721"/>
      <c r="E215" s="3721"/>
      <c r="F215" s="3721"/>
      <c r="G215" s="3721"/>
      <c r="H215" s="3721"/>
      <c r="I215" s="916">
        <f>'2 REPAIR ESTIMATOR'!P236</f>
        <v>0</v>
      </c>
      <c r="J215" s="917" t="str">
        <f>'2 REPAIR ESTIMATOR'!S236</f>
        <v>sy</v>
      </c>
      <c r="K215" s="918">
        <f t="shared" si="27"/>
        <v>0</v>
      </c>
      <c r="L215" s="918">
        <f t="shared" si="28"/>
        <v>0</v>
      </c>
      <c r="M215" s="918">
        <f t="shared" si="29"/>
        <v>0</v>
      </c>
      <c r="N215" s="3719">
        <f t="shared" si="30"/>
        <v>0</v>
      </c>
      <c r="O215" s="3719"/>
      <c r="P215" s="490">
        <f t="shared" si="26"/>
        <v>0</v>
      </c>
      <c r="S215" s="32">
        <f>'2 REPAIR ESTIMATOR'!AD236</f>
        <v>0</v>
      </c>
      <c r="T215" s="32">
        <f>'2 REPAIR ESTIMATOR'!AM236</f>
        <v>0</v>
      </c>
      <c r="U215" s="32">
        <f t="shared" si="31"/>
        <v>0</v>
      </c>
      <c r="V215" s="32">
        <f>'2 REPAIR ESTIMATOR'!AG236</f>
        <v>0</v>
      </c>
      <c r="W215" s="32">
        <f>'2 REPAIR ESTIMATOR'!AJ236</f>
        <v>0</v>
      </c>
    </row>
    <row r="216" spans="3:23" ht="18" hidden="1">
      <c r="C216" s="3720" t="str">
        <f>T('2 REPAIR ESTIMATOR'!D237:O237)</f>
        <v/>
      </c>
      <c r="D216" s="3721"/>
      <c r="E216" s="3721"/>
      <c r="F216" s="3721"/>
      <c r="G216" s="3721"/>
      <c r="H216" s="3721"/>
      <c r="I216" s="916">
        <f>'2 REPAIR ESTIMATOR'!P237</f>
        <v>0</v>
      </c>
      <c r="J216" s="917">
        <f>'2 REPAIR ESTIMATOR'!S237</f>
        <v>0</v>
      </c>
      <c r="K216" s="918">
        <f t="shared" si="27"/>
        <v>0</v>
      </c>
      <c r="L216" s="918">
        <f t="shared" si="28"/>
        <v>0</v>
      </c>
      <c r="M216" s="918">
        <f t="shared" si="29"/>
        <v>0</v>
      </c>
      <c r="N216" s="3719">
        <f t="shared" si="30"/>
        <v>0</v>
      </c>
      <c r="O216" s="3719"/>
      <c r="P216" s="490">
        <f t="shared" si="26"/>
        <v>0</v>
      </c>
      <c r="S216" s="32">
        <f>'2 REPAIR ESTIMATOR'!AD237</f>
        <v>0</v>
      </c>
      <c r="T216" s="32">
        <f>'2 REPAIR ESTIMATOR'!AM237</f>
        <v>0</v>
      </c>
      <c r="U216" s="32">
        <f t="shared" si="31"/>
        <v>0</v>
      </c>
      <c r="V216" s="32">
        <f>'2 REPAIR ESTIMATOR'!AG237</f>
        <v>0</v>
      </c>
      <c r="W216" s="32">
        <f>'2 REPAIR ESTIMATOR'!AJ237</f>
        <v>0</v>
      </c>
    </row>
    <row r="217" spans="3:23" ht="18" hidden="1">
      <c r="C217" s="3787" t="str">
        <f>T('2 REPAIR ESTIMATOR'!D238:O238)</f>
        <v>Pavers</v>
      </c>
      <c r="D217" s="3788"/>
      <c r="E217" s="3788"/>
      <c r="F217" s="3788"/>
      <c r="G217" s="3788"/>
      <c r="H217" s="3788"/>
      <c r="I217" s="916">
        <f>'2 REPAIR ESTIMATOR'!P238</f>
        <v>0</v>
      </c>
      <c r="J217" s="917">
        <f>'2 REPAIR ESTIMATOR'!S238</f>
        <v>0</v>
      </c>
      <c r="K217" s="918">
        <f t="shared" si="27"/>
        <v>0</v>
      </c>
      <c r="L217" s="918">
        <f t="shared" si="28"/>
        <v>0</v>
      </c>
      <c r="M217" s="918">
        <f t="shared" si="29"/>
        <v>0</v>
      </c>
      <c r="N217" s="3719">
        <f t="shared" si="30"/>
        <v>0</v>
      </c>
      <c r="O217" s="3719"/>
      <c r="P217" s="490">
        <f t="shared" si="26"/>
        <v>0</v>
      </c>
      <c r="S217" s="32">
        <f>'2 REPAIR ESTIMATOR'!AD238</f>
        <v>0</v>
      </c>
      <c r="T217" s="32">
        <f>'2 REPAIR ESTIMATOR'!AM238</f>
        <v>0</v>
      </c>
      <c r="U217" s="32">
        <f t="shared" si="31"/>
        <v>0</v>
      </c>
      <c r="V217" s="32">
        <f>'2 REPAIR ESTIMATOR'!AG238</f>
        <v>0</v>
      </c>
      <c r="W217" s="32">
        <f>'2 REPAIR ESTIMATOR'!AJ238</f>
        <v>0</v>
      </c>
    </row>
    <row r="218" spans="3:23" ht="18" hidden="1">
      <c r="C218" s="3720" t="str">
        <f>T('2 REPAIR ESTIMATOR'!D239:O239)</f>
        <v>Pavers bid/allowance</v>
      </c>
      <c r="D218" s="3721"/>
      <c r="E218" s="3721"/>
      <c r="F218" s="3721"/>
      <c r="G218" s="3721"/>
      <c r="H218" s="3721"/>
      <c r="I218" s="916">
        <f>'2 REPAIR ESTIMATOR'!P239</f>
        <v>0</v>
      </c>
      <c r="J218" s="917" t="str">
        <f>'2 REPAIR ESTIMATOR'!S239</f>
        <v>ls</v>
      </c>
      <c r="K218" s="918">
        <f t="shared" si="27"/>
        <v>0</v>
      </c>
      <c r="L218" s="918">
        <f t="shared" si="28"/>
        <v>0</v>
      </c>
      <c r="M218" s="918">
        <f t="shared" si="29"/>
        <v>0</v>
      </c>
      <c r="N218" s="3719">
        <f t="shared" si="30"/>
        <v>0</v>
      </c>
      <c r="O218" s="3719"/>
      <c r="P218" s="490">
        <f t="shared" si="26"/>
        <v>0</v>
      </c>
      <c r="S218" s="32">
        <f>'2 REPAIR ESTIMATOR'!AD239</f>
        <v>0</v>
      </c>
      <c r="T218" s="32">
        <f>'2 REPAIR ESTIMATOR'!AM239</f>
        <v>0</v>
      </c>
      <c r="U218" s="32">
        <f t="shared" si="31"/>
        <v>0</v>
      </c>
      <c r="V218" s="32">
        <f>'2 REPAIR ESTIMATOR'!AG239</f>
        <v>0</v>
      </c>
      <c r="W218" s="32">
        <f>'2 REPAIR ESTIMATOR'!AJ239</f>
        <v>0</v>
      </c>
    </row>
    <row r="219" spans="3:23" ht="18" hidden="1">
      <c r="C219" s="3720" t="str">
        <f>T('2 REPAIR ESTIMATOR'!D240:O240)</f>
        <v>Brick pavers, sand base</v>
      </c>
      <c r="D219" s="3721"/>
      <c r="E219" s="3721"/>
      <c r="F219" s="3721"/>
      <c r="G219" s="3721"/>
      <c r="H219" s="3721"/>
      <c r="I219" s="916">
        <f>'2 REPAIR ESTIMATOR'!P240</f>
        <v>0</v>
      </c>
      <c r="J219" s="917" t="str">
        <f>'2 REPAIR ESTIMATOR'!S240</f>
        <v>sf</v>
      </c>
      <c r="K219" s="918">
        <f t="shared" si="27"/>
        <v>0</v>
      </c>
      <c r="L219" s="918">
        <f t="shared" si="28"/>
        <v>0</v>
      </c>
      <c r="M219" s="918">
        <f t="shared" si="29"/>
        <v>0</v>
      </c>
      <c r="N219" s="3719">
        <f t="shared" si="30"/>
        <v>0</v>
      </c>
      <c r="O219" s="3719"/>
      <c r="P219" s="490">
        <f t="shared" si="26"/>
        <v>0</v>
      </c>
      <c r="S219" s="32">
        <f>'2 REPAIR ESTIMATOR'!AD240</f>
        <v>0</v>
      </c>
      <c r="T219" s="32">
        <f>'2 REPAIR ESTIMATOR'!AM240</f>
        <v>0</v>
      </c>
      <c r="U219" s="32">
        <f t="shared" si="31"/>
        <v>0</v>
      </c>
      <c r="V219" s="32">
        <f>'2 REPAIR ESTIMATOR'!AG240</f>
        <v>0</v>
      </c>
      <c r="W219" s="32">
        <f>'2 REPAIR ESTIMATOR'!AJ240</f>
        <v>0</v>
      </c>
    </row>
    <row r="220" spans="3:23" ht="18" hidden="1">
      <c r="C220" s="3720" t="str">
        <f>T('2 REPAIR ESTIMATOR'!D241:O241)</f>
        <v>Brick pavers, mortar base</v>
      </c>
      <c r="D220" s="3721"/>
      <c r="E220" s="3721"/>
      <c r="F220" s="3721"/>
      <c r="G220" s="3721"/>
      <c r="H220" s="3721"/>
      <c r="I220" s="916">
        <f>'2 REPAIR ESTIMATOR'!P241</f>
        <v>0</v>
      </c>
      <c r="J220" s="917" t="str">
        <f>'2 REPAIR ESTIMATOR'!S241</f>
        <v>sf</v>
      </c>
      <c r="K220" s="918">
        <f t="shared" si="27"/>
        <v>0</v>
      </c>
      <c r="L220" s="918">
        <f t="shared" si="28"/>
        <v>0</v>
      </c>
      <c r="M220" s="918">
        <f t="shared" si="29"/>
        <v>0</v>
      </c>
      <c r="N220" s="3719">
        <f t="shared" si="30"/>
        <v>0</v>
      </c>
      <c r="O220" s="3719"/>
      <c r="P220" s="490">
        <f t="shared" si="26"/>
        <v>0</v>
      </c>
      <c r="S220" s="32">
        <f>'2 REPAIR ESTIMATOR'!AD241</f>
        <v>0</v>
      </c>
      <c r="T220" s="32">
        <f>'2 REPAIR ESTIMATOR'!AM241</f>
        <v>0</v>
      </c>
      <c r="U220" s="32">
        <f t="shared" si="31"/>
        <v>0</v>
      </c>
      <c r="V220" s="32">
        <f>'2 REPAIR ESTIMATOR'!AG241</f>
        <v>0</v>
      </c>
      <c r="W220" s="32">
        <f>'2 REPAIR ESTIMATOR'!AJ241</f>
        <v>0</v>
      </c>
    </row>
    <row r="221" spans="3:23" ht="18" hidden="1">
      <c r="C221" s="3720" t="str">
        <f>T('2 REPAIR ESTIMATOR'!D242:O242)</f>
        <v/>
      </c>
      <c r="D221" s="3721"/>
      <c r="E221" s="3721"/>
      <c r="F221" s="3721"/>
      <c r="G221" s="3721"/>
      <c r="H221" s="3721"/>
      <c r="I221" s="916">
        <f>'2 REPAIR ESTIMATOR'!P242</f>
        <v>0</v>
      </c>
      <c r="J221" s="917">
        <f>'2 REPAIR ESTIMATOR'!S242</f>
        <v>0</v>
      </c>
      <c r="K221" s="918">
        <f t="shared" si="27"/>
        <v>0</v>
      </c>
      <c r="L221" s="918">
        <f t="shared" si="28"/>
        <v>0</v>
      </c>
      <c r="M221" s="918">
        <f t="shared" si="29"/>
        <v>0</v>
      </c>
      <c r="N221" s="3719">
        <f t="shared" si="30"/>
        <v>0</v>
      </c>
      <c r="O221" s="3719"/>
      <c r="P221" s="490">
        <f t="shared" si="26"/>
        <v>0</v>
      </c>
      <c r="S221" s="32">
        <f>'2 REPAIR ESTIMATOR'!AD242</f>
        <v>0</v>
      </c>
      <c r="T221" s="32">
        <f>'2 REPAIR ESTIMATOR'!AM242</f>
        <v>0</v>
      </c>
      <c r="U221" s="32">
        <f t="shared" si="31"/>
        <v>0</v>
      </c>
      <c r="V221" s="32">
        <f>'2 REPAIR ESTIMATOR'!AG242</f>
        <v>0</v>
      </c>
      <c r="W221" s="32">
        <f>'2 REPAIR ESTIMATOR'!AJ242</f>
        <v>0</v>
      </c>
    </row>
    <row r="222" spans="3:23" ht="18" hidden="1">
      <c r="C222" s="3720" t="str">
        <f>T('2 REPAIR ESTIMATOR'!D243:O243)</f>
        <v/>
      </c>
      <c r="D222" s="3721"/>
      <c r="E222" s="3721"/>
      <c r="F222" s="3721"/>
      <c r="G222" s="3721"/>
      <c r="H222" s="3721"/>
      <c r="I222" s="916">
        <f>'2 REPAIR ESTIMATOR'!P243</f>
        <v>0</v>
      </c>
      <c r="J222" s="917">
        <f>'2 REPAIR ESTIMATOR'!S243</f>
        <v>0</v>
      </c>
      <c r="K222" s="918">
        <f t="shared" si="27"/>
        <v>0</v>
      </c>
      <c r="L222" s="918">
        <f t="shared" si="28"/>
        <v>0</v>
      </c>
      <c r="M222" s="918">
        <f t="shared" si="29"/>
        <v>0</v>
      </c>
      <c r="N222" s="3719">
        <f t="shared" si="30"/>
        <v>0</v>
      </c>
      <c r="O222" s="3719"/>
      <c r="P222" s="490">
        <f t="shared" ref="P222:P241" si="32">I222</f>
        <v>0</v>
      </c>
      <c r="S222" s="32">
        <f>'2 REPAIR ESTIMATOR'!AD243</f>
        <v>0</v>
      </c>
      <c r="T222" s="32">
        <f>'2 REPAIR ESTIMATOR'!AM243</f>
        <v>0</v>
      </c>
      <c r="U222" s="32">
        <f t="shared" si="31"/>
        <v>0</v>
      </c>
      <c r="V222" s="32">
        <f>'2 REPAIR ESTIMATOR'!AG243</f>
        <v>0</v>
      </c>
      <c r="W222" s="32">
        <f>'2 REPAIR ESTIMATOR'!AJ243</f>
        <v>0</v>
      </c>
    </row>
    <row r="223" spans="3:23" ht="18" hidden="1">
      <c r="C223" s="3720" t="str">
        <f>T('2 REPAIR ESTIMATOR'!D244:O244)</f>
        <v/>
      </c>
      <c r="D223" s="3721"/>
      <c r="E223" s="3721"/>
      <c r="F223" s="3721"/>
      <c r="G223" s="3721"/>
      <c r="H223" s="3721"/>
      <c r="I223" s="916">
        <f>'2 REPAIR ESTIMATOR'!P244</f>
        <v>0</v>
      </c>
      <c r="J223" s="917">
        <f>'2 REPAIR ESTIMATOR'!S244</f>
        <v>0</v>
      </c>
      <c r="K223" s="918">
        <f t="shared" si="27"/>
        <v>0</v>
      </c>
      <c r="L223" s="918">
        <f t="shared" si="28"/>
        <v>0</v>
      </c>
      <c r="M223" s="918">
        <f t="shared" si="29"/>
        <v>0</v>
      </c>
      <c r="N223" s="3719">
        <f t="shared" si="30"/>
        <v>0</v>
      </c>
      <c r="O223" s="3719"/>
      <c r="P223" s="490">
        <f t="shared" si="32"/>
        <v>0</v>
      </c>
      <c r="S223" s="32">
        <f>'2 REPAIR ESTIMATOR'!AD244</f>
        <v>0</v>
      </c>
      <c r="T223" s="32">
        <f>'2 REPAIR ESTIMATOR'!AM244</f>
        <v>0</v>
      </c>
      <c r="U223" s="32">
        <f t="shared" si="31"/>
        <v>0</v>
      </c>
      <c r="V223" s="32">
        <f>'2 REPAIR ESTIMATOR'!AG244</f>
        <v>0</v>
      </c>
      <c r="W223" s="32">
        <f>'2 REPAIR ESTIMATOR'!AJ244</f>
        <v>0</v>
      </c>
    </row>
    <row r="224" spans="3:23" ht="18" hidden="1">
      <c r="C224" s="3720" t="str">
        <f>T('2 REPAIR ESTIMATOR'!D245:O245)</f>
        <v/>
      </c>
      <c r="D224" s="3721"/>
      <c r="E224" s="3721"/>
      <c r="F224" s="3721"/>
      <c r="G224" s="3721"/>
      <c r="H224" s="3721"/>
      <c r="I224" s="916">
        <f>'2 REPAIR ESTIMATOR'!P245</f>
        <v>0</v>
      </c>
      <c r="J224" s="917">
        <f>'2 REPAIR ESTIMATOR'!S245</f>
        <v>0</v>
      </c>
      <c r="K224" s="918">
        <f t="shared" si="27"/>
        <v>0</v>
      </c>
      <c r="L224" s="918">
        <f t="shared" si="28"/>
        <v>0</v>
      </c>
      <c r="M224" s="918">
        <f t="shared" si="29"/>
        <v>0</v>
      </c>
      <c r="N224" s="3719">
        <f t="shared" si="30"/>
        <v>0</v>
      </c>
      <c r="O224" s="3719"/>
      <c r="P224" s="490">
        <f t="shared" si="32"/>
        <v>0</v>
      </c>
      <c r="S224" s="32">
        <f>'2 REPAIR ESTIMATOR'!AD245</f>
        <v>0</v>
      </c>
      <c r="T224" s="32">
        <f>'2 REPAIR ESTIMATOR'!AM245</f>
        <v>0</v>
      </c>
      <c r="U224" s="32">
        <f t="shared" si="31"/>
        <v>0</v>
      </c>
      <c r="V224" s="32">
        <f>'2 REPAIR ESTIMATOR'!AG245</f>
        <v>0</v>
      </c>
      <c r="W224" s="32">
        <f>'2 REPAIR ESTIMATOR'!AJ245</f>
        <v>0</v>
      </c>
    </row>
    <row r="225" spans="3:23" ht="18" hidden="1">
      <c r="C225" s="3720" t="str">
        <f>T('2 REPAIR ESTIMATOR'!D246:O246)</f>
        <v/>
      </c>
      <c r="D225" s="3721"/>
      <c r="E225" s="3721"/>
      <c r="F225" s="3721"/>
      <c r="G225" s="3721"/>
      <c r="H225" s="3721"/>
      <c r="I225" s="916">
        <f>'2 REPAIR ESTIMATOR'!P246</f>
        <v>0</v>
      </c>
      <c r="J225" s="917">
        <f>'2 REPAIR ESTIMATOR'!S246</f>
        <v>0</v>
      </c>
      <c r="K225" s="918">
        <f t="shared" si="27"/>
        <v>0</v>
      </c>
      <c r="L225" s="918">
        <f t="shared" si="28"/>
        <v>0</v>
      </c>
      <c r="M225" s="918">
        <f t="shared" si="29"/>
        <v>0</v>
      </c>
      <c r="N225" s="3719">
        <f t="shared" si="30"/>
        <v>0</v>
      </c>
      <c r="O225" s="3719"/>
      <c r="P225" s="490">
        <f t="shared" si="32"/>
        <v>0</v>
      </c>
      <c r="S225" s="32">
        <f>'2 REPAIR ESTIMATOR'!AD246</f>
        <v>0</v>
      </c>
      <c r="T225" s="32">
        <f>'2 REPAIR ESTIMATOR'!AM246</f>
        <v>0</v>
      </c>
      <c r="U225" s="32">
        <f t="shared" si="31"/>
        <v>0</v>
      </c>
      <c r="V225" s="32">
        <f>'2 REPAIR ESTIMATOR'!AG246</f>
        <v>0</v>
      </c>
      <c r="W225" s="32">
        <f>'2 REPAIR ESTIMATOR'!AJ246</f>
        <v>0</v>
      </c>
    </row>
    <row r="226" spans="3:23" ht="18" hidden="1">
      <c r="C226" s="3720" t="str">
        <f>T('2 REPAIR ESTIMATOR'!D247:O247)</f>
        <v/>
      </c>
      <c r="D226" s="3721"/>
      <c r="E226" s="3721"/>
      <c r="F226" s="3721"/>
      <c r="G226" s="3721"/>
      <c r="H226" s="3721"/>
      <c r="I226" s="916">
        <f>'2 REPAIR ESTIMATOR'!P247</f>
        <v>0</v>
      </c>
      <c r="J226" s="917">
        <f>'2 REPAIR ESTIMATOR'!S247</f>
        <v>0</v>
      </c>
      <c r="K226" s="918">
        <f t="shared" si="27"/>
        <v>0</v>
      </c>
      <c r="L226" s="918">
        <f t="shared" si="28"/>
        <v>0</v>
      </c>
      <c r="M226" s="918">
        <f t="shared" si="29"/>
        <v>0</v>
      </c>
      <c r="N226" s="3719">
        <f t="shared" si="30"/>
        <v>0</v>
      </c>
      <c r="O226" s="3719"/>
      <c r="P226" s="490">
        <f t="shared" si="32"/>
        <v>0</v>
      </c>
      <c r="S226" s="32">
        <f>'2 REPAIR ESTIMATOR'!AD247</f>
        <v>0</v>
      </c>
      <c r="T226" s="32">
        <f>'2 REPAIR ESTIMATOR'!AM247</f>
        <v>0</v>
      </c>
      <c r="U226" s="32">
        <f t="shared" si="31"/>
        <v>0</v>
      </c>
      <c r="V226" s="32">
        <f>'2 REPAIR ESTIMATOR'!AG247</f>
        <v>0</v>
      </c>
      <c r="W226" s="32">
        <f>'2 REPAIR ESTIMATOR'!AJ247</f>
        <v>0</v>
      </c>
    </row>
    <row r="227" spans="3:23" ht="18" hidden="1">
      <c r="C227" s="3720" t="str">
        <f>T('2 REPAIR ESTIMATOR'!D248:O248)</f>
        <v/>
      </c>
      <c r="D227" s="3721"/>
      <c r="E227" s="3721"/>
      <c r="F227" s="3721"/>
      <c r="G227" s="3721"/>
      <c r="H227" s="3721"/>
      <c r="I227" s="916">
        <f>'2 REPAIR ESTIMATOR'!P248</f>
        <v>0</v>
      </c>
      <c r="J227" s="917">
        <f>'2 REPAIR ESTIMATOR'!S248</f>
        <v>0</v>
      </c>
      <c r="K227" s="918">
        <f t="shared" si="27"/>
        <v>0</v>
      </c>
      <c r="L227" s="918">
        <f t="shared" si="28"/>
        <v>0</v>
      </c>
      <c r="M227" s="918">
        <f t="shared" si="29"/>
        <v>0</v>
      </c>
      <c r="N227" s="3719">
        <f t="shared" si="30"/>
        <v>0</v>
      </c>
      <c r="O227" s="3719"/>
      <c r="P227" s="490">
        <f t="shared" si="32"/>
        <v>0</v>
      </c>
      <c r="S227" s="32">
        <f>'2 REPAIR ESTIMATOR'!AD248</f>
        <v>0</v>
      </c>
      <c r="T227" s="32">
        <f>'2 REPAIR ESTIMATOR'!AM248</f>
        <v>0</v>
      </c>
      <c r="U227" s="32">
        <f t="shared" si="31"/>
        <v>0</v>
      </c>
      <c r="V227" s="32">
        <f>'2 REPAIR ESTIMATOR'!AG248</f>
        <v>0</v>
      </c>
      <c r="W227" s="32">
        <f>'2 REPAIR ESTIMATOR'!AJ248</f>
        <v>0</v>
      </c>
    </row>
    <row r="228" spans="3:23" ht="18" hidden="1">
      <c r="C228" s="3720" t="str">
        <f>T('2 REPAIR ESTIMATOR'!D249:O249)</f>
        <v/>
      </c>
      <c r="D228" s="3721"/>
      <c r="E228" s="3721"/>
      <c r="F228" s="3721"/>
      <c r="G228" s="3721"/>
      <c r="H228" s="3721"/>
      <c r="I228" s="916">
        <f>'2 REPAIR ESTIMATOR'!P249</f>
        <v>0</v>
      </c>
      <c r="J228" s="917">
        <f>'2 REPAIR ESTIMATOR'!S249</f>
        <v>0</v>
      </c>
      <c r="K228" s="918">
        <f t="shared" si="27"/>
        <v>0</v>
      </c>
      <c r="L228" s="918">
        <f t="shared" si="28"/>
        <v>0</v>
      </c>
      <c r="M228" s="918">
        <f t="shared" si="29"/>
        <v>0</v>
      </c>
      <c r="N228" s="3719">
        <f t="shared" si="30"/>
        <v>0</v>
      </c>
      <c r="O228" s="3719"/>
      <c r="P228" s="490">
        <f t="shared" si="32"/>
        <v>0</v>
      </c>
      <c r="S228" s="32">
        <f>'2 REPAIR ESTIMATOR'!AD249</f>
        <v>0</v>
      </c>
      <c r="T228" s="32">
        <f>'2 REPAIR ESTIMATOR'!AM249</f>
        <v>0</v>
      </c>
      <c r="U228" s="32">
        <f t="shared" si="31"/>
        <v>0</v>
      </c>
      <c r="V228" s="32">
        <f>'2 REPAIR ESTIMATOR'!AG249</f>
        <v>0</v>
      </c>
      <c r="W228" s="32">
        <f>'2 REPAIR ESTIMATOR'!AJ249</f>
        <v>0</v>
      </c>
    </row>
    <row r="229" spans="3:23" ht="18" hidden="1">
      <c r="C229" s="3720" t="str">
        <f>T('2 REPAIR ESTIMATOR'!D250:O250)</f>
        <v/>
      </c>
      <c r="D229" s="3721"/>
      <c r="E229" s="3721"/>
      <c r="F229" s="3721"/>
      <c r="G229" s="3721"/>
      <c r="H229" s="3721"/>
      <c r="I229" s="916">
        <f>'2 REPAIR ESTIMATOR'!P250</f>
        <v>0</v>
      </c>
      <c r="J229" s="917">
        <f>'2 REPAIR ESTIMATOR'!S250</f>
        <v>0</v>
      </c>
      <c r="K229" s="918">
        <f t="shared" si="27"/>
        <v>0</v>
      </c>
      <c r="L229" s="918">
        <f t="shared" si="28"/>
        <v>0</v>
      </c>
      <c r="M229" s="918">
        <f t="shared" si="29"/>
        <v>0</v>
      </c>
      <c r="N229" s="3719">
        <f t="shared" si="30"/>
        <v>0</v>
      </c>
      <c r="O229" s="3719"/>
      <c r="P229" s="490">
        <f t="shared" si="32"/>
        <v>0</v>
      </c>
      <c r="S229" s="32">
        <f>'2 REPAIR ESTIMATOR'!AD250</f>
        <v>0</v>
      </c>
      <c r="T229" s="32">
        <f>'2 REPAIR ESTIMATOR'!AM250</f>
        <v>0</v>
      </c>
      <c r="U229" s="32">
        <f t="shared" si="31"/>
        <v>0</v>
      </c>
      <c r="V229" s="32">
        <f>'2 REPAIR ESTIMATOR'!AG250</f>
        <v>0</v>
      </c>
      <c r="W229" s="32">
        <f>'2 REPAIR ESTIMATOR'!AJ250</f>
        <v>0</v>
      </c>
    </row>
    <row r="230" spans="3:23" ht="18" hidden="1">
      <c r="C230" s="3720" t="str">
        <f>T('2 REPAIR ESTIMATOR'!D251:O251)</f>
        <v/>
      </c>
      <c r="D230" s="3721"/>
      <c r="E230" s="3721"/>
      <c r="F230" s="3721"/>
      <c r="G230" s="3721"/>
      <c r="H230" s="3721"/>
      <c r="I230" s="916">
        <f>'2 REPAIR ESTIMATOR'!P251</f>
        <v>0</v>
      </c>
      <c r="J230" s="917">
        <f>'2 REPAIR ESTIMATOR'!S251</f>
        <v>0</v>
      </c>
      <c r="K230" s="918">
        <f t="shared" si="27"/>
        <v>0</v>
      </c>
      <c r="L230" s="918">
        <f t="shared" si="28"/>
        <v>0</v>
      </c>
      <c r="M230" s="918">
        <f t="shared" si="29"/>
        <v>0</v>
      </c>
      <c r="N230" s="3719">
        <f t="shared" si="30"/>
        <v>0</v>
      </c>
      <c r="O230" s="3719"/>
      <c r="P230" s="490">
        <f t="shared" si="32"/>
        <v>0</v>
      </c>
      <c r="S230" s="32">
        <f>'2 REPAIR ESTIMATOR'!AD251</f>
        <v>0</v>
      </c>
      <c r="T230" s="32">
        <f>'2 REPAIR ESTIMATOR'!AM251</f>
        <v>0</v>
      </c>
      <c r="U230" s="32">
        <f t="shared" si="31"/>
        <v>0</v>
      </c>
      <c r="V230" s="32">
        <f>'2 REPAIR ESTIMATOR'!AG251</f>
        <v>0</v>
      </c>
      <c r="W230" s="32">
        <f>'2 REPAIR ESTIMATOR'!AJ251</f>
        <v>0</v>
      </c>
    </row>
    <row r="231" spans="3:23" ht="18" hidden="1">
      <c r="C231" s="3720" t="str">
        <f>T('2 REPAIR ESTIMATOR'!D252:O252)</f>
        <v/>
      </c>
      <c r="D231" s="3721"/>
      <c r="E231" s="3721"/>
      <c r="F231" s="3721"/>
      <c r="G231" s="3721"/>
      <c r="H231" s="3721"/>
      <c r="I231" s="916">
        <f>'2 REPAIR ESTIMATOR'!P252</f>
        <v>0</v>
      </c>
      <c r="J231" s="917">
        <f>'2 REPAIR ESTIMATOR'!S252</f>
        <v>0</v>
      </c>
      <c r="K231" s="918">
        <f t="shared" si="27"/>
        <v>0</v>
      </c>
      <c r="L231" s="918">
        <f t="shared" si="28"/>
        <v>0</v>
      </c>
      <c r="M231" s="918">
        <f t="shared" si="29"/>
        <v>0</v>
      </c>
      <c r="N231" s="3719">
        <f t="shared" si="30"/>
        <v>0</v>
      </c>
      <c r="O231" s="3719"/>
      <c r="P231" s="490">
        <f t="shared" si="32"/>
        <v>0</v>
      </c>
      <c r="S231" s="32">
        <f>'2 REPAIR ESTIMATOR'!AD252</f>
        <v>0</v>
      </c>
      <c r="T231" s="32">
        <f>'2 REPAIR ESTIMATOR'!AM252</f>
        <v>0</v>
      </c>
      <c r="U231" s="32">
        <f t="shared" si="31"/>
        <v>0</v>
      </c>
      <c r="V231" s="32">
        <f>'2 REPAIR ESTIMATOR'!AG252</f>
        <v>0</v>
      </c>
      <c r="W231" s="32">
        <f>'2 REPAIR ESTIMATOR'!AJ252</f>
        <v>0</v>
      </c>
    </row>
    <row r="232" spans="3:23" ht="18" hidden="1">
      <c r="C232" s="3720" t="str">
        <f>T('2 REPAIR ESTIMATOR'!D253:O253)</f>
        <v/>
      </c>
      <c r="D232" s="3721"/>
      <c r="E232" s="3721"/>
      <c r="F232" s="3721"/>
      <c r="G232" s="3721"/>
      <c r="H232" s="3721"/>
      <c r="I232" s="916">
        <f>'2 REPAIR ESTIMATOR'!P253</f>
        <v>0</v>
      </c>
      <c r="J232" s="917">
        <f>'2 REPAIR ESTIMATOR'!S253</f>
        <v>0</v>
      </c>
      <c r="K232" s="918">
        <f t="shared" si="27"/>
        <v>0</v>
      </c>
      <c r="L232" s="918">
        <f t="shared" si="28"/>
        <v>0</v>
      </c>
      <c r="M232" s="918">
        <f t="shared" si="29"/>
        <v>0</v>
      </c>
      <c r="N232" s="3719">
        <f t="shared" si="30"/>
        <v>0</v>
      </c>
      <c r="O232" s="3719"/>
      <c r="P232" s="490">
        <f t="shared" si="32"/>
        <v>0</v>
      </c>
      <c r="S232" s="32">
        <f>'2 REPAIR ESTIMATOR'!AD253</f>
        <v>0</v>
      </c>
      <c r="T232" s="32">
        <f>'2 REPAIR ESTIMATOR'!AM253</f>
        <v>0</v>
      </c>
      <c r="U232" s="32">
        <f t="shared" si="31"/>
        <v>0</v>
      </c>
      <c r="V232" s="32">
        <f>'2 REPAIR ESTIMATOR'!AG253</f>
        <v>0</v>
      </c>
      <c r="W232" s="32">
        <f>'2 REPAIR ESTIMATOR'!AJ253</f>
        <v>0</v>
      </c>
    </row>
    <row r="233" spans="3:23" ht="18" hidden="1">
      <c r="C233" s="3720" t="str">
        <f>T('2 REPAIR ESTIMATOR'!D254:O254)</f>
        <v/>
      </c>
      <c r="D233" s="3721"/>
      <c r="E233" s="3721"/>
      <c r="F233" s="3721"/>
      <c r="G233" s="3721"/>
      <c r="H233" s="3721"/>
      <c r="I233" s="916">
        <f>'2 REPAIR ESTIMATOR'!P254</f>
        <v>0</v>
      </c>
      <c r="J233" s="917">
        <f>'2 REPAIR ESTIMATOR'!S254</f>
        <v>0</v>
      </c>
      <c r="K233" s="918">
        <f t="shared" si="27"/>
        <v>0</v>
      </c>
      <c r="L233" s="918">
        <f t="shared" si="28"/>
        <v>0</v>
      </c>
      <c r="M233" s="918">
        <f t="shared" si="29"/>
        <v>0</v>
      </c>
      <c r="N233" s="3719">
        <f t="shared" si="30"/>
        <v>0</v>
      </c>
      <c r="O233" s="3719"/>
      <c r="P233" s="490">
        <f t="shared" si="32"/>
        <v>0</v>
      </c>
      <c r="S233" s="32">
        <f>'2 REPAIR ESTIMATOR'!AD254</f>
        <v>0</v>
      </c>
      <c r="T233" s="32">
        <f>'2 REPAIR ESTIMATOR'!AM254</f>
        <v>0</v>
      </c>
      <c r="U233" s="32">
        <f t="shared" si="31"/>
        <v>0</v>
      </c>
      <c r="V233" s="32">
        <f>'2 REPAIR ESTIMATOR'!AG254</f>
        <v>0</v>
      </c>
      <c r="W233" s="32">
        <f>'2 REPAIR ESTIMATOR'!AJ254</f>
        <v>0</v>
      </c>
    </row>
    <row r="234" spans="3:23" ht="18" hidden="1">
      <c r="C234" s="3720" t="str">
        <f>T('2 REPAIR ESTIMATOR'!D255:O255)</f>
        <v/>
      </c>
      <c r="D234" s="3721"/>
      <c r="E234" s="3721"/>
      <c r="F234" s="3721"/>
      <c r="G234" s="3721"/>
      <c r="H234" s="3721"/>
      <c r="I234" s="916">
        <f>'2 REPAIR ESTIMATOR'!P255</f>
        <v>0</v>
      </c>
      <c r="J234" s="917">
        <f>'2 REPAIR ESTIMATOR'!S255</f>
        <v>0</v>
      </c>
      <c r="K234" s="918">
        <f t="shared" si="27"/>
        <v>0</v>
      </c>
      <c r="L234" s="918">
        <f t="shared" si="28"/>
        <v>0</v>
      </c>
      <c r="M234" s="918">
        <f t="shared" si="29"/>
        <v>0</v>
      </c>
      <c r="N234" s="3719">
        <f t="shared" si="30"/>
        <v>0</v>
      </c>
      <c r="O234" s="3719"/>
      <c r="P234" s="490">
        <f t="shared" si="32"/>
        <v>0</v>
      </c>
      <c r="S234" s="32">
        <f>'2 REPAIR ESTIMATOR'!AD255</f>
        <v>0</v>
      </c>
      <c r="T234" s="32">
        <f>'2 REPAIR ESTIMATOR'!AM255</f>
        <v>0</v>
      </c>
      <c r="U234" s="32">
        <f t="shared" si="31"/>
        <v>0</v>
      </c>
      <c r="V234" s="32">
        <f>'2 REPAIR ESTIMATOR'!AG255</f>
        <v>0</v>
      </c>
      <c r="W234" s="32">
        <f>'2 REPAIR ESTIMATOR'!AJ255</f>
        <v>0</v>
      </c>
    </row>
    <row r="235" spans="3:23" ht="18" hidden="1">
      <c r="C235" s="3720" t="str">
        <f>T('2 REPAIR ESTIMATOR'!D256:O256)</f>
        <v/>
      </c>
      <c r="D235" s="3721"/>
      <c r="E235" s="3721"/>
      <c r="F235" s="3721"/>
      <c r="G235" s="3721"/>
      <c r="H235" s="3721"/>
      <c r="I235" s="916">
        <f>'2 REPAIR ESTIMATOR'!P256</f>
        <v>0</v>
      </c>
      <c r="J235" s="917">
        <f>'2 REPAIR ESTIMATOR'!S256</f>
        <v>0</v>
      </c>
      <c r="K235" s="918">
        <f t="shared" si="27"/>
        <v>0</v>
      </c>
      <c r="L235" s="918">
        <f t="shared" si="28"/>
        <v>0</v>
      </c>
      <c r="M235" s="918">
        <f t="shared" si="29"/>
        <v>0</v>
      </c>
      <c r="N235" s="3719">
        <f t="shared" si="30"/>
        <v>0</v>
      </c>
      <c r="O235" s="3719"/>
      <c r="P235" s="490">
        <f t="shared" si="32"/>
        <v>0</v>
      </c>
      <c r="S235" s="32">
        <f>'2 REPAIR ESTIMATOR'!AD256</f>
        <v>0</v>
      </c>
      <c r="T235" s="32">
        <f>'2 REPAIR ESTIMATOR'!AM256</f>
        <v>0</v>
      </c>
      <c r="U235" s="32">
        <f t="shared" si="31"/>
        <v>0</v>
      </c>
      <c r="V235" s="32">
        <f>'2 REPAIR ESTIMATOR'!AG256</f>
        <v>0</v>
      </c>
      <c r="W235" s="32">
        <f>'2 REPAIR ESTIMATOR'!AJ256</f>
        <v>0</v>
      </c>
    </row>
    <row r="236" spans="3:23" ht="18" hidden="1">
      <c r="C236" s="3720" t="str">
        <f>T('2 REPAIR ESTIMATOR'!D257:O257)</f>
        <v/>
      </c>
      <c r="D236" s="3721"/>
      <c r="E236" s="3721"/>
      <c r="F236" s="3721"/>
      <c r="G236" s="3721"/>
      <c r="H236" s="3721"/>
      <c r="I236" s="916">
        <f>'2 REPAIR ESTIMATOR'!P257</f>
        <v>0</v>
      </c>
      <c r="J236" s="917">
        <f>'2 REPAIR ESTIMATOR'!S257</f>
        <v>0</v>
      </c>
      <c r="K236" s="918">
        <f t="shared" si="27"/>
        <v>0</v>
      </c>
      <c r="L236" s="918">
        <f t="shared" si="28"/>
        <v>0</v>
      </c>
      <c r="M236" s="918">
        <f t="shared" si="29"/>
        <v>0</v>
      </c>
      <c r="N236" s="3719">
        <f t="shared" si="30"/>
        <v>0</v>
      </c>
      <c r="O236" s="3719"/>
      <c r="P236" s="490">
        <f t="shared" si="32"/>
        <v>0</v>
      </c>
      <c r="S236" s="32">
        <f>'2 REPAIR ESTIMATOR'!AD257</f>
        <v>0</v>
      </c>
      <c r="T236" s="32">
        <f>'2 REPAIR ESTIMATOR'!AM257</f>
        <v>0</v>
      </c>
      <c r="U236" s="32">
        <f t="shared" si="31"/>
        <v>0</v>
      </c>
      <c r="V236" s="32">
        <f>'2 REPAIR ESTIMATOR'!AG257</f>
        <v>0</v>
      </c>
      <c r="W236" s="32">
        <f>'2 REPAIR ESTIMATOR'!AJ257</f>
        <v>0</v>
      </c>
    </row>
    <row r="237" spans="3:23" ht="18" hidden="1">
      <c r="C237" s="3720" t="str">
        <f>T('2 REPAIR ESTIMATOR'!D258:O258)</f>
        <v/>
      </c>
      <c r="D237" s="3721"/>
      <c r="E237" s="3721"/>
      <c r="F237" s="3721"/>
      <c r="G237" s="3721"/>
      <c r="H237" s="3721"/>
      <c r="I237" s="916">
        <f>'2 REPAIR ESTIMATOR'!P258</f>
        <v>0</v>
      </c>
      <c r="J237" s="917">
        <f>'2 REPAIR ESTIMATOR'!S258</f>
        <v>0</v>
      </c>
      <c r="K237" s="918">
        <f t="shared" si="27"/>
        <v>0</v>
      </c>
      <c r="L237" s="918">
        <f t="shared" si="28"/>
        <v>0</v>
      </c>
      <c r="M237" s="918">
        <f t="shared" si="29"/>
        <v>0</v>
      </c>
      <c r="N237" s="3719">
        <f t="shared" si="30"/>
        <v>0</v>
      </c>
      <c r="O237" s="3719"/>
      <c r="P237" s="490">
        <f t="shared" si="32"/>
        <v>0</v>
      </c>
      <c r="S237" s="32">
        <f>'2 REPAIR ESTIMATOR'!AD258</f>
        <v>0</v>
      </c>
      <c r="T237" s="32">
        <f>'2 REPAIR ESTIMATOR'!AM258</f>
        <v>0</v>
      </c>
      <c r="U237" s="32">
        <f t="shared" si="31"/>
        <v>0</v>
      </c>
      <c r="V237" s="32">
        <f>'2 REPAIR ESTIMATOR'!AG258</f>
        <v>0</v>
      </c>
      <c r="W237" s="32">
        <f>'2 REPAIR ESTIMATOR'!AJ258</f>
        <v>0</v>
      </c>
    </row>
    <row r="238" spans="3:23" ht="18" hidden="1">
      <c r="C238" s="3720" t="str">
        <f>T('2 REPAIR ESTIMATOR'!D259:O259)</f>
        <v/>
      </c>
      <c r="D238" s="3721"/>
      <c r="E238" s="3721"/>
      <c r="F238" s="3721"/>
      <c r="G238" s="3721"/>
      <c r="H238" s="3721"/>
      <c r="I238" s="916">
        <f>'2 REPAIR ESTIMATOR'!P259</f>
        <v>0</v>
      </c>
      <c r="J238" s="917">
        <f>'2 REPAIR ESTIMATOR'!S259</f>
        <v>0</v>
      </c>
      <c r="K238" s="918">
        <f t="shared" si="27"/>
        <v>0</v>
      </c>
      <c r="L238" s="918">
        <f t="shared" si="28"/>
        <v>0</v>
      </c>
      <c r="M238" s="918">
        <f t="shared" si="29"/>
        <v>0</v>
      </c>
      <c r="N238" s="3719">
        <f t="shared" si="30"/>
        <v>0</v>
      </c>
      <c r="O238" s="3719"/>
      <c r="P238" s="490">
        <f t="shared" si="32"/>
        <v>0</v>
      </c>
      <c r="S238" s="32">
        <f>'2 REPAIR ESTIMATOR'!AD259</f>
        <v>0</v>
      </c>
      <c r="T238" s="32">
        <f>'2 REPAIR ESTIMATOR'!AM259</f>
        <v>0</v>
      </c>
      <c r="U238" s="32">
        <f t="shared" si="31"/>
        <v>0</v>
      </c>
      <c r="V238" s="32">
        <f>'2 REPAIR ESTIMATOR'!AG259</f>
        <v>0</v>
      </c>
      <c r="W238" s="32">
        <f>'2 REPAIR ESTIMATOR'!AJ259</f>
        <v>0</v>
      </c>
    </row>
    <row r="239" spans="3:23" ht="18" hidden="1">
      <c r="C239" s="3720" t="str">
        <f>T('2 REPAIR ESTIMATOR'!D260:O260)</f>
        <v/>
      </c>
      <c r="D239" s="3721"/>
      <c r="E239" s="3721"/>
      <c r="F239" s="3721"/>
      <c r="G239" s="3721"/>
      <c r="H239" s="3721"/>
      <c r="I239" s="916">
        <f>'2 REPAIR ESTIMATOR'!P260</f>
        <v>0</v>
      </c>
      <c r="J239" s="917">
        <f>'2 REPAIR ESTIMATOR'!S260</f>
        <v>0</v>
      </c>
      <c r="K239" s="918">
        <f t="shared" si="27"/>
        <v>0</v>
      </c>
      <c r="L239" s="918">
        <f t="shared" si="28"/>
        <v>0</v>
      </c>
      <c r="M239" s="918">
        <f t="shared" si="29"/>
        <v>0</v>
      </c>
      <c r="N239" s="3719">
        <f t="shared" si="30"/>
        <v>0</v>
      </c>
      <c r="O239" s="3719"/>
      <c r="P239" s="490">
        <f t="shared" si="32"/>
        <v>0</v>
      </c>
      <c r="S239" s="32">
        <f>'2 REPAIR ESTIMATOR'!AD260</f>
        <v>0</v>
      </c>
      <c r="T239" s="32">
        <f>'2 REPAIR ESTIMATOR'!AM260</f>
        <v>0</v>
      </c>
      <c r="U239" s="32">
        <f t="shared" si="31"/>
        <v>0</v>
      </c>
      <c r="V239" s="32">
        <f>'2 REPAIR ESTIMATOR'!AG260</f>
        <v>0</v>
      </c>
      <c r="W239" s="32">
        <f>'2 REPAIR ESTIMATOR'!AJ260</f>
        <v>0</v>
      </c>
    </row>
    <row r="240" spans="3:23" ht="18" hidden="1">
      <c r="C240" s="3720" t="str">
        <f>T('2 REPAIR ESTIMATOR'!D261:O261)</f>
        <v/>
      </c>
      <c r="D240" s="3721"/>
      <c r="E240" s="3721"/>
      <c r="F240" s="3721"/>
      <c r="G240" s="3721"/>
      <c r="H240" s="3721"/>
      <c r="I240" s="916">
        <f>'2 REPAIR ESTIMATOR'!P261</f>
        <v>0</v>
      </c>
      <c r="J240" s="917">
        <f>'2 REPAIR ESTIMATOR'!S261</f>
        <v>0</v>
      </c>
      <c r="K240" s="918">
        <f t="shared" si="27"/>
        <v>0</v>
      </c>
      <c r="L240" s="918">
        <f t="shared" si="28"/>
        <v>0</v>
      </c>
      <c r="M240" s="918">
        <f t="shared" si="29"/>
        <v>0</v>
      </c>
      <c r="N240" s="3719">
        <f t="shared" si="30"/>
        <v>0</v>
      </c>
      <c r="O240" s="3719"/>
      <c r="P240" s="490">
        <f t="shared" si="32"/>
        <v>0</v>
      </c>
      <c r="S240" s="32">
        <f>'2 REPAIR ESTIMATOR'!AD261</f>
        <v>0</v>
      </c>
      <c r="T240" s="32">
        <f>'2 REPAIR ESTIMATOR'!AM261</f>
        <v>0</v>
      </c>
      <c r="U240" s="32">
        <f t="shared" si="31"/>
        <v>0</v>
      </c>
      <c r="V240" s="32">
        <f>'2 REPAIR ESTIMATOR'!AG261</f>
        <v>0</v>
      </c>
      <c r="W240" s="32">
        <f>'2 REPAIR ESTIMATOR'!AJ261</f>
        <v>0</v>
      </c>
    </row>
    <row r="241" spans="3:23" ht="18.350000000000001" hidden="1" thickBot="1">
      <c r="C241" s="3779" t="str">
        <f>T('2 REPAIR ESTIMATOR'!D262:O262)</f>
        <v/>
      </c>
      <c r="D241" s="3780"/>
      <c r="E241" s="3780"/>
      <c r="F241" s="3780"/>
      <c r="G241" s="3780"/>
      <c r="H241" s="3780"/>
      <c r="I241" s="919">
        <f>'2 REPAIR ESTIMATOR'!P262</f>
        <v>0</v>
      </c>
      <c r="J241" s="920">
        <f>'2 REPAIR ESTIMATOR'!S262</f>
        <v>0</v>
      </c>
      <c r="K241" s="921">
        <f t="shared" si="27"/>
        <v>0</v>
      </c>
      <c r="L241" s="921">
        <f t="shared" si="28"/>
        <v>0</v>
      </c>
      <c r="M241" s="921">
        <f t="shared" si="29"/>
        <v>0</v>
      </c>
      <c r="N241" s="3781">
        <f t="shared" si="30"/>
        <v>0</v>
      </c>
      <c r="O241" s="3781"/>
      <c r="P241" s="490">
        <f t="shared" si="32"/>
        <v>0</v>
      </c>
      <c r="S241" s="32">
        <f>'2 REPAIR ESTIMATOR'!AD262</f>
        <v>0</v>
      </c>
      <c r="T241" s="32">
        <f>'2 REPAIR ESTIMATOR'!AM262</f>
        <v>0</v>
      </c>
      <c r="U241" s="32">
        <f t="shared" si="31"/>
        <v>0</v>
      </c>
      <c r="V241" s="32">
        <f>'2 REPAIR ESTIMATOR'!AG262</f>
        <v>0</v>
      </c>
      <c r="W241" s="32">
        <f>'2 REPAIR ESTIMATOR'!AJ262</f>
        <v>0</v>
      </c>
    </row>
    <row r="242" spans="3:23" ht="18.350000000000001" hidden="1" thickBot="1">
      <c r="C242" s="3723" t="str">
        <f>T('2 REPAIR ESTIMATOR'!AC264)</f>
        <v>CONCRETE &amp; FLATWORK TOTAL</v>
      </c>
      <c r="D242" s="3724"/>
      <c r="E242" s="3724"/>
      <c r="F242" s="3724"/>
      <c r="G242" s="3724"/>
      <c r="H242" s="3724"/>
      <c r="I242" s="3724"/>
      <c r="J242" s="3724"/>
      <c r="K242" s="922">
        <f>SUM(K202:K241)</f>
        <v>0</v>
      </c>
      <c r="L242" s="922">
        <f>SUM(L202:L241)</f>
        <v>0</v>
      </c>
      <c r="M242" s="922">
        <f>SUM(M202:M241)</f>
        <v>0</v>
      </c>
      <c r="N242" s="3789">
        <f>SUM(N202:O241)</f>
        <v>0</v>
      </c>
      <c r="O242" s="3789"/>
      <c r="P242" s="490">
        <f>SUM(P201:P211)</f>
        <v>0</v>
      </c>
      <c r="S242" s="33">
        <f>SUM(S202:S241)</f>
        <v>0</v>
      </c>
      <c r="T242" s="33">
        <f>SUM(T202:T241)</f>
        <v>0</v>
      </c>
      <c r="U242" s="33">
        <f>SUM(U202:U241)</f>
        <v>0</v>
      </c>
      <c r="V242" s="33">
        <f>SUM(V202:V241)</f>
        <v>0</v>
      </c>
      <c r="W242" s="33">
        <f>SUM(W202:W241)</f>
        <v>0</v>
      </c>
    </row>
    <row r="243" spans="3:23" ht="8.85" hidden="1" customHeight="1">
      <c r="C243" s="841"/>
      <c r="D243" s="841"/>
      <c r="E243" s="841"/>
      <c r="F243" s="841"/>
      <c r="G243" s="841"/>
      <c r="H243" s="841"/>
      <c r="I243" s="842"/>
      <c r="J243" s="842"/>
      <c r="K243" s="842"/>
      <c r="L243" s="842"/>
      <c r="M243" s="842"/>
      <c r="N243" s="843"/>
      <c r="O243" s="798"/>
      <c r="P243" s="490">
        <f>P242</f>
        <v>0</v>
      </c>
    </row>
    <row r="244" spans="3:23" ht="21" hidden="1" customHeight="1" thickBot="1">
      <c r="C244" s="3782" t="str">
        <f>T('2 REPAIR ESTIMATOR'!D267:O267)</f>
        <v>MASONRY</v>
      </c>
      <c r="D244" s="3783"/>
      <c r="E244" s="3783"/>
      <c r="F244" s="3783"/>
      <c r="G244" s="3783"/>
      <c r="H244" s="3783"/>
      <c r="I244" s="799">
        <f>SUM(I245:I284)</f>
        <v>0</v>
      </c>
      <c r="J244" s="800"/>
      <c r="K244" s="850"/>
      <c r="L244" s="850"/>
      <c r="M244" s="850"/>
      <c r="N244" s="3722"/>
      <c r="O244" s="3722"/>
      <c r="P244" s="489">
        <f t="shared" ref="P244:P276" si="33">I244</f>
        <v>0</v>
      </c>
      <c r="S244" s="34"/>
      <c r="T244" s="34"/>
      <c r="U244" s="34"/>
      <c r="V244" s="34"/>
      <c r="W244" s="34"/>
    </row>
    <row r="245" spans="3:23" ht="18" hidden="1">
      <c r="C245" s="3720" t="str">
        <f>T('2 REPAIR ESTIMATOR'!D268:O268)</f>
        <v>Masonry bid/allowance</v>
      </c>
      <c r="D245" s="3721"/>
      <c r="E245" s="3721"/>
      <c r="F245" s="3721"/>
      <c r="G245" s="3721"/>
      <c r="H245" s="3721"/>
      <c r="I245" s="916">
        <f>'2 REPAIR ESTIMATOR'!P268</f>
        <v>0</v>
      </c>
      <c r="J245" s="917" t="str">
        <f>'2 REPAIR ESTIMATOR'!S268</f>
        <v>ls</v>
      </c>
      <c r="K245" s="918">
        <f t="shared" ref="K245:K284" si="34">IF($N$3="subbed",U245,S245)*$S$70</f>
        <v>0</v>
      </c>
      <c r="L245" s="918">
        <f>V245*$S$70</f>
        <v>0</v>
      </c>
      <c r="M245" s="918">
        <f>W245*$S$70</f>
        <v>0</v>
      </c>
      <c r="N245" s="3719">
        <f>SUM(K245:M245)</f>
        <v>0</v>
      </c>
      <c r="O245" s="3719"/>
      <c r="P245" s="490">
        <f t="shared" si="33"/>
        <v>0</v>
      </c>
      <c r="S245" s="32">
        <f>'2 REPAIR ESTIMATOR'!AD268</f>
        <v>0</v>
      </c>
      <c r="T245" s="32">
        <f>'2 REPAIR ESTIMATOR'!AM268</f>
        <v>0</v>
      </c>
      <c r="U245" s="32">
        <f>T245+S245</f>
        <v>0</v>
      </c>
      <c r="V245" s="32">
        <f>'2 REPAIR ESTIMATOR'!AG268</f>
        <v>0</v>
      </c>
      <c r="W245" s="32">
        <f>'2 REPAIR ESTIMATOR'!AJ268</f>
        <v>0</v>
      </c>
    </row>
    <row r="246" spans="3:23" ht="18" hidden="1">
      <c r="C246" s="3720" t="str">
        <f>T('2 REPAIR ESTIMATOR'!D269:O269)</f>
        <v>CMU, 4x8</v>
      </c>
      <c r="D246" s="3721"/>
      <c r="E246" s="3721"/>
      <c r="F246" s="3721"/>
      <c r="G246" s="3721"/>
      <c r="H246" s="3721"/>
      <c r="I246" s="916">
        <f>'2 REPAIR ESTIMATOR'!P269</f>
        <v>0</v>
      </c>
      <c r="J246" s="917" t="str">
        <f>'2 REPAIR ESTIMATOR'!S269</f>
        <v>sf</v>
      </c>
      <c r="K246" s="918">
        <f t="shared" si="34"/>
        <v>0</v>
      </c>
      <c r="L246" s="918">
        <f t="shared" ref="L246:L284" si="35">V246*$S$70</f>
        <v>0</v>
      </c>
      <c r="M246" s="918">
        <f t="shared" ref="M246:M284" si="36">W246*$S$70</f>
        <v>0</v>
      </c>
      <c r="N246" s="3719">
        <f t="shared" ref="N246:N284" si="37">SUM(K246:M246)</f>
        <v>0</v>
      </c>
      <c r="O246" s="3719"/>
      <c r="P246" s="490">
        <f t="shared" si="33"/>
        <v>0</v>
      </c>
      <c r="S246" s="32">
        <f>'2 REPAIR ESTIMATOR'!AD269</f>
        <v>0</v>
      </c>
      <c r="T246" s="32">
        <f>'2 REPAIR ESTIMATOR'!AM269</f>
        <v>0</v>
      </c>
      <c r="U246" s="32">
        <f t="shared" ref="U246:U284" si="38">T246+S246</f>
        <v>0</v>
      </c>
      <c r="V246" s="32">
        <f>'2 REPAIR ESTIMATOR'!AG269</f>
        <v>0</v>
      </c>
      <c r="W246" s="32">
        <f>'2 REPAIR ESTIMATOR'!AJ269</f>
        <v>0</v>
      </c>
    </row>
    <row r="247" spans="3:23" ht="18" hidden="1">
      <c r="C247" s="3720" t="str">
        <f>T('2 REPAIR ESTIMATOR'!D270:O270)</f>
        <v>CMU, 8x8</v>
      </c>
      <c r="D247" s="3721"/>
      <c r="E247" s="3721"/>
      <c r="F247" s="3721"/>
      <c r="G247" s="3721"/>
      <c r="H247" s="3721"/>
      <c r="I247" s="916">
        <f>'2 REPAIR ESTIMATOR'!P270</f>
        <v>0</v>
      </c>
      <c r="J247" s="917" t="str">
        <f>'2 REPAIR ESTIMATOR'!S270</f>
        <v>sf</v>
      </c>
      <c r="K247" s="918">
        <f t="shared" si="34"/>
        <v>0</v>
      </c>
      <c r="L247" s="918">
        <f t="shared" si="35"/>
        <v>0</v>
      </c>
      <c r="M247" s="918">
        <f t="shared" si="36"/>
        <v>0</v>
      </c>
      <c r="N247" s="3719">
        <f t="shared" si="37"/>
        <v>0</v>
      </c>
      <c r="O247" s="3719"/>
      <c r="P247" s="490">
        <f t="shared" si="33"/>
        <v>0</v>
      </c>
      <c r="S247" s="32">
        <f>'2 REPAIR ESTIMATOR'!AD270</f>
        <v>0</v>
      </c>
      <c r="T247" s="32">
        <f>'2 REPAIR ESTIMATOR'!AM270</f>
        <v>0</v>
      </c>
      <c r="U247" s="32">
        <f t="shared" si="38"/>
        <v>0</v>
      </c>
      <c r="V247" s="32">
        <f>'2 REPAIR ESTIMATOR'!AG270</f>
        <v>0</v>
      </c>
      <c r="W247" s="32">
        <f>'2 REPAIR ESTIMATOR'!AJ270</f>
        <v>0</v>
      </c>
    </row>
    <row r="248" spans="3:23" ht="18" hidden="1">
      <c r="C248" s="3720" t="str">
        <f>T('2 REPAIR ESTIMATOR'!D271:O271)</f>
        <v>Brick veneer</v>
      </c>
      <c r="D248" s="3721"/>
      <c r="E248" s="3721"/>
      <c r="F248" s="3721"/>
      <c r="G248" s="3721"/>
      <c r="H248" s="3721"/>
      <c r="I248" s="916">
        <f>'2 REPAIR ESTIMATOR'!P271</f>
        <v>0</v>
      </c>
      <c r="J248" s="917" t="str">
        <f>'2 REPAIR ESTIMATOR'!S271</f>
        <v>sf</v>
      </c>
      <c r="K248" s="918">
        <f t="shared" si="34"/>
        <v>0</v>
      </c>
      <c r="L248" s="918">
        <f t="shared" si="35"/>
        <v>0</v>
      </c>
      <c r="M248" s="918">
        <f t="shared" si="36"/>
        <v>0</v>
      </c>
      <c r="N248" s="3719">
        <f t="shared" si="37"/>
        <v>0</v>
      </c>
      <c r="O248" s="3719"/>
      <c r="P248" s="490">
        <f t="shared" si="33"/>
        <v>0</v>
      </c>
      <c r="S248" s="32">
        <f>'2 REPAIR ESTIMATOR'!AD271</f>
        <v>0</v>
      </c>
      <c r="T248" s="32">
        <f>'2 REPAIR ESTIMATOR'!AM271</f>
        <v>0</v>
      </c>
      <c r="U248" s="32">
        <f t="shared" si="38"/>
        <v>0</v>
      </c>
      <c r="V248" s="32">
        <f>'2 REPAIR ESTIMATOR'!AG271</f>
        <v>0</v>
      </c>
      <c r="W248" s="32">
        <f>'2 REPAIR ESTIMATOR'!AJ271</f>
        <v>0</v>
      </c>
    </row>
    <row r="249" spans="3:23" ht="18" hidden="1">
      <c r="C249" s="3720" t="str">
        <f>T('2 REPAIR ESTIMATOR'!D272:O272)</f>
        <v>Natural stone</v>
      </c>
      <c r="D249" s="3721"/>
      <c r="E249" s="3721"/>
      <c r="F249" s="3721"/>
      <c r="G249" s="3721"/>
      <c r="H249" s="3721"/>
      <c r="I249" s="916">
        <f>'2 REPAIR ESTIMATOR'!P272</f>
        <v>0</v>
      </c>
      <c r="J249" s="917" t="str">
        <f>'2 REPAIR ESTIMATOR'!S272</f>
        <v>sf</v>
      </c>
      <c r="K249" s="918">
        <f t="shared" si="34"/>
        <v>0</v>
      </c>
      <c r="L249" s="918">
        <f t="shared" si="35"/>
        <v>0</v>
      </c>
      <c r="M249" s="918">
        <f t="shared" si="36"/>
        <v>0</v>
      </c>
      <c r="N249" s="3719">
        <f t="shared" si="37"/>
        <v>0</v>
      </c>
      <c r="O249" s="3719"/>
      <c r="P249" s="490">
        <f t="shared" si="33"/>
        <v>0</v>
      </c>
      <c r="S249" s="32">
        <f>'2 REPAIR ESTIMATOR'!AD272</f>
        <v>0</v>
      </c>
      <c r="T249" s="32">
        <f>'2 REPAIR ESTIMATOR'!AM272</f>
        <v>0</v>
      </c>
      <c r="U249" s="32">
        <f t="shared" si="38"/>
        <v>0</v>
      </c>
      <c r="V249" s="32">
        <f>'2 REPAIR ESTIMATOR'!AG272</f>
        <v>0</v>
      </c>
      <c r="W249" s="32">
        <f>'2 REPAIR ESTIMATOR'!AJ272</f>
        <v>0</v>
      </c>
    </row>
    <row r="250" spans="3:23" ht="18" hidden="1">
      <c r="C250" s="3720" t="str">
        <f>T('2 REPAIR ESTIMATOR'!D273:O273)</f>
        <v>Masonry waterproofing</v>
      </c>
      <c r="D250" s="3721"/>
      <c r="E250" s="3721"/>
      <c r="F250" s="3721"/>
      <c r="G250" s="3721"/>
      <c r="H250" s="3721"/>
      <c r="I250" s="916">
        <f>'2 REPAIR ESTIMATOR'!P273</f>
        <v>0</v>
      </c>
      <c r="J250" s="917" t="str">
        <f>'2 REPAIR ESTIMATOR'!S273</f>
        <v>sf</v>
      </c>
      <c r="K250" s="918">
        <f t="shared" si="34"/>
        <v>0</v>
      </c>
      <c r="L250" s="918">
        <f t="shared" si="35"/>
        <v>0</v>
      </c>
      <c r="M250" s="918">
        <f t="shared" si="36"/>
        <v>0</v>
      </c>
      <c r="N250" s="3719">
        <f t="shared" si="37"/>
        <v>0</v>
      </c>
      <c r="O250" s="3719"/>
      <c r="P250" s="490">
        <f t="shared" si="33"/>
        <v>0</v>
      </c>
      <c r="S250" s="32">
        <f>'2 REPAIR ESTIMATOR'!AD273</f>
        <v>0</v>
      </c>
      <c r="T250" s="32">
        <f>'2 REPAIR ESTIMATOR'!AM273</f>
        <v>0</v>
      </c>
      <c r="U250" s="32">
        <f t="shared" si="38"/>
        <v>0</v>
      </c>
      <c r="V250" s="32">
        <f>'2 REPAIR ESTIMATOR'!AG273</f>
        <v>0</v>
      </c>
      <c r="W250" s="32">
        <f>'2 REPAIR ESTIMATOR'!AJ273</f>
        <v>0</v>
      </c>
    </row>
    <row r="251" spans="3:23" ht="18" hidden="1">
      <c r="C251" s="3720" t="str">
        <f>T('2 REPAIR ESTIMATOR'!D274:O274)</f>
        <v>Tuck-point masonry</v>
      </c>
      <c r="D251" s="3721"/>
      <c r="E251" s="3721"/>
      <c r="F251" s="3721"/>
      <c r="G251" s="3721"/>
      <c r="H251" s="3721"/>
      <c r="I251" s="916">
        <f>'2 REPAIR ESTIMATOR'!P274</f>
        <v>0</v>
      </c>
      <c r="J251" s="917" t="str">
        <f>'2 REPAIR ESTIMATOR'!S274</f>
        <v>sf</v>
      </c>
      <c r="K251" s="918">
        <f t="shared" si="34"/>
        <v>0</v>
      </c>
      <c r="L251" s="918">
        <f t="shared" si="35"/>
        <v>0</v>
      </c>
      <c r="M251" s="918">
        <f t="shared" si="36"/>
        <v>0</v>
      </c>
      <c r="N251" s="3719">
        <f t="shared" si="37"/>
        <v>0</v>
      </c>
      <c r="O251" s="3719"/>
      <c r="P251" s="490">
        <f t="shared" si="33"/>
        <v>0</v>
      </c>
      <c r="S251" s="32">
        <f>'2 REPAIR ESTIMATOR'!AD274</f>
        <v>0</v>
      </c>
      <c r="T251" s="32">
        <f>'2 REPAIR ESTIMATOR'!AM274</f>
        <v>0</v>
      </c>
      <c r="U251" s="32">
        <f t="shared" si="38"/>
        <v>0</v>
      </c>
      <c r="V251" s="32">
        <f>'2 REPAIR ESTIMATOR'!AG274</f>
        <v>0</v>
      </c>
      <c r="W251" s="32">
        <f>'2 REPAIR ESTIMATOR'!AJ274</f>
        <v>0</v>
      </c>
    </row>
    <row r="252" spans="3:23" ht="18" hidden="1">
      <c r="C252" s="3720" t="str">
        <f>T('2 REPAIR ESTIMATOR'!D275:O275)</f>
        <v>Power wash masonry</v>
      </c>
      <c r="D252" s="3721"/>
      <c r="E252" s="3721"/>
      <c r="F252" s="3721"/>
      <c r="G252" s="3721"/>
      <c r="H252" s="3721"/>
      <c r="I252" s="916">
        <f>'2 REPAIR ESTIMATOR'!P275</f>
        <v>0</v>
      </c>
      <c r="J252" s="917" t="str">
        <f>'2 REPAIR ESTIMATOR'!S275</f>
        <v>sf</v>
      </c>
      <c r="K252" s="918">
        <f t="shared" si="34"/>
        <v>0</v>
      </c>
      <c r="L252" s="918">
        <f t="shared" si="35"/>
        <v>0</v>
      </c>
      <c r="M252" s="918">
        <f t="shared" si="36"/>
        <v>0</v>
      </c>
      <c r="N252" s="3719">
        <f t="shared" si="37"/>
        <v>0</v>
      </c>
      <c r="O252" s="3719"/>
      <c r="P252" s="490">
        <f t="shared" si="33"/>
        <v>0</v>
      </c>
      <c r="S252" s="32">
        <f>'2 REPAIR ESTIMATOR'!AD275</f>
        <v>0</v>
      </c>
      <c r="T252" s="32">
        <f>'2 REPAIR ESTIMATOR'!AM275</f>
        <v>0</v>
      </c>
      <c r="U252" s="32">
        <f t="shared" si="38"/>
        <v>0</v>
      </c>
      <c r="V252" s="32">
        <f>'2 REPAIR ESTIMATOR'!AG275</f>
        <v>0</v>
      </c>
      <c r="W252" s="32">
        <f>'2 REPAIR ESTIMATOR'!AJ275</f>
        <v>0</v>
      </c>
    </row>
    <row r="253" spans="3:23" ht="18" hidden="1">
      <c r="C253" s="3720" t="str">
        <f>T('2 REPAIR ESTIMATOR'!D276:O276)</f>
        <v xml:space="preserve">Chimney, brick </v>
      </c>
      <c r="D253" s="3721"/>
      <c r="E253" s="3721"/>
      <c r="F253" s="3721"/>
      <c r="G253" s="3721"/>
      <c r="H253" s="3721"/>
      <c r="I253" s="916">
        <f>'2 REPAIR ESTIMATOR'!P276</f>
        <v>0</v>
      </c>
      <c r="J253" s="917" t="str">
        <f>'2 REPAIR ESTIMATOR'!S276</f>
        <v>vlf</v>
      </c>
      <c r="K253" s="918">
        <f t="shared" si="34"/>
        <v>0</v>
      </c>
      <c r="L253" s="918">
        <f t="shared" si="35"/>
        <v>0</v>
      </c>
      <c r="M253" s="918">
        <f t="shared" si="36"/>
        <v>0</v>
      </c>
      <c r="N253" s="3719">
        <f t="shared" si="37"/>
        <v>0</v>
      </c>
      <c r="O253" s="3719"/>
      <c r="P253" s="490">
        <f t="shared" si="33"/>
        <v>0</v>
      </c>
      <c r="S253" s="32">
        <f>'2 REPAIR ESTIMATOR'!AD276</f>
        <v>0</v>
      </c>
      <c r="T253" s="32">
        <f>'2 REPAIR ESTIMATOR'!AM276</f>
        <v>0</v>
      </c>
      <c r="U253" s="32">
        <f t="shared" si="38"/>
        <v>0</v>
      </c>
      <c r="V253" s="32">
        <f>'2 REPAIR ESTIMATOR'!AG276</f>
        <v>0</v>
      </c>
      <c r="W253" s="32">
        <f>'2 REPAIR ESTIMATOR'!AJ276</f>
        <v>0</v>
      </c>
    </row>
    <row r="254" spans="3:23" ht="18" hidden="1">
      <c r="C254" s="3720" t="str">
        <f>T('2 REPAIR ESTIMATOR'!D277:O277)</f>
        <v>Chimney, stone</v>
      </c>
      <c r="D254" s="3721"/>
      <c r="E254" s="3721"/>
      <c r="F254" s="3721"/>
      <c r="G254" s="3721"/>
      <c r="H254" s="3721"/>
      <c r="I254" s="916">
        <f>'2 REPAIR ESTIMATOR'!P277</f>
        <v>0</v>
      </c>
      <c r="J254" s="917" t="str">
        <f>'2 REPAIR ESTIMATOR'!S277</f>
        <v>vlf</v>
      </c>
      <c r="K254" s="918">
        <f t="shared" si="34"/>
        <v>0</v>
      </c>
      <c r="L254" s="918">
        <f t="shared" si="35"/>
        <v>0</v>
      </c>
      <c r="M254" s="918">
        <f t="shared" si="36"/>
        <v>0</v>
      </c>
      <c r="N254" s="3719">
        <f t="shared" si="37"/>
        <v>0</v>
      </c>
      <c r="O254" s="3719"/>
      <c r="P254" s="490">
        <f t="shared" si="33"/>
        <v>0</v>
      </c>
      <c r="S254" s="32">
        <f>'2 REPAIR ESTIMATOR'!AD277</f>
        <v>0</v>
      </c>
      <c r="T254" s="32">
        <f>'2 REPAIR ESTIMATOR'!AM277</f>
        <v>0</v>
      </c>
      <c r="U254" s="32">
        <f t="shared" si="38"/>
        <v>0</v>
      </c>
      <c r="V254" s="32">
        <f>'2 REPAIR ESTIMATOR'!AG277</f>
        <v>0</v>
      </c>
      <c r="W254" s="32">
        <f>'2 REPAIR ESTIMATOR'!AJ277</f>
        <v>0</v>
      </c>
    </row>
    <row r="255" spans="3:23" ht="18" hidden="1">
      <c r="C255" s="3720" t="str">
        <f>T('2 REPAIR ESTIMATOR'!D278:O278)</f>
        <v>Add to above for chimney cap</v>
      </c>
      <c r="D255" s="3721"/>
      <c r="E255" s="3721"/>
      <c r="F255" s="3721"/>
      <c r="G255" s="3721"/>
      <c r="H255" s="3721"/>
      <c r="I255" s="916">
        <f>'2 REPAIR ESTIMATOR'!P278</f>
        <v>0</v>
      </c>
      <c r="J255" s="917" t="str">
        <f>'2 REPAIR ESTIMATOR'!S278</f>
        <v>ea</v>
      </c>
      <c r="K255" s="918">
        <f t="shared" si="34"/>
        <v>0</v>
      </c>
      <c r="L255" s="918">
        <f t="shared" si="35"/>
        <v>0</v>
      </c>
      <c r="M255" s="918">
        <f t="shared" si="36"/>
        <v>0</v>
      </c>
      <c r="N255" s="3719">
        <f t="shared" si="37"/>
        <v>0</v>
      </c>
      <c r="O255" s="3719"/>
      <c r="P255" s="490">
        <f t="shared" si="33"/>
        <v>0</v>
      </c>
      <c r="S255" s="32">
        <f>'2 REPAIR ESTIMATOR'!AD278</f>
        <v>0</v>
      </c>
      <c r="T255" s="32">
        <f>'2 REPAIR ESTIMATOR'!AM278</f>
        <v>0</v>
      </c>
      <c r="U255" s="32">
        <f t="shared" si="38"/>
        <v>0</v>
      </c>
      <c r="V255" s="32">
        <f>'2 REPAIR ESTIMATOR'!AG278</f>
        <v>0</v>
      </c>
      <c r="W255" s="32">
        <f>'2 REPAIR ESTIMATOR'!AJ278</f>
        <v>0</v>
      </c>
    </row>
    <row r="256" spans="3:23" ht="18" hidden="1">
      <c r="C256" s="3720" t="str">
        <f>T('2 REPAIR ESTIMATOR'!D279:O279)</f>
        <v>Fireplace complete, brick, 3ft-4ft wide w/ chimney</v>
      </c>
      <c r="D256" s="3721"/>
      <c r="E256" s="3721"/>
      <c r="F256" s="3721"/>
      <c r="G256" s="3721"/>
      <c r="H256" s="3721"/>
      <c r="I256" s="916">
        <f>'2 REPAIR ESTIMATOR'!P279</f>
        <v>0</v>
      </c>
      <c r="J256" s="917" t="str">
        <f>'2 REPAIR ESTIMATOR'!S279</f>
        <v>ea</v>
      </c>
      <c r="K256" s="918">
        <f t="shared" si="34"/>
        <v>0</v>
      </c>
      <c r="L256" s="918">
        <f t="shared" si="35"/>
        <v>0</v>
      </c>
      <c r="M256" s="918">
        <f t="shared" si="36"/>
        <v>0</v>
      </c>
      <c r="N256" s="3719">
        <f t="shared" si="37"/>
        <v>0</v>
      </c>
      <c r="O256" s="3719"/>
      <c r="P256" s="490">
        <f t="shared" si="33"/>
        <v>0</v>
      </c>
      <c r="S256" s="32">
        <f>'2 REPAIR ESTIMATOR'!AD279</f>
        <v>0</v>
      </c>
      <c r="T256" s="32">
        <f>'2 REPAIR ESTIMATOR'!AM279</f>
        <v>0</v>
      </c>
      <c r="U256" s="32">
        <f t="shared" si="38"/>
        <v>0</v>
      </c>
      <c r="V256" s="32">
        <f>'2 REPAIR ESTIMATOR'!AG279</f>
        <v>0</v>
      </c>
      <c r="W256" s="32">
        <f>'2 REPAIR ESTIMATOR'!AJ279</f>
        <v>0</v>
      </c>
    </row>
    <row r="257" spans="3:23" ht="18" hidden="1">
      <c r="C257" s="3720" t="str">
        <f>T('2 REPAIR ESTIMATOR'!D280:O280)</f>
        <v/>
      </c>
      <c r="D257" s="3721"/>
      <c r="E257" s="3721"/>
      <c r="F257" s="3721"/>
      <c r="G257" s="3721"/>
      <c r="H257" s="3721"/>
      <c r="I257" s="916">
        <f>'2 REPAIR ESTIMATOR'!P280</f>
        <v>0</v>
      </c>
      <c r="J257" s="917">
        <f>'2 REPAIR ESTIMATOR'!S280</f>
        <v>0</v>
      </c>
      <c r="K257" s="918">
        <f t="shared" si="34"/>
        <v>0</v>
      </c>
      <c r="L257" s="918">
        <f t="shared" si="35"/>
        <v>0</v>
      </c>
      <c r="M257" s="918">
        <f t="shared" si="36"/>
        <v>0</v>
      </c>
      <c r="N257" s="3719">
        <f t="shared" si="37"/>
        <v>0</v>
      </c>
      <c r="O257" s="3719"/>
      <c r="P257" s="490">
        <f t="shared" si="33"/>
        <v>0</v>
      </c>
      <c r="S257" s="32">
        <f>'2 REPAIR ESTIMATOR'!AD280</f>
        <v>0</v>
      </c>
      <c r="T257" s="32">
        <f>'2 REPAIR ESTIMATOR'!AM280</f>
        <v>0</v>
      </c>
      <c r="U257" s="32">
        <f t="shared" si="38"/>
        <v>0</v>
      </c>
      <c r="V257" s="32">
        <f>'2 REPAIR ESTIMATOR'!AG280</f>
        <v>0</v>
      </c>
      <c r="W257" s="32">
        <f>'2 REPAIR ESTIMATOR'!AJ280</f>
        <v>0</v>
      </c>
    </row>
    <row r="258" spans="3:23" ht="18" hidden="1">
      <c r="C258" s="3720" t="str">
        <f>T('2 REPAIR ESTIMATOR'!D281:O281)</f>
        <v/>
      </c>
      <c r="D258" s="3721"/>
      <c r="E258" s="3721"/>
      <c r="F258" s="3721"/>
      <c r="G258" s="3721"/>
      <c r="H258" s="3721"/>
      <c r="I258" s="916">
        <f>'2 REPAIR ESTIMATOR'!P281</f>
        <v>0</v>
      </c>
      <c r="J258" s="917">
        <f>'2 REPAIR ESTIMATOR'!S281</f>
        <v>0</v>
      </c>
      <c r="K258" s="918">
        <f t="shared" si="34"/>
        <v>0</v>
      </c>
      <c r="L258" s="918">
        <f t="shared" si="35"/>
        <v>0</v>
      </c>
      <c r="M258" s="918">
        <f t="shared" si="36"/>
        <v>0</v>
      </c>
      <c r="N258" s="3719">
        <f t="shared" si="37"/>
        <v>0</v>
      </c>
      <c r="O258" s="3719"/>
      <c r="P258" s="490">
        <f t="shared" si="33"/>
        <v>0</v>
      </c>
      <c r="S258" s="32">
        <f>'2 REPAIR ESTIMATOR'!AD281</f>
        <v>0</v>
      </c>
      <c r="T258" s="32">
        <f>'2 REPAIR ESTIMATOR'!AM281</f>
        <v>0</v>
      </c>
      <c r="U258" s="32">
        <f t="shared" si="38"/>
        <v>0</v>
      </c>
      <c r="V258" s="32">
        <f>'2 REPAIR ESTIMATOR'!AG281</f>
        <v>0</v>
      </c>
      <c r="W258" s="32">
        <f>'2 REPAIR ESTIMATOR'!AJ281</f>
        <v>0</v>
      </c>
    </row>
    <row r="259" spans="3:23" ht="18" hidden="1">
      <c r="C259" s="3720" t="str">
        <f>T('2 REPAIR ESTIMATOR'!D282:O282)</f>
        <v/>
      </c>
      <c r="D259" s="3721"/>
      <c r="E259" s="3721"/>
      <c r="F259" s="3721"/>
      <c r="G259" s="3721"/>
      <c r="H259" s="3721"/>
      <c r="I259" s="916">
        <f>'2 REPAIR ESTIMATOR'!P282</f>
        <v>0</v>
      </c>
      <c r="J259" s="917">
        <f>'2 REPAIR ESTIMATOR'!S282</f>
        <v>0</v>
      </c>
      <c r="K259" s="918">
        <f t="shared" si="34"/>
        <v>0</v>
      </c>
      <c r="L259" s="918">
        <f t="shared" si="35"/>
        <v>0</v>
      </c>
      <c r="M259" s="918">
        <f t="shared" si="36"/>
        <v>0</v>
      </c>
      <c r="N259" s="3719">
        <f t="shared" si="37"/>
        <v>0</v>
      </c>
      <c r="O259" s="3719"/>
      <c r="P259" s="490">
        <f t="shared" si="33"/>
        <v>0</v>
      </c>
      <c r="S259" s="32">
        <f>'2 REPAIR ESTIMATOR'!AD282</f>
        <v>0</v>
      </c>
      <c r="T259" s="32">
        <f>'2 REPAIR ESTIMATOR'!AM282</f>
        <v>0</v>
      </c>
      <c r="U259" s="32">
        <f t="shared" si="38"/>
        <v>0</v>
      </c>
      <c r="V259" s="32">
        <f>'2 REPAIR ESTIMATOR'!AG282</f>
        <v>0</v>
      </c>
      <c r="W259" s="32">
        <f>'2 REPAIR ESTIMATOR'!AJ282</f>
        <v>0</v>
      </c>
    </row>
    <row r="260" spans="3:23" ht="18" hidden="1">
      <c r="C260" s="3720" t="str">
        <f>T('2 REPAIR ESTIMATOR'!D283:O283)</f>
        <v/>
      </c>
      <c r="D260" s="3721"/>
      <c r="E260" s="3721"/>
      <c r="F260" s="3721"/>
      <c r="G260" s="3721"/>
      <c r="H260" s="3721"/>
      <c r="I260" s="916">
        <f>'2 REPAIR ESTIMATOR'!P283</f>
        <v>0</v>
      </c>
      <c r="J260" s="917">
        <f>'2 REPAIR ESTIMATOR'!S283</f>
        <v>0</v>
      </c>
      <c r="K260" s="918">
        <f t="shared" si="34"/>
        <v>0</v>
      </c>
      <c r="L260" s="918">
        <f t="shared" si="35"/>
        <v>0</v>
      </c>
      <c r="M260" s="918">
        <f t="shared" si="36"/>
        <v>0</v>
      </c>
      <c r="N260" s="3719">
        <f t="shared" si="37"/>
        <v>0</v>
      </c>
      <c r="O260" s="3719"/>
      <c r="P260" s="490">
        <f t="shared" si="33"/>
        <v>0</v>
      </c>
      <c r="S260" s="32">
        <f>'2 REPAIR ESTIMATOR'!AD283</f>
        <v>0</v>
      </c>
      <c r="T260" s="32">
        <f>'2 REPAIR ESTIMATOR'!AM283</f>
        <v>0</v>
      </c>
      <c r="U260" s="32">
        <f t="shared" si="38"/>
        <v>0</v>
      </c>
      <c r="V260" s="32">
        <f>'2 REPAIR ESTIMATOR'!AG283</f>
        <v>0</v>
      </c>
      <c r="W260" s="32">
        <f>'2 REPAIR ESTIMATOR'!AJ283</f>
        <v>0</v>
      </c>
    </row>
    <row r="261" spans="3:23" ht="18" hidden="1">
      <c r="C261" s="3720" t="str">
        <f>T('2 REPAIR ESTIMATOR'!D284:O284)</f>
        <v/>
      </c>
      <c r="D261" s="3721"/>
      <c r="E261" s="3721"/>
      <c r="F261" s="3721"/>
      <c r="G261" s="3721"/>
      <c r="H261" s="3721"/>
      <c r="I261" s="916">
        <f>'2 REPAIR ESTIMATOR'!P284</f>
        <v>0</v>
      </c>
      <c r="J261" s="917">
        <f>'2 REPAIR ESTIMATOR'!S284</f>
        <v>0</v>
      </c>
      <c r="K261" s="918">
        <f t="shared" si="34"/>
        <v>0</v>
      </c>
      <c r="L261" s="918">
        <f t="shared" si="35"/>
        <v>0</v>
      </c>
      <c r="M261" s="918">
        <f t="shared" si="36"/>
        <v>0</v>
      </c>
      <c r="N261" s="3719">
        <f t="shared" si="37"/>
        <v>0</v>
      </c>
      <c r="O261" s="3719"/>
      <c r="P261" s="490">
        <f t="shared" si="33"/>
        <v>0</v>
      </c>
      <c r="S261" s="32">
        <f>'2 REPAIR ESTIMATOR'!AD284</f>
        <v>0</v>
      </c>
      <c r="T261" s="32">
        <f>'2 REPAIR ESTIMATOR'!AM284</f>
        <v>0</v>
      </c>
      <c r="U261" s="32">
        <f t="shared" si="38"/>
        <v>0</v>
      </c>
      <c r="V261" s="32">
        <f>'2 REPAIR ESTIMATOR'!AG284</f>
        <v>0</v>
      </c>
      <c r="W261" s="32">
        <f>'2 REPAIR ESTIMATOR'!AJ284</f>
        <v>0</v>
      </c>
    </row>
    <row r="262" spans="3:23" ht="18" hidden="1">
      <c r="C262" s="3720" t="str">
        <f>T('2 REPAIR ESTIMATOR'!D285:O285)</f>
        <v/>
      </c>
      <c r="D262" s="3721"/>
      <c r="E262" s="3721"/>
      <c r="F262" s="3721"/>
      <c r="G262" s="3721"/>
      <c r="H262" s="3721"/>
      <c r="I262" s="916">
        <f>'2 REPAIR ESTIMATOR'!P285</f>
        <v>0</v>
      </c>
      <c r="J262" s="917">
        <f>'2 REPAIR ESTIMATOR'!S285</f>
        <v>0</v>
      </c>
      <c r="K262" s="918">
        <f t="shared" si="34"/>
        <v>0</v>
      </c>
      <c r="L262" s="918">
        <f t="shared" si="35"/>
        <v>0</v>
      </c>
      <c r="M262" s="918">
        <f t="shared" si="36"/>
        <v>0</v>
      </c>
      <c r="N262" s="3719">
        <f t="shared" si="37"/>
        <v>0</v>
      </c>
      <c r="O262" s="3719"/>
      <c r="P262" s="490">
        <f t="shared" si="33"/>
        <v>0</v>
      </c>
      <c r="S262" s="32">
        <f>'2 REPAIR ESTIMATOR'!AD285</f>
        <v>0</v>
      </c>
      <c r="T262" s="32">
        <f>'2 REPAIR ESTIMATOR'!AM285</f>
        <v>0</v>
      </c>
      <c r="U262" s="32">
        <f t="shared" si="38"/>
        <v>0</v>
      </c>
      <c r="V262" s="32">
        <f>'2 REPAIR ESTIMATOR'!AG285</f>
        <v>0</v>
      </c>
      <c r="W262" s="32">
        <f>'2 REPAIR ESTIMATOR'!AJ285</f>
        <v>0</v>
      </c>
    </row>
    <row r="263" spans="3:23" ht="18" hidden="1">
      <c r="C263" s="3720" t="str">
        <f>T('2 REPAIR ESTIMATOR'!D286:O286)</f>
        <v/>
      </c>
      <c r="D263" s="3721"/>
      <c r="E263" s="3721"/>
      <c r="F263" s="3721"/>
      <c r="G263" s="3721"/>
      <c r="H263" s="3721"/>
      <c r="I263" s="916">
        <f>'2 REPAIR ESTIMATOR'!P286</f>
        <v>0</v>
      </c>
      <c r="J263" s="917">
        <f>'2 REPAIR ESTIMATOR'!S286</f>
        <v>0</v>
      </c>
      <c r="K263" s="918">
        <f t="shared" si="34"/>
        <v>0</v>
      </c>
      <c r="L263" s="918">
        <f t="shared" si="35"/>
        <v>0</v>
      </c>
      <c r="M263" s="918">
        <f t="shared" si="36"/>
        <v>0</v>
      </c>
      <c r="N263" s="3719">
        <f t="shared" si="37"/>
        <v>0</v>
      </c>
      <c r="O263" s="3719"/>
      <c r="P263" s="490">
        <f t="shared" si="33"/>
        <v>0</v>
      </c>
      <c r="S263" s="32">
        <f>'2 REPAIR ESTIMATOR'!AD286</f>
        <v>0</v>
      </c>
      <c r="T263" s="32">
        <f>'2 REPAIR ESTIMATOR'!AM286</f>
        <v>0</v>
      </c>
      <c r="U263" s="32">
        <f t="shared" si="38"/>
        <v>0</v>
      </c>
      <c r="V263" s="32">
        <f>'2 REPAIR ESTIMATOR'!AG286</f>
        <v>0</v>
      </c>
      <c r="W263" s="32">
        <f>'2 REPAIR ESTIMATOR'!AJ286</f>
        <v>0</v>
      </c>
    </row>
    <row r="264" spans="3:23" ht="18" hidden="1">
      <c r="C264" s="3720" t="str">
        <f>T('2 REPAIR ESTIMATOR'!D287:O287)</f>
        <v/>
      </c>
      <c r="D264" s="3721"/>
      <c r="E264" s="3721"/>
      <c r="F264" s="3721"/>
      <c r="G264" s="3721"/>
      <c r="H264" s="3721"/>
      <c r="I264" s="916">
        <f>'2 REPAIR ESTIMATOR'!P287</f>
        <v>0</v>
      </c>
      <c r="J264" s="917">
        <f>'2 REPAIR ESTIMATOR'!S287</f>
        <v>0</v>
      </c>
      <c r="K264" s="918">
        <f t="shared" si="34"/>
        <v>0</v>
      </c>
      <c r="L264" s="918">
        <f t="shared" si="35"/>
        <v>0</v>
      </c>
      <c r="M264" s="918">
        <f t="shared" si="36"/>
        <v>0</v>
      </c>
      <c r="N264" s="3719">
        <f t="shared" si="37"/>
        <v>0</v>
      </c>
      <c r="O264" s="3719"/>
      <c r="P264" s="490">
        <f t="shared" si="33"/>
        <v>0</v>
      </c>
      <c r="S264" s="32">
        <f>'2 REPAIR ESTIMATOR'!AD287</f>
        <v>0</v>
      </c>
      <c r="T264" s="32">
        <f>'2 REPAIR ESTIMATOR'!AM287</f>
        <v>0</v>
      </c>
      <c r="U264" s="32">
        <f t="shared" si="38"/>
        <v>0</v>
      </c>
      <c r="V264" s="32">
        <f>'2 REPAIR ESTIMATOR'!AG287</f>
        <v>0</v>
      </c>
      <c r="W264" s="32">
        <f>'2 REPAIR ESTIMATOR'!AJ287</f>
        <v>0</v>
      </c>
    </row>
    <row r="265" spans="3:23" ht="18" hidden="1">
      <c r="C265" s="3720" t="str">
        <f>T('2 REPAIR ESTIMATOR'!D288:O288)</f>
        <v/>
      </c>
      <c r="D265" s="3721"/>
      <c r="E265" s="3721"/>
      <c r="F265" s="3721"/>
      <c r="G265" s="3721"/>
      <c r="H265" s="3721"/>
      <c r="I265" s="916">
        <f>'2 REPAIR ESTIMATOR'!P288</f>
        <v>0</v>
      </c>
      <c r="J265" s="917">
        <f>'2 REPAIR ESTIMATOR'!S288</f>
        <v>0</v>
      </c>
      <c r="K265" s="918">
        <f t="shared" si="34"/>
        <v>0</v>
      </c>
      <c r="L265" s="918">
        <f t="shared" si="35"/>
        <v>0</v>
      </c>
      <c r="M265" s="918">
        <f t="shared" si="36"/>
        <v>0</v>
      </c>
      <c r="N265" s="3719">
        <f t="shared" si="37"/>
        <v>0</v>
      </c>
      <c r="O265" s="3719"/>
      <c r="P265" s="490">
        <f t="shared" si="33"/>
        <v>0</v>
      </c>
      <c r="S265" s="32">
        <f>'2 REPAIR ESTIMATOR'!AD288</f>
        <v>0</v>
      </c>
      <c r="T265" s="32">
        <f>'2 REPAIR ESTIMATOR'!AM288</f>
        <v>0</v>
      </c>
      <c r="U265" s="32">
        <f t="shared" si="38"/>
        <v>0</v>
      </c>
      <c r="V265" s="32">
        <f>'2 REPAIR ESTIMATOR'!AG288</f>
        <v>0</v>
      </c>
      <c r="W265" s="32">
        <f>'2 REPAIR ESTIMATOR'!AJ288</f>
        <v>0</v>
      </c>
    </row>
    <row r="266" spans="3:23" ht="18" hidden="1">
      <c r="C266" s="3720" t="str">
        <f>T('2 REPAIR ESTIMATOR'!D289:O289)</f>
        <v/>
      </c>
      <c r="D266" s="3721"/>
      <c r="E266" s="3721"/>
      <c r="F266" s="3721"/>
      <c r="G266" s="3721"/>
      <c r="H266" s="3721"/>
      <c r="I266" s="916">
        <f>'2 REPAIR ESTIMATOR'!P289</f>
        <v>0</v>
      </c>
      <c r="J266" s="917">
        <f>'2 REPAIR ESTIMATOR'!S289</f>
        <v>0</v>
      </c>
      <c r="K266" s="918">
        <f t="shared" si="34"/>
        <v>0</v>
      </c>
      <c r="L266" s="918">
        <f t="shared" si="35"/>
        <v>0</v>
      </c>
      <c r="M266" s="918">
        <f t="shared" si="36"/>
        <v>0</v>
      </c>
      <c r="N266" s="3719">
        <f t="shared" si="37"/>
        <v>0</v>
      </c>
      <c r="O266" s="3719"/>
      <c r="P266" s="490">
        <f t="shared" si="33"/>
        <v>0</v>
      </c>
      <c r="S266" s="32">
        <f>'2 REPAIR ESTIMATOR'!AD289</f>
        <v>0</v>
      </c>
      <c r="T266" s="32">
        <f>'2 REPAIR ESTIMATOR'!AM289</f>
        <v>0</v>
      </c>
      <c r="U266" s="32">
        <f t="shared" si="38"/>
        <v>0</v>
      </c>
      <c r="V266" s="32">
        <f>'2 REPAIR ESTIMATOR'!AG289</f>
        <v>0</v>
      </c>
      <c r="W266" s="32">
        <f>'2 REPAIR ESTIMATOR'!AJ289</f>
        <v>0</v>
      </c>
    </row>
    <row r="267" spans="3:23" ht="18" hidden="1">
      <c r="C267" s="3720" t="str">
        <f>T('2 REPAIR ESTIMATOR'!D290:O290)</f>
        <v/>
      </c>
      <c r="D267" s="3721"/>
      <c r="E267" s="3721"/>
      <c r="F267" s="3721"/>
      <c r="G267" s="3721"/>
      <c r="H267" s="3721"/>
      <c r="I267" s="916">
        <f>'2 REPAIR ESTIMATOR'!P290</f>
        <v>0</v>
      </c>
      <c r="J267" s="917">
        <f>'2 REPAIR ESTIMATOR'!S290</f>
        <v>0</v>
      </c>
      <c r="K267" s="918">
        <f t="shared" si="34"/>
        <v>0</v>
      </c>
      <c r="L267" s="918">
        <f t="shared" si="35"/>
        <v>0</v>
      </c>
      <c r="M267" s="918">
        <f t="shared" si="36"/>
        <v>0</v>
      </c>
      <c r="N267" s="3719">
        <f t="shared" si="37"/>
        <v>0</v>
      </c>
      <c r="O267" s="3719"/>
      <c r="P267" s="490">
        <f t="shared" si="33"/>
        <v>0</v>
      </c>
      <c r="S267" s="32">
        <f>'2 REPAIR ESTIMATOR'!AD290</f>
        <v>0</v>
      </c>
      <c r="T267" s="32">
        <f>'2 REPAIR ESTIMATOR'!AM290</f>
        <v>0</v>
      </c>
      <c r="U267" s="32">
        <f t="shared" si="38"/>
        <v>0</v>
      </c>
      <c r="V267" s="32">
        <f>'2 REPAIR ESTIMATOR'!AG290</f>
        <v>0</v>
      </c>
      <c r="W267" s="32">
        <f>'2 REPAIR ESTIMATOR'!AJ290</f>
        <v>0</v>
      </c>
    </row>
    <row r="268" spans="3:23" ht="18" hidden="1">
      <c r="C268" s="3720" t="str">
        <f>T('2 REPAIR ESTIMATOR'!D291:O291)</f>
        <v/>
      </c>
      <c r="D268" s="3721"/>
      <c r="E268" s="3721"/>
      <c r="F268" s="3721"/>
      <c r="G268" s="3721"/>
      <c r="H268" s="3721"/>
      <c r="I268" s="916">
        <f>'2 REPAIR ESTIMATOR'!P291</f>
        <v>0</v>
      </c>
      <c r="J268" s="917">
        <f>'2 REPAIR ESTIMATOR'!S291</f>
        <v>0</v>
      </c>
      <c r="K268" s="918">
        <f t="shared" si="34"/>
        <v>0</v>
      </c>
      <c r="L268" s="918">
        <f t="shared" si="35"/>
        <v>0</v>
      </c>
      <c r="M268" s="918">
        <f t="shared" si="36"/>
        <v>0</v>
      </c>
      <c r="N268" s="3719">
        <f t="shared" si="37"/>
        <v>0</v>
      </c>
      <c r="O268" s="3719"/>
      <c r="P268" s="490">
        <f t="shared" si="33"/>
        <v>0</v>
      </c>
      <c r="S268" s="32">
        <f>'2 REPAIR ESTIMATOR'!AD291</f>
        <v>0</v>
      </c>
      <c r="T268" s="32">
        <f>'2 REPAIR ESTIMATOR'!AM291</f>
        <v>0</v>
      </c>
      <c r="U268" s="32">
        <f t="shared" si="38"/>
        <v>0</v>
      </c>
      <c r="V268" s="32">
        <f>'2 REPAIR ESTIMATOR'!AG291</f>
        <v>0</v>
      </c>
      <c r="W268" s="32">
        <f>'2 REPAIR ESTIMATOR'!AJ291</f>
        <v>0</v>
      </c>
    </row>
    <row r="269" spans="3:23" ht="18" hidden="1">
      <c r="C269" s="3720" t="str">
        <f>T('2 REPAIR ESTIMATOR'!D292:O292)</f>
        <v/>
      </c>
      <c r="D269" s="3721"/>
      <c r="E269" s="3721"/>
      <c r="F269" s="3721"/>
      <c r="G269" s="3721"/>
      <c r="H269" s="3721"/>
      <c r="I269" s="916">
        <f>'2 REPAIR ESTIMATOR'!P292</f>
        <v>0</v>
      </c>
      <c r="J269" s="917">
        <f>'2 REPAIR ESTIMATOR'!S292</f>
        <v>0</v>
      </c>
      <c r="K269" s="918">
        <f t="shared" si="34"/>
        <v>0</v>
      </c>
      <c r="L269" s="918">
        <f t="shared" si="35"/>
        <v>0</v>
      </c>
      <c r="M269" s="918">
        <f t="shared" si="36"/>
        <v>0</v>
      </c>
      <c r="N269" s="3719">
        <f t="shared" si="37"/>
        <v>0</v>
      </c>
      <c r="O269" s="3719"/>
      <c r="P269" s="490">
        <f t="shared" si="33"/>
        <v>0</v>
      </c>
      <c r="S269" s="32">
        <f>'2 REPAIR ESTIMATOR'!AD292</f>
        <v>0</v>
      </c>
      <c r="T269" s="32">
        <f>'2 REPAIR ESTIMATOR'!AM292</f>
        <v>0</v>
      </c>
      <c r="U269" s="32">
        <f t="shared" si="38"/>
        <v>0</v>
      </c>
      <c r="V269" s="32">
        <f>'2 REPAIR ESTIMATOR'!AG292</f>
        <v>0</v>
      </c>
      <c r="W269" s="32">
        <f>'2 REPAIR ESTIMATOR'!AJ292</f>
        <v>0</v>
      </c>
    </row>
    <row r="270" spans="3:23" ht="18" hidden="1">
      <c r="C270" s="3720" t="str">
        <f>T('2 REPAIR ESTIMATOR'!D293:O293)</f>
        <v/>
      </c>
      <c r="D270" s="3721"/>
      <c r="E270" s="3721"/>
      <c r="F270" s="3721"/>
      <c r="G270" s="3721"/>
      <c r="H270" s="3721"/>
      <c r="I270" s="916">
        <f>'2 REPAIR ESTIMATOR'!P293</f>
        <v>0</v>
      </c>
      <c r="J270" s="917">
        <f>'2 REPAIR ESTIMATOR'!S293</f>
        <v>0</v>
      </c>
      <c r="K270" s="918">
        <f t="shared" si="34"/>
        <v>0</v>
      </c>
      <c r="L270" s="918">
        <f t="shared" si="35"/>
        <v>0</v>
      </c>
      <c r="M270" s="918">
        <f t="shared" si="36"/>
        <v>0</v>
      </c>
      <c r="N270" s="3719">
        <f t="shared" si="37"/>
        <v>0</v>
      </c>
      <c r="O270" s="3719"/>
      <c r="P270" s="490">
        <f t="shared" si="33"/>
        <v>0</v>
      </c>
      <c r="S270" s="32">
        <f>'2 REPAIR ESTIMATOR'!AD293</f>
        <v>0</v>
      </c>
      <c r="T270" s="32">
        <f>'2 REPAIR ESTIMATOR'!AM293</f>
        <v>0</v>
      </c>
      <c r="U270" s="32">
        <f t="shared" si="38"/>
        <v>0</v>
      </c>
      <c r="V270" s="32">
        <f>'2 REPAIR ESTIMATOR'!AG293</f>
        <v>0</v>
      </c>
      <c r="W270" s="32">
        <f>'2 REPAIR ESTIMATOR'!AJ293</f>
        <v>0</v>
      </c>
    </row>
    <row r="271" spans="3:23" ht="18" hidden="1">
      <c r="C271" s="3720" t="str">
        <f>T('2 REPAIR ESTIMATOR'!D294:O294)</f>
        <v/>
      </c>
      <c r="D271" s="3721"/>
      <c r="E271" s="3721"/>
      <c r="F271" s="3721"/>
      <c r="G271" s="3721"/>
      <c r="H271" s="3721"/>
      <c r="I271" s="916">
        <f>'2 REPAIR ESTIMATOR'!P294</f>
        <v>0</v>
      </c>
      <c r="J271" s="917">
        <f>'2 REPAIR ESTIMATOR'!S294</f>
        <v>0</v>
      </c>
      <c r="K271" s="918">
        <f t="shared" si="34"/>
        <v>0</v>
      </c>
      <c r="L271" s="918">
        <f t="shared" si="35"/>
        <v>0</v>
      </c>
      <c r="M271" s="918">
        <f t="shared" si="36"/>
        <v>0</v>
      </c>
      <c r="N271" s="3719">
        <f t="shared" si="37"/>
        <v>0</v>
      </c>
      <c r="O271" s="3719"/>
      <c r="P271" s="490">
        <f t="shared" si="33"/>
        <v>0</v>
      </c>
      <c r="S271" s="32">
        <f>'2 REPAIR ESTIMATOR'!AD294</f>
        <v>0</v>
      </c>
      <c r="T271" s="32">
        <f>'2 REPAIR ESTIMATOR'!AM294</f>
        <v>0</v>
      </c>
      <c r="U271" s="32">
        <f t="shared" si="38"/>
        <v>0</v>
      </c>
      <c r="V271" s="32">
        <f>'2 REPAIR ESTIMATOR'!AG294</f>
        <v>0</v>
      </c>
      <c r="W271" s="32">
        <f>'2 REPAIR ESTIMATOR'!AJ294</f>
        <v>0</v>
      </c>
    </row>
    <row r="272" spans="3:23" ht="18" hidden="1">
      <c r="C272" s="3720" t="str">
        <f>T('2 REPAIR ESTIMATOR'!D295:O295)</f>
        <v/>
      </c>
      <c r="D272" s="3721"/>
      <c r="E272" s="3721"/>
      <c r="F272" s="3721"/>
      <c r="G272" s="3721"/>
      <c r="H272" s="3721"/>
      <c r="I272" s="916">
        <f>'2 REPAIR ESTIMATOR'!P295</f>
        <v>0</v>
      </c>
      <c r="J272" s="917">
        <f>'2 REPAIR ESTIMATOR'!S295</f>
        <v>0</v>
      </c>
      <c r="K272" s="918">
        <f t="shared" si="34"/>
        <v>0</v>
      </c>
      <c r="L272" s="918">
        <f t="shared" si="35"/>
        <v>0</v>
      </c>
      <c r="M272" s="918">
        <f t="shared" si="36"/>
        <v>0</v>
      </c>
      <c r="N272" s="3719">
        <f t="shared" si="37"/>
        <v>0</v>
      </c>
      <c r="O272" s="3719"/>
      <c r="P272" s="490">
        <f t="shared" si="33"/>
        <v>0</v>
      </c>
      <c r="S272" s="32">
        <f>'2 REPAIR ESTIMATOR'!AD295</f>
        <v>0</v>
      </c>
      <c r="T272" s="32">
        <f>'2 REPAIR ESTIMATOR'!AM295</f>
        <v>0</v>
      </c>
      <c r="U272" s="32">
        <f t="shared" si="38"/>
        <v>0</v>
      </c>
      <c r="V272" s="32">
        <f>'2 REPAIR ESTIMATOR'!AG295</f>
        <v>0</v>
      </c>
      <c r="W272" s="32">
        <f>'2 REPAIR ESTIMATOR'!AJ295</f>
        <v>0</v>
      </c>
    </row>
    <row r="273" spans="3:23" ht="18" hidden="1">
      <c r="C273" s="3720" t="str">
        <f>T('2 REPAIR ESTIMATOR'!D296:O296)</f>
        <v/>
      </c>
      <c r="D273" s="3721"/>
      <c r="E273" s="3721"/>
      <c r="F273" s="3721"/>
      <c r="G273" s="3721"/>
      <c r="H273" s="3721"/>
      <c r="I273" s="916">
        <f>'2 REPAIR ESTIMATOR'!P296</f>
        <v>0</v>
      </c>
      <c r="J273" s="917">
        <f>'2 REPAIR ESTIMATOR'!S296</f>
        <v>0</v>
      </c>
      <c r="K273" s="918">
        <f t="shared" si="34"/>
        <v>0</v>
      </c>
      <c r="L273" s="918">
        <f t="shared" si="35"/>
        <v>0</v>
      </c>
      <c r="M273" s="918">
        <f t="shared" si="36"/>
        <v>0</v>
      </c>
      <c r="N273" s="3719">
        <f t="shared" si="37"/>
        <v>0</v>
      </c>
      <c r="O273" s="3719"/>
      <c r="P273" s="490">
        <f t="shared" si="33"/>
        <v>0</v>
      </c>
      <c r="S273" s="32">
        <f>'2 REPAIR ESTIMATOR'!AD296</f>
        <v>0</v>
      </c>
      <c r="T273" s="32">
        <f>'2 REPAIR ESTIMATOR'!AM296</f>
        <v>0</v>
      </c>
      <c r="U273" s="32">
        <f t="shared" si="38"/>
        <v>0</v>
      </c>
      <c r="V273" s="32">
        <f>'2 REPAIR ESTIMATOR'!AG296</f>
        <v>0</v>
      </c>
      <c r="W273" s="32">
        <f>'2 REPAIR ESTIMATOR'!AJ296</f>
        <v>0</v>
      </c>
    </row>
    <row r="274" spans="3:23" ht="18" hidden="1">
      <c r="C274" s="3720" t="str">
        <f>T('2 REPAIR ESTIMATOR'!D297:O297)</f>
        <v/>
      </c>
      <c r="D274" s="3721"/>
      <c r="E274" s="3721"/>
      <c r="F274" s="3721"/>
      <c r="G274" s="3721"/>
      <c r="H274" s="3721"/>
      <c r="I274" s="916">
        <f>'2 REPAIR ESTIMATOR'!P297</f>
        <v>0</v>
      </c>
      <c r="J274" s="917">
        <f>'2 REPAIR ESTIMATOR'!S297</f>
        <v>0</v>
      </c>
      <c r="K274" s="918">
        <f t="shared" si="34"/>
        <v>0</v>
      </c>
      <c r="L274" s="918">
        <f t="shared" si="35"/>
        <v>0</v>
      </c>
      <c r="M274" s="918">
        <f t="shared" si="36"/>
        <v>0</v>
      </c>
      <c r="N274" s="3719">
        <f t="shared" si="37"/>
        <v>0</v>
      </c>
      <c r="O274" s="3719"/>
      <c r="P274" s="490">
        <f t="shared" si="33"/>
        <v>0</v>
      </c>
      <c r="S274" s="32">
        <f>'2 REPAIR ESTIMATOR'!AD297</f>
        <v>0</v>
      </c>
      <c r="T274" s="32">
        <f>'2 REPAIR ESTIMATOR'!AM297</f>
        <v>0</v>
      </c>
      <c r="U274" s="32">
        <f t="shared" si="38"/>
        <v>0</v>
      </c>
      <c r="V274" s="32">
        <f>'2 REPAIR ESTIMATOR'!AG297</f>
        <v>0</v>
      </c>
      <c r="W274" s="32">
        <f>'2 REPAIR ESTIMATOR'!AJ297</f>
        <v>0</v>
      </c>
    </row>
    <row r="275" spans="3:23" ht="18" hidden="1">
      <c r="C275" s="3720" t="str">
        <f>T('2 REPAIR ESTIMATOR'!D298:O298)</f>
        <v/>
      </c>
      <c r="D275" s="3721"/>
      <c r="E275" s="3721"/>
      <c r="F275" s="3721"/>
      <c r="G275" s="3721"/>
      <c r="H275" s="3721"/>
      <c r="I275" s="916">
        <f>'2 REPAIR ESTIMATOR'!P298</f>
        <v>0</v>
      </c>
      <c r="J275" s="917">
        <f>'2 REPAIR ESTIMATOR'!S298</f>
        <v>0</v>
      </c>
      <c r="K275" s="918">
        <f t="shared" si="34"/>
        <v>0</v>
      </c>
      <c r="L275" s="918">
        <f t="shared" si="35"/>
        <v>0</v>
      </c>
      <c r="M275" s="918">
        <f t="shared" si="36"/>
        <v>0</v>
      </c>
      <c r="N275" s="3719">
        <f t="shared" si="37"/>
        <v>0</v>
      </c>
      <c r="O275" s="3719"/>
      <c r="P275" s="490">
        <f t="shared" si="33"/>
        <v>0</v>
      </c>
      <c r="S275" s="32">
        <f>'2 REPAIR ESTIMATOR'!AD298</f>
        <v>0</v>
      </c>
      <c r="T275" s="32">
        <f>'2 REPAIR ESTIMATOR'!AM298</f>
        <v>0</v>
      </c>
      <c r="U275" s="32">
        <f t="shared" si="38"/>
        <v>0</v>
      </c>
      <c r="V275" s="32">
        <f>'2 REPAIR ESTIMATOR'!AG298</f>
        <v>0</v>
      </c>
      <c r="W275" s="32">
        <f>'2 REPAIR ESTIMATOR'!AJ298</f>
        <v>0</v>
      </c>
    </row>
    <row r="276" spans="3:23" ht="18" hidden="1">
      <c r="C276" s="3720" t="str">
        <f>T('2 REPAIR ESTIMATOR'!D299:O299)</f>
        <v/>
      </c>
      <c r="D276" s="3721"/>
      <c r="E276" s="3721"/>
      <c r="F276" s="3721"/>
      <c r="G276" s="3721"/>
      <c r="H276" s="3721"/>
      <c r="I276" s="916">
        <f>'2 REPAIR ESTIMATOR'!P299</f>
        <v>0</v>
      </c>
      <c r="J276" s="917">
        <f>'2 REPAIR ESTIMATOR'!S299</f>
        <v>0</v>
      </c>
      <c r="K276" s="918">
        <f t="shared" si="34"/>
        <v>0</v>
      </c>
      <c r="L276" s="918">
        <f t="shared" si="35"/>
        <v>0</v>
      </c>
      <c r="M276" s="918">
        <f t="shared" si="36"/>
        <v>0</v>
      </c>
      <c r="N276" s="3719">
        <f t="shared" si="37"/>
        <v>0</v>
      </c>
      <c r="O276" s="3719"/>
      <c r="P276" s="490">
        <f t="shared" si="33"/>
        <v>0</v>
      </c>
      <c r="S276" s="32">
        <f>'2 REPAIR ESTIMATOR'!AD299</f>
        <v>0</v>
      </c>
      <c r="T276" s="32">
        <f>'2 REPAIR ESTIMATOR'!AM299</f>
        <v>0</v>
      </c>
      <c r="U276" s="32">
        <f t="shared" si="38"/>
        <v>0</v>
      </c>
      <c r="V276" s="32">
        <f>'2 REPAIR ESTIMATOR'!AG299</f>
        <v>0</v>
      </c>
      <c r="W276" s="32">
        <f>'2 REPAIR ESTIMATOR'!AJ299</f>
        <v>0</v>
      </c>
    </row>
    <row r="277" spans="3:23" ht="18" hidden="1">
      <c r="C277" s="3720" t="str">
        <f>T('2 REPAIR ESTIMATOR'!D300:O300)</f>
        <v/>
      </c>
      <c r="D277" s="3721"/>
      <c r="E277" s="3721"/>
      <c r="F277" s="3721"/>
      <c r="G277" s="3721"/>
      <c r="H277" s="3721"/>
      <c r="I277" s="916">
        <f>'2 REPAIR ESTIMATOR'!P300</f>
        <v>0</v>
      </c>
      <c r="J277" s="917">
        <f>'2 REPAIR ESTIMATOR'!S300</f>
        <v>0</v>
      </c>
      <c r="K277" s="918">
        <f t="shared" si="34"/>
        <v>0</v>
      </c>
      <c r="L277" s="918">
        <f t="shared" si="35"/>
        <v>0</v>
      </c>
      <c r="M277" s="918">
        <f t="shared" si="36"/>
        <v>0</v>
      </c>
      <c r="N277" s="3719">
        <f t="shared" si="37"/>
        <v>0</v>
      </c>
      <c r="O277" s="3719"/>
      <c r="P277" s="490">
        <f t="shared" ref="P277:P284" si="39">I277</f>
        <v>0</v>
      </c>
      <c r="S277" s="32">
        <f>'2 REPAIR ESTIMATOR'!AD300</f>
        <v>0</v>
      </c>
      <c r="T277" s="32">
        <f>'2 REPAIR ESTIMATOR'!AM300</f>
        <v>0</v>
      </c>
      <c r="U277" s="32">
        <f t="shared" si="38"/>
        <v>0</v>
      </c>
      <c r="V277" s="32">
        <f>'2 REPAIR ESTIMATOR'!AG300</f>
        <v>0</v>
      </c>
      <c r="W277" s="32">
        <f>'2 REPAIR ESTIMATOR'!AJ300</f>
        <v>0</v>
      </c>
    </row>
    <row r="278" spans="3:23" ht="18" hidden="1">
      <c r="C278" s="3720" t="str">
        <f>T('2 REPAIR ESTIMATOR'!D301:O301)</f>
        <v/>
      </c>
      <c r="D278" s="3721"/>
      <c r="E278" s="3721"/>
      <c r="F278" s="3721"/>
      <c r="G278" s="3721"/>
      <c r="H278" s="3721"/>
      <c r="I278" s="916">
        <f>'2 REPAIR ESTIMATOR'!P301</f>
        <v>0</v>
      </c>
      <c r="J278" s="917">
        <f>'2 REPAIR ESTIMATOR'!S301</f>
        <v>0</v>
      </c>
      <c r="K278" s="918">
        <f t="shared" si="34"/>
        <v>0</v>
      </c>
      <c r="L278" s="918">
        <f t="shared" si="35"/>
        <v>0</v>
      </c>
      <c r="M278" s="918">
        <f t="shared" si="36"/>
        <v>0</v>
      </c>
      <c r="N278" s="3719">
        <f t="shared" si="37"/>
        <v>0</v>
      </c>
      <c r="O278" s="3719"/>
      <c r="P278" s="490">
        <f t="shared" si="39"/>
        <v>0</v>
      </c>
      <c r="S278" s="32">
        <f>'2 REPAIR ESTIMATOR'!AD301</f>
        <v>0</v>
      </c>
      <c r="T278" s="32">
        <f>'2 REPAIR ESTIMATOR'!AM301</f>
        <v>0</v>
      </c>
      <c r="U278" s="32">
        <f t="shared" si="38"/>
        <v>0</v>
      </c>
      <c r="V278" s="32">
        <f>'2 REPAIR ESTIMATOR'!AG301</f>
        <v>0</v>
      </c>
      <c r="W278" s="32">
        <f>'2 REPAIR ESTIMATOR'!AJ301</f>
        <v>0</v>
      </c>
    </row>
    <row r="279" spans="3:23" ht="18" hidden="1">
      <c r="C279" s="3720" t="str">
        <f>T('2 REPAIR ESTIMATOR'!D302:O302)</f>
        <v/>
      </c>
      <c r="D279" s="3721"/>
      <c r="E279" s="3721"/>
      <c r="F279" s="3721"/>
      <c r="G279" s="3721"/>
      <c r="H279" s="3721"/>
      <c r="I279" s="916">
        <f>'2 REPAIR ESTIMATOR'!P302</f>
        <v>0</v>
      </c>
      <c r="J279" s="917">
        <f>'2 REPAIR ESTIMATOR'!S302</f>
        <v>0</v>
      </c>
      <c r="K279" s="918">
        <f t="shared" si="34"/>
        <v>0</v>
      </c>
      <c r="L279" s="918">
        <f t="shared" si="35"/>
        <v>0</v>
      </c>
      <c r="M279" s="918">
        <f t="shared" si="36"/>
        <v>0</v>
      </c>
      <c r="N279" s="3719">
        <f t="shared" si="37"/>
        <v>0</v>
      </c>
      <c r="O279" s="3719"/>
      <c r="P279" s="490">
        <f t="shared" si="39"/>
        <v>0</v>
      </c>
      <c r="S279" s="32">
        <f>'2 REPAIR ESTIMATOR'!AD302</f>
        <v>0</v>
      </c>
      <c r="T279" s="32">
        <f>'2 REPAIR ESTIMATOR'!AM302</f>
        <v>0</v>
      </c>
      <c r="U279" s="32">
        <f t="shared" si="38"/>
        <v>0</v>
      </c>
      <c r="V279" s="32">
        <f>'2 REPAIR ESTIMATOR'!AG302</f>
        <v>0</v>
      </c>
      <c r="W279" s="32">
        <f>'2 REPAIR ESTIMATOR'!AJ302</f>
        <v>0</v>
      </c>
    </row>
    <row r="280" spans="3:23" ht="18" hidden="1">
      <c r="C280" s="3720" t="str">
        <f>T('2 REPAIR ESTIMATOR'!D303:O303)</f>
        <v/>
      </c>
      <c r="D280" s="3721"/>
      <c r="E280" s="3721"/>
      <c r="F280" s="3721"/>
      <c r="G280" s="3721"/>
      <c r="H280" s="3721"/>
      <c r="I280" s="916">
        <f>'2 REPAIR ESTIMATOR'!P303</f>
        <v>0</v>
      </c>
      <c r="J280" s="917">
        <f>'2 REPAIR ESTIMATOR'!S303</f>
        <v>0</v>
      </c>
      <c r="K280" s="918">
        <f t="shared" si="34"/>
        <v>0</v>
      </c>
      <c r="L280" s="918">
        <f t="shared" si="35"/>
        <v>0</v>
      </c>
      <c r="M280" s="918">
        <f t="shared" si="36"/>
        <v>0</v>
      </c>
      <c r="N280" s="3719">
        <f t="shared" si="37"/>
        <v>0</v>
      </c>
      <c r="O280" s="3719"/>
      <c r="P280" s="490">
        <f t="shared" si="39"/>
        <v>0</v>
      </c>
      <c r="S280" s="32">
        <f>'2 REPAIR ESTIMATOR'!AD303</f>
        <v>0</v>
      </c>
      <c r="T280" s="32">
        <f>'2 REPAIR ESTIMATOR'!AM303</f>
        <v>0</v>
      </c>
      <c r="U280" s="32">
        <f t="shared" si="38"/>
        <v>0</v>
      </c>
      <c r="V280" s="32">
        <f>'2 REPAIR ESTIMATOR'!AG303</f>
        <v>0</v>
      </c>
      <c r="W280" s="32">
        <f>'2 REPAIR ESTIMATOR'!AJ303</f>
        <v>0</v>
      </c>
    </row>
    <row r="281" spans="3:23" ht="18" hidden="1">
      <c r="C281" s="3720" t="str">
        <f>T('2 REPAIR ESTIMATOR'!D304:O304)</f>
        <v/>
      </c>
      <c r="D281" s="3721"/>
      <c r="E281" s="3721"/>
      <c r="F281" s="3721"/>
      <c r="G281" s="3721"/>
      <c r="H281" s="3721"/>
      <c r="I281" s="916">
        <f>'2 REPAIR ESTIMATOR'!P304</f>
        <v>0</v>
      </c>
      <c r="J281" s="917">
        <f>'2 REPAIR ESTIMATOR'!S304</f>
        <v>0</v>
      </c>
      <c r="K281" s="918">
        <f t="shared" si="34"/>
        <v>0</v>
      </c>
      <c r="L281" s="918">
        <f t="shared" si="35"/>
        <v>0</v>
      </c>
      <c r="M281" s="918">
        <f t="shared" si="36"/>
        <v>0</v>
      </c>
      <c r="N281" s="3719">
        <f t="shared" si="37"/>
        <v>0</v>
      </c>
      <c r="O281" s="3719"/>
      <c r="P281" s="490">
        <f t="shared" si="39"/>
        <v>0</v>
      </c>
      <c r="S281" s="32">
        <f>'2 REPAIR ESTIMATOR'!AD304</f>
        <v>0</v>
      </c>
      <c r="T281" s="32">
        <f>'2 REPAIR ESTIMATOR'!AM304</f>
        <v>0</v>
      </c>
      <c r="U281" s="32">
        <f t="shared" si="38"/>
        <v>0</v>
      </c>
      <c r="V281" s="32">
        <f>'2 REPAIR ESTIMATOR'!AG304</f>
        <v>0</v>
      </c>
      <c r="W281" s="32">
        <f>'2 REPAIR ESTIMATOR'!AJ304</f>
        <v>0</v>
      </c>
    </row>
    <row r="282" spans="3:23" ht="18" hidden="1">
      <c r="C282" s="3720" t="str">
        <f>T('2 REPAIR ESTIMATOR'!D305:O305)</f>
        <v/>
      </c>
      <c r="D282" s="3721"/>
      <c r="E282" s="3721"/>
      <c r="F282" s="3721"/>
      <c r="G282" s="3721"/>
      <c r="H282" s="3721"/>
      <c r="I282" s="916">
        <f>'2 REPAIR ESTIMATOR'!P305</f>
        <v>0</v>
      </c>
      <c r="J282" s="917">
        <f>'2 REPAIR ESTIMATOR'!S305</f>
        <v>0</v>
      </c>
      <c r="K282" s="918">
        <f t="shared" si="34"/>
        <v>0</v>
      </c>
      <c r="L282" s="918">
        <f t="shared" si="35"/>
        <v>0</v>
      </c>
      <c r="M282" s="918">
        <f t="shared" si="36"/>
        <v>0</v>
      </c>
      <c r="N282" s="3719">
        <f t="shared" si="37"/>
        <v>0</v>
      </c>
      <c r="O282" s="3719"/>
      <c r="P282" s="490">
        <f t="shared" si="39"/>
        <v>0</v>
      </c>
      <c r="S282" s="32">
        <f>'2 REPAIR ESTIMATOR'!AD305</f>
        <v>0</v>
      </c>
      <c r="T282" s="32">
        <f>'2 REPAIR ESTIMATOR'!AM305</f>
        <v>0</v>
      </c>
      <c r="U282" s="32">
        <f t="shared" si="38"/>
        <v>0</v>
      </c>
      <c r="V282" s="32">
        <f>'2 REPAIR ESTIMATOR'!AG305</f>
        <v>0</v>
      </c>
      <c r="W282" s="32">
        <f>'2 REPAIR ESTIMATOR'!AJ305</f>
        <v>0</v>
      </c>
    </row>
    <row r="283" spans="3:23" ht="18" hidden="1">
      <c r="C283" s="3720" t="str">
        <f>T('2 REPAIR ESTIMATOR'!D306:O306)</f>
        <v/>
      </c>
      <c r="D283" s="3721"/>
      <c r="E283" s="3721"/>
      <c r="F283" s="3721"/>
      <c r="G283" s="3721"/>
      <c r="H283" s="3721"/>
      <c r="I283" s="916">
        <f>'2 REPAIR ESTIMATOR'!P306</f>
        <v>0</v>
      </c>
      <c r="J283" s="917">
        <f>'2 REPAIR ESTIMATOR'!S306</f>
        <v>0</v>
      </c>
      <c r="K283" s="918">
        <f t="shared" si="34"/>
        <v>0</v>
      </c>
      <c r="L283" s="918">
        <f t="shared" si="35"/>
        <v>0</v>
      </c>
      <c r="M283" s="918">
        <f t="shared" si="36"/>
        <v>0</v>
      </c>
      <c r="N283" s="3719">
        <f t="shared" si="37"/>
        <v>0</v>
      </c>
      <c r="O283" s="3719"/>
      <c r="P283" s="490">
        <f t="shared" si="39"/>
        <v>0</v>
      </c>
      <c r="S283" s="32">
        <f>'2 REPAIR ESTIMATOR'!AD306</f>
        <v>0</v>
      </c>
      <c r="T283" s="32">
        <f>'2 REPAIR ESTIMATOR'!AM306</f>
        <v>0</v>
      </c>
      <c r="U283" s="32">
        <f t="shared" si="38"/>
        <v>0</v>
      </c>
      <c r="V283" s="32">
        <f>'2 REPAIR ESTIMATOR'!AG306</f>
        <v>0</v>
      </c>
      <c r="W283" s="32">
        <f>'2 REPAIR ESTIMATOR'!AJ306</f>
        <v>0</v>
      </c>
    </row>
    <row r="284" spans="3:23" ht="18.350000000000001" hidden="1" thickBot="1">
      <c r="C284" s="3779" t="str">
        <f>T('2 REPAIR ESTIMATOR'!D307:O307)</f>
        <v/>
      </c>
      <c r="D284" s="3780"/>
      <c r="E284" s="3780"/>
      <c r="F284" s="3780"/>
      <c r="G284" s="3780"/>
      <c r="H284" s="3780"/>
      <c r="I284" s="919">
        <f>'2 REPAIR ESTIMATOR'!P307</f>
        <v>0</v>
      </c>
      <c r="J284" s="920">
        <f>'2 REPAIR ESTIMATOR'!S307</f>
        <v>0</v>
      </c>
      <c r="K284" s="921">
        <f t="shared" si="34"/>
        <v>0</v>
      </c>
      <c r="L284" s="921">
        <f t="shared" si="35"/>
        <v>0</v>
      </c>
      <c r="M284" s="921">
        <f t="shared" si="36"/>
        <v>0</v>
      </c>
      <c r="N284" s="3781">
        <f t="shared" si="37"/>
        <v>0</v>
      </c>
      <c r="O284" s="3781"/>
      <c r="P284" s="490">
        <f t="shared" si="39"/>
        <v>0</v>
      </c>
      <c r="S284" s="32">
        <f>'2 REPAIR ESTIMATOR'!AD307</f>
        <v>0</v>
      </c>
      <c r="T284" s="32">
        <f>'2 REPAIR ESTIMATOR'!AM307</f>
        <v>0</v>
      </c>
      <c r="U284" s="32">
        <f t="shared" si="38"/>
        <v>0</v>
      </c>
      <c r="V284" s="32">
        <f>'2 REPAIR ESTIMATOR'!AG307</f>
        <v>0</v>
      </c>
      <c r="W284" s="32">
        <f>'2 REPAIR ESTIMATOR'!AJ307</f>
        <v>0</v>
      </c>
    </row>
    <row r="285" spans="3:23" ht="18.350000000000001" hidden="1" thickBot="1">
      <c r="C285" s="3723" t="str">
        <f>T('2 REPAIR ESTIMATOR'!AC309)</f>
        <v>MASONRY TOTAL</v>
      </c>
      <c r="D285" s="3724"/>
      <c r="E285" s="3724"/>
      <c r="F285" s="3724"/>
      <c r="G285" s="3724"/>
      <c r="H285" s="3724"/>
      <c r="I285" s="3724"/>
      <c r="J285" s="3724"/>
      <c r="K285" s="922">
        <f>SUM(K245:K284)</f>
        <v>0</v>
      </c>
      <c r="L285" s="922">
        <f>SUM(L245:L284)</f>
        <v>0</v>
      </c>
      <c r="M285" s="922">
        <f>SUM(M245:M284)</f>
        <v>0</v>
      </c>
      <c r="N285" s="3789">
        <f>SUM(N245:O284)</f>
        <v>0</v>
      </c>
      <c r="O285" s="3789"/>
      <c r="P285" s="490">
        <f>SUM(P244:P259)</f>
        <v>0</v>
      </c>
      <c r="S285" s="33">
        <f>SUM(S245:S284)</f>
        <v>0</v>
      </c>
      <c r="T285" s="33">
        <f>SUM(T245:T284)</f>
        <v>0</v>
      </c>
      <c r="U285" s="33">
        <f>SUM(U245:U284)</f>
        <v>0</v>
      </c>
      <c r="V285" s="33">
        <f>SUM(V245:V284)</f>
        <v>0</v>
      </c>
      <c r="W285" s="33">
        <f>SUM(W245:W284)</f>
        <v>0</v>
      </c>
    </row>
    <row r="286" spans="3:23" ht="8.85" hidden="1" customHeight="1">
      <c r="C286" s="841"/>
      <c r="D286" s="841"/>
      <c r="E286" s="841"/>
      <c r="F286" s="841"/>
      <c r="G286" s="841"/>
      <c r="H286" s="841"/>
      <c r="I286" s="842"/>
      <c r="J286" s="842"/>
      <c r="K286" s="842"/>
      <c r="L286" s="842"/>
      <c r="M286" s="842"/>
      <c r="N286" s="843"/>
      <c r="O286" s="798"/>
      <c r="P286" s="490">
        <f>P285</f>
        <v>0</v>
      </c>
    </row>
    <row r="287" spans="3:23" ht="21" hidden="1" customHeight="1" thickBot="1">
      <c r="C287" s="3782" t="str">
        <f>T('2 REPAIR ESTIMATOR'!D312:O312)</f>
        <v>SIDING</v>
      </c>
      <c r="D287" s="3783"/>
      <c r="E287" s="3783"/>
      <c r="F287" s="3783"/>
      <c r="G287" s="3783"/>
      <c r="H287" s="3783"/>
      <c r="I287" s="799">
        <f>SUM(I288:I327)</f>
        <v>0</v>
      </c>
      <c r="J287" s="800"/>
      <c r="K287" s="850"/>
      <c r="L287" s="850"/>
      <c r="M287" s="850"/>
      <c r="N287" s="3722"/>
      <c r="O287" s="3722"/>
      <c r="P287" s="489">
        <f t="shared" ref="P287:P307" si="40">I287</f>
        <v>0</v>
      </c>
      <c r="S287" s="34"/>
      <c r="T287" s="34"/>
      <c r="U287" s="34"/>
      <c r="V287" s="34"/>
      <c r="W287" s="34"/>
    </row>
    <row r="288" spans="3:23" ht="18" hidden="1">
      <c r="C288" s="3720" t="str">
        <f>T('2 REPAIR ESTIMATOR'!D313:O313)</f>
        <v>Siding bid/allowance</v>
      </c>
      <c r="D288" s="3721"/>
      <c r="E288" s="3721"/>
      <c r="F288" s="3721"/>
      <c r="G288" s="3721"/>
      <c r="H288" s="3721"/>
      <c r="I288" s="916">
        <f>'2 REPAIR ESTIMATOR'!P313</f>
        <v>0</v>
      </c>
      <c r="J288" s="917" t="str">
        <f>'2 REPAIR ESTIMATOR'!S313</f>
        <v>ls</v>
      </c>
      <c r="K288" s="918">
        <f t="shared" ref="K288:K327" si="41">IF($N$3="subbed",U288,S288)*$S$70</f>
        <v>0</v>
      </c>
      <c r="L288" s="918">
        <f>V288*$S$70</f>
        <v>0</v>
      </c>
      <c r="M288" s="918">
        <f>W288*$S$70</f>
        <v>0</v>
      </c>
      <c r="N288" s="3719">
        <f>SUM(K288:M288)</f>
        <v>0</v>
      </c>
      <c r="O288" s="3719"/>
      <c r="P288" s="490">
        <f t="shared" si="40"/>
        <v>0</v>
      </c>
      <c r="S288" s="32">
        <f>'2 REPAIR ESTIMATOR'!AD313</f>
        <v>0</v>
      </c>
      <c r="T288" s="32">
        <f>'2 REPAIR ESTIMATOR'!AM313</f>
        <v>0</v>
      </c>
      <c r="U288" s="32">
        <f>T288+S288</f>
        <v>0</v>
      </c>
      <c r="V288" s="32">
        <f>'2 REPAIR ESTIMATOR'!AG313</f>
        <v>0</v>
      </c>
      <c r="W288" s="32">
        <f>'2 REPAIR ESTIMATOR'!AJ313</f>
        <v>0</v>
      </c>
    </row>
    <row r="289" spans="3:23" ht="18" hidden="1">
      <c r="C289" s="3720" t="str">
        <f>T('2 REPAIR ESTIMATOR'!D314:O314)</f>
        <v>Demo existing siding</v>
      </c>
      <c r="D289" s="3721"/>
      <c r="E289" s="3721"/>
      <c r="F289" s="3721"/>
      <c r="G289" s="3721"/>
      <c r="H289" s="3721"/>
      <c r="I289" s="916">
        <f>'2 REPAIR ESTIMATOR'!P314</f>
        <v>0</v>
      </c>
      <c r="J289" s="917" t="str">
        <f>'2 REPAIR ESTIMATOR'!S314</f>
        <v>sf</v>
      </c>
      <c r="K289" s="918">
        <f t="shared" si="41"/>
        <v>0</v>
      </c>
      <c r="L289" s="918">
        <f t="shared" ref="L289:L327" si="42">V289*$S$70</f>
        <v>0</v>
      </c>
      <c r="M289" s="918">
        <f t="shared" ref="M289:M327" si="43">W289*$S$70</f>
        <v>0</v>
      </c>
      <c r="N289" s="3719">
        <f t="shared" ref="N289:N327" si="44">SUM(K289:M289)</f>
        <v>0</v>
      </c>
      <c r="O289" s="3719"/>
      <c r="P289" s="490">
        <f t="shared" si="40"/>
        <v>0</v>
      </c>
      <c r="S289" s="32">
        <f>'2 REPAIR ESTIMATOR'!AD314</f>
        <v>0</v>
      </c>
      <c r="T289" s="32">
        <f>'2 REPAIR ESTIMATOR'!AM314</f>
        <v>0</v>
      </c>
      <c r="U289" s="32">
        <f t="shared" ref="U289:U327" si="45">T289+S289</f>
        <v>0</v>
      </c>
      <c r="V289" s="32">
        <f>'2 REPAIR ESTIMATOR'!AG314</f>
        <v>0</v>
      </c>
      <c r="W289" s="32">
        <f>'2 REPAIR ESTIMATOR'!AJ314</f>
        <v>0</v>
      </c>
    </row>
    <row r="290" spans="3:23" ht="18" hidden="1">
      <c r="C290" s="3720" t="str">
        <f>T('2 REPAIR ESTIMATOR'!D315:O315)</f>
        <v>Plywood panel, douglas fir</v>
      </c>
      <c r="D290" s="3721"/>
      <c r="E290" s="3721"/>
      <c r="F290" s="3721"/>
      <c r="G290" s="3721"/>
      <c r="H290" s="3721"/>
      <c r="I290" s="916">
        <f>'2 REPAIR ESTIMATOR'!P315</f>
        <v>0</v>
      </c>
      <c r="J290" s="917" t="str">
        <f>'2 REPAIR ESTIMATOR'!S315</f>
        <v>sf</v>
      </c>
      <c r="K290" s="918">
        <f t="shared" si="41"/>
        <v>0</v>
      </c>
      <c r="L290" s="918">
        <f t="shared" si="42"/>
        <v>0</v>
      </c>
      <c r="M290" s="918">
        <f t="shared" si="43"/>
        <v>0</v>
      </c>
      <c r="N290" s="3719">
        <f t="shared" si="44"/>
        <v>0</v>
      </c>
      <c r="O290" s="3719"/>
      <c r="P290" s="490">
        <f t="shared" si="40"/>
        <v>0</v>
      </c>
      <c r="S290" s="32">
        <f>'2 REPAIR ESTIMATOR'!AD315</f>
        <v>0</v>
      </c>
      <c r="T290" s="32">
        <f>'2 REPAIR ESTIMATOR'!AM315</f>
        <v>0</v>
      </c>
      <c r="U290" s="32">
        <f t="shared" si="45"/>
        <v>0</v>
      </c>
      <c r="V290" s="32">
        <f>'2 REPAIR ESTIMATOR'!AG315</f>
        <v>0</v>
      </c>
      <c r="W290" s="32">
        <f>'2 REPAIR ESTIMATOR'!AJ315</f>
        <v>0</v>
      </c>
    </row>
    <row r="291" spans="3:23" ht="18" hidden="1">
      <c r="C291" s="3720" t="str">
        <f>T('2 REPAIR ESTIMATOR'!D316:O316)</f>
        <v>Plywood panel, cedar</v>
      </c>
      <c r="D291" s="3721"/>
      <c r="E291" s="3721"/>
      <c r="F291" s="3721"/>
      <c r="G291" s="3721"/>
      <c r="H291" s="3721"/>
      <c r="I291" s="916">
        <f>'2 REPAIR ESTIMATOR'!P316</f>
        <v>0</v>
      </c>
      <c r="J291" s="917" t="str">
        <f>'2 REPAIR ESTIMATOR'!S316</f>
        <v>sf</v>
      </c>
      <c r="K291" s="918">
        <f t="shared" si="41"/>
        <v>0</v>
      </c>
      <c r="L291" s="918">
        <f t="shared" si="42"/>
        <v>0</v>
      </c>
      <c r="M291" s="918">
        <f t="shared" si="43"/>
        <v>0</v>
      </c>
      <c r="N291" s="3719">
        <f t="shared" si="44"/>
        <v>0</v>
      </c>
      <c r="O291" s="3719"/>
      <c r="P291" s="490">
        <f t="shared" si="40"/>
        <v>0</v>
      </c>
      <c r="S291" s="32">
        <f>'2 REPAIR ESTIMATOR'!AD316</f>
        <v>0</v>
      </c>
      <c r="T291" s="32">
        <f>'2 REPAIR ESTIMATOR'!AM316</f>
        <v>0</v>
      </c>
      <c r="U291" s="32">
        <f t="shared" si="45"/>
        <v>0</v>
      </c>
      <c r="V291" s="32">
        <f>'2 REPAIR ESTIMATOR'!AG316</f>
        <v>0</v>
      </c>
      <c r="W291" s="32">
        <f>'2 REPAIR ESTIMATOR'!AJ316</f>
        <v>0</v>
      </c>
    </row>
    <row r="292" spans="3:23" ht="18" hidden="1">
      <c r="C292" s="3720" t="str">
        <f>T('2 REPAIR ESTIMATOR'!D317:O317)</f>
        <v>Tongue and groove, douglas fir</v>
      </c>
      <c r="D292" s="3721"/>
      <c r="E292" s="3721"/>
      <c r="F292" s="3721"/>
      <c r="G292" s="3721"/>
      <c r="H292" s="3721"/>
      <c r="I292" s="916">
        <f>'2 REPAIR ESTIMATOR'!P317</f>
        <v>0</v>
      </c>
      <c r="J292" s="917" t="str">
        <f>'2 REPAIR ESTIMATOR'!S317</f>
        <v>sf</v>
      </c>
      <c r="K292" s="918">
        <f t="shared" si="41"/>
        <v>0</v>
      </c>
      <c r="L292" s="918">
        <f t="shared" si="42"/>
        <v>0</v>
      </c>
      <c r="M292" s="918">
        <f t="shared" si="43"/>
        <v>0</v>
      </c>
      <c r="N292" s="3719">
        <f t="shared" si="44"/>
        <v>0</v>
      </c>
      <c r="O292" s="3719"/>
      <c r="P292" s="490">
        <f t="shared" si="40"/>
        <v>0</v>
      </c>
      <c r="S292" s="32">
        <f>'2 REPAIR ESTIMATOR'!AD317</f>
        <v>0</v>
      </c>
      <c r="T292" s="32">
        <f>'2 REPAIR ESTIMATOR'!AM317</f>
        <v>0</v>
      </c>
      <c r="U292" s="32">
        <f t="shared" si="45"/>
        <v>0</v>
      </c>
      <c r="V292" s="32">
        <f>'2 REPAIR ESTIMATOR'!AG317</f>
        <v>0</v>
      </c>
      <c r="W292" s="32">
        <f>'2 REPAIR ESTIMATOR'!AJ317</f>
        <v>0</v>
      </c>
    </row>
    <row r="293" spans="3:23" ht="18" hidden="1">
      <c r="C293" s="3720" t="str">
        <f>T('2 REPAIR ESTIMATOR'!D318:O318)</f>
        <v>Tongue and groove, cedar</v>
      </c>
      <c r="D293" s="3721"/>
      <c r="E293" s="3721"/>
      <c r="F293" s="3721"/>
      <c r="G293" s="3721"/>
      <c r="H293" s="3721"/>
      <c r="I293" s="916">
        <f>'2 REPAIR ESTIMATOR'!P318</f>
        <v>0</v>
      </c>
      <c r="J293" s="917" t="str">
        <f>'2 REPAIR ESTIMATOR'!S318</f>
        <v>sf</v>
      </c>
      <c r="K293" s="918">
        <f t="shared" si="41"/>
        <v>0</v>
      </c>
      <c r="L293" s="918">
        <f t="shared" si="42"/>
        <v>0</v>
      </c>
      <c r="M293" s="918">
        <f t="shared" si="43"/>
        <v>0</v>
      </c>
      <c r="N293" s="3719">
        <f t="shared" si="44"/>
        <v>0</v>
      </c>
      <c r="O293" s="3719"/>
      <c r="P293" s="490">
        <f t="shared" si="40"/>
        <v>0</v>
      </c>
      <c r="S293" s="32">
        <f>'2 REPAIR ESTIMATOR'!AD318</f>
        <v>0</v>
      </c>
      <c r="T293" s="32">
        <f>'2 REPAIR ESTIMATOR'!AM318</f>
        <v>0</v>
      </c>
      <c r="U293" s="32">
        <f t="shared" si="45"/>
        <v>0</v>
      </c>
      <c r="V293" s="32">
        <f>'2 REPAIR ESTIMATOR'!AG318</f>
        <v>0</v>
      </c>
      <c r="W293" s="32">
        <f>'2 REPAIR ESTIMATOR'!AJ318</f>
        <v>0</v>
      </c>
    </row>
    <row r="294" spans="3:23" ht="18" hidden="1">
      <c r="C294" s="3720" t="str">
        <f>T('2 REPAIR ESTIMATOR'!D319:O319)</f>
        <v>Board and batten, douglas fir</v>
      </c>
      <c r="D294" s="3721"/>
      <c r="E294" s="3721"/>
      <c r="F294" s="3721"/>
      <c r="G294" s="3721"/>
      <c r="H294" s="3721"/>
      <c r="I294" s="916">
        <f>'2 REPAIR ESTIMATOR'!P319</f>
        <v>0</v>
      </c>
      <c r="J294" s="917" t="str">
        <f>'2 REPAIR ESTIMATOR'!S319</f>
        <v>sf</v>
      </c>
      <c r="K294" s="918">
        <f t="shared" si="41"/>
        <v>0</v>
      </c>
      <c r="L294" s="918">
        <f t="shared" si="42"/>
        <v>0</v>
      </c>
      <c r="M294" s="918">
        <f t="shared" si="43"/>
        <v>0</v>
      </c>
      <c r="N294" s="3719">
        <f t="shared" si="44"/>
        <v>0</v>
      </c>
      <c r="O294" s="3719"/>
      <c r="P294" s="490">
        <f t="shared" si="40"/>
        <v>0</v>
      </c>
      <c r="S294" s="32">
        <f>'2 REPAIR ESTIMATOR'!AD319</f>
        <v>0</v>
      </c>
      <c r="T294" s="32">
        <f>'2 REPAIR ESTIMATOR'!AM319</f>
        <v>0</v>
      </c>
      <c r="U294" s="32">
        <f t="shared" si="45"/>
        <v>0</v>
      </c>
      <c r="V294" s="32">
        <f>'2 REPAIR ESTIMATOR'!AG319</f>
        <v>0</v>
      </c>
      <c r="W294" s="32">
        <f>'2 REPAIR ESTIMATOR'!AJ319</f>
        <v>0</v>
      </c>
    </row>
    <row r="295" spans="3:23" ht="18" hidden="1">
      <c r="C295" s="3720" t="str">
        <f>T('2 REPAIR ESTIMATOR'!D320:O320)</f>
        <v>Board and batten, cedar</v>
      </c>
      <c r="D295" s="3721"/>
      <c r="E295" s="3721"/>
      <c r="F295" s="3721"/>
      <c r="G295" s="3721"/>
      <c r="H295" s="3721"/>
      <c r="I295" s="916">
        <f>'2 REPAIR ESTIMATOR'!P320</f>
        <v>0</v>
      </c>
      <c r="J295" s="917" t="str">
        <f>'2 REPAIR ESTIMATOR'!S320</f>
        <v>sf</v>
      </c>
      <c r="K295" s="918">
        <f t="shared" si="41"/>
        <v>0</v>
      </c>
      <c r="L295" s="918">
        <f t="shared" si="42"/>
        <v>0</v>
      </c>
      <c r="M295" s="918">
        <f t="shared" si="43"/>
        <v>0</v>
      </c>
      <c r="N295" s="3719">
        <f t="shared" si="44"/>
        <v>0</v>
      </c>
      <c r="O295" s="3719"/>
      <c r="P295" s="490">
        <f t="shared" si="40"/>
        <v>0</v>
      </c>
      <c r="S295" s="32">
        <f>'2 REPAIR ESTIMATOR'!AD320</f>
        <v>0</v>
      </c>
      <c r="T295" s="32">
        <f>'2 REPAIR ESTIMATOR'!AM320</f>
        <v>0</v>
      </c>
      <c r="U295" s="32">
        <f t="shared" si="45"/>
        <v>0</v>
      </c>
      <c r="V295" s="32">
        <f>'2 REPAIR ESTIMATOR'!AG320</f>
        <v>0</v>
      </c>
      <c r="W295" s="32">
        <f>'2 REPAIR ESTIMATOR'!AJ320</f>
        <v>0</v>
      </c>
    </row>
    <row r="296" spans="3:23" ht="18" hidden="1">
      <c r="C296" s="3720" t="str">
        <f>T('2 REPAIR ESTIMATOR'!D321:O321)</f>
        <v>Wood shingle/shake</v>
      </c>
      <c r="D296" s="3721"/>
      <c r="E296" s="3721"/>
      <c r="F296" s="3721"/>
      <c r="G296" s="3721"/>
      <c r="H296" s="3721"/>
      <c r="I296" s="916">
        <f>'2 REPAIR ESTIMATOR'!P321</f>
        <v>0</v>
      </c>
      <c r="J296" s="917" t="str">
        <f>'2 REPAIR ESTIMATOR'!S321</f>
        <v>sf</v>
      </c>
      <c r="K296" s="918">
        <f t="shared" si="41"/>
        <v>0</v>
      </c>
      <c r="L296" s="918">
        <f t="shared" si="42"/>
        <v>0</v>
      </c>
      <c r="M296" s="918">
        <f t="shared" si="43"/>
        <v>0</v>
      </c>
      <c r="N296" s="3719">
        <f t="shared" si="44"/>
        <v>0</v>
      </c>
      <c r="O296" s="3719"/>
      <c r="P296" s="490">
        <f t="shared" si="40"/>
        <v>0</v>
      </c>
      <c r="S296" s="32">
        <f>'2 REPAIR ESTIMATOR'!AD321</f>
        <v>0</v>
      </c>
      <c r="T296" s="32">
        <f>'2 REPAIR ESTIMATOR'!AM321</f>
        <v>0</v>
      </c>
      <c r="U296" s="32">
        <f t="shared" si="45"/>
        <v>0</v>
      </c>
      <c r="V296" s="32">
        <f>'2 REPAIR ESTIMATOR'!AG321</f>
        <v>0</v>
      </c>
      <c r="W296" s="32">
        <f>'2 REPAIR ESTIMATOR'!AJ321</f>
        <v>0</v>
      </c>
    </row>
    <row r="297" spans="3:23" ht="18" hidden="1">
      <c r="C297" s="3720" t="str">
        <f>T('2 REPAIR ESTIMATOR'!D322:O322)</f>
        <v>Fiber cement siding, 4x8 panels</v>
      </c>
      <c r="D297" s="3721"/>
      <c r="E297" s="3721"/>
      <c r="F297" s="3721"/>
      <c r="G297" s="3721"/>
      <c r="H297" s="3721"/>
      <c r="I297" s="916">
        <f>'2 REPAIR ESTIMATOR'!P322</f>
        <v>0</v>
      </c>
      <c r="J297" s="917" t="str">
        <f>'2 REPAIR ESTIMATOR'!S322</f>
        <v>sf</v>
      </c>
      <c r="K297" s="918">
        <f t="shared" si="41"/>
        <v>0</v>
      </c>
      <c r="L297" s="918">
        <f t="shared" si="42"/>
        <v>0</v>
      </c>
      <c r="M297" s="918">
        <f t="shared" si="43"/>
        <v>0</v>
      </c>
      <c r="N297" s="3719">
        <f t="shared" si="44"/>
        <v>0</v>
      </c>
      <c r="O297" s="3719"/>
      <c r="P297" s="490">
        <f t="shared" si="40"/>
        <v>0</v>
      </c>
      <c r="S297" s="32">
        <f>'2 REPAIR ESTIMATOR'!AD322</f>
        <v>0</v>
      </c>
      <c r="T297" s="32">
        <f>'2 REPAIR ESTIMATOR'!AM322</f>
        <v>0</v>
      </c>
      <c r="U297" s="32">
        <f t="shared" si="45"/>
        <v>0</v>
      </c>
      <c r="V297" s="32">
        <f>'2 REPAIR ESTIMATOR'!AG322</f>
        <v>0</v>
      </c>
      <c r="W297" s="32">
        <f>'2 REPAIR ESTIMATOR'!AJ322</f>
        <v>0</v>
      </c>
    </row>
    <row r="298" spans="3:23" ht="18" hidden="1">
      <c r="C298" s="3720" t="str">
        <f>T('2 REPAIR ESTIMATOR'!D323:O323)</f>
        <v>Fiber cement siding, lap</v>
      </c>
      <c r="D298" s="3721"/>
      <c r="E298" s="3721"/>
      <c r="F298" s="3721"/>
      <c r="G298" s="3721"/>
      <c r="H298" s="3721"/>
      <c r="I298" s="916">
        <f>'2 REPAIR ESTIMATOR'!P323</f>
        <v>0</v>
      </c>
      <c r="J298" s="917" t="str">
        <f>'2 REPAIR ESTIMATOR'!S323</f>
        <v>sf</v>
      </c>
      <c r="K298" s="918">
        <f t="shared" si="41"/>
        <v>0</v>
      </c>
      <c r="L298" s="918">
        <f t="shared" si="42"/>
        <v>0</v>
      </c>
      <c r="M298" s="918">
        <f t="shared" si="43"/>
        <v>0</v>
      </c>
      <c r="N298" s="3719">
        <f t="shared" si="44"/>
        <v>0</v>
      </c>
      <c r="O298" s="3719"/>
      <c r="P298" s="490">
        <f t="shared" si="40"/>
        <v>0</v>
      </c>
      <c r="S298" s="32">
        <f>'2 REPAIR ESTIMATOR'!AD323</f>
        <v>0</v>
      </c>
      <c r="T298" s="32">
        <f>'2 REPAIR ESTIMATOR'!AM323</f>
        <v>0</v>
      </c>
      <c r="U298" s="32">
        <f t="shared" si="45"/>
        <v>0</v>
      </c>
      <c r="V298" s="32">
        <f>'2 REPAIR ESTIMATOR'!AG323</f>
        <v>0</v>
      </c>
      <c r="W298" s="32">
        <f>'2 REPAIR ESTIMATOR'!AJ323</f>
        <v>0</v>
      </c>
    </row>
    <row r="299" spans="3:23" ht="18" hidden="1">
      <c r="C299" s="3720" t="str">
        <f>T('2 REPAIR ESTIMATOR'!D324:O324)</f>
        <v>Vinyl siding, non-insulated</v>
      </c>
      <c r="D299" s="3721"/>
      <c r="E299" s="3721"/>
      <c r="F299" s="3721"/>
      <c r="G299" s="3721"/>
      <c r="H299" s="3721"/>
      <c r="I299" s="916">
        <f>'2 REPAIR ESTIMATOR'!P324</f>
        <v>0</v>
      </c>
      <c r="J299" s="917" t="str">
        <f>'2 REPAIR ESTIMATOR'!S324</f>
        <v>sf</v>
      </c>
      <c r="K299" s="918">
        <f t="shared" si="41"/>
        <v>0</v>
      </c>
      <c r="L299" s="918">
        <f t="shared" si="42"/>
        <v>0</v>
      </c>
      <c r="M299" s="918">
        <f t="shared" si="43"/>
        <v>0</v>
      </c>
      <c r="N299" s="3719">
        <f t="shared" si="44"/>
        <v>0</v>
      </c>
      <c r="O299" s="3719"/>
      <c r="P299" s="490">
        <f t="shared" si="40"/>
        <v>0</v>
      </c>
      <c r="S299" s="32">
        <f>'2 REPAIR ESTIMATOR'!AD324</f>
        <v>0</v>
      </c>
      <c r="T299" s="32">
        <f>'2 REPAIR ESTIMATOR'!AM324</f>
        <v>0</v>
      </c>
      <c r="U299" s="32">
        <f t="shared" si="45"/>
        <v>0</v>
      </c>
      <c r="V299" s="32">
        <f>'2 REPAIR ESTIMATOR'!AG324</f>
        <v>0</v>
      </c>
      <c r="W299" s="32">
        <f>'2 REPAIR ESTIMATOR'!AJ324</f>
        <v>0</v>
      </c>
    </row>
    <row r="300" spans="3:23" ht="18" hidden="1">
      <c r="C300" s="3720" t="str">
        <f>T('2 REPAIR ESTIMATOR'!D325:O325)</f>
        <v>Vinyl siding, insulated</v>
      </c>
      <c r="D300" s="3721"/>
      <c r="E300" s="3721"/>
      <c r="F300" s="3721"/>
      <c r="G300" s="3721"/>
      <c r="H300" s="3721"/>
      <c r="I300" s="916">
        <f>'2 REPAIR ESTIMATOR'!P325</f>
        <v>0</v>
      </c>
      <c r="J300" s="917" t="str">
        <f>'2 REPAIR ESTIMATOR'!S325</f>
        <v>sf</v>
      </c>
      <c r="K300" s="918">
        <f t="shared" si="41"/>
        <v>0</v>
      </c>
      <c r="L300" s="918">
        <f t="shared" si="42"/>
        <v>0</v>
      </c>
      <c r="M300" s="918">
        <f t="shared" si="43"/>
        <v>0</v>
      </c>
      <c r="N300" s="3719">
        <f t="shared" si="44"/>
        <v>0</v>
      </c>
      <c r="O300" s="3719"/>
      <c r="P300" s="490">
        <f t="shared" si="40"/>
        <v>0</v>
      </c>
      <c r="S300" s="32">
        <f>'2 REPAIR ESTIMATOR'!AD325</f>
        <v>0</v>
      </c>
      <c r="T300" s="32">
        <f>'2 REPAIR ESTIMATOR'!AM325</f>
        <v>0</v>
      </c>
      <c r="U300" s="32">
        <f t="shared" si="45"/>
        <v>0</v>
      </c>
      <c r="V300" s="32">
        <f>'2 REPAIR ESTIMATOR'!AG325</f>
        <v>0</v>
      </c>
      <c r="W300" s="32">
        <f>'2 REPAIR ESTIMATOR'!AJ325</f>
        <v>0</v>
      </c>
    </row>
    <row r="301" spans="3:23" ht="18" hidden="1">
      <c r="C301" s="3720" t="str">
        <f>T('2 REPAIR ESTIMATOR'!D326:O326)</f>
        <v>Trim, 1"x3", pine</v>
      </c>
      <c r="D301" s="3721"/>
      <c r="E301" s="3721"/>
      <c r="F301" s="3721"/>
      <c r="G301" s="3721"/>
      <c r="H301" s="3721"/>
      <c r="I301" s="916">
        <f>'2 REPAIR ESTIMATOR'!P326</f>
        <v>0</v>
      </c>
      <c r="J301" s="917" t="str">
        <f>'2 REPAIR ESTIMATOR'!S326</f>
        <v>lf</v>
      </c>
      <c r="K301" s="918">
        <f t="shared" si="41"/>
        <v>0</v>
      </c>
      <c r="L301" s="918">
        <f t="shared" si="42"/>
        <v>0</v>
      </c>
      <c r="M301" s="918">
        <f t="shared" si="43"/>
        <v>0</v>
      </c>
      <c r="N301" s="3719">
        <f t="shared" si="44"/>
        <v>0</v>
      </c>
      <c r="O301" s="3719"/>
      <c r="P301" s="490">
        <f t="shared" si="40"/>
        <v>0</v>
      </c>
      <c r="S301" s="32">
        <f>'2 REPAIR ESTIMATOR'!AD326</f>
        <v>0</v>
      </c>
      <c r="T301" s="32">
        <f>'2 REPAIR ESTIMATOR'!AM326</f>
        <v>0</v>
      </c>
      <c r="U301" s="32">
        <f t="shared" si="45"/>
        <v>0</v>
      </c>
      <c r="V301" s="32">
        <f>'2 REPAIR ESTIMATOR'!AG326</f>
        <v>0</v>
      </c>
      <c r="W301" s="32">
        <f>'2 REPAIR ESTIMATOR'!AJ326</f>
        <v>0</v>
      </c>
    </row>
    <row r="302" spans="3:23" ht="18" hidden="1">
      <c r="C302" s="3720" t="str">
        <f>T('2 REPAIR ESTIMATOR'!D327:O327)</f>
        <v>Trim, 1"x4", pine</v>
      </c>
      <c r="D302" s="3721"/>
      <c r="E302" s="3721"/>
      <c r="F302" s="3721"/>
      <c r="G302" s="3721"/>
      <c r="H302" s="3721"/>
      <c r="I302" s="916">
        <f>'2 REPAIR ESTIMATOR'!P327</f>
        <v>0</v>
      </c>
      <c r="J302" s="917" t="str">
        <f>'2 REPAIR ESTIMATOR'!S327</f>
        <v>lf</v>
      </c>
      <c r="K302" s="918">
        <f t="shared" si="41"/>
        <v>0</v>
      </c>
      <c r="L302" s="918">
        <f t="shared" si="42"/>
        <v>0</v>
      </c>
      <c r="M302" s="918">
        <f t="shared" si="43"/>
        <v>0</v>
      </c>
      <c r="N302" s="3719">
        <f t="shared" si="44"/>
        <v>0</v>
      </c>
      <c r="O302" s="3719"/>
      <c r="P302" s="490">
        <f t="shared" si="40"/>
        <v>0</v>
      </c>
      <c r="S302" s="32">
        <f>'2 REPAIR ESTIMATOR'!AD327</f>
        <v>0</v>
      </c>
      <c r="T302" s="32">
        <f>'2 REPAIR ESTIMATOR'!AM327</f>
        <v>0</v>
      </c>
      <c r="U302" s="32">
        <f t="shared" si="45"/>
        <v>0</v>
      </c>
      <c r="V302" s="32">
        <f>'2 REPAIR ESTIMATOR'!AG327</f>
        <v>0</v>
      </c>
      <c r="W302" s="32">
        <f>'2 REPAIR ESTIMATOR'!AJ327</f>
        <v>0</v>
      </c>
    </row>
    <row r="303" spans="3:23" ht="18" hidden="1">
      <c r="C303" s="3720" t="str">
        <f>T('2 REPAIR ESTIMATOR'!D328:O328)</f>
        <v>Trim, 1"x6", pine</v>
      </c>
      <c r="D303" s="3721"/>
      <c r="E303" s="3721"/>
      <c r="F303" s="3721"/>
      <c r="G303" s="3721"/>
      <c r="H303" s="3721"/>
      <c r="I303" s="916">
        <f>'2 REPAIR ESTIMATOR'!P328</f>
        <v>0</v>
      </c>
      <c r="J303" s="917" t="str">
        <f>'2 REPAIR ESTIMATOR'!S328</f>
        <v>lf</v>
      </c>
      <c r="K303" s="918">
        <f t="shared" si="41"/>
        <v>0</v>
      </c>
      <c r="L303" s="918">
        <f t="shared" si="42"/>
        <v>0</v>
      </c>
      <c r="M303" s="918">
        <f t="shared" si="43"/>
        <v>0</v>
      </c>
      <c r="N303" s="3719">
        <f t="shared" si="44"/>
        <v>0</v>
      </c>
      <c r="O303" s="3719"/>
      <c r="P303" s="490">
        <f t="shared" si="40"/>
        <v>0</v>
      </c>
      <c r="S303" s="32">
        <f>'2 REPAIR ESTIMATOR'!AD328</f>
        <v>0</v>
      </c>
      <c r="T303" s="32">
        <f>'2 REPAIR ESTIMATOR'!AM328</f>
        <v>0</v>
      </c>
      <c r="U303" s="32">
        <f t="shared" si="45"/>
        <v>0</v>
      </c>
      <c r="V303" s="32">
        <f>'2 REPAIR ESTIMATOR'!AG328</f>
        <v>0</v>
      </c>
      <c r="W303" s="32">
        <f>'2 REPAIR ESTIMATOR'!AJ328</f>
        <v>0</v>
      </c>
    </row>
    <row r="304" spans="3:23" ht="18" hidden="1">
      <c r="C304" s="3720" t="str">
        <f>T('2 REPAIR ESTIMATOR'!D329:O329)</f>
        <v>Siding patch, window/door, siding, insulation</v>
      </c>
      <c r="D304" s="3721"/>
      <c r="E304" s="3721"/>
      <c r="F304" s="3721"/>
      <c r="G304" s="3721"/>
      <c r="H304" s="3721"/>
      <c r="I304" s="916">
        <f>'2 REPAIR ESTIMATOR'!P329</f>
        <v>0</v>
      </c>
      <c r="J304" s="917" t="str">
        <f>'2 REPAIR ESTIMATOR'!S329</f>
        <v>ea</v>
      </c>
      <c r="K304" s="918">
        <f t="shared" si="41"/>
        <v>0</v>
      </c>
      <c r="L304" s="918">
        <f t="shared" si="42"/>
        <v>0</v>
      </c>
      <c r="M304" s="918">
        <f t="shared" si="43"/>
        <v>0</v>
      </c>
      <c r="N304" s="3719">
        <f t="shared" si="44"/>
        <v>0</v>
      </c>
      <c r="O304" s="3719"/>
      <c r="P304" s="490">
        <f t="shared" si="40"/>
        <v>0</v>
      </c>
      <c r="S304" s="32">
        <f>'2 REPAIR ESTIMATOR'!AD329</f>
        <v>0</v>
      </c>
      <c r="T304" s="32">
        <f>'2 REPAIR ESTIMATOR'!AM329</f>
        <v>0</v>
      </c>
      <c r="U304" s="32">
        <f t="shared" si="45"/>
        <v>0</v>
      </c>
      <c r="V304" s="32">
        <f>'2 REPAIR ESTIMATOR'!AG329</f>
        <v>0</v>
      </c>
      <c r="W304" s="32">
        <f>'2 REPAIR ESTIMATOR'!AJ329</f>
        <v>0</v>
      </c>
    </row>
    <row r="305" spans="3:23" ht="18" hidden="1">
      <c r="C305" s="3720" t="str">
        <f>T('2 REPAIR ESTIMATOR'!D330:O330)</f>
        <v>Stucco</v>
      </c>
      <c r="D305" s="3721"/>
      <c r="E305" s="3721"/>
      <c r="F305" s="3721"/>
      <c r="G305" s="3721"/>
      <c r="H305" s="3721"/>
      <c r="I305" s="916">
        <f>'2 REPAIR ESTIMATOR'!P330</f>
        <v>0</v>
      </c>
      <c r="J305" s="917" t="str">
        <f>'2 REPAIR ESTIMATOR'!S330</f>
        <v>sf</v>
      </c>
      <c r="K305" s="918">
        <f t="shared" si="41"/>
        <v>0</v>
      </c>
      <c r="L305" s="918">
        <f t="shared" si="42"/>
        <v>0</v>
      </c>
      <c r="M305" s="918">
        <f t="shared" si="43"/>
        <v>0</v>
      </c>
      <c r="N305" s="3719">
        <f t="shared" si="44"/>
        <v>0</v>
      </c>
      <c r="O305" s="3719"/>
      <c r="P305" s="490">
        <f t="shared" si="40"/>
        <v>0</v>
      </c>
      <c r="S305" s="32">
        <f>'2 REPAIR ESTIMATOR'!AD330</f>
        <v>0</v>
      </c>
      <c r="T305" s="32">
        <f>'2 REPAIR ESTIMATOR'!AM330</f>
        <v>0</v>
      </c>
      <c r="U305" s="32">
        <f t="shared" si="45"/>
        <v>0</v>
      </c>
      <c r="V305" s="32">
        <f>'2 REPAIR ESTIMATOR'!AG330</f>
        <v>0</v>
      </c>
      <c r="W305" s="32">
        <f>'2 REPAIR ESTIMATOR'!AJ330</f>
        <v>0</v>
      </c>
    </row>
    <row r="306" spans="3:23" ht="18" hidden="1">
      <c r="C306" s="3720" t="str">
        <f>T('2 REPAIR ESTIMATOR'!D331:O331)</f>
        <v/>
      </c>
      <c r="D306" s="3721"/>
      <c r="E306" s="3721"/>
      <c r="F306" s="3721"/>
      <c r="G306" s="3721"/>
      <c r="H306" s="3721"/>
      <c r="I306" s="916">
        <f>'2 REPAIR ESTIMATOR'!P331</f>
        <v>0</v>
      </c>
      <c r="J306" s="917">
        <f>'2 REPAIR ESTIMATOR'!S331</f>
        <v>0</v>
      </c>
      <c r="K306" s="918">
        <f t="shared" si="41"/>
        <v>0</v>
      </c>
      <c r="L306" s="918">
        <f t="shared" si="42"/>
        <v>0</v>
      </c>
      <c r="M306" s="918">
        <f t="shared" si="43"/>
        <v>0</v>
      </c>
      <c r="N306" s="3719">
        <f t="shared" si="44"/>
        <v>0</v>
      </c>
      <c r="O306" s="3719"/>
      <c r="P306" s="490">
        <f t="shared" si="40"/>
        <v>0</v>
      </c>
      <c r="S306" s="32">
        <f>'2 REPAIR ESTIMATOR'!AD331</f>
        <v>0</v>
      </c>
      <c r="T306" s="32">
        <f>'2 REPAIR ESTIMATOR'!AM331</f>
        <v>0</v>
      </c>
      <c r="U306" s="32">
        <f t="shared" si="45"/>
        <v>0</v>
      </c>
      <c r="V306" s="32">
        <f>'2 REPAIR ESTIMATOR'!AG331</f>
        <v>0</v>
      </c>
      <c r="W306" s="32">
        <f>'2 REPAIR ESTIMATOR'!AJ331</f>
        <v>0</v>
      </c>
    </row>
    <row r="307" spans="3:23" ht="18" hidden="1">
      <c r="C307" s="3720" t="str">
        <f>T('2 REPAIR ESTIMATOR'!D332:O332)</f>
        <v/>
      </c>
      <c r="D307" s="3721"/>
      <c r="E307" s="3721"/>
      <c r="F307" s="3721"/>
      <c r="G307" s="3721"/>
      <c r="H307" s="3721"/>
      <c r="I307" s="916">
        <f>'2 REPAIR ESTIMATOR'!P332</f>
        <v>0</v>
      </c>
      <c r="J307" s="917">
        <f>'2 REPAIR ESTIMATOR'!S332</f>
        <v>0</v>
      </c>
      <c r="K307" s="918">
        <f t="shared" si="41"/>
        <v>0</v>
      </c>
      <c r="L307" s="918">
        <f t="shared" si="42"/>
        <v>0</v>
      </c>
      <c r="M307" s="918">
        <f t="shared" si="43"/>
        <v>0</v>
      </c>
      <c r="N307" s="3719">
        <f t="shared" si="44"/>
        <v>0</v>
      </c>
      <c r="O307" s="3719"/>
      <c r="P307" s="490">
        <f t="shared" si="40"/>
        <v>0</v>
      </c>
      <c r="S307" s="32">
        <f>'2 REPAIR ESTIMATOR'!AD332</f>
        <v>0</v>
      </c>
      <c r="T307" s="32">
        <f>'2 REPAIR ESTIMATOR'!AM332</f>
        <v>0</v>
      </c>
      <c r="U307" s="32">
        <f t="shared" si="45"/>
        <v>0</v>
      </c>
      <c r="V307" s="32">
        <f>'2 REPAIR ESTIMATOR'!AG332</f>
        <v>0</v>
      </c>
      <c r="W307" s="32">
        <f>'2 REPAIR ESTIMATOR'!AJ332</f>
        <v>0</v>
      </c>
    </row>
    <row r="308" spans="3:23" ht="18" hidden="1">
      <c r="C308" s="3720" t="str">
        <f>T('2 REPAIR ESTIMATOR'!D333:O333)</f>
        <v/>
      </c>
      <c r="D308" s="3721"/>
      <c r="E308" s="3721"/>
      <c r="F308" s="3721"/>
      <c r="G308" s="3721"/>
      <c r="H308" s="3721"/>
      <c r="I308" s="916">
        <f>'2 REPAIR ESTIMATOR'!P333</f>
        <v>0</v>
      </c>
      <c r="J308" s="917">
        <f>'2 REPAIR ESTIMATOR'!S333</f>
        <v>0</v>
      </c>
      <c r="K308" s="918">
        <f t="shared" si="41"/>
        <v>0</v>
      </c>
      <c r="L308" s="918">
        <f t="shared" si="42"/>
        <v>0</v>
      </c>
      <c r="M308" s="918">
        <f t="shared" si="43"/>
        <v>0</v>
      </c>
      <c r="N308" s="3719">
        <f t="shared" si="44"/>
        <v>0</v>
      </c>
      <c r="O308" s="3719"/>
      <c r="P308" s="490">
        <f t="shared" ref="P308:P327" si="46">I308</f>
        <v>0</v>
      </c>
      <c r="S308" s="32">
        <f>'2 REPAIR ESTIMATOR'!AD333</f>
        <v>0</v>
      </c>
      <c r="T308" s="32">
        <f>'2 REPAIR ESTIMATOR'!AM333</f>
        <v>0</v>
      </c>
      <c r="U308" s="32">
        <f t="shared" si="45"/>
        <v>0</v>
      </c>
      <c r="V308" s="32">
        <f>'2 REPAIR ESTIMATOR'!AG333</f>
        <v>0</v>
      </c>
      <c r="W308" s="32">
        <f>'2 REPAIR ESTIMATOR'!AJ333</f>
        <v>0</v>
      </c>
    </row>
    <row r="309" spans="3:23" ht="18" hidden="1">
      <c r="C309" s="3720" t="str">
        <f>T('2 REPAIR ESTIMATOR'!D334:O334)</f>
        <v/>
      </c>
      <c r="D309" s="3721"/>
      <c r="E309" s="3721"/>
      <c r="F309" s="3721"/>
      <c r="G309" s="3721"/>
      <c r="H309" s="3721"/>
      <c r="I309" s="916">
        <f>'2 REPAIR ESTIMATOR'!P334</f>
        <v>0</v>
      </c>
      <c r="J309" s="917">
        <f>'2 REPAIR ESTIMATOR'!S334</f>
        <v>0</v>
      </c>
      <c r="K309" s="918">
        <f t="shared" si="41"/>
        <v>0</v>
      </c>
      <c r="L309" s="918">
        <f t="shared" si="42"/>
        <v>0</v>
      </c>
      <c r="M309" s="918">
        <f t="shared" si="43"/>
        <v>0</v>
      </c>
      <c r="N309" s="3719">
        <f t="shared" si="44"/>
        <v>0</v>
      </c>
      <c r="O309" s="3719"/>
      <c r="P309" s="490">
        <f t="shared" si="46"/>
        <v>0</v>
      </c>
      <c r="S309" s="32">
        <f>'2 REPAIR ESTIMATOR'!AD334</f>
        <v>0</v>
      </c>
      <c r="T309" s="32">
        <f>'2 REPAIR ESTIMATOR'!AM334</f>
        <v>0</v>
      </c>
      <c r="U309" s="32">
        <f t="shared" si="45"/>
        <v>0</v>
      </c>
      <c r="V309" s="32">
        <f>'2 REPAIR ESTIMATOR'!AG334</f>
        <v>0</v>
      </c>
      <c r="W309" s="32">
        <f>'2 REPAIR ESTIMATOR'!AJ334</f>
        <v>0</v>
      </c>
    </row>
    <row r="310" spans="3:23" ht="18" hidden="1">
      <c r="C310" s="3720" t="str">
        <f>T('2 REPAIR ESTIMATOR'!D335:O335)</f>
        <v/>
      </c>
      <c r="D310" s="3721"/>
      <c r="E310" s="3721"/>
      <c r="F310" s="3721"/>
      <c r="G310" s="3721"/>
      <c r="H310" s="3721"/>
      <c r="I310" s="916">
        <f>'2 REPAIR ESTIMATOR'!P335</f>
        <v>0</v>
      </c>
      <c r="J310" s="917">
        <f>'2 REPAIR ESTIMATOR'!S335</f>
        <v>0</v>
      </c>
      <c r="K310" s="918">
        <f t="shared" si="41"/>
        <v>0</v>
      </c>
      <c r="L310" s="918">
        <f t="shared" si="42"/>
        <v>0</v>
      </c>
      <c r="M310" s="918">
        <f t="shared" si="43"/>
        <v>0</v>
      </c>
      <c r="N310" s="3719">
        <f t="shared" si="44"/>
        <v>0</v>
      </c>
      <c r="O310" s="3719"/>
      <c r="P310" s="490">
        <f t="shared" si="46"/>
        <v>0</v>
      </c>
      <c r="S310" s="32">
        <f>'2 REPAIR ESTIMATOR'!AD335</f>
        <v>0</v>
      </c>
      <c r="T310" s="32">
        <f>'2 REPAIR ESTIMATOR'!AM335</f>
        <v>0</v>
      </c>
      <c r="U310" s="32">
        <f t="shared" si="45"/>
        <v>0</v>
      </c>
      <c r="V310" s="32">
        <f>'2 REPAIR ESTIMATOR'!AG335</f>
        <v>0</v>
      </c>
      <c r="W310" s="32">
        <f>'2 REPAIR ESTIMATOR'!AJ335</f>
        <v>0</v>
      </c>
    </row>
    <row r="311" spans="3:23" ht="18" hidden="1">
      <c r="C311" s="3720" t="str">
        <f>T('2 REPAIR ESTIMATOR'!D336:O336)</f>
        <v/>
      </c>
      <c r="D311" s="3721"/>
      <c r="E311" s="3721"/>
      <c r="F311" s="3721"/>
      <c r="G311" s="3721"/>
      <c r="H311" s="3721"/>
      <c r="I311" s="916">
        <f>'2 REPAIR ESTIMATOR'!P336</f>
        <v>0</v>
      </c>
      <c r="J311" s="917">
        <f>'2 REPAIR ESTIMATOR'!S336</f>
        <v>0</v>
      </c>
      <c r="K311" s="918">
        <f t="shared" si="41"/>
        <v>0</v>
      </c>
      <c r="L311" s="918">
        <f t="shared" si="42"/>
        <v>0</v>
      </c>
      <c r="M311" s="918">
        <f t="shared" si="43"/>
        <v>0</v>
      </c>
      <c r="N311" s="3719">
        <f t="shared" si="44"/>
        <v>0</v>
      </c>
      <c r="O311" s="3719"/>
      <c r="P311" s="490">
        <f t="shared" si="46"/>
        <v>0</v>
      </c>
      <c r="S311" s="32">
        <f>'2 REPAIR ESTIMATOR'!AD336</f>
        <v>0</v>
      </c>
      <c r="T311" s="32">
        <f>'2 REPAIR ESTIMATOR'!AM336</f>
        <v>0</v>
      </c>
      <c r="U311" s="32">
        <f t="shared" si="45"/>
        <v>0</v>
      </c>
      <c r="V311" s="32">
        <f>'2 REPAIR ESTIMATOR'!AG336</f>
        <v>0</v>
      </c>
      <c r="W311" s="32">
        <f>'2 REPAIR ESTIMATOR'!AJ336</f>
        <v>0</v>
      </c>
    </row>
    <row r="312" spans="3:23" ht="18" hidden="1">
      <c r="C312" s="3720" t="str">
        <f>T('2 REPAIR ESTIMATOR'!D337:O337)</f>
        <v/>
      </c>
      <c r="D312" s="3721"/>
      <c r="E312" s="3721"/>
      <c r="F312" s="3721"/>
      <c r="G312" s="3721"/>
      <c r="H312" s="3721"/>
      <c r="I312" s="916">
        <f>'2 REPAIR ESTIMATOR'!P337</f>
        <v>0</v>
      </c>
      <c r="J312" s="917">
        <f>'2 REPAIR ESTIMATOR'!S337</f>
        <v>0</v>
      </c>
      <c r="K312" s="918">
        <f t="shared" si="41"/>
        <v>0</v>
      </c>
      <c r="L312" s="918">
        <f t="shared" si="42"/>
        <v>0</v>
      </c>
      <c r="M312" s="918">
        <f t="shared" si="43"/>
        <v>0</v>
      </c>
      <c r="N312" s="3719">
        <f t="shared" si="44"/>
        <v>0</v>
      </c>
      <c r="O312" s="3719"/>
      <c r="P312" s="490">
        <f t="shared" si="46"/>
        <v>0</v>
      </c>
      <c r="S312" s="32">
        <f>'2 REPAIR ESTIMATOR'!AD337</f>
        <v>0</v>
      </c>
      <c r="T312" s="32">
        <f>'2 REPAIR ESTIMATOR'!AM337</f>
        <v>0</v>
      </c>
      <c r="U312" s="32">
        <f t="shared" si="45"/>
        <v>0</v>
      </c>
      <c r="V312" s="32">
        <f>'2 REPAIR ESTIMATOR'!AG337</f>
        <v>0</v>
      </c>
      <c r="W312" s="32">
        <f>'2 REPAIR ESTIMATOR'!AJ337</f>
        <v>0</v>
      </c>
    </row>
    <row r="313" spans="3:23" ht="18" hidden="1">
      <c r="C313" s="3720" t="str">
        <f>T('2 REPAIR ESTIMATOR'!D338:O338)</f>
        <v/>
      </c>
      <c r="D313" s="3721"/>
      <c r="E313" s="3721"/>
      <c r="F313" s="3721"/>
      <c r="G313" s="3721"/>
      <c r="H313" s="3721"/>
      <c r="I313" s="916">
        <f>'2 REPAIR ESTIMATOR'!P338</f>
        <v>0</v>
      </c>
      <c r="J313" s="917">
        <f>'2 REPAIR ESTIMATOR'!S338</f>
        <v>0</v>
      </c>
      <c r="K313" s="918">
        <f t="shared" si="41"/>
        <v>0</v>
      </c>
      <c r="L313" s="918">
        <f t="shared" si="42"/>
        <v>0</v>
      </c>
      <c r="M313" s="918">
        <f t="shared" si="43"/>
        <v>0</v>
      </c>
      <c r="N313" s="3719">
        <f t="shared" si="44"/>
        <v>0</v>
      </c>
      <c r="O313" s="3719"/>
      <c r="P313" s="490">
        <f t="shared" si="46"/>
        <v>0</v>
      </c>
      <c r="S313" s="32">
        <f>'2 REPAIR ESTIMATOR'!AD338</f>
        <v>0</v>
      </c>
      <c r="T313" s="32">
        <f>'2 REPAIR ESTIMATOR'!AM338</f>
        <v>0</v>
      </c>
      <c r="U313" s="32">
        <f t="shared" si="45"/>
        <v>0</v>
      </c>
      <c r="V313" s="32">
        <f>'2 REPAIR ESTIMATOR'!AG338</f>
        <v>0</v>
      </c>
      <c r="W313" s="32">
        <f>'2 REPAIR ESTIMATOR'!AJ338</f>
        <v>0</v>
      </c>
    </row>
    <row r="314" spans="3:23" ht="18" hidden="1">
      <c r="C314" s="3720" t="str">
        <f>T('2 REPAIR ESTIMATOR'!D339:O339)</f>
        <v/>
      </c>
      <c r="D314" s="3721"/>
      <c r="E314" s="3721"/>
      <c r="F314" s="3721"/>
      <c r="G314" s="3721"/>
      <c r="H314" s="3721"/>
      <c r="I314" s="916">
        <f>'2 REPAIR ESTIMATOR'!P339</f>
        <v>0</v>
      </c>
      <c r="J314" s="917">
        <f>'2 REPAIR ESTIMATOR'!S339</f>
        <v>0</v>
      </c>
      <c r="K314" s="918">
        <f t="shared" si="41"/>
        <v>0</v>
      </c>
      <c r="L314" s="918">
        <f t="shared" si="42"/>
        <v>0</v>
      </c>
      <c r="M314" s="918">
        <f t="shared" si="43"/>
        <v>0</v>
      </c>
      <c r="N314" s="3719">
        <f t="shared" si="44"/>
        <v>0</v>
      </c>
      <c r="O314" s="3719"/>
      <c r="P314" s="490">
        <f t="shared" si="46"/>
        <v>0</v>
      </c>
      <c r="S314" s="32">
        <f>'2 REPAIR ESTIMATOR'!AD339</f>
        <v>0</v>
      </c>
      <c r="T314" s="32">
        <f>'2 REPAIR ESTIMATOR'!AM339</f>
        <v>0</v>
      </c>
      <c r="U314" s="32">
        <f t="shared" si="45"/>
        <v>0</v>
      </c>
      <c r="V314" s="32">
        <f>'2 REPAIR ESTIMATOR'!AG339</f>
        <v>0</v>
      </c>
      <c r="W314" s="32">
        <f>'2 REPAIR ESTIMATOR'!AJ339</f>
        <v>0</v>
      </c>
    </row>
    <row r="315" spans="3:23" ht="18" hidden="1">
      <c r="C315" s="3720" t="str">
        <f>T('2 REPAIR ESTIMATOR'!D340:O340)</f>
        <v/>
      </c>
      <c r="D315" s="3721"/>
      <c r="E315" s="3721"/>
      <c r="F315" s="3721"/>
      <c r="G315" s="3721"/>
      <c r="H315" s="3721"/>
      <c r="I315" s="916">
        <f>'2 REPAIR ESTIMATOR'!P340</f>
        <v>0</v>
      </c>
      <c r="J315" s="917">
        <f>'2 REPAIR ESTIMATOR'!S340</f>
        <v>0</v>
      </c>
      <c r="K315" s="918">
        <f t="shared" si="41"/>
        <v>0</v>
      </c>
      <c r="L315" s="918">
        <f t="shared" si="42"/>
        <v>0</v>
      </c>
      <c r="M315" s="918">
        <f t="shared" si="43"/>
        <v>0</v>
      </c>
      <c r="N315" s="3719">
        <f t="shared" si="44"/>
        <v>0</v>
      </c>
      <c r="O315" s="3719"/>
      <c r="P315" s="490">
        <f t="shared" si="46"/>
        <v>0</v>
      </c>
      <c r="S315" s="32">
        <f>'2 REPAIR ESTIMATOR'!AD340</f>
        <v>0</v>
      </c>
      <c r="T315" s="32">
        <f>'2 REPAIR ESTIMATOR'!AM340</f>
        <v>0</v>
      </c>
      <c r="U315" s="32">
        <f t="shared" si="45"/>
        <v>0</v>
      </c>
      <c r="V315" s="32">
        <f>'2 REPAIR ESTIMATOR'!AG340</f>
        <v>0</v>
      </c>
      <c r="W315" s="32">
        <f>'2 REPAIR ESTIMATOR'!AJ340</f>
        <v>0</v>
      </c>
    </row>
    <row r="316" spans="3:23" ht="18" hidden="1">
      <c r="C316" s="3720" t="str">
        <f>T('2 REPAIR ESTIMATOR'!D341:O341)</f>
        <v/>
      </c>
      <c r="D316" s="3721"/>
      <c r="E316" s="3721"/>
      <c r="F316" s="3721"/>
      <c r="G316" s="3721"/>
      <c r="H316" s="3721"/>
      <c r="I316" s="916">
        <f>'2 REPAIR ESTIMATOR'!P341</f>
        <v>0</v>
      </c>
      <c r="J316" s="917">
        <f>'2 REPAIR ESTIMATOR'!S341</f>
        <v>0</v>
      </c>
      <c r="K316" s="918">
        <f t="shared" si="41"/>
        <v>0</v>
      </c>
      <c r="L316" s="918">
        <f t="shared" si="42"/>
        <v>0</v>
      </c>
      <c r="M316" s="918">
        <f t="shared" si="43"/>
        <v>0</v>
      </c>
      <c r="N316" s="3719">
        <f t="shared" si="44"/>
        <v>0</v>
      </c>
      <c r="O316" s="3719"/>
      <c r="P316" s="490">
        <f t="shared" si="46"/>
        <v>0</v>
      </c>
      <c r="S316" s="32">
        <f>'2 REPAIR ESTIMATOR'!AD341</f>
        <v>0</v>
      </c>
      <c r="T316" s="32">
        <f>'2 REPAIR ESTIMATOR'!AM341</f>
        <v>0</v>
      </c>
      <c r="U316" s="32">
        <f t="shared" si="45"/>
        <v>0</v>
      </c>
      <c r="V316" s="32">
        <f>'2 REPAIR ESTIMATOR'!AG341</f>
        <v>0</v>
      </c>
      <c r="W316" s="32">
        <f>'2 REPAIR ESTIMATOR'!AJ341</f>
        <v>0</v>
      </c>
    </row>
    <row r="317" spans="3:23" ht="18" hidden="1">
      <c r="C317" s="3720" t="str">
        <f>T('2 REPAIR ESTIMATOR'!D342:O342)</f>
        <v/>
      </c>
      <c r="D317" s="3721"/>
      <c r="E317" s="3721"/>
      <c r="F317" s="3721"/>
      <c r="G317" s="3721"/>
      <c r="H317" s="3721"/>
      <c r="I317" s="916">
        <f>'2 REPAIR ESTIMATOR'!P342</f>
        <v>0</v>
      </c>
      <c r="J317" s="917">
        <f>'2 REPAIR ESTIMATOR'!S342</f>
        <v>0</v>
      </c>
      <c r="K317" s="918">
        <f t="shared" si="41"/>
        <v>0</v>
      </c>
      <c r="L317" s="918">
        <f t="shared" si="42"/>
        <v>0</v>
      </c>
      <c r="M317" s="918">
        <f t="shared" si="43"/>
        <v>0</v>
      </c>
      <c r="N317" s="3719">
        <f t="shared" si="44"/>
        <v>0</v>
      </c>
      <c r="O317" s="3719"/>
      <c r="P317" s="490">
        <f t="shared" si="46"/>
        <v>0</v>
      </c>
      <c r="S317" s="32">
        <f>'2 REPAIR ESTIMATOR'!AD342</f>
        <v>0</v>
      </c>
      <c r="T317" s="32">
        <f>'2 REPAIR ESTIMATOR'!AM342</f>
        <v>0</v>
      </c>
      <c r="U317" s="32">
        <f t="shared" si="45"/>
        <v>0</v>
      </c>
      <c r="V317" s="32">
        <f>'2 REPAIR ESTIMATOR'!AG342</f>
        <v>0</v>
      </c>
      <c r="W317" s="32">
        <f>'2 REPAIR ESTIMATOR'!AJ342</f>
        <v>0</v>
      </c>
    </row>
    <row r="318" spans="3:23" ht="18" hidden="1">
      <c r="C318" s="3720" t="str">
        <f>T('2 REPAIR ESTIMATOR'!D343:O343)</f>
        <v/>
      </c>
      <c r="D318" s="3721"/>
      <c r="E318" s="3721"/>
      <c r="F318" s="3721"/>
      <c r="G318" s="3721"/>
      <c r="H318" s="3721"/>
      <c r="I318" s="916">
        <f>'2 REPAIR ESTIMATOR'!P343</f>
        <v>0</v>
      </c>
      <c r="J318" s="917">
        <f>'2 REPAIR ESTIMATOR'!S343</f>
        <v>0</v>
      </c>
      <c r="K318" s="918">
        <f t="shared" si="41"/>
        <v>0</v>
      </c>
      <c r="L318" s="918">
        <f t="shared" si="42"/>
        <v>0</v>
      </c>
      <c r="M318" s="918">
        <f t="shared" si="43"/>
        <v>0</v>
      </c>
      <c r="N318" s="3719">
        <f t="shared" si="44"/>
        <v>0</v>
      </c>
      <c r="O318" s="3719"/>
      <c r="P318" s="490">
        <f t="shared" si="46"/>
        <v>0</v>
      </c>
      <c r="S318" s="32">
        <f>'2 REPAIR ESTIMATOR'!AD343</f>
        <v>0</v>
      </c>
      <c r="T318" s="32">
        <f>'2 REPAIR ESTIMATOR'!AM343</f>
        <v>0</v>
      </c>
      <c r="U318" s="32">
        <f t="shared" si="45"/>
        <v>0</v>
      </c>
      <c r="V318" s="32">
        <f>'2 REPAIR ESTIMATOR'!AG343</f>
        <v>0</v>
      </c>
      <c r="W318" s="32">
        <f>'2 REPAIR ESTIMATOR'!AJ343</f>
        <v>0</v>
      </c>
    </row>
    <row r="319" spans="3:23" ht="18" hidden="1">
      <c r="C319" s="3720" t="str">
        <f>T('2 REPAIR ESTIMATOR'!D344:O344)</f>
        <v/>
      </c>
      <c r="D319" s="3721"/>
      <c r="E319" s="3721"/>
      <c r="F319" s="3721"/>
      <c r="G319" s="3721"/>
      <c r="H319" s="3721"/>
      <c r="I319" s="916">
        <f>'2 REPAIR ESTIMATOR'!P344</f>
        <v>0</v>
      </c>
      <c r="J319" s="917">
        <f>'2 REPAIR ESTIMATOR'!S344</f>
        <v>0</v>
      </c>
      <c r="K319" s="918">
        <f t="shared" si="41"/>
        <v>0</v>
      </c>
      <c r="L319" s="918">
        <f t="shared" si="42"/>
        <v>0</v>
      </c>
      <c r="M319" s="918">
        <f t="shared" si="43"/>
        <v>0</v>
      </c>
      <c r="N319" s="3719">
        <f t="shared" si="44"/>
        <v>0</v>
      </c>
      <c r="O319" s="3719"/>
      <c r="P319" s="490">
        <f t="shared" si="46"/>
        <v>0</v>
      </c>
      <c r="S319" s="32">
        <f>'2 REPAIR ESTIMATOR'!AD344</f>
        <v>0</v>
      </c>
      <c r="T319" s="32">
        <f>'2 REPAIR ESTIMATOR'!AM344</f>
        <v>0</v>
      </c>
      <c r="U319" s="32">
        <f t="shared" si="45"/>
        <v>0</v>
      </c>
      <c r="V319" s="32">
        <f>'2 REPAIR ESTIMATOR'!AG344</f>
        <v>0</v>
      </c>
      <c r="W319" s="32">
        <f>'2 REPAIR ESTIMATOR'!AJ344</f>
        <v>0</v>
      </c>
    </row>
    <row r="320" spans="3:23" ht="18" hidden="1">
      <c r="C320" s="3720" t="str">
        <f>T('2 REPAIR ESTIMATOR'!D345:O345)</f>
        <v/>
      </c>
      <c r="D320" s="3721"/>
      <c r="E320" s="3721"/>
      <c r="F320" s="3721"/>
      <c r="G320" s="3721"/>
      <c r="H320" s="3721"/>
      <c r="I320" s="916">
        <f>'2 REPAIR ESTIMATOR'!P345</f>
        <v>0</v>
      </c>
      <c r="J320" s="917">
        <f>'2 REPAIR ESTIMATOR'!S345</f>
        <v>0</v>
      </c>
      <c r="K320" s="918">
        <f t="shared" si="41"/>
        <v>0</v>
      </c>
      <c r="L320" s="918">
        <f t="shared" si="42"/>
        <v>0</v>
      </c>
      <c r="M320" s="918">
        <f t="shared" si="43"/>
        <v>0</v>
      </c>
      <c r="N320" s="3719">
        <f t="shared" si="44"/>
        <v>0</v>
      </c>
      <c r="O320" s="3719"/>
      <c r="P320" s="490">
        <f t="shared" si="46"/>
        <v>0</v>
      </c>
      <c r="S320" s="32">
        <f>'2 REPAIR ESTIMATOR'!AD345</f>
        <v>0</v>
      </c>
      <c r="T320" s="32">
        <f>'2 REPAIR ESTIMATOR'!AM345</f>
        <v>0</v>
      </c>
      <c r="U320" s="32">
        <f t="shared" si="45"/>
        <v>0</v>
      </c>
      <c r="V320" s="32">
        <f>'2 REPAIR ESTIMATOR'!AG345</f>
        <v>0</v>
      </c>
      <c r="W320" s="32">
        <f>'2 REPAIR ESTIMATOR'!AJ345</f>
        <v>0</v>
      </c>
    </row>
    <row r="321" spans="3:23" ht="18" hidden="1">
      <c r="C321" s="3720" t="str">
        <f>T('2 REPAIR ESTIMATOR'!D346:O346)</f>
        <v/>
      </c>
      <c r="D321" s="3721"/>
      <c r="E321" s="3721"/>
      <c r="F321" s="3721"/>
      <c r="G321" s="3721"/>
      <c r="H321" s="3721"/>
      <c r="I321" s="916">
        <f>'2 REPAIR ESTIMATOR'!P346</f>
        <v>0</v>
      </c>
      <c r="J321" s="917">
        <f>'2 REPAIR ESTIMATOR'!S346</f>
        <v>0</v>
      </c>
      <c r="K321" s="918">
        <f t="shared" si="41"/>
        <v>0</v>
      </c>
      <c r="L321" s="918">
        <f t="shared" si="42"/>
        <v>0</v>
      </c>
      <c r="M321" s="918">
        <f t="shared" si="43"/>
        <v>0</v>
      </c>
      <c r="N321" s="3719">
        <f t="shared" si="44"/>
        <v>0</v>
      </c>
      <c r="O321" s="3719"/>
      <c r="P321" s="490">
        <f t="shared" si="46"/>
        <v>0</v>
      </c>
      <c r="S321" s="32">
        <f>'2 REPAIR ESTIMATOR'!AD346</f>
        <v>0</v>
      </c>
      <c r="T321" s="32">
        <f>'2 REPAIR ESTIMATOR'!AM346</f>
        <v>0</v>
      </c>
      <c r="U321" s="32">
        <f t="shared" si="45"/>
        <v>0</v>
      </c>
      <c r="V321" s="32">
        <f>'2 REPAIR ESTIMATOR'!AG346</f>
        <v>0</v>
      </c>
      <c r="W321" s="32">
        <f>'2 REPAIR ESTIMATOR'!AJ346</f>
        <v>0</v>
      </c>
    </row>
    <row r="322" spans="3:23" ht="18" hidden="1">
      <c r="C322" s="3720" t="str">
        <f>T('2 REPAIR ESTIMATOR'!D347:O347)</f>
        <v/>
      </c>
      <c r="D322" s="3721"/>
      <c r="E322" s="3721"/>
      <c r="F322" s="3721"/>
      <c r="G322" s="3721"/>
      <c r="H322" s="3721"/>
      <c r="I322" s="916">
        <f>'2 REPAIR ESTIMATOR'!P347</f>
        <v>0</v>
      </c>
      <c r="J322" s="917">
        <f>'2 REPAIR ESTIMATOR'!S347</f>
        <v>0</v>
      </c>
      <c r="K322" s="918">
        <f t="shared" si="41"/>
        <v>0</v>
      </c>
      <c r="L322" s="918">
        <f t="shared" si="42"/>
        <v>0</v>
      </c>
      <c r="M322" s="918">
        <f t="shared" si="43"/>
        <v>0</v>
      </c>
      <c r="N322" s="3719">
        <f t="shared" si="44"/>
        <v>0</v>
      </c>
      <c r="O322" s="3719"/>
      <c r="P322" s="490">
        <f t="shared" si="46"/>
        <v>0</v>
      </c>
      <c r="S322" s="32">
        <f>'2 REPAIR ESTIMATOR'!AD347</f>
        <v>0</v>
      </c>
      <c r="T322" s="32">
        <f>'2 REPAIR ESTIMATOR'!AM347</f>
        <v>0</v>
      </c>
      <c r="U322" s="32">
        <f t="shared" si="45"/>
        <v>0</v>
      </c>
      <c r="V322" s="32">
        <f>'2 REPAIR ESTIMATOR'!AG347</f>
        <v>0</v>
      </c>
      <c r="W322" s="32">
        <f>'2 REPAIR ESTIMATOR'!AJ347</f>
        <v>0</v>
      </c>
    </row>
    <row r="323" spans="3:23" ht="18" hidden="1">
      <c r="C323" s="3720" t="str">
        <f>T('2 REPAIR ESTIMATOR'!D348:O348)</f>
        <v/>
      </c>
      <c r="D323" s="3721"/>
      <c r="E323" s="3721"/>
      <c r="F323" s="3721"/>
      <c r="G323" s="3721"/>
      <c r="H323" s="3721"/>
      <c r="I323" s="916">
        <f>'2 REPAIR ESTIMATOR'!P348</f>
        <v>0</v>
      </c>
      <c r="J323" s="917">
        <f>'2 REPAIR ESTIMATOR'!S348</f>
        <v>0</v>
      </c>
      <c r="K323" s="918">
        <f t="shared" si="41"/>
        <v>0</v>
      </c>
      <c r="L323" s="918">
        <f t="shared" si="42"/>
        <v>0</v>
      </c>
      <c r="M323" s="918">
        <f t="shared" si="43"/>
        <v>0</v>
      </c>
      <c r="N323" s="3719">
        <f t="shared" si="44"/>
        <v>0</v>
      </c>
      <c r="O323" s="3719"/>
      <c r="P323" s="490">
        <f t="shared" si="46"/>
        <v>0</v>
      </c>
      <c r="S323" s="32">
        <f>'2 REPAIR ESTIMATOR'!AD348</f>
        <v>0</v>
      </c>
      <c r="T323" s="32">
        <f>'2 REPAIR ESTIMATOR'!AM348</f>
        <v>0</v>
      </c>
      <c r="U323" s="32">
        <f t="shared" si="45"/>
        <v>0</v>
      </c>
      <c r="V323" s="32">
        <f>'2 REPAIR ESTIMATOR'!AG348</f>
        <v>0</v>
      </c>
      <c r="W323" s="32">
        <f>'2 REPAIR ESTIMATOR'!AJ348</f>
        <v>0</v>
      </c>
    </row>
    <row r="324" spans="3:23" ht="18" hidden="1">
      <c r="C324" s="3720" t="str">
        <f>T('2 REPAIR ESTIMATOR'!D349:O349)</f>
        <v/>
      </c>
      <c r="D324" s="3721"/>
      <c r="E324" s="3721"/>
      <c r="F324" s="3721"/>
      <c r="G324" s="3721"/>
      <c r="H324" s="3721"/>
      <c r="I324" s="916">
        <f>'2 REPAIR ESTIMATOR'!P349</f>
        <v>0</v>
      </c>
      <c r="J324" s="917">
        <f>'2 REPAIR ESTIMATOR'!S349</f>
        <v>0</v>
      </c>
      <c r="K324" s="918">
        <f t="shared" si="41"/>
        <v>0</v>
      </c>
      <c r="L324" s="918">
        <f t="shared" si="42"/>
        <v>0</v>
      </c>
      <c r="M324" s="918">
        <f t="shared" si="43"/>
        <v>0</v>
      </c>
      <c r="N324" s="3719">
        <f t="shared" si="44"/>
        <v>0</v>
      </c>
      <c r="O324" s="3719"/>
      <c r="P324" s="490">
        <f t="shared" si="46"/>
        <v>0</v>
      </c>
      <c r="S324" s="32">
        <f>'2 REPAIR ESTIMATOR'!AD349</f>
        <v>0</v>
      </c>
      <c r="T324" s="32">
        <f>'2 REPAIR ESTIMATOR'!AM349</f>
        <v>0</v>
      </c>
      <c r="U324" s="32">
        <f t="shared" si="45"/>
        <v>0</v>
      </c>
      <c r="V324" s="32">
        <f>'2 REPAIR ESTIMATOR'!AG349</f>
        <v>0</v>
      </c>
      <c r="W324" s="32">
        <f>'2 REPAIR ESTIMATOR'!AJ349</f>
        <v>0</v>
      </c>
    </row>
    <row r="325" spans="3:23" ht="18" hidden="1">
      <c r="C325" s="3720" t="str">
        <f>T('2 REPAIR ESTIMATOR'!D350:O350)</f>
        <v/>
      </c>
      <c r="D325" s="3721"/>
      <c r="E325" s="3721"/>
      <c r="F325" s="3721"/>
      <c r="G325" s="3721"/>
      <c r="H325" s="3721"/>
      <c r="I325" s="916">
        <f>'2 REPAIR ESTIMATOR'!P350</f>
        <v>0</v>
      </c>
      <c r="J325" s="917">
        <f>'2 REPAIR ESTIMATOR'!S350</f>
        <v>0</v>
      </c>
      <c r="K325" s="918">
        <f t="shared" si="41"/>
        <v>0</v>
      </c>
      <c r="L325" s="918">
        <f t="shared" si="42"/>
        <v>0</v>
      </c>
      <c r="M325" s="918">
        <f t="shared" si="43"/>
        <v>0</v>
      </c>
      <c r="N325" s="3719">
        <f t="shared" si="44"/>
        <v>0</v>
      </c>
      <c r="O325" s="3719"/>
      <c r="P325" s="490">
        <f t="shared" si="46"/>
        <v>0</v>
      </c>
      <c r="S325" s="32">
        <f>'2 REPAIR ESTIMATOR'!AD350</f>
        <v>0</v>
      </c>
      <c r="T325" s="32">
        <f>'2 REPAIR ESTIMATOR'!AM350</f>
        <v>0</v>
      </c>
      <c r="U325" s="32">
        <f t="shared" si="45"/>
        <v>0</v>
      </c>
      <c r="V325" s="32">
        <f>'2 REPAIR ESTIMATOR'!AG350</f>
        <v>0</v>
      </c>
      <c r="W325" s="32">
        <f>'2 REPAIR ESTIMATOR'!AJ350</f>
        <v>0</v>
      </c>
    </row>
    <row r="326" spans="3:23" ht="18" hidden="1">
      <c r="C326" s="3720" t="str">
        <f>T('2 REPAIR ESTIMATOR'!D351:O351)</f>
        <v/>
      </c>
      <c r="D326" s="3721"/>
      <c r="E326" s="3721"/>
      <c r="F326" s="3721"/>
      <c r="G326" s="3721"/>
      <c r="H326" s="3721"/>
      <c r="I326" s="916">
        <f>'2 REPAIR ESTIMATOR'!P351</f>
        <v>0</v>
      </c>
      <c r="J326" s="917">
        <f>'2 REPAIR ESTIMATOR'!S351</f>
        <v>0</v>
      </c>
      <c r="K326" s="918">
        <f t="shared" si="41"/>
        <v>0</v>
      </c>
      <c r="L326" s="918">
        <f t="shared" si="42"/>
        <v>0</v>
      </c>
      <c r="M326" s="918">
        <f t="shared" si="43"/>
        <v>0</v>
      </c>
      <c r="N326" s="3719">
        <f t="shared" si="44"/>
        <v>0</v>
      </c>
      <c r="O326" s="3719"/>
      <c r="P326" s="490">
        <f t="shared" si="46"/>
        <v>0</v>
      </c>
      <c r="S326" s="32">
        <f>'2 REPAIR ESTIMATOR'!AD351</f>
        <v>0</v>
      </c>
      <c r="T326" s="32">
        <f>'2 REPAIR ESTIMATOR'!AM351</f>
        <v>0</v>
      </c>
      <c r="U326" s="32">
        <f t="shared" si="45"/>
        <v>0</v>
      </c>
      <c r="V326" s="32">
        <f>'2 REPAIR ESTIMATOR'!AG351</f>
        <v>0</v>
      </c>
      <c r="W326" s="32">
        <f>'2 REPAIR ESTIMATOR'!AJ351</f>
        <v>0</v>
      </c>
    </row>
    <row r="327" spans="3:23" ht="18.350000000000001" hidden="1" thickBot="1">
      <c r="C327" s="3779" t="str">
        <f>T('2 REPAIR ESTIMATOR'!D352:O352)</f>
        <v/>
      </c>
      <c r="D327" s="3780"/>
      <c r="E327" s="3780"/>
      <c r="F327" s="3780"/>
      <c r="G327" s="3780"/>
      <c r="H327" s="3780"/>
      <c r="I327" s="919">
        <f>'2 REPAIR ESTIMATOR'!P352</f>
        <v>0</v>
      </c>
      <c r="J327" s="920">
        <f>'2 REPAIR ESTIMATOR'!S352</f>
        <v>0</v>
      </c>
      <c r="K327" s="921">
        <f t="shared" si="41"/>
        <v>0</v>
      </c>
      <c r="L327" s="921">
        <f t="shared" si="42"/>
        <v>0</v>
      </c>
      <c r="M327" s="921">
        <f t="shared" si="43"/>
        <v>0</v>
      </c>
      <c r="N327" s="3781">
        <f t="shared" si="44"/>
        <v>0</v>
      </c>
      <c r="O327" s="3781"/>
      <c r="P327" s="490">
        <f t="shared" si="46"/>
        <v>0</v>
      </c>
      <c r="S327" s="32">
        <f>'2 REPAIR ESTIMATOR'!AD352</f>
        <v>0</v>
      </c>
      <c r="T327" s="32">
        <f>'2 REPAIR ESTIMATOR'!AM352</f>
        <v>0</v>
      </c>
      <c r="U327" s="32">
        <f t="shared" si="45"/>
        <v>0</v>
      </c>
      <c r="V327" s="32">
        <f>'2 REPAIR ESTIMATOR'!AG352</f>
        <v>0</v>
      </c>
      <c r="W327" s="32">
        <f>'2 REPAIR ESTIMATOR'!AJ352</f>
        <v>0</v>
      </c>
    </row>
    <row r="328" spans="3:23" ht="18.350000000000001" hidden="1" thickBot="1">
      <c r="C328" s="3723" t="str">
        <f>T('2 REPAIR ESTIMATOR'!AC354)</f>
        <v>SIDING TOTAL</v>
      </c>
      <c r="D328" s="3724"/>
      <c r="E328" s="3724"/>
      <c r="F328" s="3724"/>
      <c r="G328" s="3724"/>
      <c r="H328" s="3724"/>
      <c r="I328" s="3724"/>
      <c r="J328" s="3724"/>
      <c r="K328" s="922">
        <f>SUM(K288:K327)</f>
        <v>0</v>
      </c>
      <c r="L328" s="922">
        <f>SUM(L288:L327)</f>
        <v>0</v>
      </c>
      <c r="M328" s="922">
        <f>SUM(M288:M327)</f>
        <v>0</v>
      </c>
      <c r="N328" s="3789">
        <f>SUM(N288:O327)</f>
        <v>0</v>
      </c>
      <c r="O328" s="3789"/>
      <c r="P328" s="490">
        <f>SUM(P287:P298)</f>
        <v>0</v>
      </c>
      <c r="S328" s="33">
        <f>SUM(S288:S327)</f>
        <v>0</v>
      </c>
      <c r="T328" s="33">
        <f>SUM(T288:T327)</f>
        <v>0</v>
      </c>
      <c r="U328" s="33">
        <f>SUM(U288:U327)</f>
        <v>0</v>
      </c>
      <c r="V328" s="33">
        <f>SUM(V288:V327)</f>
        <v>0</v>
      </c>
      <c r="W328" s="33">
        <f>SUM(W288:W327)</f>
        <v>0</v>
      </c>
    </row>
    <row r="329" spans="3:23" ht="8.85" hidden="1" customHeight="1">
      <c r="C329" s="841"/>
      <c r="D329" s="841"/>
      <c r="E329" s="841"/>
      <c r="F329" s="841"/>
      <c r="G329" s="841"/>
      <c r="H329" s="841"/>
      <c r="I329" s="842"/>
      <c r="J329" s="842"/>
      <c r="K329" s="842"/>
      <c r="L329" s="842"/>
      <c r="M329" s="842"/>
      <c r="N329" s="843"/>
      <c r="O329" s="798"/>
      <c r="P329" s="490">
        <f>P328</f>
        <v>0</v>
      </c>
    </row>
    <row r="330" spans="3:23" ht="21" hidden="1" customHeight="1" thickBot="1">
      <c r="C330" s="3782" t="str">
        <f>T('2 REPAIR ESTIMATOR'!D357:O357)</f>
        <v>DECKING AND PATIOS</v>
      </c>
      <c r="D330" s="3783"/>
      <c r="E330" s="3783"/>
      <c r="F330" s="3783"/>
      <c r="G330" s="3783"/>
      <c r="H330" s="3783"/>
      <c r="I330" s="799">
        <f>SUM(I331:I370)</f>
        <v>0</v>
      </c>
      <c r="J330" s="800"/>
      <c r="K330" s="850"/>
      <c r="L330" s="850"/>
      <c r="M330" s="850"/>
      <c r="N330" s="3722"/>
      <c r="O330" s="3722"/>
      <c r="P330" s="489">
        <f t="shared" ref="P330:P350" si="47">I330</f>
        <v>0</v>
      </c>
      <c r="S330" s="34"/>
      <c r="T330" s="34"/>
      <c r="U330" s="34"/>
      <c r="V330" s="34"/>
      <c r="W330" s="34"/>
    </row>
    <row r="331" spans="3:23" ht="18" hidden="1">
      <c r="C331" s="3787" t="str">
        <f>T('2 REPAIR ESTIMATOR'!D358:O358)</f>
        <v>Decking</v>
      </c>
      <c r="D331" s="3788"/>
      <c r="E331" s="3788"/>
      <c r="F331" s="3788"/>
      <c r="G331" s="3788"/>
      <c r="H331" s="3788"/>
      <c r="I331" s="916">
        <f>'2 REPAIR ESTIMATOR'!P358</f>
        <v>0</v>
      </c>
      <c r="J331" s="917">
        <f>'2 REPAIR ESTIMATOR'!S358</f>
        <v>0</v>
      </c>
      <c r="K331" s="918">
        <f t="shared" ref="K331:K370" si="48">IF($N$3="subbed",U331,S331)*$S$70</f>
        <v>0</v>
      </c>
      <c r="L331" s="918">
        <f>V331*$S$70</f>
        <v>0</v>
      </c>
      <c r="M331" s="918">
        <f>W331*$S$70</f>
        <v>0</v>
      </c>
      <c r="N331" s="3719">
        <f>SUM(K331:M331)</f>
        <v>0</v>
      </c>
      <c r="O331" s="3719"/>
      <c r="P331" s="490">
        <f t="shared" si="47"/>
        <v>0</v>
      </c>
      <c r="S331" s="32">
        <f>'2 REPAIR ESTIMATOR'!AD358</f>
        <v>0</v>
      </c>
      <c r="T331" s="32">
        <f>'2 REPAIR ESTIMATOR'!AM358</f>
        <v>0</v>
      </c>
      <c r="U331" s="32">
        <f>T331+S331</f>
        <v>0</v>
      </c>
      <c r="V331" s="32">
        <f>'2 REPAIR ESTIMATOR'!AG358</f>
        <v>0</v>
      </c>
      <c r="W331" s="32">
        <f>'2 REPAIR ESTIMATOR'!AJ358</f>
        <v>0</v>
      </c>
    </row>
    <row r="332" spans="3:23" ht="18" hidden="1">
      <c r="C332" s="3720" t="str">
        <f>T('2 REPAIR ESTIMATOR'!D359:O359)</f>
        <v>Deck bid/allowance</v>
      </c>
      <c r="D332" s="3721"/>
      <c r="E332" s="3721"/>
      <c r="F332" s="3721"/>
      <c r="G332" s="3721"/>
      <c r="H332" s="3721"/>
      <c r="I332" s="916">
        <f>'2 REPAIR ESTIMATOR'!P359</f>
        <v>0</v>
      </c>
      <c r="J332" s="917" t="str">
        <f>'2 REPAIR ESTIMATOR'!S359</f>
        <v>ls</v>
      </c>
      <c r="K332" s="918">
        <f t="shared" si="48"/>
        <v>0</v>
      </c>
      <c r="L332" s="918">
        <f t="shared" ref="L332:L370" si="49">V332*$S$70</f>
        <v>0</v>
      </c>
      <c r="M332" s="918">
        <f t="shared" ref="M332:M370" si="50">W332*$S$70</f>
        <v>0</v>
      </c>
      <c r="N332" s="3719">
        <f t="shared" ref="N332:N370" si="51">SUM(K332:M332)</f>
        <v>0</v>
      </c>
      <c r="O332" s="3719"/>
      <c r="P332" s="490">
        <f t="shared" si="47"/>
        <v>0</v>
      </c>
      <c r="S332" s="32">
        <f>'2 REPAIR ESTIMATOR'!AD359</f>
        <v>0</v>
      </c>
      <c r="T332" s="32">
        <f>'2 REPAIR ESTIMATOR'!AM359</f>
        <v>0</v>
      </c>
      <c r="U332" s="32">
        <f t="shared" ref="U332:U370" si="52">T332+S332</f>
        <v>0</v>
      </c>
      <c r="V332" s="32">
        <f>'2 REPAIR ESTIMATOR'!AG359</f>
        <v>0</v>
      </c>
      <c r="W332" s="32">
        <f>'2 REPAIR ESTIMATOR'!AJ359</f>
        <v>0</v>
      </c>
    </row>
    <row r="333" spans="3:23" ht="18" hidden="1">
      <c r="C333" s="3720" t="str">
        <f>T('2 REPAIR ESTIMATOR'!D360:O360)</f>
        <v>New deck, columns, joists, railing-treated lumber</v>
      </c>
      <c r="D333" s="3721"/>
      <c r="E333" s="3721"/>
      <c r="F333" s="3721"/>
      <c r="G333" s="3721"/>
      <c r="H333" s="3721"/>
      <c r="I333" s="916">
        <f>'2 REPAIR ESTIMATOR'!P360</f>
        <v>0</v>
      </c>
      <c r="J333" s="917" t="str">
        <f>'2 REPAIR ESTIMATOR'!S360</f>
        <v>sf</v>
      </c>
      <c r="K333" s="918">
        <f t="shared" si="48"/>
        <v>0</v>
      </c>
      <c r="L333" s="918">
        <f t="shared" si="49"/>
        <v>0</v>
      </c>
      <c r="M333" s="918">
        <f t="shared" si="50"/>
        <v>0</v>
      </c>
      <c r="N333" s="3719">
        <f t="shared" si="51"/>
        <v>0</v>
      </c>
      <c r="O333" s="3719"/>
      <c r="P333" s="490">
        <f t="shared" si="47"/>
        <v>0</v>
      </c>
      <c r="S333" s="32">
        <f>'2 REPAIR ESTIMATOR'!AD360</f>
        <v>0</v>
      </c>
      <c r="T333" s="32">
        <f>'2 REPAIR ESTIMATOR'!AM360</f>
        <v>0</v>
      </c>
      <c r="U333" s="32">
        <f t="shared" si="52"/>
        <v>0</v>
      </c>
      <c r="V333" s="32">
        <f>'2 REPAIR ESTIMATOR'!AG360</f>
        <v>0</v>
      </c>
      <c r="W333" s="32">
        <f>'2 REPAIR ESTIMATOR'!AJ360</f>
        <v>0</v>
      </c>
    </row>
    <row r="334" spans="3:23" ht="18" hidden="1">
      <c r="C334" s="3720" t="str">
        <f>T('2 REPAIR ESTIMATOR'!D361:O361)</f>
        <v>New deck, columns, joists, railing-cedar</v>
      </c>
      <c r="D334" s="3721"/>
      <c r="E334" s="3721"/>
      <c r="F334" s="3721"/>
      <c r="G334" s="3721"/>
      <c r="H334" s="3721"/>
      <c r="I334" s="916">
        <f>'2 REPAIR ESTIMATOR'!P361</f>
        <v>0</v>
      </c>
      <c r="J334" s="917" t="str">
        <f>'2 REPAIR ESTIMATOR'!S361</f>
        <v>sf</v>
      </c>
      <c r="K334" s="918">
        <f t="shared" si="48"/>
        <v>0</v>
      </c>
      <c r="L334" s="918">
        <f t="shared" si="49"/>
        <v>0</v>
      </c>
      <c r="M334" s="918">
        <f t="shared" si="50"/>
        <v>0</v>
      </c>
      <c r="N334" s="3719">
        <f t="shared" si="51"/>
        <v>0</v>
      </c>
      <c r="O334" s="3719"/>
      <c r="P334" s="490">
        <f t="shared" si="47"/>
        <v>0</v>
      </c>
      <c r="S334" s="32">
        <f>'2 REPAIR ESTIMATOR'!AD361</f>
        <v>0</v>
      </c>
      <c r="T334" s="32">
        <f>'2 REPAIR ESTIMATOR'!AM361</f>
        <v>0</v>
      </c>
      <c r="U334" s="32">
        <f t="shared" si="52"/>
        <v>0</v>
      </c>
      <c r="V334" s="32">
        <f>'2 REPAIR ESTIMATOR'!AG361</f>
        <v>0</v>
      </c>
      <c r="W334" s="32">
        <f>'2 REPAIR ESTIMATOR'!AJ361</f>
        <v>0</v>
      </c>
    </row>
    <row r="335" spans="3:23" ht="18" hidden="1">
      <c r="C335" s="3720" t="str">
        <f>T('2 REPAIR ESTIMATOR'!D362:O362)</f>
        <v>Existing deck, replace decking</v>
      </c>
      <c r="D335" s="3721"/>
      <c r="E335" s="3721"/>
      <c r="F335" s="3721"/>
      <c r="G335" s="3721"/>
      <c r="H335" s="3721"/>
      <c r="I335" s="916">
        <f>'2 REPAIR ESTIMATOR'!P362</f>
        <v>0</v>
      </c>
      <c r="J335" s="917" t="str">
        <f>'2 REPAIR ESTIMATOR'!S362</f>
        <v>sf</v>
      </c>
      <c r="K335" s="918">
        <f t="shared" si="48"/>
        <v>0</v>
      </c>
      <c r="L335" s="918">
        <f t="shared" si="49"/>
        <v>0</v>
      </c>
      <c r="M335" s="918">
        <f t="shared" si="50"/>
        <v>0</v>
      </c>
      <c r="N335" s="3719">
        <f t="shared" si="51"/>
        <v>0</v>
      </c>
      <c r="O335" s="3719"/>
      <c r="P335" s="489">
        <f t="shared" si="47"/>
        <v>0</v>
      </c>
      <c r="S335" s="32">
        <f>'2 REPAIR ESTIMATOR'!AD362</f>
        <v>0</v>
      </c>
      <c r="T335" s="32">
        <f>'2 REPAIR ESTIMATOR'!AM362</f>
        <v>0</v>
      </c>
      <c r="U335" s="32">
        <f t="shared" si="52"/>
        <v>0</v>
      </c>
      <c r="V335" s="32">
        <f>'2 REPAIR ESTIMATOR'!AG362</f>
        <v>0</v>
      </c>
      <c r="W335" s="32">
        <f>'2 REPAIR ESTIMATOR'!AJ362</f>
        <v>0</v>
      </c>
    </row>
    <row r="336" spans="3:23" ht="18" hidden="1">
      <c r="C336" s="3720" t="str">
        <f>T('2 REPAIR ESTIMATOR'!D363:O363)</f>
        <v>Install railing w/ wood balusters only</v>
      </c>
      <c r="D336" s="3721"/>
      <c r="E336" s="3721"/>
      <c r="F336" s="3721"/>
      <c r="G336" s="3721"/>
      <c r="H336" s="3721"/>
      <c r="I336" s="916">
        <f>'2 REPAIR ESTIMATOR'!P363</f>
        <v>0</v>
      </c>
      <c r="J336" s="917" t="str">
        <f>'2 REPAIR ESTIMATOR'!S363</f>
        <v>lf</v>
      </c>
      <c r="K336" s="918">
        <f t="shared" si="48"/>
        <v>0</v>
      </c>
      <c r="L336" s="918">
        <f t="shared" si="49"/>
        <v>0</v>
      </c>
      <c r="M336" s="918">
        <f t="shared" si="50"/>
        <v>0</v>
      </c>
      <c r="N336" s="3719">
        <f t="shared" si="51"/>
        <v>0</v>
      </c>
      <c r="O336" s="3719"/>
      <c r="P336" s="490">
        <f t="shared" si="47"/>
        <v>0</v>
      </c>
      <c r="S336" s="32">
        <f>'2 REPAIR ESTIMATOR'!AD363</f>
        <v>0</v>
      </c>
      <c r="T336" s="32">
        <f>'2 REPAIR ESTIMATOR'!AM363</f>
        <v>0</v>
      </c>
      <c r="U336" s="32">
        <f t="shared" si="52"/>
        <v>0</v>
      </c>
      <c r="V336" s="32">
        <f>'2 REPAIR ESTIMATOR'!AG363</f>
        <v>0</v>
      </c>
      <c r="W336" s="32">
        <f>'2 REPAIR ESTIMATOR'!AJ363</f>
        <v>0</v>
      </c>
    </row>
    <row r="337" spans="3:23" ht="18" hidden="1">
      <c r="C337" s="3720" t="str">
        <f>T('2 REPAIR ESTIMATOR'!D364:O364)</f>
        <v>Install railing w/ metal balusters only</v>
      </c>
      <c r="D337" s="3721"/>
      <c r="E337" s="3721"/>
      <c r="F337" s="3721"/>
      <c r="G337" s="3721"/>
      <c r="H337" s="3721"/>
      <c r="I337" s="916">
        <f>'2 REPAIR ESTIMATOR'!P364</f>
        <v>0</v>
      </c>
      <c r="J337" s="917" t="str">
        <f>'2 REPAIR ESTIMATOR'!S364</f>
        <v>lf</v>
      </c>
      <c r="K337" s="918">
        <f t="shared" si="48"/>
        <v>0</v>
      </c>
      <c r="L337" s="918">
        <f t="shared" si="49"/>
        <v>0</v>
      </c>
      <c r="M337" s="918">
        <f t="shared" si="50"/>
        <v>0</v>
      </c>
      <c r="N337" s="3719">
        <f t="shared" si="51"/>
        <v>0</v>
      </c>
      <c r="O337" s="3719"/>
      <c r="P337" s="490">
        <f t="shared" si="47"/>
        <v>0</v>
      </c>
      <c r="S337" s="32">
        <f>'2 REPAIR ESTIMATOR'!AD364</f>
        <v>0</v>
      </c>
      <c r="T337" s="32">
        <f>'2 REPAIR ESTIMATOR'!AM364</f>
        <v>0</v>
      </c>
      <c r="U337" s="32">
        <f t="shared" si="52"/>
        <v>0</v>
      </c>
      <c r="V337" s="32">
        <f>'2 REPAIR ESTIMATOR'!AG364</f>
        <v>0</v>
      </c>
      <c r="W337" s="32">
        <f>'2 REPAIR ESTIMATOR'!AJ364</f>
        <v>0</v>
      </c>
    </row>
    <row r="338" spans="3:23" ht="18" hidden="1">
      <c r="C338" s="3720" t="str">
        <f>T('2 REPAIR ESTIMATOR'!D365:O365)</f>
        <v>Stairs, 5 to 7 risers</v>
      </c>
      <c r="D338" s="3721"/>
      <c r="E338" s="3721"/>
      <c r="F338" s="3721"/>
      <c r="G338" s="3721"/>
      <c r="H338" s="3721"/>
      <c r="I338" s="916">
        <f>'2 REPAIR ESTIMATOR'!P365</f>
        <v>0</v>
      </c>
      <c r="J338" s="917" t="str">
        <f>'2 REPAIR ESTIMATOR'!S365</f>
        <v>ea</v>
      </c>
      <c r="K338" s="918">
        <f t="shared" si="48"/>
        <v>0</v>
      </c>
      <c r="L338" s="918">
        <f t="shared" si="49"/>
        <v>0</v>
      </c>
      <c r="M338" s="918">
        <f t="shared" si="50"/>
        <v>0</v>
      </c>
      <c r="N338" s="3719">
        <f t="shared" si="51"/>
        <v>0</v>
      </c>
      <c r="O338" s="3719"/>
      <c r="P338" s="490">
        <f t="shared" si="47"/>
        <v>0</v>
      </c>
      <c r="S338" s="32">
        <f>'2 REPAIR ESTIMATOR'!AD365</f>
        <v>0</v>
      </c>
      <c r="T338" s="32">
        <f>'2 REPAIR ESTIMATOR'!AM365</f>
        <v>0</v>
      </c>
      <c r="U338" s="32">
        <f t="shared" si="52"/>
        <v>0</v>
      </c>
      <c r="V338" s="32">
        <f>'2 REPAIR ESTIMATOR'!AG365</f>
        <v>0</v>
      </c>
      <c r="W338" s="32">
        <f>'2 REPAIR ESTIMATOR'!AJ365</f>
        <v>0</v>
      </c>
    </row>
    <row r="339" spans="3:23" ht="18" hidden="1">
      <c r="C339" s="3720" t="str">
        <f>T('2 REPAIR ESTIMATOR'!D366:O366)</f>
        <v/>
      </c>
      <c r="D339" s="3721"/>
      <c r="E339" s="3721"/>
      <c r="F339" s="3721"/>
      <c r="G339" s="3721"/>
      <c r="H339" s="3721"/>
      <c r="I339" s="916">
        <f>'2 REPAIR ESTIMATOR'!P366</f>
        <v>0</v>
      </c>
      <c r="J339" s="917">
        <f>'2 REPAIR ESTIMATOR'!S366</f>
        <v>0</v>
      </c>
      <c r="K339" s="918">
        <f t="shared" si="48"/>
        <v>0</v>
      </c>
      <c r="L339" s="918">
        <f t="shared" si="49"/>
        <v>0</v>
      </c>
      <c r="M339" s="918">
        <f t="shared" si="50"/>
        <v>0</v>
      </c>
      <c r="N339" s="3719">
        <f t="shared" si="51"/>
        <v>0</v>
      </c>
      <c r="O339" s="3719"/>
      <c r="P339" s="490">
        <f t="shared" si="47"/>
        <v>0</v>
      </c>
      <c r="S339" s="32">
        <f>'2 REPAIR ESTIMATOR'!AD366</f>
        <v>0</v>
      </c>
      <c r="T339" s="32">
        <f>'2 REPAIR ESTIMATOR'!AM366</f>
        <v>0</v>
      </c>
      <c r="U339" s="32">
        <f t="shared" si="52"/>
        <v>0</v>
      </c>
      <c r="V339" s="32">
        <f>'2 REPAIR ESTIMATOR'!AG366</f>
        <v>0</v>
      </c>
      <c r="W339" s="32">
        <f>'2 REPAIR ESTIMATOR'!AJ366</f>
        <v>0</v>
      </c>
    </row>
    <row r="340" spans="3:23" ht="18" hidden="1">
      <c r="C340" s="3720" t="str">
        <f>T('2 REPAIR ESTIMATOR'!D367:O367)</f>
        <v/>
      </c>
      <c r="D340" s="3721"/>
      <c r="E340" s="3721"/>
      <c r="F340" s="3721"/>
      <c r="G340" s="3721"/>
      <c r="H340" s="3721"/>
      <c r="I340" s="916">
        <f>'2 REPAIR ESTIMATOR'!P367</f>
        <v>0</v>
      </c>
      <c r="J340" s="917">
        <f>'2 REPAIR ESTIMATOR'!S367</f>
        <v>0</v>
      </c>
      <c r="K340" s="918">
        <f t="shared" si="48"/>
        <v>0</v>
      </c>
      <c r="L340" s="918">
        <f t="shared" si="49"/>
        <v>0</v>
      </c>
      <c r="M340" s="918">
        <f t="shared" si="50"/>
        <v>0</v>
      </c>
      <c r="N340" s="3719">
        <f t="shared" si="51"/>
        <v>0</v>
      </c>
      <c r="O340" s="3719"/>
      <c r="P340" s="490">
        <f t="shared" si="47"/>
        <v>0</v>
      </c>
      <c r="S340" s="32">
        <f>'2 REPAIR ESTIMATOR'!AD367</f>
        <v>0</v>
      </c>
      <c r="T340" s="32">
        <f>'2 REPAIR ESTIMATOR'!AM367</f>
        <v>0</v>
      </c>
      <c r="U340" s="32">
        <f t="shared" si="52"/>
        <v>0</v>
      </c>
      <c r="V340" s="32">
        <f>'2 REPAIR ESTIMATOR'!AG367</f>
        <v>0</v>
      </c>
      <c r="W340" s="32">
        <f>'2 REPAIR ESTIMATOR'!AJ367</f>
        <v>0</v>
      </c>
    </row>
    <row r="341" spans="3:23" ht="18" hidden="1">
      <c r="C341" s="3787" t="str">
        <f>T('2 REPAIR ESTIMATOR'!D368:O368)</f>
        <v>Covered Patio</v>
      </c>
      <c r="D341" s="3788"/>
      <c r="E341" s="3788"/>
      <c r="F341" s="3788"/>
      <c r="G341" s="3788"/>
      <c r="H341" s="3788"/>
      <c r="I341" s="916">
        <f>'2 REPAIR ESTIMATOR'!P368</f>
        <v>0</v>
      </c>
      <c r="J341" s="917">
        <f>'2 REPAIR ESTIMATOR'!S368</f>
        <v>0</v>
      </c>
      <c r="K341" s="918">
        <f t="shared" si="48"/>
        <v>0</v>
      </c>
      <c r="L341" s="918">
        <f t="shared" si="49"/>
        <v>0</v>
      </c>
      <c r="M341" s="918">
        <f t="shared" si="50"/>
        <v>0</v>
      </c>
      <c r="N341" s="3719">
        <f t="shared" si="51"/>
        <v>0</v>
      </c>
      <c r="O341" s="3719"/>
      <c r="P341" s="490">
        <f t="shared" si="47"/>
        <v>0</v>
      </c>
      <c r="S341" s="32">
        <f>'2 REPAIR ESTIMATOR'!AD368</f>
        <v>0</v>
      </c>
      <c r="T341" s="32">
        <f>'2 REPAIR ESTIMATOR'!AM368</f>
        <v>0</v>
      </c>
      <c r="U341" s="32">
        <f t="shared" si="52"/>
        <v>0</v>
      </c>
      <c r="V341" s="32">
        <f>'2 REPAIR ESTIMATOR'!AG368</f>
        <v>0</v>
      </c>
      <c r="W341" s="32">
        <f>'2 REPAIR ESTIMATOR'!AJ368</f>
        <v>0</v>
      </c>
    </row>
    <row r="342" spans="3:23" ht="18" hidden="1">
      <c r="C342" s="3720" t="str">
        <f>T('2 REPAIR ESTIMATOR'!D369:O369)</f>
        <v>Covered Patio bid/allowance</v>
      </c>
      <c r="D342" s="3721"/>
      <c r="E342" s="3721"/>
      <c r="F342" s="3721"/>
      <c r="G342" s="3721"/>
      <c r="H342" s="3721"/>
      <c r="I342" s="916">
        <f>'2 REPAIR ESTIMATOR'!P369</f>
        <v>0</v>
      </c>
      <c r="J342" s="917" t="str">
        <f>'2 REPAIR ESTIMATOR'!S369</f>
        <v>ls</v>
      </c>
      <c r="K342" s="918">
        <f t="shared" si="48"/>
        <v>0</v>
      </c>
      <c r="L342" s="918">
        <f t="shared" si="49"/>
        <v>0</v>
      </c>
      <c r="M342" s="918">
        <f t="shared" si="50"/>
        <v>0</v>
      </c>
      <c r="N342" s="3719">
        <f t="shared" si="51"/>
        <v>0</v>
      </c>
      <c r="O342" s="3719"/>
      <c r="P342" s="490">
        <f t="shared" si="47"/>
        <v>0</v>
      </c>
      <c r="S342" s="32">
        <f>'2 REPAIR ESTIMATOR'!AD369</f>
        <v>0</v>
      </c>
      <c r="T342" s="32">
        <f>'2 REPAIR ESTIMATOR'!AM369</f>
        <v>0</v>
      </c>
      <c r="U342" s="32">
        <f t="shared" si="52"/>
        <v>0</v>
      </c>
      <c r="V342" s="32">
        <f>'2 REPAIR ESTIMATOR'!AG369</f>
        <v>0</v>
      </c>
      <c r="W342" s="32">
        <f>'2 REPAIR ESTIMATOR'!AJ369</f>
        <v>0</v>
      </c>
    </row>
    <row r="343" spans="3:23" ht="18" hidden="1">
      <c r="C343" s="3720" t="str">
        <f>T('2 REPAIR ESTIMATOR'!D370:O370)</f>
        <v>Covered patio, floor, roof frame, decking, treated</v>
      </c>
      <c r="D343" s="3721"/>
      <c r="E343" s="3721"/>
      <c r="F343" s="3721"/>
      <c r="G343" s="3721"/>
      <c r="H343" s="3721"/>
      <c r="I343" s="916">
        <f>'2 REPAIR ESTIMATOR'!P370</f>
        <v>0</v>
      </c>
      <c r="J343" s="917" t="str">
        <f>'2 REPAIR ESTIMATOR'!S370</f>
        <v>sf</v>
      </c>
      <c r="K343" s="918">
        <f t="shared" si="48"/>
        <v>0</v>
      </c>
      <c r="L343" s="918">
        <f t="shared" si="49"/>
        <v>0</v>
      </c>
      <c r="M343" s="918">
        <f t="shared" si="50"/>
        <v>0</v>
      </c>
      <c r="N343" s="3719">
        <f t="shared" si="51"/>
        <v>0</v>
      </c>
      <c r="O343" s="3719"/>
      <c r="P343" s="490">
        <f t="shared" si="47"/>
        <v>0</v>
      </c>
      <c r="S343" s="32">
        <f>'2 REPAIR ESTIMATOR'!AD370</f>
        <v>0</v>
      </c>
      <c r="T343" s="32">
        <f>'2 REPAIR ESTIMATOR'!AM370</f>
        <v>0</v>
      </c>
      <c r="U343" s="32">
        <f t="shared" si="52"/>
        <v>0</v>
      </c>
      <c r="V343" s="32">
        <f>'2 REPAIR ESTIMATOR'!AG370</f>
        <v>0</v>
      </c>
      <c r="W343" s="32">
        <f>'2 REPAIR ESTIMATOR'!AJ370</f>
        <v>0</v>
      </c>
    </row>
    <row r="344" spans="3:23" ht="18" hidden="1">
      <c r="C344" s="3720" t="str">
        <f>T('2 REPAIR ESTIMATOR'!D371:O371)</f>
        <v>Install railing w/ wood balusters only</v>
      </c>
      <c r="D344" s="3721"/>
      <c r="E344" s="3721"/>
      <c r="F344" s="3721"/>
      <c r="G344" s="3721"/>
      <c r="H344" s="3721"/>
      <c r="I344" s="916">
        <f>'2 REPAIR ESTIMATOR'!P371</f>
        <v>0</v>
      </c>
      <c r="J344" s="917" t="str">
        <f>'2 REPAIR ESTIMATOR'!S371</f>
        <v>lf</v>
      </c>
      <c r="K344" s="918">
        <f t="shared" si="48"/>
        <v>0</v>
      </c>
      <c r="L344" s="918">
        <f t="shared" si="49"/>
        <v>0</v>
      </c>
      <c r="M344" s="918">
        <f t="shared" si="50"/>
        <v>0</v>
      </c>
      <c r="N344" s="3719">
        <f t="shared" si="51"/>
        <v>0</v>
      </c>
      <c r="O344" s="3719"/>
      <c r="P344" s="490">
        <f t="shared" si="47"/>
        <v>0</v>
      </c>
      <c r="S344" s="32">
        <f>'2 REPAIR ESTIMATOR'!AD371</f>
        <v>0</v>
      </c>
      <c r="T344" s="32">
        <f>'2 REPAIR ESTIMATOR'!AM371</f>
        <v>0</v>
      </c>
      <c r="U344" s="32">
        <f t="shared" si="52"/>
        <v>0</v>
      </c>
      <c r="V344" s="32">
        <f>'2 REPAIR ESTIMATOR'!AG371</f>
        <v>0</v>
      </c>
      <c r="W344" s="32">
        <f>'2 REPAIR ESTIMATOR'!AJ371</f>
        <v>0</v>
      </c>
    </row>
    <row r="345" spans="3:23" ht="18" hidden="1">
      <c r="C345" s="3720" t="str">
        <f>T('2 REPAIR ESTIMATOR'!D372:O372)</f>
        <v>Install railing w/ metal balusters only</v>
      </c>
      <c r="D345" s="3721"/>
      <c r="E345" s="3721"/>
      <c r="F345" s="3721"/>
      <c r="G345" s="3721"/>
      <c r="H345" s="3721"/>
      <c r="I345" s="916">
        <f>'2 REPAIR ESTIMATOR'!P372</f>
        <v>0</v>
      </c>
      <c r="J345" s="917" t="str">
        <f>'2 REPAIR ESTIMATOR'!S372</f>
        <v>lf</v>
      </c>
      <c r="K345" s="918">
        <f t="shared" si="48"/>
        <v>0</v>
      </c>
      <c r="L345" s="918">
        <f t="shared" si="49"/>
        <v>0</v>
      </c>
      <c r="M345" s="918">
        <f t="shared" si="50"/>
        <v>0</v>
      </c>
      <c r="N345" s="3719">
        <f t="shared" si="51"/>
        <v>0</v>
      </c>
      <c r="O345" s="3719"/>
      <c r="P345" s="490">
        <f t="shared" si="47"/>
        <v>0</v>
      </c>
      <c r="S345" s="32">
        <f>'2 REPAIR ESTIMATOR'!AD372</f>
        <v>0</v>
      </c>
      <c r="T345" s="32">
        <f>'2 REPAIR ESTIMATOR'!AM372</f>
        <v>0</v>
      </c>
      <c r="U345" s="32">
        <f t="shared" si="52"/>
        <v>0</v>
      </c>
      <c r="V345" s="32">
        <f>'2 REPAIR ESTIMATOR'!AG372</f>
        <v>0</v>
      </c>
      <c r="W345" s="32">
        <f>'2 REPAIR ESTIMATOR'!AJ372</f>
        <v>0</v>
      </c>
    </row>
    <row r="346" spans="3:23" ht="18" hidden="1">
      <c r="C346" s="3720" t="str">
        <f>T('2 REPAIR ESTIMATOR'!D373:O373)</f>
        <v>Stairs, 5 to 7 risers</v>
      </c>
      <c r="D346" s="3721"/>
      <c r="E346" s="3721"/>
      <c r="F346" s="3721"/>
      <c r="G346" s="3721"/>
      <c r="H346" s="3721"/>
      <c r="I346" s="916">
        <f>'2 REPAIR ESTIMATOR'!P373</f>
        <v>0</v>
      </c>
      <c r="J346" s="917" t="str">
        <f>'2 REPAIR ESTIMATOR'!S373</f>
        <v>ea</v>
      </c>
      <c r="K346" s="918">
        <f t="shared" si="48"/>
        <v>0</v>
      </c>
      <c r="L346" s="918">
        <f t="shared" si="49"/>
        <v>0</v>
      </c>
      <c r="M346" s="918">
        <f t="shared" si="50"/>
        <v>0</v>
      </c>
      <c r="N346" s="3719">
        <f t="shared" si="51"/>
        <v>0</v>
      </c>
      <c r="O346" s="3719"/>
      <c r="P346" s="490">
        <f t="shared" si="47"/>
        <v>0</v>
      </c>
      <c r="S346" s="32">
        <f>'2 REPAIR ESTIMATOR'!AD373</f>
        <v>0</v>
      </c>
      <c r="T346" s="32">
        <f>'2 REPAIR ESTIMATOR'!AM373</f>
        <v>0</v>
      </c>
      <c r="U346" s="32">
        <f t="shared" si="52"/>
        <v>0</v>
      </c>
      <c r="V346" s="32">
        <f>'2 REPAIR ESTIMATOR'!AG373</f>
        <v>0</v>
      </c>
      <c r="W346" s="32">
        <f>'2 REPAIR ESTIMATOR'!AJ373</f>
        <v>0</v>
      </c>
    </row>
    <row r="347" spans="3:23" ht="18" hidden="1">
      <c r="C347" s="3720" t="str">
        <f>T('2 REPAIR ESTIMATOR'!D374:O374)</f>
        <v>Wood board ceiling, tongue and groove</v>
      </c>
      <c r="D347" s="3721"/>
      <c r="E347" s="3721"/>
      <c r="F347" s="3721"/>
      <c r="G347" s="3721"/>
      <c r="H347" s="3721"/>
      <c r="I347" s="916">
        <f>'2 REPAIR ESTIMATOR'!P374</f>
        <v>0</v>
      </c>
      <c r="J347" s="917" t="str">
        <f>'2 REPAIR ESTIMATOR'!S374</f>
        <v>sf</v>
      </c>
      <c r="K347" s="918">
        <f t="shared" si="48"/>
        <v>0</v>
      </c>
      <c r="L347" s="918">
        <f t="shared" si="49"/>
        <v>0</v>
      </c>
      <c r="M347" s="918">
        <f t="shared" si="50"/>
        <v>0</v>
      </c>
      <c r="N347" s="3719">
        <f t="shared" si="51"/>
        <v>0</v>
      </c>
      <c r="O347" s="3719"/>
      <c r="P347" s="490">
        <f t="shared" si="47"/>
        <v>0</v>
      </c>
      <c r="S347" s="32">
        <f>'2 REPAIR ESTIMATOR'!AD374</f>
        <v>0</v>
      </c>
      <c r="T347" s="32">
        <f>'2 REPAIR ESTIMATOR'!AM374</f>
        <v>0</v>
      </c>
      <c r="U347" s="32">
        <f t="shared" si="52"/>
        <v>0</v>
      </c>
      <c r="V347" s="32">
        <f>'2 REPAIR ESTIMATOR'!AG374</f>
        <v>0</v>
      </c>
      <c r="W347" s="32">
        <f>'2 REPAIR ESTIMATOR'!AJ374</f>
        <v>0</v>
      </c>
    </row>
    <row r="348" spans="3:23" ht="18" hidden="1">
      <c r="C348" s="3720" t="str">
        <f>T('2 REPAIR ESTIMATOR'!D375:O375)</f>
        <v>Insect screening</v>
      </c>
      <c r="D348" s="3721"/>
      <c r="E348" s="3721"/>
      <c r="F348" s="3721"/>
      <c r="G348" s="3721"/>
      <c r="H348" s="3721"/>
      <c r="I348" s="916">
        <f>'2 REPAIR ESTIMATOR'!P375</f>
        <v>0</v>
      </c>
      <c r="J348" s="917" t="str">
        <f>'2 REPAIR ESTIMATOR'!S375</f>
        <v>sf</v>
      </c>
      <c r="K348" s="918">
        <f t="shared" si="48"/>
        <v>0</v>
      </c>
      <c r="L348" s="918">
        <f t="shared" si="49"/>
        <v>0</v>
      </c>
      <c r="M348" s="918">
        <f t="shared" si="50"/>
        <v>0</v>
      </c>
      <c r="N348" s="3719">
        <f t="shared" si="51"/>
        <v>0</v>
      </c>
      <c r="O348" s="3719"/>
      <c r="P348" s="490">
        <f t="shared" si="47"/>
        <v>0</v>
      </c>
      <c r="S348" s="32">
        <f>'2 REPAIR ESTIMATOR'!AD375</f>
        <v>0</v>
      </c>
      <c r="T348" s="32">
        <f>'2 REPAIR ESTIMATOR'!AM375</f>
        <v>0</v>
      </c>
      <c r="U348" s="32">
        <f t="shared" si="52"/>
        <v>0</v>
      </c>
      <c r="V348" s="32">
        <f>'2 REPAIR ESTIMATOR'!AG375</f>
        <v>0</v>
      </c>
      <c r="W348" s="32">
        <f>'2 REPAIR ESTIMATOR'!AJ375</f>
        <v>0</v>
      </c>
    </row>
    <row r="349" spans="3:23" ht="18" hidden="1">
      <c r="C349" s="3720" t="str">
        <f>T('2 REPAIR ESTIMATOR'!D376:O376)</f>
        <v/>
      </c>
      <c r="D349" s="3721"/>
      <c r="E349" s="3721"/>
      <c r="F349" s="3721"/>
      <c r="G349" s="3721"/>
      <c r="H349" s="3721"/>
      <c r="I349" s="916">
        <f>'2 REPAIR ESTIMATOR'!P376</f>
        <v>0</v>
      </c>
      <c r="J349" s="917">
        <f>'2 REPAIR ESTIMATOR'!S376</f>
        <v>0</v>
      </c>
      <c r="K349" s="918">
        <f t="shared" si="48"/>
        <v>0</v>
      </c>
      <c r="L349" s="918">
        <f t="shared" si="49"/>
        <v>0</v>
      </c>
      <c r="M349" s="918">
        <f t="shared" si="50"/>
        <v>0</v>
      </c>
      <c r="N349" s="3719">
        <f t="shared" si="51"/>
        <v>0</v>
      </c>
      <c r="O349" s="3719"/>
      <c r="P349" s="490">
        <f t="shared" si="47"/>
        <v>0</v>
      </c>
      <c r="S349" s="32">
        <f>'2 REPAIR ESTIMATOR'!AD376</f>
        <v>0</v>
      </c>
      <c r="T349" s="32">
        <f>'2 REPAIR ESTIMATOR'!AM376</f>
        <v>0</v>
      </c>
      <c r="U349" s="32">
        <f t="shared" si="52"/>
        <v>0</v>
      </c>
      <c r="V349" s="32">
        <f>'2 REPAIR ESTIMATOR'!AG376</f>
        <v>0</v>
      </c>
      <c r="W349" s="32">
        <f>'2 REPAIR ESTIMATOR'!AJ376</f>
        <v>0</v>
      </c>
    </row>
    <row r="350" spans="3:23" ht="18" hidden="1">
      <c r="C350" s="3720" t="str">
        <f>T('2 REPAIR ESTIMATOR'!D377:O377)</f>
        <v/>
      </c>
      <c r="D350" s="3721"/>
      <c r="E350" s="3721"/>
      <c r="F350" s="3721"/>
      <c r="G350" s="3721"/>
      <c r="H350" s="3721"/>
      <c r="I350" s="916">
        <f>'2 REPAIR ESTIMATOR'!P377</f>
        <v>0</v>
      </c>
      <c r="J350" s="917">
        <f>'2 REPAIR ESTIMATOR'!S377</f>
        <v>0</v>
      </c>
      <c r="K350" s="918">
        <f t="shared" si="48"/>
        <v>0</v>
      </c>
      <c r="L350" s="918">
        <f t="shared" si="49"/>
        <v>0</v>
      </c>
      <c r="M350" s="918">
        <f t="shared" si="50"/>
        <v>0</v>
      </c>
      <c r="N350" s="3719">
        <f t="shared" si="51"/>
        <v>0</v>
      </c>
      <c r="O350" s="3719"/>
      <c r="P350" s="490">
        <f t="shared" si="47"/>
        <v>0</v>
      </c>
      <c r="S350" s="32">
        <f>'2 REPAIR ESTIMATOR'!AD377</f>
        <v>0</v>
      </c>
      <c r="T350" s="32">
        <f>'2 REPAIR ESTIMATOR'!AM377</f>
        <v>0</v>
      </c>
      <c r="U350" s="32">
        <f t="shared" si="52"/>
        <v>0</v>
      </c>
      <c r="V350" s="32">
        <f>'2 REPAIR ESTIMATOR'!AG377</f>
        <v>0</v>
      </c>
      <c r="W350" s="32">
        <f>'2 REPAIR ESTIMATOR'!AJ377</f>
        <v>0</v>
      </c>
    </row>
    <row r="351" spans="3:23" ht="18" hidden="1">
      <c r="C351" s="3720" t="str">
        <f>T('2 REPAIR ESTIMATOR'!D378:O378)</f>
        <v/>
      </c>
      <c r="D351" s="3721"/>
      <c r="E351" s="3721"/>
      <c r="F351" s="3721"/>
      <c r="G351" s="3721"/>
      <c r="H351" s="3721"/>
      <c r="I351" s="916">
        <f>'2 REPAIR ESTIMATOR'!P378</f>
        <v>0</v>
      </c>
      <c r="J351" s="917">
        <f>'2 REPAIR ESTIMATOR'!S378</f>
        <v>0</v>
      </c>
      <c r="K351" s="918">
        <f t="shared" si="48"/>
        <v>0</v>
      </c>
      <c r="L351" s="918">
        <f t="shared" si="49"/>
        <v>0</v>
      </c>
      <c r="M351" s="918">
        <f t="shared" si="50"/>
        <v>0</v>
      </c>
      <c r="N351" s="3719">
        <f t="shared" si="51"/>
        <v>0</v>
      </c>
      <c r="O351" s="3719"/>
      <c r="P351" s="490">
        <f t="shared" ref="P351:P370" si="53">I351</f>
        <v>0</v>
      </c>
      <c r="S351" s="32">
        <f>'2 REPAIR ESTIMATOR'!AD378</f>
        <v>0</v>
      </c>
      <c r="T351" s="32">
        <f>'2 REPAIR ESTIMATOR'!AM378</f>
        <v>0</v>
      </c>
      <c r="U351" s="32">
        <f t="shared" si="52"/>
        <v>0</v>
      </c>
      <c r="V351" s="32">
        <f>'2 REPAIR ESTIMATOR'!AG378</f>
        <v>0</v>
      </c>
      <c r="W351" s="32">
        <f>'2 REPAIR ESTIMATOR'!AJ378</f>
        <v>0</v>
      </c>
    </row>
    <row r="352" spans="3:23" ht="18" hidden="1">
      <c r="C352" s="3720" t="str">
        <f>T('2 REPAIR ESTIMATOR'!D379:O379)</f>
        <v/>
      </c>
      <c r="D352" s="3721"/>
      <c r="E352" s="3721"/>
      <c r="F352" s="3721"/>
      <c r="G352" s="3721"/>
      <c r="H352" s="3721"/>
      <c r="I352" s="916">
        <f>'2 REPAIR ESTIMATOR'!P379</f>
        <v>0</v>
      </c>
      <c r="J352" s="917">
        <f>'2 REPAIR ESTIMATOR'!S379</f>
        <v>0</v>
      </c>
      <c r="K352" s="918">
        <f t="shared" si="48"/>
        <v>0</v>
      </c>
      <c r="L352" s="918">
        <f t="shared" si="49"/>
        <v>0</v>
      </c>
      <c r="M352" s="918">
        <f t="shared" si="50"/>
        <v>0</v>
      </c>
      <c r="N352" s="3719">
        <f t="shared" si="51"/>
        <v>0</v>
      </c>
      <c r="O352" s="3719"/>
      <c r="P352" s="490">
        <f t="shared" si="53"/>
        <v>0</v>
      </c>
      <c r="S352" s="32">
        <f>'2 REPAIR ESTIMATOR'!AD379</f>
        <v>0</v>
      </c>
      <c r="T352" s="32">
        <f>'2 REPAIR ESTIMATOR'!AM379</f>
        <v>0</v>
      </c>
      <c r="U352" s="32">
        <f t="shared" si="52"/>
        <v>0</v>
      </c>
      <c r="V352" s="32">
        <f>'2 REPAIR ESTIMATOR'!AG379</f>
        <v>0</v>
      </c>
      <c r="W352" s="32">
        <f>'2 REPAIR ESTIMATOR'!AJ379</f>
        <v>0</v>
      </c>
    </row>
    <row r="353" spans="3:23" ht="18" hidden="1">
      <c r="C353" s="3720" t="str">
        <f>T('2 REPAIR ESTIMATOR'!D380:O380)</f>
        <v/>
      </c>
      <c r="D353" s="3721"/>
      <c r="E353" s="3721"/>
      <c r="F353" s="3721"/>
      <c r="G353" s="3721"/>
      <c r="H353" s="3721"/>
      <c r="I353" s="916">
        <f>'2 REPAIR ESTIMATOR'!P380</f>
        <v>0</v>
      </c>
      <c r="J353" s="917">
        <f>'2 REPAIR ESTIMATOR'!S380</f>
        <v>0</v>
      </c>
      <c r="K353" s="918">
        <f t="shared" si="48"/>
        <v>0</v>
      </c>
      <c r="L353" s="918">
        <f t="shared" si="49"/>
        <v>0</v>
      </c>
      <c r="M353" s="918">
        <f t="shared" si="50"/>
        <v>0</v>
      </c>
      <c r="N353" s="3719">
        <f t="shared" si="51"/>
        <v>0</v>
      </c>
      <c r="O353" s="3719"/>
      <c r="P353" s="490">
        <f t="shared" si="53"/>
        <v>0</v>
      </c>
      <c r="S353" s="32">
        <f>'2 REPAIR ESTIMATOR'!AD380</f>
        <v>0</v>
      </c>
      <c r="T353" s="32">
        <f>'2 REPAIR ESTIMATOR'!AM380</f>
        <v>0</v>
      </c>
      <c r="U353" s="32">
        <f t="shared" si="52"/>
        <v>0</v>
      </c>
      <c r="V353" s="32">
        <f>'2 REPAIR ESTIMATOR'!AG380</f>
        <v>0</v>
      </c>
      <c r="W353" s="32">
        <f>'2 REPAIR ESTIMATOR'!AJ380</f>
        <v>0</v>
      </c>
    </row>
    <row r="354" spans="3:23" ht="18" hidden="1">
      <c r="C354" s="3720" t="str">
        <f>T('2 REPAIR ESTIMATOR'!D381:O381)</f>
        <v/>
      </c>
      <c r="D354" s="3721"/>
      <c r="E354" s="3721"/>
      <c r="F354" s="3721"/>
      <c r="G354" s="3721"/>
      <c r="H354" s="3721"/>
      <c r="I354" s="916">
        <f>'2 REPAIR ESTIMATOR'!P381</f>
        <v>0</v>
      </c>
      <c r="J354" s="917">
        <f>'2 REPAIR ESTIMATOR'!S381</f>
        <v>0</v>
      </c>
      <c r="K354" s="918">
        <f t="shared" si="48"/>
        <v>0</v>
      </c>
      <c r="L354" s="918">
        <f t="shared" si="49"/>
        <v>0</v>
      </c>
      <c r="M354" s="918">
        <f t="shared" si="50"/>
        <v>0</v>
      </c>
      <c r="N354" s="3719">
        <f t="shared" si="51"/>
        <v>0</v>
      </c>
      <c r="O354" s="3719"/>
      <c r="P354" s="490">
        <f t="shared" si="53"/>
        <v>0</v>
      </c>
      <c r="S354" s="32">
        <f>'2 REPAIR ESTIMATOR'!AD381</f>
        <v>0</v>
      </c>
      <c r="T354" s="32">
        <f>'2 REPAIR ESTIMATOR'!AM381</f>
        <v>0</v>
      </c>
      <c r="U354" s="32">
        <f t="shared" si="52"/>
        <v>0</v>
      </c>
      <c r="V354" s="32">
        <f>'2 REPAIR ESTIMATOR'!AG381</f>
        <v>0</v>
      </c>
      <c r="W354" s="32">
        <f>'2 REPAIR ESTIMATOR'!AJ381</f>
        <v>0</v>
      </c>
    </row>
    <row r="355" spans="3:23" ht="18" hidden="1">
      <c r="C355" s="3720" t="str">
        <f>T('2 REPAIR ESTIMATOR'!D382:O382)</f>
        <v/>
      </c>
      <c r="D355" s="3721"/>
      <c r="E355" s="3721"/>
      <c r="F355" s="3721"/>
      <c r="G355" s="3721"/>
      <c r="H355" s="3721"/>
      <c r="I355" s="916">
        <f>'2 REPAIR ESTIMATOR'!P382</f>
        <v>0</v>
      </c>
      <c r="J355" s="917">
        <f>'2 REPAIR ESTIMATOR'!S382</f>
        <v>0</v>
      </c>
      <c r="K355" s="918">
        <f t="shared" si="48"/>
        <v>0</v>
      </c>
      <c r="L355" s="918">
        <f t="shared" si="49"/>
        <v>0</v>
      </c>
      <c r="M355" s="918">
        <f t="shared" si="50"/>
        <v>0</v>
      </c>
      <c r="N355" s="3719">
        <f t="shared" si="51"/>
        <v>0</v>
      </c>
      <c r="O355" s="3719"/>
      <c r="P355" s="490">
        <f t="shared" si="53"/>
        <v>0</v>
      </c>
      <c r="S355" s="32">
        <f>'2 REPAIR ESTIMATOR'!AD382</f>
        <v>0</v>
      </c>
      <c r="T355" s="32">
        <f>'2 REPAIR ESTIMATOR'!AM382</f>
        <v>0</v>
      </c>
      <c r="U355" s="32">
        <f t="shared" si="52"/>
        <v>0</v>
      </c>
      <c r="V355" s="32">
        <f>'2 REPAIR ESTIMATOR'!AG382</f>
        <v>0</v>
      </c>
      <c r="W355" s="32">
        <f>'2 REPAIR ESTIMATOR'!AJ382</f>
        <v>0</v>
      </c>
    </row>
    <row r="356" spans="3:23" ht="18" hidden="1">
      <c r="C356" s="3720" t="str">
        <f>T('2 REPAIR ESTIMATOR'!D383:O383)</f>
        <v/>
      </c>
      <c r="D356" s="3721"/>
      <c r="E356" s="3721"/>
      <c r="F356" s="3721"/>
      <c r="G356" s="3721"/>
      <c r="H356" s="3721"/>
      <c r="I356" s="916">
        <f>'2 REPAIR ESTIMATOR'!P383</f>
        <v>0</v>
      </c>
      <c r="J356" s="917">
        <f>'2 REPAIR ESTIMATOR'!S383</f>
        <v>0</v>
      </c>
      <c r="K356" s="918">
        <f t="shared" si="48"/>
        <v>0</v>
      </c>
      <c r="L356" s="918">
        <f t="shared" si="49"/>
        <v>0</v>
      </c>
      <c r="M356" s="918">
        <f t="shared" si="50"/>
        <v>0</v>
      </c>
      <c r="N356" s="3719">
        <f t="shared" si="51"/>
        <v>0</v>
      </c>
      <c r="O356" s="3719"/>
      <c r="P356" s="490">
        <f t="shared" si="53"/>
        <v>0</v>
      </c>
      <c r="S356" s="32">
        <f>'2 REPAIR ESTIMATOR'!AD383</f>
        <v>0</v>
      </c>
      <c r="T356" s="32">
        <f>'2 REPAIR ESTIMATOR'!AM383</f>
        <v>0</v>
      </c>
      <c r="U356" s="32">
        <f t="shared" si="52"/>
        <v>0</v>
      </c>
      <c r="V356" s="32">
        <f>'2 REPAIR ESTIMATOR'!AG383</f>
        <v>0</v>
      </c>
      <c r="W356" s="32">
        <f>'2 REPAIR ESTIMATOR'!AJ383</f>
        <v>0</v>
      </c>
    </row>
    <row r="357" spans="3:23" ht="18" hidden="1">
      <c r="C357" s="3720" t="str">
        <f>T('2 REPAIR ESTIMATOR'!D384:O384)</f>
        <v/>
      </c>
      <c r="D357" s="3721"/>
      <c r="E357" s="3721"/>
      <c r="F357" s="3721"/>
      <c r="G357" s="3721"/>
      <c r="H357" s="3721"/>
      <c r="I357" s="916">
        <f>'2 REPAIR ESTIMATOR'!P384</f>
        <v>0</v>
      </c>
      <c r="J357" s="917">
        <f>'2 REPAIR ESTIMATOR'!S384</f>
        <v>0</v>
      </c>
      <c r="K357" s="918">
        <f t="shared" si="48"/>
        <v>0</v>
      </c>
      <c r="L357" s="918">
        <f t="shared" si="49"/>
        <v>0</v>
      </c>
      <c r="M357" s="918">
        <f t="shared" si="50"/>
        <v>0</v>
      </c>
      <c r="N357" s="3719">
        <f t="shared" si="51"/>
        <v>0</v>
      </c>
      <c r="O357" s="3719"/>
      <c r="P357" s="490">
        <f t="shared" si="53"/>
        <v>0</v>
      </c>
      <c r="S357" s="32">
        <f>'2 REPAIR ESTIMATOR'!AD384</f>
        <v>0</v>
      </c>
      <c r="T357" s="32">
        <f>'2 REPAIR ESTIMATOR'!AM384</f>
        <v>0</v>
      </c>
      <c r="U357" s="32">
        <f t="shared" si="52"/>
        <v>0</v>
      </c>
      <c r="V357" s="32">
        <f>'2 REPAIR ESTIMATOR'!AG384</f>
        <v>0</v>
      </c>
      <c r="W357" s="32">
        <f>'2 REPAIR ESTIMATOR'!AJ384</f>
        <v>0</v>
      </c>
    </row>
    <row r="358" spans="3:23" ht="18" hidden="1">
      <c r="C358" s="3720" t="str">
        <f>T('2 REPAIR ESTIMATOR'!D385:O385)</f>
        <v/>
      </c>
      <c r="D358" s="3721"/>
      <c r="E358" s="3721"/>
      <c r="F358" s="3721"/>
      <c r="G358" s="3721"/>
      <c r="H358" s="3721"/>
      <c r="I358" s="916">
        <f>'2 REPAIR ESTIMATOR'!P385</f>
        <v>0</v>
      </c>
      <c r="J358" s="917">
        <f>'2 REPAIR ESTIMATOR'!S385</f>
        <v>0</v>
      </c>
      <c r="K358" s="918">
        <f t="shared" si="48"/>
        <v>0</v>
      </c>
      <c r="L358" s="918">
        <f t="shared" si="49"/>
        <v>0</v>
      </c>
      <c r="M358" s="918">
        <f t="shared" si="50"/>
        <v>0</v>
      </c>
      <c r="N358" s="3719">
        <f t="shared" si="51"/>
        <v>0</v>
      </c>
      <c r="O358" s="3719"/>
      <c r="P358" s="490">
        <f t="shared" si="53"/>
        <v>0</v>
      </c>
      <c r="S358" s="32">
        <f>'2 REPAIR ESTIMATOR'!AD385</f>
        <v>0</v>
      </c>
      <c r="T358" s="32">
        <f>'2 REPAIR ESTIMATOR'!AM385</f>
        <v>0</v>
      </c>
      <c r="U358" s="32">
        <f t="shared" si="52"/>
        <v>0</v>
      </c>
      <c r="V358" s="32">
        <f>'2 REPAIR ESTIMATOR'!AG385</f>
        <v>0</v>
      </c>
      <c r="W358" s="32">
        <f>'2 REPAIR ESTIMATOR'!AJ385</f>
        <v>0</v>
      </c>
    </row>
    <row r="359" spans="3:23" ht="18" hidden="1">
      <c r="C359" s="3720" t="str">
        <f>T('2 REPAIR ESTIMATOR'!D386:O386)</f>
        <v/>
      </c>
      <c r="D359" s="3721"/>
      <c r="E359" s="3721"/>
      <c r="F359" s="3721"/>
      <c r="G359" s="3721"/>
      <c r="H359" s="3721"/>
      <c r="I359" s="916">
        <f>'2 REPAIR ESTIMATOR'!P386</f>
        <v>0</v>
      </c>
      <c r="J359" s="917">
        <f>'2 REPAIR ESTIMATOR'!S386</f>
        <v>0</v>
      </c>
      <c r="K359" s="918">
        <f t="shared" si="48"/>
        <v>0</v>
      </c>
      <c r="L359" s="918">
        <f t="shared" si="49"/>
        <v>0</v>
      </c>
      <c r="M359" s="918">
        <f t="shared" si="50"/>
        <v>0</v>
      </c>
      <c r="N359" s="3719">
        <f t="shared" si="51"/>
        <v>0</v>
      </c>
      <c r="O359" s="3719"/>
      <c r="P359" s="490">
        <f t="shared" si="53"/>
        <v>0</v>
      </c>
      <c r="S359" s="32">
        <f>'2 REPAIR ESTIMATOR'!AD386</f>
        <v>0</v>
      </c>
      <c r="T359" s="32">
        <f>'2 REPAIR ESTIMATOR'!AM386</f>
        <v>0</v>
      </c>
      <c r="U359" s="32">
        <f t="shared" si="52"/>
        <v>0</v>
      </c>
      <c r="V359" s="32">
        <f>'2 REPAIR ESTIMATOR'!AG386</f>
        <v>0</v>
      </c>
      <c r="W359" s="32">
        <f>'2 REPAIR ESTIMATOR'!AJ386</f>
        <v>0</v>
      </c>
    </row>
    <row r="360" spans="3:23" ht="18" hidden="1">
      <c r="C360" s="3720" t="str">
        <f>T('2 REPAIR ESTIMATOR'!D387:O387)</f>
        <v/>
      </c>
      <c r="D360" s="3721"/>
      <c r="E360" s="3721"/>
      <c r="F360" s="3721"/>
      <c r="G360" s="3721"/>
      <c r="H360" s="3721"/>
      <c r="I360" s="916">
        <f>'2 REPAIR ESTIMATOR'!P387</f>
        <v>0</v>
      </c>
      <c r="J360" s="917">
        <f>'2 REPAIR ESTIMATOR'!S387</f>
        <v>0</v>
      </c>
      <c r="K360" s="918">
        <f t="shared" si="48"/>
        <v>0</v>
      </c>
      <c r="L360" s="918">
        <f t="shared" si="49"/>
        <v>0</v>
      </c>
      <c r="M360" s="918">
        <f t="shared" si="50"/>
        <v>0</v>
      </c>
      <c r="N360" s="3719">
        <f t="shared" si="51"/>
        <v>0</v>
      </c>
      <c r="O360" s="3719"/>
      <c r="P360" s="490">
        <f t="shared" si="53"/>
        <v>0</v>
      </c>
      <c r="S360" s="32">
        <f>'2 REPAIR ESTIMATOR'!AD387</f>
        <v>0</v>
      </c>
      <c r="T360" s="32">
        <f>'2 REPAIR ESTIMATOR'!AM387</f>
        <v>0</v>
      </c>
      <c r="U360" s="32">
        <f t="shared" si="52"/>
        <v>0</v>
      </c>
      <c r="V360" s="32">
        <f>'2 REPAIR ESTIMATOR'!AG387</f>
        <v>0</v>
      </c>
      <c r="W360" s="32">
        <f>'2 REPAIR ESTIMATOR'!AJ387</f>
        <v>0</v>
      </c>
    </row>
    <row r="361" spans="3:23" ht="18" hidden="1">
      <c r="C361" s="3720" t="str">
        <f>T('2 REPAIR ESTIMATOR'!D388:O388)</f>
        <v/>
      </c>
      <c r="D361" s="3721"/>
      <c r="E361" s="3721"/>
      <c r="F361" s="3721"/>
      <c r="G361" s="3721"/>
      <c r="H361" s="3721"/>
      <c r="I361" s="916">
        <f>'2 REPAIR ESTIMATOR'!P388</f>
        <v>0</v>
      </c>
      <c r="J361" s="917">
        <f>'2 REPAIR ESTIMATOR'!S388</f>
        <v>0</v>
      </c>
      <c r="K361" s="918">
        <f t="shared" si="48"/>
        <v>0</v>
      </c>
      <c r="L361" s="918">
        <f t="shared" si="49"/>
        <v>0</v>
      </c>
      <c r="M361" s="918">
        <f t="shared" si="50"/>
        <v>0</v>
      </c>
      <c r="N361" s="3719">
        <f t="shared" si="51"/>
        <v>0</v>
      </c>
      <c r="O361" s="3719"/>
      <c r="P361" s="490">
        <f t="shared" si="53"/>
        <v>0</v>
      </c>
      <c r="S361" s="32">
        <f>'2 REPAIR ESTIMATOR'!AD388</f>
        <v>0</v>
      </c>
      <c r="T361" s="32">
        <f>'2 REPAIR ESTIMATOR'!AM388</f>
        <v>0</v>
      </c>
      <c r="U361" s="32">
        <f t="shared" si="52"/>
        <v>0</v>
      </c>
      <c r="V361" s="32">
        <f>'2 REPAIR ESTIMATOR'!AG388</f>
        <v>0</v>
      </c>
      <c r="W361" s="32">
        <f>'2 REPAIR ESTIMATOR'!AJ388</f>
        <v>0</v>
      </c>
    </row>
    <row r="362" spans="3:23" ht="18" hidden="1">
      <c r="C362" s="3720" t="str">
        <f>T('2 REPAIR ESTIMATOR'!D389:O389)</f>
        <v/>
      </c>
      <c r="D362" s="3721"/>
      <c r="E362" s="3721"/>
      <c r="F362" s="3721"/>
      <c r="G362" s="3721"/>
      <c r="H362" s="3721"/>
      <c r="I362" s="916">
        <f>'2 REPAIR ESTIMATOR'!P389</f>
        <v>0</v>
      </c>
      <c r="J362" s="917">
        <f>'2 REPAIR ESTIMATOR'!S389</f>
        <v>0</v>
      </c>
      <c r="K362" s="918">
        <f t="shared" si="48"/>
        <v>0</v>
      </c>
      <c r="L362" s="918">
        <f t="shared" si="49"/>
        <v>0</v>
      </c>
      <c r="M362" s="918">
        <f t="shared" si="50"/>
        <v>0</v>
      </c>
      <c r="N362" s="3719">
        <f t="shared" si="51"/>
        <v>0</v>
      </c>
      <c r="O362" s="3719"/>
      <c r="P362" s="490">
        <f t="shared" si="53"/>
        <v>0</v>
      </c>
      <c r="S362" s="32">
        <f>'2 REPAIR ESTIMATOR'!AD389</f>
        <v>0</v>
      </c>
      <c r="T362" s="32">
        <f>'2 REPAIR ESTIMATOR'!AM389</f>
        <v>0</v>
      </c>
      <c r="U362" s="32">
        <f t="shared" si="52"/>
        <v>0</v>
      </c>
      <c r="V362" s="32">
        <f>'2 REPAIR ESTIMATOR'!AG389</f>
        <v>0</v>
      </c>
      <c r="W362" s="32">
        <f>'2 REPAIR ESTIMATOR'!AJ389</f>
        <v>0</v>
      </c>
    </row>
    <row r="363" spans="3:23" ht="18" hidden="1">
      <c r="C363" s="3720" t="str">
        <f>T('2 REPAIR ESTIMATOR'!D390:O390)</f>
        <v/>
      </c>
      <c r="D363" s="3721"/>
      <c r="E363" s="3721"/>
      <c r="F363" s="3721"/>
      <c r="G363" s="3721"/>
      <c r="H363" s="3721"/>
      <c r="I363" s="916">
        <f>'2 REPAIR ESTIMATOR'!P390</f>
        <v>0</v>
      </c>
      <c r="J363" s="917">
        <f>'2 REPAIR ESTIMATOR'!S390</f>
        <v>0</v>
      </c>
      <c r="K363" s="918">
        <f t="shared" si="48"/>
        <v>0</v>
      </c>
      <c r="L363" s="918">
        <f t="shared" si="49"/>
        <v>0</v>
      </c>
      <c r="M363" s="918">
        <f t="shared" si="50"/>
        <v>0</v>
      </c>
      <c r="N363" s="3719">
        <f t="shared" si="51"/>
        <v>0</v>
      </c>
      <c r="O363" s="3719"/>
      <c r="P363" s="490">
        <f t="shared" si="53"/>
        <v>0</v>
      </c>
      <c r="S363" s="32">
        <f>'2 REPAIR ESTIMATOR'!AD390</f>
        <v>0</v>
      </c>
      <c r="T363" s="32">
        <f>'2 REPAIR ESTIMATOR'!AM390</f>
        <v>0</v>
      </c>
      <c r="U363" s="32">
        <f t="shared" si="52"/>
        <v>0</v>
      </c>
      <c r="V363" s="32">
        <f>'2 REPAIR ESTIMATOR'!AG390</f>
        <v>0</v>
      </c>
      <c r="W363" s="32">
        <f>'2 REPAIR ESTIMATOR'!AJ390</f>
        <v>0</v>
      </c>
    </row>
    <row r="364" spans="3:23" ht="18" hidden="1">
      <c r="C364" s="3720" t="str">
        <f>T('2 REPAIR ESTIMATOR'!D391:O391)</f>
        <v/>
      </c>
      <c r="D364" s="3721"/>
      <c r="E364" s="3721"/>
      <c r="F364" s="3721"/>
      <c r="G364" s="3721"/>
      <c r="H364" s="3721"/>
      <c r="I364" s="916">
        <f>'2 REPAIR ESTIMATOR'!P391</f>
        <v>0</v>
      </c>
      <c r="J364" s="917">
        <f>'2 REPAIR ESTIMATOR'!S391</f>
        <v>0</v>
      </c>
      <c r="K364" s="918">
        <f t="shared" si="48"/>
        <v>0</v>
      </c>
      <c r="L364" s="918">
        <f t="shared" si="49"/>
        <v>0</v>
      </c>
      <c r="M364" s="918">
        <f t="shared" si="50"/>
        <v>0</v>
      </c>
      <c r="N364" s="3719">
        <f t="shared" si="51"/>
        <v>0</v>
      </c>
      <c r="O364" s="3719"/>
      <c r="P364" s="490">
        <f t="shared" si="53"/>
        <v>0</v>
      </c>
      <c r="S364" s="32">
        <f>'2 REPAIR ESTIMATOR'!AD391</f>
        <v>0</v>
      </c>
      <c r="T364" s="32">
        <f>'2 REPAIR ESTIMATOR'!AM391</f>
        <v>0</v>
      </c>
      <c r="U364" s="32">
        <f t="shared" si="52"/>
        <v>0</v>
      </c>
      <c r="V364" s="32">
        <f>'2 REPAIR ESTIMATOR'!AG391</f>
        <v>0</v>
      </c>
      <c r="W364" s="32">
        <f>'2 REPAIR ESTIMATOR'!AJ391</f>
        <v>0</v>
      </c>
    </row>
    <row r="365" spans="3:23" ht="18" hidden="1">
      <c r="C365" s="3720" t="str">
        <f>T('2 REPAIR ESTIMATOR'!D392:O392)</f>
        <v/>
      </c>
      <c r="D365" s="3721"/>
      <c r="E365" s="3721"/>
      <c r="F365" s="3721"/>
      <c r="G365" s="3721"/>
      <c r="H365" s="3721"/>
      <c r="I365" s="916">
        <f>'2 REPAIR ESTIMATOR'!P392</f>
        <v>0</v>
      </c>
      <c r="J365" s="917">
        <f>'2 REPAIR ESTIMATOR'!S392</f>
        <v>0</v>
      </c>
      <c r="K365" s="918">
        <f t="shared" si="48"/>
        <v>0</v>
      </c>
      <c r="L365" s="918">
        <f t="shared" si="49"/>
        <v>0</v>
      </c>
      <c r="M365" s="918">
        <f t="shared" si="50"/>
        <v>0</v>
      </c>
      <c r="N365" s="3719">
        <f t="shared" si="51"/>
        <v>0</v>
      </c>
      <c r="O365" s="3719"/>
      <c r="P365" s="490">
        <f t="shared" si="53"/>
        <v>0</v>
      </c>
      <c r="S365" s="32">
        <f>'2 REPAIR ESTIMATOR'!AD392</f>
        <v>0</v>
      </c>
      <c r="T365" s="32">
        <f>'2 REPAIR ESTIMATOR'!AM392</f>
        <v>0</v>
      </c>
      <c r="U365" s="32">
        <f t="shared" si="52"/>
        <v>0</v>
      </c>
      <c r="V365" s="32">
        <f>'2 REPAIR ESTIMATOR'!AG392</f>
        <v>0</v>
      </c>
      <c r="W365" s="32">
        <f>'2 REPAIR ESTIMATOR'!AJ392</f>
        <v>0</v>
      </c>
    </row>
    <row r="366" spans="3:23" ht="18" hidden="1">
      <c r="C366" s="3720" t="str">
        <f>T('2 REPAIR ESTIMATOR'!D393:O393)</f>
        <v/>
      </c>
      <c r="D366" s="3721"/>
      <c r="E366" s="3721"/>
      <c r="F366" s="3721"/>
      <c r="G366" s="3721"/>
      <c r="H366" s="3721"/>
      <c r="I366" s="916">
        <f>'2 REPAIR ESTIMATOR'!P393</f>
        <v>0</v>
      </c>
      <c r="J366" s="917">
        <f>'2 REPAIR ESTIMATOR'!S393</f>
        <v>0</v>
      </c>
      <c r="K366" s="918">
        <f t="shared" si="48"/>
        <v>0</v>
      </c>
      <c r="L366" s="918">
        <f t="shared" si="49"/>
        <v>0</v>
      </c>
      <c r="M366" s="918">
        <f t="shared" si="50"/>
        <v>0</v>
      </c>
      <c r="N366" s="3719">
        <f t="shared" si="51"/>
        <v>0</v>
      </c>
      <c r="O366" s="3719"/>
      <c r="P366" s="490">
        <f t="shared" si="53"/>
        <v>0</v>
      </c>
      <c r="S366" s="32">
        <f>'2 REPAIR ESTIMATOR'!AD393</f>
        <v>0</v>
      </c>
      <c r="T366" s="32">
        <f>'2 REPAIR ESTIMATOR'!AM393</f>
        <v>0</v>
      </c>
      <c r="U366" s="32">
        <f t="shared" si="52"/>
        <v>0</v>
      </c>
      <c r="V366" s="32">
        <f>'2 REPAIR ESTIMATOR'!AG393</f>
        <v>0</v>
      </c>
      <c r="W366" s="32">
        <f>'2 REPAIR ESTIMATOR'!AJ393</f>
        <v>0</v>
      </c>
    </row>
    <row r="367" spans="3:23" ht="18" hidden="1">
      <c r="C367" s="3720" t="str">
        <f>T('2 REPAIR ESTIMATOR'!D394:O394)</f>
        <v/>
      </c>
      <c r="D367" s="3721"/>
      <c r="E367" s="3721"/>
      <c r="F367" s="3721"/>
      <c r="G367" s="3721"/>
      <c r="H367" s="3721"/>
      <c r="I367" s="916">
        <f>'2 REPAIR ESTIMATOR'!P394</f>
        <v>0</v>
      </c>
      <c r="J367" s="917">
        <f>'2 REPAIR ESTIMATOR'!S394</f>
        <v>0</v>
      </c>
      <c r="K367" s="918">
        <f t="shared" si="48"/>
        <v>0</v>
      </c>
      <c r="L367" s="918">
        <f t="shared" si="49"/>
        <v>0</v>
      </c>
      <c r="M367" s="918">
        <f t="shared" si="50"/>
        <v>0</v>
      </c>
      <c r="N367" s="3719">
        <f t="shared" si="51"/>
        <v>0</v>
      </c>
      <c r="O367" s="3719"/>
      <c r="P367" s="490">
        <f t="shared" si="53"/>
        <v>0</v>
      </c>
      <c r="S367" s="32">
        <f>'2 REPAIR ESTIMATOR'!AD394</f>
        <v>0</v>
      </c>
      <c r="T367" s="32">
        <f>'2 REPAIR ESTIMATOR'!AM394</f>
        <v>0</v>
      </c>
      <c r="U367" s="32">
        <f t="shared" si="52"/>
        <v>0</v>
      </c>
      <c r="V367" s="32">
        <f>'2 REPAIR ESTIMATOR'!AG394</f>
        <v>0</v>
      </c>
      <c r="W367" s="32">
        <f>'2 REPAIR ESTIMATOR'!AJ394</f>
        <v>0</v>
      </c>
    </row>
    <row r="368" spans="3:23" ht="18" hidden="1">
      <c r="C368" s="3720" t="str">
        <f>T('2 REPAIR ESTIMATOR'!D395:O395)</f>
        <v/>
      </c>
      <c r="D368" s="3721"/>
      <c r="E368" s="3721"/>
      <c r="F368" s="3721"/>
      <c r="G368" s="3721"/>
      <c r="H368" s="3721"/>
      <c r="I368" s="916">
        <f>'2 REPAIR ESTIMATOR'!P395</f>
        <v>0</v>
      </c>
      <c r="J368" s="917">
        <f>'2 REPAIR ESTIMATOR'!S395</f>
        <v>0</v>
      </c>
      <c r="K368" s="918">
        <f t="shared" si="48"/>
        <v>0</v>
      </c>
      <c r="L368" s="918">
        <f t="shared" si="49"/>
        <v>0</v>
      </c>
      <c r="M368" s="918">
        <f t="shared" si="50"/>
        <v>0</v>
      </c>
      <c r="N368" s="3719">
        <f t="shared" si="51"/>
        <v>0</v>
      </c>
      <c r="O368" s="3719"/>
      <c r="P368" s="490">
        <f t="shared" si="53"/>
        <v>0</v>
      </c>
      <c r="S368" s="32">
        <f>'2 REPAIR ESTIMATOR'!AD395</f>
        <v>0</v>
      </c>
      <c r="T368" s="32">
        <f>'2 REPAIR ESTIMATOR'!AM395</f>
        <v>0</v>
      </c>
      <c r="U368" s="32">
        <f t="shared" si="52"/>
        <v>0</v>
      </c>
      <c r="V368" s="32">
        <f>'2 REPAIR ESTIMATOR'!AG395</f>
        <v>0</v>
      </c>
      <c r="W368" s="32">
        <f>'2 REPAIR ESTIMATOR'!AJ395</f>
        <v>0</v>
      </c>
    </row>
    <row r="369" spans="3:23" ht="18" hidden="1">
      <c r="C369" s="3720" t="str">
        <f>T('2 REPAIR ESTIMATOR'!D396:O396)</f>
        <v/>
      </c>
      <c r="D369" s="3721"/>
      <c r="E369" s="3721"/>
      <c r="F369" s="3721"/>
      <c r="G369" s="3721"/>
      <c r="H369" s="3721"/>
      <c r="I369" s="916">
        <f>'2 REPAIR ESTIMATOR'!P396</f>
        <v>0</v>
      </c>
      <c r="J369" s="917">
        <f>'2 REPAIR ESTIMATOR'!S396</f>
        <v>0</v>
      </c>
      <c r="K369" s="918">
        <f t="shared" si="48"/>
        <v>0</v>
      </c>
      <c r="L369" s="918">
        <f t="shared" si="49"/>
        <v>0</v>
      </c>
      <c r="M369" s="918">
        <f t="shared" si="50"/>
        <v>0</v>
      </c>
      <c r="N369" s="3719">
        <f t="shared" si="51"/>
        <v>0</v>
      </c>
      <c r="O369" s="3719"/>
      <c r="P369" s="490">
        <f t="shared" si="53"/>
        <v>0</v>
      </c>
      <c r="S369" s="32">
        <f>'2 REPAIR ESTIMATOR'!AD396</f>
        <v>0</v>
      </c>
      <c r="T369" s="32">
        <f>'2 REPAIR ESTIMATOR'!AM396</f>
        <v>0</v>
      </c>
      <c r="U369" s="32">
        <f t="shared" si="52"/>
        <v>0</v>
      </c>
      <c r="V369" s="32">
        <f>'2 REPAIR ESTIMATOR'!AG396</f>
        <v>0</v>
      </c>
      <c r="W369" s="32">
        <f>'2 REPAIR ESTIMATOR'!AJ396</f>
        <v>0</v>
      </c>
    </row>
    <row r="370" spans="3:23" ht="18.350000000000001" hidden="1" thickBot="1">
      <c r="C370" s="3779" t="str">
        <f>T('2 REPAIR ESTIMATOR'!D397:O397)</f>
        <v/>
      </c>
      <c r="D370" s="3780"/>
      <c r="E370" s="3780"/>
      <c r="F370" s="3780"/>
      <c r="G370" s="3780"/>
      <c r="H370" s="3780"/>
      <c r="I370" s="919">
        <f>'2 REPAIR ESTIMATOR'!P397</f>
        <v>0</v>
      </c>
      <c r="J370" s="920">
        <f>'2 REPAIR ESTIMATOR'!S397</f>
        <v>0</v>
      </c>
      <c r="K370" s="921">
        <f t="shared" si="48"/>
        <v>0</v>
      </c>
      <c r="L370" s="921">
        <f t="shared" si="49"/>
        <v>0</v>
      </c>
      <c r="M370" s="921">
        <f t="shared" si="50"/>
        <v>0</v>
      </c>
      <c r="N370" s="3781">
        <f t="shared" si="51"/>
        <v>0</v>
      </c>
      <c r="O370" s="3781"/>
      <c r="P370" s="490">
        <f t="shared" si="53"/>
        <v>0</v>
      </c>
      <c r="S370" s="32">
        <f>'2 REPAIR ESTIMATOR'!AD397</f>
        <v>0</v>
      </c>
      <c r="T370" s="32">
        <f>'2 REPAIR ESTIMATOR'!AM397</f>
        <v>0</v>
      </c>
      <c r="U370" s="32">
        <f t="shared" si="52"/>
        <v>0</v>
      </c>
      <c r="V370" s="32">
        <f>'2 REPAIR ESTIMATOR'!AG397</f>
        <v>0</v>
      </c>
      <c r="W370" s="32">
        <f>'2 REPAIR ESTIMATOR'!AJ397</f>
        <v>0</v>
      </c>
    </row>
    <row r="371" spans="3:23" ht="18.350000000000001" hidden="1" thickBot="1">
      <c r="C371" s="3723" t="str">
        <f>T('2 REPAIR ESTIMATOR'!AC399)</f>
        <v>DECKING AND PATIOS TOTAL</v>
      </c>
      <c r="D371" s="3724"/>
      <c r="E371" s="3724"/>
      <c r="F371" s="3724"/>
      <c r="G371" s="3724"/>
      <c r="H371" s="3724"/>
      <c r="I371" s="3724"/>
      <c r="J371" s="3724"/>
      <c r="K371" s="922">
        <f>SUM(K331:K370)</f>
        <v>0</v>
      </c>
      <c r="L371" s="922">
        <f>SUM(L331:L370)</f>
        <v>0</v>
      </c>
      <c r="M371" s="922">
        <f>SUM(M331:M370)</f>
        <v>0</v>
      </c>
      <c r="N371" s="3789">
        <f>SUM(N331:O370)</f>
        <v>0</v>
      </c>
      <c r="O371" s="3789"/>
      <c r="P371" s="489">
        <f>SUM(P330:P340)</f>
        <v>0</v>
      </c>
      <c r="S371" s="33">
        <f>SUM(S331:S370)</f>
        <v>0</v>
      </c>
      <c r="T371" s="33">
        <f>SUM(T331:T370)</f>
        <v>0</v>
      </c>
      <c r="U371" s="33">
        <f>SUM(U331:U370)</f>
        <v>0</v>
      </c>
      <c r="V371" s="33">
        <f>SUM(V331:V370)</f>
        <v>0</v>
      </c>
      <c r="W371" s="33">
        <f>SUM(W331:W370)</f>
        <v>0</v>
      </c>
    </row>
    <row r="372" spans="3:23" ht="8.85" hidden="1" customHeight="1">
      <c r="C372" s="841"/>
      <c r="D372" s="841"/>
      <c r="E372" s="841"/>
      <c r="F372" s="841"/>
      <c r="G372" s="841"/>
      <c r="H372" s="841"/>
      <c r="I372" s="842"/>
      <c r="J372" s="842"/>
      <c r="K372" s="842"/>
      <c r="L372" s="842"/>
      <c r="M372" s="842"/>
      <c r="N372" s="843"/>
      <c r="O372" s="798"/>
      <c r="P372" s="489">
        <f>P371</f>
        <v>0</v>
      </c>
    </row>
    <row r="373" spans="3:23" ht="21" hidden="1" customHeight="1" thickBot="1">
      <c r="C373" s="3782" t="str">
        <f>T('2 REPAIR ESTIMATOR'!D402:O402)</f>
        <v>ROOFING</v>
      </c>
      <c r="D373" s="3783"/>
      <c r="E373" s="3783"/>
      <c r="F373" s="3783"/>
      <c r="G373" s="3783"/>
      <c r="H373" s="3783"/>
      <c r="I373" s="799">
        <f>SUM(I374:I413)</f>
        <v>0</v>
      </c>
      <c r="J373" s="800"/>
      <c r="K373" s="850"/>
      <c r="L373" s="850"/>
      <c r="M373" s="850"/>
      <c r="N373" s="3722"/>
      <c r="O373" s="3722"/>
      <c r="P373" s="489">
        <f t="shared" ref="P373:P393" si="54">I373</f>
        <v>0</v>
      </c>
      <c r="S373" s="34"/>
      <c r="T373" s="34"/>
      <c r="U373" s="34"/>
      <c r="V373" s="34"/>
      <c r="W373" s="34"/>
    </row>
    <row r="374" spans="3:23" ht="18" hidden="1">
      <c r="C374" s="3720" t="str">
        <f>T('2 REPAIR ESTIMATOR'!D403:O403)</f>
        <v>Roofing bid/allowance</v>
      </c>
      <c r="D374" s="3721"/>
      <c r="E374" s="3721"/>
      <c r="F374" s="3721"/>
      <c r="G374" s="3721"/>
      <c r="H374" s="3721"/>
      <c r="I374" s="916">
        <f>'2 REPAIR ESTIMATOR'!P403</f>
        <v>0</v>
      </c>
      <c r="J374" s="917" t="str">
        <f>'2 REPAIR ESTIMATOR'!S403</f>
        <v>ls</v>
      </c>
      <c r="K374" s="918">
        <f t="shared" ref="K374:K413" si="55">IF($N$3="subbed",U374,S374)*$S$70</f>
        <v>0</v>
      </c>
      <c r="L374" s="918">
        <f>V374*$S$70</f>
        <v>0</v>
      </c>
      <c r="M374" s="918">
        <f>W374*$S$70</f>
        <v>0</v>
      </c>
      <c r="N374" s="3719">
        <f>SUM(K374:M374)</f>
        <v>0</v>
      </c>
      <c r="O374" s="3719"/>
      <c r="P374" s="490">
        <f t="shared" si="54"/>
        <v>0</v>
      </c>
      <c r="S374" s="32">
        <f>'2 REPAIR ESTIMATOR'!AD403</f>
        <v>0</v>
      </c>
      <c r="T374" s="32">
        <f>'2 REPAIR ESTIMATOR'!AM403</f>
        <v>0</v>
      </c>
      <c r="U374" s="32">
        <f>T374+S374</f>
        <v>0</v>
      </c>
      <c r="V374" s="32">
        <f>'2 REPAIR ESTIMATOR'!AG403</f>
        <v>0</v>
      </c>
      <c r="W374" s="32">
        <f>'2 REPAIR ESTIMATOR'!AJ403</f>
        <v>0</v>
      </c>
    </row>
    <row r="375" spans="3:23" ht="18" hidden="1">
      <c r="C375" s="3787" t="str">
        <f>T('2 REPAIR ESTIMATOR'!D404:O404)</f>
        <v>Asphalt shingle roof</v>
      </c>
      <c r="D375" s="3788"/>
      <c r="E375" s="3788"/>
      <c r="F375" s="3788"/>
      <c r="G375" s="3788"/>
      <c r="H375" s="3788"/>
      <c r="I375" s="916">
        <f>'2 REPAIR ESTIMATOR'!P404</f>
        <v>0</v>
      </c>
      <c r="J375" s="917">
        <f>'2 REPAIR ESTIMATOR'!S404</f>
        <v>0</v>
      </c>
      <c r="K375" s="918">
        <f t="shared" si="55"/>
        <v>0</v>
      </c>
      <c r="L375" s="918">
        <f t="shared" ref="L375:L413" si="56">V375*$S$70</f>
        <v>0</v>
      </c>
      <c r="M375" s="918">
        <f t="shared" ref="M375:M413" si="57">W375*$S$70</f>
        <v>0</v>
      </c>
      <c r="N375" s="3719">
        <f t="shared" ref="N375:N413" si="58">SUM(K375:M375)</f>
        <v>0</v>
      </c>
      <c r="O375" s="3719"/>
      <c r="P375" s="490">
        <f t="shared" si="54"/>
        <v>0</v>
      </c>
      <c r="S375" s="32">
        <f>'2 REPAIR ESTIMATOR'!AD404</f>
        <v>0</v>
      </c>
      <c r="T375" s="32">
        <f>'2 REPAIR ESTIMATOR'!AM404</f>
        <v>0</v>
      </c>
      <c r="U375" s="32">
        <f t="shared" ref="U375:U413" si="59">T375+S375</f>
        <v>0</v>
      </c>
      <c r="V375" s="32">
        <f>'2 REPAIR ESTIMATOR'!AG404</f>
        <v>0</v>
      </c>
      <c r="W375" s="32">
        <f>'2 REPAIR ESTIMATOR'!AJ404</f>
        <v>0</v>
      </c>
    </row>
    <row r="376" spans="3:23" ht="18" hidden="1">
      <c r="C376" s="3720" t="str">
        <f>T('2 REPAIR ESTIMATOR'!D405:O405)</f>
        <v>Roof repair/patch, asphalt</v>
      </c>
      <c r="D376" s="3721"/>
      <c r="E376" s="3721"/>
      <c r="F376" s="3721"/>
      <c r="G376" s="3721"/>
      <c r="H376" s="3721"/>
      <c r="I376" s="916">
        <f>'2 REPAIR ESTIMATOR'!P405</f>
        <v>0</v>
      </c>
      <c r="J376" s="917" t="str">
        <f>'2 REPAIR ESTIMATOR'!S405</f>
        <v>ea</v>
      </c>
      <c r="K376" s="918">
        <f t="shared" si="55"/>
        <v>0</v>
      </c>
      <c r="L376" s="918">
        <f t="shared" si="56"/>
        <v>0</v>
      </c>
      <c r="M376" s="918">
        <f t="shared" si="57"/>
        <v>0</v>
      </c>
      <c r="N376" s="3719">
        <f t="shared" si="58"/>
        <v>0</v>
      </c>
      <c r="O376" s="3719"/>
      <c r="P376" s="490">
        <f t="shared" si="54"/>
        <v>0</v>
      </c>
      <c r="S376" s="32">
        <f>'2 REPAIR ESTIMATOR'!AD405</f>
        <v>0</v>
      </c>
      <c r="T376" s="32">
        <f>'2 REPAIR ESTIMATOR'!AM405</f>
        <v>0</v>
      </c>
      <c r="U376" s="32">
        <f t="shared" si="59"/>
        <v>0</v>
      </c>
      <c r="V376" s="32">
        <f>'2 REPAIR ESTIMATOR'!AG405</f>
        <v>0</v>
      </c>
      <c r="W376" s="32">
        <f>'2 REPAIR ESTIMATOR'!AJ405</f>
        <v>0</v>
      </c>
    </row>
    <row r="377" spans="3:23" ht="18" hidden="1">
      <c r="C377" s="3720" t="str">
        <f>T('2 REPAIR ESTIMATOR'!D406:O406)</f>
        <v>Roof replacement-demo &amp; replace, 3-tab</v>
      </c>
      <c r="D377" s="3721"/>
      <c r="E377" s="3721"/>
      <c r="F377" s="3721"/>
      <c r="G377" s="3721"/>
      <c r="H377" s="3721"/>
      <c r="I377" s="916">
        <f>'2 REPAIR ESTIMATOR'!P406</f>
        <v>0</v>
      </c>
      <c r="J377" s="917" t="str">
        <f>'2 REPAIR ESTIMATOR'!S406</f>
        <v>sq</v>
      </c>
      <c r="K377" s="918">
        <f t="shared" si="55"/>
        <v>0</v>
      </c>
      <c r="L377" s="918">
        <f t="shared" si="56"/>
        <v>0</v>
      </c>
      <c r="M377" s="918">
        <f t="shared" si="57"/>
        <v>0</v>
      </c>
      <c r="N377" s="3719">
        <f t="shared" si="58"/>
        <v>0</v>
      </c>
      <c r="O377" s="3719"/>
      <c r="P377" s="490">
        <f t="shared" si="54"/>
        <v>0</v>
      </c>
      <c r="S377" s="32">
        <f>'2 REPAIR ESTIMATOR'!AD406</f>
        <v>0</v>
      </c>
      <c r="T377" s="32">
        <f>'2 REPAIR ESTIMATOR'!AM406</f>
        <v>0</v>
      </c>
      <c r="U377" s="32">
        <f t="shared" si="59"/>
        <v>0</v>
      </c>
      <c r="V377" s="32">
        <f>'2 REPAIR ESTIMATOR'!AG406</f>
        <v>0</v>
      </c>
      <c r="W377" s="32">
        <f>'2 REPAIR ESTIMATOR'!AJ406</f>
        <v>0</v>
      </c>
    </row>
    <row r="378" spans="3:23" ht="18" hidden="1">
      <c r="C378" s="3720" t="str">
        <f>T('2 REPAIR ESTIMATOR'!D407:O407)</f>
        <v>Roof replacement-demo &amp; replace, architectural</v>
      </c>
      <c r="D378" s="3721"/>
      <c r="E378" s="3721"/>
      <c r="F378" s="3721"/>
      <c r="G378" s="3721"/>
      <c r="H378" s="3721"/>
      <c r="I378" s="916">
        <f>'2 REPAIR ESTIMATOR'!P407</f>
        <v>0</v>
      </c>
      <c r="J378" s="917" t="str">
        <f>'2 REPAIR ESTIMATOR'!S407</f>
        <v>sq</v>
      </c>
      <c r="K378" s="918">
        <f t="shared" si="55"/>
        <v>0</v>
      </c>
      <c r="L378" s="918">
        <f t="shared" si="56"/>
        <v>0</v>
      </c>
      <c r="M378" s="918">
        <f t="shared" si="57"/>
        <v>0</v>
      </c>
      <c r="N378" s="3719">
        <f t="shared" si="58"/>
        <v>0</v>
      </c>
      <c r="O378" s="3719"/>
      <c r="P378" s="490">
        <f t="shared" si="54"/>
        <v>0</v>
      </c>
      <c r="S378" s="32">
        <f>'2 REPAIR ESTIMATOR'!AD407</f>
        <v>0</v>
      </c>
      <c r="T378" s="32">
        <f>'2 REPAIR ESTIMATOR'!AM407</f>
        <v>0</v>
      </c>
      <c r="U378" s="32">
        <f t="shared" si="59"/>
        <v>0</v>
      </c>
      <c r="V378" s="32">
        <f>'2 REPAIR ESTIMATOR'!AG407</f>
        <v>0</v>
      </c>
      <c r="W378" s="32">
        <f>'2 REPAIR ESTIMATOR'!AJ407</f>
        <v>0</v>
      </c>
    </row>
    <row r="379" spans="3:23" ht="18" hidden="1">
      <c r="C379" s="3720" t="str">
        <f>T('2 REPAIR ESTIMATOR'!D408:O408)</f>
        <v>Premium for 3 layer tear off</v>
      </c>
      <c r="D379" s="3721"/>
      <c r="E379" s="3721"/>
      <c r="F379" s="3721"/>
      <c r="G379" s="3721"/>
      <c r="H379" s="3721"/>
      <c r="I379" s="916">
        <f>'2 REPAIR ESTIMATOR'!P408</f>
        <v>0</v>
      </c>
      <c r="J379" s="917" t="str">
        <f>'2 REPAIR ESTIMATOR'!S408</f>
        <v>sq</v>
      </c>
      <c r="K379" s="918">
        <f t="shared" si="55"/>
        <v>0</v>
      </c>
      <c r="L379" s="918">
        <f t="shared" si="56"/>
        <v>0</v>
      </c>
      <c r="M379" s="918">
        <f t="shared" si="57"/>
        <v>0</v>
      </c>
      <c r="N379" s="3719">
        <f t="shared" si="58"/>
        <v>0</v>
      </c>
      <c r="O379" s="3719"/>
      <c r="P379" s="490">
        <f t="shared" si="54"/>
        <v>0</v>
      </c>
      <c r="S379" s="32">
        <f>'2 REPAIR ESTIMATOR'!AD408</f>
        <v>0</v>
      </c>
      <c r="T379" s="32">
        <f>'2 REPAIR ESTIMATOR'!AM408</f>
        <v>0</v>
      </c>
      <c r="U379" s="32">
        <f t="shared" si="59"/>
        <v>0</v>
      </c>
      <c r="V379" s="32">
        <f>'2 REPAIR ESTIMATOR'!AG408</f>
        <v>0</v>
      </c>
      <c r="W379" s="32">
        <f>'2 REPAIR ESTIMATOR'!AJ408</f>
        <v>0</v>
      </c>
    </row>
    <row r="380" spans="3:23" ht="18" hidden="1">
      <c r="C380" s="3720" t="str">
        <f>T('2 REPAIR ESTIMATOR'!D409:O409)</f>
        <v>Premium for steep pitch roof</v>
      </c>
      <c r="D380" s="3721"/>
      <c r="E380" s="3721"/>
      <c r="F380" s="3721"/>
      <c r="G380" s="3721"/>
      <c r="H380" s="3721"/>
      <c r="I380" s="916">
        <f>'2 REPAIR ESTIMATOR'!P409</f>
        <v>0</v>
      </c>
      <c r="J380" s="917" t="str">
        <f>'2 REPAIR ESTIMATOR'!S409</f>
        <v>sq</v>
      </c>
      <c r="K380" s="918">
        <f t="shared" si="55"/>
        <v>0</v>
      </c>
      <c r="L380" s="918">
        <f t="shared" si="56"/>
        <v>0</v>
      </c>
      <c r="M380" s="918">
        <f t="shared" si="57"/>
        <v>0</v>
      </c>
      <c r="N380" s="3719">
        <f t="shared" si="58"/>
        <v>0</v>
      </c>
      <c r="O380" s="3719"/>
      <c r="P380" s="490">
        <f t="shared" si="54"/>
        <v>0</v>
      </c>
      <c r="S380" s="32">
        <f>'2 REPAIR ESTIMATOR'!AD409</f>
        <v>0</v>
      </c>
      <c r="T380" s="32">
        <f>'2 REPAIR ESTIMATOR'!AM409</f>
        <v>0</v>
      </c>
      <c r="U380" s="32">
        <f t="shared" si="59"/>
        <v>0</v>
      </c>
      <c r="V380" s="32">
        <f>'2 REPAIR ESTIMATOR'!AG409</f>
        <v>0</v>
      </c>
      <c r="W380" s="32">
        <f>'2 REPAIR ESTIMATOR'!AJ409</f>
        <v>0</v>
      </c>
    </row>
    <row r="381" spans="3:23" ht="18" hidden="1">
      <c r="C381" s="3720" t="str">
        <f>T('2 REPAIR ESTIMATOR'!D410:O410)</f>
        <v/>
      </c>
      <c r="D381" s="3721"/>
      <c r="E381" s="3721"/>
      <c r="F381" s="3721"/>
      <c r="G381" s="3721"/>
      <c r="H381" s="3721"/>
      <c r="I381" s="916">
        <f>'2 REPAIR ESTIMATOR'!P410</f>
        <v>0</v>
      </c>
      <c r="J381" s="917">
        <f>'2 REPAIR ESTIMATOR'!S410</f>
        <v>0</v>
      </c>
      <c r="K381" s="918">
        <f t="shared" si="55"/>
        <v>0</v>
      </c>
      <c r="L381" s="918">
        <f t="shared" si="56"/>
        <v>0</v>
      </c>
      <c r="M381" s="918">
        <f t="shared" si="57"/>
        <v>0</v>
      </c>
      <c r="N381" s="3719">
        <f t="shared" si="58"/>
        <v>0</v>
      </c>
      <c r="O381" s="3719"/>
      <c r="P381" s="490">
        <f t="shared" si="54"/>
        <v>0</v>
      </c>
      <c r="S381" s="32">
        <f>'2 REPAIR ESTIMATOR'!AD410</f>
        <v>0</v>
      </c>
      <c r="T381" s="32">
        <f>'2 REPAIR ESTIMATOR'!AM410</f>
        <v>0</v>
      </c>
      <c r="U381" s="32">
        <f t="shared" si="59"/>
        <v>0</v>
      </c>
      <c r="V381" s="32">
        <f>'2 REPAIR ESTIMATOR'!AG410</f>
        <v>0</v>
      </c>
      <c r="W381" s="32">
        <f>'2 REPAIR ESTIMATOR'!AJ410</f>
        <v>0</v>
      </c>
    </row>
    <row r="382" spans="3:23" ht="18" hidden="1">
      <c r="C382" s="3787" t="str">
        <f>T('2 REPAIR ESTIMATOR'!D411:O411)</f>
        <v>Wood Shingle Roof</v>
      </c>
      <c r="D382" s="3788"/>
      <c r="E382" s="3788"/>
      <c r="F382" s="3788"/>
      <c r="G382" s="3788"/>
      <c r="H382" s="3788"/>
      <c r="I382" s="916">
        <f>'2 REPAIR ESTIMATOR'!P411</f>
        <v>0</v>
      </c>
      <c r="J382" s="917">
        <f>'2 REPAIR ESTIMATOR'!S411</f>
        <v>0</v>
      </c>
      <c r="K382" s="918">
        <f t="shared" si="55"/>
        <v>0</v>
      </c>
      <c r="L382" s="918">
        <f t="shared" si="56"/>
        <v>0</v>
      </c>
      <c r="M382" s="918">
        <f t="shared" si="57"/>
        <v>0</v>
      </c>
      <c r="N382" s="3719">
        <f t="shared" si="58"/>
        <v>0</v>
      </c>
      <c r="O382" s="3719"/>
      <c r="P382" s="490">
        <f t="shared" si="54"/>
        <v>0</v>
      </c>
      <c r="S382" s="32">
        <f>'2 REPAIR ESTIMATOR'!AD411</f>
        <v>0</v>
      </c>
      <c r="T382" s="32">
        <f>'2 REPAIR ESTIMATOR'!AM411</f>
        <v>0</v>
      </c>
      <c r="U382" s="32">
        <f t="shared" si="59"/>
        <v>0</v>
      </c>
      <c r="V382" s="32">
        <f>'2 REPAIR ESTIMATOR'!AG411</f>
        <v>0</v>
      </c>
      <c r="W382" s="32">
        <f>'2 REPAIR ESTIMATOR'!AJ411</f>
        <v>0</v>
      </c>
    </row>
    <row r="383" spans="3:23" ht="18" hidden="1">
      <c r="C383" s="3720" t="str">
        <f>T('2 REPAIR ESTIMATOR'!D412:O412)</f>
        <v>Roof repair/patch, wood</v>
      </c>
      <c r="D383" s="3721"/>
      <c r="E383" s="3721"/>
      <c r="F383" s="3721"/>
      <c r="G383" s="3721"/>
      <c r="H383" s="3721"/>
      <c r="I383" s="916">
        <f>'2 REPAIR ESTIMATOR'!P412</f>
        <v>0</v>
      </c>
      <c r="J383" s="917" t="str">
        <f>'2 REPAIR ESTIMATOR'!S412</f>
        <v>ea</v>
      </c>
      <c r="K383" s="918">
        <f t="shared" si="55"/>
        <v>0</v>
      </c>
      <c r="L383" s="918">
        <f t="shared" si="56"/>
        <v>0</v>
      </c>
      <c r="M383" s="918">
        <f t="shared" si="57"/>
        <v>0</v>
      </c>
      <c r="N383" s="3719">
        <f t="shared" si="58"/>
        <v>0</v>
      </c>
      <c r="O383" s="3719"/>
      <c r="P383" s="490">
        <f t="shared" si="54"/>
        <v>0</v>
      </c>
      <c r="S383" s="32">
        <f>'2 REPAIR ESTIMATOR'!AD412</f>
        <v>0</v>
      </c>
      <c r="T383" s="32">
        <f>'2 REPAIR ESTIMATOR'!AM412</f>
        <v>0</v>
      </c>
      <c r="U383" s="32">
        <f t="shared" si="59"/>
        <v>0</v>
      </c>
      <c r="V383" s="32">
        <f>'2 REPAIR ESTIMATOR'!AG412</f>
        <v>0</v>
      </c>
      <c r="W383" s="32">
        <f>'2 REPAIR ESTIMATOR'!AJ412</f>
        <v>0</v>
      </c>
    </row>
    <row r="384" spans="3:23" ht="18" hidden="1">
      <c r="C384" s="3720" t="str">
        <f>T('2 REPAIR ESTIMATOR'!D413:O413)</f>
        <v>Roof replacement-demo &amp; replace, 3-tab</v>
      </c>
      <c r="D384" s="3721"/>
      <c r="E384" s="3721"/>
      <c r="F384" s="3721"/>
      <c r="G384" s="3721"/>
      <c r="H384" s="3721"/>
      <c r="I384" s="916">
        <f>'2 REPAIR ESTIMATOR'!P413</f>
        <v>0</v>
      </c>
      <c r="J384" s="917" t="str">
        <f>'2 REPAIR ESTIMATOR'!S413</f>
        <v>sq</v>
      </c>
      <c r="K384" s="918">
        <f t="shared" si="55"/>
        <v>0</v>
      </c>
      <c r="L384" s="918">
        <f t="shared" si="56"/>
        <v>0</v>
      </c>
      <c r="M384" s="918">
        <f t="shared" si="57"/>
        <v>0</v>
      </c>
      <c r="N384" s="3719">
        <f t="shared" si="58"/>
        <v>0</v>
      </c>
      <c r="O384" s="3719"/>
      <c r="P384" s="490">
        <f t="shared" si="54"/>
        <v>0</v>
      </c>
      <c r="S384" s="32">
        <f>'2 REPAIR ESTIMATOR'!AD413</f>
        <v>0</v>
      </c>
      <c r="T384" s="32">
        <f>'2 REPAIR ESTIMATOR'!AM413</f>
        <v>0</v>
      </c>
      <c r="U384" s="32">
        <f t="shared" si="59"/>
        <v>0</v>
      </c>
      <c r="V384" s="32">
        <f>'2 REPAIR ESTIMATOR'!AG413</f>
        <v>0</v>
      </c>
      <c r="W384" s="32">
        <f>'2 REPAIR ESTIMATOR'!AJ413</f>
        <v>0</v>
      </c>
    </row>
    <row r="385" spans="3:23" ht="18" hidden="1">
      <c r="C385" s="3720" t="str">
        <f>T('2 REPAIR ESTIMATOR'!D414:O414)</f>
        <v>Wood shingle, low end</v>
      </c>
      <c r="D385" s="3721"/>
      <c r="E385" s="3721"/>
      <c r="F385" s="3721"/>
      <c r="G385" s="3721"/>
      <c r="H385" s="3721"/>
      <c r="I385" s="916">
        <f>'2 REPAIR ESTIMATOR'!P414</f>
        <v>0</v>
      </c>
      <c r="J385" s="917" t="str">
        <f>'2 REPAIR ESTIMATOR'!S414</f>
        <v>sq</v>
      </c>
      <c r="K385" s="918">
        <f t="shared" si="55"/>
        <v>0</v>
      </c>
      <c r="L385" s="918">
        <f t="shared" si="56"/>
        <v>0</v>
      </c>
      <c r="M385" s="918">
        <f t="shared" si="57"/>
        <v>0</v>
      </c>
      <c r="N385" s="3719">
        <f t="shared" si="58"/>
        <v>0</v>
      </c>
      <c r="O385" s="3719"/>
      <c r="P385" s="490">
        <f t="shared" si="54"/>
        <v>0</v>
      </c>
      <c r="S385" s="32">
        <f>'2 REPAIR ESTIMATOR'!AD414</f>
        <v>0</v>
      </c>
      <c r="T385" s="32">
        <f>'2 REPAIR ESTIMATOR'!AM414</f>
        <v>0</v>
      </c>
      <c r="U385" s="32">
        <f t="shared" si="59"/>
        <v>0</v>
      </c>
      <c r="V385" s="32">
        <f>'2 REPAIR ESTIMATOR'!AG414</f>
        <v>0</v>
      </c>
      <c r="W385" s="32">
        <f>'2 REPAIR ESTIMATOR'!AJ414</f>
        <v>0</v>
      </c>
    </row>
    <row r="386" spans="3:23" ht="18" hidden="1">
      <c r="C386" s="3720" t="str">
        <f>T('2 REPAIR ESTIMATOR'!D415:O415)</f>
        <v>Wood shingle, high end</v>
      </c>
      <c r="D386" s="3721"/>
      <c r="E386" s="3721"/>
      <c r="F386" s="3721"/>
      <c r="G386" s="3721"/>
      <c r="H386" s="3721"/>
      <c r="I386" s="916">
        <f>'2 REPAIR ESTIMATOR'!P415</f>
        <v>0</v>
      </c>
      <c r="J386" s="917" t="str">
        <f>'2 REPAIR ESTIMATOR'!S415</f>
        <v>sq</v>
      </c>
      <c r="K386" s="918">
        <f t="shared" si="55"/>
        <v>0</v>
      </c>
      <c r="L386" s="918">
        <f t="shared" si="56"/>
        <v>0</v>
      </c>
      <c r="M386" s="918">
        <f t="shared" si="57"/>
        <v>0</v>
      </c>
      <c r="N386" s="3719">
        <f t="shared" si="58"/>
        <v>0</v>
      </c>
      <c r="O386" s="3719"/>
      <c r="P386" s="490">
        <f t="shared" si="54"/>
        <v>0</v>
      </c>
      <c r="S386" s="32">
        <f>'2 REPAIR ESTIMATOR'!AD415</f>
        <v>0</v>
      </c>
      <c r="T386" s="32">
        <f>'2 REPAIR ESTIMATOR'!AM415</f>
        <v>0</v>
      </c>
      <c r="U386" s="32">
        <f t="shared" si="59"/>
        <v>0</v>
      </c>
      <c r="V386" s="32">
        <f>'2 REPAIR ESTIMATOR'!AG415</f>
        <v>0</v>
      </c>
      <c r="W386" s="32">
        <f>'2 REPAIR ESTIMATOR'!AJ415</f>
        <v>0</v>
      </c>
    </row>
    <row r="387" spans="3:23" ht="18" hidden="1">
      <c r="C387" s="3720" t="str">
        <f>T('2 REPAIR ESTIMATOR'!D416:O416)</f>
        <v>Roof sheathing, plywood 1/2", remove &amp; install</v>
      </c>
      <c r="D387" s="3721"/>
      <c r="E387" s="3721"/>
      <c r="F387" s="3721"/>
      <c r="G387" s="3721"/>
      <c r="H387" s="3721"/>
      <c r="I387" s="916">
        <f>'2 REPAIR ESTIMATOR'!P416</f>
        <v>0</v>
      </c>
      <c r="J387" s="917" t="str">
        <f>'2 REPAIR ESTIMATOR'!S416</f>
        <v>sheet</v>
      </c>
      <c r="K387" s="918">
        <f t="shared" si="55"/>
        <v>0</v>
      </c>
      <c r="L387" s="918">
        <f t="shared" si="56"/>
        <v>0</v>
      </c>
      <c r="M387" s="918">
        <f t="shared" si="57"/>
        <v>0</v>
      </c>
      <c r="N387" s="3719">
        <f t="shared" si="58"/>
        <v>0</v>
      </c>
      <c r="O387" s="3719"/>
      <c r="P387" s="490">
        <f t="shared" si="54"/>
        <v>0</v>
      </c>
      <c r="S387" s="32">
        <f>'2 REPAIR ESTIMATOR'!AD416</f>
        <v>0</v>
      </c>
      <c r="T387" s="32">
        <f>'2 REPAIR ESTIMATOR'!AM416</f>
        <v>0</v>
      </c>
      <c r="U387" s="32">
        <f t="shared" si="59"/>
        <v>0</v>
      </c>
      <c r="V387" s="32">
        <f>'2 REPAIR ESTIMATOR'!AG416</f>
        <v>0</v>
      </c>
      <c r="W387" s="32">
        <f>'2 REPAIR ESTIMATOR'!AJ416</f>
        <v>0</v>
      </c>
    </row>
    <row r="388" spans="3:23" ht="18" hidden="1">
      <c r="C388" s="3720" t="str">
        <f>T('2 REPAIR ESTIMATOR'!D417:O417)</f>
        <v/>
      </c>
      <c r="D388" s="3721"/>
      <c r="E388" s="3721"/>
      <c r="F388" s="3721"/>
      <c r="G388" s="3721"/>
      <c r="H388" s="3721"/>
      <c r="I388" s="916">
        <f>'2 REPAIR ESTIMATOR'!P417</f>
        <v>0</v>
      </c>
      <c r="J388" s="917">
        <f>'2 REPAIR ESTIMATOR'!S417</f>
        <v>0</v>
      </c>
      <c r="K388" s="918">
        <f t="shared" si="55"/>
        <v>0</v>
      </c>
      <c r="L388" s="918">
        <f t="shared" si="56"/>
        <v>0</v>
      </c>
      <c r="M388" s="918">
        <f t="shared" si="57"/>
        <v>0</v>
      </c>
      <c r="N388" s="3719">
        <f t="shared" si="58"/>
        <v>0</v>
      </c>
      <c r="O388" s="3719"/>
      <c r="P388" s="490">
        <f t="shared" si="54"/>
        <v>0</v>
      </c>
      <c r="S388" s="32">
        <f>'2 REPAIR ESTIMATOR'!AD417</f>
        <v>0</v>
      </c>
      <c r="T388" s="32">
        <f>'2 REPAIR ESTIMATOR'!AM417</f>
        <v>0</v>
      </c>
      <c r="U388" s="32">
        <f t="shared" si="59"/>
        <v>0</v>
      </c>
      <c r="V388" s="32">
        <f>'2 REPAIR ESTIMATOR'!AG417</f>
        <v>0</v>
      </c>
      <c r="W388" s="32">
        <f>'2 REPAIR ESTIMATOR'!AJ417</f>
        <v>0</v>
      </c>
    </row>
    <row r="389" spans="3:23" ht="18" hidden="1">
      <c r="C389" s="3787" t="str">
        <f>T('2 REPAIR ESTIMATOR'!D418:O418)</f>
        <v>Slate/Clay Tile</v>
      </c>
      <c r="D389" s="3788"/>
      <c r="E389" s="3788"/>
      <c r="F389" s="3788"/>
      <c r="G389" s="3788"/>
      <c r="H389" s="3788"/>
      <c r="I389" s="916">
        <f>'2 REPAIR ESTIMATOR'!P418</f>
        <v>0</v>
      </c>
      <c r="J389" s="917">
        <f>'2 REPAIR ESTIMATOR'!S418</f>
        <v>0</v>
      </c>
      <c r="K389" s="918">
        <f t="shared" si="55"/>
        <v>0</v>
      </c>
      <c r="L389" s="918">
        <f t="shared" si="56"/>
        <v>0</v>
      </c>
      <c r="M389" s="918">
        <f t="shared" si="57"/>
        <v>0</v>
      </c>
      <c r="N389" s="3719">
        <f t="shared" si="58"/>
        <v>0</v>
      </c>
      <c r="O389" s="3719"/>
      <c r="P389" s="490">
        <f t="shared" si="54"/>
        <v>0</v>
      </c>
      <c r="S389" s="32">
        <f>'2 REPAIR ESTIMATOR'!AD418</f>
        <v>0</v>
      </c>
      <c r="T389" s="32">
        <f>'2 REPAIR ESTIMATOR'!AM418</f>
        <v>0</v>
      </c>
      <c r="U389" s="32">
        <f t="shared" si="59"/>
        <v>0</v>
      </c>
      <c r="V389" s="32">
        <f>'2 REPAIR ESTIMATOR'!AG418</f>
        <v>0</v>
      </c>
      <c r="W389" s="32">
        <f>'2 REPAIR ESTIMATOR'!AJ418</f>
        <v>0</v>
      </c>
    </row>
    <row r="390" spans="3:23" ht="18" hidden="1">
      <c r="C390" s="3720" t="str">
        <f>T('2 REPAIR ESTIMATOR'!D419:O419)</f>
        <v>Roof replacement-demo &amp; replace, slate</v>
      </c>
      <c r="D390" s="3721"/>
      <c r="E390" s="3721"/>
      <c r="F390" s="3721"/>
      <c r="G390" s="3721"/>
      <c r="H390" s="3721"/>
      <c r="I390" s="916">
        <f>'2 REPAIR ESTIMATOR'!P419</f>
        <v>0</v>
      </c>
      <c r="J390" s="917" t="str">
        <f>'2 REPAIR ESTIMATOR'!S419</f>
        <v>sq</v>
      </c>
      <c r="K390" s="918">
        <f t="shared" si="55"/>
        <v>0</v>
      </c>
      <c r="L390" s="918">
        <f t="shared" si="56"/>
        <v>0</v>
      </c>
      <c r="M390" s="918">
        <f t="shared" si="57"/>
        <v>0</v>
      </c>
      <c r="N390" s="3719">
        <f t="shared" si="58"/>
        <v>0</v>
      </c>
      <c r="O390" s="3719"/>
      <c r="P390" s="490">
        <f t="shared" si="54"/>
        <v>0</v>
      </c>
      <c r="S390" s="32">
        <f>'2 REPAIR ESTIMATOR'!AD419</f>
        <v>0</v>
      </c>
      <c r="T390" s="32">
        <f>'2 REPAIR ESTIMATOR'!AM419</f>
        <v>0</v>
      </c>
      <c r="U390" s="32">
        <f t="shared" si="59"/>
        <v>0</v>
      </c>
      <c r="V390" s="32">
        <f>'2 REPAIR ESTIMATOR'!AG419</f>
        <v>0</v>
      </c>
      <c r="W390" s="32">
        <f>'2 REPAIR ESTIMATOR'!AJ419</f>
        <v>0</v>
      </c>
    </row>
    <row r="391" spans="3:23" ht="18" hidden="1">
      <c r="C391" s="3720" t="str">
        <f>T('2 REPAIR ESTIMATOR'!D420:O420)</f>
        <v/>
      </c>
      <c r="D391" s="3721"/>
      <c r="E391" s="3721"/>
      <c r="F391" s="3721"/>
      <c r="G391" s="3721"/>
      <c r="H391" s="3721"/>
      <c r="I391" s="916">
        <f>'2 REPAIR ESTIMATOR'!P420</f>
        <v>0</v>
      </c>
      <c r="J391" s="917">
        <f>'2 REPAIR ESTIMATOR'!S420</f>
        <v>0</v>
      </c>
      <c r="K391" s="918">
        <f t="shared" si="55"/>
        <v>0</v>
      </c>
      <c r="L391" s="918">
        <f t="shared" si="56"/>
        <v>0</v>
      </c>
      <c r="M391" s="918">
        <f t="shared" si="57"/>
        <v>0</v>
      </c>
      <c r="N391" s="3719">
        <f t="shared" si="58"/>
        <v>0</v>
      </c>
      <c r="O391" s="3719"/>
      <c r="P391" s="490">
        <f t="shared" si="54"/>
        <v>0</v>
      </c>
      <c r="S391" s="32">
        <f>'2 REPAIR ESTIMATOR'!AD420</f>
        <v>0</v>
      </c>
      <c r="T391" s="32">
        <f>'2 REPAIR ESTIMATOR'!AM420</f>
        <v>0</v>
      </c>
      <c r="U391" s="32">
        <f t="shared" si="59"/>
        <v>0</v>
      </c>
      <c r="V391" s="32">
        <f>'2 REPAIR ESTIMATOR'!AG420</f>
        <v>0</v>
      </c>
      <c r="W391" s="32">
        <f>'2 REPAIR ESTIMATOR'!AJ420</f>
        <v>0</v>
      </c>
    </row>
    <row r="392" spans="3:23" ht="18" hidden="1">
      <c r="C392" s="3720" t="str">
        <f>T('2 REPAIR ESTIMATOR'!D421:O421)</f>
        <v>Gutters &amp; downspouts, aluminum</v>
      </c>
      <c r="D392" s="3721"/>
      <c r="E392" s="3721"/>
      <c r="F392" s="3721"/>
      <c r="G392" s="3721"/>
      <c r="H392" s="3721"/>
      <c r="I392" s="916">
        <f>'2 REPAIR ESTIMATOR'!P421</f>
        <v>0</v>
      </c>
      <c r="J392" s="917" t="str">
        <f>'2 REPAIR ESTIMATOR'!S421</f>
        <v>lf</v>
      </c>
      <c r="K392" s="918">
        <f t="shared" si="55"/>
        <v>0</v>
      </c>
      <c r="L392" s="918">
        <f t="shared" si="56"/>
        <v>0</v>
      </c>
      <c r="M392" s="918">
        <f t="shared" si="57"/>
        <v>0</v>
      </c>
      <c r="N392" s="3719">
        <f t="shared" si="58"/>
        <v>0</v>
      </c>
      <c r="O392" s="3719"/>
      <c r="P392" s="490">
        <f t="shared" si="54"/>
        <v>0</v>
      </c>
      <c r="S392" s="32">
        <f>'2 REPAIR ESTIMATOR'!AD421</f>
        <v>0</v>
      </c>
      <c r="T392" s="32">
        <f>'2 REPAIR ESTIMATOR'!AM421</f>
        <v>0</v>
      </c>
      <c r="U392" s="32">
        <f t="shared" si="59"/>
        <v>0</v>
      </c>
      <c r="V392" s="32">
        <f>'2 REPAIR ESTIMATOR'!AG421</f>
        <v>0</v>
      </c>
      <c r="W392" s="32">
        <f>'2 REPAIR ESTIMATOR'!AJ421</f>
        <v>0</v>
      </c>
    </row>
    <row r="393" spans="3:23" ht="18" hidden="1">
      <c r="C393" s="3720" t="str">
        <f>T('2 REPAIR ESTIMATOR'!D422:O422)</f>
        <v>Clean gutters &amp; downspouts</v>
      </c>
      <c r="D393" s="3721"/>
      <c r="E393" s="3721"/>
      <c r="F393" s="3721"/>
      <c r="G393" s="3721"/>
      <c r="H393" s="3721"/>
      <c r="I393" s="916">
        <f>'2 REPAIR ESTIMATOR'!P422</f>
        <v>0</v>
      </c>
      <c r="J393" s="917" t="str">
        <f>'2 REPAIR ESTIMATOR'!S422</f>
        <v>hrs</v>
      </c>
      <c r="K393" s="918">
        <f t="shared" si="55"/>
        <v>0</v>
      </c>
      <c r="L393" s="918">
        <f t="shared" si="56"/>
        <v>0</v>
      </c>
      <c r="M393" s="918">
        <f t="shared" si="57"/>
        <v>0</v>
      </c>
      <c r="N393" s="3719">
        <f t="shared" si="58"/>
        <v>0</v>
      </c>
      <c r="O393" s="3719"/>
      <c r="P393" s="489">
        <f t="shared" si="54"/>
        <v>0</v>
      </c>
      <c r="S393" s="32">
        <f>'2 REPAIR ESTIMATOR'!AD422</f>
        <v>0</v>
      </c>
      <c r="T393" s="32">
        <f>'2 REPAIR ESTIMATOR'!AM422</f>
        <v>0</v>
      </c>
      <c r="U393" s="32">
        <f t="shared" si="59"/>
        <v>0</v>
      </c>
      <c r="V393" s="32">
        <f>'2 REPAIR ESTIMATOR'!AG422</f>
        <v>0</v>
      </c>
      <c r="W393" s="32">
        <f>'2 REPAIR ESTIMATOR'!AJ422</f>
        <v>0</v>
      </c>
    </row>
    <row r="394" spans="3:23" ht="18" hidden="1">
      <c r="C394" s="3720" t="str">
        <f>T('2 REPAIR ESTIMATOR'!D423:O423)</f>
        <v/>
      </c>
      <c r="D394" s="3721"/>
      <c r="E394" s="3721"/>
      <c r="F394" s="3721"/>
      <c r="G394" s="3721"/>
      <c r="H394" s="3721"/>
      <c r="I394" s="916">
        <f>'2 REPAIR ESTIMATOR'!P423</f>
        <v>0</v>
      </c>
      <c r="J394" s="917">
        <f>'2 REPAIR ESTIMATOR'!S423</f>
        <v>0</v>
      </c>
      <c r="K394" s="918">
        <f t="shared" si="55"/>
        <v>0</v>
      </c>
      <c r="L394" s="918">
        <f t="shared" si="56"/>
        <v>0</v>
      </c>
      <c r="M394" s="918">
        <f t="shared" si="57"/>
        <v>0</v>
      </c>
      <c r="N394" s="3719">
        <f t="shared" si="58"/>
        <v>0</v>
      </c>
      <c r="O394" s="3719"/>
      <c r="P394" s="490">
        <f t="shared" ref="P394:P413" si="60">I394</f>
        <v>0</v>
      </c>
      <c r="S394" s="32">
        <f>'2 REPAIR ESTIMATOR'!AD423</f>
        <v>0</v>
      </c>
      <c r="T394" s="32">
        <f>'2 REPAIR ESTIMATOR'!AM423</f>
        <v>0</v>
      </c>
      <c r="U394" s="32">
        <f t="shared" si="59"/>
        <v>0</v>
      </c>
      <c r="V394" s="32">
        <f>'2 REPAIR ESTIMATOR'!AG423</f>
        <v>0</v>
      </c>
      <c r="W394" s="32">
        <f>'2 REPAIR ESTIMATOR'!AJ423</f>
        <v>0</v>
      </c>
    </row>
    <row r="395" spans="3:23" ht="18" hidden="1">
      <c r="C395" s="3720" t="str">
        <f>T('2 REPAIR ESTIMATOR'!D424:O424)</f>
        <v/>
      </c>
      <c r="D395" s="3721"/>
      <c r="E395" s="3721"/>
      <c r="F395" s="3721"/>
      <c r="G395" s="3721"/>
      <c r="H395" s="3721"/>
      <c r="I395" s="916">
        <f>'2 REPAIR ESTIMATOR'!P424</f>
        <v>0</v>
      </c>
      <c r="J395" s="917">
        <f>'2 REPAIR ESTIMATOR'!S424</f>
        <v>0</v>
      </c>
      <c r="K395" s="918">
        <f t="shared" si="55"/>
        <v>0</v>
      </c>
      <c r="L395" s="918">
        <f t="shared" si="56"/>
        <v>0</v>
      </c>
      <c r="M395" s="918">
        <f t="shared" si="57"/>
        <v>0</v>
      </c>
      <c r="N395" s="3719">
        <f t="shared" si="58"/>
        <v>0</v>
      </c>
      <c r="O395" s="3719"/>
      <c r="P395" s="490">
        <f t="shared" si="60"/>
        <v>0</v>
      </c>
      <c r="S395" s="32">
        <f>'2 REPAIR ESTIMATOR'!AD424</f>
        <v>0</v>
      </c>
      <c r="T395" s="32">
        <f>'2 REPAIR ESTIMATOR'!AM424</f>
        <v>0</v>
      </c>
      <c r="U395" s="32">
        <f t="shared" si="59"/>
        <v>0</v>
      </c>
      <c r="V395" s="32">
        <f>'2 REPAIR ESTIMATOR'!AG424</f>
        <v>0</v>
      </c>
      <c r="W395" s="32">
        <f>'2 REPAIR ESTIMATOR'!AJ424</f>
        <v>0</v>
      </c>
    </row>
    <row r="396" spans="3:23" ht="18" hidden="1">
      <c r="C396" s="3720" t="str">
        <f>T('2 REPAIR ESTIMATOR'!D425:O425)</f>
        <v/>
      </c>
      <c r="D396" s="3721"/>
      <c r="E396" s="3721"/>
      <c r="F396" s="3721"/>
      <c r="G396" s="3721"/>
      <c r="H396" s="3721"/>
      <c r="I396" s="916">
        <f>'2 REPAIR ESTIMATOR'!P425</f>
        <v>0</v>
      </c>
      <c r="J396" s="917">
        <f>'2 REPAIR ESTIMATOR'!S425</f>
        <v>0</v>
      </c>
      <c r="K396" s="918">
        <f t="shared" si="55"/>
        <v>0</v>
      </c>
      <c r="L396" s="918">
        <f t="shared" si="56"/>
        <v>0</v>
      </c>
      <c r="M396" s="918">
        <f t="shared" si="57"/>
        <v>0</v>
      </c>
      <c r="N396" s="3719">
        <f t="shared" si="58"/>
        <v>0</v>
      </c>
      <c r="O396" s="3719"/>
      <c r="P396" s="490">
        <f t="shared" si="60"/>
        <v>0</v>
      </c>
      <c r="S396" s="32">
        <f>'2 REPAIR ESTIMATOR'!AD425</f>
        <v>0</v>
      </c>
      <c r="T396" s="32">
        <f>'2 REPAIR ESTIMATOR'!AM425</f>
        <v>0</v>
      </c>
      <c r="U396" s="32">
        <f t="shared" si="59"/>
        <v>0</v>
      </c>
      <c r="V396" s="32">
        <f>'2 REPAIR ESTIMATOR'!AG425</f>
        <v>0</v>
      </c>
      <c r="W396" s="32">
        <f>'2 REPAIR ESTIMATOR'!AJ425</f>
        <v>0</v>
      </c>
    </row>
    <row r="397" spans="3:23" ht="18" hidden="1">
      <c r="C397" s="3720" t="str">
        <f>T('2 REPAIR ESTIMATOR'!D426:O426)</f>
        <v/>
      </c>
      <c r="D397" s="3721"/>
      <c r="E397" s="3721"/>
      <c r="F397" s="3721"/>
      <c r="G397" s="3721"/>
      <c r="H397" s="3721"/>
      <c r="I397" s="916">
        <f>'2 REPAIR ESTIMATOR'!P426</f>
        <v>0</v>
      </c>
      <c r="J397" s="917">
        <f>'2 REPAIR ESTIMATOR'!S426</f>
        <v>0</v>
      </c>
      <c r="K397" s="918">
        <f t="shared" si="55"/>
        <v>0</v>
      </c>
      <c r="L397" s="918">
        <f t="shared" si="56"/>
        <v>0</v>
      </c>
      <c r="M397" s="918">
        <f t="shared" si="57"/>
        <v>0</v>
      </c>
      <c r="N397" s="3719">
        <f t="shared" si="58"/>
        <v>0</v>
      </c>
      <c r="O397" s="3719"/>
      <c r="P397" s="490">
        <f t="shared" si="60"/>
        <v>0</v>
      </c>
      <c r="S397" s="32">
        <f>'2 REPAIR ESTIMATOR'!AD426</f>
        <v>0</v>
      </c>
      <c r="T397" s="32">
        <f>'2 REPAIR ESTIMATOR'!AM426</f>
        <v>0</v>
      </c>
      <c r="U397" s="32">
        <f t="shared" si="59"/>
        <v>0</v>
      </c>
      <c r="V397" s="32">
        <f>'2 REPAIR ESTIMATOR'!AG426</f>
        <v>0</v>
      </c>
      <c r="W397" s="32">
        <f>'2 REPAIR ESTIMATOR'!AJ426</f>
        <v>0</v>
      </c>
    </row>
    <row r="398" spans="3:23" ht="18" hidden="1">
      <c r="C398" s="3720" t="str">
        <f>T('2 REPAIR ESTIMATOR'!D427:O427)</f>
        <v/>
      </c>
      <c r="D398" s="3721"/>
      <c r="E398" s="3721"/>
      <c r="F398" s="3721"/>
      <c r="G398" s="3721"/>
      <c r="H398" s="3721"/>
      <c r="I398" s="916">
        <f>'2 REPAIR ESTIMATOR'!P427</f>
        <v>0</v>
      </c>
      <c r="J398" s="917">
        <f>'2 REPAIR ESTIMATOR'!S427</f>
        <v>0</v>
      </c>
      <c r="K398" s="918">
        <f t="shared" si="55"/>
        <v>0</v>
      </c>
      <c r="L398" s="918">
        <f t="shared" si="56"/>
        <v>0</v>
      </c>
      <c r="M398" s="918">
        <f t="shared" si="57"/>
        <v>0</v>
      </c>
      <c r="N398" s="3719">
        <f t="shared" si="58"/>
        <v>0</v>
      </c>
      <c r="O398" s="3719"/>
      <c r="P398" s="490">
        <f t="shared" si="60"/>
        <v>0</v>
      </c>
      <c r="S398" s="32">
        <f>'2 REPAIR ESTIMATOR'!AD427</f>
        <v>0</v>
      </c>
      <c r="T398" s="32">
        <f>'2 REPAIR ESTIMATOR'!AM427</f>
        <v>0</v>
      </c>
      <c r="U398" s="32">
        <f t="shared" si="59"/>
        <v>0</v>
      </c>
      <c r="V398" s="32">
        <f>'2 REPAIR ESTIMATOR'!AG427</f>
        <v>0</v>
      </c>
      <c r="W398" s="32">
        <f>'2 REPAIR ESTIMATOR'!AJ427</f>
        <v>0</v>
      </c>
    </row>
    <row r="399" spans="3:23" ht="18" hidden="1">
      <c r="C399" s="3720" t="str">
        <f>T('2 REPAIR ESTIMATOR'!D428:O428)</f>
        <v/>
      </c>
      <c r="D399" s="3721"/>
      <c r="E399" s="3721"/>
      <c r="F399" s="3721"/>
      <c r="G399" s="3721"/>
      <c r="H399" s="3721"/>
      <c r="I399" s="916">
        <f>'2 REPAIR ESTIMATOR'!P428</f>
        <v>0</v>
      </c>
      <c r="J399" s="917">
        <f>'2 REPAIR ESTIMATOR'!S428</f>
        <v>0</v>
      </c>
      <c r="K399" s="918">
        <f t="shared" si="55"/>
        <v>0</v>
      </c>
      <c r="L399" s="918">
        <f t="shared" si="56"/>
        <v>0</v>
      </c>
      <c r="M399" s="918">
        <f t="shared" si="57"/>
        <v>0</v>
      </c>
      <c r="N399" s="3719">
        <f t="shared" si="58"/>
        <v>0</v>
      </c>
      <c r="O399" s="3719"/>
      <c r="P399" s="490">
        <f t="shared" si="60"/>
        <v>0</v>
      </c>
      <c r="S399" s="32">
        <f>'2 REPAIR ESTIMATOR'!AD428</f>
        <v>0</v>
      </c>
      <c r="T399" s="32">
        <f>'2 REPAIR ESTIMATOR'!AM428</f>
        <v>0</v>
      </c>
      <c r="U399" s="32">
        <f t="shared" si="59"/>
        <v>0</v>
      </c>
      <c r="V399" s="32">
        <f>'2 REPAIR ESTIMATOR'!AG428</f>
        <v>0</v>
      </c>
      <c r="W399" s="32">
        <f>'2 REPAIR ESTIMATOR'!AJ428</f>
        <v>0</v>
      </c>
    </row>
    <row r="400" spans="3:23" ht="18" hidden="1">
      <c r="C400" s="3720" t="str">
        <f>T('2 REPAIR ESTIMATOR'!D429:O429)</f>
        <v/>
      </c>
      <c r="D400" s="3721"/>
      <c r="E400" s="3721"/>
      <c r="F400" s="3721"/>
      <c r="G400" s="3721"/>
      <c r="H400" s="3721"/>
      <c r="I400" s="916">
        <f>'2 REPAIR ESTIMATOR'!P429</f>
        <v>0</v>
      </c>
      <c r="J400" s="917">
        <f>'2 REPAIR ESTIMATOR'!S429</f>
        <v>0</v>
      </c>
      <c r="K400" s="918">
        <f t="shared" si="55"/>
        <v>0</v>
      </c>
      <c r="L400" s="918">
        <f t="shared" si="56"/>
        <v>0</v>
      </c>
      <c r="M400" s="918">
        <f t="shared" si="57"/>
        <v>0</v>
      </c>
      <c r="N400" s="3719">
        <f t="shared" si="58"/>
        <v>0</v>
      </c>
      <c r="O400" s="3719"/>
      <c r="P400" s="490">
        <f t="shared" si="60"/>
        <v>0</v>
      </c>
      <c r="S400" s="32">
        <f>'2 REPAIR ESTIMATOR'!AD429</f>
        <v>0</v>
      </c>
      <c r="T400" s="32">
        <f>'2 REPAIR ESTIMATOR'!AM429</f>
        <v>0</v>
      </c>
      <c r="U400" s="32">
        <f t="shared" si="59"/>
        <v>0</v>
      </c>
      <c r="V400" s="32">
        <f>'2 REPAIR ESTIMATOR'!AG429</f>
        <v>0</v>
      </c>
      <c r="W400" s="32">
        <f>'2 REPAIR ESTIMATOR'!AJ429</f>
        <v>0</v>
      </c>
    </row>
    <row r="401" spans="3:23" ht="18" hidden="1">
      <c r="C401" s="3720" t="str">
        <f>T('2 REPAIR ESTIMATOR'!D430:O430)</f>
        <v/>
      </c>
      <c r="D401" s="3721"/>
      <c r="E401" s="3721"/>
      <c r="F401" s="3721"/>
      <c r="G401" s="3721"/>
      <c r="H401" s="3721"/>
      <c r="I401" s="916">
        <f>'2 REPAIR ESTIMATOR'!P430</f>
        <v>0</v>
      </c>
      <c r="J401" s="917">
        <f>'2 REPAIR ESTIMATOR'!S430</f>
        <v>0</v>
      </c>
      <c r="K401" s="918">
        <f t="shared" si="55"/>
        <v>0</v>
      </c>
      <c r="L401" s="918">
        <f t="shared" si="56"/>
        <v>0</v>
      </c>
      <c r="M401" s="918">
        <f t="shared" si="57"/>
        <v>0</v>
      </c>
      <c r="N401" s="3719">
        <f t="shared" si="58"/>
        <v>0</v>
      </c>
      <c r="O401" s="3719"/>
      <c r="P401" s="490">
        <f t="shared" si="60"/>
        <v>0</v>
      </c>
      <c r="S401" s="32">
        <f>'2 REPAIR ESTIMATOR'!AD430</f>
        <v>0</v>
      </c>
      <c r="T401" s="32">
        <f>'2 REPAIR ESTIMATOR'!AM430</f>
        <v>0</v>
      </c>
      <c r="U401" s="32">
        <f t="shared" si="59"/>
        <v>0</v>
      </c>
      <c r="V401" s="32">
        <f>'2 REPAIR ESTIMATOR'!AG430</f>
        <v>0</v>
      </c>
      <c r="W401" s="32">
        <f>'2 REPAIR ESTIMATOR'!AJ430</f>
        <v>0</v>
      </c>
    </row>
    <row r="402" spans="3:23" ht="18" hidden="1">
      <c r="C402" s="3720" t="str">
        <f>T('2 REPAIR ESTIMATOR'!D431:O431)</f>
        <v/>
      </c>
      <c r="D402" s="3721"/>
      <c r="E402" s="3721"/>
      <c r="F402" s="3721"/>
      <c r="G402" s="3721"/>
      <c r="H402" s="3721"/>
      <c r="I402" s="916">
        <f>'2 REPAIR ESTIMATOR'!P431</f>
        <v>0</v>
      </c>
      <c r="J402" s="917">
        <f>'2 REPAIR ESTIMATOR'!S431</f>
        <v>0</v>
      </c>
      <c r="K402" s="918">
        <f t="shared" si="55"/>
        <v>0</v>
      </c>
      <c r="L402" s="918">
        <f t="shared" si="56"/>
        <v>0</v>
      </c>
      <c r="M402" s="918">
        <f t="shared" si="57"/>
        <v>0</v>
      </c>
      <c r="N402" s="3719">
        <f t="shared" si="58"/>
        <v>0</v>
      </c>
      <c r="O402" s="3719"/>
      <c r="P402" s="490">
        <f t="shared" si="60"/>
        <v>0</v>
      </c>
      <c r="S402" s="32">
        <f>'2 REPAIR ESTIMATOR'!AD431</f>
        <v>0</v>
      </c>
      <c r="T402" s="32">
        <f>'2 REPAIR ESTIMATOR'!AM431</f>
        <v>0</v>
      </c>
      <c r="U402" s="32">
        <f t="shared" si="59"/>
        <v>0</v>
      </c>
      <c r="V402" s="32">
        <f>'2 REPAIR ESTIMATOR'!AG431</f>
        <v>0</v>
      </c>
      <c r="W402" s="32">
        <f>'2 REPAIR ESTIMATOR'!AJ431</f>
        <v>0</v>
      </c>
    </row>
    <row r="403" spans="3:23" ht="18" hidden="1">
      <c r="C403" s="3720" t="str">
        <f>T('2 REPAIR ESTIMATOR'!D432:O432)</f>
        <v/>
      </c>
      <c r="D403" s="3721"/>
      <c r="E403" s="3721"/>
      <c r="F403" s="3721"/>
      <c r="G403" s="3721"/>
      <c r="H403" s="3721"/>
      <c r="I403" s="916">
        <f>'2 REPAIR ESTIMATOR'!P432</f>
        <v>0</v>
      </c>
      <c r="J403" s="917">
        <f>'2 REPAIR ESTIMATOR'!S432</f>
        <v>0</v>
      </c>
      <c r="K403" s="918">
        <f t="shared" si="55"/>
        <v>0</v>
      </c>
      <c r="L403" s="918">
        <f t="shared" si="56"/>
        <v>0</v>
      </c>
      <c r="M403" s="918">
        <f t="shared" si="57"/>
        <v>0</v>
      </c>
      <c r="N403" s="3719">
        <f t="shared" si="58"/>
        <v>0</v>
      </c>
      <c r="O403" s="3719"/>
      <c r="P403" s="490">
        <f t="shared" si="60"/>
        <v>0</v>
      </c>
      <c r="S403" s="32">
        <f>'2 REPAIR ESTIMATOR'!AD432</f>
        <v>0</v>
      </c>
      <c r="T403" s="32">
        <f>'2 REPAIR ESTIMATOR'!AM432</f>
        <v>0</v>
      </c>
      <c r="U403" s="32">
        <f t="shared" si="59"/>
        <v>0</v>
      </c>
      <c r="V403" s="32">
        <f>'2 REPAIR ESTIMATOR'!AG432</f>
        <v>0</v>
      </c>
      <c r="W403" s="32">
        <f>'2 REPAIR ESTIMATOR'!AJ432</f>
        <v>0</v>
      </c>
    </row>
    <row r="404" spans="3:23" ht="18" hidden="1">
      <c r="C404" s="3720" t="str">
        <f>T('2 REPAIR ESTIMATOR'!D433:O433)</f>
        <v/>
      </c>
      <c r="D404" s="3721"/>
      <c r="E404" s="3721"/>
      <c r="F404" s="3721"/>
      <c r="G404" s="3721"/>
      <c r="H404" s="3721"/>
      <c r="I404" s="916">
        <f>'2 REPAIR ESTIMATOR'!P433</f>
        <v>0</v>
      </c>
      <c r="J404" s="917">
        <f>'2 REPAIR ESTIMATOR'!S433</f>
        <v>0</v>
      </c>
      <c r="K404" s="918">
        <f t="shared" si="55"/>
        <v>0</v>
      </c>
      <c r="L404" s="918">
        <f t="shared" si="56"/>
        <v>0</v>
      </c>
      <c r="M404" s="918">
        <f t="shared" si="57"/>
        <v>0</v>
      </c>
      <c r="N404" s="3719">
        <f t="shared" si="58"/>
        <v>0</v>
      </c>
      <c r="O404" s="3719"/>
      <c r="P404" s="490">
        <f t="shared" si="60"/>
        <v>0</v>
      </c>
      <c r="S404" s="32">
        <f>'2 REPAIR ESTIMATOR'!AD433</f>
        <v>0</v>
      </c>
      <c r="T404" s="32">
        <f>'2 REPAIR ESTIMATOR'!AM433</f>
        <v>0</v>
      </c>
      <c r="U404" s="32">
        <f t="shared" si="59"/>
        <v>0</v>
      </c>
      <c r="V404" s="32">
        <f>'2 REPAIR ESTIMATOR'!AG433</f>
        <v>0</v>
      </c>
      <c r="W404" s="32">
        <f>'2 REPAIR ESTIMATOR'!AJ433</f>
        <v>0</v>
      </c>
    </row>
    <row r="405" spans="3:23" ht="18" hidden="1">
      <c r="C405" s="3720" t="str">
        <f>T('2 REPAIR ESTIMATOR'!D434:O434)</f>
        <v/>
      </c>
      <c r="D405" s="3721"/>
      <c r="E405" s="3721"/>
      <c r="F405" s="3721"/>
      <c r="G405" s="3721"/>
      <c r="H405" s="3721"/>
      <c r="I405" s="916">
        <f>'2 REPAIR ESTIMATOR'!P434</f>
        <v>0</v>
      </c>
      <c r="J405" s="917">
        <f>'2 REPAIR ESTIMATOR'!S434</f>
        <v>0</v>
      </c>
      <c r="K405" s="918">
        <f t="shared" si="55"/>
        <v>0</v>
      </c>
      <c r="L405" s="918">
        <f t="shared" si="56"/>
        <v>0</v>
      </c>
      <c r="M405" s="918">
        <f t="shared" si="57"/>
        <v>0</v>
      </c>
      <c r="N405" s="3719">
        <f t="shared" si="58"/>
        <v>0</v>
      </c>
      <c r="O405" s="3719"/>
      <c r="P405" s="490">
        <f t="shared" si="60"/>
        <v>0</v>
      </c>
      <c r="S405" s="32">
        <f>'2 REPAIR ESTIMATOR'!AD434</f>
        <v>0</v>
      </c>
      <c r="T405" s="32">
        <f>'2 REPAIR ESTIMATOR'!AM434</f>
        <v>0</v>
      </c>
      <c r="U405" s="32">
        <f t="shared" si="59"/>
        <v>0</v>
      </c>
      <c r="V405" s="32">
        <f>'2 REPAIR ESTIMATOR'!AG434</f>
        <v>0</v>
      </c>
      <c r="W405" s="32">
        <f>'2 REPAIR ESTIMATOR'!AJ434</f>
        <v>0</v>
      </c>
    </row>
    <row r="406" spans="3:23" ht="18" hidden="1">
      <c r="C406" s="3720" t="str">
        <f>T('2 REPAIR ESTIMATOR'!D435:O435)</f>
        <v/>
      </c>
      <c r="D406" s="3721"/>
      <c r="E406" s="3721"/>
      <c r="F406" s="3721"/>
      <c r="G406" s="3721"/>
      <c r="H406" s="3721"/>
      <c r="I406" s="916">
        <f>'2 REPAIR ESTIMATOR'!P435</f>
        <v>0</v>
      </c>
      <c r="J406" s="917">
        <f>'2 REPAIR ESTIMATOR'!S435</f>
        <v>0</v>
      </c>
      <c r="K406" s="918">
        <f t="shared" si="55"/>
        <v>0</v>
      </c>
      <c r="L406" s="918">
        <f t="shared" si="56"/>
        <v>0</v>
      </c>
      <c r="M406" s="918">
        <f t="shared" si="57"/>
        <v>0</v>
      </c>
      <c r="N406" s="3719">
        <f t="shared" si="58"/>
        <v>0</v>
      </c>
      <c r="O406" s="3719"/>
      <c r="P406" s="490">
        <f t="shared" si="60"/>
        <v>0</v>
      </c>
      <c r="S406" s="32">
        <f>'2 REPAIR ESTIMATOR'!AD435</f>
        <v>0</v>
      </c>
      <c r="T406" s="32">
        <f>'2 REPAIR ESTIMATOR'!AM435</f>
        <v>0</v>
      </c>
      <c r="U406" s="32">
        <f t="shared" si="59"/>
        <v>0</v>
      </c>
      <c r="V406" s="32">
        <f>'2 REPAIR ESTIMATOR'!AG435</f>
        <v>0</v>
      </c>
      <c r="W406" s="32">
        <f>'2 REPAIR ESTIMATOR'!AJ435</f>
        <v>0</v>
      </c>
    </row>
    <row r="407" spans="3:23" ht="18" hidden="1">
      <c r="C407" s="3720" t="str">
        <f>T('2 REPAIR ESTIMATOR'!D436:O436)</f>
        <v/>
      </c>
      <c r="D407" s="3721"/>
      <c r="E407" s="3721"/>
      <c r="F407" s="3721"/>
      <c r="G407" s="3721"/>
      <c r="H407" s="3721"/>
      <c r="I407" s="916">
        <f>'2 REPAIR ESTIMATOR'!P436</f>
        <v>0</v>
      </c>
      <c r="J407" s="917">
        <f>'2 REPAIR ESTIMATOR'!S436</f>
        <v>0</v>
      </c>
      <c r="K407" s="918">
        <f t="shared" si="55"/>
        <v>0</v>
      </c>
      <c r="L407" s="918">
        <f t="shared" si="56"/>
        <v>0</v>
      </c>
      <c r="M407" s="918">
        <f t="shared" si="57"/>
        <v>0</v>
      </c>
      <c r="N407" s="3719">
        <f t="shared" si="58"/>
        <v>0</v>
      </c>
      <c r="O407" s="3719"/>
      <c r="P407" s="490">
        <f t="shared" si="60"/>
        <v>0</v>
      </c>
      <c r="S407" s="32">
        <f>'2 REPAIR ESTIMATOR'!AD436</f>
        <v>0</v>
      </c>
      <c r="T407" s="32">
        <f>'2 REPAIR ESTIMATOR'!AM436</f>
        <v>0</v>
      </c>
      <c r="U407" s="32">
        <f t="shared" si="59"/>
        <v>0</v>
      </c>
      <c r="V407" s="32">
        <f>'2 REPAIR ESTIMATOR'!AG436</f>
        <v>0</v>
      </c>
      <c r="W407" s="32">
        <f>'2 REPAIR ESTIMATOR'!AJ436</f>
        <v>0</v>
      </c>
    </row>
    <row r="408" spans="3:23" ht="18" hidden="1">
      <c r="C408" s="3720" t="str">
        <f>T('2 REPAIR ESTIMATOR'!D437:O437)</f>
        <v/>
      </c>
      <c r="D408" s="3721"/>
      <c r="E408" s="3721"/>
      <c r="F408" s="3721"/>
      <c r="G408" s="3721"/>
      <c r="H408" s="3721"/>
      <c r="I408" s="916">
        <f>'2 REPAIR ESTIMATOR'!P437</f>
        <v>0</v>
      </c>
      <c r="J408" s="917">
        <f>'2 REPAIR ESTIMATOR'!S437</f>
        <v>0</v>
      </c>
      <c r="K408" s="918">
        <f t="shared" si="55"/>
        <v>0</v>
      </c>
      <c r="L408" s="918">
        <f t="shared" si="56"/>
        <v>0</v>
      </c>
      <c r="M408" s="918">
        <f t="shared" si="57"/>
        <v>0</v>
      </c>
      <c r="N408" s="3719">
        <f t="shared" si="58"/>
        <v>0</v>
      </c>
      <c r="O408" s="3719"/>
      <c r="P408" s="490">
        <f t="shared" si="60"/>
        <v>0</v>
      </c>
      <c r="S408" s="32">
        <f>'2 REPAIR ESTIMATOR'!AD437</f>
        <v>0</v>
      </c>
      <c r="T408" s="32">
        <f>'2 REPAIR ESTIMATOR'!AM437</f>
        <v>0</v>
      </c>
      <c r="U408" s="32">
        <f t="shared" si="59"/>
        <v>0</v>
      </c>
      <c r="V408" s="32">
        <f>'2 REPAIR ESTIMATOR'!AG437</f>
        <v>0</v>
      </c>
      <c r="W408" s="32">
        <f>'2 REPAIR ESTIMATOR'!AJ437</f>
        <v>0</v>
      </c>
    </row>
    <row r="409" spans="3:23" ht="18" hidden="1">
      <c r="C409" s="3720" t="str">
        <f>T('2 REPAIR ESTIMATOR'!D438:O438)</f>
        <v/>
      </c>
      <c r="D409" s="3721"/>
      <c r="E409" s="3721"/>
      <c r="F409" s="3721"/>
      <c r="G409" s="3721"/>
      <c r="H409" s="3721"/>
      <c r="I409" s="916">
        <f>'2 REPAIR ESTIMATOR'!P438</f>
        <v>0</v>
      </c>
      <c r="J409" s="917">
        <f>'2 REPAIR ESTIMATOR'!S438</f>
        <v>0</v>
      </c>
      <c r="K409" s="918">
        <f t="shared" si="55"/>
        <v>0</v>
      </c>
      <c r="L409" s="918">
        <f t="shared" si="56"/>
        <v>0</v>
      </c>
      <c r="M409" s="918">
        <f t="shared" si="57"/>
        <v>0</v>
      </c>
      <c r="N409" s="3719">
        <f t="shared" si="58"/>
        <v>0</v>
      </c>
      <c r="O409" s="3719"/>
      <c r="P409" s="490">
        <f t="shared" si="60"/>
        <v>0</v>
      </c>
      <c r="S409" s="32">
        <f>'2 REPAIR ESTIMATOR'!AD438</f>
        <v>0</v>
      </c>
      <c r="T409" s="32">
        <f>'2 REPAIR ESTIMATOR'!AM438</f>
        <v>0</v>
      </c>
      <c r="U409" s="32">
        <f t="shared" si="59"/>
        <v>0</v>
      </c>
      <c r="V409" s="32">
        <f>'2 REPAIR ESTIMATOR'!AG438</f>
        <v>0</v>
      </c>
      <c r="W409" s="32">
        <f>'2 REPAIR ESTIMATOR'!AJ438</f>
        <v>0</v>
      </c>
    </row>
    <row r="410" spans="3:23" ht="18" hidden="1">
      <c r="C410" s="3720" t="str">
        <f>T('2 REPAIR ESTIMATOR'!D439:O439)</f>
        <v/>
      </c>
      <c r="D410" s="3721"/>
      <c r="E410" s="3721"/>
      <c r="F410" s="3721"/>
      <c r="G410" s="3721"/>
      <c r="H410" s="3721"/>
      <c r="I410" s="916">
        <f>'2 REPAIR ESTIMATOR'!P439</f>
        <v>0</v>
      </c>
      <c r="J410" s="917">
        <f>'2 REPAIR ESTIMATOR'!S439</f>
        <v>0</v>
      </c>
      <c r="K410" s="918">
        <f t="shared" si="55"/>
        <v>0</v>
      </c>
      <c r="L410" s="918">
        <f t="shared" si="56"/>
        <v>0</v>
      </c>
      <c r="M410" s="918">
        <f t="shared" si="57"/>
        <v>0</v>
      </c>
      <c r="N410" s="3719">
        <f t="shared" si="58"/>
        <v>0</v>
      </c>
      <c r="O410" s="3719"/>
      <c r="P410" s="490">
        <f t="shared" si="60"/>
        <v>0</v>
      </c>
      <c r="S410" s="32">
        <f>'2 REPAIR ESTIMATOR'!AD439</f>
        <v>0</v>
      </c>
      <c r="T410" s="32">
        <f>'2 REPAIR ESTIMATOR'!AM439</f>
        <v>0</v>
      </c>
      <c r="U410" s="32">
        <f t="shared" si="59"/>
        <v>0</v>
      </c>
      <c r="V410" s="32">
        <f>'2 REPAIR ESTIMATOR'!AG439</f>
        <v>0</v>
      </c>
      <c r="W410" s="32">
        <f>'2 REPAIR ESTIMATOR'!AJ439</f>
        <v>0</v>
      </c>
    </row>
    <row r="411" spans="3:23" ht="18" hidden="1">
      <c r="C411" s="3720" t="str">
        <f>T('2 REPAIR ESTIMATOR'!D440:O440)</f>
        <v/>
      </c>
      <c r="D411" s="3721"/>
      <c r="E411" s="3721"/>
      <c r="F411" s="3721"/>
      <c r="G411" s="3721"/>
      <c r="H411" s="3721"/>
      <c r="I411" s="916">
        <f>'2 REPAIR ESTIMATOR'!P440</f>
        <v>0</v>
      </c>
      <c r="J411" s="917">
        <f>'2 REPAIR ESTIMATOR'!S440</f>
        <v>0</v>
      </c>
      <c r="K411" s="918">
        <f t="shared" si="55"/>
        <v>0</v>
      </c>
      <c r="L411" s="918">
        <f t="shared" si="56"/>
        <v>0</v>
      </c>
      <c r="M411" s="918">
        <f t="shared" si="57"/>
        <v>0</v>
      </c>
      <c r="N411" s="3719">
        <f t="shared" si="58"/>
        <v>0</v>
      </c>
      <c r="O411" s="3719"/>
      <c r="P411" s="490">
        <f t="shared" si="60"/>
        <v>0</v>
      </c>
      <c r="S411" s="32">
        <f>'2 REPAIR ESTIMATOR'!AD440</f>
        <v>0</v>
      </c>
      <c r="T411" s="32">
        <f>'2 REPAIR ESTIMATOR'!AM440</f>
        <v>0</v>
      </c>
      <c r="U411" s="32">
        <f t="shared" si="59"/>
        <v>0</v>
      </c>
      <c r="V411" s="32">
        <f>'2 REPAIR ESTIMATOR'!AG440</f>
        <v>0</v>
      </c>
      <c r="W411" s="32">
        <f>'2 REPAIR ESTIMATOR'!AJ440</f>
        <v>0</v>
      </c>
    </row>
    <row r="412" spans="3:23" ht="18" hidden="1">
      <c r="C412" s="3720" t="str">
        <f>T('2 REPAIR ESTIMATOR'!D441:O441)</f>
        <v/>
      </c>
      <c r="D412" s="3721"/>
      <c r="E412" s="3721"/>
      <c r="F412" s="3721"/>
      <c r="G412" s="3721"/>
      <c r="H412" s="3721"/>
      <c r="I412" s="916">
        <f>'2 REPAIR ESTIMATOR'!P441</f>
        <v>0</v>
      </c>
      <c r="J412" s="917">
        <f>'2 REPAIR ESTIMATOR'!S441</f>
        <v>0</v>
      </c>
      <c r="K412" s="918">
        <f t="shared" si="55"/>
        <v>0</v>
      </c>
      <c r="L412" s="918">
        <f t="shared" si="56"/>
        <v>0</v>
      </c>
      <c r="M412" s="918">
        <f t="shared" si="57"/>
        <v>0</v>
      </c>
      <c r="N412" s="3719">
        <f t="shared" si="58"/>
        <v>0</v>
      </c>
      <c r="O412" s="3719"/>
      <c r="P412" s="490">
        <f t="shared" si="60"/>
        <v>0</v>
      </c>
      <c r="S412" s="32">
        <f>'2 REPAIR ESTIMATOR'!AD441</f>
        <v>0</v>
      </c>
      <c r="T412" s="32">
        <f>'2 REPAIR ESTIMATOR'!AM441</f>
        <v>0</v>
      </c>
      <c r="U412" s="32">
        <f t="shared" si="59"/>
        <v>0</v>
      </c>
      <c r="V412" s="32">
        <f>'2 REPAIR ESTIMATOR'!AG441</f>
        <v>0</v>
      </c>
      <c r="W412" s="32">
        <f>'2 REPAIR ESTIMATOR'!AJ441</f>
        <v>0</v>
      </c>
    </row>
    <row r="413" spans="3:23" ht="18.350000000000001" hidden="1" thickBot="1">
      <c r="C413" s="3779" t="str">
        <f>T('2 REPAIR ESTIMATOR'!D442:O442)</f>
        <v/>
      </c>
      <c r="D413" s="3780"/>
      <c r="E413" s="3780"/>
      <c r="F413" s="3780"/>
      <c r="G413" s="3780"/>
      <c r="H413" s="3780"/>
      <c r="I413" s="919">
        <f>'2 REPAIR ESTIMATOR'!P442</f>
        <v>0</v>
      </c>
      <c r="J413" s="920">
        <f>'2 REPAIR ESTIMATOR'!S442</f>
        <v>0</v>
      </c>
      <c r="K413" s="921">
        <f t="shared" si="55"/>
        <v>0</v>
      </c>
      <c r="L413" s="921">
        <f t="shared" si="56"/>
        <v>0</v>
      </c>
      <c r="M413" s="921">
        <f t="shared" si="57"/>
        <v>0</v>
      </c>
      <c r="N413" s="3781">
        <f t="shared" si="58"/>
        <v>0</v>
      </c>
      <c r="O413" s="3781"/>
      <c r="P413" s="490">
        <f t="shared" si="60"/>
        <v>0</v>
      </c>
      <c r="S413" s="32">
        <f>'2 REPAIR ESTIMATOR'!AD442</f>
        <v>0</v>
      </c>
      <c r="T413" s="32">
        <f>'2 REPAIR ESTIMATOR'!AM442</f>
        <v>0</v>
      </c>
      <c r="U413" s="32">
        <f t="shared" si="59"/>
        <v>0</v>
      </c>
      <c r="V413" s="32">
        <f>'2 REPAIR ESTIMATOR'!AG442</f>
        <v>0</v>
      </c>
      <c r="W413" s="32">
        <f>'2 REPAIR ESTIMATOR'!AJ442</f>
        <v>0</v>
      </c>
    </row>
    <row r="414" spans="3:23" ht="18.350000000000001" hidden="1" thickBot="1">
      <c r="C414" s="3723" t="str">
        <f>T('2 REPAIR ESTIMATOR'!AC444)</f>
        <v>ROOFING TOTAL</v>
      </c>
      <c r="D414" s="3724"/>
      <c r="E414" s="3724"/>
      <c r="F414" s="3724"/>
      <c r="G414" s="3724"/>
      <c r="H414" s="3724"/>
      <c r="I414" s="3724"/>
      <c r="J414" s="3724"/>
      <c r="K414" s="922">
        <f>SUM(K374:K413)</f>
        <v>0</v>
      </c>
      <c r="L414" s="922">
        <f>SUM(L374:L413)</f>
        <v>0</v>
      </c>
      <c r="M414" s="922">
        <f>SUM(M374:M413)</f>
        <v>0</v>
      </c>
      <c r="N414" s="3789">
        <f>SUM(N374:O413)</f>
        <v>0</v>
      </c>
      <c r="O414" s="3789"/>
      <c r="P414" s="489">
        <f>SUM(P373:P386)</f>
        <v>0</v>
      </c>
      <c r="S414" s="33">
        <f>SUM(S374:S413)</f>
        <v>0</v>
      </c>
      <c r="T414" s="33">
        <f>SUM(T374:T413)</f>
        <v>0</v>
      </c>
      <c r="U414" s="33">
        <f>SUM(U374:U413)</f>
        <v>0</v>
      </c>
      <c r="V414" s="33">
        <f>SUM(V374:V413)</f>
        <v>0</v>
      </c>
      <c r="W414" s="33">
        <f>SUM(W374:W413)</f>
        <v>0</v>
      </c>
    </row>
    <row r="415" spans="3:23" ht="8.85" hidden="1" customHeight="1">
      <c r="C415" s="841"/>
      <c r="D415" s="841"/>
      <c r="E415" s="841"/>
      <c r="F415" s="841"/>
      <c r="G415" s="841"/>
      <c r="H415" s="841"/>
      <c r="I415" s="842"/>
      <c r="J415" s="842"/>
      <c r="K415" s="842"/>
      <c r="L415" s="842"/>
      <c r="M415" s="842"/>
      <c r="N415" s="843"/>
      <c r="O415" s="798"/>
      <c r="P415" s="489">
        <f>P414</f>
        <v>0</v>
      </c>
    </row>
    <row r="416" spans="3:23" ht="21" hidden="1" customHeight="1" thickBot="1">
      <c r="C416" s="3782" t="str">
        <f>T('2 REPAIR ESTIMATOR'!D447:O447)</f>
        <v>EXTERIOR DOORS &amp; WINDOWS</v>
      </c>
      <c r="D416" s="3783"/>
      <c r="E416" s="3783"/>
      <c r="F416" s="3783"/>
      <c r="G416" s="3783"/>
      <c r="H416" s="3783"/>
      <c r="I416" s="799">
        <f>SUM(I417:I456)</f>
        <v>0</v>
      </c>
      <c r="J416" s="800"/>
      <c r="K416" s="850"/>
      <c r="L416" s="850"/>
      <c r="M416" s="850"/>
      <c r="N416" s="3722"/>
      <c r="O416" s="3722"/>
      <c r="P416" s="489">
        <f t="shared" ref="P416:P436" si="61">I416</f>
        <v>0</v>
      </c>
      <c r="S416" s="34"/>
      <c r="T416" s="34"/>
      <c r="U416" s="34"/>
      <c r="V416" s="34"/>
      <c r="W416" s="34"/>
    </row>
    <row r="417" spans="3:23" ht="18" hidden="1">
      <c r="C417" s="3787" t="str">
        <f>T('2 REPAIR ESTIMATOR'!D448:O448)</f>
        <v>Exterior Doors</v>
      </c>
      <c r="D417" s="3788"/>
      <c r="E417" s="3788"/>
      <c r="F417" s="3788"/>
      <c r="G417" s="3788"/>
      <c r="H417" s="3788"/>
      <c r="I417" s="916">
        <f>'2 REPAIR ESTIMATOR'!P448</f>
        <v>0</v>
      </c>
      <c r="J417" s="917">
        <f>'2 REPAIR ESTIMATOR'!S448</f>
        <v>0</v>
      </c>
      <c r="K417" s="918">
        <f t="shared" ref="K417:K456" si="62">IF($N$3="subbed",U417,S417)*$S$70</f>
        <v>0</v>
      </c>
      <c r="L417" s="918">
        <f>V417*$S$70</f>
        <v>0</v>
      </c>
      <c r="M417" s="918">
        <f>W417*$S$70</f>
        <v>0</v>
      </c>
      <c r="N417" s="3719">
        <f>SUM(K417:M417)</f>
        <v>0</v>
      </c>
      <c r="O417" s="3719"/>
      <c r="P417" s="490">
        <f t="shared" si="61"/>
        <v>0</v>
      </c>
      <c r="S417" s="32">
        <f>'2 REPAIR ESTIMATOR'!AD448</f>
        <v>0</v>
      </c>
      <c r="T417" s="32">
        <f>'2 REPAIR ESTIMATOR'!AM448</f>
        <v>0</v>
      </c>
      <c r="U417" s="32">
        <f>T417+S417</f>
        <v>0</v>
      </c>
      <c r="V417" s="32">
        <f>'2 REPAIR ESTIMATOR'!AG448</f>
        <v>0</v>
      </c>
      <c r="W417" s="32">
        <f>'2 REPAIR ESTIMATOR'!AJ448</f>
        <v>0</v>
      </c>
    </row>
    <row r="418" spans="3:23" ht="18" hidden="1">
      <c r="C418" s="3720" t="str">
        <f>T('2 REPAIR ESTIMATOR'!D449:O449)</f>
        <v>Exterior doors bid/allowance</v>
      </c>
      <c r="D418" s="3721"/>
      <c r="E418" s="3721"/>
      <c r="F418" s="3721"/>
      <c r="G418" s="3721"/>
      <c r="H418" s="3721"/>
      <c r="I418" s="916">
        <f>'2 REPAIR ESTIMATOR'!P449</f>
        <v>0</v>
      </c>
      <c r="J418" s="917" t="str">
        <f>'2 REPAIR ESTIMATOR'!S449</f>
        <v>ls</v>
      </c>
      <c r="K418" s="918">
        <f t="shared" si="62"/>
        <v>0</v>
      </c>
      <c r="L418" s="918">
        <f t="shared" ref="L418:L456" si="63">V418*$S$70</f>
        <v>0</v>
      </c>
      <c r="M418" s="918">
        <f t="shared" ref="M418:M456" si="64">W418*$S$70</f>
        <v>0</v>
      </c>
      <c r="N418" s="3719">
        <f t="shared" ref="N418:N456" si="65">SUM(K418:M418)</f>
        <v>0</v>
      </c>
      <c r="O418" s="3719"/>
      <c r="P418" s="490">
        <f t="shared" si="61"/>
        <v>0</v>
      </c>
      <c r="S418" s="32">
        <f>'2 REPAIR ESTIMATOR'!AD449</f>
        <v>0</v>
      </c>
      <c r="T418" s="32">
        <f>'2 REPAIR ESTIMATOR'!AM449</f>
        <v>0</v>
      </c>
      <c r="U418" s="32">
        <f t="shared" ref="U418:U456" si="66">T418+S418</f>
        <v>0</v>
      </c>
      <c r="V418" s="32">
        <f>'2 REPAIR ESTIMATOR'!AG449</f>
        <v>0</v>
      </c>
      <c r="W418" s="32">
        <f>'2 REPAIR ESTIMATOR'!AJ449</f>
        <v>0</v>
      </c>
    </row>
    <row r="419" spans="3:23" ht="18" hidden="1">
      <c r="C419" s="3720" t="str">
        <f>T('2 REPAIR ESTIMATOR'!D450:O450)</f>
        <v>Steel entry door,  single</v>
      </c>
      <c r="D419" s="3721"/>
      <c r="E419" s="3721"/>
      <c r="F419" s="3721"/>
      <c r="G419" s="3721"/>
      <c r="H419" s="3721"/>
      <c r="I419" s="916">
        <f>'2 REPAIR ESTIMATOR'!P450</f>
        <v>0</v>
      </c>
      <c r="J419" s="917" t="str">
        <f>'2 REPAIR ESTIMATOR'!S450</f>
        <v>ea</v>
      </c>
      <c r="K419" s="918">
        <f t="shared" si="62"/>
        <v>0</v>
      </c>
      <c r="L419" s="918">
        <f t="shared" si="63"/>
        <v>0</v>
      </c>
      <c r="M419" s="918">
        <f t="shared" si="64"/>
        <v>0</v>
      </c>
      <c r="N419" s="3719">
        <f t="shared" si="65"/>
        <v>0</v>
      </c>
      <c r="O419" s="3719"/>
      <c r="P419" s="489">
        <f t="shared" si="61"/>
        <v>0</v>
      </c>
      <c r="S419" s="32">
        <f>'2 REPAIR ESTIMATOR'!AD450</f>
        <v>0</v>
      </c>
      <c r="T419" s="32">
        <f>'2 REPAIR ESTIMATOR'!AM450</f>
        <v>0</v>
      </c>
      <c r="U419" s="32">
        <f t="shared" si="66"/>
        <v>0</v>
      </c>
      <c r="V419" s="32">
        <f>'2 REPAIR ESTIMATOR'!AG450</f>
        <v>0</v>
      </c>
      <c r="W419" s="32">
        <f>'2 REPAIR ESTIMATOR'!AJ450</f>
        <v>0</v>
      </c>
    </row>
    <row r="420" spans="3:23" ht="18" hidden="1">
      <c r="C420" s="3720" t="str">
        <f>T('2 REPAIR ESTIMATOR'!D451:O451)</f>
        <v>French patio door, pair</v>
      </c>
      <c r="D420" s="3721"/>
      <c r="E420" s="3721"/>
      <c r="F420" s="3721"/>
      <c r="G420" s="3721"/>
      <c r="H420" s="3721"/>
      <c r="I420" s="916">
        <f>'2 REPAIR ESTIMATOR'!P451</f>
        <v>0</v>
      </c>
      <c r="J420" s="917" t="str">
        <f>'2 REPAIR ESTIMATOR'!S451</f>
        <v>ea</v>
      </c>
      <c r="K420" s="918">
        <f t="shared" si="62"/>
        <v>0</v>
      </c>
      <c r="L420" s="918">
        <f t="shared" si="63"/>
        <v>0</v>
      </c>
      <c r="M420" s="918">
        <f t="shared" si="64"/>
        <v>0</v>
      </c>
      <c r="N420" s="3719">
        <f t="shared" si="65"/>
        <v>0</v>
      </c>
      <c r="O420" s="3719"/>
      <c r="P420" s="490">
        <f t="shared" si="61"/>
        <v>0</v>
      </c>
      <c r="S420" s="32">
        <f>'2 REPAIR ESTIMATOR'!AD451</f>
        <v>0</v>
      </c>
      <c r="T420" s="32">
        <f>'2 REPAIR ESTIMATOR'!AM451</f>
        <v>0</v>
      </c>
      <c r="U420" s="32">
        <f t="shared" si="66"/>
        <v>0</v>
      </c>
      <c r="V420" s="32">
        <f>'2 REPAIR ESTIMATOR'!AG451</f>
        <v>0</v>
      </c>
      <c r="W420" s="32">
        <f>'2 REPAIR ESTIMATOR'!AJ451</f>
        <v>0</v>
      </c>
    </row>
    <row r="421" spans="3:23" ht="18" hidden="1">
      <c r="C421" s="3720" t="str">
        <f>T('2 REPAIR ESTIMATOR'!D452:O452)</f>
        <v xml:space="preserve">Exterior door hardware w/ dead bolt </v>
      </c>
      <c r="D421" s="3721"/>
      <c r="E421" s="3721"/>
      <c r="F421" s="3721"/>
      <c r="G421" s="3721"/>
      <c r="H421" s="3721"/>
      <c r="I421" s="916">
        <f>'2 REPAIR ESTIMATOR'!P452</f>
        <v>0</v>
      </c>
      <c r="J421" s="917" t="str">
        <f>'2 REPAIR ESTIMATOR'!S452</f>
        <v>ea</v>
      </c>
      <c r="K421" s="918">
        <f t="shared" si="62"/>
        <v>0</v>
      </c>
      <c r="L421" s="918">
        <f t="shared" si="63"/>
        <v>0</v>
      </c>
      <c r="M421" s="918">
        <f t="shared" si="64"/>
        <v>0</v>
      </c>
      <c r="N421" s="3719">
        <f t="shared" si="65"/>
        <v>0</v>
      </c>
      <c r="O421" s="3719"/>
      <c r="P421" s="490">
        <f t="shared" si="61"/>
        <v>0</v>
      </c>
      <c r="S421" s="32">
        <f>'2 REPAIR ESTIMATOR'!AD452</f>
        <v>0</v>
      </c>
      <c r="T421" s="32">
        <f>'2 REPAIR ESTIMATOR'!AM452</f>
        <v>0</v>
      </c>
      <c r="U421" s="32">
        <f t="shared" si="66"/>
        <v>0</v>
      </c>
      <c r="V421" s="32">
        <f>'2 REPAIR ESTIMATOR'!AG452</f>
        <v>0</v>
      </c>
      <c r="W421" s="32">
        <f>'2 REPAIR ESTIMATOR'!AJ452</f>
        <v>0</v>
      </c>
    </row>
    <row r="422" spans="3:23" ht="18" hidden="1">
      <c r="C422" s="3720" t="str">
        <f>T('2 REPAIR ESTIMATOR'!D453:O453)</f>
        <v>Glass storm door, single</v>
      </c>
      <c r="D422" s="3721"/>
      <c r="E422" s="3721"/>
      <c r="F422" s="3721"/>
      <c r="G422" s="3721"/>
      <c r="H422" s="3721"/>
      <c r="I422" s="916">
        <f>'2 REPAIR ESTIMATOR'!P453</f>
        <v>0</v>
      </c>
      <c r="J422" s="917" t="str">
        <f>'2 REPAIR ESTIMATOR'!S453</f>
        <v>ea</v>
      </c>
      <c r="K422" s="918">
        <f t="shared" si="62"/>
        <v>0</v>
      </c>
      <c r="L422" s="918">
        <f t="shared" si="63"/>
        <v>0</v>
      </c>
      <c r="M422" s="918">
        <f t="shared" si="64"/>
        <v>0</v>
      </c>
      <c r="N422" s="3719">
        <f t="shared" si="65"/>
        <v>0</v>
      </c>
      <c r="O422" s="3719"/>
      <c r="P422" s="490">
        <f t="shared" si="61"/>
        <v>0</v>
      </c>
      <c r="S422" s="32">
        <f>'2 REPAIR ESTIMATOR'!AD453</f>
        <v>0</v>
      </c>
      <c r="T422" s="32">
        <f>'2 REPAIR ESTIMATOR'!AM453</f>
        <v>0</v>
      </c>
      <c r="U422" s="32">
        <f t="shared" si="66"/>
        <v>0</v>
      </c>
      <c r="V422" s="32">
        <f>'2 REPAIR ESTIMATOR'!AG453</f>
        <v>0</v>
      </c>
      <c r="W422" s="32">
        <f>'2 REPAIR ESTIMATOR'!AJ453</f>
        <v>0</v>
      </c>
    </row>
    <row r="423" spans="3:23" ht="18" hidden="1">
      <c r="C423" s="3720" t="str">
        <f>T('2 REPAIR ESTIMATOR'!D454:O454)</f>
        <v>Sliding glass door, vinyl, double</v>
      </c>
      <c r="D423" s="3721"/>
      <c r="E423" s="3721"/>
      <c r="F423" s="3721"/>
      <c r="G423" s="3721"/>
      <c r="H423" s="3721"/>
      <c r="I423" s="916">
        <f>'2 REPAIR ESTIMATOR'!P454</f>
        <v>0</v>
      </c>
      <c r="J423" s="917" t="str">
        <f>'2 REPAIR ESTIMATOR'!S454</f>
        <v>ea</v>
      </c>
      <c r="K423" s="918">
        <f t="shared" si="62"/>
        <v>0</v>
      </c>
      <c r="L423" s="918">
        <f t="shared" si="63"/>
        <v>0</v>
      </c>
      <c r="M423" s="918">
        <f t="shared" si="64"/>
        <v>0</v>
      </c>
      <c r="N423" s="3719">
        <f t="shared" si="65"/>
        <v>0</v>
      </c>
      <c r="O423" s="3719"/>
      <c r="P423" s="490">
        <f t="shared" si="61"/>
        <v>0</v>
      </c>
      <c r="S423" s="32">
        <f>'2 REPAIR ESTIMATOR'!AD454</f>
        <v>0</v>
      </c>
      <c r="T423" s="32">
        <f>'2 REPAIR ESTIMATOR'!AM454</f>
        <v>0</v>
      </c>
      <c r="U423" s="32">
        <f t="shared" si="66"/>
        <v>0</v>
      </c>
      <c r="V423" s="32">
        <f>'2 REPAIR ESTIMATOR'!AG454</f>
        <v>0</v>
      </c>
      <c r="W423" s="32">
        <f>'2 REPAIR ESTIMATOR'!AJ454</f>
        <v>0</v>
      </c>
    </row>
    <row r="424" spans="3:23" ht="18" hidden="1">
      <c r="C424" s="3720" t="str">
        <f>T('2 REPAIR ESTIMATOR'!D455:O455)</f>
        <v/>
      </c>
      <c r="D424" s="3721"/>
      <c r="E424" s="3721"/>
      <c r="F424" s="3721"/>
      <c r="G424" s="3721"/>
      <c r="H424" s="3721"/>
      <c r="I424" s="916">
        <f>'2 REPAIR ESTIMATOR'!P455</f>
        <v>0</v>
      </c>
      <c r="J424" s="917">
        <f>'2 REPAIR ESTIMATOR'!S455</f>
        <v>0</v>
      </c>
      <c r="K424" s="918">
        <f t="shared" si="62"/>
        <v>0</v>
      </c>
      <c r="L424" s="918">
        <f t="shared" si="63"/>
        <v>0</v>
      </c>
      <c r="M424" s="918">
        <f t="shared" si="64"/>
        <v>0</v>
      </c>
      <c r="N424" s="3719">
        <f t="shared" si="65"/>
        <v>0</v>
      </c>
      <c r="O424" s="3719"/>
      <c r="P424" s="490">
        <f t="shared" si="61"/>
        <v>0</v>
      </c>
      <c r="S424" s="32">
        <f>'2 REPAIR ESTIMATOR'!AD455</f>
        <v>0</v>
      </c>
      <c r="T424" s="32">
        <f>'2 REPAIR ESTIMATOR'!AM455</f>
        <v>0</v>
      </c>
      <c r="U424" s="32">
        <f t="shared" si="66"/>
        <v>0</v>
      </c>
      <c r="V424" s="32">
        <f>'2 REPAIR ESTIMATOR'!AG455</f>
        <v>0</v>
      </c>
      <c r="W424" s="32">
        <f>'2 REPAIR ESTIMATOR'!AJ455</f>
        <v>0</v>
      </c>
    </row>
    <row r="425" spans="3:23" ht="18" hidden="1">
      <c r="C425" s="3720" t="str">
        <f>T('2 REPAIR ESTIMATOR'!D456:O456)</f>
        <v/>
      </c>
      <c r="D425" s="3721"/>
      <c r="E425" s="3721"/>
      <c r="F425" s="3721"/>
      <c r="G425" s="3721"/>
      <c r="H425" s="3721"/>
      <c r="I425" s="916">
        <f>'2 REPAIR ESTIMATOR'!P456</f>
        <v>0</v>
      </c>
      <c r="J425" s="917">
        <f>'2 REPAIR ESTIMATOR'!S456</f>
        <v>0</v>
      </c>
      <c r="K425" s="918">
        <f t="shared" si="62"/>
        <v>0</v>
      </c>
      <c r="L425" s="918">
        <f t="shared" si="63"/>
        <v>0</v>
      </c>
      <c r="M425" s="918">
        <f t="shared" si="64"/>
        <v>0</v>
      </c>
      <c r="N425" s="3719">
        <f t="shared" si="65"/>
        <v>0</v>
      </c>
      <c r="O425" s="3719"/>
      <c r="P425" s="490">
        <f t="shared" si="61"/>
        <v>0</v>
      </c>
      <c r="S425" s="32">
        <f>'2 REPAIR ESTIMATOR'!AD456</f>
        <v>0</v>
      </c>
      <c r="T425" s="32">
        <f>'2 REPAIR ESTIMATOR'!AM456</f>
        <v>0</v>
      </c>
      <c r="U425" s="32">
        <f t="shared" si="66"/>
        <v>0</v>
      </c>
      <c r="V425" s="32">
        <f>'2 REPAIR ESTIMATOR'!AG456</f>
        <v>0</v>
      </c>
      <c r="W425" s="32">
        <f>'2 REPAIR ESTIMATOR'!AJ456</f>
        <v>0</v>
      </c>
    </row>
    <row r="426" spans="3:23" ht="18" hidden="1">
      <c r="C426" s="3787" t="str">
        <f>T('2 REPAIR ESTIMATOR'!D457:O457)</f>
        <v>Windows</v>
      </c>
      <c r="D426" s="3788"/>
      <c r="E426" s="3788"/>
      <c r="F426" s="3788"/>
      <c r="G426" s="3788"/>
      <c r="H426" s="3788"/>
      <c r="I426" s="916">
        <f>'2 REPAIR ESTIMATOR'!P457</f>
        <v>0</v>
      </c>
      <c r="J426" s="917">
        <f>'2 REPAIR ESTIMATOR'!S457</f>
        <v>0</v>
      </c>
      <c r="K426" s="918">
        <f t="shared" si="62"/>
        <v>0</v>
      </c>
      <c r="L426" s="918">
        <f t="shared" si="63"/>
        <v>0</v>
      </c>
      <c r="M426" s="918">
        <f t="shared" si="64"/>
        <v>0</v>
      </c>
      <c r="N426" s="3719">
        <f t="shared" si="65"/>
        <v>0</v>
      </c>
      <c r="O426" s="3719"/>
      <c r="P426" s="490">
        <f t="shared" si="61"/>
        <v>0</v>
      </c>
      <c r="S426" s="32">
        <f>'2 REPAIR ESTIMATOR'!AD457</f>
        <v>0</v>
      </c>
      <c r="T426" s="32">
        <f>'2 REPAIR ESTIMATOR'!AM457</f>
        <v>0</v>
      </c>
      <c r="U426" s="32">
        <f t="shared" si="66"/>
        <v>0</v>
      </c>
      <c r="V426" s="32">
        <f>'2 REPAIR ESTIMATOR'!AG457</f>
        <v>0</v>
      </c>
      <c r="W426" s="32">
        <f>'2 REPAIR ESTIMATOR'!AJ457</f>
        <v>0</v>
      </c>
    </row>
    <row r="427" spans="3:23" ht="18" hidden="1">
      <c r="C427" s="3720" t="str">
        <f>T('2 REPAIR ESTIMATOR'!D458:O458)</f>
        <v>New windows, vinyl, average size</v>
      </c>
      <c r="D427" s="3721"/>
      <c r="E427" s="3721"/>
      <c r="F427" s="3721"/>
      <c r="G427" s="3721"/>
      <c r="H427" s="3721"/>
      <c r="I427" s="916">
        <f>'2 REPAIR ESTIMATOR'!P458</f>
        <v>0</v>
      </c>
      <c r="J427" s="917" t="str">
        <f>'2 REPAIR ESTIMATOR'!S458</f>
        <v>ea</v>
      </c>
      <c r="K427" s="918">
        <f t="shared" si="62"/>
        <v>0</v>
      </c>
      <c r="L427" s="918">
        <f t="shared" si="63"/>
        <v>0</v>
      </c>
      <c r="M427" s="918">
        <f t="shared" si="64"/>
        <v>0</v>
      </c>
      <c r="N427" s="3719">
        <f t="shared" si="65"/>
        <v>0</v>
      </c>
      <c r="O427" s="3719"/>
      <c r="P427" s="490">
        <f t="shared" si="61"/>
        <v>0</v>
      </c>
      <c r="S427" s="32">
        <f>'2 REPAIR ESTIMATOR'!AD458</f>
        <v>0</v>
      </c>
      <c r="T427" s="32">
        <f>'2 REPAIR ESTIMATOR'!AM458</f>
        <v>0</v>
      </c>
      <c r="U427" s="32">
        <f t="shared" si="66"/>
        <v>0</v>
      </c>
      <c r="V427" s="32">
        <f>'2 REPAIR ESTIMATOR'!AG458</f>
        <v>0</v>
      </c>
      <c r="W427" s="32">
        <f>'2 REPAIR ESTIMATOR'!AJ458</f>
        <v>0</v>
      </c>
    </row>
    <row r="428" spans="3:23" ht="18" hidden="1">
      <c r="C428" s="3720" t="str">
        <f>T('2 REPAIR ESTIMATOR'!D459:O459)</f>
        <v>Replacement windows, vinyl, average size</v>
      </c>
      <c r="D428" s="3721"/>
      <c r="E428" s="3721"/>
      <c r="F428" s="3721"/>
      <c r="G428" s="3721"/>
      <c r="H428" s="3721"/>
      <c r="I428" s="916">
        <f>'2 REPAIR ESTIMATOR'!P459</f>
        <v>0</v>
      </c>
      <c r="J428" s="917" t="str">
        <f>'2 REPAIR ESTIMATOR'!S459</f>
        <v>ea</v>
      </c>
      <c r="K428" s="918">
        <f t="shared" si="62"/>
        <v>0</v>
      </c>
      <c r="L428" s="918">
        <f t="shared" si="63"/>
        <v>0</v>
      </c>
      <c r="M428" s="918">
        <f t="shared" si="64"/>
        <v>0</v>
      </c>
      <c r="N428" s="3719">
        <f t="shared" si="65"/>
        <v>0</v>
      </c>
      <c r="O428" s="3719"/>
      <c r="P428" s="490">
        <f t="shared" si="61"/>
        <v>0</v>
      </c>
      <c r="S428" s="32">
        <f>'2 REPAIR ESTIMATOR'!AD459</f>
        <v>0</v>
      </c>
      <c r="T428" s="32">
        <f>'2 REPAIR ESTIMATOR'!AM459</f>
        <v>0</v>
      </c>
      <c r="U428" s="32">
        <f t="shared" si="66"/>
        <v>0</v>
      </c>
      <c r="V428" s="32">
        <f>'2 REPAIR ESTIMATOR'!AG459</f>
        <v>0</v>
      </c>
      <c r="W428" s="32">
        <f>'2 REPAIR ESTIMATOR'!AJ459</f>
        <v>0</v>
      </c>
    </row>
    <row r="429" spans="3:23" ht="18" hidden="1">
      <c r="C429" s="3720" t="str">
        <f>T('2 REPAIR ESTIMATOR'!D460:O460)</f>
        <v>Wood windows, average size</v>
      </c>
      <c r="D429" s="3721"/>
      <c r="E429" s="3721"/>
      <c r="F429" s="3721"/>
      <c r="G429" s="3721"/>
      <c r="H429" s="3721"/>
      <c r="I429" s="916">
        <f>'2 REPAIR ESTIMATOR'!P460</f>
        <v>0</v>
      </c>
      <c r="J429" s="917" t="str">
        <f>'2 REPAIR ESTIMATOR'!S460</f>
        <v>ea</v>
      </c>
      <c r="K429" s="918">
        <f t="shared" si="62"/>
        <v>0</v>
      </c>
      <c r="L429" s="918">
        <f t="shared" si="63"/>
        <v>0</v>
      </c>
      <c r="M429" s="918">
        <f t="shared" si="64"/>
        <v>0</v>
      </c>
      <c r="N429" s="3719">
        <f t="shared" si="65"/>
        <v>0</v>
      </c>
      <c r="O429" s="3719"/>
      <c r="P429" s="489">
        <f t="shared" si="61"/>
        <v>0</v>
      </c>
      <c r="S429" s="32">
        <f>'2 REPAIR ESTIMATOR'!AD460</f>
        <v>0</v>
      </c>
      <c r="T429" s="32">
        <f>'2 REPAIR ESTIMATOR'!AM460</f>
        <v>0</v>
      </c>
      <c r="U429" s="32">
        <f t="shared" si="66"/>
        <v>0</v>
      </c>
      <c r="V429" s="32">
        <f>'2 REPAIR ESTIMATOR'!AG460</f>
        <v>0</v>
      </c>
      <c r="W429" s="32">
        <f>'2 REPAIR ESTIMATOR'!AJ460</f>
        <v>0</v>
      </c>
    </row>
    <row r="430" spans="3:23" ht="18" hidden="1">
      <c r="C430" s="3720" t="str">
        <f>T('2 REPAIR ESTIMATOR'!D461:O461)</f>
        <v>Replace broken window pane</v>
      </c>
      <c r="D430" s="3721"/>
      <c r="E430" s="3721"/>
      <c r="F430" s="3721"/>
      <c r="G430" s="3721"/>
      <c r="H430" s="3721"/>
      <c r="I430" s="916">
        <f>'2 REPAIR ESTIMATOR'!P461</f>
        <v>0</v>
      </c>
      <c r="J430" s="917" t="str">
        <f>'2 REPAIR ESTIMATOR'!S461</f>
        <v>ea</v>
      </c>
      <c r="K430" s="918">
        <f t="shared" si="62"/>
        <v>0</v>
      </c>
      <c r="L430" s="918">
        <f t="shared" si="63"/>
        <v>0</v>
      </c>
      <c r="M430" s="918">
        <f t="shared" si="64"/>
        <v>0</v>
      </c>
      <c r="N430" s="3719">
        <f t="shared" si="65"/>
        <v>0</v>
      </c>
      <c r="O430" s="3719"/>
      <c r="P430" s="490">
        <f t="shared" si="61"/>
        <v>0</v>
      </c>
      <c r="S430" s="32">
        <f>'2 REPAIR ESTIMATOR'!AD461</f>
        <v>0</v>
      </c>
      <c r="T430" s="32">
        <f>'2 REPAIR ESTIMATOR'!AM461</f>
        <v>0</v>
      </c>
      <c r="U430" s="32">
        <f t="shared" si="66"/>
        <v>0</v>
      </c>
      <c r="V430" s="32">
        <f>'2 REPAIR ESTIMATOR'!AG461</f>
        <v>0</v>
      </c>
      <c r="W430" s="32">
        <f>'2 REPAIR ESTIMATOR'!AJ461</f>
        <v>0</v>
      </c>
    </row>
    <row r="431" spans="3:23" ht="18" hidden="1">
      <c r="C431" s="3720" t="str">
        <f>T('2 REPAIR ESTIMATOR'!D462:O462)</f>
        <v>Replace broken screens</v>
      </c>
      <c r="D431" s="3721"/>
      <c r="E431" s="3721"/>
      <c r="F431" s="3721"/>
      <c r="G431" s="3721"/>
      <c r="H431" s="3721"/>
      <c r="I431" s="916">
        <f>'2 REPAIR ESTIMATOR'!P462</f>
        <v>0</v>
      </c>
      <c r="J431" s="917" t="str">
        <f>'2 REPAIR ESTIMATOR'!S462</f>
        <v>ea</v>
      </c>
      <c r="K431" s="918">
        <f t="shared" si="62"/>
        <v>0</v>
      </c>
      <c r="L431" s="918">
        <f t="shared" si="63"/>
        <v>0</v>
      </c>
      <c r="M431" s="918">
        <f t="shared" si="64"/>
        <v>0</v>
      </c>
      <c r="N431" s="3719">
        <f t="shared" si="65"/>
        <v>0</v>
      </c>
      <c r="O431" s="3719"/>
      <c r="P431" s="490">
        <f t="shared" si="61"/>
        <v>0</v>
      </c>
      <c r="S431" s="32">
        <f>'2 REPAIR ESTIMATOR'!AD462</f>
        <v>0</v>
      </c>
      <c r="T431" s="32">
        <f>'2 REPAIR ESTIMATOR'!AM462</f>
        <v>0</v>
      </c>
      <c r="U431" s="32">
        <f t="shared" si="66"/>
        <v>0</v>
      </c>
      <c r="V431" s="32">
        <f>'2 REPAIR ESTIMATOR'!AG462</f>
        <v>0</v>
      </c>
      <c r="W431" s="32">
        <f>'2 REPAIR ESTIMATOR'!AJ462</f>
        <v>0</v>
      </c>
    </row>
    <row r="432" spans="3:23" ht="18" hidden="1">
      <c r="C432" s="3720" t="str">
        <f>T('2 REPAIR ESTIMATOR'!D463:O463)</f>
        <v>Repair broken screens</v>
      </c>
      <c r="D432" s="3721"/>
      <c r="E432" s="3721"/>
      <c r="F432" s="3721"/>
      <c r="G432" s="3721"/>
      <c r="H432" s="3721"/>
      <c r="I432" s="916">
        <f>'2 REPAIR ESTIMATOR'!P463</f>
        <v>0</v>
      </c>
      <c r="J432" s="917" t="str">
        <f>'2 REPAIR ESTIMATOR'!S463</f>
        <v>ea</v>
      </c>
      <c r="K432" s="918">
        <f t="shared" si="62"/>
        <v>0</v>
      </c>
      <c r="L432" s="918">
        <f t="shared" si="63"/>
        <v>0</v>
      </c>
      <c r="M432" s="918">
        <f t="shared" si="64"/>
        <v>0</v>
      </c>
      <c r="N432" s="3719">
        <f t="shared" si="65"/>
        <v>0</v>
      </c>
      <c r="O432" s="3719"/>
      <c r="P432" s="490">
        <f t="shared" si="61"/>
        <v>0</v>
      </c>
      <c r="S432" s="32">
        <f>'2 REPAIR ESTIMATOR'!AD463</f>
        <v>0</v>
      </c>
      <c r="T432" s="32">
        <f>'2 REPAIR ESTIMATOR'!AM463</f>
        <v>0</v>
      </c>
      <c r="U432" s="32">
        <f t="shared" si="66"/>
        <v>0</v>
      </c>
      <c r="V432" s="32">
        <f>'2 REPAIR ESTIMATOR'!AG463</f>
        <v>0</v>
      </c>
      <c r="W432" s="32">
        <f>'2 REPAIR ESTIMATOR'!AJ463</f>
        <v>0</v>
      </c>
    </row>
    <row r="433" spans="3:23" ht="18" hidden="1">
      <c r="C433" s="3720" t="str">
        <f>T('2 REPAIR ESTIMATOR'!D464:O464)</f>
        <v>Skylight, 3x3, fixed</v>
      </c>
      <c r="D433" s="3721"/>
      <c r="E433" s="3721"/>
      <c r="F433" s="3721"/>
      <c r="G433" s="3721"/>
      <c r="H433" s="3721"/>
      <c r="I433" s="916">
        <f>'2 REPAIR ESTIMATOR'!P464</f>
        <v>0</v>
      </c>
      <c r="J433" s="917" t="str">
        <f>'2 REPAIR ESTIMATOR'!S464</f>
        <v>ea</v>
      </c>
      <c r="K433" s="918">
        <f t="shared" si="62"/>
        <v>0</v>
      </c>
      <c r="L433" s="918">
        <f t="shared" si="63"/>
        <v>0</v>
      </c>
      <c r="M433" s="918">
        <f t="shared" si="64"/>
        <v>0</v>
      </c>
      <c r="N433" s="3719">
        <f t="shared" si="65"/>
        <v>0</v>
      </c>
      <c r="O433" s="3719"/>
      <c r="P433" s="490">
        <f t="shared" si="61"/>
        <v>0</v>
      </c>
      <c r="S433" s="32">
        <f>'2 REPAIR ESTIMATOR'!AD464</f>
        <v>0</v>
      </c>
      <c r="T433" s="32">
        <f>'2 REPAIR ESTIMATOR'!AM464</f>
        <v>0</v>
      </c>
      <c r="U433" s="32">
        <f t="shared" si="66"/>
        <v>0</v>
      </c>
      <c r="V433" s="32">
        <f>'2 REPAIR ESTIMATOR'!AG464</f>
        <v>0</v>
      </c>
      <c r="W433" s="32">
        <f>'2 REPAIR ESTIMATOR'!AJ464</f>
        <v>0</v>
      </c>
    </row>
    <row r="434" spans="3:23" ht="18" hidden="1">
      <c r="C434" s="3720" t="str">
        <f>T('2 REPAIR ESTIMATOR'!D465:O465)</f>
        <v>Skylight, operable</v>
      </c>
      <c r="D434" s="3721"/>
      <c r="E434" s="3721"/>
      <c r="F434" s="3721"/>
      <c r="G434" s="3721"/>
      <c r="H434" s="3721"/>
      <c r="I434" s="916">
        <f>'2 REPAIR ESTIMATOR'!P465</f>
        <v>0</v>
      </c>
      <c r="J434" s="917" t="str">
        <f>'2 REPAIR ESTIMATOR'!S465</f>
        <v>ea</v>
      </c>
      <c r="K434" s="918">
        <f t="shared" si="62"/>
        <v>0</v>
      </c>
      <c r="L434" s="918">
        <f t="shared" si="63"/>
        <v>0</v>
      </c>
      <c r="M434" s="918">
        <f t="shared" si="64"/>
        <v>0</v>
      </c>
      <c r="N434" s="3719">
        <f t="shared" si="65"/>
        <v>0</v>
      </c>
      <c r="O434" s="3719"/>
      <c r="P434" s="490">
        <f t="shared" si="61"/>
        <v>0</v>
      </c>
      <c r="S434" s="32">
        <f>'2 REPAIR ESTIMATOR'!AD465</f>
        <v>0</v>
      </c>
      <c r="T434" s="32">
        <f>'2 REPAIR ESTIMATOR'!AM465</f>
        <v>0</v>
      </c>
      <c r="U434" s="32">
        <f t="shared" si="66"/>
        <v>0</v>
      </c>
      <c r="V434" s="32">
        <f>'2 REPAIR ESTIMATOR'!AG465</f>
        <v>0</v>
      </c>
      <c r="W434" s="32">
        <f>'2 REPAIR ESTIMATOR'!AJ465</f>
        <v>0</v>
      </c>
    </row>
    <row r="435" spans="3:23" ht="18" hidden="1">
      <c r="C435" s="3720" t="str">
        <f>T('2 REPAIR ESTIMATOR'!D466:O466)</f>
        <v/>
      </c>
      <c r="D435" s="3721"/>
      <c r="E435" s="3721"/>
      <c r="F435" s="3721"/>
      <c r="G435" s="3721"/>
      <c r="H435" s="3721"/>
      <c r="I435" s="916">
        <f>'2 REPAIR ESTIMATOR'!P466</f>
        <v>0</v>
      </c>
      <c r="J435" s="917">
        <f>'2 REPAIR ESTIMATOR'!S466</f>
        <v>0</v>
      </c>
      <c r="K435" s="918">
        <f t="shared" si="62"/>
        <v>0</v>
      </c>
      <c r="L435" s="918">
        <f t="shared" si="63"/>
        <v>0</v>
      </c>
      <c r="M435" s="918">
        <f t="shared" si="64"/>
        <v>0</v>
      </c>
      <c r="N435" s="3719">
        <f t="shared" si="65"/>
        <v>0</v>
      </c>
      <c r="O435" s="3719"/>
      <c r="P435" s="490">
        <f t="shared" si="61"/>
        <v>0</v>
      </c>
      <c r="S435" s="32">
        <f>'2 REPAIR ESTIMATOR'!AD466</f>
        <v>0</v>
      </c>
      <c r="T435" s="32">
        <f>'2 REPAIR ESTIMATOR'!AM466</f>
        <v>0</v>
      </c>
      <c r="U435" s="32">
        <f t="shared" si="66"/>
        <v>0</v>
      </c>
      <c r="V435" s="32">
        <f>'2 REPAIR ESTIMATOR'!AG466</f>
        <v>0</v>
      </c>
      <c r="W435" s="32">
        <f>'2 REPAIR ESTIMATOR'!AJ466</f>
        <v>0</v>
      </c>
    </row>
    <row r="436" spans="3:23" ht="18" hidden="1">
      <c r="C436" s="3720" t="str">
        <f>T('2 REPAIR ESTIMATOR'!D467:O467)</f>
        <v/>
      </c>
      <c r="D436" s="3721"/>
      <c r="E436" s="3721"/>
      <c r="F436" s="3721"/>
      <c r="G436" s="3721"/>
      <c r="H436" s="3721"/>
      <c r="I436" s="916">
        <f>'2 REPAIR ESTIMATOR'!P467</f>
        <v>0</v>
      </c>
      <c r="J436" s="917">
        <f>'2 REPAIR ESTIMATOR'!S467</f>
        <v>0</v>
      </c>
      <c r="K436" s="918">
        <f t="shared" si="62"/>
        <v>0</v>
      </c>
      <c r="L436" s="918">
        <f t="shared" si="63"/>
        <v>0</v>
      </c>
      <c r="M436" s="918">
        <f t="shared" si="64"/>
        <v>0</v>
      </c>
      <c r="N436" s="3719">
        <f t="shared" si="65"/>
        <v>0</v>
      </c>
      <c r="O436" s="3719"/>
      <c r="P436" s="490">
        <f t="shared" si="61"/>
        <v>0</v>
      </c>
      <c r="S436" s="32">
        <f>'2 REPAIR ESTIMATOR'!AD467</f>
        <v>0</v>
      </c>
      <c r="T436" s="32">
        <f>'2 REPAIR ESTIMATOR'!AM467</f>
        <v>0</v>
      </c>
      <c r="U436" s="32">
        <f t="shared" si="66"/>
        <v>0</v>
      </c>
      <c r="V436" s="32">
        <f>'2 REPAIR ESTIMATOR'!AG467</f>
        <v>0</v>
      </c>
      <c r="W436" s="32">
        <f>'2 REPAIR ESTIMATOR'!AJ467</f>
        <v>0</v>
      </c>
    </row>
    <row r="437" spans="3:23" ht="18" hidden="1">
      <c r="C437" s="3720" t="str">
        <f>T('2 REPAIR ESTIMATOR'!D468:O468)</f>
        <v/>
      </c>
      <c r="D437" s="3721"/>
      <c r="E437" s="3721"/>
      <c r="F437" s="3721"/>
      <c r="G437" s="3721"/>
      <c r="H437" s="3721"/>
      <c r="I437" s="916">
        <f>'2 REPAIR ESTIMATOR'!P468</f>
        <v>0</v>
      </c>
      <c r="J437" s="917">
        <f>'2 REPAIR ESTIMATOR'!S468</f>
        <v>0</v>
      </c>
      <c r="K437" s="918">
        <f t="shared" si="62"/>
        <v>0</v>
      </c>
      <c r="L437" s="918">
        <f t="shared" si="63"/>
        <v>0</v>
      </c>
      <c r="M437" s="918">
        <f t="shared" si="64"/>
        <v>0</v>
      </c>
      <c r="N437" s="3719">
        <f t="shared" si="65"/>
        <v>0</v>
      </c>
      <c r="O437" s="3719"/>
      <c r="P437" s="490">
        <f t="shared" ref="P437:P456" si="67">I437</f>
        <v>0</v>
      </c>
      <c r="S437" s="32">
        <f>'2 REPAIR ESTIMATOR'!AD468</f>
        <v>0</v>
      </c>
      <c r="T437" s="32">
        <f>'2 REPAIR ESTIMATOR'!AM468</f>
        <v>0</v>
      </c>
      <c r="U437" s="32">
        <f t="shared" si="66"/>
        <v>0</v>
      </c>
      <c r="V437" s="32">
        <f>'2 REPAIR ESTIMATOR'!AG468</f>
        <v>0</v>
      </c>
      <c r="W437" s="32">
        <f>'2 REPAIR ESTIMATOR'!AJ468</f>
        <v>0</v>
      </c>
    </row>
    <row r="438" spans="3:23" ht="18" hidden="1">
      <c r="C438" s="3720" t="str">
        <f>T('2 REPAIR ESTIMATOR'!D469:O469)</f>
        <v/>
      </c>
      <c r="D438" s="3721"/>
      <c r="E438" s="3721"/>
      <c r="F438" s="3721"/>
      <c r="G438" s="3721"/>
      <c r="H438" s="3721"/>
      <c r="I438" s="916">
        <f>'2 REPAIR ESTIMATOR'!P469</f>
        <v>0</v>
      </c>
      <c r="J438" s="917">
        <f>'2 REPAIR ESTIMATOR'!S469</f>
        <v>0</v>
      </c>
      <c r="K438" s="918">
        <f t="shared" si="62"/>
        <v>0</v>
      </c>
      <c r="L438" s="918">
        <f t="shared" si="63"/>
        <v>0</v>
      </c>
      <c r="M438" s="918">
        <f t="shared" si="64"/>
        <v>0</v>
      </c>
      <c r="N438" s="3719">
        <f t="shared" si="65"/>
        <v>0</v>
      </c>
      <c r="O438" s="3719"/>
      <c r="P438" s="490">
        <f t="shared" si="67"/>
        <v>0</v>
      </c>
      <c r="S438" s="32">
        <f>'2 REPAIR ESTIMATOR'!AD469</f>
        <v>0</v>
      </c>
      <c r="T438" s="32">
        <f>'2 REPAIR ESTIMATOR'!AM469</f>
        <v>0</v>
      </c>
      <c r="U438" s="32">
        <f t="shared" si="66"/>
        <v>0</v>
      </c>
      <c r="V438" s="32">
        <f>'2 REPAIR ESTIMATOR'!AG469</f>
        <v>0</v>
      </c>
      <c r="W438" s="32">
        <f>'2 REPAIR ESTIMATOR'!AJ469</f>
        <v>0</v>
      </c>
    </row>
    <row r="439" spans="3:23" ht="18" hidden="1">
      <c r="C439" s="3720" t="str">
        <f>T('2 REPAIR ESTIMATOR'!D470:O470)</f>
        <v/>
      </c>
      <c r="D439" s="3721"/>
      <c r="E439" s="3721"/>
      <c r="F439" s="3721"/>
      <c r="G439" s="3721"/>
      <c r="H439" s="3721"/>
      <c r="I439" s="916">
        <f>'2 REPAIR ESTIMATOR'!P470</f>
        <v>0</v>
      </c>
      <c r="J439" s="917">
        <f>'2 REPAIR ESTIMATOR'!S470</f>
        <v>0</v>
      </c>
      <c r="K439" s="918">
        <f t="shared" si="62"/>
        <v>0</v>
      </c>
      <c r="L439" s="918">
        <f t="shared" si="63"/>
        <v>0</v>
      </c>
      <c r="M439" s="918">
        <f t="shared" si="64"/>
        <v>0</v>
      </c>
      <c r="N439" s="3719">
        <f t="shared" si="65"/>
        <v>0</v>
      </c>
      <c r="O439" s="3719"/>
      <c r="P439" s="490">
        <f t="shared" si="67"/>
        <v>0</v>
      </c>
      <c r="S439" s="32">
        <f>'2 REPAIR ESTIMATOR'!AD470</f>
        <v>0</v>
      </c>
      <c r="T439" s="32">
        <f>'2 REPAIR ESTIMATOR'!AM470</f>
        <v>0</v>
      </c>
      <c r="U439" s="32">
        <f t="shared" si="66"/>
        <v>0</v>
      </c>
      <c r="V439" s="32">
        <f>'2 REPAIR ESTIMATOR'!AG470</f>
        <v>0</v>
      </c>
      <c r="W439" s="32">
        <f>'2 REPAIR ESTIMATOR'!AJ470</f>
        <v>0</v>
      </c>
    </row>
    <row r="440" spans="3:23" ht="18" hidden="1">
      <c r="C440" s="3720" t="str">
        <f>T('2 REPAIR ESTIMATOR'!D471:O471)</f>
        <v/>
      </c>
      <c r="D440" s="3721"/>
      <c r="E440" s="3721"/>
      <c r="F440" s="3721"/>
      <c r="G440" s="3721"/>
      <c r="H440" s="3721"/>
      <c r="I440" s="916">
        <f>'2 REPAIR ESTIMATOR'!P471</f>
        <v>0</v>
      </c>
      <c r="J440" s="917">
        <f>'2 REPAIR ESTIMATOR'!S471</f>
        <v>0</v>
      </c>
      <c r="K440" s="918">
        <f t="shared" si="62"/>
        <v>0</v>
      </c>
      <c r="L440" s="918">
        <f t="shared" si="63"/>
        <v>0</v>
      </c>
      <c r="M440" s="918">
        <f t="shared" si="64"/>
        <v>0</v>
      </c>
      <c r="N440" s="3719">
        <f t="shared" si="65"/>
        <v>0</v>
      </c>
      <c r="O440" s="3719"/>
      <c r="P440" s="490">
        <f t="shared" si="67"/>
        <v>0</v>
      </c>
      <c r="S440" s="32">
        <f>'2 REPAIR ESTIMATOR'!AD471</f>
        <v>0</v>
      </c>
      <c r="T440" s="32">
        <f>'2 REPAIR ESTIMATOR'!AM471</f>
        <v>0</v>
      </c>
      <c r="U440" s="32">
        <f t="shared" si="66"/>
        <v>0</v>
      </c>
      <c r="V440" s="32">
        <f>'2 REPAIR ESTIMATOR'!AG471</f>
        <v>0</v>
      </c>
      <c r="W440" s="32">
        <f>'2 REPAIR ESTIMATOR'!AJ471</f>
        <v>0</v>
      </c>
    </row>
    <row r="441" spans="3:23" ht="18" hidden="1">
      <c r="C441" s="3720" t="str">
        <f>T('2 REPAIR ESTIMATOR'!D472:O472)</f>
        <v/>
      </c>
      <c r="D441" s="3721"/>
      <c r="E441" s="3721"/>
      <c r="F441" s="3721"/>
      <c r="G441" s="3721"/>
      <c r="H441" s="3721"/>
      <c r="I441" s="916">
        <f>'2 REPAIR ESTIMATOR'!P472</f>
        <v>0</v>
      </c>
      <c r="J441" s="917">
        <f>'2 REPAIR ESTIMATOR'!S472</f>
        <v>0</v>
      </c>
      <c r="K441" s="918">
        <f t="shared" si="62"/>
        <v>0</v>
      </c>
      <c r="L441" s="918">
        <f t="shared" si="63"/>
        <v>0</v>
      </c>
      <c r="M441" s="918">
        <f t="shared" si="64"/>
        <v>0</v>
      </c>
      <c r="N441" s="3719">
        <f t="shared" si="65"/>
        <v>0</v>
      </c>
      <c r="O441" s="3719"/>
      <c r="P441" s="490">
        <f t="shared" si="67"/>
        <v>0</v>
      </c>
      <c r="S441" s="32">
        <f>'2 REPAIR ESTIMATOR'!AD472</f>
        <v>0</v>
      </c>
      <c r="T441" s="32">
        <f>'2 REPAIR ESTIMATOR'!AM472</f>
        <v>0</v>
      </c>
      <c r="U441" s="32">
        <f t="shared" si="66"/>
        <v>0</v>
      </c>
      <c r="V441" s="32">
        <f>'2 REPAIR ESTIMATOR'!AG472</f>
        <v>0</v>
      </c>
      <c r="W441" s="32">
        <f>'2 REPAIR ESTIMATOR'!AJ472</f>
        <v>0</v>
      </c>
    </row>
    <row r="442" spans="3:23" ht="18" hidden="1">
      <c r="C442" s="3720" t="str">
        <f>T('2 REPAIR ESTIMATOR'!D473:O473)</f>
        <v/>
      </c>
      <c r="D442" s="3721"/>
      <c r="E442" s="3721"/>
      <c r="F442" s="3721"/>
      <c r="G442" s="3721"/>
      <c r="H442" s="3721"/>
      <c r="I442" s="916">
        <f>'2 REPAIR ESTIMATOR'!P473</f>
        <v>0</v>
      </c>
      <c r="J442" s="917">
        <f>'2 REPAIR ESTIMATOR'!S473</f>
        <v>0</v>
      </c>
      <c r="K442" s="918">
        <f t="shared" si="62"/>
        <v>0</v>
      </c>
      <c r="L442" s="918">
        <f t="shared" si="63"/>
        <v>0</v>
      </c>
      <c r="M442" s="918">
        <f t="shared" si="64"/>
        <v>0</v>
      </c>
      <c r="N442" s="3719">
        <f t="shared" si="65"/>
        <v>0</v>
      </c>
      <c r="O442" s="3719"/>
      <c r="P442" s="490">
        <f t="shared" si="67"/>
        <v>0</v>
      </c>
      <c r="S442" s="32">
        <f>'2 REPAIR ESTIMATOR'!AD473</f>
        <v>0</v>
      </c>
      <c r="T442" s="32">
        <f>'2 REPAIR ESTIMATOR'!AM473</f>
        <v>0</v>
      </c>
      <c r="U442" s="32">
        <f t="shared" si="66"/>
        <v>0</v>
      </c>
      <c r="V442" s="32">
        <f>'2 REPAIR ESTIMATOR'!AG473</f>
        <v>0</v>
      </c>
      <c r="W442" s="32">
        <f>'2 REPAIR ESTIMATOR'!AJ473</f>
        <v>0</v>
      </c>
    </row>
    <row r="443" spans="3:23" ht="18" hidden="1">
      <c r="C443" s="3720" t="str">
        <f>T('2 REPAIR ESTIMATOR'!D474:O474)</f>
        <v/>
      </c>
      <c r="D443" s="3721"/>
      <c r="E443" s="3721"/>
      <c r="F443" s="3721"/>
      <c r="G443" s="3721"/>
      <c r="H443" s="3721"/>
      <c r="I443" s="916">
        <f>'2 REPAIR ESTIMATOR'!P474</f>
        <v>0</v>
      </c>
      <c r="J443" s="917">
        <f>'2 REPAIR ESTIMATOR'!S474</f>
        <v>0</v>
      </c>
      <c r="K443" s="918">
        <f t="shared" si="62"/>
        <v>0</v>
      </c>
      <c r="L443" s="918">
        <f t="shared" si="63"/>
        <v>0</v>
      </c>
      <c r="M443" s="918">
        <f t="shared" si="64"/>
        <v>0</v>
      </c>
      <c r="N443" s="3719">
        <f t="shared" si="65"/>
        <v>0</v>
      </c>
      <c r="O443" s="3719"/>
      <c r="P443" s="490">
        <f t="shared" si="67"/>
        <v>0</v>
      </c>
      <c r="S443" s="32">
        <f>'2 REPAIR ESTIMATOR'!AD474</f>
        <v>0</v>
      </c>
      <c r="T443" s="32">
        <f>'2 REPAIR ESTIMATOR'!AM474</f>
        <v>0</v>
      </c>
      <c r="U443" s="32">
        <f t="shared" si="66"/>
        <v>0</v>
      </c>
      <c r="V443" s="32">
        <f>'2 REPAIR ESTIMATOR'!AG474</f>
        <v>0</v>
      </c>
      <c r="W443" s="32">
        <f>'2 REPAIR ESTIMATOR'!AJ474</f>
        <v>0</v>
      </c>
    </row>
    <row r="444" spans="3:23" ht="18" hidden="1">
      <c r="C444" s="3720" t="str">
        <f>T('2 REPAIR ESTIMATOR'!D475:O475)</f>
        <v/>
      </c>
      <c r="D444" s="3721"/>
      <c r="E444" s="3721"/>
      <c r="F444" s="3721"/>
      <c r="G444" s="3721"/>
      <c r="H444" s="3721"/>
      <c r="I444" s="916">
        <f>'2 REPAIR ESTIMATOR'!P475</f>
        <v>0</v>
      </c>
      <c r="J444" s="917">
        <f>'2 REPAIR ESTIMATOR'!S475</f>
        <v>0</v>
      </c>
      <c r="K444" s="918">
        <f t="shared" si="62"/>
        <v>0</v>
      </c>
      <c r="L444" s="918">
        <f t="shared" si="63"/>
        <v>0</v>
      </c>
      <c r="M444" s="918">
        <f t="shared" si="64"/>
        <v>0</v>
      </c>
      <c r="N444" s="3719">
        <f t="shared" si="65"/>
        <v>0</v>
      </c>
      <c r="O444" s="3719"/>
      <c r="P444" s="490">
        <f t="shared" si="67"/>
        <v>0</v>
      </c>
      <c r="S444" s="32">
        <f>'2 REPAIR ESTIMATOR'!AD475</f>
        <v>0</v>
      </c>
      <c r="T444" s="32">
        <f>'2 REPAIR ESTIMATOR'!AM475</f>
        <v>0</v>
      </c>
      <c r="U444" s="32">
        <f t="shared" si="66"/>
        <v>0</v>
      </c>
      <c r="V444" s="32">
        <f>'2 REPAIR ESTIMATOR'!AG475</f>
        <v>0</v>
      </c>
      <c r="W444" s="32">
        <f>'2 REPAIR ESTIMATOR'!AJ475</f>
        <v>0</v>
      </c>
    </row>
    <row r="445" spans="3:23" ht="18" hidden="1">
      <c r="C445" s="3720" t="str">
        <f>T('2 REPAIR ESTIMATOR'!D476:O476)</f>
        <v/>
      </c>
      <c r="D445" s="3721"/>
      <c r="E445" s="3721"/>
      <c r="F445" s="3721"/>
      <c r="G445" s="3721"/>
      <c r="H445" s="3721"/>
      <c r="I445" s="916">
        <f>'2 REPAIR ESTIMATOR'!P476</f>
        <v>0</v>
      </c>
      <c r="J445" s="917">
        <f>'2 REPAIR ESTIMATOR'!S476</f>
        <v>0</v>
      </c>
      <c r="K445" s="918">
        <f t="shared" si="62"/>
        <v>0</v>
      </c>
      <c r="L445" s="918">
        <f t="shared" si="63"/>
        <v>0</v>
      </c>
      <c r="M445" s="918">
        <f t="shared" si="64"/>
        <v>0</v>
      </c>
      <c r="N445" s="3719">
        <f t="shared" si="65"/>
        <v>0</v>
      </c>
      <c r="O445" s="3719"/>
      <c r="P445" s="490">
        <f t="shared" si="67"/>
        <v>0</v>
      </c>
      <c r="S445" s="32">
        <f>'2 REPAIR ESTIMATOR'!AD476</f>
        <v>0</v>
      </c>
      <c r="T445" s="32">
        <f>'2 REPAIR ESTIMATOR'!AM476</f>
        <v>0</v>
      </c>
      <c r="U445" s="32">
        <f t="shared" si="66"/>
        <v>0</v>
      </c>
      <c r="V445" s="32">
        <f>'2 REPAIR ESTIMATOR'!AG476</f>
        <v>0</v>
      </c>
      <c r="W445" s="32">
        <f>'2 REPAIR ESTIMATOR'!AJ476</f>
        <v>0</v>
      </c>
    </row>
    <row r="446" spans="3:23" ht="18" hidden="1">
      <c r="C446" s="3720" t="str">
        <f>T('2 REPAIR ESTIMATOR'!D477:O477)</f>
        <v/>
      </c>
      <c r="D446" s="3721"/>
      <c r="E446" s="3721"/>
      <c r="F446" s="3721"/>
      <c r="G446" s="3721"/>
      <c r="H446" s="3721"/>
      <c r="I446" s="916">
        <f>'2 REPAIR ESTIMATOR'!P477</f>
        <v>0</v>
      </c>
      <c r="J446" s="917">
        <f>'2 REPAIR ESTIMATOR'!S477</f>
        <v>0</v>
      </c>
      <c r="K446" s="918">
        <f t="shared" si="62"/>
        <v>0</v>
      </c>
      <c r="L446" s="918">
        <f t="shared" si="63"/>
        <v>0</v>
      </c>
      <c r="M446" s="918">
        <f t="shared" si="64"/>
        <v>0</v>
      </c>
      <c r="N446" s="3719">
        <f t="shared" si="65"/>
        <v>0</v>
      </c>
      <c r="O446" s="3719"/>
      <c r="P446" s="490">
        <f t="shared" si="67"/>
        <v>0</v>
      </c>
      <c r="S446" s="32">
        <f>'2 REPAIR ESTIMATOR'!AD477</f>
        <v>0</v>
      </c>
      <c r="T446" s="32">
        <f>'2 REPAIR ESTIMATOR'!AM477</f>
        <v>0</v>
      </c>
      <c r="U446" s="32">
        <f t="shared" si="66"/>
        <v>0</v>
      </c>
      <c r="V446" s="32">
        <f>'2 REPAIR ESTIMATOR'!AG477</f>
        <v>0</v>
      </c>
      <c r="W446" s="32">
        <f>'2 REPAIR ESTIMATOR'!AJ477</f>
        <v>0</v>
      </c>
    </row>
    <row r="447" spans="3:23" ht="18" hidden="1">
      <c r="C447" s="3720" t="str">
        <f>T('2 REPAIR ESTIMATOR'!D478:O478)</f>
        <v/>
      </c>
      <c r="D447" s="3721"/>
      <c r="E447" s="3721"/>
      <c r="F447" s="3721"/>
      <c r="G447" s="3721"/>
      <c r="H447" s="3721"/>
      <c r="I447" s="916">
        <f>'2 REPAIR ESTIMATOR'!P478</f>
        <v>0</v>
      </c>
      <c r="J447" s="917">
        <f>'2 REPAIR ESTIMATOR'!S478</f>
        <v>0</v>
      </c>
      <c r="K447" s="918">
        <f t="shared" si="62"/>
        <v>0</v>
      </c>
      <c r="L447" s="918">
        <f t="shared" si="63"/>
        <v>0</v>
      </c>
      <c r="M447" s="918">
        <f t="shared" si="64"/>
        <v>0</v>
      </c>
      <c r="N447" s="3719">
        <f t="shared" si="65"/>
        <v>0</v>
      </c>
      <c r="O447" s="3719"/>
      <c r="P447" s="490">
        <f t="shared" si="67"/>
        <v>0</v>
      </c>
      <c r="S447" s="32">
        <f>'2 REPAIR ESTIMATOR'!AD478</f>
        <v>0</v>
      </c>
      <c r="T447" s="32">
        <f>'2 REPAIR ESTIMATOR'!AM478</f>
        <v>0</v>
      </c>
      <c r="U447" s="32">
        <f t="shared" si="66"/>
        <v>0</v>
      </c>
      <c r="V447" s="32">
        <f>'2 REPAIR ESTIMATOR'!AG478</f>
        <v>0</v>
      </c>
      <c r="W447" s="32">
        <f>'2 REPAIR ESTIMATOR'!AJ478</f>
        <v>0</v>
      </c>
    </row>
    <row r="448" spans="3:23" ht="18" hidden="1">
      <c r="C448" s="3720" t="str">
        <f>T('2 REPAIR ESTIMATOR'!D479:O479)</f>
        <v/>
      </c>
      <c r="D448" s="3721"/>
      <c r="E448" s="3721"/>
      <c r="F448" s="3721"/>
      <c r="G448" s="3721"/>
      <c r="H448" s="3721"/>
      <c r="I448" s="916">
        <f>'2 REPAIR ESTIMATOR'!P479</f>
        <v>0</v>
      </c>
      <c r="J448" s="917">
        <f>'2 REPAIR ESTIMATOR'!S479</f>
        <v>0</v>
      </c>
      <c r="K448" s="918">
        <f t="shared" si="62"/>
        <v>0</v>
      </c>
      <c r="L448" s="918">
        <f t="shared" si="63"/>
        <v>0</v>
      </c>
      <c r="M448" s="918">
        <f t="shared" si="64"/>
        <v>0</v>
      </c>
      <c r="N448" s="3719">
        <f t="shared" si="65"/>
        <v>0</v>
      </c>
      <c r="O448" s="3719"/>
      <c r="P448" s="490">
        <f t="shared" si="67"/>
        <v>0</v>
      </c>
      <c r="S448" s="32">
        <f>'2 REPAIR ESTIMATOR'!AD479</f>
        <v>0</v>
      </c>
      <c r="T448" s="32">
        <f>'2 REPAIR ESTIMATOR'!AM479</f>
        <v>0</v>
      </c>
      <c r="U448" s="32">
        <f t="shared" si="66"/>
        <v>0</v>
      </c>
      <c r="V448" s="32">
        <f>'2 REPAIR ESTIMATOR'!AG479</f>
        <v>0</v>
      </c>
      <c r="W448" s="32">
        <f>'2 REPAIR ESTIMATOR'!AJ479</f>
        <v>0</v>
      </c>
    </row>
    <row r="449" spans="3:23" ht="18" hidden="1">
      <c r="C449" s="3720" t="str">
        <f>T('2 REPAIR ESTIMATOR'!D480:O480)</f>
        <v/>
      </c>
      <c r="D449" s="3721"/>
      <c r="E449" s="3721"/>
      <c r="F449" s="3721"/>
      <c r="G449" s="3721"/>
      <c r="H449" s="3721"/>
      <c r="I449" s="916">
        <f>'2 REPAIR ESTIMATOR'!P480</f>
        <v>0</v>
      </c>
      <c r="J449" s="917">
        <f>'2 REPAIR ESTIMATOR'!S480</f>
        <v>0</v>
      </c>
      <c r="K449" s="918">
        <f t="shared" si="62"/>
        <v>0</v>
      </c>
      <c r="L449" s="918">
        <f t="shared" si="63"/>
        <v>0</v>
      </c>
      <c r="M449" s="918">
        <f t="shared" si="64"/>
        <v>0</v>
      </c>
      <c r="N449" s="3719">
        <f t="shared" si="65"/>
        <v>0</v>
      </c>
      <c r="O449" s="3719"/>
      <c r="P449" s="490">
        <f t="shared" si="67"/>
        <v>0</v>
      </c>
      <c r="S449" s="32">
        <f>'2 REPAIR ESTIMATOR'!AD480</f>
        <v>0</v>
      </c>
      <c r="T449" s="32">
        <f>'2 REPAIR ESTIMATOR'!AM480</f>
        <v>0</v>
      </c>
      <c r="U449" s="32">
        <f t="shared" si="66"/>
        <v>0</v>
      </c>
      <c r="V449" s="32">
        <f>'2 REPAIR ESTIMATOR'!AG480</f>
        <v>0</v>
      </c>
      <c r="W449" s="32">
        <f>'2 REPAIR ESTIMATOR'!AJ480</f>
        <v>0</v>
      </c>
    </row>
    <row r="450" spans="3:23" ht="18" hidden="1">
      <c r="C450" s="3720" t="str">
        <f>T('2 REPAIR ESTIMATOR'!D481:O481)</f>
        <v/>
      </c>
      <c r="D450" s="3721"/>
      <c r="E450" s="3721"/>
      <c r="F450" s="3721"/>
      <c r="G450" s="3721"/>
      <c r="H450" s="3721"/>
      <c r="I450" s="916">
        <f>'2 REPAIR ESTIMATOR'!P481</f>
        <v>0</v>
      </c>
      <c r="J450" s="917">
        <f>'2 REPAIR ESTIMATOR'!S481</f>
        <v>0</v>
      </c>
      <c r="K450" s="918">
        <f t="shared" si="62"/>
        <v>0</v>
      </c>
      <c r="L450" s="918">
        <f t="shared" si="63"/>
        <v>0</v>
      </c>
      <c r="M450" s="918">
        <f t="shared" si="64"/>
        <v>0</v>
      </c>
      <c r="N450" s="3719">
        <f t="shared" si="65"/>
        <v>0</v>
      </c>
      <c r="O450" s="3719"/>
      <c r="P450" s="490">
        <f t="shared" si="67"/>
        <v>0</v>
      </c>
      <c r="S450" s="32">
        <f>'2 REPAIR ESTIMATOR'!AD481</f>
        <v>0</v>
      </c>
      <c r="T450" s="32">
        <f>'2 REPAIR ESTIMATOR'!AM481</f>
        <v>0</v>
      </c>
      <c r="U450" s="32">
        <f t="shared" si="66"/>
        <v>0</v>
      </c>
      <c r="V450" s="32">
        <f>'2 REPAIR ESTIMATOR'!AG481</f>
        <v>0</v>
      </c>
      <c r="W450" s="32">
        <f>'2 REPAIR ESTIMATOR'!AJ481</f>
        <v>0</v>
      </c>
    </row>
    <row r="451" spans="3:23" ht="18" hidden="1">
      <c r="C451" s="3720" t="str">
        <f>T('2 REPAIR ESTIMATOR'!D482:O482)</f>
        <v/>
      </c>
      <c r="D451" s="3721"/>
      <c r="E451" s="3721"/>
      <c r="F451" s="3721"/>
      <c r="G451" s="3721"/>
      <c r="H451" s="3721"/>
      <c r="I451" s="916">
        <f>'2 REPAIR ESTIMATOR'!P482</f>
        <v>0</v>
      </c>
      <c r="J451" s="917">
        <f>'2 REPAIR ESTIMATOR'!S482</f>
        <v>0</v>
      </c>
      <c r="K451" s="918">
        <f t="shared" si="62"/>
        <v>0</v>
      </c>
      <c r="L451" s="918">
        <f t="shared" si="63"/>
        <v>0</v>
      </c>
      <c r="M451" s="918">
        <f t="shared" si="64"/>
        <v>0</v>
      </c>
      <c r="N451" s="3719">
        <f t="shared" si="65"/>
        <v>0</v>
      </c>
      <c r="O451" s="3719"/>
      <c r="P451" s="490">
        <f t="shared" si="67"/>
        <v>0</v>
      </c>
      <c r="S451" s="32">
        <f>'2 REPAIR ESTIMATOR'!AD482</f>
        <v>0</v>
      </c>
      <c r="T451" s="32">
        <f>'2 REPAIR ESTIMATOR'!AM482</f>
        <v>0</v>
      </c>
      <c r="U451" s="32">
        <f t="shared" si="66"/>
        <v>0</v>
      </c>
      <c r="V451" s="32">
        <f>'2 REPAIR ESTIMATOR'!AG482</f>
        <v>0</v>
      </c>
      <c r="W451" s="32">
        <f>'2 REPAIR ESTIMATOR'!AJ482</f>
        <v>0</v>
      </c>
    </row>
    <row r="452" spans="3:23" ht="18" hidden="1">
      <c r="C452" s="3720" t="str">
        <f>T('2 REPAIR ESTIMATOR'!D483:O483)</f>
        <v/>
      </c>
      <c r="D452" s="3721"/>
      <c r="E452" s="3721"/>
      <c r="F452" s="3721"/>
      <c r="G452" s="3721"/>
      <c r="H452" s="3721"/>
      <c r="I452" s="916">
        <f>'2 REPAIR ESTIMATOR'!P483</f>
        <v>0</v>
      </c>
      <c r="J452" s="917">
        <f>'2 REPAIR ESTIMATOR'!S483</f>
        <v>0</v>
      </c>
      <c r="K452" s="918">
        <f t="shared" si="62"/>
        <v>0</v>
      </c>
      <c r="L452" s="918">
        <f t="shared" si="63"/>
        <v>0</v>
      </c>
      <c r="M452" s="918">
        <f t="shared" si="64"/>
        <v>0</v>
      </c>
      <c r="N452" s="3719">
        <f t="shared" si="65"/>
        <v>0</v>
      </c>
      <c r="O452" s="3719"/>
      <c r="P452" s="490">
        <f t="shared" si="67"/>
        <v>0</v>
      </c>
      <c r="S452" s="32">
        <f>'2 REPAIR ESTIMATOR'!AD483</f>
        <v>0</v>
      </c>
      <c r="T452" s="32">
        <f>'2 REPAIR ESTIMATOR'!AM483</f>
        <v>0</v>
      </c>
      <c r="U452" s="32">
        <f t="shared" si="66"/>
        <v>0</v>
      </c>
      <c r="V452" s="32">
        <f>'2 REPAIR ESTIMATOR'!AG483</f>
        <v>0</v>
      </c>
      <c r="W452" s="32">
        <f>'2 REPAIR ESTIMATOR'!AJ483</f>
        <v>0</v>
      </c>
    </row>
    <row r="453" spans="3:23" ht="18" hidden="1">
      <c r="C453" s="3720" t="str">
        <f>T('2 REPAIR ESTIMATOR'!D484:O484)</f>
        <v/>
      </c>
      <c r="D453" s="3721"/>
      <c r="E453" s="3721"/>
      <c r="F453" s="3721"/>
      <c r="G453" s="3721"/>
      <c r="H453" s="3721"/>
      <c r="I453" s="916">
        <f>'2 REPAIR ESTIMATOR'!P484</f>
        <v>0</v>
      </c>
      <c r="J453" s="917">
        <f>'2 REPAIR ESTIMATOR'!S484</f>
        <v>0</v>
      </c>
      <c r="K453" s="918">
        <f t="shared" si="62"/>
        <v>0</v>
      </c>
      <c r="L453" s="918">
        <f t="shared" si="63"/>
        <v>0</v>
      </c>
      <c r="M453" s="918">
        <f t="shared" si="64"/>
        <v>0</v>
      </c>
      <c r="N453" s="3719">
        <f t="shared" si="65"/>
        <v>0</v>
      </c>
      <c r="O453" s="3719"/>
      <c r="P453" s="490">
        <f t="shared" si="67"/>
        <v>0</v>
      </c>
      <c r="S453" s="32">
        <f>'2 REPAIR ESTIMATOR'!AD484</f>
        <v>0</v>
      </c>
      <c r="T453" s="32">
        <f>'2 REPAIR ESTIMATOR'!AM484</f>
        <v>0</v>
      </c>
      <c r="U453" s="32">
        <f t="shared" si="66"/>
        <v>0</v>
      </c>
      <c r="V453" s="32">
        <f>'2 REPAIR ESTIMATOR'!AG484</f>
        <v>0</v>
      </c>
      <c r="W453" s="32">
        <f>'2 REPAIR ESTIMATOR'!AJ484</f>
        <v>0</v>
      </c>
    </row>
    <row r="454" spans="3:23" ht="18" hidden="1">
      <c r="C454" s="3720" t="str">
        <f>T('2 REPAIR ESTIMATOR'!D485:O485)</f>
        <v/>
      </c>
      <c r="D454" s="3721"/>
      <c r="E454" s="3721"/>
      <c r="F454" s="3721"/>
      <c r="G454" s="3721"/>
      <c r="H454" s="3721"/>
      <c r="I454" s="916">
        <f>'2 REPAIR ESTIMATOR'!P485</f>
        <v>0</v>
      </c>
      <c r="J454" s="917">
        <f>'2 REPAIR ESTIMATOR'!S485</f>
        <v>0</v>
      </c>
      <c r="K454" s="918">
        <f t="shared" si="62"/>
        <v>0</v>
      </c>
      <c r="L454" s="918">
        <f t="shared" si="63"/>
        <v>0</v>
      </c>
      <c r="M454" s="918">
        <f t="shared" si="64"/>
        <v>0</v>
      </c>
      <c r="N454" s="3719">
        <f t="shared" si="65"/>
        <v>0</v>
      </c>
      <c r="O454" s="3719"/>
      <c r="P454" s="490">
        <f t="shared" si="67"/>
        <v>0</v>
      </c>
      <c r="S454" s="32">
        <f>'2 REPAIR ESTIMATOR'!AD485</f>
        <v>0</v>
      </c>
      <c r="T454" s="32">
        <f>'2 REPAIR ESTIMATOR'!AM485</f>
        <v>0</v>
      </c>
      <c r="U454" s="32">
        <f t="shared" si="66"/>
        <v>0</v>
      </c>
      <c r="V454" s="32">
        <f>'2 REPAIR ESTIMATOR'!AG485</f>
        <v>0</v>
      </c>
      <c r="W454" s="32">
        <f>'2 REPAIR ESTIMATOR'!AJ485</f>
        <v>0</v>
      </c>
    </row>
    <row r="455" spans="3:23" ht="18" hidden="1">
      <c r="C455" s="3720" t="str">
        <f>T('2 REPAIR ESTIMATOR'!D486:O486)</f>
        <v/>
      </c>
      <c r="D455" s="3721"/>
      <c r="E455" s="3721"/>
      <c r="F455" s="3721"/>
      <c r="G455" s="3721"/>
      <c r="H455" s="3721"/>
      <c r="I455" s="916">
        <f>'2 REPAIR ESTIMATOR'!P486</f>
        <v>0</v>
      </c>
      <c r="J455" s="917">
        <f>'2 REPAIR ESTIMATOR'!S486</f>
        <v>0</v>
      </c>
      <c r="K455" s="918">
        <f t="shared" si="62"/>
        <v>0</v>
      </c>
      <c r="L455" s="918">
        <f t="shared" si="63"/>
        <v>0</v>
      </c>
      <c r="M455" s="918">
        <f t="shared" si="64"/>
        <v>0</v>
      </c>
      <c r="N455" s="3719">
        <f t="shared" si="65"/>
        <v>0</v>
      </c>
      <c r="O455" s="3719"/>
      <c r="P455" s="490">
        <f t="shared" si="67"/>
        <v>0</v>
      </c>
      <c r="S455" s="32">
        <f>'2 REPAIR ESTIMATOR'!AD486</f>
        <v>0</v>
      </c>
      <c r="T455" s="32">
        <f>'2 REPAIR ESTIMATOR'!AM486</f>
        <v>0</v>
      </c>
      <c r="U455" s="32">
        <f t="shared" si="66"/>
        <v>0</v>
      </c>
      <c r="V455" s="32">
        <f>'2 REPAIR ESTIMATOR'!AG486</f>
        <v>0</v>
      </c>
      <c r="W455" s="32">
        <f>'2 REPAIR ESTIMATOR'!AJ486</f>
        <v>0</v>
      </c>
    </row>
    <row r="456" spans="3:23" ht="18.350000000000001" hidden="1" thickBot="1">
      <c r="C456" s="3779" t="str">
        <f>T('2 REPAIR ESTIMATOR'!D487:O487)</f>
        <v/>
      </c>
      <c r="D456" s="3780"/>
      <c r="E456" s="3780"/>
      <c r="F456" s="3780"/>
      <c r="G456" s="3780"/>
      <c r="H456" s="3780"/>
      <c r="I456" s="919">
        <f>'2 REPAIR ESTIMATOR'!P487</f>
        <v>0</v>
      </c>
      <c r="J456" s="920">
        <f>'2 REPAIR ESTIMATOR'!S487</f>
        <v>0</v>
      </c>
      <c r="K456" s="921">
        <f t="shared" si="62"/>
        <v>0</v>
      </c>
      <c r="L456" s="921">
        <f t="shared" si="63"/>
        <v>0</v>
      </c>
      <c r="M456" s="921">
        <f t="shared" si="64"/>
        <v>0</v>
      </c>
      <c r="N456" s="3781">
        <f t="shared" si="65"/>
        <v>0</v>
      </c>
      <c r="O456" s="3781"/>
      <c r="P456" s="490">
        <f t="shared" si="67"/>
        <v>0</v>
      </c>
      <c r="S456" s="32">
        <f>'2 REPAIR ESTIMATOR'!AD487</f>
        <v>0</v>
      </c>
      <c r="T456" s="32">
        <f>'2 REPAIR ESTIMATOR'!AM487</f>
        <v>0</v>
      </c>
      <c r="U456" s="32">
        <f t="shared" si="66"/>
        <v>0</v>
      </c>
      <c r="V456" s="32">
        <f>'2 REPAIR ESTIMATOR'!AG487</f>
        <v>0</v>
      </c>
      <c r="W456" s="32">
        <f>'2 REPAIR ESTIMATOR'!AJ487</f>
        <v>0</v>
      </c>
    </row>
    <row r="457" spans="3:23" ht="18.350000000000001" hidden="1" thickBot="1">
      <c r="C457" s="3723" t="str">
        <f>T('2 REPAIR ESTIMATOR'!AC489)</f>
        <v>EXTERIOR DOORS &amp; WINDOWS TOTAL</v>
      </c>
      <c r="D457" s="3724"/>
      <c r="E457" s="3724"/>
      <c r="F457" s="3724"/>
      <c r="G457" s="3724"/>
      <c r="H457" s="3724"/>
      <c r="I457" s="3724"/>
      <c r="J457" s="3724"/>
      <c r="K457" s="922">
        <f>SUM(K417:K456)</f>
        <v>0</v>
      </c>
      <c r="L457" s="922">
        <f>SUM(L417:L456)</f>
        <v>0</v>
      </c>
      <c r="M457" s="922">
        <f>SUM(M417:M456)</f>
        <v>0</v>
      </c>
      <c r="N457" s="3789">
        <f>SUM(N417:O456)</f>
        <v>0</v>
      </c>
      <c r="O457" s="3789"/>
      <c r="P457" s="489">
        <f>SUM(P416:P428)</f>
        <v>0</v>
      </c>
      <c r="S457" s="33">
        <f>SUM(S417:S456)</f>
        <v>0</v>
      </c>
      <c r="T457" s="33">
        <f>SUM(T417:T456)</f>
        <v>0</v>
      </c>
      <c r="U457" s="33">
        <f>SUM(U417:U456)</f>
        <v>0</v>
      </c>
      <c r="V457" s="33">
        <f>SUM(V417:V456)</f>
        <v>0</v>
      </c>
      <c r="W457" s="33">
        <f>SUM(W417:W456)</f>
        <v>0</v>
      </c>
    </row>
    <row r="458" spans="3:23" ht="8.85" hidden="1" customHeight="1">
      <c r="C458" s="841"/>
      <c r="D458" s="841"/>
      <c r="E458" s="841"/>
      <c r="F458" s="841"/>
      <c r="G458" s="841"/>
      <c r="H458" s="841"/>
      <c r="I458" s="842"/>
      <c r="J458" s="842"/>
      <c r="K458" s="842"/>
      <c r="L458" s="842"/>
      <c r="M458" s="842"/>
      <c r="N458" s="843"/>
      <c r="O458" s="798"/>
      <c r="P458" s="489">
        <f>P457</f>
        <v>0</v>
      </c>
    </row>
    <row r="459" spans="3:23" ht="21" hidden="1" customHeight="1" thickBot="1">
      <c r="C459" s="3782" t="str">
        <f>T('2 REPAIR ESTIMATOR'!D492:O492)</f>
        <v>GARAGE DOORS</v>
      </c>
      <c r="D459" s="3783"/>
      <c r="E459" s="3783"/>
      <c r="F459" s="3783"/>
      <c r="G459" s="3783"/>
      <c r="H459" s="3783"/>
      <c r="I459" s="799">
        <f>SUM(I460:I499)</f>
        <v>0</v>
      </c>
      <c r="J459" s="800"/>
      <c r="K459" s="850"/>
      <c r="L459" s="850"/>
      <c r="M459" s="850"/>
      <c r="N459" s="3722"/>
      <c r="O459" s="3722"/>
      <c r="P459" s="489">
        <f t="shared" ref="P459:P479" si="68">I459</f>
        <v>0</v>
      </c>
      <c r="S459" s="34"/>
      <c r="T459" s="34"/>
      <c r="U459" s="34"/>
      <c r="V459" s="34"/>
      <c r="W459" s="34"/>
    </row>
    <row r="460" spans="3:23" ht="18" hidden="1">
      <c r="C460" s="3720" t="str">
        <f>T('2 REPAIR ESTIMATOR'!D493:O493)</f>
        <v>Garage Doors Bid/Allowance</v>
      </c>
      <c r="D460" s="3721"/>
      <c r="E460" s="3721"/>
      <c r="F460" s="3721"/>
      <c r="G460" s="3721"/>
      <c r="H460" s="3721"/>
      <c r="I460" s="916">
        <f>'2 REPAIR ESTIMATOR'!P493</f>
        <v>0</v>
      </c>
      <c r="J460" s="917" t="str">
        <f>'2 REPAIR ESTIMATOR'!S493</f>
        <v>ls</v>
      </c>
      <c r="K460" s="918">
        <f t="shared" ref="K460:K499" si="69">IF($N$3="subbed",U460,S460)*$S$70</f>
        <v>0</v>
      </c>
      <c r="L460" s="918">
        <f>V460*$S$70</f>
        <v>0</v>
      </c>
      <c r="M460" s="918">
        <f>W460*$S$70</f>
        <v>0</v>
      </c>
      <c r="N460" s="3719">
        <f>SUM(K460:M460)</f>
        <v>0</v>
      </c>
      <c r="O460" s="3719"/>
      <c r="P460" s="490">
        <f t="shared" si="68"/>
        <v>0</v>
      </c>
      <c r="S460" s="32">
        <f>'2 REPAIR ESTIMATOR'!AD493</f>
        <v>0</v>
      </c>
      <c r="T460" s="32">
        <f>'2 REPAIR ESTIMATOR'!AM493</f>
        <v>0</v>
      </c>
      <c r="U460" s="32">
        <f>T460+S460</f>
        <v>0</v>
      </c>
      <c r="V460" s="32">
        <f>'2 REPAIR ESTIMATOR'!AG493</f>
        <v>0</v>
      </c>
      <c r="W460" s="32">
        <f>'2 REPAIR ESTIMATOR'!AJ493</f>
        <v>0</v>
      </c>
    </row>
    <row r="461" spans="3:23" ht="18" hidden="1">
      <c r="C461" s="3720" t="str">
        <f>T('2 REPAIR ESTIMATOR'!D494:O494)</f>
        <v>Garage Doors Only- 9'x7'  door, manual</v>
      </c>
      <c r="D461" s="3721"/>
      <c r="E461" s="3721"/>
      <c r="F461" s="3721"/>
      <c r="G461" s="3721"/>
      <c r="H461" s="3721"/>
      <c r="I461" s="916">
        <f>'2 REPAIR ESTIMATOR'!P494</f>
        <v>0</v>
      </c>
      <c r="J461" s="917" t="str">
        <f>'2 REPAIR ESTIMATOR'!S494</f>
        <v>ea</v>
      </c>
      <c r="K461" s="918">
        <f t="shared" si="69"/>
        <v>0</v>
      </c>
      <c r="L461" s="918">
        <f t="shared" ref="L461:L499" si="70">V461*$S$70</f>
        <v>0</v>
      </c>
      <c r="M461" s="918">
        <f t="shared" ref="M461:M499" si="71">W461*$S$70</f>
        <v>0</v>
      </c>
      <c r="N461" s="3719">
        <f t="shared" ref="N461:N499" si="72">SUM(K461:M461)</f>
        <v>0</v>
      </c>
      <c r="O461" s="3719"/>
      <c r="P461" s="490">
        <f t="shared" si="68"/>
        <v>0</v>
      </c>
      <c r="S461" s="32">
        <f>'2 REPAIR ESTIMATOR'!AD494</f>
        <v>0</v>
      </c>
      <c r="T461" s="32">
        <f>'2 REPAIR ESTIMATOR'!AM494</f>
        <v>0</v>
      </c>
      <c r="U461" s="32">
        <f t="shared" ref="U461:U499" si="73">T461+S461</f>
        <v>0</v>
      </c>
      <c r="V461" s="32">
        <f>'2 REPAIR ESTIMATOR'!AG494</f>
        <v>0</v>
      </c>
      <c r="W461" s="32">
        <f>'2 REPAIR ESTIMATOR'!AJ494</f>
        <v>0</v>
      </c>
    </row>
    <row r="462" spans="3:23" ht="18" hidden="1">
      <c r="C462" s="3720" t="str">
        <f>T('2 REPAIR ESTIMATOR'!D495:O495)</f>
        <v>Garage Doors Only- 16' door, manual</v>
      </c>
      <c r="D462" s="3721"/>
      <c r="E462" s="3721"/>
      <c r="F462" s="3721"/>
      <c r="G462" s="3721"/>
      <c r="H462" s="3721"/>
      <c r="I462" s="916">
        <f>'2 REPAIR ESTIMATOR'!P495</f>
        <v>0</v>
      </c>
      <c r="J462" s="917" t="str">
        <f>'2 REPAIR ESTIMATOR'!S495</f>
        <v>ea</v>
      </c>
      <c r="K462" s="918">
        <f t="shared" si="69"/>
        <v>0</v>
      </c>
      <c r="L462" s="918">
        <f t="shared" si="70"/>
        <v>0</v>
      </c>
      <c r="M462" s="918">
        <f t="shared" si="71"/>
        <v>0</v>
      </c>
      <c r="N462" s="3719">
        <f t="shared" si="72"/>
        <v>0</v>
      </c>
      <c r="O462" s="3719"/>
      <c r="P462" s="490">
        <f t="shared" si="68"/>
        <v>0</v>
      </c>
      <c r="S462" s="32">
        <f>'2 REPAIR ESTIMATOR'!AD495</f>
        <v>0</v>
      </c>
      <c r="T462" s="32">
        <f>'2 REPAIR ESTIMATOR'!AM495</f>
        <v>0</v>
      </c>
      <c r="U462" s="32">
        <f t="shared" si="73"/>
        <v>0</v>
      </c>
      <c r="V462" s="32">
        <f>'2 REPAIR ESTIMATOR'!AG495</f>
        <v>0</v>
      </c>
      <c r="W462" s="32">
        <f>'2 REPAIR ESTIMATOR'!AJ495</f>
        <v>0</v>
      </c>
    </row>
    <row r="463" spans="3:23" ht="18" hidden="1">
      <c r="C463" s="3720" t="str">
        <f>T('2 REPAIR ESTIMATOR'!D496:O496)</f>
        <v>Garage Door Operator only</v>
      </c>
      <c r="D463" s="3721"/>
      <c r="E463" s="3721"/>
      <c r="F463" s="3721"/>
      <c r="G463" s="3721"/>
      <c r="H463" s="3721"/>
      <c r="I463" s="916">
        <f>'2 REPAIR ESTIMATOR'!P496</f>
        <v>0</v>
      </c>
      <c r="J463" s="917" t="str">
        <f>'2 REPAIR ESTIMATOR'!S496</f>
        <v>ea</v>
      </c>
      <c r="K463" s="918">
        <f t="shared" si="69"/>
        <v>0</v>
      </c>
      <c r="L463" s="918">
        <f t="shared" si="70"/>
        <v>0</v>
      </c>
      <c r="M463" s="918">
        <f t="shared" si="71"/>
        <v>0</v>
      </c>
      <c r="N463" s="3719">
        <f t="shared" si="72"/>
        <v>0</v>
      </c>
      <c r="O463" s="3719"/>
      <c r="P463" s="490">
        <f t="shared" si="68"/>
        <v>0</v>
      </c>
      <c r="S463" s="32">
        <f>'2 REPAIR ESTIMATOR'!AD496</f>
        <v>0</v>
      </c>
      <c r="T463" s="32">
        <f>'2 REPAIR ESTIMATOR'!AM496</f>
        <v>0</v>
      </c>
      <c r="U463" s="32">
        <f t="shared" si="73"/>
        <v>0</v>
      </c>
      <c r="V463" s="32">
        <f>'2 REPAIR ESTIMATOR'!AG496</f>
        <v>0</v>
      </c>
      <c r="W463" s="32">
        <f>'2 REPAIR ESTIMATOR'!AJ496</f>
        <v>0</v>
      </c>
    </row>
    <row r="464" spans="3:23" ht="18" hidden="1">
      <c r="C464" s="3720" t="str">
        <f>T('2 REPAIR ESTIMATOR'!D497:O497)</f>
        <v>Replace springs for garage door</v>
      </c>
      <c r="D464" s="3721"/>
      <c r="E464" s="3721"/>
      <c r="F464" s="3721"/>
      <c r="G464" s="3721"/>
      <c r="H464" s="3721"/>
      <c r="I464" s="916">
        <f>'2 REPAIR ESTIMATOR'!P497</f>
        <v>0</v>
      </c>
      <c r="J464" s="917" t="str">
        <f>'2 REPAIR ESTIMATOR'!S497</f>
        <v>ea</v>
      </c>
      <c r="K464" s="918">
        <f t="shared" si="69"/>
        <v>0</v>
      </c>
      <c r="L464" s="918">
        <f t="shared" si="70"/>
        <v>0</v>
      </c>
      <c r="M464" s="918">
        <f t="shared" si="71"/>
        <v>0</v>
      </c>
      <c r="N464" s="3719">
        <f t="shared" si="72"/>
        <v>0</v>
      </c>
      <c r="O464" s="3719"/>
      <c r="P464" s="490">
        <f t="shared" si="68"/>
        <v>0</v>
      </c>
      <c r="S464" s="32">
        <f>'2 REPAIR ESTIMATOR'!AD497</f>
        <v>0</v>
      </c>
      <c r="T464" s="32">
        <f>'2 REPAIR ESTIMATOR'!AM497</f>
        <v>0</v>
      </c>
      <c r="U464" s="32">
        <f t="shared" si="73"/>
        <v>0</v>
      </c>
      <c r="V464" s="32">
        <f>'2 REPAIR ESTIMATOR'!AG497</f>
        <v>0</v>
      </c>
      <c r="W464" s="32">
        <f>'2 REPAIR ESTIMATOR'!AJ497</f>
        <v>0</v>
      </c>
    </row>
    <row r="465" spans="3:23" ht="18" hidden="1">
      <c r="C465" s="3720" t="str">
        <f>T('2 REPAIR ESTIMATOR'!D498:O498)</f>
        <v/>
      </c>
      <c r="D465" s="3721"/>
      <c r="E465" s="3721"/>
      <c r="F465" s="3721"/>
      <c r="G465" s="3721"/>
      <c r="H465" s="3721"/>
      <c r="I465" s="916">
        <f>'2 REPAIR ESTIMATOR'!P498</f>
        <v>0</v>
      </c>
      <c r="J465" s="917">
        <f>'2 REPAIR ESTIMATOR'!S498</f>
        <v>0</v>
      </c>
      <c r="K465" s="918">
        <f t="shared" si="69"/>
        <v>0</v>
      </c>
      <c r="L465" s="918">
        <f t="shared" si="70"/>
        <v>0</v>
      </c>
      <c r="M465" s="918">
        <f t="shared" si="71"/>
        <v>0</v>
      </c>
      <c r="N465" s="3719">
        <f t="shared" si="72"/>
        <v>0</v>
      </c>
      <c r="O465" s="3719"/>
      <c r="P465" s="490">
        <f t="shared" si="68"/>
        <v>0</v>
      </c>
      <c r="S465" s="32">
        <f>'2 REPAIR ESTIMATOR'!AD498</f>
        <v>0</v>
      </c>
      <c r="T465" s="32">
        <f>'2 REPAIR ESTIMATOR'!AM498</f>
        <v>0</v>
      </c>
      <c r="U465" s="32">
        <f t="shared" si="73"/>
        <v>0</v>
      </c>
      <c r="V465" s="32">
        <f>'2 REPAIR ESTIMATOR'!AG498</f>
        <v>0</v>
      </c>
      <c r="W465" s="32">
        <f>'2 REPAIR ESTIMATOR'!AJ498</f>
        <v>0</v>
      </c>
    </row>
    <row r="466" spans="3:23" ht="18" hidden="1">
      <c r="C466" s="3720" t="str">
        <f>T('2 REPAIR ESTIMATOR'!D499:O499)</f>
        <v/>
      </c>
      <c r="D466" s="3721"/>
      <c r="E466" s="3721"/>
      <c r="F466" s="3721"/>
      <c r="G466" s="3721"/>
      <c r="H466" s="3721"/>
      <c r="I466" s="916">
        <f>'2 REPAIR ESTIMATOR'!P499</f>
        <v>0</v>
      </c>
      <c r="J466" s="917">
        <f>'2 REPAIR ESTIMATOR'!S499</f>
        <v>0</v>
      </c>
      <c r="K466" s="918">
        <f t="shared" si="69"/>
        <v>0</v>
      </c>
      <c r="L466" s="918">
        <f t="shared" si="70"/>
        <v>0</v>
      </c>
      <c r="M466" s="918">
        <f t="shared" si="71"/>
        <v>0</v>
      </c>
      <c r="N466" s="3719">
        <f t="shared" si="72"/>
        <v>0</v>
      </c>
      <c r="O466" s="3719"/>
      <c r="P466" s="490">
        <f t="shared" si="68"/>
        <v>0</v>
      </c>
      <c r="S466" s="32">
        <f>'2 REPAIR ESTIMATOR'!AD499</f>
        <v>0</v>
      </c>
      <c r="T466" s="32">
        <f>'2 REPAIR ESTIMATOR'!AM499</f>
        <v>0</v>
      </c>
      <c r="U466" s="32">
        <f t="shared" si="73"/>
        <v>0</v>
      </c>
      <c r="V466" s="32">
        <f>'2 REPAIR ESTIMATOR'!AG499</f>
        <v>0</v>
      </c>
      <c r="W466" s="32">
        <f>'2 REPAIR ESTIMATOR'!AJ499</f>
        <v>0</v>
      </c>
    </row>
    <row r="467" spans="3:23" ht="18" hidden="1">
      <c r="C467" s="3720" t="str">
        <f>T('2 REPAIR ESTIMATOR'!D500:O500)</f>
        <v/>
      </c>
      <c r="D467" s="3721"/>
      <c r="E467" s="3721"/>
      <c r="F467" s="3721"/>
      <c r="G467" s="3721"/>
      <c r="H467" s="3721"/>
      <c r="I467" s="916">
        <f>'2 REPAIR ESTIMATOR'!P500</f>
        <v>0</v>
      </c>
      <c r="J467" s="917">
        <f>'2 REPAIR ESTIMATOR'!S500</f>
        <v>0</v>
      </c>
      <c r="K467" s="918">
        <f t="shared" si="69"/>
        <v>0</v>
      </c>
      <c r="L467" s="918">
        <f t="shared" si="70"/>
        <v>0</v>
      </c>
      <c r="M467" s="918">
        <f t="shared" si="71"/>
        <v>0</v>
      </c>
      <c r="N467" s="3719">
        <f t="shared" si="72"/>
        <v>0</v>
      </c>
      <c r="O467" s="3719"/>
      <c r="P467" s="490">
        <f t="shared" si="68"/>
        <v>0</v>
      </c>
      <c r="S467" s="32">
        <f>'2 REPAIR ESTIMATOR'!AD500</f>
        <v>0</v>
      </c>
      <c r="T467" s="32">
        <f>'2 REPAIR ESTIMATOR'!AM500</f>
        <v>0</v>
      </c>
      <c r="U467" s="32">
        <f t="shared" si="73"/>
        <v>0</v>
      </c>
      <c r="V467" s="32">
        <f>'2 REPAIR ESTIMATOR'!AG500</f>
        <v>0</v>
      </c>
      <c r="W467" s="32">
        <f>'2 REPAIR ESTIMATOR'!AJ500</f>
        <v>0</v>
      </c>
    </row>
    <row r="468" spans="3:23" ht="18" hidden="1">
      <c r="C468" s="3720" t="str">
        <f>T('2 REPAIR ESTIMATOR'!D501:O501)</f>
        <v/>
      </c>
      <c r="D468" s="3721"/>
      <c r="E468" s="3721"/>
      <c r="F468" s="3721"/>
      <c r="G468" s="3721"/>
      <c r="H468" s="3721"/>
      <c r="I468" s="916">
        <f>'2 REPAIR ESTIMATOR'!P501</f>
        <v>0</v>
      </c>
      <c r="J468" s="917">
        <f>'2 REPAIR ESTIMATOR'!S501</f>
        <v>0</v>
      </c>
      <c r="K468" s="918">
        <f t="shared" si="69"/>
        <v>0</v>
      </c>
      <c r="L468" s="918">
        <f t="shared" si="70"/>
        <v>0</v>
      </c>
      <c r="M468" s="918">
        <f t="shared" si="71"/>
        <v>0</v>
      </c>
      <c r="N468" s="3719">
        <f t="shared" si="72"/>
        <v>0</v>
      </c>
      <c r="O468" s="3719"/>
      <c r="P468" s="490">
        <f t="shared" si="68"/>
        <v>0</v>
      </c>
      <c r="S468" s="32">
        <f>'2 REPAIR ESTIMATOR'!AD501</f>
        <v>0</v>
      </c>
      <c r="T468" s="32">
        <f>'2 REPAIR ESTIMATOR'!AM501</f>
        <v>0</v>
      </c>
      <c r="U468" s="32">
        <f t="shared" si="73"/>
        <v>0</v>
      </c>
      <c r="V468" s="32">
        <f>'2 REPAIR ESTIMATOR'!AG501</f>
        <v>0</v>
      </c>
      <c r="W468" s="32">
        <f>'2 REPAIR ESTIMATOR'!AJ501</f>
        <v>0</v>
      </c>
    </row>
    <row r="469" spans="3:23" ht="18" hidden="1">
      <c r="C469" s="3720" t="str">
        <f>T('2 REPAIR ESTIMATOR'!D502:O502)</f>
        <v/>
      </c>
      <c r="D469" s="3721"/>
      <c r="E469" s="3721"/>
      <c r="F469" s="3721"/>
      <c r="G469" s="3721"/>
      <c r="H469" s="3721"/>
      <c r="I469" s="916">
        <f>'2 REPAIR ESTIMATOR'!P502</f>
        <v>0</v>
      </c>
      <c r="J469" s="917">
        <f>'2 REPAIR ESTIMATOR'!S502</f>
        <v>0</v>
      </c>
      <c r="K469" s="918">
        <f t="shared" si="69"/>
        <v>0</v>
      </c>
      <c r="L469" s="918">
        <f t="shared" si="70"/>
        <v>0</v>
      </c>
      <c r="M469" s="918">
        <f t="shared" si="71"/>
        <v>0</v>
      </c>
      <c r="N469" s="3719">
        <f t="shared" si="72"/>
        <v>0</v>
      </c>
      <c r="O469" s="3719"/>
      <c r="P469" s="490">
        <f t="shared" si="68"/>
        <v>0</v>
      </c>
      <c r="S469" s="32">
        <f>'2 REPAIR ESTIMATOR'!AD502</f>
        <v>0</v>
      </c>
      <c r="T469" s="32">
        <f>'2 REPAIR ESTIMATOR'!AM502</f>
        <v>0</v>
      </c>
      <c r="U469" s="32">
        <f t="shared" si="73"/>
        <v>0</v>
      </c>
      <c r="V469" s="32">
        <f>'2 REPAIR ESTIMATOR'!AG502</f>
        <v>0</v>
      </c>
      <c r="W469" s="32">
        <f>'2 REPAIR ESTIMATOR'!AJ502</f>
        <v>0</v>
      </c>
    </row>
    <row r="470" spans="3:23" ht="18" hidden="1">
      <c r="C470" s="3720" t="str">
        <f>T('2 REPAIR ESTIMATOR'!D503:O503)</f>
        <v/>
      </c>
      <c r="D470" s="3721"/>
      <c r="E470" s="3721"/>
      <c r="F470" s="3721"/>
      <c r="G470" s="3721"/>
      <c r="H470" s="3721"/>
      <c r="I470" s="916">
        <f>'2 REPAIR ESTIMATOR'!P503</f>
        <v>0</v>
      </c>
      <c r="J470" s="917">
        <f>'2 REPAIR ESTIMATOR'!S503</f>
        <v>0</v>
      </c>
      <c r="K470" s="918">
        <f t="shared" si="69"/>
        <v>0</v>
      </c>
      <c r="L470" s="918">
        <f t="shared" si="70"/>
        <v>0</v>
      </c>
      <c r="M470" s="918">
        <f t="shared" si="71"/>
        <v>0</v>
      </c>
      <c r="N470" s="3719">
        <f t="shared" si="72"/>
        <v>0</v>
      </c>
      <c r="O470" s="3719"/>
      <c r="P470" s="490">
        <f t="shared" si="68"/>
        <v>0</v>
      </c>
      <c r="S470" s="32">
        <f>'2 REPAIR ESTIMATOR'!AD503</f>
        <v>0</v>
      </c>
      <c r="T470" s="32">
        <f>'2 REPAIR ESTIMATOR'!AM503</f>
        <v>0</v>
      </c>
      <c r="U470" s="32">
        <f t="shared" si="73"/>
        <v>0</v>
      </c>
      <c r="V470" s="32">
        <f>'2 REPAIR ESTIMATOR'!AG503</f>
        <v>0</v>
      </c>
      <c r="W470" s="32">
        <f>'2 REPAIR ESTIMATOR'!AJ503</f>
        <v>0</v>
      </c>
    </row>
    <row r="471" spans="3:23" ht="18" hidden="1">
      <c r="C471" s="3720" t="str">
        <f>T('2 REPAIR ESTIMATOR'!D504:O504)</f>
        <v/>
      </c>
      <c r="D471" s="3721"/>
      <c r="E471" s="3721"/>
      <c r="F471" s="3721"/>
      <c r="G471" s="3721"/>
      <c r="H471" s="3721"/>
      <c r="I471" s="916">
        <f>'2 REPAIR ESTIMATOR'!P504</f>
        <v>0</v>
      </c>
      <c r="J471" s="917">
        <f>'2 REPAIR ESTIMATOR'!S504</f>
        <v>0</v>
      </c>
      <c r="K471" s="918">
        <f t="shared" si="69"/>
        <v>0</v>
      </c>
      <c r="L471" s="918">
        <f t="shared" si="70"/>
        <v>0</v>
      </c>
      <c r="M471" s="918">
        <f t="shared" si="71"/>
        <v>0</v>
      </c>
      <c r="N471" s="3719">
        <f t="shared" si="72"/>
        <v>0</v>
      </c>
      <c r="O471" s="3719"/>
      <c r="P471" s="490">
        <f t="shared" si="68"/>
        <v>0</v>
      </c>
      <c r="S471" s="32">
        <f>'2 REPAIR ESTIMATOR'!AD504</f>
        <v>0</v>
      </c>
      <c r="T471" s="32">
        <f>'2 REPAIR ESTIMATOR'!AM504</f>
        <v>0</v>
      </c>
      <c r="U471" s="32">
        <f t="shared" si="73"/>
        <v>0</v>
      </c>
      <c r="V471" s="32">
        <f>'2 REPAIR ESTIMATOR'!AG504</f>
        <v>0</v>
      </c>
      <c r="W471" s="32">
        <f>'2 REPAIR ESTIMATOR'!AJ504</f>
        <v>0</v>
      </c>
    </row>
    <row r="472" spans="3:23" ht="18" hidden="1">
      <c r="C472" s="3720" t="str">
        <f>T('2 REPAIR ESTIMATOR'!D505:O505)</f>
        <v/>
      </c>
      <c r="D472" s="3721"/>
      <c r="E472" s="3721"/>
      <c r="F472" s="3721"/>
      <c r="G472" s="3721"/>
      <c r="H472" s="3721"/>
      <c r="I472" s="916">
        <f>'2 REPAIR ESTIMATOR'!P505</f>
        <v>0</v>
      </c>
      <c r="J472" s="917">
        <f>'2 REPAIR ESTIMATOR'!S505</f>
        <v>0</v>
      </c>
      <c r="K472" s="918">
        <f t="shared" si="69"/>
        <v>0</v>
      </c>
      <c r="L472" s="918">
        <f t="shared" si="70"/>
        <v>0</v>
      </c>
      <c r="M472" s="918">
        <f t="shared" si="71"/>
        <v>0</v>
      </c>
      <c r="N472" s="3719">
        <f t="shared" si="72"/>
        <v>0</v>
      </c>
      <c r="O472" s="3719"/>
      <c r="P472" s="490">
        <f t="shared" si="68"/>
        <v>0</v>
      </c>
      <c r="S472" s="32">
        <f>'2 REPAIR ESTIMATOR'!AD505</f>
        <v>0</v>
      </c>
      <c r="T472" s="32">
        <f>'2 REPAIR ESTIMATOR'!AM505</f>
        <v>0</v>
      </c>
      <c r="U472" s="32">
        <f t="shared" si="73"/>
        <v>0</v>
      </c>
      <c r="V472" s="32">
        <f>'2 REPAIR ESTIMATOR'!AG505</f>
        <v>0</v>
      </c>
      <c r="W472" s="32">
        <f>'2 REPAIR ESTIMATOR'!AJ505</f>
        <v>0</v>
      </c>
    </row>
    <row r="473" spans="3:23" ht="18" hidden="1">
      <c r="C473" s="3720" t="str">
        <f>T('2 REPAIR ESTIMATOR'!D506:O506)</f>
        <v/>
      </c>
      <c r="D473" s="3721"/>
      <c r="E473" s="3721"/>
      <c r="F473" s="3721"/>
      <c r="G473" s="3721"/>
      <c r="H473" s="3721"/>
      <c r="I473" s="916">
        <f>'2 REPAIR ESTIMATOR'!P506</f>
        <v>0</v>
      </c>
      <c r="J473" s="917">
        <f>'2 REPAIR ESTIMATOR'!S506</f>
        <v>0</v>
      </c>
      <c r="K473" s="918">
        <f t="shared" si="69"/>
        <v>0</v>
      </c>
      <c r="L473" s="918">
        <f t="shared" si="70"/>
        <v>0</v>
      </c>
      <c r="M473" s="918">
        <f t="shared" si="71"/>
        <v>0</v>
      </c>
      <c r="N473" s="3719">
        <f t="shared" si="72"/>
        <v>0</v>
      </c>
      <c r="O473" s="3719"/>
      <c r="P473" s="490">
        <f t="shared" si="68"/>
        <v>0</v>
      </c>
      <c r="S473" s="32">
        <f>'2 REPAIR ESTIMATOR'!AD506</f>
        <v>0</v>
      </c>
      <c r="T473" s="32">
        <f>'2 REPAIR ESTIMATOR'!AM506</f>
        <v>0</v>
      </c>
      <c r="U473" s="32">
        <f t="shared" si="73"/>
        <v>0</v>
      </c>
      <c r="V473" s="32">
        <f>'2 REPAIR ESTIMATOR'!AG506</f>
        <v>0</v>
      </c>
      <c r="W473" s="32">
        <f>'2 REPAIR ESTIMATOR'!AJ506</f>
        <v>0</v>
      </c>
    </row>
    <row r="474" spans="3:23" ht="18" hidden="1">
      <c r="C474" s="3720" t="str">
        <f>T('2 REPAIR ESTIMATOR'!D507:O507)</f>
        <v/>
      </c>
      <c r="D474" s="3721"/>
      <c r="E474" s="3721"/>
      <c r="F474" s="3721"/>
      <c r="G474" s="3721"/>
      <c r="H474" s="3721"/>
      <c r="I474" s="916">
        <f>'2 REPAIR ESTIMATOR'!P507</f>
        <v>0</v>
      </c>
      <c r="J474" s="917">
        <f>'2 REPAIR ESTIMATOR'!S507</f>
        <v>0</v>
      </c>
      <c r="K474" s="918">
        <f t="shared" si="69"/>
        <v>0</v>
      </c>
      <c r="L474" s="918">
        <f t="shared" si="70"/>
        <v>0</v>
      </c>
      <c r="M474" s="918">
        <f t="shared" si="71"/>
        <v>0</v>
      </c>
      <c r="N474" s="3719">
        <f t="shared" si="72"/>
        <v>0</v>
      </c>
      <c r="O474" s="3719"/>
      <c r="P474" s="490">
        <f t="shared" si="68"/>
        <v>0</v>
      </c>
      <c r="S474" s="32">
        <f>'2 REPAIR ESTIMATOR'!AD507</f>
        <v>0</v>
      </c>
      <c r="T474" s="32">
        <f>'2 REPAIR ESTIMATOR'!AM507</f>
        <v>0</v>
      </c>
      <c r="U474" s="32">
        <f t="shared" si="73"/>
        <v>0</v>
      </c>
      <c r="V474" s="32">
        <f>'2 REPAIR ESTIMATOR'!AG507</f>
        <v>0</v>
      </c>
      <c r="W474" s="32">
        <f>'2 REPAIR ESTIMATOR'!AJ507</f>
        <v>0</v>
      </c>
    </row>
    <row r="475" spans="3:23" ht="18" hidden="1">
      <c r="C475" s="3720" t="str">
        <f>T('2 REPAIR ESTIMATOR'!D508:O508)</f>
        <v/>
      </c>
      <c r="D475" s="3721"/>
      <c r="E475" s="3721"/>
      <c r="F475" s="3721"/>
      <c r="G475" s="3721"/>
      <c r="H475" s="3721"/>
      <c r="I475" s="916">
        <f>'2 REPAIR ESTIMATOR'!P508</f>
        <v>0</v>
      </c>
      <c r="J475" s="917">
        <f>'2 REPAIR ESTIMATOR'!S508</f>
        <v>0</v>
      </c>
      <c r="K475" s="918">
        <f t="shared" si="69"/>
        <v>0</v>
      </c>
      <c r="L475" s="918">
        <f t="shared" si="70"/>
        <v>0</v>
      </c>
      <c r="M475" s="918">
        <f t="shared" si="71"/>
        <v>0</v>
      </c>
      <c r="N475" s="3719">
        <f t="shared" si="72"/>
        <v>0</v>
      </c>
      <c r="O475" s="3719"/>
      <c r="P475" s="490">
        <f t="shared" si="68"/>
        <v>0</v>
      </c>
      <c r="S475" s="32">
        <f>'2 REPAIR ESTIMATOR'!AD508</f>
        <v>0</v>
      </c>
      <c r="T475" s="32">
        <f>'2 REPAIR ESTIMATOR'!AM508</f>
        <v>0</v>
      </c>
      <c r="U475" s="32">
        <f t="shared" si="73"/>
        <v>0</v>
      </c>
      <c r="V475" s="32">
        <f>'2 REPAIR ESTIMATOR'!AG508</f>
        <v>0</v>
      </c>
      <c r="W475" s="32">
        <f>'2 REPAIR ESTIMATOR'!AJ508</f>
        <v>0</v>
      </c>
    </row>
    <row r="476" spans="3:23" ht="18" hidden="1">
      <c r="C476" s="3720" t="str">
        <f>T('2 REPAIR ESTIMATOR'!D509:O509)</f>
        <v/>
      </c>
      <c r="D476" s="3721"/>
      <c r="E476" s="3721"/>
      <c r="F476" s="3721"/>
      <c r="G476" s="3721"/>
      <c r="H476" s="3721"/>
      <c r="I476" s="916">
        <f>'2 REPAIR ESTIMATOR'!P509</f>
        <v>0</v>
      </c>
      <c r="J476" s="917">
        <f>'2 REPAIR ESTIMATOR'!S509</f>
        <v>0</v>
      </c>
      <c r="K476" s="918">
        <f t="shared" si="69"/>
        <v>0</v>
      </c>
      <c r="L476" s="918">
        <f t="shared" si="70"/>
        <v>0</v>
      </c>
      <c r="M476" s="918">
        <f t="shared" si="71"/>
        <v>0</v>
      </c>
      <c r="N476" s="3719">
        <f t="shared" si="72"/>
        <v>0</v>
      </c>
      <c r="O476" s="3719"/>
      <c r="P476" s="490">
        <f t="shared" si="68"/>
        <v>0</v>
      </c>
      <c r="S476" s="32">
        <f>'2 REPAIR ESTIMATOR'!AD509</f>
        <v>0</v>
      </c>
      <c r="T476" s="32">
        <f>'2 REPAIR ESTIMATOR'!AM509</f>
        <v>0</v>
      </c>
      <c r="U476" s="32">
        <f t="shared" si="73"/>
        <v>0</v>
      </c>
      <c r="V476" s="32">
        <f>'2 REPAIR ESTIMATOR'!AG509</f>
        <v>0</v>
      </c>
      <c r="W476" s="32">
        <f>'2 REPAIR ESTIMATOR'!AJ509</f>
        <v>0</v>
      </c>
    </row>
    <row r="477" spans="3:23" ht="18" hidden="1">
      <c r="C477" s="3720" t="str">
        <f>T('2 REPAIR ESTIMATOR'!D510:O510)</f>
        <v/>
      </c>
      <c r="D477" s="3721"/>
      <c r="E477" s="3721"/>
      <c r="F477" s="3721"/>
      <c r="G477" s="3721"/>
      <c r="H477" s="3721"/>
      <c r="I477" s="916">
        <f>'2 REPAIR ESTIMATOR'!P510</f>
        <v>0</v>
      </c>
      <c r="J477" s="917">
        <f>'2 REPAIR ESTIMATOR'!S510</f>
        <v>0</v>
      </c>
      <c r="K477" s="918">
        <f t="shared" si="69"/>
        <v>0</v>
      </c>
      <c r="L477" s="918">
        <f t="shared" si="70"/>
        <v>0</v>
      </c>
      <c r="M477" s="918">
        <f t="shared" si="71"/>
        <v>0</v>
      </c>
      <c r="N477" s="3719">
        <f t="shared" si="72"/>
        <v>0</v>
      </c>
      <c r="O477" s="3719"/>
      <c r="P477" s="490">
        <f t="shared" si="68"/>
        <v>0</v>
      </c>
      <c r="S477" s="32">
        <f>'2 REPAIR ESTIMATOR'!AD510</f>
        <v>0</v>
      </c>
      <c r="T477" s="32">
        <f>'2 REPAIR ESTIMATOR'!AM510</f>
        <v>0</v>
      </c>
      <c r="U477" s="32">
        <f t="shared" si="73"/>
        <v>0</v>
      </c>
      <c r="V477" s="32">
        <f>'2 REPAIR ESTIMATOR'!AG510</f>
        <v>0</v>
      </c>
      <c r="W477" s="32">
        <f>'2 REPAIR ESTIMATOR'!AJ510</f>
        <v>0</v>
      </c>
    </row>
    <row r="478" spans="3:23" ht="18" hidden="1">
      <c r="C478" s="3720" t="str">
        <f>T('2 REPAIR ESTIMATOR'!D511:O511)</f>
        <v/>
      </c>
      <c r="D478" s="3721"/>
      <c r="E478" s="3721"/>
      <c r="F478" s="3721"/>
      <c r="G478" s="3721"/>
      <c r="H478" s="3721"/>
      <c r="I478" s="916">
        <f>'2 REPAIR ESTIMATOR'!P511</f>
        <v>0</v>
      </c>
      <c r="J478" s="917">
        <f>'2 REPAIR ESTIMATOR'!S511</f>
        <v>0</v>
      </c>
      <c r="K478" s="918">
        <f t="shared" si="69"/>
        <v>0</v>
      </c>
      <c r="L478" s="918">
        <f t="shared" si="70"/>
        <v>0</v>
      </c>
      <c r="M478" s="918">
        <f t="shared" si="71"/>
        <v>0</v>
      </c>
      <c r="N478" s="3719">
        <f t="shared" si="72"/>
        <v>0</v>
      </c>
      <c r="O478" s="3719"/>
      <c r="P478" s="490">
        <f t="shared" si="68"/>
        <v>0</v>
      </c>
      <c r="S478" s="32">
        <f>'2 REPAIR ESTIMATOR'!AD511</f>
        <v>0</v>
      </c>
      <c r="T478" s="32">
        <f>'2 REPAIR ESTIMATOR'!AM511</f>
        <v>0</v>
      </c>
      <c r="U478" s="32">
        <f t="shared" si="73"/>
        <v>0</v>
      </c>
      <c r="V478" s="32">
        <f>'2 REPAIR ESTIMATOR'!AG511</f>
        <v>0</v>
      </c>
      <c r="W478" s="32">
        <f>'2 REPAIR ESTIMATOR'!AJ511</f>
        <v>0</v>
      </c>
    </row>
    <row r="479" spans="3:23" ht="18" hidden="1">
      <c r="C479" s="3720" t="str">
        <f>T('2 REPAIR ESTIMATOR'!D512:O512)</f>
        <v/>
      </c>
      <c r="D479" s="3721"/>
      <c r="E479" s="3721"/>
      <c r="F479" s="3721"/>
      <c r="G479" s="3721"/>
      <c r="H479" s="3721"/>
      <c r="I479" s="916">
        <f>'2 REPAIR ESTIMATOR'!P512</f>
        <v>0</v>
      </c>
      <c r="J479" s="917">
        <f>'2 REPAIR ESTIMATOR'!S512</f>
        <v>0</v>
      </c>
      <c r="K479" s="918">
        <f t="shared" si="69"/>
        <v>0</v>
      </c>
      <c r="L479" s="918">
        <f t="shared" si="70"/>
        <v>0</v>
      </c>
      <c r="M479" s="918">
        <f t="shared" si="71"/>
        <v>0</v>
      </c>
      <c r="N479" s="3719">
        <f t="shared" si="72"/>
        <v>0</v>
      </c>
      <c r="O479" s="3719"/>
      <c r="P479" s="490">
        <f t="shared" si="68"/>
        <v>0</v>
      </c>
      <c r="S479" s="32">
        <f>'2 REPAIR ESTIMATOR'!AD512</f>
        <v>0</v>
      </c>
      <c r="T479" s="32">
        <f>'2 REPAIR ESTIMATOR'!AM512</f>
        <v>0</v>
      </c>
      <c r="U479" s="32">
        <f t="shared" si="73"/>
        <v>0</v>
      </c>
      <c r="V479" s="32">
        <f>'2 REPAIR ESTIMATOR'!AG512</f>
        <v>0</v>
      </c>
      <c r="W479" s="32">
        <f>'2 REPAIR ESTIMATOR'!AJ512</f>
        <v>0</v>
      </c>
    </row>
    <row r="480" spans="3:23" ht="18" hidden="1">
      <c r="C480" s="3720" t="str">
        <f>T('2 REPAIR ESTIMATOR'!D513:O513)</f>
        <v/>
      </c>
      <c r="D480" s="3721"/>
      <c r="E480" s="3721"/>
      <c r="F480" s="3721"/>
      <c r="G480" s="3721"/>
      <c r="H480" s="3721"/>
      <c r="I480" s="916">
        <f>'2 REPAIR ESTIMATOR'!P513</f>
        <v>0</v>
      </c>
      <c r="J480" s="917">
        <f>'2 REPAIR ESTIMATOR'!S513</f>
        <v>0</v>
      </c>
      <c r="K480" s="918">
        <f t="shared" si="69"/>
        <v>0</v>
      </c>
      <c r="L480" s="918">
        <f t="shared" si="70"/>
        <v>0</v>
      </c>
      <c r="M480" s="918">
        <f t="shared" si="71"/>
        <v>0</v>
      </c>
      <c r="N480" s="3719">
        <f t="shared" si="72"/>
        <v>0</v>
      </c>
      <c r="O480" s="3719"/>
      <c r="P480" s="490">
        <f t="shared" ref="P480:P499" si="74">I480</f>
        <v>0</v>
      </c>
      <c r="S480" s="32">
        <f>'2 REPAIR ESTIMATOR'!AD513</f>
        <v>0</v>
      </c>
      <c r="T480" s="32">
        <f>'2 REPAIR ESTIMATOR'!AM513</f>
        <v>0</v>
      </c>
      <c r="U480" s="32">
        <f t="shared" si="73"/>
        <v>0</v>
      </c>
      <c r="V480" s="32">
        <f>'2 REPAIR ESTIMATOR'!AG513</f>
        <v>0</v>
      </c>
      <c r="W480" s="32">
        <f>'2 REPAIR ESTIMATOR'!AJ513</f>
        <v>0</v>
      </c>
    </row>
    <row r="481" spans="3:23" ht="18" hidden="1">
      <c r="C481" s="3720" t="str">
        <f>T('2 REPAIR ESTIMATOR'!D514:O514)</f>
        <v/>
      </c>
      <c r="D481" s="3721"/>
      <c r="E481" s="3721"/>
      <c r="F481" s="3721"/>
      <c r="G481" s="3721"/>
      <c r="H481" s="3721"/>
      <c r="I481" s="916">
        <f>'2 REPAIR ESTIMATOR'!P514</f>
        <v>0</v>
      </c>
      <c r="J481" s="917">
        <f>'2 REPAIR ESTIMATOR'!S514</f>
        <v>0</v>
      </c>
      <c r="K481" s="918">
        <f t="shared" si="69"/>
        <v>0</v>
      </c>
      <c r="L481" s="918">
        <f t="shared" si="70"/>
        <v>0</v>
      </c>
      <c r="M481" s="918">
        <f t="shared" si="71"/>
        <v>0</v>
      </c>
      <c r="N481" s="3719">
        <f t="shared" si="72"/>
        <v>0</v>
      </c>
      <c r="O481" s="3719"/>
      <c r="P481" s="490">
        <f t="shared" si="74"/>
        <v>0</v>
      </c>
      <c r="S481" s="32">
        <f>'2 REPAIR ESTIMATOR'!AD514</f>
        <v>0</v>
      </c>
      <c r="T481" s="32">
        <f>'2 REPAIR ESTIMATOR'!AM514</f>
        <v>0</v>
      </c>
      <c r="U481" s="32">
        <f t="shared" si="73"/>
        <v>0</v>
      </c>
      <c r="V481" s="32">
        <f>'2 REPAIR ESTIMATOR'!AG514</f>
        <v>0</v>
      </c>
      <c r="W481" s="32">
        <f>'2 REPAIR ESTIMATOR'!AJ514</f>
        <v>0</v>
      </c>
    </row>
    <row r="482" spans="3:23" ht="18" hidden="1">
      <c r="C482" s="3720" t="str">
        <f>T('2 REPAIR ESTIMATOR'!D515:O515)</f>
        <v/>
      </c>
      <c r="D482" s="3721"/>
      <c r="E482" s="3721"/>
      <c r="F482" s="3721"/>
      <c r="G482" s="3721"/>
      <c r="H482" s="3721"/>
      <c r="I482" s="916">
        <f>'2 REPAIR ESTIMATOR'!P515</f>
        <v>0</v>
      </c>
      <c r="J482" s="917">
        <f>'2 REPAIR ESTIMATOR'!S515</f>
        <v>0</v>
      </c>
      <c r="K482" s="918">
        <f t="shared" si="69"/>
        <v>0</v>
      </c>
      <c r="L482" s="918">
        <f t="shared" si="70"/>
        <v>0</v>
      </c>
      <c r="M482" s="918">
        <f t="shared" si="71"/>
        <v>0</v>
      </c>
      <c r="N482" s="3719">
        <f t="shared" si="72"/>
        <v>0</v>
      </c>
      <c r="O482" s="3719"/>
      <c r="P482" s="490">
        <f t="shared" si="74"/>
        <v>0</v>
      </c>
      <c r="S482" s="32">
        <f>'2 REPAIR ESTIMATOR'!AD515</f>
        <v>0</v>
      </c>
      <c r="T482" s="32">
        <f>'2 REPAIR ESTIMATOR'!AM515</f>
        <v>0</v>
      </c>
      <c r="U482" s="32">
        <f t="shared" si="73"/>
        <v>0</v>
      </c>
      <c r="V482" s="32">
        <f>'2 REPAIR ESTIMATOR'!AG515</f>
        <v>0</v>
      </c>
      <c r="W482" s="32">
        <f>'2 REPAIR ESTIMATOR'!AJ515</f>
        <v>0</v>
      </c>
    </row>
    <row r="483" spans="3:23" ht="18" hidden="1">
      <c r="C483" s="3720" t="str">
        <f>T('2 REPAIR ESTIMATOR'!D516:O516)</f>
        <v/>
      </c>
      <c r="D483" s="3721"/>
      <c r="E483" s="3721"/>
      <c r="F483" s="3721"/>
      <c r="G483" s="3721"/>
      <c r="H483" s="3721"/>
      <c r="I483" s="916">
        <f>'2 REPAIR ESTIMATOR'!P516</f>
        <v>0</v>
      </c>
      <c r="J483" s="917">
        <f>'2 REPAIR ESTIMATOR'!S516</f>
        <v>0</v>
      </c>
      <c r="K483" s="918">
        <f t="shared" si="69"/>
        <v>0</v>
      </c>
      <c r="L483" s="918">
        <f t="shared" si="70"/>
        <v>0</v>
      </c>
      <c r="M483" s="918">
        <f t="shared" si="71"/>
        <v>0</v>
      </c>
      <c r="N483" s="3719">
        <f t="shared" si="72"/>
        <v>0</v>
      </c>
      <c r="O483" s="3719"/>
      <c r="P483" s="490">
        <f t="shared" si="74"/>
        <v>0</v>
      </c>
      <c r="S483" s="32">
        <f>'2 REPAIR ESTIMATOR'!AD516</f>
        <v>0</v>
      </c>
      <c r="T483" s="32">
        <f>'2 REPAIR ESTIMATOR'!AM516</f>
        <v>0</v>
      </c>
      <c r="U483" s="32">
        <f t="shared" si="73"/>
        <v>0</v>
      </c>
      <c r="V483" s="32">
        <f>'2 REPAIR ESTIMATOR'!AG516</f>
        <v>0</v>
      </c>
      <c r="W483" s="32">
        <f>'2 REPAIR ESTIMATOR'!AJ516</f>
        <v>0</v>
      </c>
    </row>
    <row r="484" spans="3:23" ht="18" hidden="1">
      <c r="C484" s="3720" t="str">
        <f>T('2 REPAIR ESTIMATOR'!D517:O517)</f>
        <v/>
      </c>
      <c r="D484" s="3721"/>
      <c r="E484" s="3721"/>
      <c r="F484" s="3721"/>
      <c r="G484" s="3721"/>
      <c r="H484" s="3721"/>
      <c r="I484" s="916">
        <f>'2 REPAIR ESTIMATOR'!P517</f>
        <v>0</v>
      </c>
      <c r="J484" s="917">
        <f>'2 REPAIR ESTIMATOR'!S517</f>
        <v>0</v>
      </c>
      <c r="K484" s="918">
        <f t="shared" si="69"/>
        <v>0</v>
      </c>
      <c r="L484" s="918">
        <f t="shared" si="70"/>
        <v>0</v>
      </c>
      <c r="M484" s="918">
        <f t="shared" si="71"/>
        <v>0</v>
      </c>
      <c r="N484" s="3719">
        <f t="shared" si="72"/>
        <v>0</v>
      </c>
      <c r="O484" s="3719"/>
      <c r="P484" s="490">
        <f t="shared" si="74"/>
        <v>0</v>
      </c>
      <c r="S484" s="32">
        <f>'2 REPAIR ESTIMATOR'!AD517</f>
        <v>0</v>
      </c>
      <c r="T484" s="32">
        <f>'2 REPAIR ESTIMATOR'!AM517</f>
        <v>0</v>
      </c>
      <c r="U484" s="32">
        <f t="shared" si="73"/>
        <v>0</v>
      </c>
      <c r="V484" s="32">
        <f>'2 REPAIR ESTIMATOR'!AG517</f>
        <v>0</v>
      </c>
      <c r="W484" s="32">
        <f>'2 REPAIR ESTIMATOR'!AJ517</f>
        <v>0</v>
      </c>
    </row>
    <row r="485" spans="3:23" ht="18" hidden="1">
      <c r="C485" s="3720" t="str">
        <f>T('2 REPAIR ESTIMATOR'!D518:O518)</f>
        <v/>
      </c>
      <c r="D485" s="3721"/>
      <c r="E485" s="3721"/>
      <c r="F485" s="3721"/>
      <c r="G485" s="3721"/>
      <c r="H485" s="3721"/>
      <c r="I485" s="916">
        <f>'2 REPAIR ESTIMATOR'!P518</f>
        <v>0</v>
      </c>
      <c r="J485" s="917">
        <f>'2 REPAIR ESTIMATOR'!S518</f>
        <v>0</v>
      </c>
      <c r="K485" s="918">
        <f t="shared" si="69"/>
        <v>0</v>
      </c>
      <c r="L485" s="918">
        <f t="shared" si="70"/>
        <v>0</v>
      </c>
      <c r="M485" s="918">
        <f t="shared" si="71"/>
        <v>0</v>
      </c>
      <c r="N485" s="3719">
        <f t="shared" si="72"/>
        <v>0</v>
      </c>
      <c r="O485" s="3719"/>
      <c r="P485" s="490">
        <f t="shared" si="74"/>
        <v>0</v>
      </c>
      <c r="S485" s="32">
        <f>'2 REPAIR ESTIMATOR'!AD518</f>
        <v>0</v>
      </c>
      <c r="T485" s="32">
        <f>'2 REPAIR ESTIMATOR'!AM518</f>
        <v>0</v>
      </c>
      <c r="U485" s="32">
        <f t="shared" si="73"/>
        <v>0</v>
      </c>
      <c r="V485" s="32">
        <f>'2 REPAIR ESTIMATOR'!AG518</f>
        <v>0</v>
      </c>
      <c r="W485" s="32">
        <f>'2 REPAIR ESTIMATOR'!AJ518</f>
        <v>0</v>
      </c>
    </row>
    <row r="486" spans="3:23" ht="18" hidden="1">
      <c r="C486" s="3720" t="str">
        <f>T('2 REPAIR ESTIMATOR'!D519:O519)</f>
        <v/>
      </c>
      <c r="D486" s="3721"/>
      <c r="E486" s="3721"/>
      <c r="F486" s="3721"/>
      <c r="G486" s="3721"/>
      <c r="H486" s="3721"/>
      <c r="I486" s="916">
        <f>'2 REPAIR ESTIMATOR'!P519</f>
        <v>0</v>
      </c>
      <c r="J486" s="917">
        <f>'2 REPAIR ESTIMATOR'!S519</f>
        <v>0</v>
      </c>
      <c r="K486" s="918">
        <f t="shared" si="69"/>
        <v>0</v>
      </c>
      <c r="L486" s="918">
        <f t="shared" si="70"/>
        <v>0</v>
      </c>
      <c r="M486" s="918">
        <f t="shared" si="71"/>
        <v>0</v>
      </c>
      <c r="N486" s="3719">
        <f t="shared" si="72"/>
        <v>0</v>
      </c>
      <c r="O486" s="3719"/>
      <c r="P486" s="490">
        <f t="shared" si="74"/>
        <v>0</v>
      </c>
      <c r="S486" s="32">
        <f>'2 REPAIR ESTIMATOR'!AD519</f>
        <v>0</v>
      </c>
      <c r="T486" s="32">
        <f>'2 REPAIR ESTIMATOR'!AM519</f>
        <v>0</v>
      </c>
      <c r="U486" s="32">
        <f t="shared" si="73"/>
        <v>0</v>
      </c>
      <c r="V486" s="32">
        <f>'2 REPAIR ESTIMATOR'!AG519</f>
        <v>0</v>
      </c>
      <c r="W486" s="32">
        <f>'2 REPAIR ESTIMATOR'!AJ519</f>
        <v>0</v>
      </c>
    </row>
    <row r="487" spans="3:23" ht="18" hidden="1">
      <c r="C487" s="3720" t="str">
        <f>T('2 REPAIR ESTIMATOR'!D520:O520)</f>
        <v/>
      </c>
      <c r="D487" s="3721"/>
      <c r="E487" s="3721"/>
      <c r="F487" s="3721"/>
      <c r="G487" s="3721"/>
      <c r="H487" s="3721"/>
      <c r="I487" s="916">
        <f>'2 REPAIR ESTIMATOR'!P520</f>
        <v>0</v>
      </c>
      <c r="J487" s="917">
        <f>'2 REPAIR ESTIMATOR'!S520</f>
        <v>0</v>
      </c>
      <c r="K487" s="918">
        <f t="shared" si="69"/>
        <v>0</v>
      </c>
      <c r="L487" s="918">
        <f t="shared" si="70"/>
        <v>0</v>
      </c>
      <c r="M487" s="918">
        <f t="shared" si="71"/>
        <v>0</v>
      </c>
      <c r="N487" s="3719">
        <f t="shared" si="72"/>
        <v>0</v>
      </c>
      <c r="O487" s="3719"/>
      <c r="P487" s="490">
        <f t="shared" si="74"/>
        <v>0</v>
      </c>
      <c r="S487" s="32">
        <f>'2 REPAIR ESTIMATOR'!AD520</f>
        <v>0</v>
      </c>
      <c r="T487" s="32">
        <f>'2 REPAIR ESTIMATOR'!AM520</f>
        <v>0</v>
      </c>
      <c r="U487" s="32">
        <f t="shared" si="73"/>
        <v>0</v>
      </c>
      <c r="V487" s="32">
        <f>'2 REPAIR ESTIMATOR'!AG520</f>
        <v>0</v>
      </c>
      <c r="W487" s="32">
        <f>'2 REPAIR ESTIMATOR'!AJ520</f>
        <v>0</v>
      </c>
    </row>
    <row r="488" spans="3:23" ht="18" hidden="1">
      <c r="C488" s="3720" t="str">
        <f>T('2 REPAIR ESTIMATOR'!D521:O521)</f>
        <v/>
      </c>
      <c r="D488" s="3721"/>
      <c r="E488" s="3721"/>
      <c r="F488" s="3721"/>
      <c r="G488" s="3721"/>
      <c r="H488" s="3721"/>
      <c r="I488" s="916">
        <f>'2 REPAIR ESTIMATOR'!P521</f>
        <v>0</v>
      </c>
      <c r="J488" s="917">
        <f>'2 REPAIR ESTIMATOR'!S521</f>
        <v>0</v>
      </c>
      <c r="K488" s="918">
        <f t="shared" si="69"/>
        <v>0</v>
      </c>
      <c r="L488" s="918">
        <f t="shared" si="70"/>
        <v>0</v>
      </c>
      <c r="M488" s="918">
        <f t="shared" si="71"/>
        <v>0</v>
      </c>
      <c r="N488" s="3719">
        <f t="shared" si="72"/>
        <v>0</v>
      </c>
      <c r="O488" s="3719"/>
      <c r="P488" s="490">
        <f t="shared" si="74"/>
        <v>0</v>
      </c>
      <c r="S488" s="32">
        <f>'2 REPAIR ESTIMATOR'!AD521</f>
        <v>0</v>
      </c>
      <c r="T488" s="32">
        <f>'2 REPAIR ESTIMATOR'!AM521</f>
        <v>0</v>
      </c>
      <c r="U488" s="32">
        <f t="shared" si="73"/>
        <v>0</v>
      </c>
      <c r="V488" s="32">
        <f>'2 REPAIR ESTIMATOR'!AG521</f>
        <v>0</v>
      </c>
      <c r="W488" s="32">
        <f>'2 REPAIR ESTIMATOR'!AJ521</f>
        <v>0</v>
      </c>
    </row>
    <row r="489" spans="3:23" ht="18" hidden="1">
      <c r="C489" s="3720" t="str">
        <f>T('2 REPAIR ESTIMATOR'!D522:O522)</f>
        <v/>
      </c>
      <c r="D489" s="3721"/>
      <c r="E489" s="3721"/>
      <c r="F489" s="3721"/>
      <c r="G489" s="3721"/>
      <c r="H489" s="3721"/>
      <c r="I489" s="916">
        <f>'2 REPAIR ESTIMATOR'!P522</f>
        <v>0</v>
      </c>
      <c r="J489" s="917">
        <f>'2 REPAIR ESTIMATOR'!S522</f>
        <v>0</v>
      </c>
      <c r="K489" s="918">
        <f t="shared" si="69"/>
        <v>0</v>
      </c>
      <c r="L489" s="918">
        <f t="shared" si="70"/>
        <v>0</v>
      </c>
      <c r="M489" s="918">
        <f t="shared" si="71"/>
        <v>0</v>
      </c>
      <c r="N489" s="3719">
        <f t="shared" si="72"/>
        <v>0</v>
      </c>
      <c r="O489" s="3719"/>
      <c r="P489" s="490">
        <f t="shared" si="74"/>
        <v>0</v>
      </c>
      <c r="S489" s="32">
        <f>'2 REPAIR ESTIMATOR'!AD522</f>
        <v>0</v>
      </c>
      <c r="T489" s="32">
        <f>'2 REPAIR ESTIMATOR'!AM522</f>
        <v>0</v>
      </c>
      <c r="U489" s="32">
        <f t="shared" si="73"/>
        <v>0</v>
      </c>
      <c r="V489" s="32">
        <f>'2 REPAIR ESTIMATOR'!AG522</f>
        <v>0</v>
      </c>
      <c r="W489" s="32">
        <f>'2 REPAIR ESTIMATOR'!AJ522</f>
        <v>0</v>
      </c>
    </row>
    <row r="490" spans="3:23" ht="18" hidden="1">
      <c r="C490" s="3720" t="str">
        <f>T('2 REPAIR ESTIMATOR'!D523:O523)</f>
        <v/>
      </c>
      <c r="D490" s="3721"/>
      <c r="E490" s="3721"/>
      <c r="F490" s="3721"/>
      <c r="G490" s="3721"/>
      <c r="H490" s="3721"/>
      <c r="I490" s="916">
        <f>'2 REPAIR ESTIMATOR'!P523</f>
        <v>0</v>
      </c>
      <c r="J490" s="917">
        <f>'2 REPAIR ESTIMATOR'!S523</f>
        <v>0</v>
      </c>
      <c r="K490" s="918">
        <f t="shared" si="69"/>
        <v>0</v>
      </c>
      <c r="L490" s="918">
        <f t="shared" si="70"/>
        <v>0</v>
      </c>
      <c r="M490" s="918">
        <f t="shared" si="71"/>
        <v>0</v>
      </c>
      <c r="N490" s="3719">
        <f t="shared" si="72"/>
        <v>0</v>
      </c>
      <c r="O490" s="3719"/>
      <c r="P490" s="490">
        <f t="shared" si="74"/>
        <v>0</v>
      </c>
      <c r="S490" s="32">
        <f>'2 REPAIR ESTIMATOR'!AD523</f>
        <v>0</v>
      </c>
      <c r="T490" s="32">
        <f>'2 REPAIR ESTIMATOR'!AM523</f>
        <v>0</v>
      </c>
      <c r="U490" s="32">
        <f t="shared" si="73"/>
        <v>0</v>
      </c>
      <c r="V490" s="32">
        <f>'2 REPAIR ESTIMATOR'!AG523</f>
        <v>0</v>
      </c>
      <c r="W490" s="32">
        <f>'2 REPAIR ESTIMATOR'!AJ523</f>
        <v>0</v>
      </c>
    </row>
    <row r="491" spans="3:23" ht="18" hidden="1">
      <c r="C491" s="3720" t="str">
        <f>T('2 REPAIR ESTIMATOR'!D524:O524)</f>
        <v/>
      </c>
      <c r="D491" s="3721"/>
      <c r="E491" s="3721"/>
      <c r="F491" s="3721"/>
      <c r="G491" s="3721"/>
      <c r="H491" s="3721"/>
      <c r="I491" s="916">
        <f>'2 REPAIR ESTIMATOR'!P524</f>
        <v>0</v>
      </c>
      <c r="J491" s="917">
        <f>'2 REPAIR ESTIMATOR'!S524</f>
        <v>0</v>
      </c>
      <c r="K491" s="918">
        <f t="shared" si="69"/>
        <v>0</v>
      </c>
      <c r="L491" s="918">
        <f t="shared" si="70"/>
        <v>0</v>
      </c>
      <c r="M491" s="918">
        <f t="shared" si="71"/>
        <v>0</v>
      </c>
      <c r="N491" s="3719">
        <f t="shared" si="72"/>
        <v>0</v>
      </c>
      <c r="O491" s="3719"/>
      <c r="P491" s="490">
        <f t="shared" si="74"/>
        <v>0</v>
      </c>
      <c r="S491" s="32">
        <f>'2 REPAIR ESTIMATOR'!AD524</f>
        <v>0</v>
      </c>
      <c r="T491" s="32">
        <f>'2 REPAIR ESTIMATOR'!AM524</f>
        <v>0</v>
      </c>
      <c r="U491" s="32">
        <f t="shared" si="73"/>
        <v>0</v>
      </c>
      <c r="V491" s="32">
        <f>'2 REPAIR ESTIMATOR'!AG524</f>
        <v>0</v>
      </c>
      <c r="W491" s="32">
        <f>'2 REPAIR ESTIMATOR'!AJ524</f>
        <v>0</v>
      </c>
    </row>
    <row r="492" spans="3:23" ht="18" hidden="1">
      <c r="C492" s="3720" t="str">
        <f>T('2 REPAIR ESTIMATOR'!D525:O525)</f>
        <v/>
      </c>
      <c r="D492" s="3721"/>
      <c r="E492" s="3721"/>
      <c r="F492" s="3721"/>
      <c r="G492" s="3721"/>
      <c r="H492" s="3721"/>
      <c r="I492" s="916">
        <f>'2 REPAIR ESTIMATOR'!P525</f>
        <v>0</v>
      </c>
      <c r="J492" s="917">
        <f>'2 REPAIR ESTIMATOR'!S525</f>
        <v>0</v>
      </c>
      <c r="K492" s="918">
        <f t="shared" si="69"/>
        <v>0</v>
      </c>
      <c r="L492" s="918">
        <f t="shared" si="70"/>
        <v>0</v>
      </c>
      <c r="M492" s="918">
        <f t="shared" si="71"/>
        <v>0</v>
      </c>
      <c r="N492" s="3719">
        <f t="shared" si="72"/>
        <v>0</v>
      </c>
      <c r="O492" s="3719"/>
      <c r="P492" s="490">
        <f t="shared" si="74"/>
        <v>0</v>
      </c>
      <c r="S492" s="32">
        <f>'2 REPAIR ESTIMATOR'!AD525</f>
        <v>0</v>
      </c>
      <c r="T492" s="32">
        <f>'2 REPAIR ESTIMATOR'!AM525</f>
        <v>0</v>
      </c>
      <c r="U492" s="32">
        <f t="shared" si="73"/>
        <v>0</v>
      </c>
      <c r="V492" s="32">
        <f>'2 REPAIR ESTIMATOR'!AG525</f>
        <v>0</v>
      </c>
      <c r="W492" s="32">
        <f>'2 REPAIR ESTIMATOR'!AJ525</f>
        <v>0</v>
      </c>
    </row>
    <row r="493" spans="3:23" ht="18" hidden="1">
      <c r="C493" s="3720" t="str">
        <f>T('2 REPAIR ESTIMATOR'!D526:O526)</f>
        <v/>
      </c>
      <c r="D493" s="3721"/>
      <c r="E493" s="3721"/>
      <c r="F493" s="3721"/>
      <c r="G493" s="3721"/>
      <c r="H493" s="3721"/>
      <c r="I493" s="916">
        <f>'2 REPAIR ESTIMATOR'!P526</f>
        <v>0</v>
      </c>
      <c r="J493" s="917">
        <f>'2 REPAIR ESTIMATOR'!S526</f>
        <v>0</v>
      </c>
      <c r="K493" s="918">
        <f t="shared" si="69"/>
        <v>0</v>
      </c>
      <c r="L493" s="918">
        <f t="shared" si="70"/>
        <v>0</v>
      </c>
      <c r="M493" s="918">
        <f t="shared" si="71"/>
        <v>0</v>
      </c>
      <c r="N493" s="3719">
        <f t="shared" si="72"/>
        <v>0</v>
      </c>
      <c r="O493" s="3719"/>
      <c r="P493" s="490">
        <f t="shared" si="74"/>
        <v>0</v>
      </c>
      <c r="S493" s="32">
        <f>'2 REPAIR ESTIMATOR'!AD526</f>
        <v>0</v>
      </c>
      <c r="T493" s="32">
        <f>'2 REPAIR ESTIMATOR'!AM526</f>
        <v>0</v>
      </c>
      <c r="U493" s="32">
        <f t="shared" si="73"/>
        <v>0</v>
      </c>
      <c r="V493" s="32">
        <f>'2 REPAIR ESTIMATOR'!AG526</f>
        <v>0</v>
      </c>
      <c r="W493" s="32">
        <f>'2 REPAIR ESTIMATOR'!AJ526</f>
        <v>0</v>
      </c>
    </row>
    <row r="494" spans="3:23" ht="18" hidden="1">
      <c r="C494" s="3720" t="str">
        <f>T('2 REPAIR ESTIMATOR'!D527:O527)</f>
        <v/>
      </c>
      <c r="D494" s="3721"/>
      <c r="E494" s="3721"/>
      <c r="F494" s="3721"/>
      <c r="G494" s="3721"/>
      <c r="H494" s="3721"/>
      <c r="I494" s="916">
        <f>'2 REPAIR ESTIMATOR'!P527</f>
        <v>0</v>
      </c>
      <c r="J494" s="917">
        <f>'2 REPAIR ESTIMATOR'!S527</f>
        <v>0</v>
      </c>
      <c r="K494" s="918">
        <f t="shared" si="69"/>
        <v>0</v>
      </c>
      <c r="L494" s="918">
        <f t="shared" si="70"/>
        <v>0</v>
      </c>
      <c r="M494" s="918">
        <f t="shared" si="71"/>
        <v>0</v>
      </c>
      <c r="N494" s="3719">
        <f t="shared" si="72"/>
        <v>0</v>
      </c>
      <c r="O494" s="3719"/>
      <c r="P494" s="490">
        <f t="shared" si="74"/>
        <v>0</v>
      </c>
      <c r="S494" s="32">
        <f>'2 REPAIR ESTIMATOR'!AD527</f>
        <v>0</v>
      </c>
      <c r="T494" s="32">
        <f>'2 REPAIR ESTIMATOR'!AM527</f>
        <v>0</v>
      </c>
      <c r="U494" s="32">
        <f t="shared" si="73"/>
        <v>0</v>
      </c>
      <c r="V494" s="32">
        <f>'2 REPAIR ESTIMATOR'!AG527</f>
        <v>0</v>
      </c>
      <c r="W494" s="32">
        <f>'2 REPAIR ESTIMATOR'!AJ527</f>
        <v>0</v>
      </c>
    </row>
    <row r="495" spans="3:23" ht="18" hidden="1">
      <c r="C495" s="3720" t="str">
        <f>T('2 REPAIR ESTIMATOR'!D528:O528)</f>
        <v/>
      </c>
      <c r="D495" s="3721"/>
      <c r="E495" s="3721"/>
      <c r="F495" s="3721"/>
      <c r="G495" s="3721"/>
      <c r="H495" s="3721"/>
      <c r="I495" s="916">
        <f>'2 REPAIR ESTIMATOR'!P528</f>
        <v>0</v>
      </c>
      <c r="J495" s="917">
        <f>'2 REPAIR ESTIMATOR'!S528</f>
        <v>0</v>
      </c>
      <c r="K495" s="918">
        <f t="shared" si="69"/>
        <v>0</v>
      </c>
      <c r="L495" s="918">
        <f t="shared" si="70"/>
        <v>0</v>
      </c>
      <c r="M495" s="918">
        <f t="shared" si="71"/>
        <v>0</v>
      </c>
      <c r="N495" s="3719">
        <f t="shared" si="72"/>
        <v>0</v>
      </c>
      <c r="O495" s="3719"/>
      <c r="P495" s="490">
        <f t="shared" si="74"/>
        <v>0</v>
      </c>
      <c r="S495" s="32">
        <f>'2 REPAIR ESTIMATOR'!AD528</f>
        <v>0</v>
      </c>
      <c r="T495" s="32">
        <f>'2 REPAIR ESTIMATOR'!AM528</f>
        <v>0</v>
      </c>
      <c r="U495" s="32">
        <f t="shared" si="73"/>
        <v>0</v>
      </c>
      <c r="V495" s="32">
        <f>'2 REPAIR ESTIMATOR'!AG528</f>
        <v>0</v>
      </c>
      <c r="W495" s="32">
        <f>'2 REPAIR ESTIMATOR'!AJ528</f>
        <v>0</v>
      </c>
    </row>
    <row r="496" spans="3:23" ht="18" hidden="1">
      <c r="C496" s="3720" t="str">
        <f>T('2 REPAIR ESTIMATOR'!D529:O529)</f>
        <v/>
      </c>
      <c r="D496" s="3721"/>
      <c r="E496" s="3721"/>
      <c r="F496" s="3721"/>
      <c r="G496" s="3721"/>
      <c r="H496" s="3721"/>
      <c r="I496" s="916">
        <f>'2 REPAIR ESTIMATOR'!P529</f>
        <v>0</v>
      </c>
      <c r="J496" s="917">
        <f>'2 REPAIR ESTIMATOR'!S529</f>
        <v>0</v>
      </c>
      <c r="K496" s="918">
        <f t="shared" si="69"/>
        <v>0</v>
      </c>
      <c r="L496" s="918">
        <f t="shared" si="70"/>
        <v>0</v>
      </c>
      <c r="M496" s="918">
        <f t="shared" si="71"/>
        <v>0</v>
      </c>
      <c r="N496" s="3719">
        <f t="shared" si="72"/>
        <v>0</v>
      </c>
      <c r="O496" s="3719"/>
      <c r="P496" s="490">
        <f t="shared" si="74"/>
        <v>0</v>
      </c>
      <c r="S496" s="32">
        <f>'2 REPAIR ESTIMATOR'!AD529</f>
        <v>0</v>
      </c>
      <c r="T496" s="32">
        <f>'2 REPAIR ESTIMATOR'!AM529</f>
        <v>0</v>
      </c>
      <c r="U496" s="32">
        <f t="shared" si="73"/>
        <v>0</v>
      </c>
      <c r="V496" s="32">
        <f>'2 REPAIR ESTIMATOR'!AG529</f>
        <v>0</v>
      </c>
      <c r="W496" s="32">
        <f>'2 REPAIR ESTIMATOR'!AJ529</f>
        <v>0</v>
      </c>
    </row>
    <row r="497" spans="3:23" ht="18" hidden="1">
      <c r="C497" s="3720" t="str">
        <f>T('2 REPAIR ESTIMATOR'!D530:O530)</f>
        <v/>
      </c>
      <c r="D497" s="3721"/>
      <c r="E497" s="3721"/>
      <c r="F497" s="3721"/>
      <c r="G497" s="3721"/>
      <c r="H497" s="3721"/>
      <c r="I497" s="916">
        <f>'2 REPAIR ESTIMATOR'!P530</f>
        <v>0</v>
      </c>
      <c r="J497" s="917">
        <f>'2 REPAIR ESTIMATOR'!S530</f>
        <v>0</v>
      </c>
      <c r="K497" s="918">
        <f t="shared" si="69"/>
        <v>0</v>
      </c>
      <c r="L497" s="918">
        <f t="shared" si="70"/>
        <v>0</v>
      </c>
      <c r="M497" s="918">
        <f t="shared" si="71"/>
        <v>0</v>
      </c>
      <c r="N497" s="3719">
        <f t="shared" si="72"/>
        <v>0</v>
      </c>
      <c r="O497" s="3719"/>
      <c r="P497" s="490">
        <f t="shared" si="74"/>
        <v>0</v>
      </c>
      <c r="S497" s="32">
        <f>'2 REPAIR ESTIMATOR'!AD530</f>
        <v>0</v>
      </c>
      <c r="T497" s="32">
        <f>'2 REPAIR ESTIMATOR'!AM530</f>
        <v>0</v>
      </c>
      <c r="U497" s="32">
        <f t="shared" si="73"/>
        <v>0</v>
      </c>
      <c r="V497" s="32">
        <f>'2 REPAIR ESTIMATOR'!AG530</f>
        <v>0</v>
      </c>
      <c r="W497" s="32">
        <f>'2 REPAIR ESTIMATOR'!AJ530</f>
        <v>0</v>
      </c>
    </row>
    <row r="498" spans="3:23" ht="18" hidden="1">
      <c r="C498" s="3720" t="str">
        <f>T('2 REPAIR ESTIMATOR'!D531:O531)</f>
        <v/>
      </c>
      <c r="D498" s="3721"/>
      <c r="E498" s="3721"/>
      <c r="F498" s="3721"/>
      <c r="G498" s="3721"/>
      <c r="H498" s="3721"/>
      <c r="I498" s="916">
        <f>'2 REPAIR ESTIMATOR'!P531</f>
        <v>0</v>
      </c>
      <c r="J498" s="917">
        <f>'2 REPAIR ESTIMATOR'!S531</f>
        <v>0</v>
      </c>
      <c r="K498" s="918">
        <f t="shared" si="69"/>
        <v>0</v>
      </c>
      <c r="L498" s="918">
        <f t="shared" si="70"/>
        <v>0</v>
      </c>
      <c r="M498" s="918">
        <f t="shared" si="71"/>
        <v>0</v>
      </c>
      <c r="N498" s="3719">
        <f t="shared" si="72"/>
        <v>0</v>
      </c>
      <c r="O498" s="3719"/>
      <c r="P498" s="490">
        <f t="shared" si="74"/>
        <v>0</v>
      </c>
      <c r="S498" s="32">
        <f>'2 REPAIR ESTIMATOR'!AD531</f>
        <v>0</v>
      </c>
      <c r="T498" s="32">
        <f>'2 REPAIR ESTIMATOR'!AM531</f>
        <v>0</v>
      </c>
      <c r="U498" s="32">
        <f t="shared" si="73"/>
        <v>0</v>
      </c>
      <c r="V498" s="32">
        <f>'2 REPAIR ESTIMATOR'!AG531</f>
        <v>0</v>
      </c>
      <c r="W498" s="32">
        <f>'2 REPAIR ESTIMATOR'!AJ531</f>
        <v>0</v>
      </c>
    </row>
    <row r="499" spans="3:23" ht="18.350000000000001" hidden="1" thickBot="1">
      <c r="C499" s="3779" t="str">
        <f>T('2 REPAIR ESTIMATOR'!D532:O532)</f>
        <v/>
      </c>
      <c r="D499" s="3780"/>
      <c r="E499" s="3780"/>
      <c r="F499" s="3780"/>
      <c r="G499" s="3780"/>
      <c r="H499" s="3780"/>
      <c r="I499" s="919">
        <f>'2 REPAIR ESTIMATOR'!P532</f>
        <v>0</v>
      </c>
      <c r="J499" s="920">
        <f>'2 REPAIR ESTIMATOR'!S532</f>
        <v>0</v>
      </c>
      <c r="K499" s="921">
        <f t="shared" si="69"/>
        <v>0</v>
      </c>
      <c r="L499" s="921">
        <f t="shared" si="70"/>
        <v>0</v>
      </c>
      <c r="M499" s="921">
        <f t="shared" si="71"/>
        <v>0</v>
      </c>
      <c r="N499" s="3781">
        <f t="shared" si="72"/>
        <v>0</v>
      </c>
      <c r="O499" s="3781"/>
      <c r="P499" s="490">
        <f t="shared" si="74"/>
        <v>0</v>
      </c>
      <c r="S499" s="32">
        <f>'2 REPAIR ESTIMATOR'!AD532</f>
        <v>0</v>
      </c>
      <c r="T499" s="32">
        <f>'2 REPAIR ESTIMATOR'!AM532</f>
        <v>0</v>
      </c>
      <c r="U499" s="32">
        <f t="shared" si="73"/>
        <v>0</v>
      </c>
      <c r="V499" s="32">
        <f>'2 REPAIR ESTIMATOR'!AG532</f>
        <v>0</v>
      </c>
      <c r="W499" s="32">
        <f>'2 REPAIR ESTIMATOR'!AJ532</f>
        <v>0</v>
      </c>
    </row>
    <row r="500" spans="3:23" ht="18.350000000000001" hidden="1" thickBot="1">
      <c r="C500" s="3723" t="str">
        <f>T('2 REPAIR ESTIMATOR'!AC534)</f>
        <v>GARAGE DOORS TOTAL</v>
      </c>
      <c r="D500" s="3724"/>
      <c r="E500" s="3724"/>
      <c r="F500" s="3724"/>
      <c r="G500" s="3724"/>
      <c r="H500" s="3724"/>
      <c r="I500" s="3724"/>
      <c r="J500" s="3724"/>
      <c r="K500" s="922">
        <f>SUM(K460:K499)</f>
        <v>0</v>
      </c>
      <c r="L500" s="922">
        <f>SUM(L460:L499)</f>
        <v>0</v>
      </c>
      <c r="M500" s="922">
        <f>SUM(M460:M499)</f>
        <v>0</v>
      </c>
      <c r="N500" s="3789">
        <f>SUM(N460:O499)</f>
        <v>0</v>
      </c>
      <c r="O500" s="3789"/>
      <c r="P500" s="490">
        <f>SUM(P459:P466)</f>
        <v>0</v>
      </c>
      <c r="S500" s="33">
        <f>SUM(S460:S499)</f>
        <v>0</v>
      </c>
      <c r="T500" s="33">
        <f>SUM(T460:T499)</f>
        <v>0</v>
      </c>
      <c r="U500" s="33">
        <f>SUM(U460:U499)</f>
        <v>0</v>
      </c>
      <c r="V500" s="33">
        <f>SUM(V460:V499)</f>
        <v>0</v>
      </c>
      <c r="W500" s="33">
        <f>SUM(W460:W499)</f>
        <v>0</v>
      </c>
    </row>
    <row r="501" spans="3:23" ht="8.85" hidden="1" customHeight="1">
      <c r="C501" s="841"/>
      <c r="D501" s="841"/>
      <c r="E501" s="841"/>
      <c r="F501" s="841"/>
      <c r="G501" s="841"/>
      <c r="H501" s="841"/>
      <c r="I501" s="842"/>
      <c r="J501" s="842"/>
      <c r="K501" s="842"/>
      <c r="L501" s="842"/>
      <c r="M501" s="842"/>
      <c r="N501" s="843"/>
      <c r="O501" s="798"/>
      <c r="P501" s="490">
        <f>P500</f>
        <v>0</v>
      </c>
    </row>
    <row r="502" spans="3:23" ht="21" hidden="1" customHeight="1" thickBot="1">
      <c r="C502" s="3782" t="str">
        <f>T('2 REPAIR ESTIMATOR'!D537:O537)</f>
        <v>LANDSCAPING</v>
      </c>
      <c r="D502" s="3783"/>
      <c r="E502" s="3783"/>
      <c r="F502" s="3783"/>
      <c r="G502" s="3783"/>
      <c r="H502" s="3783"/>
      <c r="I502" s="799">
        <f>SUM(I503:I542)</f>
        <v>0</v>
      </c>
      <c r="J502" s="800"/>
      <c r="K502" s="850"/>
      <c r="L502" s="850"/>
      <c r="M502" s="850"/>
      <c r="N502" s="3722"/>
      <c r="O502" s="3722"/>
      <c r="P502" s="489">
        <f>I502</f>
        <v>0</v>
      </c>
      <c r="S502" s="34"/>
      <c r="T502" s="34"/>
      <c r="U502" s="34"/>
      <c r="V502" s="34"/>
      <c r="W502" s="34"/>
    </row>
    <row r="503" spans="3:23" ht="18" hidden="1">
      <c r="C503" s="3720" t="str">
        <f>T('2 REPAIR ESTIMATOR'!D538:O538)</f>
        <v>Landscaping bid/allowance, trees, bushes, flowers</v>
      </c>
      <c r="D503" s="3721"/>
      <c r="E503" s="3721"/>
      <c r="F503" s="3721"/>
      <c r="G503" s="3721"/>
      <c r="H503" s="3721"/>
      <c r="I503" s="916">
        <f>'2 REPAIR ESTIMATOR'!P538</f>
        <v>0</v>
      </c>
      <c r="J503" s="917" t="str">
        <f>'2 REPAIR ESTIMATOR'!S538</f>
        <v>ls</v>
      </c>
      <c r="K503" s="918">
        <f t="shared" ref="K503:K542" si="75">IF($N$3="subbed",U503,S503)*$S$70</f>
        <v>0</v>
      </c>
      <c r="L503" s="918">
        <f>V503*$S$70</f>
        <v>0</v>
      </c>
      <c r="M503" s="918">
        <f>W503*$S$70</f>
        <v>0</v>
      </c>
      <c r="N503" s="3719">
        <f>SUM(K503:M503)</f>
        <v>0</v>
      </c>
      <c r="O503" s="3719"/>
      <c r="P503" s="489">
        <f>I503</f>
        <v>0</v>
      </c>
      <c r="S503" s="32">
        <f>'2 REPAIR ESTIMATOR'!AD538</f>
        <v>0</v>
      </c>
      <c r="T503" s="32">
        <f>'2 REPAIR ESTIMATOR'!AM538</f>
        <v>0</v>
      </c>
      <c r="U503" s="32">
        <f>T503+S503</f>
        <v>0</v>
      </c>
      <c r="V503" s="32">
        <f>'2 REPAIR ESTIMATOR'!AG538</f>
        <v>0</v>
      </c>
      <c r="W503" s="32">
        <f>'2 REPAIR ESTIMATOR'!AJ538</f>
        <v>0</v>
      </c>
    </row>
    <row r="504" spans="3:23" ht="18" hidden="1">
      <c r="C504" s="3720" t="str">
        <f>T('2 REPAIR ESTIMATOR'!D539:O539)</f>
        <v>Sod</v>
      </c>
      <c r="D504" s="3721"/>
      <c r="E504" s="3721"/>
      <c r="F504" s="3721"/>
      <c r="G504" s="3721"/>
      <c r="H504" s="3721"/>
      <c r="I504" s="916">
        <f>'2 REPAIR ESTIMATOR'!P539</f>
        <v>0</v>
      </c>
      <c r="J504" s="917" t="str">
        <f>'2 REPAIR ESTIMATOR'!S539</f>
        <v>sf</v>
      </c>
      <c r="K504" s="918">
        <f t="shared" si="75"/>
        <v>0</v>
      </c>
      <c r="L504" s="918">
        <f t="shared" ref="L504:L542" si="76">V504*$S$70</f>
        <v>0</v>
      </c>
      <c r="M504" s="918">
        <f t="shared" ref="M504:M542" si="77">W504*$S$70</f>
        <v>0</v>
      </c>
      <c r="N504" s="3719">
        <f t="shared" ref="N504:N542" si="78">SUM(K504:M504)</f>
        <v>0</v>
      </c>
      <c r="O504" s="3719"/>
      <c r="P504" s="490">
        <f>I504</f>
        <v>0</v>
      </c>
      <c r="S504" s="32">
        <f>'2 REPAIR ESTIMATOR'!AD539</f>
        <v>0</v>
      </c>
      <c r="T504" s="32">
        <f>'2 REPAIR ESTIMATOR'!AM539</f>
        <v>0</v>
      </c>
      <c r="U504" s="32">
        <f t="shared" ref="U504:U542" si="79">T504+S504</f>
        <v>0</v>
      </c>
      <c r="V504" s="32">
        <f>'2 REPAIR ESTIMATOR'!AG539</f>
        <v>0</v>
      </c>
      <c r="W504" s="32">
        <f>'2 REPAIR ESTIMATOR'!AJ539</f>
        <v>0</v>
      </c>
    </row>
    <row r="505" spans="3:23" ht="18" hidden="1">
      <c r="C505" s="3720" t="str">
        <f>T('2 REPAIR ESTIMATOR'!D540:O540)</f>
        <v>Seeding</v>
      </c>
      <c r="D505" s="3721"/>
      <c r="E505" s="3721"/>
      <c r="F505" s="3721"/>
      <c r="G505" s="3721"/>
      <c r="H505" s="3721"/>
      <c r="I505" s="916">
        <f>'2 REPAIR ESTIMATOR'!P540</f>
        <v>0</v>
      </c>
      <c r="J505" s="917" t="str">
        <f>'2 REPAIR ESTIMATOR'!S540</f>
        <v>sf</v>
      </c>
      <c r="K505" s="918">
        <f t="shared" si="75"/>
        <v>0</v>
      </c>
      <c r="L505" s="918">
        <f t="shared" si="76"/>
        <v>0</v>
      </c>
      <c r="M505" s="918">
        <f t="shared" si="77"/>
        <v>0</v>
      </c>
      <c r="N505" s="3719">
        <f t="shared" si="78"/>
        <v>0</v>
      </c>
      <c r="O505" s="3719"/>
      <c r="P505" s="490">
        <f t="shared" ref="P505:P644" si="80">I505</f>
        <v>0</v>
      </c>
      <c r="S505" s="32">
        <f>'2 REPAIR ESTIMATOR'!AD540</f>
        <v>0</v>
      </c>
      <c r="T505" s="32">
        <f>'2 REPAIR ESTIMATOR'!AM540</f>
        <v>0</v>
      </c>
      <c r="U505" s="32">
        <f t="shared" si="79"/>
        <v>0</v>
      </c>
      <c r="V505" s="32">
        <f>'2 REPAIR ESTIMATOR'!AG540</f>
        <v>0</v>
      </c>
      <c r="W505" s="32">
        <f>'2 REPAIR ESTIMATOR'!AJ540</f>
        <v>0</v>
      </c>
    </row>
    <row r="506" spans="3:23" ht="18" hidden="1">
      <c r="C506" s="3720" t="str">
        <f>T('2 REPAIR ESTIMATOR'!D541:O541)</f>
        <v>Shrubs/plantings, 1 gallon</v>
      </c>
      <c r="D506" s="3721"/>
      <c r="E506" s="3721"/>
      <c r="F506" s="3721"/>
      <c r="G506" s="3721"/>
      <c r="H506" s="3721"/>
      <c r="I506" s="916">
        <f>'2 REPAIR ESTIMATOR'!P541</f>
        <v>0</v>
      </c>
      <c r="J506" s="917" t="str">
        <f>'2 REPAIR ESTIMATOR'!S541</f>
        <v>ea</v>
      </c>
      <c r="K506" s="918">
        <f t="shared" si="75"/>
        <v>0</v>
      </c>
      <c r="L506" s="918">
        <f t="shared" si="76"/>
        <v>0</v>
      </c>
      <c r="M506" s="918">
        <f t="shared" si="77"/>
        <v>0</v>
      </c>
      <c r="N506" s="3719">
        <f t="shared" si="78"/>
        <v>0</v>
      </c>
      <c r="O506" s="3719"/>
      <c r="P506" s="490">
        <f t="shared" si="80"/>
        <v>0</v>
      </c>
      <c r="S506" s="32">
        <f>'2 REPAIR ESTIMATOR'!AD541</f>
        <v>0</v>
      </c>
      <c r="T506" s="32">
        <f>'2 REPAIR ESTIMATOR'!AM541</f>
        <v>0</v>
      </c>
      <c r="U506" s="32">
        <f t="shared" si="79"/>
        <v>0</v>
      </c>
      <c r="V506" s="32">
        <f>'2 REPAIR ESTIMATOR'!AG541</f>
        <v>0</v>
      </c>
      <c r="W506" s="32">
        <f>'2 REPAIR ESTIMATOR'!AJ541</f>
        <v>0</v>
      </c>
    </row>
    <row r="507" spans="3:23" ht="18" hidden="1">
      <c r="C507" s="3720" t="str">
        <f>T('2 REPAIR ESTIMATOR'!D542:O542)</f>
        <v>Shrubs/plantings, 2 gallon</v>
      </c>
      <c r="D507" s="3721"/>
      <c r="E507" s="3721"/>
      <c r="F507" s="3721"/>
      <c r="G507" s="3721"/>
      <c r="H507" s="3721"/>
      <c r="I507" s="916">
        <f>'2 REPAIR ESTIMATOR'!P542</f>
        <v>0</v>
      </c>
      <c r="J507" s="917" t="str">
        <f>'2 REPAIR ESTIMATOR'!S542</f>
        <v>ea</v>
      </c>
      <c r="K507" s="918">
        <f t="shared" si="75"/>
        <v>0</v>
      </c>
      <c r="L507" s="918">
        <f t="shared" si="76"/>
        <v>0</v>
      </c>
      <c r="M507" s="918">
        <f t="shared" si="77"/>
        <v>0</v>
      </c>
      <c r="N507" s="3719">
        <f t="shared" si="78"/>
        <v>0</v>
      </c>
      <c r="O507" s="3719"/>
      <c r="P507" s="490">
        <f t="shared" si="80"/>
        <v>0</v>
      </c>
      <c r="S507" s="32">
        <f>'2 REPAIR ESTIMATOR'!AD542</f>
        <v>0</v>
      </c>
      <c r="T507" s="32">
        <f>'2 REPAIR ESTIMATOR'!AM542</f>
        <v>0</v>
      </c>
      <c r="U507" s="32">
        <f t="shared" si="79"/>
        <v>0</v>
      </c>
      <c r="V507" s="32">
        <f>'2 REPAIR ESTIMATOR'!AG542</f>
        <v>0</v>
      </c>
      <c r="W507" s="32">
        <f>'2 REPAIR ESTIMATOR'!AJ542</f>
        <v>0</v>
      </c>
    </row>
    <row r="508" spans="3:23" ht="18" hidden="1">
      <c r="C508" s="3720" t="str">
        <f>T('2 REPAIR ESTIMATOR'!D543:O543)</f>
        <v>Shrubs/plantings, 5 gallon</v>
      </c>
      <c r="D508" s="3721"/>
      <c r="E508" s="3721"/>
      <c r="F508" s="3721"/>
      <c r="G508" s="3721"/>
      <c r="H508" s="3721"/>
      <c r="I508" s="916">
        <f>'2 REPAIR ESTIMATOR'!P543</f>
        <v>0</v>
      </c>
      <c r="J508" s="917" t="str">
        <f>'2 REPAIR ESTIMATOR'!S543</f>
        <v>ea</v>
      </c>
      <c r="K508" s="918">
        <f t="shared" si="75"/>
        <v>0</v>
      </c>
      <c r="L508" s="918">
        <f t="shared" si="76"/>
        <v>0</v>
      </c>
      <c r="M508" s="918">
        <f t="shared" si="77"/>
        <v>0</v>
      </c>
      <c r="N508" s="3719">
        <f t="shared" si="78"/>
        <v>0</v>
      </c>
      <c r="O508" s="3719"/>
      <c r="P508" s="490">
        <f t="shared" si="80"/>
        <v>0</v>
      </c>
      <c r="S508" s="32">
        <f>'2 REPAIR ESTIMATOR'!AD543</f>
        <v>0</v>
      </c>
      <c r="T508" s="32">
        <f>'2 REPAIR ESTIMATOR'!AM543</f>
        <v>0</v>
      </c>
      <c r="U508" s="32">
        <f t="shared" si="79"/>
        <v>0</v>
      </c>
      <c r="V508" s="32">
        <f>'2 REPAIR ESTIMATOR'!AG543</f>
        <v>0</v>
      </c>
      <c r="W508" s="32">
        <f>'2 REPAIR ESTIMATOR'!AJ543</f>
        <v>0</v>
      </c>
    </row>
    <row r="509" spans="3:23" ht="18" hidden="1">
      <c r="C509" s="3720" t="str">
        <f>T('2 REPAIR ESTIMATOR'!D544:O544)</f>
        <v>Small trees, 1-2" caliper, 10 gallon</v>
      </c>
      <c r="D509" s="3721"/>
      <c r="E509" s="3721"/>
      <c r="F509" s="3721"/>
      <c r="G509" s="3721"/>
      <c r="H509" s="3721"/>
      <c r="I509" s="916">
        <f>'2 REPAIR ESTIMATOR'!P544</f>
        <v>0</v>
      </c>
      <c r="J509" s="917" t="str">
        <f>'2 REPAIR ESTIMATOR'!S544</f>
        <v>ea</v>
      </c>
      <c r="K509" s="918">
        <f t="shared" si="75"/>
        <v>0</v>
      </c>
      <c r="L509" s="918">
        <f t="shared" si="76"/>
        <v>0</v>
      </c>
      <c r="M509" s="918">
        <f t="shared" si="77"/>
        <v>0</v>
      </c>
      <c r="N509" s="3719">
        <f t="shared" si="78"/>
        <v>0</v>
      </c>
      <c r="O509" s="3719"/>
      <c r="P509" s="490">
        <f t="shared" si="80"/>
        <v>0</v>
      </c>
      <c r="S509" s="32">
        <f>'2 REPAIR ESTIMATOR'!AD544</f>
        <v>0</v>
      </c>
      <c r="T509" s="32">
        <f>'2 REPAIR ESTIMATOR'!AM544</f>
        <v>0</v>
      </c>
      <c r="U509" s="32">
        <f t="shared" si="79"/>
        <v>0</v>
      </c>
      <c r="V509" s="32">
        <f>'2 REPAIR ESTIMATOR'!AG544</f>
        <v>0</v>
      </c>
      <c r="W509" s="32">
        <f>'2 REPAIR ESTIMATOR'!AJ544</f>
        <v>0</v>
      </c>
    </row>
    <row r="510" spans="3:23" ht="18" hidden="1">
      <c r="C510" s="3720" t="str">
        <f>T('2 REPAIR ESTIMATOR'!D545:O545)</f>
        <v>Small trees, 1-2" 15 gallon</v>
      </c>
      <c r="D510" s="3721"/>
      <c r="E510" s="3721"/>
      <c r="F510" s="3721"/>
      <c r="G510" s="3721"/>
      <c r="H510" s="3721"/>
      <c r="I510" s="916">
        <f>'2 REPAIR ESTIMATOR'!P545</f>
        <v>0</v>
      </c>
      <c r="J510" s="917" t="str">
        <f>'2 REPAIR ESTIMATOR'!S545</f>
        <v>ea</v>
      </c>
      <c r="K510" s="918">
        <f t="shared" si="75"/>
        <v>0</v>
      </c>
      <c r="L510" s="918">
        <f t="shared" si="76"/>
        <v>0</v>
      </c>
      <c r="M510" s="918">
        <f t="shared" si="77"/>
        <v>0</v>
      </c>
      <c r="N510" s="3719">
        <f t="shared" si="78"/>
        <v>0</v>
      </c>
      <c r="O510" s="3719"/>
      <c r="P510" s="490">
        <f t="shared" si="80"/>
        <v>0</v>
      </c>
      <c r="S510" s="32">
        <f>'2 REPAIR ESTIMATOR'!AD545</f>
        <v>0</v>
      </c>
      <c r="T510" s="32">
        <f>'2 REPAIR ESTIMATOR'!AM545</f>
        <v>0</v>
      </c>
      <c r="U510" s="32">
        <f t="shared" si="79"/>
        <v>0</v>
      </c>
      <c r="V510" s="32">
        <f>'2 REPAIR ESTIMATOR'!AG545</f>
        <v>0</v>
      </c>
      <c r="W510" s="32">
        <f>'2 REPAIR ESTIMATOR'!AJ545</f>
        <v>0</v>
      </c>
    </row>
    <row r="511" spans="3:23" ht="18" hidden="1">
      <c r="C511" s="3720" t="str">
        <f>T('2 REPAIR ESTIMATOR'!D546:O546)</f>
        <v>36" box tree</v>
      </c>
      <c r="D511" s="3721"/>
      <c r="E511" s="3721"/>
      <c r="F511" s="3721"/>
      <c r="G511" s="3721"/>
      <c r="H511" s="3721"/>
      <c r="I511" s="916">
        <f>'2 REPAIR ESTIMATOR'!P546</f>
        <v>0</v>
      </c>
      <c r="J511" s="917" t="str">
        <f>'2 REPAIR ESTIMATOR'!S546</f>
        <v>ea</v>
      </c>
      <c r="K511" s="918">
        <f t="shared" si="75"/>
        <v>0</v>
      </c>
      <c r="L511" s="918">
        <f t="shared" si="76"/>
        <v>0</v>
      </c>
      <c r="M511" s="918">
        <f t="shared" si="77"/>
        <v>0</v>
      </c>
      <c r="N511" s="3719">
        <f t="shared" si="78"/>
        <v>0</v>
      </c>
      <c r="O511" s="3719"/>
      <c r="P511" s="490">
        <f t="shared" si="80"/>
        <v>0</v>
      </c>
      <c r="S511" s="32">
        <f>'2 REPAIR ESTIMATOR'!AD546</f>
        <v>0</v>
      </c>
      <c r="T511" s="32">
        <f>'2 REPAIR ESTIMATOR'!AM546</f>
        <v>0</v>
      </c>
      <c r="U511" s="32">
        <f t="shared" si="79"/>
        <v>0</v>
      </c>
      <c r="V511" s="32">
        <f>'2 REPAIR ESTIMATOR'!AG546</f>
        <v>0</v>
      </c>
      <c r="W511" s="32">
        <f>'2 REPAIR ESTIMATOR'!AJ546</f>
        <v>0</v>
      </c>
    </row>
    <row r="512" spans="3:23" ht="18" hidden="1">
      <c r="C512" s="3720" t="str">
        <f>T('2 REPAIR ESTIMATOR'!D547:O547)</f>
        <v>Mulch, standard 3" thick</v>
      </c>
      <c r="D512" s="3721"/>
      <c r="E512" s="3721"/>
      <c r="F512" s="3721"/>
      <c r="G512" s="3721"/>
      <c r="H512" s="3721"/>
      <c r="I512" s="916">
        <f>'2 REPAIR ESTIMATOR'!P547</f>
        <v>0</v>
      </c>
      <c r="J512" s="917" t="str">
        <f>'2 REPAIR ESTIMATOR'!S547</f>
        <v>sf</v>
      </c>
      <c r="K512" s="918">
        <f t="shared" si="75"/>
        <v>0</v>
      </c>
      <c r="L512" s="918">
        <f t="shared" si="76"/>
        <v>0</v>
      </c>
      <c r="M512" s="918">
        <f t="shared" si="77"/>
        <v>0</v>
      </c>
      <c r="N512" s="3719">
        <f t="shared" si="78"/>
        <v>0</v>
      </c>
      <c r="O512" s="3719"/>
      <c r="P512" s="490">
        <f t="shared" si="80"/>
        <v>0</v>
      </c>
      <c r="S512" s="32">
        <f>'2 REPAIR ESTIMATOR'!AD547</f>
        <v>0</v>
      </c>
      <c r="T512" s="32">
        <f>'2 REPAIR ESTIMATOR'!AM547</f>
        <v>0</v>
      </c>
      <c r="U512" s="32">
        <f t="shared" si="79"/>
        <v>0</v>
      </c>
      <c r="V512" s="32">
        <f>'2 REPAIR ESTIMATOR'!AG547</f>
        <v>0</v>
      </c>
      <c r="W512" s="32">
        <f>'2 REPAIR ESTIMATOR'!AJ547</f>
        <v>0</v>
      </c>
    </row>
    <row r="513" spans="3:23" ht="18" hidden="1">
      <c r="C513" s="3720" t="str">
        <f>T('2 REPAIR ESTIMATOR'!D548:O548)</f>
        <v>Landscape rock, 3/4"</v>
      </c>
      <c r="D513" s="3721"/>
      <c r="E513" s="3721"/>
      <c r="F513" s="3721"/>
      <c r="G513" s="3721"/>
      <c r="H513" s="3721"/>
      <c r="I513" s="916">
        <f>'2 REPAIR ESTIMATOR'!P548</f>
        <v>0</v>
      </c>
      <c r="J513" s="917" t="str">
        <f>'2 REPAIR ESTIMATOR'!S548</f>
        <v>sf</v>
      </c>
      <c r="K513" s="918">
        <f t="shared" si="75"/>
        <v>0</v>
      </c>
      <c r="L513" s="918">
        <f t="shared" si="76"/>
        <v>0</v>
      </c>
      <c r="M513" s="918">
        <f t="shared" si="77"/>
        <v>0</v>
      </c>
      <c r="N513" s="3719">
        <f t="shared" si="78"/>
        <v>0</v>
      </c>
      <c r="O513" s="3719"/>
      <c r="P513" s="490">
        <f t="shared" si="80"/>
        <v>0</v>
      </c>
      <c r="S513" s="32">
        <f>'2 REPAIR ESTIMATOR'!AD548</f>
        <v>0</v>
      </c>
      <c r="T513" s="32">
        <f>'2 REPAIR ESTIMATOR'!AM548</f>
        <v>0</v>
      </c>
      <c r="U513" s="32">
        <f t="shared" si="79"/>
        <v>0</v>
      </c>
      <c r="V513" s="32">
        <f>'2 REPAIR ESTIMATOR'!AG548</f>
        <v>0</v>
      </c>
      <c r="W513" s="32">
        <f>'2 REPAIR ESTIMATOR'!AJ548</f>
        <v>0</v>
      </c>
    </row>
    <row r="514" spans="3:23" ht="18" hidden="1">
      <c r="C514" s="3720" t="str">
        <f>T('2 REPAIR ESTIMATOR'!D549:O549)</f>
        <v>Cobble stone rock</v>
      </c>
      <c r="D514" s="3721"/>
      <c r="E514" s="3721"/>
      <c r="F514" s="3721"/>
      <c r="G514" s="3721"/>
      <c r="H514" s="3721"/>
      <c r="I514" s="916">
        <f>'2 REPAIR ESTIMATOR'!P549</f>
        <v>0</v>
      </c>
      <c r="J514" s="917" t="str">
        <f>'2 REPAIR ESTIMATOR'!S549</f>
        <v>sf</v>
      </c>
      <c r="K514" s="918">
        <f t="shared" si="75"/>
        <v>0</v>
      </c>
      <c r="L514" s="918">
        <f t="shared" si="76"/>
        <v>0</v>
      </c>
      <c r="M514" s="918">
        <f t="shared" si="77"/>
        <v>0</v>
      </c>
      <c r="N514" s="3719">
        <f t="shared" si="78"/>
        <v>0</v>
      </c>
      <c r="O514" s="3719"/>
      <c r="P514" s="490">
        <f t="shared" si="80"/>
        <v>0</v>
      </c>
      <c r="S514" s="32">
        <f>'2 REPAIR ESTIMATOR'!AD549</f>
        <v>0</v>
      </c>
      <c r="T514" s="32">
        <f>'2 REPAIR ESTIMATOR'!AM549</f>
        <v>0</v>
      </c>
      <c r="U514" s="32">
        <f t="shared" si="79"/>
        <v>0</v>
      </c>
      <c r="V514" s="32">
        <f>'2 REPAIR ESTIMATOR'!AG549</f>
        <v>0</v>
      </c>
      <c r="W514" s="32">
        <f>'2 REPAIR ESTIMATOR'!AJ549</f>
        <v>0</v>
      </c>
    </row>
    <row r="515" spans="3:23" ht="18" hidden="1">
      <c r="C515" s="3720" t="str">
        <f>T('2 REPAIR ESTIMATOR'!D550:O550)</f>
        <v>Tree removal, per tree</v>
      </c>
      <c r="D515" s="3721"/>
      <c r="E515" s="3721"/>
      <c r="F515" s="3721"/>
      <c r="G515" s="3721"/>
      <c r="H515" s="3721"/>
      <c r="I515" s="916">
        <f>'2 REPAIR ESTIMATOR'!P550</f>
        <v>0</v>
      </c>
      <c r="J515" s="917" t="str">
        <f>'2 REPAIR ESTIMATOR'!S550</f>
        <v>ea</v>
      </c>
      <c r="K515" s="918">
        <f t="shared" si="75"/>
        <v>0</v>
      </c>
      <c r="L515" s="918">
        <f t="shared" si="76"/>
        <v>0</v>
      </c>
      <c r="M515" s="918">
        <f t="shared" si="77"/>
        <v>0</v>
      </c>
      <c r="N515" s="3719">
        <f t="shared" si="78"/>
        <v>0</v>
      </c>
      <c r="O515" s="3719"/>
      <c r="P515" s="490">
        <f t="shared" si="80"/>
        <v>0</v>
      </c>
      <c r="S515" s="32">
        <f>'2 REPAIR ESTIMATOR'!AD550</f>
        <v>0</v>
      </c>
      <c r="T515" s="32">
        <f>'2 REPAIR ESTIMATOR'!AM550</f>
        <v>0</v>
      </c>
      <c r="U515" s="32">
        <f t="shared" si="79"/>
        <v>0</v>
      </c>
      <c r="V515" s="32">
        <f>'2 REPAIR ESTIMATOR'!AG550</f>
        <v>0</v>
      </c>
      <c r="W515" s="32">
        <f>'2 REPAIR ESTIMATOR'!AJ550</f>
        <v>0</v>
      </c>
    </row>
    <row r="516" spans="3:23" ht="18" hidden="1">
      <c r="C516" s="3720" t="str">
        <f>T('2 REPAIR ESTIMATOR'!D551:O551)</f>
        <v>Stacked, retaining wall</v>
      </c>
      <c r="D516" s="3721"/>
      <c r="E516" s="3721"/>
      <c r="F516" s="3721"/>
      <c r="G516" s="3721"/>
      <c r="H516" s="3721"/>
      <c r="I516" s="916">
        <f>'2 REPAIR ESTIMATOR'!P551</f>
        <v>0</v>
      </c>
      <c r="J516" s="917" t="str">
        <f>'2 REPAIR ESTIMATOR'!S551</f>
        <v>sf</v>
      </c>
      <c r="K516" s="918">
        <f t="shared" si="75"/>
        <v>0</v>
      </c>
      <c r="L516" s="918">
        <f t="shared" si="76"/>
        <v>0</v>
      </c>
      <c r="M516" s="918">
        <f t="shared" si="77"/>
        <v>0</v>
      </c>
      <c r="N516" s="3719">
        <f t="shared" si="78"/>
        <v>0</v>
      </c>
      <c r="O516" s="3719"/>
      <c r="P516" s="490">
        <f t="shared" si="80"/>
        <v>0</v>
      </c>
      <c r="S516" s="32">
        <f>'2 REPAIR ESTIMATOR'!AD551</f>
        <v>0</v>
      </c>
      <c r="T516" s="32">
        <f>'2 REPAIR ESTIMATOR'!AM551</f>
        <v>0</v>
      </c>
      <c r="U516" s="32">
        <f t="shared" si="79"/>
        <v>0</v>
      </c>
      <c r="V516" s="32">
        <f>'2 REPAIR ESTIMATOR'!AG551</f>
        <v>0</v>
      </c>
      <c r="W516" s="32">
        <f>'2 REPAIR ESTIMATOR'!AJ551</f>
        <v>0</v>
      </c>
    </row>
    <row r="517" spans="3:23" ht="18" hidden="1">
      <c r="C517" s="3720" t="str">
        <f>T('2 REPAIR ESTIMATOR'!D552:O552)</f>
        <v/>
      </c>
      <c r="D517" s="3721"/>
      <c r="E517" s="3721"/>
      <c r="F517" s="3721"/>
      <c r="G517" s="3721"/>
      <c r="H517" s="3721"/>
      <c r="I517" s="916">
        <f>'2 REPAIR ESTIMATOR'!P552</f>
        <v>0</v>
      </c>
      <c r="J517" s="917">
        <f>'2 REPAIR ESTIMATOR'!S552</f>
        <v>0</v>
      </c>
      <c r="K517" s="918">
        <f t="shared" si="75"/>
        <v>0</v>
      </c>
      <c r="L517" s="918">
        <f t="shared" si="76"/>
        <v>0</v>
      </c>
      <c r="M517" s="918">
        <f t="shared" si="77"/>
        <v>0</v>
      </c>
      <c r="N517" s="3719">
        <f t="shared" si="78"/>
        <v>0</v>
      </c>
      <c r="O517" s="3719"/>
      <c r="P517" s="490">
        <f t="shared" si="80"/>
        <v>0</v>
      </c>
      <c r="S517" s="32">
        <f>'2 REPAIR ESTIMATOR'!AD552</f>
        <v>0</v>
      </c>
      <c r="T517" s="32">
        <f>'2 REPAIR ESTIMATOR'!AM552</f>
        <v>0</v>
      </c>
      <c r="U517" s="32">
        <f t="shared" si="79"/>
        <v>0</v>
      </c>
      <c r="V517" s="32">
        <f>'2 REPAIR ESTIMATOR'!AG552</f>
        <v>0</v>
      </c>
      <c r="W517" s="32">
        <f>'2 REPAIR ESTIMATOR'!AJ552</f>
        <v>0</v>
      </c>
    </row>
    <row r="518" spans="3:23" ht="18" hidden="1">
      <c r="C518" s="3720" t="str">
        <f>T('2 REPAIR ESTIMATOR'!D553:O553)</f>
        <v/>
      </c>
      <c r="D518" s="3721"/>
      <c r="E518" s="3721"/>
      <c r="F518" s="3721"/>
      <c r="G518" s="3721"/>
      <c r="H518" s="3721"/>
      <c r="I518" s="916">
        <f>'2 REPAIR ESTIMATOR'!P553</f>
        <v>0</v>
      </c>
      <c r="J518" s="917">
        <f>'2 REPAIR ESTIMATOR'!S553</f>
        <v>0</v>
      </c>
      <c r="K518" s="918">
        <f t="shared" si="75"/>
        <v>0</v>
      </c>
      <c r="L518" s="918">
        <f t="shared" si="76"/>
        <v>0</v>
      </c>
      <c r="M518" s="918">
        <f t="shared" si="77"/>
        <v>0</v>
      </c>
      <c r="N518" s="3719">
        <f t="shared" si="78"/>
        <v>0</v>
      </c>
      <c r="O518" s="3719"/>
      <c r="P518" s="490">
        <f t="shared" si="80"/>
        <v>0</v>
      </c>
      <c r="S518" s="32">
        <f>'2 REPAIR ESTIMATOR'!AD553</f>
        <v>0</v>
      </c>
      <c r="T518" s="32">
        <f>'2 REPAIR ESTIMATOR'!AM553</f>
        <v>0</v>
      </c>
      <c r="U518" s="32">
        <f t="shared" si="79"/>
        <v>0</v>
      </c>
      <c r="V518" s="32">
        <f>'2 REPAIR ESTIMATOR'!AG553</f>
        <v>0</v>
      </c>
      <c r="W518" s="32">
        <f>'2 REPAIR ESTIMATOR'!AJ553</f>
        <v>0</v>
      </c>
    </row>
    <row r="519" spans="3:23" ht="18" hidden="1">
      <c r="C519" s="3720" t="str">
        <f>T('2 REPAIR ESTIMATOR'!D554:O554)</f>
        <v/>
      </c>
      <c r="D519" s="3721"/>
      <c r="E519" s="3721"/>
      <c r="F519" s="3721"/>
      <c r="G519" s="3721"/>
      <c r="H519" s="3721"/>
      <c r="I519" s="916">
        <f>'2 REPAIR ESTIMATOR'!P554</f>
        <v>0</v>
      </c>
      <c r="J519" s="917">
        <f>'2 REPAIR ESTIMATOR'!S554</f>
        <v>0</v>
      </c>
      <c r="K519" s="918">
        <f t="shared" si="75"/>
        <v>0</v>
      </c>
      <c r="L519" s="918">
        <f t="shared" si="76"/>
        <v>0</v>
      </c>
      <c r="M519" s="918">
        <f t="shared" si="77"/>
        <v>0</v>
      </c>
      <c r="N519" s="3719">
        <f t="shared" si="78"/>
        <v>0</v>
      </c>
      <c r="O519" s="3719"/>
      <c r="P519" s="490">
        <f t="shared" si="80"/>
        <v>0</v>
      </c>
      <c r="S519" s="32">
        <f>'2 REPAIR ESTIMATOR'!AD554</f>
        <v>0</v>
      </c>
      <c r="T519" s="32">
        <f>'2 REPAIR ESTIMATOR'!AM554</f>
        <v>0</v>
      </c>
      <c r="U519" s="32">
        <f t="shared" si="79"/>
        <v>0</v>
      </c>
      <c r="V519" s="32">
        <f>'2 REPAIR ESTIMATOR'!AG554</f>
        <v>0</v>
      </c>
      <c r="W519" s="32">
        <f>'2 REPAIR ESTIMATOR'!AJ554</f>
        <v>0</v>
      </c>
    </row>
    <row r="520" spans="3:23" ht="18" hidden="1">
      <c r="C520" s="3720" t="str">
        <f>T('2 REPAIR ESTIMATOR'!D555:O555)</f>
        <v/>
      </c>
      <c r="D520" s="3721"/>
      <c r="E520" s="3721"/>
      <c r="F520" s="3721"/>
      <c r="G520" s="3721"/>
      <c r="H520" s="3721"/>
      <c r="I520" s="916">
        <f>'2 REPAIR ESTIMATOR'!P555</f>
        <v>0</v>
      </c>
      <c r="J520" s="917">
        <f>'2 REPAIR ESTIMATOR'!S555</f>
        <v>0</v>
      </c>
      <c r="K520" s="918">
        <f t="shared" si="75"/>
        <v>0</v>
      </c>
      <c r="L520" s="918">
        <f t="shared" si="76"/>
        <v>0</v>
      </c>
      <c r="M520" s="918">
        <f t="shared" si="77"/>
        <v>0</v>
      </c>
      <c r="N520" s="3719">
        <f t="shared" si="78"/>
        <v>0</v>
      </c>
      <c r="O520" s="3719"/>
      <c r="P520" s="490">
        <f t="shared" si="80"/>
        <v>0</v>
      </c>
      <c r="S520" s="32">
        <f>'2 REPAIR ESTIMATOR'!AD555</f>
        <v>0</v>
      </c>
      <c r="T520" s="32">
        <f>'2 REPAIR ESTIMATOR'!AM555</f>
        <v>0</v>
      </c>
      <c r="U520" s="32">
        <f t="shared" si="79"/>
        <v>0</v>
      </c>
      <c r="V520" s="32">
        <f>'2 REPAIR ESTIMATOR'!AG555</f>
        <v>0</v>
      </c>
      <c r="W520" s="32">
        <f>'2 REPAIR ESTIMATOR'!AJ555</f>
        <v>0</v>
      </c>
    </row>
    <row r="521" spans="3:23" ht="18" hidden="1">
      <c r="C521" s="3720" t="str">
        <f>T('2 REPAIR ESTIMATOR'!D556:O556)</f>
        <v/>
      </c>
      <c r="D521" s="3721"/>
      <c r="E521" s="3721"/>
      <c r="F521" s="3721"/>
      <c r="G521" s="3721"/>
      <c r="H521" s="3721"/>
      <c r="I521" s="916">
        <f>'2 REPAIR ESTIMATOR'!P556</f>
        <v>0</v>
      </c>
      <c r="J521" s="917">
        <f>'2 REPAIR ESTIMATOR'!S556</f>
        <v>0</v>
      </c>
      <c r="K521" s="918">
        <f t="shared" si="75"/>
        <v>0</v>
      </c>
      <c r="L521" s="918">
        <f t="shared" si="76"/>
        <v>0</v>
      </c>
      <c r="M521" s="918">
        <f t="shared" si="77"/>
        <v>0</v>
      </c>
      <c r="N521" s="3719">
        <f t="shared" si="78"/>
        <v>0</v>
      </c>
      <c r="O521" s="3719"/>
      <c r="P521" s="490">
        <f t="shared" si="80"/>
        <v>0</v>
      </c>
      <c r="S521" s="32">
        <f>'2 REPAIR ESTIMATOR'!AD556</f>
        <v>0</v>
      </c>
      <c r="T521" s="32">
        <f>'2 REPAIR ESTIMATOR'!AM556</f>
        <v>0</v>
      </c>
      <c r="U521" s="32">
        <f t="shared" si="79"/>
        <v>0</v>
      </c>
      <c r="V521" s="32">
        <f>'2 REPAIR ESTIMATOR'!AG556</f>
        <v>0</v>
      </c>
      <c r="W521" s="32">
        <f>'2 REPAIR ESTIMATOR'!AJ556</f>
        <v>0</v>
      </c>
    </row>
    <row r="522" spans="3:23" ht="18" hidden="1">
      <c r="C522" s="3720" t="str">
        <f>T('2 REPAIR ESTIMATOR'!D557:O557)</f>
        <v/>
      </c>
      <c r="D522" s="3721"/>
      <c r="E522" s="3721"/>
      <c r="F522" s="3721"/>
      <c r="G522" s="3721"/>
      <c r="H522" s="3721"/>
      <c r="I522" s="916">
        <f>'2 REPAIR ESTIMATOR'!P557</f>
        <v>0</v>
      </c>
      <c r="J522" s="917">
        <f>'2 REPAIR ESTIMATOR'!S557</f>
        <v>0</v>
      </c>
      <c r="K522" s="918">
        <f t="shared" si="75"/>
        <v>0</v>
      </c>
      <c r="L522" s="918">
        <f t="shared" si="76"/>
        <v>0</v>
      </c>
      <c r="M522" s="918">
        <f t="shared" si="77"/>
        <v>0</v>
      </c>
      <c r="N522" s="3719">
        <f t="shared" si="78"/>
        <v>0</v>
      </c>
      <c r="O522" s="3719"/>
      <c r="P522" s="490">
        <f t="shared" si="80"/>
        <v>0</v>
      </c>
      <c r="S522" s="32">
        <f>'2 REPAIR ESTIMATOR'!AD557</f>
        <v>0</v>
      </c>
      <c r="T522" s="32">
        <f>'2 REPAIR ESTIMATOR'!AM557</f>
        <v>0</v>
      </c>
      <c r="U522" s="32">
        <f t="shared" si="79"/>
        <v>0</v>
      </c>
      <c r="V522" s="32">
        <f>'2 REPAIR ESTIMATOR'!AG557</f>
        <v>0</v>
      </c>
      <c r="W522" s="32">
        <f>'2 REPAIR ESTIMATOR'!AJ557</f>
        <v>0</v>
      </c>
    </row>
    <row r="523" spans="3:23" ht="18" hidden="1">
      <c r="C523" s="3720" t="str">
        <f>T('2 REPAIR ESTIMATOR'!D558:O558)</f>
        <v/>
      </c>
      <c r="D523" s="3721"/>
      <c r="E523" s="3721"/>
      <c r="F523" s="3721"/>
      <c r="G523" s="3721"/>
      <c r="H523" s="3721"/>
      <c r="I523" s="916">
        <f>'2 REPAIR ESTIMATOR'!P558</f>
        <v>0</v>
      </c>
      <c r="J523" s="917">
        <f>'2 REPAIR ESTIMATOR'!S558</f>
        <v>0</v>
      </c>
      <c r="K523" s="918">
        <f t="shared" si="75"/>
        <v>0</v>
      </c>
      <c r="L523" s="918">
        <f t="shared" si="76"/>
        <v>0</v>
      </c>
      <c r="M523" s="918">
        <f t="shared" si="77"/>
        <v>0</v>
      </c>
      <c r="N523" s="3719">
        <f t="shared" si="78"/>
        <v>0</v>
      </c>
      <c r="O523" s="3719"/>
      <c r="P523" s="490">
        <f t="shared" si="80"/>
        <v>0</v>
      </c>
      <c r="S523" s="32">
        <f>'2 REPAIR ESTIMATOR'!AD558</f>
        <v>0</v>
      </c>
      <c r="T523" s="32">
        <f>'2 REPAIR ESTIMATOR'!AM558</f>
        <v>0</v>
      </c>
      <c r="U523" s="32">
        <f t="shared" si="79"/>
        <v>0</v>
      </c>
      <c r="V523" s="32">
        <f>'2 REPAIR ESTIMATOR'!AG558</f>
        <v>0</v>
      </c>
      <c r="W523" s="32">
        <f>'2 REPAIR ESTIMATOR'!AJ558</f>
        <v>0</v>
      </c>
    </row>
    <row r="524" spans="3:23" ht="18" hidden="1">
      <c r="C524" s="3720" t="str">
        <f>T('2 REPAIR ESTIMATOR'!D559:O559)</f>
        <v/>
      </c>
      <c r="D524" s="3721"/>
      <c r="E524" s="3721"/>
      <c r="F524" s="3721"/>
      <c r="G524" s="3721"/>
      <c r="H524" s="3721"/>
      <c r="I524" s="916">
        <f>'2 REPAIR ESTIMATOR'!P559</f>
        <v>0</v>
      </c>
      <c r="J524" s="917">
        <f>'2 REPAIR ESTIMATOR'!S559</f>
        <v>0</v>
      </c>
      <c r="K524" s="918">
        <f t="shared" si="75"/>
        <v>0</v>
      </c>
      <c r="L524" s="918">
        <f t="shared" si="76"/>
        <v>0</v>
      </c>
      <c r="M524" s="918">
        <f t="shared" si="77"/>
        <v>0</v>
      </c>
      <c r="N524" s="3719">
        <f t="shared" si="78"/>
        <v>0</v>
      </c>
      <c r="O524" s="3719"/>
      <c r="P524" s="490">
        <f t="shared" si="80"/>
        <v>0</v>
      </c>
      <c r="S524" s="32">
        <f>'2 REPAIR ESTIMATOR'!AD559</f>
        <v>0</v>
      </c>
      <c r="T524" s="32">
        <f>'2 REPAIR ESTIMATOR'!AM559</f>
        <v>0</v>
      </c>
      <c r="U524" s="32">
        <f t="shared" si="79"/>
        <v>0</v>
      </c>
      <c r="V524" s="32">
        <f>'2 REPAIR ESTIMATOR'!AG559</f>
        <v>0</v>
      </c>
      <c r="W524" s="32">
        <f>'2 REPAIR ESTIMATOR'!AJ559</f>
        <v>0</v>
      </c>
    </row>
    <row r="525" spans="3:23" ht="18" hidden="1">
      <c r="C525" s="3720" t="str">
        <f>T('2 REPAIR ESTIMATOR'!D560:O560)</f>
        <v/>
      </c>
      <c r="D525" s="3721"/>
      <c r="E525" s="3721"/>
      <c r="F525" s="3721"/>
      <c r="G525" s="3721"/>
      <c r="H525" s="3721"/>
      <c r="I525" s="916">
        <f>'2 REPAIR ESTIMATOR'!P560</f>
        <v>0</v>
      </c>
      <c r="J525" s="917">
        <f>'2 REPAIR ESTIMATOR'!S560</f>
        <v>0</v>
      </c>
      <c r="K525" s="918">
        <f t="shared" si="75"/>
        <v>0</v>
      </c>
      <c r="L525" s="918">
        <f t="shared" si="76"/>
        <v>0</v>
      </c>
      <c r="M525" s="918">
        <f t="shared" si="77"/>
        <v>0</v>
      </c>
      <c r="N525" s="3719">
        <f t="shared" si="78"/>
        <v>0</v>
      </c>
      <c r="O525" s="3719"/>
      <c r="P525" s="490">
        <f t="shared" ref="P525:P542" si="81">I525</f>
        <v>0</v>
      </c>
      <c r="S525" s="32">
        <f>'2 REPAIR ESTIMATOR'!AD560</f>
        <v>0</v>
      </c>
      <c r="T525" s="32">
        <f>'2 REPAIR ESTIMATOR'!AM560</f>
        <v>0</v>
      </c>
      <c r="U525" s="32">
        <f t="shared" si="79"/>
        <v>0</v>
      </c>
      <c r="V525" s="32">
        <f>'2 REPAIR ESTIMATOR'!AG560</f>
        <v>0</v>
      </c>
      <c r="W525" s="32">
        <f>'2 REPAIR ESTIMATOR'!AJ560</f>
        <v>0</v>
      </c>
    </row>
    <row r="526" spans="3:23" ht="18" hidden="1">
      <c r="C526" s="3720" t="str">
        <f>T('2 REPAIR ESTIMATOR'!D561:O561)</f>
        <v/>
      </c>
      <c r="D526" s="3721"/>
      <c r="E526" s="3721"/>
      <c r="F526" s="3721"/>
      <c r="G526" s="3721"/>
      <c r="H526" s="3721"/>
      <c r="I526" s="916">
        <f>'2 REPAIR ESTIMATOR'!P561</f>
        <v>0</v>
      </c>
      <c r="J526" s="917">
        <f>'2 REPAIR ESTIMATOR'!S561</f>
        <v>0</v>
      </c>
      <c r="K526" s="918">
        <f t="shared" si="75"/>
        <v>0</v>
      </c>
      <c r="L526" s="918">
        <f t="shared" si="76"/>
        <v>0</v>
      </c>
      <c r="M526" s="918">
        <f t="shared" si="77"/>
        <v>0</v>
      </c>
      <c r="N526" s="3719">
        <f t="shared" si="78"/>
        <v>0</v>
      </c>
      <c r="O526" s="3719"/>
      <c r="P526" s="490">
        <f t="shared" si="81"/>
        <v>0</v>
      </c>
      <c r="S526" s="32">
        <f>'2 REPAIR ESTIMATOR'!AD561</f>
        <v>0</v>
      </c>
      <c r="T526" s="32">
        <f>'2 REPAIR ESTIMATOR'!AM561</f>
        <v>0</v>
      </c>
      <c r="U526" s="32">
        <f t="shared" si="79"/>
        <v>0</v>
      </c>
      <c r="V526" s="32">
        <f>'2 REPAIR ESTIMATOR'!AG561</f>
        <v>0</v>
      </c>
      <c r="W526" s="32">
        <f>'2 REPAIR ESTIMATOR'!AJ561</f>
        <v>0</v>
      </c>
    </row>
    <row r="527" spans="3:23" ht="18" hidden="1">
      <c r="C527" s="3720" t="str">
        <f>T('2 REPAIR ESTIMATOR'!D562:O562)</f>
        <v/>
      </c>
      <c r="D527" s="3721"/>
      <c r="E527" s="3721"/>
      <c r="F527" s="3721"/>
      <c r="G527" s="3721"/>
      <c r="H527" s="3721"/>
      <c r="I527" s="916">
        <f>'2 REPAIR ESTIMATOR'!P562</f>
        <v>0</v>
      </c>
      <c r="J527" s="917">
        <f>'2 REPAIR ESTIMATOR'!S562</f>
        <v>0</v>
      </c>
      <c r="K527" s="918">
        <f t="shared" si="75"/>
        <v>0</v>
      </c>
      <c r="L527" s="918">
        <f t="shared" si="76"/>
        <v>0</v>
      </c>
      <c r="M527" s="918">
        <f t="shared" si="77"/>
        <v>0</v>
      </c>
      <c r="N527" s="3719">
        <f t="shared" si="78"/>
        <v>0</v>
      </c>
      <c r="O527" s="3719"/>
      <c r="P527" s="490">
        <f t="shared" si="81"/>
        <v>0</v>
      </c>
      <c r="S527" s="32">
        <f>'2 REPAIR ESTIMATOR'!AD562</f>
        <v>0</v>
      </c>
      <c r="T527" s="32">
        <f>'2 REPAIR ESTIMATOR'!AM562</f>
        <v>0</v>
      </c>
      <c r="U527" s="32">
        <f t="shared" si="79"/>
        <v>0</v>
      </c>
      <c r="V527" s="32">
        <f>'2 REPAIR ESTIMATOR'!AG562</f>
        <v>0</v>
      </c>
      <c r="W527" s="32">
        <f>'2 REPAIR ESTIMATOR'!AJ562</f>
        <v>0</v>
      </c>
    </row>
    <row r="528" spans="3:23" ht="18" hidden="1">
      <c r="C528" s="3720" t="str">
        <f>T('2 REPAIR ESTIMATOR'!D563:O563)</f>
        <v/>
      </c>
      <c r="D528" s="3721"/>
      <c r="E528" s="3721"/>
      <c r="F528" s="3721"/>
      <c r="G528" s="3721"/>
      <c r="H528" s="3721"/>
      <c r="I528" s="916">
        <f>'2 REPAIR ESTIMATOR'!P563</f>
        <v>0</v>
      </c>
      <c r="J528" s="917">
        <f>'2 REPAIR ESTIMATOR'!S563</f>
        <v>0</v>
      </c>
      <c r="K528" s="918">
        <f t="shared" si="75"/>
        <v>0</v>
      </c>
      <c r="L528" s="918">
        <f t="shared" si="76"/>
        <v>0</v>
      </c>
      <c r="M528" s="918">
        <f t="shared" si="77"/>
        <v>0</v>
      </c>
      <c r="N528" s="3719">
        <f t="shared" si="78"/>
        <v>0</v>
      </c>
      <c r="O528" s="3719"/>
      <c r="P528" s="490">
        <f t="shared" si="81"/>
        <v>0</v>
      </c>
      <c r="S528" s="32">
        <f>'2 REPAIR ESTIMATOR'!AD563</f>
        <v>0</v>
      </c>
      <c r="T528" s="32">
        <f>'2 REPAIR ESTIMATOR'!AM563</f>
        <v>0</v>
      </c>
      <c r="U528" s="32">
        <f t="shared" si="79"/>
        <v>0</v>
      </c>
      <c r="V528" s="32">
        <f>'2 REPAIR ESTIMATOR'!AG563</f>
        <v>0</v>
      </c>
      <c r="W528" s="32">
        <f>'2 REPAIR ESTIMATOR'!AJ563</f>
        <v>0</v>
      </c>
    </row>
    <row r="529" spans="3:23" ht="18" hidden="1">
      <c r="C529" s="3720" t="str">
        <f>T('2 REPAIR ESTIMATOR'!D564:O564)</f>
        <v/>
      </c>
      <c r="D529" s="3721"/>
      <c r="E529" s="3721"/>
      <c r="F529" s="3721"/>
      <c r="G529" s="3721"/>
      <c r="H529" s="3721"/>
      <c r="I529" s="916">
        <f>'2 REPAIR ESTIMATOR'!P564</f>
        <v>0</v>
      </c>
      <c r="J529" s="917">
        <f>'2 REPAIR ESTIMATOR'!S564</f>
        <v>0</v>
      </c>
      <c r="K529" s="918">
        <f t="shared" si="75"/>
        <v>0</v>
      </c>
      <c r="L529" s="918">
        <f t="shared" si="76"/>
        <v>0</v>
      </c>
      <c r="M529" s="918">
        <f t="shared" si="77"/>
        <v>0</v>
      </c>
      <c r="N529" s="3719">
        <f t="shared" si="78"/>
        <v>0</v>
      </c>
      <c r="O529" s="3719"/>
      <c r="P529" s="490">
        <f t="shared" si="81"/>
        <v>0</v>
      </c>
      <c r="S529" s="32">
        <f>'2 REPAIR ESTIMATOR'!AD564</f>
        <v>0</v>
      </c>
      <c r="T529" s="32">
        <f>'2 REPAIR ESTIMATOR'!AM564</f>
        <v>0</v>
      </c>
      <c r="U529" s="32">
        <f t="shared" si="79"/>
        <v>0</v>
      </c>
      <c r="V529" s="32">
        <f>'2 REPAIR ESTIMATOR'!AG564</f>
        <v>0</v>
      </c>
      <c r="W529" s="32">
        <f>'2 REPAIR ESTIMATOR'!AJ564</f>
        <v>0</v>
      </c>
    </row>
    <row r="530" spans="3:23" ht="18" hidden="1">
      <c r="C530" s="3720" t="str">
        <f>T('2 REPAIR ESTIMATOR'!D565:O565)</f>
        <v/>
      </c>
      <c r="D530" s="3721"/>
      <c r="E530" s="3721"/>
      <c r="F530" s="3721"/>
      <c r="G530" s="3721"/>
      <c r="H530" s="3721"/>
      <c r="I530" s="916">
        <f>'2 REPAIR ESTIMATOR'!P565</f>
        <v>0</v>
      </c>
      <c r="J530" s="917">
        <f>'2 REPAIR ESTIMATOR'!S565</f>
        <v>0</v>
      </c>
      <c r="K530" s="918">
        <f t="shared" si="75"/>
        <v>0</v>
      </c>
      <c r="L530" s="918">
        <f t="shared" si="76"/>
        <v>0</v>
      </c>
      <c r="M530" s="918">
        <f t="shared" si="77"/>
        <v>0</v>
      </c>
      <c r="N530" s="3719">
        <f t="shared" si="78"/>
        <v>0</v>
      </c>
      <c r="O530" s="3719"/>
      <c r="P530" s="490">
        <f t="shared" si="81"/>
        <v>0</v>
      </c>
      <c r="S530" s="32">
        <f>'2 REPAIR ESTIMATOR'!AD565</f>
        <v>0</v>
      </c>
      <c r="T530" s="32">
        <f>'2 REPAIR ESTIMATOR'!AM565</f>
        <v>0</v>
      </c>
      <c r="U530" s="32">
        <f t="shared" si="79"/>
        <v>0</v>
      </c>
      <c r="V530" s="32">
        <f>'2 REPAIR ESTIMATOR'!AG565</f>
        <v>0</v>
      </c>
      <c r="W530" s="32">
        <f>'2 REPAIR ESTIMATOR'!AJ565</f>
        <v>0</v>
      </c>
    </row>
    <row r="531" spans="3:23" ht="18" hidden="1">
      <c r="C531" s="3720" t="str">
        <f>T('2 REPAIR ESTIMATOR'!D566:O566)</f>
        <v/>
      </c>
      <c r="D531" s="3721"/>
      <c r="E531" s="3721"/>
      <c r="F531" s="3721"/>
      <c r="G531" s="3721"/>
      <c r="H531" s="3721"/>
      <c r="I531" s="916">
        <f>'2 REPAIR ESTIMATOR'!P566</f>
        <v>0</v>
      </c>
      <c r="J531" s="917">
        <f>'2 REPAIR ESTIMATOR'!S566</f>
        <v>0</v>
      </c>
      <c r="K531" s="918">
        <f t="shared" si="75"/>
        <v>0</v>
      </c>
      <c r="L531" s="918">
        <f t="shared" si="76"/>
        <v>0</v>
      </c>
      <c r="M531" s="918">
        <f t="shared" si="77"/>
        <v>0</v>
      </c>
      <c r="N531" s="3719">
        <f t="shared" si="78"/>
        <v>0</v>
      </c>
      <c r="O531" s="3719"/>
      <c r="P531" s="490">
        <f t="shared" si="81"/>
        <v>0</v>
      </c>
      <c r="S531" s="32">
        <f>'2 REPAIR ESTIMATOR'!AD566</f>
        <v>0</v>
      </c>
      <c r="T531" s="32">
        <f>'2 REPAIR ESTIMATOR'!AM566</f>
        <v>0</v>
      </c>
      <c r="U531" s="32">
        <f t="shared" si="79"/>
        <v>0</v>
      </c>
      <c r="V531" s="32">
        <f>'2 REPAIR ESTIMATOR'!AG566</f>
        <v>0</v>
      </c>
      <c r="W531" s="32">
        <f>'2 REPAIR ESTIMATOR'!AJ566</f>
        <v>0</v>
      </c>
    </row>
    <row r="532" spans="3:23" ht="18" hidden="1">
      <c r="C532" s="3720" t="str">
        <f>T('2 REPAIR ESTIMATOR'!D567:O567)</f>
        <v/>
      </c>
      <c r="D532" s="3721"/>
      <c r="E532" s="3721"/>
      <c r="F532" s="3721"/>
      <c r="G532" s="3721"/>
      <c r="H532" s="3721"/>
      <c r="I532" s="916">
        <f>'2 REPAIR ESTIMATOR'!P567</f>
        <v>0</v>
      </c>
      <c r="J532" s="917">
        <f>'2 REPAIR ESTIMATOR'!S567</f>
        <v>0</v>
      </c>
      <c r="K532" s="918">
        <f t="shared" si="75"/>
        <v>0</v>
      </c>
      <c r="L532" s="918">
        <f t="shared" si="76"/>
        <v>0</v>
      </c>
      <c r="M532" s="918">
        <f t="shared" si="77"/>
        <v>0</v>
      </c>
      <c r="N532" s="3719">
        <f t="shared" si="78"/>
        <v>0</v>
      </c>
      <c r="O532" s="3719"/>
      <c r="P532" s="490">
        <f t="shared" si="81"/>
        <v>0</v>
      </c>
      <c r="S532" s="32">
        <f>'2 REPAIR ESTIMATOR'!AD567</f>
        <v>0</v>
      </c>
      <c r="T532" s="32">
        <f>'2 REPAIR ESTIMATOR'!AM567</f>
        <v>0</v>
      </c>
      <c r="U532" s="32">
        <f t="shared" si="79"/>
        <v>0</v>
      </c>
      <c r="V532" s="32">
        <f>'2 REPAIR ESTIMATOR'!AG567</f>
        <v>0</v>
      </c>
      <c r="W532" s="32">
        <f>'2 REPAIR ESTIMATOR'!AJ567</f>
        <v>0</v>
      </c>
    </row>
    <row r="533" spans="3:23" ht="18" hidden="1">
      <c r="C533" s="3720" t="str">
        <f>T('2 REPAIR ESTIMATOR'!D568:O568)</f>
        <v/>
      </c>
      <c r="D533" s="3721"/>
      <c r="E533" s="3721"/>
      <c r="F533" s="3721"/>
      <c r="G533" s="3721"/>
      <c r="H533" s="3721"/>
      <c r="I533" s="916">
        <f>'2 REPAIR ESTIMATOR'!P568</f>
        <v>0</v>
      </c>
      <c r="J533" s="917">
        <f>'2 REPAIR ESTIMATOR'!S568</f>
        <v>0</v>
      </c>
      <c r="K533" s="918">
        <f t="shared" si="75"/>
        <v>0</v>
      </c>
      <c r="L533" s="918">
        <f t="shared" si="76"/>
        <v>0</v>
      </c>
      <c r="M533" s="918">
        <f t="shared" si="77"/>
        <v>0</v>
      </c>
      <c r="N533" s="3719">
        <f t="shared" si="78"/>
        <v>0</v>
      </c>
      <c r="O533" s="3719"/>
      <c r="P533" s="490">
        <f t="shared" si="81"/>
        <v>0</v>
      </c>
      <c r="S533" s="32">
        <f>'2 REPAIR ESTIMATOR'!AD568</f>
        <v>0</v>
      </c>
      <c r="T533" s="32">
        <f>'2 REPAIR ESTIMATOR'!AM568</f>
        <v>0</v>
      </c>
      <c r="U533" s="32">
        <f t="shared" si="79"/>
        <v>0</v>
      </c>
      <c r="V533" s="32">
        <f>'2 REPAIR ESTIMATOR'!AG568</f>
        <v>0</v>
      </c>
      <c r="W533" s="32">
        <f>'2 REPAIR ESTIMATOR'!AJ568</f>
        <v>0</v>
      </c>
    </row>
    <row r="534" spans="3:23" ht="18" hidden="1">
      <c r="C534" s="3720" t="str">
        <f>T('2 REPAIR ESTIMATOR'!D569:O569)</f>
        <v/>
      </c>
      <c r="D534" s="3721"/>
      <c r="E534" s="3721"/>
      <c r="F534" s="3721"/>
      <c r="G534" s="3721"/>
      <c r="H534" s="3721"/>
      <c r="I534" s="916">
        <f>'2 REPAIR ESTIMATOR'!P569</f>
        <v>0</v>
      </c>
      <c r="J534" s="917">
        <f>'2 REPAIR ESTIMATOR'!S569</f>
        <v>0</v>
      </c>
      <c r="K534" s="918">
        <f t="shared" si="75"/>
        <v>0</v>
      </c>
      <c r="L534" s="918">
        <f t="shared" si="76"/>
        <v>0</v>
      </c>
      <c r="M534" s="918">
        <f t="shared" si="77"/>
        <v>0</v>
      </c>
      <c r="N534" s="3719">
        <f t="shared" si="78"/>
        <v>0</v>
      </c>
      <c r="O534" s="3719"/>
      <c r="P534" s="490">
        <f t="shared" si="81"/>
        <v>0</v>
      </c>
      <c r="S534" s="32">
        <f>'2 REPAIR ESTIMATOR'!AD569</f>
        <v>0</v>
      </c>
      <c r="T534" s="32">
        <f>'2 REPAIR ESTIMATOR'!AM569</f>
        <v>0</v>
      </c>
      <c r="U534" s="32">
        <f t="shared" si="79"/>
        <v>0</v>
      </c>
      <c r="V534" s="32">
        <f>'2 REPAIR ESTIMATOR'!AG569</f>
        <v>0</v>
      </c>
      <c r="W534" s="32">
        <f>'2 REPAIR ESTIMATOR'!AJ569</f>
        <v>0</v>
      </c>
    </row>
    <row r="535" spans="3:23" ht="18" hidden="1">
      <c r="C535" s="3720" t="str">
        <f>T('2 REPAIR ESTIMATOR'!D570:O570)</f>
        <v/>
      </c>
      <c r="D535" s="3721"/>
      <c r="E535" s="3721"/>
      <c r="F535" s="3721"/>
      <c r="G535" s="3721"/>
      <c r="H535" s="3721"/>
      <c r="I535" s="916">
        <f>'2 REPAIR ESTIMATOR'!P570</f>
        <v>0</v>
      </c>
      <c r="J535" s="917">
        <f>'2 REPAIR ESTIMATOR'!S570</f>
        <v>0</v>
      </c>
      <c r="K535" s="918">
        <f t="shared" si="75"/>
        <v>0</v>
      </c>
      <c r="L535" s="918">
        <f t="shared" si="76"/>
        <v>0</v>
      </c>
      <c r="M535" s="918">
        <f t="shared" si="77"/>
        <v>0</v>
      </c>
      <c r="N535" s="3719">
        <f t="shared" si="78"/>
        <v>0</v>
      </c>
      <c r="O535" s="3719"/>
      <c r="P535" s="490">
        <f t="shared" si="81"/>
        <v>0</v>
      </c>
      <c r="S535" s="32">
        <f>'2 REPAIR ESTIMATOR'!AD570</f>
        <v>0</v>
      </c>
      <c r="T535" s="32">
        <f>'2 REPAIR ESTIMATOR'!AM570</f>
        <v>0</v>
      </c>
      <c r="U535" s="32">
        <f t="shared" si="79"/>
        <v>0</v>
      </c>
      <c r="V535" s="32">
        <f>'2 REPAIR ESTIMATOR'!AG570</f>
        <v>0</v>
      </c>
      <c r="W535" s="32">
        <f>'2 REPAIR ESTIMATOR'!AJ570</f>
        <v>0</v>
      </c>
    </row>
    <row r="536" spans="3:23" ht="18" hidden="1">
      <c r="C536" s="3720" t="str">
        <f>T('2 REPAIR ESTIMATOR'!D571:O571)</f>
        <v/>
      </c>
      <c r="D536" s="3721"/>
      <c r="E536" s="3721"/>
      <c r="F536" s="3721"/>
      <c r="G536" s="3721"/>
      <c r="H536" s="3721"/>
      <c r="I536" s="916">
        <f>'2 REPAIR ESTIMATOR'!P571</f>
        <v>0</v>
      </c>
      <c r="J536" s="917">
        <f>'2 REPAIR ESTIMATOR'!S571</f>
        <v>0</v>
      </c>
      <c r="K536" s="918">
        <f t="shared" si="75"/>
        <v>0</v>
      </c>
      <c r="L536" s="918">
        <f t="shared" si="76"/>
        <v>0</v>
      </c>
      <c r="M536" s="918">
        <f t="shared" si="77"/>
        <v>0</v>
      </c>
      <c r="N536" s="3719">
        <f t="shared" si="78"/>
        <v>0</v>
      </c>
      <c r="O536" s="3719"/>
      <c r="P536" s="490">
        <f t="shared" si="81"/>
        <v>0</v>
      </c>
      <c r="S536" s="32">
        <f>'2 REPAIR ESTIMATOR'!AD571</f>
        <v>0</v>
      </c>
      <c r="T536" s="32">
        <f>'2 REPAIR ESTIMATOR'!AM571</f>
        <v>0</v>
      </c>
      <c r="U536" s="32">
        <f t="shared" si="79"/>
        <v>0</v>
      </c>
      <c r="V536" s="32">
        <f>'2 REPAIR ESTIMATOR'!AG571</f>
        <v>0</v>
      </c>
      <c r="W536" s="32">
        <f>'2 REPAIR ESTIMATOR'!AJ571</f>
        <v>0</v>
      </c>
    </row>
    <row r="537" spans="3:23" ht="18" hidden="1">
      <c r="C537" s="3720" t="str">
        <f>T('2 REPAIR ESTIMATOR'!D572:O572)</f>
        <v/>
      </c>
      <c r="D537" s="3721"/>
      <c r="E537" s="3721"/>
      <c r="F537" s="3721"/>
      <c r="G537" s="3721"/>
      <c r="H537" s="3721"/>
      <c r="I537" s="916">
        <f>'2 REPAIR ESTIMATOR'!P572</f>
        <v>0</v>
      </c>
      <c r="J537" s="917">
        <f>'2 REPAIR ESTIMATOR'!S572</f>
        <v>0</v>
      </c>
      <c r="K537" s="918">
        <f t="shared" si="75"/>
        <v>0</v>
      </c>
      <c r="L537" s="918">
        <f t="shared" si="76"/>
        <v>0</v>
      </c>
      <c r="M537" s="918">
        <f t="shared" si="77"/>
        <v>0</v>
      </c>
      <c r="N537" s="3719">
        <f t="shared" si="78"/>
        <v>0</v>
      </c>
      <c r="O537" s="3719"/>
      <c r="P537" s="490">
        <f t="shared" si="81"/>
        <v>0</v>
      </c>
      <c r="S537" s="32">
        <f>'2 REPAIR ESTIMATOR'!AD572</f>
        <v>0</v>
      </c>
      <c r="T537" s="32">
        <f>'2 REPAIR ESTIMATOR'!AM572</f>
        <v>0</v>
      </c>
      <c r="U537" s="32">
        <f t="shared" si="79"/>
        <v>0</v>
      </c>
      <c r="V537" s="32">
        <f>'2 REPAIR ESTIMATOR'!AG572</f>
        <v>0</v>
      </c>
      <c r="W537" s="32">
        <f>'2 REPAIR ESTIMATOR'!AJ572</f>
        <v>0</v>
      </c>
    </row>
    <row r="538" spans="3:23" ht="18" hidden="1">
      <c r="C538" s="3720" t="str">
        <f>T('2 REPAIR ESTIMATOR'!D573:O573)</f>
        <v/>
      </c>
      <c r="D538" s="3721"/>
      <c r="E538" s="3721"/>
      <c r="F538" s="3721"/>
      <c r="G538" s="3721"/>
      <c r="H538" s="3721"/>
      <c r="I538" s="916">
        <f>'2 REPAIR ESTIMATOR'!P573</f>
        <v>0</v>
      </c>
      <c r="J538" s="917">
        <f>'2 REPAIR ESTIMATOR'!S573</f>
        <v>0</v>
      </c>
      <c r="K538" s="918">
        <f t="shared" si="75"/>
        <v>0</v>
      </c>
      <c r="L538" s="918">
        <f t="shared" si="76"/>
        <v>0</v>
      </c>
      <c r="M538" s="918">
        <f t="shared" si="77"/>
        <v>0</v>
      </c>
      <c r="N538" s="3719">
        <f t="shared" si="78"/>
        <v>0</v>
      </c>
      <c r="O538" s="3719"/>
      <c r="P538" s="490">
        <f t="shared" si="81"/>
        <v>0</v>
      </c>
      <c r="S538" s="32">
        <f>'2 REPAIR ESTIMATOR'!AD573</f>
        <v>0</v>
      </c>
      <c r="T538" s="32">
        <f>'2 REPAIR ESTIMATOR'!AM573</f>
        <v>0</v>
      </c>
      <c r="U538" s="32">
        <f t="shared" si="79"/>
        <v>0</v>
      </c>
      <c r="V538" s="32">
        <f>'2 REPAIR ESTIMATOR'!AG573</f>
        <v>0</v>
      </c>
      <c r="W538" s="32">
        <f>'2 REPAIR ESTIMATOR'!AJ573</f>
        <v>0</v>
      </c>
    </row>
    <row r="539" spans="3:23" ht="18" hidden="1">
      <c r="C539" s="3720" t="str">
        <f>T('2 REPAIR ESTIMATOR'!D574:O574)</f>
        <v/>
      </c>
      <c r="D539" s="3721"/>
      <c r="E539" s="3721"/>
      <c r="F539" s="3721"/>
      <c r="G539" s="3721"/>
      <c r="H539" s="3721"/>
      <c r="I539" s="916">
        <f>'2 REPAIR ESTIMATOR'!P574</f>
        <v>0</v>
      </c>
      <c r="J539" s="917">
        <f>'2 REPAIR ESTIMATOR'!S574</f>
        <v>0</v>
      </c>
      <c r="K539" s="918">
        <f t="shared" si="75"/>
        <v>0</v>
      </c>
      <c r="L539" s="918">
        <f t="shared" si="76"/>
        <v>0</v>
      </c>
      <c r="M539" s="918">
        <f t="shared" si="77"/>
        <v>0</v>
      </c>
      <c r="N539" s="3719">
        <f t="shared" si="78"/>
        <v>0</v>
      </c>
      <c r="O539" s="3719"/>
      <c r="P539" s="490">
        <f t="shared" si="81"/>
        <v>0</v>
      </c>
      <c r="S539" s="32">
        <f>'2 REPAIR ESTIMATOR'!AD574</f>
        <v>0</v>
      </c>
      <c r="T539" s="32">
        <f>'2 REPAIR ESTIMATOR'!AM574</f>
        <v>0</v>
      </c>
      <c r="U539" s="32">
        <f t="shared" si="79"/>
        <v>0</v>
      </c>
      <c r="V539" s="32">
        <f>'2 REPAIR ESTIMATOR'!AG574</f>
        <v>0</v>
      </c>
      <c r="W539" s="32">
        <f>'2 REPAIR ESTIMATOR'!AJ574</f>
        <v>0</v>
      </c>
    </row>
    <row r="540" spans="3:23" ht="18" hidden="1">
      <c r="C540" s="3720" t="str">
        <f>T('2 REPAIR ESTIMATOR'!D575:O575)</f>
        <v/>
      </c>
      <c r="D540" s="3721"/>
      <c r="E540" s="3721"/>
      <c r="F540" s="3721"/>
      <c r="G540" s="3721"/>
      <c r="H540" s="3721"/>
      <c r="I540" s="916">
        <f>'2 REPAIR ESTIMATOR'!P575</f>
        <v>0</v>
      </c>
      <c r="J540" s="917">
        <f>'2 REPAIR ESTIMATOR'!S575</f>
        <v>0</v>
      </c>
      <c r="K540" s="918">
        <f t="shared" si="75"/>
        <v>0</v>
      </c>
      <c r="L540" s="918">
        <f t="shared" si="76"/>
        <v>0</v>
      </c>
      <c r="M540" s="918">
        <f t="shared" si="77"/>
        <v>0</v>
      </c>
      <c r="N540" s="3719">
        <f t="shared" si="78"/>
        <v>0</v>
      </c>
      <c r="O540" s="3719"/>
      <c r="P540" s="490">
        <f t="shared" si="81"/>
        <v>0</v>
      </c>
      <c r="S540" s="32">
        <f>'2 REPAIR ESTIMATOR'!AD575</f>
        <v>0</v>
      </c>
      <c r="T540" s="32">
        <f>'2 REPAIR ESTIMATOR'!AM575</f>
        <v>0</v>
      </c>
      <c r="U540" s="32">
        <f t="shared" si="79"/>
        <v>0</v>
      </c>
      <c r="V540" s="32">
        <f>'2 REPAIR ESTIMATOR'!AG575</f>
        <v>0</v>
      </c>
      <c r="W540" s="32">
        <f>'2 REPAIR ESTIMATOR'!AJ575</f>
        <v>0</v>
      </c>
    </row>
    <row r="541" spans="3:23" ht="18" hidden="1">
      <c r="C541" s="3720" t="str">
        <f>T('2 REPAIR ESTIMATOR'!D576:O576)</f>
        <v/>
      </c>
      <c r="D541" s="3721"/>
      <c r="E541" s="3721"/>
      <c r="F541" s="3721"/>
      <c r="G541" s="3721"/>
      <c r="H541" s="3721"/>
      <c r="I541" s="916">
        <f>'2 REPAIR ESTIMATOR'!P576</f>
        <v>0</v>
      </c>
      <c r="J541" s="917">
        <f>'2 REPAIR ESTIMATOR'!S576</f>
        <v>0</v>
      </c>
      <c r="K541" s="918">
        <f t="shared" si="75"/>
        <v>0</v>
      </c>
      <c r="L541" s="918">
        <f t="shared" si="76"/>
        <v>0</v>
      </c>
      <c r="M541" s="918">
        <f t="shared" si="77"/>
        <v>0</v>
      </c>
      <c r="N541" s="3719">
        <f t="shared" si="78"/>
        <v>0</v>
      </c>
      <c r="O541" s="3719"/>
      <c r="P541" s="490">
        <f t="shared" si="81"/>
        <v>0</v>
      </c>
      <c r="S541" s="32">
        <f>'2 REPAIR ESTIMATOR'!AD576</f>
        <v>0</v>
      </c>
      <c r="T541" s="32">
        <f>'2 REPAIR ESTIMATOR'!AM576</f>
        <v>0</v>
      </c>
      <c r="U541" s="32">
        <f t="shared" si="79"/>
        <v>0</v>
      </c>
      <c r="V541" s="32">
        <f>'2 REPAIR ESTIMATOR'!AG576</f>
        <v>0</v>
      </c>
      <c r="W541" s="32">
        <f>'2 REPAIR ESTIMATOR'!AJ576</f>
        <v>0</v>
      </c>
    </row>
    <row r="542" spans="3:23" ht="18.350000000000001" hidden="1" thickBot="1">
      <c r="C542" s="3779" t="str">
        <f>T('2 REPAIR ESTIMATOR'!D577:O577)</f>
        <v/>
      </c>
      <c r="D542" s="3780"/>
      <c r="E542" s="3780"/>
      <c r="F542" s="3780"/>
      <c r="G542" s="3780"/>
      <c r="H542" s="3780"/>
      <c r="I542" s="919">
        <f>'2 REPAIR ESTIMATOR'!P577</f>
        <v>0</v>
      </c>
      <c r="J542" s="920">
        <f>'2 REPAIR ESTIMATOR'!S577</f>
        <v>0</v>
      </c>
      <c r="K542" s="921">
        <f t="shared" si="75"/>
        <v>0</v>
      </c>
      <c r="L542" s="921">
        <f t="shared" si="76"/>
        <v>0</v>
      </c>
      <c r="M542" s="921">
        <f t="shared" si="77"/>
        <v>0</v>
      </c>
      <c r="N542" s="3781">
        <f t="shared" si="78"/>
        <v>0</v>
      </c>
      <c r="O542" s="3781"/>
      <c r="P542" s="490">
        <f t="shared" si="81"/>
        <v>0</v>
      </c>
      <c r="S542" s="32">
        <f>'2 REPAIR ESTIMATOR'!AD577</f>
        <v>0</v>
      </c>
      <c r="T542" s="32">
        <f>'2 REPAIR ESTIMATOR'!AM577</f>
        <v>0</v>
      </c>
      <c r="U542" s="32">
        <f t="shared" si="79"/>
        <v>0</v>
      </c>
      <c r="V542" s="32">
        <f>'2 REPAIR ESTIMATOR'!AG577</f>
        <v>0</v>
      </c>
      <c r="W542" s="32">
        <f>'2 REPAIR ESTIMATOR'!AJ577</f>
        <v>0</v>
      </c>
    </row>
    <row r="543" spans="3:23" ht="18.350000000000001" hidden="1" thickBot="1">
      <c r="C543" s="3723" t="str">
        <f>T('2 REPAIR ESTIMATOR'!AC579)</f>
        <v>LANDSCAPING TOTAL</v>
      </c>
      <c r="D543" s="3724"/>
      <c r="E543" s="3724"/>
      <c r="F543" s="3724"/>
      <c r="G543" s="3724"/>
      <c r="H543" s="3724"/>
      <c r="I543" s="3724"/>
      <c r="J543" s="3724"/>
      <c r="K543" s="922">
        <f>SUM(K503:K542)</f>
        <v>0</v>
      </c>
      <c r="L543" s="922">
        <f>SUM(L503:L542)</f>
        <v>0</v>
      </c>
      <c r="M543" s="922">
        <f>SUM(M503:M542)</f>
        <v>0</v>
      </c>
      <c r="N543" s="3789">
        <f>SUM(N503:O542)</f>
        <v>0</v>
      </c>
      <c r="O543" s="3789"/>
      <c r="P543" s="489">
        <f>SUM(P502:P515)</f>
        <v>0</v>
      </c>
      <c r="S543" s="33">
        <f>SUM(S503:S542)</f>
        <v>0</v>
      </c>
      <c r="T543" s="33">
        <f>SUM(T503:T542)</f>
        <v>0</v>
      </c>
      <c r="U543" s="33">
        <f>SUM(U503:U542)</f>
        <v>0</v>
      </c>
      <c r="V543" s="33">
        <f>SUM(V503:V542)</f>
        <v>0</v>
      </c>
      <c r="W543" s="33">
        <f>SUM(W503:W542)</f>
        <v>0</v>
      </c>
    </row>
    <row r="544" spans="3:23" ht="8.85" hidden="1" customHeight="1">
      <c r="C544" s="841"/>
      <c r="D544" s="841"/>
      <c r="E544" s="841"/>
      <c r="F544" s="841"/>
      <c r="G544" s="841"/>
      <c r="H544" s="841"/>
      <c r="I544" s="842"/>
      <c r="J544" s="842"/>
      <c r="K544" s="842"/>
      <c r="L544" s="842"/>
      <c r="M544" s="842"/>
      <c r="N544" s="843"/>
      <c r="O544" s="798"/>
      <c r="P544" s="489">
        <f>P543</f>
        <v>0</v>
      </c>
    </row>
    <row r="545" spans="3:23" ht="21" hidden="1" customHeight="1" thickBot="1">
      <c r="C545" s="3782" t="str">
        <f>T('2 REPAIR ESTIMATOR'!D582:O582)</f>
        <v>MISC. EXTERIOR ITEMS</v>
      </c>
      <c r="D545" s="3783"/>
      <c r="E545" s="3783"/>
      <c r="F545" s="3783"/>
      <c r="G545" s="3783"/>
      <c r="H545" s="3783"/>
      <c r="I545" s="799">
        <f>SUM(I546:I585)</f>
        <v>0</v>
      </c>
      <c r="J545" s="800"/>
      <c r="K545" s="850"/>
      <c r="L545" s="850"/>
      <c r="M545" s="850"/>
      <c r="N545" s="3722"/>
      <c r="O545" s="3722"/>
      <c r="P545" s="489">
        <f t="shared" si="80"/>
        <v>0</v>
      </c>
      <c r="S545" s="34"/>
      <c r="T545" s="34"/>
      <c r="U545" s="34"/>
      <c r="V545" s="34"/>
      <c r="W545" s="34"/>
    </row>
    <row r="546" spans="3:23" ht="18" hidden="1">
      <c r="C546" s="3720" t="str">
        <f>T('2 REPAIR ESTIMATOR'!D583:O583)</f>
        <v>Misc. Ext Improvements bid/allowance</v>
      </c>
      <c r="D546" s="3721"/>
      <c r="E546" s="3721"/>
      <c r="F546" s="3721"/>
      <c r="G546" s="3721"/>
      <c r="H546" s="3721"/>
      <c r="I546" s="916">
        <f>'2 REPAIR ESTIMATOR'!P583</f>
        <v>0</v>
      </c>
      <c r="J546" s="917" t="str">
        <f>'2 REPAIR ESTIMATOR'!S583</f>
        <v>ls</v>
      </c>
      <c r="K546" s="918">
        <f t="shared" ref="K546:K585" si="82">IF($N$3="subbed",U546,S546)*$S$70</f>
        <v>0</v>
      </c>
      <c r="L546" s="918">
        <f>V546*$S$70</f>
        <v>0</v>
      </c>
      <c r="M546" s="918">
        <f>W546*$S$70</f>
        <v>0</v>
      </c>
      <c r="N546" s="3719">
        <f>SUM(K546:M546)</f>
        <v>0</v>
      </c>
      <c r="O546" s="3719"/>
      <c r="P546" s="490">
        <f t="shared" si="80"/>
        <v>0</v>
      </c>
      <c r="S546" s="32">
        <f>'2 REPAIR ESTIMATOR'!AD583</f>
        <v>0</v>
      </c>
      <c r="T546" s="32">
        <f>'2 REPAIR ESTIMATOR'!AM583</f>
        <v>0</v>
      </c>
      <c r="U546" s="32">
        <f>T546+S546</f>
        <v>0</v>
      </c>
      <c r="V546" s="32">
        <f>'2 REPAIR ESTIMATOR'!AG583</f>
        <v>0</v>
      </c>
      <c r="W546" s="32">
        <f>'2 REPAIR ESTIMATOR'!AJ583</f>
        <v>0</v>
      </c>
    </row>
    <row r="547" spans="3:23" ht="18" hidden="1">
      <c r="C547" s="3787" t="str">
        <f>T('2 REPAIR ESTIMATOR'!D584:O584)</f>
        <v>Miscellaneous Improvements</v>
      </c>
      <c r="D547" s="3788"/>
      <c r="E547" s="3788"/>
      <c r="F547" s="3788"/>
      <c r="G547" s="3788"/>
      <c r="H547" s="3788"/>
      <c r="I547" s="916">
        <f>'2 REPAIR ESTIMATOR'!P584</f>
        <v>0</v>
      </c>
      <c r="J547" s="917">
        <f>'2 REPAIR ESTIMATOR'!S584</f>
        <v>0</v>
      </c>
      <c r="K547" s="918">
        <f t="shared" si="82"/>
        <v>0</v>
      </c>
      <c r="L547" s="918">
        <f t="shared" ref="L547:L585" si="83">V547*$S$70</f>
        <v>0</v>
      </c>
      <c r="M547" s="918">
        <f t="shared" ref="M547:M585" si="84">W547*$S$70</f>
        <v>0</v>
      </c>
      <c r="N547" s="3719">
        <f t="shared" ref="N547:N585" si="85">SUM(K547:M547)</f>
        <v>0</v>
      </c>
      <c r="O547" s="3719"/>
      <c r="P547" s="490">
        <f t="shared" si="80"/>
        <v>0</v>
      </c>
      <c r="S547" s="32">
        <f>'2 REPAIR ESTIMATOR'!AD584</f>
        <v>0</v>
      </c>
      <c r="T547" s="32">
        <f>'2 REPAIR ESTIMATOR'!AM584</f>
        <v>0</v>
      </c>
      <c r="U547" s="32">
        <f t="shared" ref="U547:U585" si="86">T547+S547</f>
        <v>0</v>
      </c>
      <c r="V547" s="32">
        <f>'2 REPAIR ESTIMATOR'!AG584</f>
        <v>0</v>
      </c>
      <c r="W547" s="32">
        <f>'2 REPAIR ESTIMATOR'!AJ584</f>
        <v>0</v>
      </c>
    </row>
    <row r="548" spans="3:23" ht="18" hidden="1">
      <c r="C548" s="3720" t="str">
        <f>T('2 REPAIR ESTIMATOR'!D585:O585)</f>
        <v>New mailbox</v>
      </c>
      <c r="D548" s="3721"/>
      <c r="E548" s="3721"/>
      <c r="F548" s="3721"/>
      <c r="G548" s="3721"/>
      <c r="H548" s="3721"/>
      <c r="I548" s="916">
        <f>'2 REPAIR ESTIMATOR'!P585</f>
        <v>0</v>
      </c>
      <c r="J548" s="917" t="str">
        <f>'2 REPAIR ESTIMATOR'!S585</f>
        <v>ea</v>
      </c>
      <c r="K548" s="918">
        <f t="shared" si="82"/>
        <v>0</v>
      </c>
      <c r="L548" s="918">
        <f t="shared" si="83"/>
        <v>0</v>
      </c>
      <c r="M548" s="918">
        <f t="shared" si="84"/>
        <v>0</v>
      </c>
      <c r="N548" s="3719">
        <f t="shared" si="85"/>
        <v>0</v>
      </c>
      <c r="O548" s="3719"/>
      <c r="P548" s="489">
        <f t="shared" si="80"/>
        <v>0</v>
      </c>
      <c r="S548" s="32">
        <f>'2 REPAIR ESTIMATOR'!AD585</f>
        <v>0</v>
      </c>
      <c r="T548" s="32">
        <f>'2 REPAIR ESTIMATOR'!AM585</f>
        <v>0</v>
      </c>
      <c r="U548" s="32">
        <f t="shared" si="86"/>
        <v>0</v>
      </c>
      <c r="V548" s="32">
        <f>'2 REPAIR ESTIMATOR'!AG585</f>
        <v>0</v>
      </c>
      <c r="W548" s="32">
        <f>'2 REPAIR ESTIMATOR'!AJ585</f>
        <v>0</v>
      </c>
    </row>
    <row r="549" spans="3:23" ht="18" hidden="1">
      <c r="C549" s="3720" t="str">
        <f>T('2 REPAIR ESTIMATOR'!D586:O586)</f>
        <v>New address #</v>
      </c>
      <c r="D549" s="3721"/>
      <c r="E549" s="3721"/>
      <c r="F549" s="3721"/>
      <c r="G549" s="3721"/>
      <c r="H549" s="3721"/>
      <c r="I549" s="916">
        <f>'2 REPAIR ESTIMATOR'!P586</f>
        <v>0</v>
      </c>
      <c r="J549" s="917" t="str">
        <f>'2 REPAIR ESTIMATOR'!S586</f>
        <v>ea</v>
      </c>
      <c r="K549" s="918">
        <f t="shared" si="82"/>
        <v>0</v>
      </c>
      <c r="L549" s="918">
        <f t="shared" si="83"/>
        <v>0</v>
      </c>
      <c r="M549" s="918">
        <f t="shared" si="84"/>
        <v>0</v>
      </c>
      <c r="N549" s="3719">
        <f t="shared" si="85"/>
        <v>0</v>
      </c>
      <c r="O549" s="3719"/>
      <c r="P549" s="489">
        <f t="shared" si="80"/>
        <v>0</v>
      </c>
      <c r="S549" s="32">
        <f>'2 REPAIR ESTIMATOR'!AD586</f>
        <v>0</v>
      </c>
      <c r="T549" s="32">
        <f>'2 REPAIR ESTIMATOR'!AM586</f>
        <v>0</v>
      </c>
      <c r="U549" s="32">
        <f t="shared" si="86"/>
        <v>0</v>
      </c>
      <c r="V549" s="32">
        <f>'2 REPAIR ESTIMATOR'!AG586</f>
        <v>0</v>
      </c>
      <c r="W549" s="32">
        <f>'2 REPAIR ESTIMATOR'!AJ586</f>
        <v>0</v>
      </c>
    </row>
    <row r="550" spans="3:23" ht="18" hidden="1">
      <c r="C550" s="3720" t="str">
        <f>T('2 REPAIR ESTIMATOR'!D587:O587)</f>
        <v>Shutters</v>
      </c>
      <c r="D550" s="3721"/>
      <c r="E550" s="3721"/>
      <c r="F550" s="3721"/>
      <c r="G550" s="3721"/>
      <c r="H550" s="3721"/>
      <c r="I550" s="916">
        <f>'2 REPAIR ESTIMATOR'!P587</f>
        <v>0</v>
      </c>
      <c r="J550" s="917" t="str">
        <f>'2 REPAIR ESTIMATOR'!S587</f>
        <v>ea</v>
      </c>
      <c r="K550" s="918">
        <f t="shared" si="82"/>
        <v>0</v>
      </c>
      <c r="L550" s="918">
        <f t="shared" si="83"/>
        <v>0</v>
      </c>
      <c r="M550" s="918">
        <f t="shared" si="84"/>
        <v>0</v>
      </c>
      <c r="N550" s="3719">
        <f t="shared" si="85"/>
        <v>0</v>
      </c>
      <c r="O550" s="3719"/>
      <c r="P550" s="490">
        <f t="shared" si="80"/>
        <v>0</v>
      </c>
      <c r="S550" s="32">
        <f>'2 REPAIR ESTIMATOR'!AD587</f>
        <v>0</v>
      </c>
      <c r="T550" s="32">
        <f>'2 REPAIR ESTIMATOR'!AM587</f>
        <v>0</v>
      </c>
      <c r="U550" s="32">
        <f t="shared" si="86"/>
        <v>0</v>
      </c>
      <c r="V550" s="32">
        <f>'2 REPAIR ESTIMATOR'!AG587</f>
        <v>0</v>
      </c>
      <c r="W550" s="32">
        <f>'2 REPAIR ESTIMATOR'!AJ587</f>
        <v>0</v>
      </c>
    </row>
    <row r="551" spans="3:23" ht="18" hidden="1">
      <c r="C551" s="3720" t="str">
        <f>T('2 REPAIR ESTIMATOR'!D588:O588)</f>
        <v/>
      </c>
      <c r="D551" s="3721"/>
      <c r="E551" s="3721"/>
      <c r="F551" s="3721"/>
      <c r="G551" s="3721"/>
      <c r="H551" s="3721"/>
      <c r="I551" s="916">
        <f>'2 REPAIR ESTIMATOR'!P588</f>
        <v>0</v>
      </c>
      <c r="J551" s="917">
        <f>'2 REPAIR ESTIMATOR'!S588</f>
        <v>0</v>
      </c>
      <c r="K551" s="918">
        <f t="shared" si="82"/>
        <v>0</v>
      </c>
      <c r="L551" s="918">
        <f t="shared" si="83"/>
        <v>0</v>
      </c>
      <c r="M551" s="918">
        <f t="shared" si="84"/>
        <v>0</v>
      </c>
      <c r="N551" s="3719">
        <f t="shared" si="85"/>
        <v>0</v>
      </c>
      <c r="O551" s="3719"/>
      <c r="P551" s="490">
        <f t="shared" si="80"/>
        <v>0</v>
      </c>
      <c r="S551" s="32">
        <f>'2 REPAIR ESTIMATOR'!AD588</f>
        <v>0</v>
      </c>
      <c r="T551" s="32">
        <f>'2 REPAIR ESTIMATOR'!AM588</f>
        <v>0</v>
      </c>
      <c r="U551" s="32">
        <f t="shared" si="86"/>
        <v>0</v>
      </c>
      <c r="V551" s="32">
        <f>'2 REPAIR ESTIMATOR'!AG588</f>
        <v>0</v>
      </c>
      <c r="W551" s="32">
        <f>'2 REPAIR ESTIMATOR'!AJ588</f>
        <v>0</v>
      </c>
    </row>
    <row r="552" spans="3:23" ht="18" hidden="1">
      <c r="C552" s="3787" t="str">
        <f>T('2 REPAIR ESTIMATOR'!D589:O589)</f>
        <v>Fencing</v>
      </c>
      <c r="D552" s="3788"/>
      <c r="E552" s="3788"/>
      <c r="F552" s="3788"/>
      <c r="G552" s="3788"/>
      <c r="H552" s="3788"/>
      <c r="I552" s="916">
        <f>'2 REPAIR ESTIMATOR'!P589</f>
        <v>0</v>
      </c>
      <c r="J552" s="917">
        <f>'2 REPAIR ESTIMATOR'!S589</f>
        <v>0</v>
      </c>
      <c r="K552" s="918">
        <f t="shared" si="82"/>
        <v>0</v>
      </c>
      <c r="L552" s="918">
        <f t="shared" si="83"/>
        <v>0</v>
      </c>
      <c r="M552" s="918">
        <f t="shared" si="84"/>
        <v>0</v>
      </c>
      <c r="N552" s="3719">
        <f t="shared" si="85"/>
        <v>0</v>
      </c>
      <c r="O552" s="3719"/>
      <c r="P552" s="490">
        <f t="shared" si="80"/>
        <v>0</v>
      </c>
      <c r="S552" s="32">
        <f>'2 REPAIR ESTIMATOR'!AD589</f>
        <v>0</v>
      </c>
      <c r="T552" s="32">
        <f>'2 REPAIR ESTIMATOR'!AM589</f>
        <v>0</v>
      </c>
      <c r="U552" s="32">
        <f t="shared" si="86"/>
        <v>0</v>
      </c>
      <c r="V552" s="32">
        <f>'2 REPAIR ESTIMATOR'!AG589</f>
        <v>0</v>
      </c>
      <c r="W552" s="32">
        <f>'2 REPAIR ESTIMATOR'!AJ589</f>
        <v>0</v>
      </c>
    </row>
    <row r="553" spans="3:23" ht="18" hidden="1">
      <c r="C553" s="3720" t="str">
        <f>T('2 REPAIR ESTIMATOR'!D590:O590)</f>
        <v>Chain link fencing</v>
      </c>
      <c r="D553" s="3721"/>
      <c r="E553" s="3721"/>
      <c r="F553" s="3721"/>
      <c r="G553" s="3721"/>
      <c r="H553" s="3721"/>
      <c r="I553" s="916">
        <f>'2 REPAIR ESTIMATOR'!P590</f>
        <v>0</v>
      </c>
      <c r="J553" s="917" t="str">
        <f>'2 REPAIR ESTIMATOR'!S590</f>
        <v>lf</v>
      </c>
      <c r="K553" s="918">
        <f t="shared" si="82"/>
        <v>0</v>
      </c>
      <c r="L553" s="918">
        <f t="shared" si="83"/>
        <v>0</v>
      </c>
      <c r="M553" s="918">
        <f t="shared" si="84"/>
        <v>0</v>
      </c>
      <c r="N553" s="3719">
        <f t="shared" si="85"/>
        <v>0</v>
      </c>
      <c r="O553" s="3719"/>
      <c r="P553" s="490">
        <f t="shared" si="80"/>
        <v>0</v>
      </c>
      <c r="S553" s="32">
        <f>'2 REPAIR ESTIMATOR'!AD590</f>
        <v>0</v>
      </c>
      <c r="T553" s="32">
        <f>'2 REPAIR ESTIMATOR'!AM590</f>
        <v>0</v>
      </c>
      <c r="U553" s="32">
        <f t="shared" si="86"/>
        <v>0</v>
      </c>
      <c r="V553" s="32">
        <f>'2 REPAIR ESTIMATOR'!AG590</f>
        <v>0</v>
      </c>
      <c r="W553" s="32">
        <f>'2 REPAIR ESTIMATOR'!AJ590</f>
        <v>0</v>
      </c>
    </row>
    <row r="554" spans="3:23" ht="18" hidden="1">
      <c r="C554" s="3720" t="str">
        <f>T('2 REPAIR ESTIMATOR'!D591:O591)</f>
        <v>Wood fencing</v>
      </c>
      <c r="D554" s="3721"/>
      <c r="E554" s="3721"/>
      <c r="F554" s="3721"/>
      <c r="G554" s="3721"/>
      <c r="H554" s="3721"/>
      <c r="I554" s="916">
        <f>'2 REPAIR ESTIMATOR'!P591</f>
        <v>0</v>
      </c>
      <c r="J554" s="917" t="str">
        <f>'2 REPAIR ESTIMATOR'!S591</f>
        <v>lf</v>
      </c>
      <c r="K554" s="918">
        <f t="shared" si="82"/>
        <v>0</v>
      </c>
      <c r="L554" s="918">
        <f t="shared" si="83"/>
        <v>0</v>
      </c>
      <c r="M554" s="918">
        <f t="shared" si="84"/>
        <v>0</v>
      </c>
      <c r="N554" s="3719">
        <f t="shared" si="85"/>
        <v>0</v>
      </c>
      <c r="O554" s="3719"/>
      <c r="P554" s="490">
        <f t="shared" si="80"/>
        <v>0</v>
      </c>
      <c r="S554" s="32">
        <f>'2 REPAIR ESTIMATOR'!AD591</f>
        <v>0</v>
      </c>
      <c r="T554" s="32">
        <f>'2 REPAIR ESTIMATOR'!AM591</f>
        <v>0</v>
      </c>
      <c r="U554" s="32">
        <f t="shared" si="86"/>
        <v>0</v>
      </c>
      <c r="V554" s="32">
        <f>'2 REPAIR ESTIMATOR'!AG591</f>
        <v>0</v>
      </c>
      <c r="W554" s="32">
        <f>'2 REPAIR ESTIMATOR'!AJ591</f>
        <v>0</v>
      </c>
    </row>
    <row r="555" spans="3:23" ht="18" hidden="1">
      <c r="C555" s="3720" t="str">
        <f>T('2 REPAIR ESTIMATOR'!D592:O592)</f>
        <v/>
      </c>
      <c r="D555" s="3721"/>
      <c r="E555" s="3721"/>
      <c r="F555" s="3721"/>
      <c r="G555" s="3721"/>
      <c r="H555" s="3721"/>
      <c r="I555" s="916">
        <f>'2 REPAIR ESTIMATOR'!P592</f>
        <v>0</v>
      </c>
      <c r="J555" s="917">
        <f>'2 REPAIR ESTIMATOR'!S592</f>
        <v>0</v>
      </c>
      <c r="K555" s="918">
        <f t="shared" si="82"/>
        <v>0</v>
      </c>
      <c r="L555" s="918">
        <f t="shared" si="83"/>
        <v>0</v>
      </c>
      <c r="M555" s="918">
        <f t="shared" si="84"/>
        <v>0</v>
      </c>
      <c r="N555" s="3719">
        <f t="shared" si="85"/>
        <v>0</v>
      </c>
      <c r="O555" s="3719"/>
      <c r="P555" s="490">
        <f t="shared" si="80"/>
        <v>0</v>
      </c>
      <c r="S555" s="32">
        <f>'2 REPAIR ESTIMATOR'!AD592</f>
        <v>0</v>
      </c>
      <c r="T555" s="32">
        <f>'2 REPAIR ESTIMATOR'!AM592</f>
        <v>0</v>
      </c>
      <c r="U555" s="32">
        <f t="shared" si="86"/>
        <v>0</v>
      </c>
      <c r="V555" s="32">
        <f>'2 REPAIR ESTIMATOR'!AG592</f>
        <v>0</v>
      </c>
      <c r="W555" s="32">
        <f>'2 REPAIR ESTIMATOR'!AJ592</f>
        <v>0</v>
      </c>
    </row>
    <row r="556" spans="3:23" ht="18" hidden="1">
      <c r="C556" s="3787" t="str">
        <f>T('2 REPAIR ESTIMATOR'!D593:O593)</f>
        <v>Misc. Exterior Structures</v>
      </c>
      <c r="D556" s="3788"/>
      <c r="E556" s="3788"/>
      <c r="F556" s="3788"/>
      <c r="G556" s="3788"/>
      <c r="H556" s="3788"/>
      <c r="I556" s="916">
        <f>'2 REPAIR ESTIMATOR'!P593</f>
        <v>0</v>
      </c>
      <c r="J556" s="917">
        <f>'2 REPAIR ESTIMATOR'!S593</f>
        <v>0</v>
      </c>
      <c r="K556" s="918">
        <f t="shared" si="82"/>
        <v>0</v>
      </c>
      <c r="L556" s="918">
        <f t="shared" si="83"/>
        <v>0</v>
      </c>
      <c r="M556" s="918">
        <f t="shared" si="84"/>
        <v>0</v>
      </c>
      <c r="N556" s="3719">
        <f t="shared" si="85"/>
        <v>0</v>
      </c>
      <c r="O556" s="3719"/>
      <c r="P556" s="490">
        <f t="shared" si="80"/>
        <v>0</v>
      </c>
      <c r="S556" s="32">
        <f>'2 REPAIR ESTIMATOR'!AD593</f>
        <v>0</v>
      </c>
      <c r="T556" s="32">
        <f>'2 REPAIR ESTIMATOR'!AM593</f>
        <v>0</v>
      </c>
      <c r="U556" s="32">
        <f t="shared" si="86"/>
        <v>0</v>
      </c>
      <c r="V556" s="32">
        <f>'2 REPAIR ESTIMATOR'!AG593</f>
        <v>0</v>
      </c>
      <c r="W556" s="32">
        <f>'2 REPAIR ESTIMATOR'!AJ593</f>
        <v>0</v>
      </c>
    </row>
    <row r="557" spans="3:23" ht="18" hidden="1">
      <c r="C557" s="3720" t="str">
        <f>T('2 REPAIR ESTIMATOR'!D594:O594)</f>
        <v>Premanufactured carport</v>
      </c>
      <c r="D557" s="3721"/>
      <c r="E557" s="3721"/>
      <c r="F557" s="3721"/>
      <c r="G557" s="3721"/>
      <c r="H557" s="3721"/>
      <c r="I557" s="916">
        <f>'2 REPAIR ESTIMATOR'!P594</f>
        <v>0</v>
      </c>
      <c r="J557" s="917" t="str">
        <f>'2 REPAIR ESTIMATOR'!S594</f>
        <v>ea</v>
      </c>
      <c r="K557" s="918">
        <f t="shared" si="82"/>
        <v>0</v>
      </c>
      <c r="L557" s="918">
        <f t="shared" si="83"/>
        <v>0</v>
      </c>
      <c r="M557" s="918">
        <f t="shared" si="84"/>
        <v>0</v>
      </c>
      <c r="N557" s="3719">
        <f t="shared" si="85"/>
        <v>0</v>
      </c>
      <c r="O557" s="3719"/>
      <c r="P557" s="490">
        <f t="shared" si="80"/>
        <v>0</v>
      </c>
      <c r="S557" s="32">
        <f>'2 REPAIR ESTIMATOR'!AD594</f>
        <v>0</v>
      </c>
      <c r="T557" s="32">
        <f>'2 REPAIR ESTIMATOR'!AM594</f>
        <v>0</v>
      </c>
      <c r="U557" s="32">
        <f t="shared" si="86"/>
        <v>0</v>
      </c>
      <c r="V557" s="32">
        <f>'2 REPAIR ESTIMATOR'!AG594</f>
        <v>0</v>
      </c>
      <c r="W557" s="32">
        <f>'2 REPAIR ESTIMATOR'!AJ594</f>
        <v>0</v>
      </c>
    </row>
    <row r="558" spans="3:23" ht="18" hidden="1">
      <c r="C558" s="3720" t="str">
        <f>T('2 REPAIR ESTIMATOR'!D595:O595)</f>
        <v>Storage shed, wood</v>
      </c>
      <c r="D558" s="3721"/>
      <c r="E558" s="3721"/>
      <c r="F558" s="3721"/>
      <c r="G558" s="3721"/>
      <c r="H558" s="3721"/>
      <c r="I558" s="916">
        <f>'2 REPAIR ESTIMATOR'!P595</f>
        <v>0</v>
      </c>
      <c r="J558" s="917" t="str">
        <f>'2 REPAIR ESTIMATOR'!S595</f>
        <v>ea</v>
      </c>
      <c r="K558" s="918">
        <f t="shared" si="82"/>
        <v>0</v>
      </c>
      <c r="L558" s="918">
        <f t="shared" si="83"/>
        <v>0</v>
      </c>
      <c r="M558" s="918">
        <f t="shared" si="84"/>
        <v>0</v>
      </c>
      <c r="N558" s="3719">
        <f t="shared" si="85"/>
        <v>0</v>
      </c>
      <c r="O558" s="3719"/>
      <c r="P558" s="490">
        <f t="shared" si="80"/>
        <v>0</v>
      </c>
      <c r="S558" s="32">
        <f>'2 REPAIR ESTIMATOR'!AD595</f>
        <v>0</v>
      </c>
      <c r="T558" s="32">
        <f>'2 REPAIR ESTIMATOR'!AM595</f>
        <v>0</v>
      </c>
      <c r="U558" s="32">
        <f t="shared" si="86"/>
        <v>0</v>
      </c>
      <c r="V558" s="32">
        <f>'2 REPAIR ESTIMATOR'!AG595</f>
        <v>0</v>
      </c>
      <c r="W558" s="32">
        <f>'2 REPAIR ESTIMATOR'!AJ595</f>
        <v>0</v>
      </c>
    </row>
    <row r="559" spans="3:23" ht="18" hidden="1">
      <c r="C559" s="3720" t="str">
        <f>T('2 REPAIR ESTIMATOR'!D596:O596)</f>
        <v>Gazebo</v>
      </c>
      <c r="D559" s="3721"/>
      <c r="E559" s="3721"/>
      <c r="F559" s="3721"/>
      <c r="G559" s="3721"/>
      <c r="H559" s="3721"/>
      <c r="I559" s="916">
        <f>'2 REPAIR ESTIMATOR'!P596</f>
        <v>0</v>
      </c>
      <c r="J559" s="917" t="str">
        <f>'2 REPAIR ESTIMATOR'!S596</f>
        <v>sf</v>
      </c>
      <c r="K559" s="918">
        <f t="shared" si="82"/>
        <v>0</v>
      </c>
      <c r="L559" s="918">
        <f t="shared" si="83"/>
        <v>0</v>
      </c>
      <c r="M559" s="918">
        <f t="shared" si="84"/>
        <v>0</v>
      </c>
      <c r="N559" s="3719">
        <f t="shared" si="85"/>
        <v>0</v>
      </c>
      <c r="O559" s="3719"/>
      <c r="P559" s="490">
        <f t="shared" si="80"/>
        <v>0</v>
      </c>
      <c r="S559" s="32">
        <f>'2 REPAIR ESTIMATOR'!AD596</f>
        <v>0</v>
      </c>
      <c r="T559" s="32">
        <f>'2 REPAIR ESTIMATOR'!AM596</f>
        <v>0</v>
      </c>
      <c r="U559" s="32">
        <f t="shared" si="86"/>
        <v>0</v>
      </c>
      <c r="V559" s="32">
        <f>'2 REPAIR ESTIMATOR'!AG596</f>
        <v>0</v>
      </c>
      <c r="W559" s="32">
        <f>'2 REPAIR ESTIMATOR'!AJ596</f>
        <v>0</v>
      </c>
    </row>
    <row r="560" spans="3:23" ht="18" hidden="1">
      <c r="C560" s="3720" t="str">
        <f>T('2 REPAIR ESTIMATOR'!D597:O597)</f>
        <v/>
      </c>
      <c r="D560" s="3721"/>
      <c r="E560" s="3721"/>
      <c r="F560" s="3721"/>
      <c r="G560" s="3721"/>
      <c r="H560" s="3721"/>
      <c r="I560" s="916">
        <f>'2 REPAIR ESTIMATOR'!P597</f>
        <v>0</v>
      </c>
      <c r="J560" s="917">
        <f>'2 REPAIR ESTIMATOR'!S597</f>
        <v>0</v>
      </c>
      <c r="K560" s="918">
        <f t="shared" si="82"/>
        <v>0</v>
      </c>
      <c r="L560" s="918">
        <f t="shared" si="83"/>
        <v>0</v>
      </c>
      <c r="M560" s="918">
        <f t="shared" si="84"/>
        <v>0</v>
      </c>
      <c r="N560" s="3719">
        <f t="shared" si="85"/>
        <v>0</v>
      </c>
      <c r="O560" s="3719"/>
      <c r="P560" s="490">
        <f t="shared" si="80"/>
        <v>0</v>
      </c>
      <c r="S560" s="32">
        <f>'2 REPAIR ESTIMATOR'!AD597</f>
        <v>0</v>
      </c>
      <c r="T560" s="32">
        <f>'2 REPAIR ESTIMATOR'!AM597</f>
        <v>0</v>
      </c>
      <c r="U560" s="32">
        <f t="shared" si="86"/>
        <v>0</v>
      </c>
      <c r="V560" s="32">
        <f>'2 REPAIR ESTIMATOR'!AG597</f>
        <v>0</v>
      </c>
      <c r="W560" s="32">
        <f>'2 REPAIR ESTIMATOR'!AJ597</f>
        <v>0</v>
      </c>
    </row>
    <row r="561" spans="3:23" ht="18" hidden="1">
      <c r="C561" s="3787" t="str">
        <f>T('2 REPAIR ESTIMATOR'!D598:O598)</f>
        <v>Pools</v>
      </c>
      <c r="D561" s="3788"/>
      <c r="E561" s="3788"/>
      <c r="F561" s="3788"/>
      <c r="G561" s="3788"/>
      <c r="H561" s="3788"/>
      <c r="I561" s="916">
        <f>'2 REPAIR ESTIMATOR'!P598</f>
        <v>0</v>
      </c>
      <c r="J561" s="917">
        <f>'2 REPAIR ESTIMATOR'!S598</f>
        <v>0</v>
      </c>
      <c r="K561" s="918">
        <f t="shared" si="82"/>
        <v>0</v>
      </c>
      <c r="L561" s="918">
        <f t="shared" si="83"/>
        <v>0</v>
      </c>
      <c r="M561" s="918">
        <f t="shared" si="84"/>
        <v>0</v>
      </c>
      <c r="N561" s="3719">
        <f t="shared" si="85"/>
        <v>0</v>
      </c>
      <c r="O561" s="3719"/>
      <c r="P561" s="490">
        <f t="shared" si="80"/>
        <v>0</v>
      </c>
      <c r="S561" s="32">
        <f>'2 REPAIR ESTIMATOR'!AD598</f>
        <v>0</v>
      </c>
      <c r="T561" s="32">
        <f>'2 REPAIR ESTIMATOR'!AM598</f>
        <v>0</v>
      </c>
      <c r="U561" s="32">
        <f t="shared" si="86"/>
        <v>0</v>
      </c>
      <c r="V561" s="32">
        <f>'2 REPAIR ESTIMATOR'!AG598</f>
        <v>0</v>
      </c>
      <c r="W561" s="32">
        <f>'2 REPAIR ESTIMATOR'!AJ598</f>
        <v>0</v>
      </c>
    </row>
    <row r="562" spans="3:23" ht="18" hidden="1">
      <c r="C562" s="3720" t="str">
        <f>T('2 REPAIR ESTIMATOR'!D599:O599)</f>
        <v>New Pool structure</v>
      </c>
      <c r="D562" s="3721"/>
      <c r="E562" s="3721"/>
      <c r="F562" s="3721"/>
      <c r="G562" s="3721"/>
      <c r="H562" s="3721"/>
      <c r="I562" s="916">
        <f>'2 REPAIR ESTIMATOR'!P599</f>
        <v>0</v>
      </c>
      <c r="J562" s="917" t="str">
        <f>'2 REPAIR ESTIMATOR'!S599</f>
        <v>sf</v>
      </c>
      <c r="K562" s="918">
        <f t="shared" si="82"/>
        <v>0</v>
      </c>
      <c r="L562" s="918">
        <f t="shared" si="83"/>
        <v>0</v>
      </c>
      <c r="M562" s="918">
        <f t="shared" si="84"/>
        <v>0</v>
      </c>
      <c r="N562" s="3719">
        <f t="shared" si="85"/>
        <v>0</v>
      </c>
      <c r="O562" s="3719"/>
      <c r="P562" s="490">
        <f t="shared" si="80"/>
        <v>0</v>
      </c>
      <c r="S562" s="32">
        <f>'2 REPAIR ESTIMATOR'!AD599</f>
        <v>0</v>
      </c>
      <c r="T562" s="32">
        <f>'2 REPAIR ESTIMATOR'!AM599</f>
        <v>0</v>
      </c>
      <c r="U562" s="32">
        <f t="shared" si="86"/>
        <v>0</v>
      </c>
      <c r="V562" s="32">
        <f>'2 REPAIR ESTIMATOR'!AG599</f>
        <v>0</v>
      </c>
      <c r="W562" s="32">
        <f>'2 REPAIR ESTIMATOR'!AJ599</f>
        <v>0</v>
      </c>
    </row>
    <row r="563" spans="3:23" ht="18" hidden="1">
      <c r="C563" s="3720" t="str">
        <f>T('2 REPAIR ESTIMATOR'!D600:O600)</f>
        <v>Pool heater/motor</v>
      </c>
      <c r="D563" s="3721"/>
      <c r="E563" s="3721"/>
      <c r="F563" s="3721"/>
      <c r="G563" s="3721"/>
      <c r="H563" s="3721"/>
      <c r="I563" s="916">
        <f>'2 REPAIR ESTIMATOR'!P600</f>
        <v>0</v>
      </c>
      <c r="J563" s="917" t="str">
        <f>'2 REPAIR ESTIMATOR'!S600</f>
        <v>ea</v>
      </c>
      <c r="K563" s="918">
        <f t="shared" si="82"/>
        <v>0</v>
      </c>
      <c r="L563" s="918">
        <f t="shared" si="83"/>
        <v>0</v>
      </c>
      <c r="M563" s="918">
        <f t="shared" si="84"/>
        <v>0</v>
      </c>
      <c r="N563" s="3719">
        <f t="shared" si="85"/>
        <v>0</v>
      </c>
      <c r="O563" s="3719"/>
      <c r="P563" s="490">
        <f t="shared" si="80"/>
        <v>0</v>
      </c>
      <c r="S563" s="32">
        <f>'2 REPAIR ESTIMATOR'!AD600</f>
        <v>0</v>
      </c>
      <c r="T563" s="32">
        <f>'2 REPAIR ESTIMATOR'!AM600</f>
        <v>0</v>
      </c>
      <c r="U563" s="32">
        <f t="shared" si="86"/>
        <v>0</v>
      </c>
      <c r="V563" s="32">
        <f>'2 REPAIR ESTIMATOR'!AG600</f>
        <v>0</v>
      </c>
      <c r="W563" s="32">
        <f>'2 REPAIR ESTIMATOR'!AJ600</f>
        <v>0</v>
      </c>
    </row>
    <row r="564" spans="3:23" ht="18" hidden="1">
      <c r="C564" s="3720" t="str">
        <f>T('2 REPAIR ESTIMATOR'!D601:O601)</f>
        <v>Pool filter system</v>
      </c>
      <c r="D564" s="3721"/>
      <c r="E564" s="3721"/>
      <c r="F564" s="3721"/>
      <c r="G564" s="3721"/>
      <c r="H564" s="3721"/>
      <c r="I564" s="916">
        <f>'2 REPAIR ESTIMATOR'!P601</f>
        <v>0</v>
      </c>
      <c r="J564" s="917" t="str">
        <f>'2 REPAIR ESTIMATOR'!S601</f>
        <v>ea</v>
      </c>
      <c r="K564" s="918">
        <f t="shared" si="82"/>
        <v>0</v>
      </c>
      <c r="L564" s="918">
        <f t="shared" si="83"/>
        <v>0</v>
      </c>
      <c r="M564" s="918">
        <f t="shared" si="84"/>
        <v>0</v>
      </c>
      <c r="N564" s="3719">
        <f t="shared" si="85"/>
        <v>0</v>
      </c>
      <c r="O564" s="3719"/>
      <c r="P564" s="490">
        <f t="shared" si="80"/>
        <v>0</v>
      </c>
      <c r="S564" s="32">
        <f>'2 REPAIR ESTIMATOR'!AD601</f>
        <v>0</v>
      </c>
      <c r="T564" s="32">
        <f>'2 REPAIR ESTIMATOR'!AM601</f>
        <v>0</v>
      </c>
      <c r="U564" s="32">
        <f t="shared" si="86"/>
        <v>0</v>
      </c>
      <c r="V564" s="32">
        <f>'2 REPAIR ESTIMATOR'!AG601</f>
        <v>0</v>
      </c>
      <c r="W564" s="32">
        <f>'2 REPAIR ESTIMATOR'!AJ601</f>
        <v>0</v>
      </c>
    </row>
    <row r="565" spans="3:23" ht="18" hidden="1">
      <c r="C565" s="3720" t="str">
        <f>T('2 REPAIR ESTIMATOR'!D602:O602)</f>
        <v>Replaster existing pool wall</v>
      </c>
      <c r="D565" s="3721"/>
      <c r="E565" s="3721"/>
      <c r="F565" s="3721"/>
      <c r="G565" s="3721"/>
      <c r="H565" s="3721"/>
      <c r="I565" s="916">
        <f>'2 REPAIR ESTIMATOR'!P602</f>
        <v>0</v>
      </c>
      <c r="J565" s="917" t="str">
        <f>'2 REPAIR ESTIMATOR'!S602</f>
        <v>sf</v>
      </c>
      <c r="K565" s="918">
        <f t="shared" si="82"/>
        <v>0</v>
      </c>
      <c r="L565" s="918">
        <f t="shared" si="83"/>
        <v>0</v>
      </c>
      <c r="M565" s="918">
        <f t="shared" si="84"/>
        <v>0</v>
      </c>
      <c r="N565" s="3719">
        <f t="shared" si="85"/>
        <v>0</v>
      </c>
      <c r="O565" s="3719"/>
      <c r="P565" s="490">
        <f t="shared" si="80"/>
        <v>0</v>
      </c>
      <c r="S565" s="32">
        <f>'2 REPAIR ESTIMATOR'!AD602</f>
        <v>0</v>
      </c>
      <c r="T565" s="32">
        <f>'2 REPAIR ESTIMATOR'!AM602</f>
        <v>0</v>
      </c>
      <c r="U565" s="32">
        <f t="shared" si="86"/>
        <v>0</v>
      </c>
      <c r="V565" s="32">
        <f>'2 REPAIR ESTIMATOR'!AG602</f>
        <v>0</v>
      </c>
      <c r="W565" s="32">
        <f>'2 REPAIR ESTIMATOR'!AJ602</f>
        <v>0</v>
      </c>
    </row>
    <row r="566" spans="3:23" ht="18" hidden="1">
      <c r="C566" s="3720" t="str">
        <f>T('2 REPAIR ESTIMATOR'!D603:O603)</f>
        <v/>
      </c>
      <c r="D566" s="3721"/>
      <c r="E566" s="3721"/>
      <c r="F566" s="3721"/>
      <c r="G566" s="3721"/>
      <c r="H566" s="3721"/>
      <c r="I566" s="916">
        <f>'2 REPAIR ESTIMATOR'!P603</f>
        <v>0</v>
      </c>
      <c r="J566" s="917">
        <f>'2 REPAIR ESTIMATOR'!S603</f>
        <v>0</v>
      </c>
      <c r="K566" s="918">
        <f t="shared" si="82"/>
        <v>0</v>
      </c>
      <c r="L566" s="918">
        <f t="shared" si="83"/>
        <v>0</v>
      </c>
      <c r="M566" s="918">
        <f t="shared" si="84"/>
        <v>0</v>
      </c>
      <c r="N566" s="3719">
        <f t="shared" si="85"/>
        <v>0</v>
      </c>
      <c r="O566" s="3719"/>
      <c r="P566" s="490">
        <f t="shared" ref="P566:P585" si="87">I566</f>
        <v>0</v>
      </c>
      <c r="S566" s="32">
        <f>'2 REPAIR ESTIMATOR'!AD603</f>
        <v>0</v>
      </c>
      <c r="T566" s="32">
        <f>'2 REPAIR ESTIMATOR'!AM603</f>
        <v>0</v>
      </c>
      <c r="U566" s="32">
        <f t="shared" si="86"/>
        <v>0</v>
      </c>
      <c r="V566" s="32">
        <f>'2 REPAIR ESTIMATOR'!AG603</f>
        <v>0</v>
      </c>
      <c r="W566" s="32">
        <f>'2 REPAIR ESTIMATOR'!AJ603</f>
        <v>0</v>
      </c>
    </row>
    <row r="567" spans="3:23" ht="18" hidden="1">
      <c r="C567" s="3720" t="str">
        <f>T('2 REPAIR ESTIMATOR'!D604:O604)</f>
        <v/>
      </c>
      <c r="D567" s="3721"/>
      <c r="E567" s="3721"/>
      <c r="F567" s="3721"/>
      <c r="G567" s="3721"/>
      <c r="H567" s="3721"/>
      <c r="I567" s="916">
        <f>'2 REPAIR ESTIMATOR'!P604</f>
        <v>0</v>
      </c>
      <c r="J567" s="917">
        <f>'2 REPAIR ESTIMATOR'!S604</f>
        <v>0</v>
      </c>
      <c r="K567" s="918">
        <f t="shared" si="82"/>
        <v>0</v>
      </c>
      <c r="L567" s="918">
        <f t="shared" si="83"/>
        <v>0</v>
      </c>
      <c r="M567" s="918">
        <f t="shared" si="84"/>
        <v>0</v>
      </c>
      <c r="N567" s="3719">
        <f t="shared" si="85"/>
        <v>0</v>
      </c>
      <c r="O567" s="3719"/>
      <c r="P567" s="490">
        <f t="shared" si="87"/>
        <v>0</v>
      </c>
      <c r="S567" s="32">
        <f>'2 REPAIR ESTIMATOR'!AD604</f>
        <v>0</v>
      </c>
      <c r="T567" s="32">
        <f>'2 REPAIR ESTIMATOR'!AM604</f>
        <v>0</v>
      </c>
      <c r="U567" s="32">
        <f t="shared" si="86"/>
        <v>0</v>
      </c>
      <c r="V567" s="32">
        <f>'2 REPAIR ESTIMATOR'!AG604</f>
        <v>0</v>
      </c>
      <c r="W567" s="32">
        <f>'2 REPAIR ESTIMATOR'!AJ604</f>
        <v>0</v>
      </c>
    </row>
    <row r="568" spans="3:23" ht="18" hidden="1">
      <c r="C568" s="3720" t="str">
        <f>T('2 REPAIR ESTIMATOR'!D605:O605)</f>
        <v/>
      </c>
      <c r="D568" s="3721"/>
      <c r="E568" s="3721"/>
      <c r="F568" s="3721"/>
      <c r="G568" s="3721"/>
      <c r="H568" s="3721"/>
      <c r="I568" s="916">
        <f>'2 REPAIR ESTIMATOR'!P605</f>
        <v>0</v>
      </c>
      <c r="J568" s="917">
        <f>'2 REPAIR ESTIMATOR'!S605</f>
        <v>0</v>
      </c>
      <c r="K568" s="918">
        <f t="shared" si="82"/>
        <v>0</v>
      </c>
      <c r="L568" s="918">
        <f t="shared" si="83"/>
        <v>0</v>
      </c>
      <c r="M568" s="918">
        <f t="shared" si="84"/>
        <v>0</v>
      </c>
      <c r="N568" s="3719">
        <f t="shared" si="85"/>
        <v>0</v>
      </c>
      <c r="O568" s="3719"/>
      <c r="P568" s="490">
        <f t="shared" si="87"/>
        <v>0</v>
      </c>
      <c r="S568" s="32">
        <f>'2 REPAIR ESTIMATOR'!AD605</f>
        <v>0</v>
      </c>
      <c r="T568" s="32">
        <f>'2 REPAIR ESTIMATOR'!AM605</f>
        <v>0</v>
      </c>
      <c r="U568" s="32">
        <f t="shared" si="86"/>
        <v>0</v>
      </c>
      <c r="V568" s="32">
        <f>'2 REPAIR ESTIMATOR'!AG605</f>
        <v>0</v>
      </c>
      <c r="W568" s="32">
        <f>'2 REPAIR ESTIMATOR'!AJ605</f>
        <v>0</v>
      </c>
    </row>
    <row r="569" spans="3:23" ht="18" hidden="1">
      <c r="C569" s="3720" t="str">
        <f>T('2 REPAIR ESTIMATOR'!D606:O606)</f>
        <v/>
      </c>
      <c r="D569" s="3721"/>
      <c r="E569" s="3721"/>
      <c r="F569" s="3721"/>
      <c r="G569" s="3721"/>
      <c r="H569" s="3721"/>
      <c r="I569" s="916">
        <f>'2 REPAIR ESTIMATOR'!P606</f>
        <v>0</v>
      </c>
      <c r="J569" s="917">
        <f>'2 REPAIR ESTIMATOR'!S606</f>
        <v>0</v>
      </c>
      <c r="K569" s="918">
        <f t="shared" si="82"/>
        <v>0</v>
      </c>
      <c r="L569" s="918">
        <f t="shared" si="83"/>
        <v>0</v>
      </c>
      <c r="M569" s="918">
        <f t="shared" si="84"/>
        <v>0</v>
      </c>
      <c r="N569" s="3719">
        <f t="shared" si="85"/>
        <v>0</v>
      </c>
      <c r="O569" s="3719"/>
      <c r="P569" s="490">
        <f t="shared" si="87"/>
        <v>0</v>
      </c>
      <c r="S569" s="32">
        <f>'2 REPAIR ESTIMATOR'!AD606</f>
        <v>0</v>
      </c>
      <c r="T569" s="32">
        <f>'2 REPAIR ESTIMATOR'!AM606</f>
        <v>0</v>
      </c>
      <c r="U569" s="32">
        <f t="shared" si="86"/>
        <v>0</v>
      </c>
      <c r="V569" s="32">
        <f>'2 REPAIR ESTIMATOR'!AG606</f>
        <v>0</v>
      </c>
      <c r="W569" s="32">
        <f>'2 REPAIR ESTIMATOR'!AJ606</f>
        <v>0</v>
      </c>
    </row>
    <row r="570" spans="3:23" ht="18" hidden="1">
      <c r="C570" s="3720" t="str">
        <f>T('2 REPAIR ESTIMATOR'!D607:O607)</f>
        <v/>
      </c>
      <c r="D570" s="3721"/>
      <c r="E570" s="3721"/>
      <c r="F570" s="3721"/>
      <c r="G570" s="3721"/>
      <c r="H570" s="3721"/>
      <c r="I570" s="916">
        <f>'2 REPAIR ESTIMATOR'!P607</f>
        <v>0</v>
      </c>
      <c r="J570" s="917">
        <f>'2 REPAIR ESTIMATOR'!S607</f>
        <v>0</v>
      </c>
      <c r="K570" s="918">
        <f t="shared" si="82"/>
        <v>0</v>
      </c>
      <c r="L570" s="918">
        <f t="shared" si="83"/>
        <v>0</v>
      </c>
      <c r="M570" s="918">
        <f t="shared" si="84"/>
        <v>0</v>
      </c>
      <c r="N570" s="3719">
        <f t="shared" si="85"/>
        <v>0</v>
      </c>
      <c r="O570" s="3719"/>
      <c r="P570" s="490">
        <f t="shared" si="87"/>
        <v>0</v>
      </c>
      <c r="S570" s="32">
        <f>'2 REPAIR ESTIMATOR'!AD607</f>
        <v>0</v>
      </c>
      <c r="T570" s="32">
        <f>'2 REPAIR ESTIMATOR'!AM607</f>
        <v>0</v>
      </c>
      <c r="U570" s="32">
        <f t="shared" si="86"/>
        <v>0</v>
      </c>
      <c r="V570" s="32">
        <f>'2 REPAIR ESTIMATOR'!AG607</f>
        <v>0</v>
      </c>
      <c r="W570" s="32">
        <f>'2 REPAIR ESTIMATOR'!AJ607</f>
        <v>0</v>
      </c>
    </row>
    <row r="571" spans="3:23" ht="18" hidden="1">
      <c r="C571" s="3720" t="str">
        <f>T('2 REPAIR ESTIMATOR'!D608:O608)</f>
        <v/>
      </c>
      <c r="D571" s="3721"/>
      <c r="E571" s="3721"/>
      <c r="F571" s="3721"/>
      <c r="G571" s="3721"/>
      <c r="H571" s="3721"/>
      <c r="I571" s="916">
        <f>'2 REPAIR ESTIMATOR'!P608</f>
        <v>0</v>
      </c>
      <c r="J571" s="917">
        <f>'2 REPAIR ESTIMATOR'!S608</f>
        <v>0</v>
      </c>
      <c r="K571" s="918">
        <f t="shared" si="82"/>
        <v>0</v>
      </c>
      <c r="L571" s="918">
        <f t="shared" si="83"/>
        <v>0</v>
      </c>
      <c r="M571" s="918">
        <f t="shared" si="84"/>
        <v>0</v>
      </c>
      <c r="N571" s="3719">
        <f t="shared" si="85"/>
        <v>0</v>
      </c>
      <c r="O571" s="3719"/>
      <c r="P571" s="490">
        <f t="shared" si="87"/>
        <v>0</v>
      </c>
      <c r="S571" s="32">
        <f>'2 REPAIR ESTIMATOR'!AD608</f>
        <v>0</v>
      </c>
      <c r="T571" s="32">
        <f>'2 REPAIR ESTIMATOR'!AM608</f>
        <v>0</v>
      </c>
      <c r="U571" s="32">
        <f t="shared" si="86"/>
        <v>0</v>
      </c>
      <c r="V571" s="32">
        <f>'2 REPAIR ESTIMATOR'!AG608</f>
        <v>0</v>
      </c>
      <c r="W571" s="32">
        <f>'2 REPAIR ESTIMATOR'!AJ608</f>
        <v>0</v>
      </c>
    </row>
    <row r="572" spans="3:23" ht="18" hidden="1">
      <c r="C572" s="3720" t="str">
        <f>T('2 REPAIR ESTIMATOR'!D609:O609)</f>
        <v/>
      </c>
      <c r="D572" s="3721"/>
      <c r="E572" s="3721"/>
      <c r="F572" s="3721"/>
      <c r="G572" s="3721"/>
      <c r="H572" s="3721"/>
      <c r="I572" s="916">
        <f>'2 REPAIR ESTIMATOR'!P609</f>
        <v>0</v>
      </c>
      <c r="J572" s="917">
        <f>'2 REPAIR ESTIMATOR'!S609</f>
        <v>0</v>
      </c>
      <c r="K572" s="918">
        <f t="shared" si="82"/>
        <v>0</v>
      </c>
      <c r="L572" s="918">
        <f t="shared" si="83"/>
        <v>0</v>
      </c>
      <c r="M572" s="918">
        <f t="shared" si="84"/>
        <v>0</v>
      </c>
      <c r="N572" s="3719">
        <f t="shared" si="85"/>
        <v>0</v>
      </c>
      <c r="O572" s="3719"/>
      <c r="P572" s="490">
        <f t="shared" si="87"/>
        <v>0</v>
      </c>
      <c r="S572" s="32">
        <f>'2 REPAIR ESTIMATOR'!AD609</f>
        <v>0</v>
      </c>
      <c r="T572" s="32">
        <f>'2 REPAIR ESTIMATOR'!AM609</f>
        <v>0</v>
      </c>
      <c r="U572" s="32">
        <f t="shared" si="86"/>
        <v>0</v>
      </c>
      <c r="V572" s="32">
        <f>'2 REPAIR ESTIMATOR'!AG609</f>
        <v>0</v>
      </c>
      <c r="W572" s="32">
        <f>'2 REPAIR ESTIMATOR'!AJ609</f>
        <v>0</v>
      </c>
    </row>
    <row r="573" spans="3:23" ht="18" hidden="1">
      <c r="C573" s="3720" t="str">
        <f>T('2 REPAIR ESTIMATOR'!D610:O610)</f>
        <v/>
      </c>
      <c r="D573" s="3721"/>
      <c r="E573" s="3721"/>
      <c r="F573" s="3721"/>
      <c r="G573" s="3721"/>
      <c r="H573" s="3721"/>
      <c r="I573" s="916">
        <f>'2 REPAIR ESTIMATOR'!P610</f>
        <v>0</v>
      </c>
      <c r="J573" s="917">
        <f>'2 REPAIR ESTIMATOR'!S610</f>
        <v>0</v>
      </c>
      <c r="K573" s="918">
        <f t="shared" si="82"/>
        <v>0</v>
      </c>
      <c r="L573" s="918">
        <f t="shared" si="83"/>
        <v>0</v>
      </c>
      <c r="M573" s="918">
        <f t="shared" si="84"/>
        <v>0</v>
      </c>
      <c r="N573" s="3719">
        <f t="shared" si="85"/>
        <v>0</v>
      </c>
      <c r="O573" s="3719"/>
      <c r="P573" s="490">
        <f t="shared" si="87"/>
        <v>0</v>
      </c>
      <c r="S573" s="32">
        <f>'2 REPAIR ESTIMATOR'!AD610</f>
        <v>0</v>
      </c>
      <c r="T573" s="32">
        <f>'2 REPAIR ESTIMATOR'!AM610</f>
        <v>0</v>
      </c>
      <c r="U573" s="32">
        <f t="shared" si="86"/>
        <v>0</v>
      </c>
      <c r="V573" s="32">
        <f>'2 REPAIR ESTIMATOR'!AG610</f>
        <v>0</v>
      </c>
      <c r="W573" s="32">
        <f>'2 REPAIR ESTIMATOR'!AJ610</f>
        <v>0</v>
      </c>
    </row>
    <row r="574" spans="3:23" ht="18" hidden="1">
      <c r="C574" s="3720" t="str">
        <f>T('2 REPAIR ESTIMATOR'!D611:O611)</f>
        <v/>
      </c>
      <c r="D574" s="3721"/>
      <c r="E574" s="3721"/>
      <c r="F574" s="3721"/>
      <c r="G574" s="3721"/>
      <c r="H574" s="3721"/>
      <c r="I574" s="916">
        <f>'2 REPAIR ESTIMATOR'!P611</f>
        <v>0</v>
      </c>
      <c r="J574" s="917">
        <f>'2 REPAIR ESTIMATOR'!S611</f>
        <v>0</v>
      </c>
      <c r="K574" s="918">
        <f t="shared" si="82"/>
        <v>0</v>
      </c>
      <c r="L574" s="918">
        <f t="shared" si="83"/>
        <v>0</v>
      </c>
      <c r="M574" s="918">
        <f t="shared" si="84"/>
        <v>0</v>
      </c>
      <c r="N574" s="3719">
        <f t="shared" si="85"/>
        <v>0</v>
      </c>
      <c r="O574" s="3719"/>
      <c r="P574" s="490">
        <f t="shared" si="87"/>
        <v>0</v>
      </c>
      <c r="S574" s="32">
        <f>'2 REPAIR ESTIMATOR'!AD611</f>
        <v>0</v>
      </c>
      <c r="T574" s="32">
        <f>'2 REPAIR ESTIMATOR'!AM611</f>
        <v>0</v>
      </c>
      <c r="U574" s="32">
        <f t="shared" si="86"/>
        <v>0</v>
      </c>
      <c r="V574" s="32">
        <f>'2 REPAIR ESTIMATOR'!AG611</f>
        <v>0</v>
      </c>
      <c r="W574" s="32">
        <f>'2 REPAIR ESTIMATOR'!AJ611</f>
        <v>0</v>
      </c>
    </row>
    <row r="575" spans="3:23" ht="18" hidden="1">
      <c r="C575" s="3720" t="str">
        <f>T('2 REPAIR ESTIMATOR'!D612:O612)</f>
        <v/>
      </c>
      <c r="D575" s="3721"/>
      <c r="E575" s="3721"/>
      <c r="F575" s="3721"/>
      <c r="G575" s="3721"/>
      <c r="H575" s="3721"/>
      <c r="I575" s="916">
        <f>'2 REPAIR ESTIMATOR'!P612</f>
        <v>0</v>
      </c>
      <c r="J575" s="917">
        <f>'2 REPAIR ESTIMATOR'!S612</f>
        <v>0</v>
      </c>
      <c r="K575" s="918">
        <f t="shared" si="82"/>
        <v>0</v>
      </c>
      <c r="L575" s="918">
        <f t="shared" si="83"/>
        <v>0</v>
      </c>
      <c r="M575" s="918">
        <f t="shared" si="84"/>
        <v>0</v>
      </c>
      <c r="N575" s="3719">
        <f t="shared" si="85"/>
        <v>0</v>
      </c>
      <c r="O575" s="3719"/>
      <c r="P575" s="490">
        <f t="shared" si="87"/>
        <v>0</v>
      </c>
      <c r="S575" s="32">
        <f>'2 REPAIR ESTIMATOR'!AD612</f>
        <v>0</v>
      </c>
      <c r="T575" s="32">
        <f>'2 REPAIR ESTIMATOR'!AM612</f>
        <v>0</v>
      </c>
      <c r="U575" s="32">
        <f t="shared" si="86"/>
        <v>0</v>
      </c>
      <c r="V575" s="32">
        <f>'2 REPAIR ESTIMATOR'!AG612</f>
        <v>0</v>
      </c>
      <c r="W575" s="32">
        <f>'2 REPAIR ESTIMATOR'!AJ612</f>
        <v>0</v>
      </c>
    </row>
    <row r="576" spans="3:23" ht="18" hidden="1">
      <c r="C576" s="3720" t="str">
        <f>T('2 REPAIR ESTIMATOR'!D613:O613)</f>
        <v/>
      </c>
      <c r="D576" s="3721"/>
      <c r="E576" s="3721"/>
      <c r="F576" s="3721"/>
      <c r="G576" s="3721"/>
      <c r="H576" s="3721"/>
      <c r="I576" s="916">
        <f>'2 REPAIR ESTIMATOR'!P613</f>
        <v>0</v>
      </c>
      <c r="J576" s="917">
        <f>'2 REPAIR ESTIMATOR'!S613</f>
        <v>0</v>
      </c>
      <c r="K576" s="918">
        <f t="shared" si="82"/>
        <v>0</v>
      </c>
      <c r="L576" s="918">
        <f t="shared" si="83"/>
        <v>0</v>
      </c>
      <c r="M576" s="918">
        <f t="shared" si="84"/>
        <v>0</v>
      </c>
      <c r="N576" s="3719">
        <f t="shared" si="85"/>
        <v>0</v>
      </c>
      <c r="O576" s="3719"/>
      <c r="P576" s="490">
        <f t="shared" si="87"/>
        <v>0</v>
      </c>
      <c r="S576" s="32">
        <f>'2 REPAIR ESTIMATOR'!AD613</f>
        <v>0</v>
      </c>
      <c r="T576" s="32">
        <f>'2 REPAIR ESTIMATOR'!AM613</f>
        <v>0</v>
      </c>
      <c r="U576" s="32">
        <f t="shared" si="86"/>
        <v>0</v>
      </c>
      <c r="V576" s="32">
        <f>'2 REPAIR ESTIMATOR'!AG613</f>
        <v>0</v>
      </c>
      <c r="W576" s="32">
        <f>'2 REPAIR ESTIMATOR'!AJ613</f>
        <v>0</v>
      </c>
    </row>
    <row r="577" spans="3:23" ht="18" hidden="1">
      <c r="C577" s="3720" t="str">
        <f>T('2 REPAIR ESTIMATOR'!D614:O614)</f>
        <v/>
      </c>
      <c r="D577" s="3721"/>
      <c r="E577" s="3721"/>
      <c r="F577" s="3721"/>
      <c r="G577" s="3721"/>
      <c r="H577" s="3721"/>
      <c r="I577" s="916">
        <f>'2 REPAIR ESTIMATOR'!P614</f>
        <v>0</v>
      </c>
      <c r="J577" s="917">
        <f>'2 REPAIR ESTIMATOR'!S614</f>
        <v>0</v>
      </c>
      <c r="K577" s="918">
        <f t="shared" si="82"/>
        <v>0</v>
      </c>
      <c r="L577" s="918">
        <f t="shared" si="83"/>
        <v>0</v>
      </c>
      <c r="M577" s="918">
        <f t="shared" si="84"/>
        <v>0</v>
      </c>
      <c r="N577" s="3719">
        <f t="shared" si="85"/>
        <v>0</v>
      </c>
      <c r="O577" s="3719"/>
      <c r="P577" s="490">
        <f t="shared" si="87"/>
        <v>0</v>
      </c>
      <c r="S577" s="32">
        <f>'2 REPAIR ESTIMATOR'!AD614</f>
        <v>0</v>
      </c>
      <c r="T577" s="32">
        <f>'2 REPAIR ESTIMATOR'!AM614</f>
        <v>0</v>
      </c>
      <c r="U577" s="32">
        <f t="shared" si="86"/>
        <v>0</v>
      </c>
      <c r="V577" s="32">
        <f>'2 REPAIR ESTIMATOR'!AG614</f>
        <v>0</v>
      </c>
      <c r="W577" s="32">
        <f>'2 REPAIR ESTIMATOR'!AJ614</f>
        <v>0</v>
      </c>
    </row>
    <row r="578" spans="3:23" ht="18" hidden="1">
      <c r="C578" s="3720" t="str">
        <f>T('2 REPAIR ESTIMATOR'!D615:O615)</f>
        <v/>
      </c>
      <c r="D578" s="3721"/>
      <c r="E578" s="3721"/>
      <c r="F578" s="3721"/>
      <c r="G578" s="3721"/>
      <c r="H578" s="3721"/>
      <c r="I578" s="916">
        <f>'2 REPAIR ESTIMATOR'!P615</f>
        <v>0</v>
      </c>
      <c r="J578" s="917">
        <f>'2 REPAIR ESTIMATOR'!S615</f>
        <v>0</v>
      </c>
      <c r="K578" s="918">
        <f t="shared" si="82"/>
        <v>0</v>
      </c>
      <c r="L578" s="918">
        <f t="shared" si="83"/>
        <v>0</v>
      </c>
      <c r="M578" s="918">
        <f t="shared" si="84"/>
        <v>0</v>
      </c>
      <c r="N578" s="3719">
        <f t="shared" si="85"/>
        <v>0</v>
      </c>
      <c r="O578" s="3719"/>
      <c r="P578" s="490">
        <f t="shared" si="87"/>
        <v>0</v>
      </c>
      <c r="S578" s="32">
        <f>'2 REPAIR ESTIMATOR'!AD615</f>
        <v>0</v>
      </c>
      <c r="T578" s="32">
        <f>'2 REPAIR ESTIMATOR'!AM615</f>
        <v>0</v>
      </c>
      <c r="U578" s="32">
        <f t="shared" si="86"/>
        <v>0</v>
      </c>
      <c r="V578" s="32">
        <f>'2 REPAIR ESTIMATOR'!AG615</f>
        <v>0</v>
      </c>
      <c r="W578" s="32">
        <f>'2 REPAIR ESTIMATOR'!AJ615</f>
        <v>0</v>
      </c>
    </row>
    <row r="579" spans="3:23" ht="18" hidden="1">
      <c r="C579" s="3720" t="str">
        <f>T('2 REPAIR ESTIMATOR'!D616:O616)</f>
        <v/>
      </c>
      <c r="D579" s="3721"/>
      <c r="E579" s="3721"/>
      <c r="F579" s="3721"/>
      <c r="G579" s="3721"/>
      <c r="H579" s="3721"/>
      <c r="I579" s="916">
        <f>'2 REPAIR ESTIMATOR'!P616</f>
        <v>0</v>
      </c>
      <c r="J579" s="917">
        <f>'2 REPAIR ESTIMATOR'!S616</f>
        <v>0</v>
      </c>
      <c r="K579" s="918">
        <f t="shared" si="82"/>
        <v>0</v>
      </c>
      <c r="L579" s="918">
        <f t="shared" si="83"/>
        <v>0</v>
      </c>
      <c r="M579" s="918">
        <f t="shared" si="84"/>
        <v>0</v>
      </c>
      <c r="N579" s="3719">
        <f t="shared" si="85"/>
        <v>0</v>
      </c>
      <c r="O579" s="3719"/>
      <c r="P579" s="490">
        <f t="shared" si="87"/>
        <v>0</v>
      </c>
      <c r="S579" s="32">
        <f>'2 REPAIR ESTIMATOR'!AD616</f>
        <v>0</v>
      </c>
      <c r="T579" s="32">
        <f>'2 REPAIR ESTIMATOR'!AM616</f>
        <v>0</v>
      </c>
      <c r="U579" s="32">
        <f t="shared" si="86"/>
        <v>0</v>
      </c>
      <c r="V579" s="32">
        <f>'2 REPAIR ESTIMATOR'!AG616</f>
        <v>0</v>
      </c>
      <c r="W579" s="32">
        <f>'2 REPAIR ESTIMATOR'!AJ616</f>
        <v>0</v>
      </c>
    </row>
    <row r="580" spans="3:23" ht="18" hidden="1">
      <c r="C580" s="3720" t="str">
        <f>T('2 REPAIR ESTIMATOR'!D617:O617)</f>
        <v/>
      </c>
      <c r="D580" s="3721"/>
      <c r="E580" s="3721"/>
      <c r="F580" s="3721"/>
      <c r="G580" s="3721"/>
      <c r="H580" s="3721"/>
      <c r="I580" s="916">
        <f>'2 REPAIR ESTIMATOR'!P617</f>
        <v>0</v>
      </c>
      <c r="J580" s="917">
        <f>'2 REPAIR ESTIMATOR'!S617</f>
        <v>0</v>
      </c>
      <c r="K580" s="918">
        <f t="shared" si="82"/>
        <v>0</v>
      </c>
      <c r="L580" s="918">
        <f t="shared" si="83"/>
        <v>0</v>
      </c>
      <c r="M580" s="918">
        <f t="shared" si="84"/>
        <v>0</v>
      </c>
      <c r="N580" s="3719">
        <f t="shared" si="85"/>
        <v>0</v>
      </c>
      <c r="O580" s="3719"/>
      <c r="P580" s="490">
        <f t="shared" si="87"/>
        <v>0</v>
      </c>
      <c r="S580" s="32">
        <f>'2 REPAIR ESTIMATOR'!AD617</f>
        <v>0</v>
      </c>
      <c r="T580" s="32">
        <f>'2 REPAIR ESTIMATOR'!AM617</f>
        <v>0</v>
      </c>
      <c r="U580" s="32">
        <f t="shared" si="86"/>
        <v>0</v>
      </c>
      <c r="V580" s="32">
        <f>'2 REPAIR ESTIMATOR'!AG617</f>
        <v>0</v>
      </c>
      <c r="W580" s="32">
        <f>'2 REPAIR ESTIMATOR'!AJ617</f>
        <v>0</v>
      </c>
    </row>
    <row r="581" spans="3:23" ht="18" hidden="1">
      <c r="C581" s="3720" t="str">
        <f>T('2 REPAIR ESTIMATOR'!D618:O618)</f>
        <v/>
      </c>
      <c r="D581" s="3721"/>
      <c r="E581" s="3721"/>
      <c r="F581" s="3721"/>
      <c r="G581" s="3721"/>
      <c r="H581" s="3721"/>
      <c r="I581" s="916">
        <f>'2 REPAIR ESTIMATOR'!P618</f>
        <v>0</v>
      </c>
      <c r="J581" s="917">
        <f>'2 REPAIR ESTIMATOR'!S618</f>
        <v>0</v>
      </c>
      <c r="K581" s="918">
        <f t="shared" si="82"/>
        <v>0</v>
      </c>
      <c r="L581" s="918">
        <f t="shared" si="83"/>
        <v>0</v>
      </c>
      <c r="M581" s="918">
        <f t="shared" si="84"/>
        <v>0</v>
      </c>
      <c r="N581" s="3719">
        <f t="shared" si="85"/>
        <v>0</v>
      </c>
      <c r="O581" s="3719"/>
      <c r="P581" s="490">
        <f t="shared" si="87"/>
        <v>0</v>
      </c>
      <c r="S581" s="32">
        <f>'2 REPAIR ESTIMATOR'!AD618</f>
        <v>0</v>
      </c>
      <c r="T581" s="32">
        <f>'2 REPAIR ESTIMATOR'!AM618</f>
        <v>0</v>
      </c>
      <c r="U581" s="32">
        <f t="shared" si="86"/>
        <v>0</v>
      </c>
      <c r="V581" s="32">
        <f>'2 REPAIR ESTIMATOR'!AG618</f>
        <v>0</v>
      </c>
      <c r="W581" s="32">
        <f>'2 REPAIR ESTIMATOR'!AJ618</f>
        <v>0</v>
      </c>
    </row>
    <row r="582" spans="3:23" ht="18" hidden="1">
      <c r="C582" s="3720" t="str">
        <f>T('2 REPAIR ESTIMATOR'!D619:O619)</f>
        <v/>
      </c>
      <c r="D582" s="3721"/>
      <c r="E582" s="3721"/>
      <c r="F582" s="3721"/>
      <c r="G582" s="3721"/>
      <c r="H582" s="3721"/>
      <c r="I582" s="916">
        <f>'2 REPAIR ESTIMATOR'!P619</f>
        <v>0</v>
      </c>
      <c r="J582" s="917">
        <f>'2 REPAIR ESTIMATOR'!S619</f>
        <v>0</v>
      </c>
      <c r="K582" s="918">
        <f t="shared" si="82"/>
        <v>0</v>
      </c>
      <c r="L582" s="918">
        <f t="shared" si="83"/>
        <v>0</v>
      </c>
      <c r="M582" s="918">
        <f t="shared" si="84"/>
        <v>0</v>
      </c>
      <c r="N582" s="3719">
        <f t="shared" si="85"/>
        <v>0</v>
      </c>
      <c r="O582" s="3719"/>
      <c r="P582" s="490">
        <f t="shared" si="87"/>
        <v>0</v>
      </c>
      <c r="S582" s="32">
        <f>'2 REPAIR ESTIMATOR'!AD619</f>
        <v>0</v>
      </c>
      <c r="T582" s="32">
        <f>'2 REPAIR ESTIMATOR'!AM619</f>
        <v>0</v>
      </c>
      <c r="U582" s="32">
        <f t="shared" si="86"/>
        <v>0</v>
      </c>
      <c r="V582" s="32">
        <f>'2 REPAIR ESTIMATOR'!AG619</f>
        <v>0</v>
      </c>
      <c r="W582" s="32">
        <f>'2 REPAIR ESTIMATOR'!AJ619</f>
        <v>0</v>
      </c>
    </row>
    <row r="583" spans="3:23" ht="18" hidden="1">
      <c r="C583" s="3720" t="str">
        <f>T('2 REPAIR ESTIMATOR'!D620:O620)</f>
        <v/>
      </c>
      <c r="D583" s="3721"/>
      <c r="E583" s="3721"/>
      <c r="F583" s="3721"/>
      <c r="G583" s="3721"/>
      <c r="H583" s="3721"/>
      <c r="I583" s="916">
        <f>'2 REPAIR ESTIMATOR'!P620</f>
        <v>0</v>
      </c>
      <c r="J583" s="917">
        <f>'2 REPAIR ESTIMATOR'!S620</f>
        <v>0</v>
      </c>
      <c r="K583" s="918">
        <f t="shared" si="82"/>
        <v>0</v>
      </c>
      <c r="L583" s="918">
        <f t="shared" si="83"/>
        <v>0</v>
      </c>
      <c r="M583" s="918">
        <f t="shared" si="84"/>
        <v>0</v>
      </c>
      <c r="N583" s="3719">
        <f t="shared" si="85"/>
        <v>0</v>
      </c>
      <c r="O583" s="3719"/>
      <c r="P583" s="490">
        <f t="shared" si="87"/>
        <v>0</v>
      </c>
      <c r="S583" s="32">
        <f>'2 REPAIR ESTIMATOR'!AD620</f>
        <v>0</v>
      </c>
      <c r="T583" s="32">
        <f>'2 REPAIR ESTIMATOR'!AM620</f>
        <v>0</v>
      </c>
      <c r="U583" s="32">
        <f t="shared" si="86"/>
        <v>0</v>
      </c>
      <c r="V583" s="32">
        <f>'2 REPAIR ESTIMATOR'!AG620</f>
        <v>0</v>
      </c>
      <c r="W583" s="32">
        <f>'2 REPAIR ESTIMATOR'!AJ620</f>
        <v>0</v>
      </c>
    </row>
    <row r="584" spans="3:23" ht="18" hidden="1">
      <c r="C584" s="3720" t="str">
        <f>T('2 REPAIR ESTIMATOR'!D621:O621)</f>
        <v/>
      </c>
      <c r="D584" s="3721"/>
      <c r="E584" s="3721"/>
      <c r="F584" s="3721"/>
      <c r="G584" s="3721"/>
      <c r="H584" s="3721"/>
      <c r="I584" s="916">
        <f>'2 REPAIR ESTIMATOR'!P621</f>
        <v>0</v>
      </c>
      <c r="J584" s="917">
        <f>'2 REPAIR ESTIMATOR'!S621</f>
        <v>0</v>
      </c>
      <c r="K584" s="918">
        <f t="shared" si="82"/>
        <v>0</v>
      </c>
      <c r="L584" s="918">
        <f t="shared" si="83"/>
        <v>0</v>
      </c>
      <c r="M584" s="918">
        <f t="shared" si="84"/>
        <v>0</v>
      </c>
      <c r="N584" s="3719">
        <f t="shared" si="85"/>
        <v>0</v>
      </c>
      <c r="O584" s="3719"/>
      <c r="P584" s="490">
        <f t="shared" si="87"/>
        <v>0</v>
      </c>
      <c r="S584" s="32">
        <f>'2 REPAIR ESTIMATOR'!AD621</f>
        <v>0</v>
      </c>
      <c r="T584" s="32">
        <f>'2 REPAIR ESTIMATOR'!AM621</f>
        <v>0</v>
      </c>
      <c r="U584" s="32">
        <f t="shared" si="86"/>
        <v>0</v>
      </c>
      <c r="V584" s="32">
        <f>'2 REPAIR ESTIMATOR'!AG621</f>
        <v>0</v>
      </c>
      <c r="W584" s="32">
        <f>'2 REPAIR ESTIMATOR'!AJ621</f>
        <v>0</v>
      </c>
    </row>
    <row r="585" spans="3:23" ht="18.350000000000001" hidden="1" thickBot="1">
      <c r="C585" s="3779" t="str">
        <f>T('2 REPAIR ESTIMATOR'!D622:O622)</f>
        <v/>
      </c>
      <c r="D585" s="3780"/>
      <c r="E585" s="3780"/>
      <c r="F585" s="3780"/>
      <c r="G585" s="3780"/>
      <c r="H585" s="3780"/>
      <c r="I585" s="919">
        <f>'2 REPAIR ESTIMATOR'!P622</f>
        <v>0</v>
      </c>
      <c r="J585" s="920">
        <f>'2 REPAIR ESTIMATOR'!S622</f>
        <v>0</v>
      </c>
      <c r="K585" s="921">
        <f t="shared" si="82"/>
        <v>0</v>
      </c>
      <c r="L585" s="921">
        <f t="shared" si="83"/>
        <v>0</v>
      </c>
      <c r="M585" s="921">
        <f t="shared" si="84"/>
        <v>0</v>
      </c>
      <c r="N585" s="3781">
        <f t="shared" si="85"/>
        <v>0</v>
      </c>
      <c r="O585" s="3781"/>
      <c r="P585" s="490">
        <f t="shared" si="87"/>
        <v>0</v>
      </c>
      <c r="S585" s="32">
        <f>'2 REPAIR ESTIMATOR'!AD622</f>
        <v>0</v>
      </c>
      <c r="T585" s="32">
        <f>'2 REPAIR ESTIMATOR'!AM622</f>
        <v>0</v>
      </c>
      <c r="U585" s="32">
        <f t="shared" si="86"/>
        <v>0</v>
      </c>
      <c r="V585" s="32">
        <f>'2 REPAIR ESTIMATOR'!AG622</f>
        <v>0</v>
      </c>
      <c r="W585" s="32">
        <f>'2 REPAIR ESTIMATOR'!AJ622</f>
        <v>0</v>
      </c>
    </row>
    <row r="586" spans="3:23" ht="18.350000000000001" hidden="1" thickBot="1">
      <c r="C586" s="3723" t="str">
        <f>T('2 REPAIR ESTIMATOR'!AC624)</f>
        <v>MISC. EXTERIOR ITEMS TOTAL</v>
      </c>
      <c r="D586" s="3724"/>
      <c r="E586" s="3724"/>
      <c r="F586" s="3724"/>
      <c r="G586" s="3724"/>
      <c r="H586" s="3724"/>
      <c r="I586" s="3724"/>
      <c r="J586" s="3724"/>
      <c r="K586" s="922">
        <f>SUM(K546:K585)</f>
        <v>0</v>
      </c>
      <c r="L586" s="922">
        <f>SUM(L546:L585)</f>
        <v>0</v>
      </c>
      <c r="M586" s="922">
        <f>SUM(M546:M585)</f>
        <v>0</v>
      </c>
      <c r="N586" s="3789">
        <f>SUM(N546:O585)</f>
        <v>0</v>
      </c>
      <c r="O586" s="3789"/>
      <c r="P586" s="489">
        <f>SUM(P545:P558)</f>
        <v>0</v>
      </c>
      <c r="S586" s="33">
        <f>SUM(S546:S585)</f>
        <v>0</v>
      </c>
      <c r="T586" s="33">
        <f>SUM(T546:T585)</f>
        <v>0</v>
      </c>
      <c r="U586" s="33">
        <f>SUM(U546:U585)</f>
        <v>0</v>
      </c>
      <c r="V586" s="33">
        <f>SUM(V546:V585)</f>
        <v>0</v>
      </c>
      <c r="W586" s="33">
        <f>SUM(W546:W585)</f>
        <v>0</v>
      </c>
    </row>
    <row r="587" spans="3:23" ht="8.85" hidden="1" customHeight="1">
      <c r="C587" s="841"/>
      <c r="D587" s="841"/>
      <c r="E587" s="841"/>
      <c r="F587" s="841"/>
      <c r="G587" s="841"/>
      <c r="H587" s="841"/>
      <c r="I587" s="842"/>
      <c r="J587" s="842"/>
      <c r="K587" s="842"/>
      <c r="L587" s="842"/>
      <c r="M587" s="842"/>
      <c r="N587" s="843"/>
      <c r="O587" s="798"/>
      <c r="P587" s="489">
        <f>P586</f>
        <v>0</v>
      </c>
    </row>
    <row r="588" spans="3:23" ht="21" hidden="1" customHeight="1" thickBot="1">
      <c r="C588" s="3782" t="str">
        <f>T('2 REPAIR ESTIMATOR'!D627:O627)</f>
        <v>FRAMING &amp; DRYWALL</v>
      </c>
      <c r="D588" s="3783"/>
      <c r="E588" s="3783"/>
      <c r="F588" s="3783"/>
      <c r="G588" s="3783"/>
      <c r="H588" s="3783"/>
      <c r="I588" s="799">
        <f>SUM(I589:I628)</f>
        <v>0</v>
      </c>
      <c r="J588" s="800"/>
      <c r="K588" s="850"/>
      <c r="L588" s="850"/>
      <c r="M588" s="850"/>
      <c r="N588" s="3722"/>
      <c r="O588" s="3722"/>
      <c r="P588" s="489">
        <f t="shared" si="80"/>
        <v>0</v>
      </c>
      <c r="S588" s="34"/>
      <c r="T588" s="34"/>
      <c r="U588" s="34"/>
      <c r="V588" s="34"/>
      <c r="W588" s="34"/>
    </row>
    <row r="589" spans="3:23" ht="18" hidden="1">
      <c r="C589" s="3787" t="str">
        <f>T('2 REPAIR ESTIMATOR'!D628:O628)</f>
        <v>Framing</v>
      </c>
      <c r="D589" s="3788"/>
      <c r="E589" s="3788"/>
      <c r="F589" s="3788"/>
      <c r="G589" s="3788"/>
      <c r="H589" s="3788"/>
      <c r="I589" s="916">
        <f>'2 REPAIR ESTIMATOR'!P628</f>
        <v>0</v>
      </c>
      <c r="J589" s="917">
        <f>'2 REPAIR ESTIMATOR'!S628</f>
        <v>0</v>
      </c>
      <c r="K589" s="918">
        <f t="shared" ref="K589:K628" si="88">IF($N$3="subbed",U589,S589)*$S$70</f>
        <v>0</v>
      </c>
      <c r="L589" s="918">
        <f>V589*$S$70</f>
        <v>0</v>
      </c>
      <c r="M589" s="918">
        <f>W589*$S$70</f>
        <v>0</v>
      </c>
      <c r="N589" s="3719">
        <f>SUM(K589:M589)</f>
        <v>0</v>
      </c>
      <c r="O589" s="3719"/>
      <c r="P589" s="490">
        <f t="shared" si="80"/>
        <v>0</v>
      </c>
      <c r="S589" s="32">
        <f>'2 REPAIR ESTIMATOR'!AD628</f>
        <v>0</v>
      </c>
      <c r="T589" s="32">
        <f>'2 REPAIR ESTIMATOR'!AM628</f>
        <v>0</v>
      </c>
      <c r="U589" s="32">
        <f>T589+S589</f>
        <v>0</v>
      </c>
      <c r="V589" s="32">
        <f>'2 REPAIR ESTIMATOR'!AG628</f>
        <v>0</v>
      </c>
      <c r="W589" s="32">
        <f>'2 REPAIR ESTIMATOR'!AJ628</f>
        <v>0</v>
      </c>
    </row>
    <row r="590" spans="3:23" ht="18" hidden="1">
      <c r="C590" s="3720" t="str">
        <f>T('2 REPAIR ESTIMATOR'!D629:O629)</f>
        <v>Structural framing bid/allowance, case by case</v>
      </c>
      <c r="D590" s="3721"/>
      <c r="E590" s="3721"/>
      <c r="F590" s="3721"/>
      <c r="G590" s="3721"/>
      <c r="H590" s="3721"/>
      <c r="I590" s="916">
        <f>'2 REPAIR ESTIMATOR'!P629</f>
        <v>0</v>
      </c>
      <c r="J590" s="917" t="str">
        <f>'2 REPAIR ESTIMATOR'!S629</f>
        <v>ls</v>
      </c>
      <c r="K590" s="918">
        <f t="shared" si="88"/>
        <v>0</v>
      </c>
      <c r="L590" s="918">
        <f t="shared" ref="L590:L628" si="89">V590*$S$70</f>
        <v>0</v>
      </c>
      <c r="M590" s="918">
        <f t="shared" ref="M590:M628" si="90">W590*$S$70</f>
        <v>0</v>
      </c>
      <c r="N590" s="3719">
        <f t="shared" ref="N590:N628" si="91">SUM(K590:M590)</f>
        <v>0</v>
      </c>
      <c r="O590" s="3719"/>
      <c r="P590" s="489">
        <f t="shared" si="80"/>
        <v>0</v>
      </c>
      <c r="S590" s="32">
        <f>'2 REPAIR ESTIMATOR'!AD629</f>
        <v>0</v>
      </c>
      <c r="T590" s="32">
        <f>'2 REPAIR ESTIMATOR'!AM629</f>
        <v>0</v>
      </c>
      <c r="U590" s="32">
        <f t="shared" ref="U590:U628" si="92">T590+S590</f>
        <v>0</v>
      </c>
      <c r="V590" s="32">
        <f>'2 REPAIR ESTIMATOR'!AG629</f>
        <v>0</v>
      </c>
      <c r="W590" s="32">
        <f>'2 REPAIR ESTIMATOR'!AJ629</f>
        <v>0</v>
      </c>
    </row>
    <row r="591" spans="3:23" ht="18" hidden="1">
      <c r="C591" s="3720" t="str">
        <f>T('2 REPAIR ESTIMATOR'!D630:O630)</f>
        <v>Subflooring, 3/4" plywood</v>
      </c>
      <c r="D591" s="3721"/>
      <c r="E591" s="3721"/>
      <c r="F591" s="3721"/>
      <c r="G591" s="3721"/>
      <c r="H591" s="3721"/>
      <c r="I591" s="916">
        <f>'2 REPAIR ESTIMATOR'!P630</f>
        <v>0</v>
      </c>
      <c r="J591" s="917" t="str">
        <f>'2 REPAIR ESTIMATOR'!S630</f>
        <v>sf</v>
      </c>
      <c r="K591" s="918">
        <f t="shared" si="88"/>
        <v>0</v>
      </c>
      <c r="L591" s="918">
        <f t="shared" si="89"/>
        <v>0</v>
      </c>
      <c r="M591" s="918">
        <f t="shared" si="90"/>
        <v>0</v>
      </c>
      <c r="N591" s="3719">
        <f t="shared" si="91"/>
        <v>0</v>
      </c>
      <c r="O591" s="3719"/>
      <c r="P591" s="490">
        <f t="shared" si="80"/>
        <v>0</v>
      </c>
      <c r="S591" s="32">
        <f>'2 REPAIR ESTIMATOR'!AD630</f>
        <v>0</v>
      </c>
      <c r="T591" s="32">
        <f>'2 REPAIR ESTIMATOR'!AM630</f>
        <v>0</v>
      </c>
      <c r="U591" s="32">
        <f t="shared" si="92"/>
        <v>0</v>
      </c>
      <c r="V591" s="32">
        <f>'2 REPAIR ESTIMATOR'!AG630</f>
        <v>0</v>
      </c>
      <c r="W591" s="32">
        <f>'2 REPAIR ESTIMATOR'!AJ630</f>
        <v>0</v>
      </c>
    </row>
    <row r="592" spans="3:23" ht="18" hidden="1">
      <c r="C592" s="3720" t="str">
        <f>T('2 REPAIR ESTIMATOR'!D631:O631)</f>
        <v>Interior wall framing</v>
      </c>
      <c r="D592" s="3721"/>
      <c r="E592" s="3721"/>
      <c r="F592" s="3721"/>
      <c r="G592" s="3721"/>
      <c r="H592" s="3721"/>
      <c r="I592" s="916">
        <f>'2 REPAIR ESTIMATOR'!P631</f>
        <v>0</v>
      </c>
      <c r="J592" s="917" t="str">
        <f>'2 REPAIR ESTIMATOR'!S631</f>
        <v>sf</v>
      </c>
      <c r="K592" s="918">
        <f t="shared" si="88"/>
        <v>0</v>
      </c>
      <c r="L592" s="918">
        <f t="shared" si="89"/>
        <v>0</v>
      </c>
      <c r="M592" s="918">
        <f t="shared" si="90"/>
        <v>0</v>
      </c>
      <c r="N592" s="3719">
        <f t="shared" si="91"/>
        <v>0</v>
      </c>
      <c r="O592" s="3719"/>
      <c r="P592" s="490">
        <f t="shared" si="80"/>
        <v>0</v>
      </c>
      <c r="S592" s="32">
        <f>'2 REPAIR ESTIMATOR'!AD631</f>
        <v>0</v>
      </c>
      <c r="T592" s="32">
        <f>'2 REPAIR ESTIMATOR'!AM631</f>
        <v>0</v>
      </c>
      <c r="U592" s="32">
        <f t="shared" si="92"/>
        <v>0</v>
      </c>
      <c r="V592" s="32">
        <f>'2 REPAIR ESTIMATOR'!AG631</f>
        <v>0</v>
      </c>
      <c r="W592" s="32">
        <f>'2 REPAIR ESTIMATOR'!AJ631</f>
        <v>0</v>
      </c>
    </row>
    <row r="593" spans="3:23" ht="18" hidden="1">
      <c r="C593" s="3720" t="str">
        <f>T('2 REPAIR ESTIMATOR'!D632:O632)</f>
        <v>Structural/Exterior wall framing</v>
      </c>
      <c r="D593" s="3721"/>
      <c r="E593" s="3721"/>
      <c r="F593" s="3721"/>
      <c r="G593" s="3721"/>
      <c r="H593" s="3721"/>
      <c r="I593" s="916">
        <f>'2 REPAIR ESTIMATOR'!P632</f>
        <v>0</v>
      </c>
      <c r="J593" s="917" t="str">
        <f>'2 REPAIR ESTIMATOR'!S632</f>
        <v>sf</v>
      </c>
      <c r="K593" s="918">
        <f t="shared" si="88"/>
        <v>0</v>
      </c>
      <c r="L593" s="918">
        <f t="shared" si="89"/>
        <v>0</v>
      </c>
      <c r="M593" s="918">
        <f t="shared" si="90"/>
        <v>0</v>
      </c>
      <c r="N593" s="3719">
        <f t="shared" si="91"/>
        <v>0</v>
      </c>
      <c r="O593" s="3719"/>
      <c r="P593" s="490">
        <f>I593</f>
        <v>0</v>
      </c>
      <c r="S593" s="32">
        <f>'2 REPAIR ESTIMATOR'!AD632</f>
        <v>0</v>
      </c>
      <c r="T593" s="32">
        <f>'2 REPAIR ESTIMATOR'!AM632</f>
        <v>0</v>
      </c>
      <c r="U593" s="32">
        <f t="shared" si="92"/>
        <v>0</v>
      </c>
      <c r="V593" s="32">
        <f>'2 REPAIR ESTIMATOR'!AG632</f>
        <v>0</v>
      </c>
      <c r="W593" s="32">
        <f>'2 REPAIR ESTIMATOR'!AJ632</f>
        <v>0</v>
      </c>
    </row>
    <row r="594" spans="3:23" ht="18" hidden="1">
      <c r="C594" s="3720" t="str">
        <f>T('2 REPAIR ESTIMATOR'!D633:O633)</f>
        <v>Rough-in openings</v>
      </c>
      <c r="D594" s="3721"/>
      <c r="E594" s="3721"/>
      <c r="F594" s="3721"/>
      <c r="G594" s="3721"/>
      <c r="H594" s="3721"/>
      <c r="I594" s="916">
        <f>'2 REPAIR ESTIMATOR'!P633</f>
        <v>0</v>
      </c>
      <c r="J594" s="917" t="str">
        <f>'2 REPAIR ESTIMATOR'!S633</f>
        <v>ea</v>
      </c>
      <c r="K594" s="918">
        <f t="shared" si="88"/>
        <v>0</v>
      </c>
      <c r="L594" s="918">
        <f t="shared" si="89"/>
        <v>0</v>
      </c>
      <c r="M594" s="918">
        <f t="shared" si="90"/>
        <v>0</v>
      </c>
      <c r="N594" s="3719">
        <f t="shared" si="91"/>
        <v>0</v>
      </c>
      <c r="O594" s="3719"/>
      <c r="P594" s="490">
        <f t="shared" si="80"/>
        <v>0</v>
      </c>
      <c r="S594" s="32">
        <f>'2 REPAIR ESTIMATOR'!AD633</f>
        <v>0</v>
      </c>
      <c r="T594" s="32">
        <f>'2 REPAIR ESTIMATOR'!AM633</f>
        <v>0</v>
      </c>
      <c r="U594" s="32">
        <f t="shared" si="92"/>
        <v>0</v>
      </c>
      <c r="V594" s="32">
        <f>'2 REPAIR ESTIMATOR'!AG633</f>
        <v>0</v>
      </c>
      <c r="W594" s="32">
        <f>'2 REPAIR ESTIMATOR'!AJ633</f>
        <v>0</v>
      </c>
    </row>
    <row r="595" spans="3:23" ht="18" hidden="1">
      <c r="C595" s="3720" t="str">
        <f>T('2 REPAIR ESTIMATOR'!D634:O634)</f>
        <v>Floor joists/ceiling joists</v>
      </c>
      <c r="D595" s="3721"/>
      <c r="E595" s="3721"/>
      <c r="F595" s="3721"/>
      <c r="G595" s="3721"/>
      <c r="H595" s="3721"/>
      <c r="I595" s="916">
        <f>'2 REPAIR ESTIMATOR'!P634</f>
        <v>0</v>
      </c>
      <c r="J595" s="917" t="str">
        <f>'2 REPAIR ESTIMATOR'!S634</f>
        <v>sf</v>
      </c>
      <c r="K595" s="918">
        <f t="shared" si="88"/>
        <v>0</v>
      </c>
      <c r="L595" s="918">
        <f t="shared" si="89"/>
        <v>0</v>
      </c>
      <c r="M595" s="918">
        <f t="shared" si="90"/>
        <v>0</v>
      </c>
      <c r="N595" s="3719">
        <f t="shared" si="91"/>
        <v>0</v>
      </c>
      <c r="O595" s="3719"/>
      <c r="P595" s="490">
        <f t="shared" si="80"/>
        <v>0</v>
      </c>
      <c r="S595" s="32">
        <f>'2 REPAIR ESTIMATOR'!AD634</f>
        <v>0</v>
      </c>
      <c r="T595" s="32">
        <f>'2 REPAIR ESTIMATOR'!AM634</f>
        <v>0</v>
      </c>
      <c r="U595" s="32">
        <f t="shared" si="92"/>
        <v>0</v>
      </c>
      <c r="V595" s="32">
        <f>'2 REPAIR ESTIMATOR'!AG634</f>
        <v>0</v>
      </c>
      <c r="W595" s="32">
        <f>'2 REPAIR ESTIMATOR'!AJ634</f>
        <v>0</v>
      </c>
    </row>
    <row r="596" spans="3:23" ht="18" hidden="1">
      <c r="C596" s="3720" t="str">
        <f>T('2 REPAIR ESTIMATOR'!D635:O635)</f>
        <v>Roof framing/rafters</v>
      </c>
      <c r="D596" s="3721"/>
      <c r="E596" s="3721"/>
      <c r="F596" s="3721"/>
      <c r="G596" s="3721"/>
      <c r="H596" s="3721"/>
      <c r="I596" s="916">
        <f>'2 REPAIR ESTIMATOR'!P635</f>
        <v>0</v>
      </c>
      <c r="J596" s="917" t="str">
        <f>'2 REPAIR ESTIMATOR'!S635</f>
        <v>sf</v>
      </c>
      <c r="K596" s="918">
        <f t="shared" si="88"/>
        <v>0</v>
      </c>
      <c r="L596" s="918">
        <f t="shared" si="89"/>
        <v>0</v>
      </c>
      <c r="M596" s="918">
        <f t="shared" si="90"/>
        <v>0</v>
      </c>
      <c r="N596" s="3719">
        <f t="shared" si="91"/>
        <v>0</v>
      </c>
      <c r="O596" s="3719"/>
      <c r="P596" s="490">
        <f t="shared" si="80"/>
        <v>0</v>
      </c>
      <c r="S596" s="32">
        <f>'2 REPAIR ESTIMATOR'!AD635</f>
        <v>0</v>
      </c>
      <c r="T596" s="32">
        <f>'2 REPAIR ESTIMATOR'!AM635</f>
        <v>0</v>
      </c>
      <c r="U596" s="32">
        <f t="shared" si="92"/>
        <v>0</v>
      </c>
      <c r="V596" s="32">
        <f>'2 REPAIR ESTIMATOR'!AG635</f>
        <v>0</v>
      </c>
      <c r="W596" s="32">
        <f>'2 REPAIR ESTIMATOR'!AJ635</f>
        <v>0</v>
      </c>
    </row>
    <row r="597" spans="3:23" ht="18" hidden="1">
      <c r="C597" s="3720" t="str">
        <f>T('2 REPAIR ESTIMATOR'!D636:O636)</f>
        <v>Open load bearing/structural wall</v>
      </c>
      <c r="D597" s="3721"/>
      <c r="E597" s="3721"/>
      <c r="F597" s="3721"/>
      <c r="G597" s="3721"/>
      <c r="H597" s="3721"/>
      <c r="I597" s="916">
        <f>'2 REPAIR ESTIMATOR'!P636</f>
        <v>0</v>
      </c>
      <c r="J597" s="917" t="str">
        <f>'2 REPAIR ESTIMATOR'!S636</f>
        <v>ea</v>
      </c>
      <c r="K597" s="918">
        <f t="shared" si="88"/>
        <v>0</v>
      </c>
      <c r="L597" s="918">
        <f t="shared" si="89"/>
        <v>0</v>
      </c>
      <c r="M597" s="918">
        <f t="shared" si="90"/>
        <v>0</v>
      </c>
      <c r="N597" s="3719">
        <f t="shared" si="91"/>
        <v>0</v>
      </c>
      <c r="O597" s="3719"/>
      <c r="P597" s="490">
        <f t="shared" si="80"/>
        <v>0</v>
      </c>
      <c r="S597" s="32">
        <f>'2 REPAIR ESTIMATOR'!AD636</f>
        <v>0</v>
      </c>
      <c r="T597" s="32">
        <f>'2 REPAIR ESTIMATOR'!AM636</f>
        <v>0</v>
      </c>
      <c r="U597" s="32">
        <f t="shared" si="92"/>
        <v>0</v>
      </c>
      <c r="V597" s="32">
        <f>'2 REPAIR ESTIMATOR'!AG636</f>
        <v>0</v>
      </c>
      <c r="W597" s="32">
        <f>'2 REPAIR ESTIMATOR'!AJ636</f>
        <v>0</v>
      </c>
    </row>
    <row r="598" spans="3:23" ht="18" hidden="1">
      <c r="C598" s="3787" t="str">
        <f>T('2 REPAIR ESTIMATOR'!D637:O637)</f>
        <v>Insulation</v>
      </c>
      <c r="D598" s="3788"/>
      <c r="E598" s="3788"/>
      <c r="F598" s="3788"/>
      <c r="G598" s="3788"/>
      <c r="H598" s="3788"/>
      <c r="I598" s="916">
        <f>'2 REPAIR ESTIMATOR'!P637</f>
        <v>0</v>
      </c>
      <c r="J598" s="917">
        <f>'2 REPAIR ESTIMATOR'!S637</f>
        <v>0</v>
      </c>
      <c r="K598" s="918">
        <f t="shared" si="88"/>
        <v>0</v>
      </c>
      <c r="L598" s="918">
        <f t="shared" si="89"/>
        <v>0</v>
      </c>
      <c r="M598" s="918">
        <f t="shared" si="90"/>
        <v>0</v>
      </c>
      <c r="N598" s="3719">
        <f t="shared" si="91"/>
        <v>0</v>
      </c>
      <c r="O598" s="3719"/>
      <c r="P598" s="490">
        <f t="shared" si="80"/>
        <v>0</v>
      </c>
      <c r="S598" s="32">
        <f>'2 REPAIR ESTIMATOR'!AD637</f>
        <v>0</v>
      </c>
      <c r="T598" s="32">
        <f>'2 REPAIR ESTIMATOR'!AM637</f>
        <v>0</v>
      </c>
      <c r="U598" s="32">
        <f t="shared" si="92"/>
        <v>0</v>
      </c>
      <c r="V598" s="32">
        <f>'2 REPAIR ESTIMATOR'!AG637</f>
        <v>0</v>
      </c>
      <c r="W598" s="32">
        <f>'2 REPAIR ESTIMATOR'!AJ637</f>
        <v>0</v>
      </c>
    </row>
    <row r="599" spans="3:23" ht="18" hidden="1">
      <c r="C599" s="3720" t="str">
        <f>T('2 REPAIR ESTIMATOR'!D638:O638)</f>
        <v>Insulation bid/allowance</v>
      </c>
      <c r="D599" s="3721"/>
      <c r="E599" s="3721"/>
      <c r="F599" s="3721"/>
      <c r="G599" s="3721"/>
      <c r="H599" s="3721"/>
      <c r="I599" s="916">
        <f>'2 REPAIR ESTIMATOR'!P638</f>
        <v>0</v>
      </c>
      <c r="J599" s="917" t="str">
        <f>'2 REPAIR ESTIMATOR'!S638</f>
        <v>ls</v>
      </c>
      <c r="K599" s="918">
        <f t="shared" si="88"/>
        <v>0</v>
      </c>
      <c r="L599" s="918">
        <f t="shared" si="89"/>
        <v>0</v>
      </c>
      <c r="M599" s="918">
        <f t="shared" si="90"/>
        <v>0</v>
      </c>
      <c r="N599" s="3719">
        <f t="shared" si="91"/>
        <v>0</v>
      </c>
      <c r="O599" s="3719"/>
      <c r="P599" s="490">
        <f t="shared" si="80"/>
        <v>0</v>
      </c>
      <c r="S599" s="32">
        <f>'2 REPAIR ESTIMATOR'!AD638</f>
        <v>0</v>
      </c>
      <c r="T599" s="32">
        <f>'2 REPAIR ESTIMATOR'!AM638</f>
        <v>0</v>
      </c>
      <c r="U599" s="32">
        <f t="shared" si="92"/>
        <v>0</v>
      </c>
      <c r="V599" s="32">
        <f>'2 REPAIR ESTIMATOR'!AG638</f>
        <v>0</v>
      </c>
      <c r="W599" s="32">
        <f>'2 REPAIR ESTIMATOR'!AJ638</f>
        <v>0</v>
      </c>
    </row>
    <row r="600" spans="3:23" ht="18" hidden="1">
      <c r="C600" s="3720" t="str">
        <f>T('2 REPAIR ESTIMATOR'!D639:O639)</f>
        <v>Wall insulation</v>
      </c>
      <c r="D600" s="3721"/>
      <c r="E600" s="3721"/>
      <c r="F600" s="3721"/>
      <c r="G600" s="3721"/>
      <c r="H600" s="3721"/>
      <c r="I600" s="916">
        <f>'2 REPAIR ESTIMATOR'!P639</f>
        <v>0</v>
      </c>
      <c r="J600" s="917" t="str">
        <f>'2 REPAIR ESTIMATOR'!S639</f>
        <v>sf</v>
      </c>
      <c r="K600" s="918">
        <f t="shared" si="88"/>
        <v>0</v>
      </c>
      <c r="L600" s="918">
        <f t="shared" si="89"/>
        <v>0</v>
      </c>
      <c r="M600" s="918">
        <f t="shared" si="90"/>
        <v>0</v>
      </c>
      <c r="N600" s="3719">
        <f t="shared" si="91"/>
        <v>0</v>
      </c>
      <c r="O600" s="3719"/>
      <c r="P600" s="490">
        <f t="shared" si="80"/>
        <v>0</v>
      </c>
      <c r="S600" s="32">
        <f>'2 REPAIR ESTIMATOR'!AD639</f>
        <v>0</v>
      </c>
      <c r="T600" s="32">
        <f>'2 REPAIR ESTIMATOR'!AM639</f>
        <v>0</v>
      </c>
      <c r="U600" s="32">
        <f t="shared" si="92"/>
        <v>0</v>
      </c>
      <c r="V600" s="32">
        <f>'2 REPAIR ESTIMATOR'!AG639</f>
        <v>0</v>
      </c>
      <c r="W600" s="32">
        <f>'2 REPAIR ESTIMATOR'!AJ639</f>
        <v>0</v>
      </c>
    </row>
    <row r="601" spans="3:23" ht="18" hidden="1">
      <c r="C601" s="3720" t="str">
        <f>T('2 REPAIR ESTIMATOR'!D640:O640)</f>
        <v>Floor insulation</v>
      </c>
      <c r="D601" s="3721"/>
      <c r="E601" s="3721"/>
      <c r="F601" s="3721"/>
      <c r="G601" s="3721"/>
      <c r="H601" s="3721"/>
      <c r="I601" s="916">
        <f>'2 REPAIR ESTIMATOR'!P640</f>
        <v>0</v>
      </c>
      <c r="J601" s="917" t="str">
        <f>'2 REPAIR ESTIMATOR'!S640</f>
        <v>sf</v>
      </c>
      <c r="K601" s="918">
        <f t="shared" si="88"/>
        <v>0</v>
      </c>
      <c r="L601" s="918">
        <f t="shared" si="89"/>
        <v>0</v>
      </c>
      <c r="M601" s="918">
        <f t="shared" si="90"/>
        <v>0</v>
      </c>
      <c r="N601" s="3719">
        <f t="shared" si="91"/>
        <v>0</v>
      </c>
      <c r="O601" s="3719"/>
      <c r="P601" s="490">
        <f t="shared" si="80"/>
        <v>0</v>
      </c>
      <c r="S601" s="32">
        <f>'2 REPAIR ESTIMATOR'!AD640</f>
        <v>0</v>
      </c>
      <c r="T601" s="32">
        <f>'2 REPAIR ESTIMATOR'!AM640</f>
        <v>0</v>
      </c>
      <c r="U601" s="32">
        <f t="shared" si="92"/>
        <v>0</v>
      </c>
      <c r="V601" s="32">
        <f>'2 REPAIR ESTIMATOR'!AG640</f>
        <v>0</v>
      </c>
      <c r="W601" s="32">
        <f>'2 REPAIR ESTIMATOR'!AJ640</f>
        <v>0</v>
      </c>
    </row>
    <row r="602" spans="3:23" ht="18" hidden="1">
      <c r="C602" s="3720" t="str">
        <f>T('2 REPAIR ESTIMATOR'!D641:O641)</f>
        <v>Attic insulation, blown-in</v>
      </c>
      <c r="D602" s="3721"/>
      <c r="E602" s="3721"/>
      <c r="F602" s="3721"/>
      <c r="G602" s="3721"/>
      <c r="H602" s="3721"/>
      <c r="I602" s="916">
        <f>'2 REPAIR ESTIMATOR'!P641</f>
        <v>0</v>
      </c>
      <c r="J602" s="917" t="str">
        <f>'2 REPAIR ESTIMATOR'!S641</f>
        <v>sf</v>
      </c>
      <c r="K602" s="918">
        <f t="shared" si="88"/>
        <v>0</v>
      </c>
      <c r="L602" s="918">
        <f t="shared" si="89"/>
        <v>0</v>
      </c>
      <c r="M602" s="918">
        <f t="shared" si="90"/>
        <v>0</v>
      </c>
      <c r="N602" s="3719">
        <f t="shared" si="91"/>
        <v>0</v>
      </c>
      <c r="O602" s="3719"/>
      <c r="P602" s="490">
        <f t="shared" si="80"/>
        <v>0</v>
      </c>
      <c r="S602" s="32">
        <f>'2 REPAIR ESTIMATOR'!AD641</f>
        <v>0</v>
      </c>
      <c r="T602" s="32">
        <f>'2 REPAIR ESTIMATOR'!AM641</f>
        <v>0</v>
      </c>
      <c r="U602" s="32">
        <f t="shared" si="92"/>
        <v>0</v>
      </c>
      <c r="V602" s="32">
        <f>'2 REPAIR ESTIMATOR'!AG641</f>
        <v>0</v>
      </c>
      <c r="W602" s="32">
        <f>'2 REPAIR ESTIMATOR'!AJ641</f>
        <v>0</v>
      </c>
    </row>
    <row r="603" spans="3:23" ht="18" hidden="1">
      <c r="C603" s="3787" t="str">
        <f>T('2 REPAIR ESTIMATOR'!D642:O642)</f>
        <v>Walls/Ceilings</v>
      </c>
      <c r="D603" s="3788"/>
      <c r="E603" s="3788"/>
      <c r="F603" s="3788"/>
      <c r="G603" s="3788"/>
      <c r="H603" s="3788"/>
      <c r="I603" s="916">
        <f>'2 REPAIR ESTIMATOR'!P642</f>
        <v>0</v>
      </c>
      <c r="J603" s="917">
        <f>'2 REPAIR ESTIMATOR'!S642</f>
        <v>0</v>
      </c>
      <c r="K603" s="918">
        <f t="shared" si="88"/>
        <v>0</v>
      </c>
      <c r="L603" s="918">
        <f t="shared" si="89"/>
        <v>0</v>
      </c>
      <c r="M603" s="918">
        <f t="shared" si="90"/>
        <v>0</v>
      </c>
      <c r="N603" s="3719">
        <f t="shared" si="91"/>
        <v>0</v>
      </c>
      <c r="O603" s="3719"/>
      <c r="P603" s="490">
        <f t="shared" si="80"/>
        <v>0</v>
      </c>
      <c r="S603" s="32">
        <f>'2 REPAIR ESTIMATOR'!AD642</f>
        <v>0</v>
      </c>
      <c r="T603" s="32">
        <f>'2 REPAIR ESTIMATOR'!AM642</f>
        <v>0</v>
      </c>
      <c r="U603" s="32">
        <f t="shared" si="92"/>
        <v>0</v>
      </c>
      <c r="V603" s="32">
        <f>'2 REPAIR ESTIMATOR'!AG642</f>
        <v>0</v>
      </c>
      <c r="W603" s="32">
        <f>'2 REPAIR ESTIMATOR'!AJ642</f>
        <v>0</v>
      </c>
    </row>
    <row r="604" spans="3:23" ht="18" hidden="1">
      <c r="C604" s="3720" t="str">
        <f>T('2 REPAIR ESTIMATOR'!D643:O643)</f>
        <v>Drywall bid/allowance, case by case</v>
      </c>
      <c r="D604" s="3721"/>
      <c r="E604" s="3721"/>
      <c r="F604" s="3721"/>
      <c r="G604" s="3721"/>
      <c r="H604" s="3721"/>
      <c r="I604" s="916">
        <f>'2 REPAIR ESTIMATOR'!P643</f>
        <v>0</v>
      </c>
      <c r="J604" s="917" t="str">
        <f>'2 REPAIR ESTIMATOR'!S643</f>
        <v>ls</v>
      </c>
      <c r="K604" s="918">
        <f t="shared" si="88"/>
        <v>0</v>
      </c>
      <c r="L604" s="918">
        <f t="shared" si="89"/>
        <v>0</v>
      </c>
      <c r="M604" s="918">
        <f t="shared" si="90"/>
        <v>0</v>
      </c>
      <c r="N604" s="3719">
        <f t="shared" si="91"/>
        <v>0</v>
      </c>
      <c r="O604" s="3719"/>
      <c r="P604" s="490">
        <f t="shared" si="80"/>
        <v>0</v>
      </c>
      <c r="S604" s="32">
        <f>'2 REPAIR ESTIMATOR'!AD643</f>
        <v>0</v>
      </c>
      <c r="T604" s="32">
        <f>'2 REPAIR ESTIMATOR'!AM643</f>
        <v>0</v>
      </c>
      <c r="U604" s="32">
        <f t="shared" si="92"/>
        <v>0</v>
      </c>
      <c r="V604" s="32">
        <f>'2 REPAIR ESTIMATOR'!AG643</f>
        <v>0</v>
      </c>
      <c r="W604" s="32">
        <f>'2 REPAIR ESTIMATOR'!AJ643</f>
        <v>0</v>
      </c>
    </row>
    <row r="605" spans="3:23" ht="18" hidden="1">
      <c r="C605" s="3720" t="str">
        <f>T('2 REPAIR ESTIMATOR'!D644:O644)</f>
        <v>Drywall wallboard, 1/2" thick, finish one side</v>
      </c>
      <c r="D605" s="3721"/>
      <c r="E605" s="3721"/>
      <c r="F605" s="3721"/>
      <c r="G605" s="3721"/>
      <c r="H605" s="3721"/>
      <c r="I605" s="916">
        <f>'2 REPAIR ESTIMATOR'!P644</f>
        <v>0</v>
      </c>
      <c r="J605" s="917" t="str">
        <f>'2 REPAIR ESTIMATOR'!S644</f>
        <v>sf</v>
      </c>
      <c r="K605" s="918">
        <f t="shared" si="88"/>
        <v>0</v>
      </c>
      <c r="L605" s="918">
        <f t="shared" si="89"/>
        <v>0</v>
      </c>
      <c r="M605" s="918">
        <f t="shared" si="90"/>
        <v>0</v>
      </c>
      <c r="N605" s="3719">
        <f t="shared" si="91"/>
        <v>0</v>
      </c>
      <c r="O605" s="3719"/>
      <c r="P605" s="489">
        <f t="shared" si="80"/>
        <v>0</v>
      </c>
      <c r="S605" s="32">
        <f>'2 REPAIR ESTIMATOR'!AD644</f>
        <v>0</v>
      </c>
      <c r="T605" s="32">
        <f>'2 REPAIR ESTIMATOR'!AM644</f>
        <v>0</v>
      </c>
      <c r="U605" s="32">
        <f t="shared" si="92"/>
        <v>0</v>
      </c>
      <c r="V605" s="32">
        <f>'2 REPAIR ESTIMATOR'!AG644</f>
        <v>0</v>
      </c>
      <c r="W605" s="32">
        <f>'2 REPAIR ESTIMATOR'!AJ644</f>
        <v>0</v>
      </c>
    </row>
    <row r="606" spans="3:23" ht="18" hidden="1">
      <c r="C606" s="3720" t="str">
        <f>T('2 REPAIR ESTIMATOR'!D645:O645)</f>
        <v>Drywall ceilings, 1/2" thick</v>
      </c>
      <c r="D606" s="3721"/>
      <c r="E606" s="3721"/>
      <c r="F606" s="3721"/>
      <c r="G606" s="3721"/>
      <c r="H606" s="3721"/>
      <c r="I606" s="916">
        <f>'2 REPAIR ESTIMATOR'!P645</f>
        <v>0</v>
      </c>
      <c r="J606" s="917" t="str">
        <f>'2 REPAIR ESTIMATOR'!S645</f>
        <v>sf</v>
      </c>
      <c r="K606" s="918">
        <f t="shared" si="88"/>
        <v>0</v>
      </c>
      <c r="L606" s="918">
        <f t="shared" si="89"/>
        <v>0</v>
      </c>
      <c r="M606" s="918">
        <f t="shared" si="90"/>
        <v>0</v>
      </c>
      <c r="N606" s="3719">
        <f t="shared" si="91"/>
        <v>0</v>
      </c>
      <c r="O606" s="3719"/>
      <c r="P606" s="490">
        <f>I606</f>
        <v>0</v>
      </c>
      <c r="S606" s="32">
        <f>'2 REPAIR ESTIMATOR'!AD645</f>
        <v>0</v>
      </c>
      <c r="T606" s="32">
        <f>'2 REPAIR ESTIMATOR'!AM645</f>
        <v>0</v>
      </c>
      <c r="U606" s="32">
        <f t="shared" si="92"/>
        <v>0</v>
      </c>
      <c r="V606" s="32">
        <f>'2 REPAIR ESTIMATOR'!AG645</f>
        <v>0</v>
      </c>
      <c r="W606" s="32">
        <f>'2 REPAIR ESTIMATOR'!AJ645</f>
        <v>0</v>
      </c>
    </row>
    <row r="607" spans="3:23" ht="18" hidden="1">
      <c r="C607" s="3720" t="str">
        <f>T('2 REPAIR ESTIMATOR'!D646:O646)</f>
        <v>Skim coating/texturing walls</v>
      </c>
      <c r="D607" s="3721"/>
      <c r="E607" s="3721"/>
      <c r="F607" s="3721"/>
      <c r="G607" s="3721"/>
      <c r="H607" s="3721"/>
      <c r="I607" s="916">
        <f>'2 REPAIR ESTIMATOR'!P646</f>
        <v>0</v>
      </c>
      <c r="J607" s="917" t="str">
        <f>'2 REPAIR ESTIMATOR'!S646</f>
        <v>sf</v>
      </c>
      <c r="K607" s="918">
        <f t="shared" si="88"/>
        <v>0</v>
      </c>
      <c r="L607" s="918">
        <f t="shared" si="89"/>
        <v>0</v>
      </c>
      <c r="M607" s="918">
        <f t="shared" si="90"/>
        <v>0</v>
      </c>
      <c r="N607" s="3719">
        <f t="shared" si="91"/>
        <v>0</v>
      </c>
      <c r="O607" s="3719"/>
      <c r="P607" s="489">
        <f t="shared" si="80"/>
        <v>0</v>
      </c>
      <c r="S607" s="32">
        <f>'2 REPAIR ESTIMATOR'!AD646</f>
        <v>0</v>
      </c>
      <c r="T607" s="32">
        <f>'2 REPAIR ESTIMATOR'!AM646</f>
        <v>0</v>
      </c>
      <c r="U607" s="32">
        <f t="shared" si="92"/>
        <v>0</v>
      </c>
      <c r="V607" s="32">
        <f>'2 REPAIR ESTIMATOR'!AG646</f>
        <v>0</v>
      </c>
      <c r="W607" s="32">
        <f>'2 REPAIR ESTIMATOR'!AJ646</f>
        <v>0</v>
      </c>
    </row>
    <row r="608" spans="3:23" ht="18" hidden="1">
      <c r="C608" s="3720" t="str">
        <f>T('2 REPAIR ESTIMATOR'!D647:O647)</f>
        <v>Skim coating/texturing ceilings</v>
      </c>
      <c r="D608" s="3721"/>
      <c r="E608" s="3721"/>
      <c r="F608" s="3721"/>
      <c r="G608" s="3721"/>
      <c r="H608" s="3721"/>
      <c r="I608" s="916">
        <f>'2 REPAIR ESTIMATOR'!P647</f>
        <v>0</v>
      </c>
      <c r="J608" s="917" t="str">
        <f>'2 REPAIR ESTIMATOR'!S647</f>
        <v>sf</v>
      </c>
      <c r="K608" s="918">
        <f t="shared" si="88"/>
        <v>0</v>
      </c>
      <c r="L608" s="918">
        <f t="shared" si="89"/>
        <v>0</v>
      </c>
      <c r="M608" s="918">
        <f t="shared" si="90"/>
        <v>0</v>
      </c>
      <c r="N608" s="3719">
        <f t="shared" si="91"/>
        <v>0</v>
      </c>
      <c r="O608" s="3719"/>
      <c r="P608" s="490">
        <f t="shared" si="80"/>
        <v>0</v>
      </c>
      <c r="S608" s="32">
        <f>'2 REPAIR ESTIMATOR'!AD647</f>
        <v>0</v>
      </c>
      <c r="T608" s="32">
        <f>'2 REPAIR ESTIMATOR'!AM647</f>
        <v>0</v>
      </c>
      <c r="U608" s="32">
        <f t="shared" si="92"/>
        <v>0</v>
      </c>
      <c r="V608" s="32">
        <f>'2 REPAIR ESTIMATOR'!AG647</f>
        <v>0</v>
      </c>
      <c r="W608" s="32">
        <f>'2 REPAIR ESTIMATOR'!AJ647</f>
        <v>0</v>
      </c>
    </row>
    <row r="609" spans="3:23" ht="18" hidden="1">
      <c r="C609" s="3720" t="str">
        <f>T('2 REPAIR ESTIMATOR'!D648:O648)</f>
        <v/>
      </c>
      <c r="D609" s="3721"/>
      <c r="E609" s="3721"/>
      <c r="F609" s="3721"/>
      <c r="G609" s="3721"/>
      <c r="H609" s="3721"/>
      <c r="I609" s="916">
        <f>'2 REPAIR ESTIMATOR'!P648</f>
        <v>0</v>
      </c>
      <c r="J609" s="917">
        <f>'2 REPAIR ESTIMATOR'!S648</f>
        <v>0</v>
      </c>
      <c r="K609" s="918">
        <f t="shared" si="88"/>
        <v>0</v>
      </c>
      <c r="L609" s="918">
        <f t="shared" si="89"/>
        <v>0</v>
      </c>
      <c r="M609" s="918">
        <f t="shared" si="90"/>
        <v>0</v>
      </c>
      <c r="N609" s="3719">
        <f t="shared" si="91"/>
        <v>0</v>
      </c>
      <c r="O609" s="3719"/>
      <c r="P609" s="490">
        <f>I609</f>
        <v>0</v>
      </c>
      <c r="S609" s="32">
        <f>'2 REPAIR ESTIMATOR'!AD648</f>
        <v>0</v>
      </c>
      <c r="T609" s="32">
        <f>'2 REPAIR ESTIMATOR'!AM648</f>
        <v>0</v>
      </c>
      <c r="U609" s="32">
        <f t="shared" si="92"/>
        <v>0</v>
      </c>
      <c r="V609" s="32">
        <f>'2 REPAIR ESTIMATOR'!AG648</f>
        <v>0</v>
      </c>
      <c r="W609" s="32">
        <f>'2 REPAIR ESTIMATOR'!AJ648</f>
        <v>0</v>
      </c>
    </row>
    <row r="610" spans="3:23" ht="18" hidden="1">
      <c r="C610" s="3720" t="str">
        <f>T('2 REPAIR ESTIMATOR'!D649:O649)</f>
        <v/>
      </c>
      <c r="D610" s="3721"/>
      <c r="E610" s="3721"/>
      <c r="F610" s="3721"/>
      <c r="G610" s="3721"/>
      <c r="H610" s="3721"/>
      <c r="I610" s="916">
        <f>'2 REPAIR ESTIMATOR'!P649</f>
        <v>0</v>
      </c>
      <c r="J610" s="917">
        <f>'2 REPAIR ESTIMATOR'!S649</f>
        <v>0</v>
      </c>
      <c r="K610" s="918">
        <f t="shared" si="88"/>
        <v>0</v>
      </c>
      <c r="L610" s="918">
        <f t="shared" si="89"/>
        <v>0</v>
      </c>
      <c r="M610" s="918">
        <f t="shared" si="90"/>
        <v>0</v>
      </c>
      <c r="N610" s="3719">
        <f t="shared" si="91"/>
        <v>0</v>
      </c>
      <c r="O610" s="3719"/>
      <c r="P610" s="490">
        <f>I610</f>
        <v>0</v>
      </c>
      <c r="S610" s="32">
        <f>'2 REPAIR ESTIMATOR'!AD649</f>
        <v>0</v>
      </c>
      <c r="T610" s="32">
        <f>'2 REPAIR ESTIMATOR'!AM649</f>
        <v>0</v>
      </c>
      <c r="U610" s="32">
        <f t="shared" si="92"/>
        <v>0</v>
      </c>
      <c r="V610" s="32">
        <f>'2 REPAIR ESTIMATOR'!AG649</f>
        <v>0</v>
      </c>
      <c r="W610" s="32">
        <f>'2 REPAIR ESTIMATOR'!AJ649</f>
        <v>0</v>
      </c>
    </row>
    <row r="611" spans="3:23" ht="18" hidden="1">
      <c r="C611" s="3720" t="str">
        <f>T('2 REPAIR ESTIMATOR'!D650:O650)</f>
        <v/>
      </c>
      <c r="D611" s="3721"/>
      <c r="E611" s="3721"/>
      <c r="F611" s="3721"/>
      <c r="G611" s="3721"/>
      <c r="H611" s="3721"/>
      <c r="I611" s="916">
        <f>'2 REPAIR ESTIMATOR'!P650</f>
        <v>0</v>
      </c>
      <c r="J611" s="917">
        <f>'2 REPAIR ESTIMATOR'!S650</f>
        <v>0</v>
      </c>
      <c r="K611" s="918">
        <f t="shared" si="88"/>
        <v>0</v>
      </c>
      <c r="L611" s="918">
        <f t="shared" si="89"/>
        <v>0</v>
      </c>
      <c r="M611" s="918">
        <f t="shared" si="90"/>
        <v>0</v>
      </c>
      <c r="N611" s="3719">
        <f t="shared" si="91"/>
        <v>0</v>
      </c>
      <c r="O611" s="3719"/>
      <c r="P611" s="490">
        <f>I611</f>
        <v>0</v>
      </c>
      <c r="S611" s="32">
        <f>'2 REPAIR ESTIMATOR'!AD650</f>
        <v>0</v>
      </c>
      <c r="T611" s="32">
        <f>'2 REPAIR ESTIMATOR'!AM650</f>
        <v>0</v>
      </c>
      <c r="U611" s="32">
        <f t="shared" si="92"/>
        <v>0</v>
      </c>
      <c r="V611" s="32">
        <f>'2 REPAIR ESTIMATOR'!AG650</f>
        <v>0</v>
      </c>
      <c r="W611" s="32">
        <f>'2 REPAIR ESTIMATOR'!AJ650</f>
        <v>0</v>
      </c>
    </row>
    <row r="612" spans="3:23" ht="18" hidden="1">
      <c r="C612" s="3720" t="str">
        <f>T('2 REPAIR ESTIMATOR'!D651:O651)</f>
        <v/>
      </c>
      <c r="D612" s="3721"/>
      <c r="E612" s="3721"/>
      <c r="F612" s="3721"/>
      <c r="G612" s="3721"/>
      <c r="H612" s="3721"/>
      <c r="I612" s="916">
        <f>'2 REPAIR ESTIMATOR'!P651</f>
        <v>0</v>
      </c>
      <c r="J612" s="917">
        <f>'2 REPAIR ESTIMATOR'!S651</f>
        <v>0</v>
      </c>
      <c r="K612" s="918">
        <f t="shared" si="88"/>
        <v>0</v>
      </c>
      <c r="L612" s="918">
        <f t="shared" si="89"/>
        <v>0</v>
      </c>
      <c r="M612" s="918">
        <f t="shared" si="90"/>
        <v>0</v>
      </c>
      <c r="N612" s="3719">
        <f t="shared" si="91"/>
        <v>0</v>
      </c>
      <c r="O612" s="3719"/>
      <c r="P612" s="490">
        <f>I612</f>
        <v>0</v>
      </c>
      <c r="S612" s="32">
        <f>'2 REPAIR ESTIMATOR'!AD651</f>
        <v>0</v>
      </c>
      <c r="T612" s="32">
        <f>'2 REPAIR ESTIMATOR'!AM651</f>
        <v>0</v>
      </c>
      <c r="U612" s="32">
        <f t="shared" si="92"/>
        <v>0</v>
      </c>
      <c r="V612" s="32">
        <f>'2 REPAIR ESTIMATOR'!AG651</f>
        <v>0</v>
      </c>
      <c r="W612" s="32">
        <f>'2 REPAIR ESTIMATOR'!AJ651</f>
        <v>0</v>
      </c>
    </row>
    <row r="613" spans="3:23" ht="18" hidden="1">
      <c r="C613" s="3720" t="str">
        <f>T('2 REPAIR ESTIMATOR'!D652:O652)</f>
        <v/>
      </c>
      <c r="D613" s="3721"/>
      <c r="E613" s="3721"/>
      <c r="F613" s="3721"/>
      <c r="G613" s="3721"/>
      <c r="H613" s="3721"/>
      <c r="I613" s="916">
        <f>'2 REPAIR ESTIMATOR'!P652</f>
        <v>0</v>
      </c>
      <c r="J613" s="917">
        <f>'2 REPAIR ESTIMATOR'!S652</f>
        <v>0</v>
      </c>
      <c r="K613" s="918">
        <f t="shared" si="88"/>
        <v>0</v>
      </c>
      <c r="L613" s="918">
        <f t="shared" si="89"/>
        <v>0</v>
      </c>
      <c r="M613" s="918">
        <f t="shared" si="90"/>
        <v>0</v>
      </c>
      <c r="N613" s="3719">
        <f t="shared" si="91"/>
        <v>0</v>
      </c>
      <c r="O613" s="3719"/>
      <c r="P613" s="490">
        <f>I613</f>
        <v>0</v>
      </c>
      <c r="S613" s="32">
        <f>'2 REPAIR ESTIMATOR'!AD652</f>
        <v>0</v>
      </c>
      <c r="T613" s="32">
        <f>'2 REPAIR ESTIMATOR'!AM652</f>
        <v>0</v>
      </c>
      <c r="U613" s="32">
        <f t="shared" si="92"/>
        <v>0</v>
      </c>
      <c r="V613" s="32">
        <f>'2 REPAIR ESTIMATOR'!AG652</f>
        <v>0</v>
      </c>
      <c r="W613" s="32">
        <f>'2 REPAIR ESTIMATOR'!AJ652</f>
        <v>0</v>
      </c>
    </row>
    <row r="614" spans="3:23" ht="18" hidden="1">
      <c r="C614" s="3720" t="str">
        <f>T('2 REPAIR ESTIMATOR'!D653:O653)</f>
        <v/>
      </c>
      <c r="D614" s="3721"/>
      <c r="E614" s="3721"/>
      <c r="F614" s="3721"/>
      <c r="G614" s="3721"/>
      <c r="H614" s="3721"/>
      <c r="I614" s="916">
        <f>'2 REPAIR ESTIMATOR'!P653</f>
        <v>0</v>
      </c>
      <c r="J614" s="917">
        <f>'2 REPAIR ESTIMATOR'!S653</f>
        <v>0</v>
      </c>
      <c r="K614" s="918">
        <f t="shared" si="88"/>
        <v>0</v>
      </c>
      <c r="L614" s="918">
        <f t="shared" si="89"/>
        <v>0</v>
      </c>
      <c r="M614" s="918">
        <f t="shared" si="90"/>
        <v>0</v>
      </c>
      <c r="N614" s="3719">
        <f t="shared" si="91"/>
        <v>0</v>
      </c>
      <c r="O614" s="3719"/>
      <c r="P614" s="490">
        <f t="shared" ref="P614:P625" si="93">I614</f>
        <v>0</v>
      </c>
      <c r="S614" s="32">
        <f>'2 REPAIR ESTIMATOR'!AD653</f>
        <v>0</v>
      </c>
      <c r="T614" s="32">
        <f>'2 REPAIR ESTIMATOR'!AM653</f>
        <v>0</v>
      </c>
      <c r="U614" s="32">
        <f t="shared" si="92"/>
        <v>0</v>
      </c>
      <c r="V614" s="32">
        <f>'2 REPAIR ESTIMATOR'!AG653</f>
        <v>0</v>
      </c>
      <c r="W614" s="32">
        <f>'2 REPAIR ESTIMATOR'!AJ653</f>
        <v>0</v>
      </c>
    </row>
    <row r="615" spans="3:23" ht="18" hidden="1">
      <c r="C615" s="3720" t="str">
        <f>T('2 REPAIR ESTIMATOR'!D654:O654)</f>
        <v/>
      </c>
      <c r="D615" s="3721"/>
      <c r="E615" s="3721"/>
      <c r="F615" s="3721"/>
      <c r="G615" s="3721"/>
      <c r="H615" s="3721"/>
      <c r="I615" s="916">
        <f>'2 REPAIR ESTIMATOR'!P654</f>
        <v>0</v>
      </c>
      <c r="J615" s="917">
        <f>'2 REPAIR ESTIMATOR'!S654</f>
        <v>0</v>
      </c>
      <c r="K615" s="918">
        <f t="shared" si="88"/>
        <v>0</v>
      </c>
      <c r="L615" s="918">
        <f t="shared" si="89"/>
        <v>0</v>
      </c>
      <c r="M615" s="918">
        <f t="shared" si="90"/>
        <v>0</v>
      </c>
      <c r="N615" s="3719">
        <f t="shared" si="91"/>
        <v>0</v>
      </c>
      <c r="O615" s="3719"/>
      <c r="P615" s="490">
        <f t="shared" si="93"/>
        <v>0</v>
      </c>
      <c r="S615" s="32">
        <f>'2 REPAIR ESTIMATOR'!AD654</f>
        <v>0</v>
      </c>
      <c r="T615" s="32">
        <f>'2 REPAIR ESTIMATOR'!AM654</f>
        <v>0</v>
      </c>
      <c r="U615" s="32">
        <f t="shared" si="92"/>
        <v>0</v>
      </c>
      <c r="V615" s="32">
        <f>'2 REPAIR ESTIMATOR'!AG654</f>
        <v>0</v>
      </c>
      <c r="W615" s="32">
        <f>'2 REPAIR ESTIMATOR'!AJ654</f>
        <v>0</v>
      </c>
    </row>
    <row r="616" spans="3:23" ht="18" hidden="1">
      <c r="C616" s="3720" t="str">
        <f>T('2 REPAIR ESTIMATOR'!D655:O655)</f>
        <v/>
      </c>
      <c r="D616" s="3721"/>
      <c r="E616" s="3721"/>
      <c r="F616" s="3721"/>
      <c r="G616" s="3721"/>
      <c r="H616" s="3721"/>
      <c r="I616" s="916">
        <f>'2 REPAIR ESTIMATOR'!P655</f>
        <v>0</v>
      </c>
      <c r="J616" s="917">
        <f>'2 REPAIR ESTIMATOR'!S655</f>
        <v>0</v>
      </c>
      <c r="K616" s="918">
        <f t="shared" si="88"/>
        <v>0</v>
      </c>
      <c r="L616" s="918">
        <f t="shared" si="89"/>
        <v>0</v>
      </c>
      <c r="M616" s="918">
        <f t="shared" si="90"/>
        <v>0</v>
      </c>
      <c r="N616" s="3719">
        <f t="shared" si="91"/>
        <v>0</v>
      </c>
      <c r="O616" s="3719"/>
      <c r="P616" s="490">
        <f t="shared" si="93"/>
        <v>0</v>
      </c>
      <c r="S616" s="32">
        <f>'2 REPAIR ESTIMATOR'!AD655</f>
        <v>0</v>
      </c>
      <c r="T616" s="32">
        <f>'2 REPAIR ESTIMATOR'!AM655</f>
        <v>0</v>
      </c>
      <c r="U616" s="32">
        <f t="shared" si="92"/>
        <v>0</v>
      </c>
      <c r="V616" s="32">
        <f>'2 REPAIR ESTIMATOR'!AG655</f>
        <v>0</v>
      </c>
      <c r="W616" s="32">
        <f>'2 REPAIR ESTIMATOR'!AJ655</f>
        <v>0</v>
      </c>
    </row>
    <row r="617" spans="3:23" ht="18" hidden="1">
      <c r="C617" s="3720" t="str">
        <f>T('2 REPAIR ESTIMATOR'!D656:O656)</f>
        <v/>
      </c>
      <c r="D617" s="3721"/>
      <c r="E617" s="3721"/>
      <c r="F617" s="3721"/>
      <c r="G617" s="3721"/>
      <c r="H617" s="3721"/>
      <c r="I617" s="916">
        <f>'2 REPAIR ESTIMATOR'!P656</f>
        <v>0</v>
      </c>
      <c r="J617" s="917">
        <f>'2 REPAIR ESTIMATOR'!S656</f>
        <v>0</v>
      </c>
      <c r="K617" s="918">
        <f t="shared" si="88"/>
        <v>0</v>
      </c>
      <c r="L617" s="918">
        <f t="shared" si="89"/>
        <v>0</v>
      </c>
      <c r="M617" s="918">
        <f t="shared" si="90"/>
        <v>0</v>
      </c>
      <c r="N617" s="3719">
        <f t="shared" si="91"/>
        <v>0</v>
      </c>
      <c r="O617" s="3719"/>
      <c r="P617" s="490">
        <f t="shared" si="93"/>
        <v>0</v>
      </c>
      <c r="S617" s="32">
        <f>'2 REPAIR ESTIMATOR'!AD656</f>
        <v>0</v>
      </c>
      <c r="T617" s="32">
        <f>'2 REPAIR ESTIMATOR'!AM656</f>
        <v>0</v>
      </c>
      <c r="U617" s="32">
        <f t="shared" si="92"/>
        <v>0</v>
      </c>
      <c r="V617" s="32">
        <f>'2 REPAIR ESTIMATOR'!AG656</f>
        <v>0</v>
      </c>
      <c r="W617" s="32">
        <f>'2 REPAIR ESTIMATOR'!AJ656</f>
        <v>0</v>
      </c>
    </row>
    <row r="618" spans="3:23" ht="18" hidden="1">
      <c r="C618" s="3720" t="str">
        <f>T('2 REPAIR ESTIMATOR'!D657:O657)</f>
        <v/>
      </c>
      <c r="D618" s="3721"/>
      <c r="E618" s="3721"/>
      <c r="F618" s="3721"/>
      <c r="G618" s="3721"/>
      <c r="H618" s="3721"/>
      <c r="I618" s="916">
        <f>'2 REPAIR ESTIMATOR'!P657</f>
        <v>0</v>
      </c>
      <c r="J618" s="917">
        <f>'2 REPAIR ESTIMATOR'!S657</f>
        <v>0</v>
      </c>
      <c r="K618" s="918">
        <f t="shared" si="88"/>
        <v>0</v>
      </c>
      <c r="L618" s="918">
        <f t="shared" si="89"/>
        <v>0</v>
      </c>
      <c r="M618" s="918">
        <f t="shared" si="90"/>
        <v>0</v>
      </c>
      <c r="N618" s="3719">
        <f t="shared" si="91"/>
        <v>0</v>
      </c>
      <c r="O618" s="3719"/>
      <c r="P618" s="490">
        <f t="shared" si="93"/>
        <v>0</v>
      </c>
      <c r="S618" s="32">
        <f>'2 REPAIR ESTIMATOR'!AD657</f>
        <v>0</v>
      </c>
      <c r="T618" s="32">
        <f>'2 REPAIR ESTIMATOR'!AM657</f>
        <v>0</v>
      </c>
      <c r="U618" s="32">
        <f t="shared" si="92"/>
        <v>0</v>
      </c>
      <c r="V618" s="32">
        <f>'2 REPAIR ESTIMATOR'!AG657</f>
        <v>0</v>
      </c>
      <c r="W618" s="32">
        <f>'2 REPAIR ESTIMATOR'!AJ657</f>
        <v>0</v>
      </c>
    </row>
    <row r="619" spans="3:23" ht="18" hidden="1">
      <c r="C619" s="3720" t="str">
        <f>T('2 REPAIR ESTIMATOR'!D658:O658)</f>
        <v/>
      </c>
      <c r="D619" s="3721"/>
      <c r="E619" s="3721"/>
      <c r="F619" s="3721"/>
      <c r="G619" s="3721"/>
      <c r="H619" s="3721"/>
      <c r="I619" s="916">
        <f>'2 REPAIR ESTIMATOR'!P658</f>
        <v>0</v>
      </c>
      <c r="J619" s="917">
        <f>'2 REPAIR ESTIMATOR'!S658</f>
        <v>0</v>
      </c>
      <c r="K619" s="918">
        <f t="shared" si="88"/>
        <v>0</v>
      </c>
      <c r="L619" s="918">
        <f t="shared" si="89"/>
        <v>0</v>
      </c>
      <c r="M619" s="918">
        <f t="shared" si="90"/>
        <v>0</v>
      </c>
      <c r="N619" s="3719">
        <f t="shared" si="91"/>
        <v>0</v>
      </c>
      <c r="O619" s="3719"/>
      <c r="P619" s="490">
        <f t="shared" si="93"/>
        <v>0</v>
      </c>
      <c r="S619" s="32">
        <f>'2 REPAIR ESTIMATOR'!AD658</f>
        <v>0</v>
      </c>
      <c r="T619" s="32">
        <f>'2 REPAIR ESTIMATOR'!AM658</f>
        <v>0</v>
      </c>
      <c r="U619" s="32">
        <f t="shared" si="92"/>
        <v>0</v>
      </c>
      <c r="V619" s="32">
        <f>'2 REPAIR ESTIMATOR'!AG658</f>
        <v>0</v>
      </c>
      <c r="W619" s="32">
        <f>'2 REPAIR ESTIMATOR'!AJ658</f>
        <v>0</v>
      </c>
    </row>
    <row r="620" spans="3:23" ht="18" hidden="1">
      <c r="C620" s="3720" t="str">
        <f>T('2 REPAIR ESTIMATOR'!D659:O659)</f>
        <v/>
      </c>
      <c r="D620" s="3721"/>
      <c r="E620" s="3721"/>
      <c r="F620" s="3721"/>
      <c r="G620" s="3721"/>
      <c r="H620" s="3721"/>
      <c r="I620" s="916">
        <f>'2 REPAIR ESTIMATOR'!P659</f>
        <v>0</v>
      </c>
      <c r="J620" s="917">
        <f>'2 REPAIR ESTIMATOR'!S659</f>
        <v>0</v>
      </c>
      <c r="K620" s="918">
        <f t="shared" si="88"/>
        <v>0</v>
      </c>
      <c r="L620" s="918">
        <f t="shared" si="89"/>
        <v>0</v>
      </c>
      <c r="M620" s="918">
        <f t="shared" si="90"/>
        <v>0</v>
      </c>
      <c r="N620" s="3719">
        <f t="shared" si="91"/>
        <v>0</v>
      </c>
      <c r="O620" s="3719"/>
      <c r="P620" s="490">
        <f t="shared" si="93"/>
        <v>0</v>
      </c>
      <c r="S620" s="32">
        <f>'2 REPAIR ESTIMATOR'!AD659</f>
        <v>0</v>
      </c>
      <c r="T620" s="32">
        <f>'2 REPAIR ESTIMATOR'!AM659</f>
        <v>0</v>
      </c>
      <c r="U620" s="32">
        <f t="shared" si="92"/>
        <v>0</v>
      </c>
      <c r="V620" s="32">
        <f>'2 REPAIR ESTIMATOR'!AG659</f>
        <v>0</v>
      </c>
      <c r="W620" s="32">
        <f>'2 REPAIR ESTIMATOR'!AJ659</f>
        <v>0</v>
      </c>
    </row>
    <row r="621" spans="3:23" ht="18" hidden="1">
      <c r="C621" s="3720" t="str">
        <f>T('2 REPAIR ESTIMATOR'!D660:O660)</f>
        <v/>
      </c>
      <c r="D621" s="3721"/>
      <c r="E621" s="3721"/>
      <c r="F621" s="3721"/>
      <c r="G621" s="3721"/>
      <c r="H621" s="3721"/>
      <c r="I621" s="916">
        <f>'2 REPAIR ESTIMATOR'!P660</f>
        <v>0</v>
      </c>
      <c r="J621" s="917">
        <f>'2 REPAIR ESTIMATOR'!S660</f>
        <v>0</v>
      </c>
      <c r="K621" s="918">
        <f t="shared" si="88"/>
        <v>0</v>
      </c>
      <c r="L621" s="918">
        <f t="shared" si="89"/>
        <v>0</v>
      </c>
      <c r="M621" s="918">
        <f t="shared" si="90"/>
        <v>0</v>
      </c>
      <c r="N621" s="3719">
        <f t="shared" si="91"/>
        <v>0</v>
      </c>
      <c r="O621" s="3719"/>
      <c r="P621" s="490">
        <f t="shared" si="93"/>
        <v>0</v>
      </c>
      <c r="S621" s="32">
        <f>'2 REPAIR ESTIMATOR'!AD660</f>
        <v>0</v>
      </c>
      <c r="T621" s="32">
        <f>'2 REPAIR ESTIMATOR'!AM660</f>
        <v>0</v>
      </c>
      <c r="U621" s="32">
        <f t="shared" si="92"/>
        <v>0</v>
      </c>
      <c r="V621" s="32">
        <f>'2 REPAIR ESTIMATOR'!AG660</f>
        <v>0</v>
      </c>
      <c r="W621" s="32">
        <f>'2 REPAIR ESTIMATOR'!AJ660</f>
        <v>0</v>
      </c>
    </row>
    <row r="622" spans="3:23" ht="18" hidden="1">
      <c r="C622" s="3720" t="str">
        <f>T('2 REPAIR ESTIMATOR'!D661:O661)</f>
        <v/>
      </c>
      <c r="D622" s="3721"/>
      <c r="E622" s="3721"/>
      <c r="F622" s="3721"/>
      <c r="G622" s="3721"/>
      <c r="H622" s="3721"/>
      <c r="I622" s="916">
        <f>'2 REPAIR ESTIMATOR'!P661</f>
        <v>0</v>
      </c>
      <c r="J622" s="917">
        <f>'2 REPAIR ESTIMATOR'!S661</f>
        <v>0</v>
      </c>
      <c r="K622" s="918">
        <f t="shared" si="88"/>
        <v>0</v>
      </c>
      <c r="L622" s="918">
        <f t="shared" si="89"/>
        <v>0</v>
      </c>
      <c r="M622" s="918">
        <f t="shared" si="90"/>
        <v>0</v>
      </c>
      <c r="N622" s="3719">
        <f t="shared" si="91"/>
        <v>0</v>
      </c>
      <c r="O622" s="3719"/>
      <c r="P622" s="490">
        <f t="shared" si="93"/>
        <v>0</v>
      </c>
      <c r="S622" s="32">
        <f>'2 REPAIR ESTIMATOR'!AD661</f>
        <v>0</v>
      </c>
      <c r="T622" s="32">
        <f>'2 REPAIR ESTIMATOR'!AM661</f>
        <v>0</v>
      </c>
      <c r="U622" s="32">
        <f t="shared" si="92"/>
        <v>0</v>
      </c>
      <c r="V622" s="32">
        <f>'2 REPAIR ESTIMATOR'!AG661</f>
        <v>0</v>
      </c>
      <c r="W622" s="32">
        <f>'2 REPAIR ESTIMATOR'!AJ661</f>
        <v>0</v>
      </c>
    </row>
    <row r="623" spans="3:23" ht="18" hidden="1">
      <c r="C623" s="3720" t="str">
        <f>T('2 REPAIR ESTIMATOR'!D662:O662)</f>
        <v/>
      </c>
      <c r="D623" s="3721"/>
      <c r="E623" s="3721"/>
      <c r="F623" s="3721"/>
      <c r="G623" s="3721"/>
      <c r="H623" s="3721"/>
      <c r="I623" s="916">
        <f>'2 REPAIR ESTIMATOR'!P662</f>
        <v>0</v>
      </c>
      <c r="J623" s="917">
        <f>'2 REPAIR ESTIMATOR'!S662</f>
        <v>0</v>
      </c>
      <c r="K623" s="918">
        <f t="shared" si="88"/>
        <v>0</v>
      </c>
      <c r="L623" s="918">
        <f t="shared" si="89"/>
        <v>0</v>
      </c>
      <c r="M623" s="918">
        <f t="shared" si="90"/>
        <v>0</v>
      </c>
      <c r="N623" s="3719">
        <f t="shared" si="91"/>
        <v>0</v>
      </c>
      <c r="O623" s="3719"/>
      <c r="P623" s="490">
        <f t="shared" si="93"/>
        <v>0</v>
      </c>
      <c r="S623" s="32">
        <f>'2 REPAIR ESTIMATOR'!AD662</f>
        <v>0</v>
      </c>
      <c r="T623" s="32">
        <f>'2 REPAIR ESTIMATOR'!AM662</f>
        <v>0</v>
      </c>
      <c r="U623" s="32">
        <f t="shared" si="92"/>
        <v>0</v>
      </c>
      <c r="V623" s="32">
        <f>'2 REPAIR ESTIMATOR'!AG662</f>
        <v>0</v>
      </c>
      <c r="W623" s="32">
        <f>'2 REPAIR ESTIMATOR'!AJ662</f>
        <v>0</v>
      </c>
    </row>
    <row r="624" spans="3:23" ht="18" hidden="1">
      <c r="C624" s="3720" t="str">
        <f>T('2 REPAIR ESTIMATOR'!D663:O663)</f>
        <v/>
      </c>
      <c r="D624" s="3721"/>
      <c r="E624" s="3721"/>
      <c r="F624" s="3721"/>
      <c r="G624" s="3721"/>
      <c r="H624" s="3721"/>
      <c r="I624" s="916">
        <f>'2 REPAIR ESTIMATOR'!P663</f>
        <v>0</v>
      </c>
      <c r="J624" s="917">
        <f>'2 REPAIR ESTIMATOR'!S663</f>
        <v>0</v>
      </c>
      <c r="K624" s="918">
        <f t="shared" si="88"/>
        <v>0</v>
      </c>
      <c r="L624" s="918">
        <f t="shared" si="89"/>
        <v>0</v>
      </c>
      <c r="M624" s="918">
        <f t="shared" si="90"/>
        <v>0</v>
      </c>
      <c r="N624" s="3719">
        <f t="shared" si="91"/>
        <v>0</v>
      </c>
      <c r="O624" s="3719"/>
      <c r="P624" s="490">
        <f t="shared" si="93"/>
        <v>0</v>
      </c>
      <c r="S624" s="32">
        <f>'2 REPAIR ESTIMATOR'!AD663</f>
        <v>0</v>
      </c>
      <c r="T624" s="32">
        <f>'2 REPAIR ESTIMATOR'!AM663</f>
        <v>0</v>
      </c>
      <c r="U624" s="32">
        <f t="shared" si="92"/>
        <v>0</v>
      </c>
      <c r="V624" s="32">
        <f>'2 REPAIR ESTIMATOR'!AG663</f>
        <v>0</v>
      </c>
      <c r="W624" s="32">
        <f>'2 REPAIR ESTIMATOR'!AJ663</f>
        <v>0</v>
      </c>
    </row>
    <row r="625" spans="3:23" ht="18" hidden="1">
      <c r="C625" s="3720" t="str">
        <f>T('2 REPAIR ESTIMATOR'!D664:O664)</f>
        <v/>
      </c>
      <c r="D625" s="3721"/>
      <c r="E625" s="3721"/>
      <c r="F625" s="3721"/>
      <c r="G625" s="3721"/>
      <c r="H625" s="3721"/>
      <c r="I625" s="916">
        <f>'2 REPAIR ESTIMATOR'!P664</f>
        <v>0</v>
      </c>
      <c r="J625" s="917">
        <f>'2 REPAIR ESTIMATOR'!S664</f>
        <v>0</v>
      </c>
      <c r="K625" s="918">
        <f t="shared" si="88"/>
        <v>0</v>
      </c>
      <c r="L625" s="918">
        <f t="shared" si="89"/>
        <v>0</v>
      </c>
      <c r="M625" s="918">
        <f t="shared" si="90"/>
        <v>0</v>
      </c>
      <c r="N625" s="3719">
        <f t="shared" si="91"/>
        <v>0</v>
      </c>
      <c r="O625" s="3719"/>
      <c r="P625" s="490">
        <f t="shared" si="93"/>
        <v>0</v>
      </c>
      <c r="S625" s="32">
        <f>'2 REPAIR ESTIMATOR'!AD664</f>
        <v>0</v>
      </c>
      <c r="T625" s="32">
        <f>'2 REPAIR ESTIMATOR'!AM664</f>
        <v>0</v>
      </c>
      <c r="U625" s="32">
        <f t="shared" si="92"/>
        <v>0</v>
      </c>
      <c r="V625" s="32">
        <f>'2 REPAIR ESTIMATOR'!AG664</f>
        <v>0</v>
      </c>
      <c r="W625" s="32">
        <f>'2 REPAIR ESTIMATOR'!AJ664</f>
        <v>0</v>
      </c>
    </row>
    <row r="626" spans="3:23" ht="18" hidden="1">
      <c r="C626" s="3720" t="str">
        <f>T('2 REPAIR ESTIMATOR'!D665:O665)</f>
        <v/>
      </c>
      <c r="D626" s="3721"/>
      <c r="E626" s="3721"/>
      <c r="F626" s="3721"/>
      <c r="G626" s="3721"/>
      <c r="H626" s="3721"/>
      <c r="I626" s="916">
        <f>'2 REPAIR ESTIMATOR'!P665</f>
        <v>0</v>
      </c>
      <c r="J626" s="917">
        <f>'2 REPAIR ESTIMATOR'!S665</f>
        <v>0</v>
      </c>
      <c r="K626" s="918">
        <f t="shared" si="88"/>
        <v>0</v>
      </c>
      <c r="L626" s="918">
        <f t="shared" si="89"/>
        <v>0</v>
      </c>
      <c r="M626" s="918">
        <f t="shared" si="90"/>
        <v>0</v>
      </c>
      <c r="N626" s="3719">
        <f t="shared" si="91"/>
        <v>0</v>
      </c>
      <c r="O626" s="3719"/>
      <c r="P626" s="490">
        <f>I626</f>
        <v>0</v>
      </c>
      <c r="S626" s="32">
        <f>'2 REPAIR ESTIMATOR'!AD665</f>
        <v>0</v>
      </c>
      <c r="T626" s="32">
        <f>'2 REPAIR ESTIMATOR'!AM665</f>
        <v>0</v>
      </c>
      <c r="U626" s="32">
        <f t="shared" si="92"/>
        <v>0</v>
      </c>
      <c r="V626" s="32">
        <f>'2 REPAIR ESTIMATOR'!AG665</f>
        <v>0</v>
      </c>
      <c r="W626" s="32">
        <f>'2 REPAIR ESTIMATOR'!AJ665</f>
        <v>0</v>
      </c>
    </row>
    <row r="627" spans="3:23" ht="18" hidden="1">
      <c r="C627" s="3720" t="str">
        <f>T('2 REPAIR ESTIMATOR'!D666:O666)</f>
        <v/>
      </c>
      <c r="D627" s="3721"/>
      <c r="E627" s="3721"/>
      <c r="F627" s="3721"/>
      <c r="G627" s="3721"/>
      <c r="H627" s="3721"/>
      <c r="I627" s="916">
        <f>'2 REPAIR ESTIMATOR'!P666</f>
        <v>0</v>
      </c>
      <c r="J627" s="917">
        <f>'2 REPAIR ESTIMATOR'!S666</f>
        <v>0</v>
      </c>
      <c r="K627" s="918">
        <f t="shared" si="88"/>
        <v>0</v>
      </c>
      <c r="L627" s="918">
        <f t="shared" si="89"/>
        <v>0</v>
      </c>
      <c r="M627" s="918">
        <f t="shared" si="90"/>
        <v>0</v>
      </c>
      <c r="N627" s="3719">
        <f t="shared" si="91"/>
        <v>0</v>
      </c>
      <c r="O627" s="3719"/>
      <c r="P627" s="490">
        <f>I627</f>
        <v>0</v>
      </c>
      <c r="S627" s="32">
        <f>'2 REPAIR ESTIMATOR'!AD666</f>
        <v>0</v>
      </c>
      <c r="T627" s="32">
        <f>'2 REPAIR ESTIMATOR'!AM666</f>
        <v>0</v>
      </c>
      <c r="U627" s="32">
        <f t="shared" si="92"/>
        <v>0</v>
      </c>
      <c r="V627" s="32">
        <f>'2 REPAIR ESTIMATOR'!AG666</f>
        <v>0</v>
      </c>
      <c r="W627" s="32">
        <f>'2 REPAIR ESTIMATOR'!AJ666</f>
        <v>0</v>
      </c>
    </row>
    <row r="628" spans="3:23" ht="18.350000000000001" hidden="1" thickBot="1">
      <c r="C628" s="3779" t="str">
        <f>T('2 REPAIR ESTIMATOR'!D667:O667)</f>
        <v/>
      </c>
      <c r="D628" s="3780"/>
      <c r="E628" s="3780"/>
      <c r="F628" s="3780"/>
      <c r="G628" s="3780"/>
      <c r="H628" s="3780"/>
      <c r="I628" s="919">
        <f>'2 REPAIR ESTIMATOR'!P667</f>
        <v>0</v>
      </c>
      <c r="J628" s="920">
        <f>'2 REPAIR ESTIMATOR'!S667</f>
        <v>0</v>
      </c>
      <c r="K628" s="921">
        <f t="shared" si="88"/>
        <v>0</v>
      </c>
      <c r="L628" s="921">
        <f t="shared" si="89"/>
        <v>0</v>
      </c>
      <c r="M628" s="921">
        <f t="shared" si="90"/>
        <v>0</v>
      </c>
      <c r="N628" s="3781">
        <f t="shared" si="91"/>
        <v>0</v>
      </c>
      <c r="O628" s="3781"/>
      <c r="P628" s="490">
        <f>I628</f>
        <v>0</v>
      </c>
      <c r="S628" s="32">
        <f>'2 REPAIR ESTIMATOR'!AD667</f>
        <v>0</v>
      </c>
      <c r="T628" s="32">
        <f>'2 REPAIR ESTIMATOR'!AM667</f>
        <v>0</v>
      </c>
      <c r="U628" s="32">
        <f t="shared" si="92"/>
        <v>0</v>
      </c>
      <c r="V628" s="32">
        <f>'2 REPAIR ESTIMATOR'!AG667</f>
        <v>0</v>
      </c>
      <c r="W628" s="32">
        <f>'2 REPAIR ESTIMATOR'!AJ667</f>
        <v>0</v>
      </c>
    </row>
    <row r="629" spans="3:23" ht="18.350000000000001" hidden="1" thickBot="1">
      <c r="C629" s="3723" t="str">
        <f>T('2 REPAIR ESTIMATOR'!AC669)</f>
        <v>FRAMING &amp; DRYWALL TOTAL</v>
      </c>
      <c r="D629" s="3724"/>
      <c r="E629" s="3724"/>
      <c r="F629" s="3724"/>
      <c r="G629" s="3724"/>
      <c r="H629" s="3724"/>
      <c r="I629" s="3724"/>
      <c r="J629" s="3724"/>
      <c r="K629" s="922">
        <f>SUM(K589:K628)</f>
        <v>0</v>
      </c>
      <c r="L629" s="922">
        <f>SUM(L589:L628)</f>
        <v>0</v>
      </c>
      <c r="M629" s="922">
        <f>SUM(M589:M628)</f>
        <v>0</v>
      </c>
      <c r="N629" s="3789">
        <f>SUM(N589:O628)</f>
        <v>0</v>
      </c>
      <c r="O629" s="3789"/>
      <c r="P629" s="489">
        <f>SUM(P588:P608)</f>
        <v>0</v>
      </c>
      <c r="S629" s="33">
        <f>SUM(S589:S628)</f>
        <v>0</v>
      </c>
      <c r="T629" s="33">
        <f>SUM(T589:T628)</f>
        <v>0</v>
      </c>
      <c r="U629" s="33">
        <f>SUM(U589:U628)</f>
        <v>0</v>
      </c>
      <c r="V629" s="33">
        <f>SUM(V589:V628)</f>
        <v>0</v>
      </c>
      <c r="W629" s="33">
        <f>SUM(W589:W628)</f>
        <v>0</v>
      </c>
    </row>
    <row r="630" spans="3:23" ht="8.85" hidden="1" customHeight="1">
      <c r="C630" s="841"/>
      <c r="D630" s="841"/>
      <c r="E630" s="841"/>
      <c r="F630" s="841"/>
      <c r="G630" s="841"/>
      <c r="H630" s="841"/>
      <c r="I630" s="842"/>
      <c r="J630" s="842"/>
      <c r="K630" s="842"/>
      <c r="L630" s="842"/>
      <c r="M630" s="842"/>
      <c r="N630" s="843"/>
      <c r="O630" s="798"/>
      <c r="P630" s="489">
        <f>P629</f>
        <v>0</v>
      </c>
    </row>
    <row r="631" spans="3:23" ht="21" hidden="1" customHeight="1" thickBot="1">
      <c r="C631" s="3782" t="str">
        <f>T('2 REPAIR ESTIMATOR'!D672:O672)</f>
        <v>CABINETS &amp; COUNTERTOPS</v>
      </c>
      <c r="D631" s="3783"/>
      <c r="E631" s="3783"/>
      <c r="F631" s="3783"/>
      <c r="G631" s="3783"/>
      <c r="H631" s="3783"/>
      <c r="I631" s="799">
        <f>SUM(I632:I671)</f>
        <v>0</v>
      </c>
      <c r="J631" s="800"/>
      <c r="K631" s="850"/>
      <c r="L631" s="850"/>
      <c r="M631" s="850"/>
      <c r="N631" s="3722"/>
      <c r="O631" s="3722"/>
      <c r="P631" s="489">
        <f t="shared" si="80"/>
        <v>0</v>
      </c>
      <c r="S631" s="34"/>
      <c r="T631" s="34"/>
      <c r="U631" s="34"/>
      <c r="V631" s="34"/>
      <c r="W631" s="34"/>
    </row>
    <row r="632" spans="3:23" ht="18" hidden="1">
      <c r="C632" s="3790" t="str">
        <f>T('2 REPAIR ESTIMATOR'!D673:O673)</f>
        <v>Cabinet Installation bid/allowance</v>
      </c>
      <c r="D632" s="3791"/>
      <c r="E632" s="3791"/>
      <c r="F632" s="3791"/>
      <c r="G632" s="3791"/>
      <c r="H632" s="3791"/>
      <c r="I632" s="916">
        <f>'2 REPAIR ESTIMATOR'!P673</f>
        <v>0</v>
      </c>
      <c r="J632" s="917" t="str">
        <f>'2 REPAIR ESTIMATOR'!S673</f>
        <v>ls</v>
      </c>
      <c r="K632" s="918">
        <f t="shared" ref="K632:K671" si="94">IF($N$3="subbed",U632,S632)*$S$70</f>
        <v>0</v>
      </c>
      <c r="L632" s="918">
        <f>V632*$S$70</f>
        <v>0</v>
      </c>
      <c r="M632" s="918">
        <f>W632*$S$70</f>
        <v>0</v>
      </c>
      <c r="N632" s="3719">
        <f>SUM(K632:M632)</f>
        <v>0</v>
      </c>
      <c r="O632" s="3719"/>
      <c r="P632" s="490">
        <f t="shared" si="80"/>
        <v>0</v>
      </c>
      <c r="S632" s="32">
        <f>'2 REPAIR ESTIMATOR'!AD673</f>
        <v>0</v>
      </c>
      <c r="T632" s="32">
        <f>'2 REPAIR ESTIMATOR'!AM673</f>
        <v>0</v>
      </c>
      <c r="U632" s="32">
        <f>T632+S632</f>
        <v>0</v>
      </c>
      <c r="V632" s="32">
        <f>'2 REPAIR ESTIMATOR'!AG673</f>
        <v>0</v>
      </c>
      <c r="W632" s="32">
        <f>'2 REPAIR ESTIMATOR'!AJ673</f>
        <v>0</v>
      </c>
    </row>
    <row r="633" spans="3:23" ht="18" hidden="1">
      <c r="C633" s="3790" t="str">
        <f>T('2 REPAIR ESTIMATOR'!D674:O674)</f>
        <v>Cabinet Material bid/allowance</v>
      </c>
      <c r="D633" s="3791"/>
      <c r="E633" s="3791"/>
      <c r="F633" s="3791"/>
      <c r="G633" s="3791"/>
      <c r="H633" s="3791"/>
      <c r="I633" s="916">
        <f>'2 REPAIR ESTIMATOR'!P674</f>
        <v>0</v>
      </c>
      <c r="J633" s="917" t="str">
        <f>'2 REPAIR ESTIMATOR'!S674</f>
        <v>ls</v>
      </c>
      <c r="K633" s="918">
        <f t="shared" si="94"/>
        <v>0</v>
      </c>
      <c r="L633" s="918">
        <f t="shared" ref="L633:L671" si="95">V633*$S$70</f>
        <v>0</v>
      </c>
      <c r="M633" s="918">
        <f t="shared" ref="M633:M671" si="96">W633*$S$70</f>
        <v>0</v>
      </c>
      <c r="N633" s="3719">
        <f t="shared" ref="N633:N671" si="97">SUM(K633:M633)</f>
        <v>0</v>
      </c>
      <c r="O633" s="3719"/>
      <c r="P633" s="490">
        <f t="shared" si="80"/>
        <v>0</v>
      </c>
      <c r="S633" s="32">
        <f>'2 REPAIR ESTIMATOR'!AD674</f>
        <v>0</v>
      </c>
      <c r="T633" s="32">
        <f>'2 REPAIR ESTIMATOR'!AM674</f>
        <v>0</v>
      </c>
      <c r="U633" s="32">
        <f t="shared" ref="U633:U671" si="98">T633+S633</f>
        <v>0</v>
      </c>
      <c r="V633" s="32">
        <f>'2 REPAIR ESTIMATOR'!AG674</f>
        <v>0</v>
      </c>
      <c r="W633" s="32">
        <f>'2 REPAIR ESTIMATOR'!AJ674</f>
        <v>0</v>
      </c>
    </row>
    <row r="634" spans="3:23" ht="18" hidden="1">
      <c r="C634" s="3790" t="str">
        <f>T('2 REPAIR ESTIMATOR'!D675:O675)</f>
        <v>Countertop bid/allowance</v>
      </c>
      <c r="D634" s="3791"/>
      <c r="E634" s="3791"/>
      <c r="F634" s="3791"/>
      <c r="G634" s="3791"/>
      <c r="H634" s="3791"/>
      <c r="I634" s="916">
        <f>'2 REPAIR ESTIMATOR'!P675</f>
        <v>0</v>
      </c>
      <c r="J634" s="917" t="str">
        <f>'2 REPAIR ESTIMATOR'!S675</f>
        <v>ls</v>
      </c>
      <c r="K634" s="918">
        <f t="shared" si="94"/>
        <v>0</v>
      </c>
      <c r="L634" s="918">
        <f t="shared" si="95"/>
        <v>0</v>
      </c>
      <c r="M634" s="918">
        <f t="shared" si="96"/>
        <v>0</v>
      </c>
      <c r="N634" s="3719">
        <f t="shared" si="97"/>
        <v>0</v>
      </c>
      <c r="O634" s="3719"/>
      <c r="P634" s="490">
        <f t="shared" si="80"/>
        <v>0</v>
      </c>
      <c r="S634" s="32">
        <f>'2 REPAIR ESTIMATOR'!AD675</f>
        <v>0</v>
      </c>
      <c r="T634" s="32">
        <f>'2 REPAIR ESTIMATOR'!AM675</f>
        <v>0</v>
      </c>
      <c r="U634" s="32">
        <f t="shared" si="98"/>
        <v>0</v>
      </c>
      <c r="V634" s="32">
        <f>'2 REPAIR ESTIMATOR'!AG675</f>
        <v>0</v>
      </c>
      <c r="W634" s="32">
        <f>'2 REPAIR ESTIMATOR'!AJ675</f>
        <v>0</v>
      </c>
    </row>
    <row r="635" spans="3:23" ht="18" hidden="1">
      <c r="C635" s="3787" t="str">
        <f>T('2 REPAIR ESTIMATOR'!D676:O676)</f>
        <v>Kitchen</v>
      </c>
      <c r="D635" s="3788"/>
      <c r="E635" s="3788"/>
      <c r="F635" s="3788"/>
      <c r="G635" s="3788"/>
      <c r="H635" s="3788"/>
      <c r="I635" s="916">
        <f>'2 REPAIR ESTIMATOR'!P676</f>
        <v>0</v>
      </c>
      <c r="J635" s="917">
        <f>'2 REPAIR ESTIMATOR'!S676</f>
        <v>0</v>
      </c>
      <c r="K635" s="918">
        <f t="shared" si="94"/>
        <v>0</v>
      </c>
      <c r="L635" s="918">
        <f t="shared" si="95"/>
        <v>0</v>
      </c>
      <c r="M635" s="918">
        <f t="shared" si="96"/>
        <v>0</v>
      </c>
      <c r="N635" s="3719">
        <f t="shared" si="97"/>
        <v>0</v>
      </c>
      <c r="O635" s="3719"/>
      <c r="P635" s="490">
        <f t="shared" si="80"/>
        <v>0</v>
      </c>
      <c r="S635" s="32">
        <f>'2 REPAIR ESTIMATOR'!AD676</f>
        <v>0</v>
      </c>
      <c r="T635" s="32">
        <f>'2 REPAIR ESTIMATOR'!AM676</f>
        <v>0</v>
      </c>
      <c r="U635" s="32">
        <f t="shared" si="98"/>
        <v>0</v>
      </c>
      <c r="V635" s="32">
        <f>'2 REPAIR ESTIMATOR'!AG676</f>
        <v>0</v>
      </c>
      <c r="W635" s="32">
        <f>'2 REPAIR ESTIMATOR'!AJ676</f>
        <v>0</v>
      </c>
    </row>
    <row r="636" spans="3:23" ht="18" hidden="1">
      <c r="C636" s="3720" t="str">
        <f>T('2 REPAIR ESTIMATOR'!D677:O677)</f>
        <v>Kitchen Base Cabinetry</v>
      </c>
      <c r="D636" s="3721"/>
      <c r="E636" s="3721"/>
      <c r="F636" s="3721"/>
      <c r="G636" s="3721"/>
      <c r="H636" s="3721"/>
      <c r="I636" s="916">
        <f>'2 REPAIR ESTIMATOR'!P677</f>
        <v>0</v>
      </c>
      <c r="J636" s="917" t="str">
        <f>'2 REPAIR ESTIMATOR'!S677</f>
        <v>lf</v>
      </c>
      <c r="K636" s="918">
        <f t="shared" si="94"/>
        <v>0</v>
      </c>
      <c r="L636" s="918">
        <f t="shared" si="95"/>
        <v>0</v>
      </c>
      <c r="M636" s="918">
        <f t="shared" si="96"/>
        <v>0</v>
      </c>
      <c r="N636" s="3719">
        <f t="shared" si="97"/>
        <v>0</v>
      </c>
      <c r="O636" s="3719"/>
      <c r="P636" s="489">
        <f t="shared" si="80"/>
        <v>0</v>
      </c>
      <c r="S636" s="32">
        <f>'2 REPAIR ESTIMATOR'!AD677</f>
        <v>0</v>
      </c>
      <c r="T636" s="32">
        <f>'2 REPAIR ESTIMATOR'!AM677</f>
        <v>0</v>
      </c>
      <c r="U636" s="32">
        <f t="shared" si="98"/>
        <v>0</v>
      </c>
      <c r="V636" s="32">
        <f>'2 REPAIR ESTIMATOR'!AG677</f>
        <v>0</v>
      </c>
      <c r="W636" s="32">
        <f>'2 REPAIR ESTIMATOR'!AJ677</f>
        <v>0</v>
      </c>
    </row>
    <row r="637" spans="3:23" ht="18" hidden="1">
      <c r="C637" s="3720" t="str">
        <f>T('2 REPAIR ESTIMATOR'!D678:O678)</f>
        <v>Kitchen Upper Cabinetry</v>
      </c>
      <c r="D637" s="3721"/>
      <c r="E637" s="3721"/>
      <c r="F637" s="3721"/>
      <c r="G637" s="3721"/>
      <c r="H637" s="3721"/>
      <c r="I637" s="916">
        <f>'2 REPAIR ESTIMATOR'!P678</f>
        <v>0</v>
      </c>
      <c r="J637" s="917" t="str">
        <f>'2 REPAIR ESTIMATOR'!S678</f>
        <v>lf</v>
      </c>
      <c r="K637" s="918">
        <f t="shared" si="94"/>
        <v>0</v>
      </c>
      <c r="L637" s="918">
        <f t="shared" si="95"/>
        <v>0</v>
      </c>
      <c r="M637" s="918">
        <f t="shared" si="96"/>
        <v>0</v>
      </c>
      <c r="N637" s="3719">
        <f t="shared" si="97"/>
        <v>0</v>
      </c>
      <c r="O637" s="3719"/>
      <c r="P637" s="489">
        <f t="shared" si="80"/>
        <v>0</v>
      </c>
      <c r="S637" s="32">
        <f>'2 REPAIR ESTIMATOR'!AD678</f>
        <v>0</v>
      </c>
      <c r="T637" s="32">
        <f>'2 REPAIR ESTIMATOR'!AM678</f>
        <v>0</v>
      </c>
      <c r="U637" s="32">
        <f t="shared" si="98"/>
        <v>0</v>
      </c>
      <c r="V637" s="32">
        <f>'2 REPAIR ESTIMATOR'!AG678</f>
        <v>0</v>
      </c>
      <c r="W637" s="32">
        <f>'2 REPAIR ESTIMATOR'!AJ678</f>
        <v>0</v>
      </c>
    </row>
    <row r="638" spans="3:23" ht="18" hidden="1">
      <c r="C638" s="3720" t="str">
        <f>T('2 REPAIR ESTIMATOR'!D679:O679)</f>
        <v>Kitchen Pantry Cabinet</v>
      </c>
      <c r="D638" s="3721"/>
      <c r="E638" s="3721"/>
      <c r="F638" s="3721"/>
      <c r="G638" s="3721"/>
      <c r="H638" s="3721"/>
      <c r="I638" s="916">
        <f>'2 REPAIR ESTIMATOR'!P679</f>
        <v>0</v>
      </c>
      <c r="J638" s="917" t="str">
        <f>'2 REPAIR ESTIMATOR'!S679</f>
        <v>ea</v>
      </c>
      <c r="K638" s="918">
        <f t="shared" si="94"/>
        <v>0</v>
      </c>
      <c r="L638" s="918">
        <f t="shared" si="95"/>
        <v>0</v>
      </c>
      <c r="M638" s="918">
        <f t="shared" si="96"/>
        <v>0</v>
      </c>
      <c r="N638" s="3719">
        <f t="shared" si="97"/>
        <v>0</v>
      </c>
      <c r="O638" s="3719"/>
      <c r="P638" s="489">
        <f t="shared" si="80"/>
        <v>0</v>
      </c>
      <c r="S638" s="32">
        <f>'2 REPAIR ESTIMATOR'!AD679</f>
        <v>0</v>
      </c>
      <c r="T638" s="32">
        <f>'2 REPAIR ESTIMATOR'!AM679</f>
        <v>0</v>
      </c>
      <c r="U638" s="32">
        <f t="shared" si="98"/>
        <v>0</v>
      </c>
      <c r="V638" s="32">
        <f>'2 REPAIR ESTIMATOR'!AG679</f>
        <v>0</v>
      </c>
      <c r="W638" s="32">
        <f>'2 REPAIR ESTIMATOR'!AJ679</f>
        <v>0</v>
      </c>
    </row>
    <row r="639" spans="3:23" ht="18" hidden="1">
      <c r="C639" s="3720" t="str">
        <f>T('2 REPAIR ESTIMATOR'!D680:O680)</f>
        <v>Plastic laminate countertop</v>
      </c>
      <c r="D639" s="3721"/>
      <c r="E639" s="3721"/>
      <c r="F639" s="3721"/>
      <c r="G639" s="3721"/>
      <c r="H639" s="3721"/>
      <c r="I639" s="916">
        <f>'2 REPAIR ESTIMATOR'!P680</f>
        <v>0</v>
      </c>
      <c r="J639" s="917" t="str">
        <f>'2 REPAIR ESTIMATOR'!S680</f>
        <v>sf</v>
      </c>
      <c r="K639" s="918">
        <f t="shared" si="94"/>
        <v>0</v>
      </c>
      <c r="L639" s="918">
        <f t="shared" si="95"/>
        <v>0</v>
      </c>
      <c r="M639" s="918">
        <f t="shared" si="96"/>
        <v>0</v>
      </c>
      <c r="N639" s="3719">
        <f t="shared" si="97"/>
        <v>0</v>
      </c>
      <c r="O639" s="3719"/>
      <c r="P639" s="490">
        <f t="shared" si="80"/>
        <v>0</v>
      </c>
      <c r="S639" s="32">
        <f>'2 REPAIR ESTIMATOR'!AD680</f>
        <v>0</v>
      </c>
      <c r="T639" s="32">
        <f>'2 REPAIR ESTIMATOR'!AM680</f>
        <v>0</v>
      </c>
      <c r="U639" s="32">
        <f t="shared" si="98"/>
        <v>0</v>
      </c>
      <c r="V639" s="32">
        <f>'2 REPAIR ESTIMATOR'!AG680</f>
        <v>0</v>
      </c>
      <c r="W639" s="32">
        <f>'2 REPAIR ESTIMATOR'!AJ680</f>
        <v>0</v>
      </c>
    </row>
    <row r="640" spans="3:23" ht="18" hidden="1">
      <c r="C640" s="3720" t="str">
        <f>T('2 REPAIR ESTIMATOR'!D681:O681)</f>
        <v>Replace cabinet doors, only</v>
      </c>
      <c r="D640" s="3721"/>
      <c r="E640" s="3721"/>
      <c r="F640" s="3721"/>
      <c r="G640" s="3721"/>
      <c r="H640" s="3721"/>
      <c r="I640" s="916">
        <f>'2 REPAIR ESTIMATOR'!P681</f>
        <v>0</v>
      </c>
      <c r="J640" s="917" t="str">
        <f>'2 REPAIR ESTIMATOR'!S681</f>
        <v>ea</v>
      </c>
      <c r="K640" s="918">
        <f t="shared" si="94"/>
        <v>0</v>
      </c>
      <c r="L640" s="918">
        <f t="shared" si="95"/>
        <v>0</v>
      </c>
      <c r="M640" s="918">
        <f t="shared" si="96"/>
        <v>0</v>
      </c>
      <c r="N640" s="3719">
        <f t="shared" si="97"/>
        <v>0</v>
      </c>
      <c r="O640" s="3719"/>
      <c r="P640" s="490">
        <f t="shared" si="80"/>
        <v>0</v>
      </c>
      <c r="S640" s="32">
        <f>'2 REPAIR ESTIMATOR'!AD681</f>
        <v>0</v>
      </c>
      <c r="T640" s="32">
        <f>'2 REPAIR ESTIMATOR'!AM681</f>
        <v>0</v>
      </c>
      <c r="U640" s="32">
        <f t="shared" si="98"/>
        <v>0</v>
      </c>
      <c r="V640" s="32">
        <f>'2 REPAIR ESTIMATOR'!AG681</f>
        <v>0</v>
      </c>
      <c r="W640" s="32">
        <f>'2 REPAIR ESTIMATOR'!AJ681</f>
        <v>0</v>
      </c>
    </row>
    <row r="641" spans="3:23" ht="18" hidden="1">
      <c r="C641" s="3720" t="str">
        <f>T('2 REPAIR ESTIMATOR'!D682:O682)</f>
        <v>Replace cabinet drawer fronts, only</v>
      </c>
      <c r="D641" s="3721"/>
      <c r="E641" s="3721"/>
      <c r="F641" s="3721"/>
      <c r="G641" s="3721"/>
      <c r="H641" s="3721"/>
      <c r="I641" s="916">
        <f>'2 REPAIR ESTIMATOR'!P682</f>
        <v>0</v>
      </c>
      <c r="J641" s="917" t="str">
        <f>'2 REPAIR ESTIMATOR'!S682</f>
        <v>ea</v>
      </c>
      <c r="K641" s="918">
        <f t="shared" si="94"/>
        <v>0</v>
      </c>
      <c r="L641" s="918">
        <f t="shared" si="95"/>
        <v>0</v>
      </c>
      <c r="M641" s="918">
        <f t="shared" si="96"/>
        <v>0</v>
      </c>
      <c r="N641" s="3719">
        <f t="shared" si="97"/>
        <v>0</v>
      </c>
      <c r="O641" s="3719"/>
      <c r="P641" s="490">
        <f t="shared" si="80"/>
        <v>0</v>
      </c>
      <c r="S641" s="32">
        <f>'2 REPAIR ESTIMATOR'!AD682</f>
        <v>0</v>
      </c>
      <c r="T641" s="32">
        <f>'2 REPAIR ESTIMATOR'!AM682</f>
        <v>0</v>
      </c>
      <c r="U641" s="32">
        <f t="shared" si="98"/>
        <v>0</v>
      </c>
      <c r="V641" s="32">
        <f>'2 REPAIR ESTIMATOR'!AG682</f>
        <v>0</v>
      </c>
      <c r="W641" s="32">
        <f>'2 REPAIR ESTIMATOR'!AJ682</f>
        <v>0</v>
      </c>
    </row>
    <row r="642" spans="3:23" ht="18" hidden="1">
      <c r="C642" s="3720" t="str">
        <f>T('2 REPAIR ESTIMATOR'!D683:O683)</f>
        <v>New cabinet door pulls</v>
      </c>
      <c r="D642" s="3721"/>
      <c r="E642" s="3721"/>
      <c r="F642" s="3721"/>
      <c r="G642" s="3721"/>
      <c r="H642" s="3721"/>
      <c r="I642" s="916">
        <f>'2 REPAIR ESTIMATOR'!P683</f>
        <v>0</v>
      </c>
      <c r="J642" s="917" t="str">
        <f>'2 REPAIR ESTIMATOR'!S683</f>
        <v>ea</v>
      </c>
      <c r="K642" s="918">
        <f t="shared" si="94"/>
        <v>0</v>
      </c>
      <c r="L642" s="918">
        <f t="shared" si="95"/>
        <v>0</v>
      </c>
      <c r="M642" s="918">
        <f t="shared" si="96"/>
        <v>0</v>
      </c>
      <c r="N642" s="3719">
        <f t="shared" si="97"/>
        <v>0</v>
      </c>
      <c r="O642" s="3719"/>
      <c r="P642" s="489">
        <f t="shared" si="80"/>
        <v>0</v>
      </c>
      <c r="S642" s="32">
        <f>'2 REPAIR ESTIMATOR'!AD683</f>
        <v>0</v>
      </c>
      <c r="T642" s="32">
        <f>'2 REPAIR ESTIMATOR'!AM683</f>
        <v>0</v>
      </c>
      <c r="U642" s="32">
        <f t="shared" si="98"/>
        <v>0</v>
      </c>
      <c r="V642" s="32">
        <f>'2 REPAIR ESTIMATOR'!AG683</f>
        <v>0</v>
      </c>
      <c r="W642" s="32">
        <f>'2 REPAIR ESTIMATOR'!AJ683</f>
        <v>0</v>
      </c>
    </row>
    <row r="643" spans="3:23" ht="18" hidden="1">
      <c r="C643" s="3720" t="str">
        <f>T('2 REPAIR ESTIMATOR'!D684:O684)</f>
        <v>Stone/solid surface countertop, kitchen</v>
      </c>
      <c r="D643" s="3721"/>
      <c r="E643" s="3721"/>
      <c r="F643" s="3721"/>
      <c r="G643" s="3721"/>
      <c r="H643" s="3721"/>
      <c r="I643" s="916">
        <f>'2 REPAIR ESTIMATOR'!P684</f>
        <v>0</v>
      </c>
      <c r="J643" s="917" t="str">
        <f>'2 REPAIR ESTIMATOR'!S684</f>
        <v>sf</v>
      </c>
      <c r="K643" s="918">
        <f t="shared" si="94"/>
        <v>0</v>
      </c>
      <c r="L643" s="918">
        <f t="shared" si="95"/>
        <v>0</v>
      </c>
      <c r="M643" s="918">
        <f t="shared" si="96"/>
        <v>0</v>
      </c>
      <c r="N643" s="3719">
        <f t="shared" si="97"/>
        <v>0</v>
      </c>
      <c r="O643" s="3719"/>
      <c r="P643" s="489">
        <f t="shared" si="80"/>
        <v>0</v>
      </c>
      <c r="S643" s="32">
        <f>'2 REPAIR ESTIMATOR'!AD684</f>
        <v>0</v>
      </c>
      <c r="T643" s="32">
        <f>'2 REPAIR ESTIMATOR'!AM684</f>
        <v>0</v>
      </c>
      <c r="U643" s="32">
        <f t="shared" si="98"/>
        <v>0</v>
      </c>
      <c r="V643" s="32">
        <f>'2 REPAIR ESTIMATOR'!AG684</f>
        <v>0</v>
      </c>
      <c r="W643" s="32">
        <f>'2 REPAIR ESTIMATOR'!AJ684</f>
        <v>0</v>
      </c>
    </row>
    <row r="644" spans="3:23" ht="18" hidden="1">
      <c r="C644" s="3720" t="str">
        <f>T('2 REPAIR ESTIMATOR'!D685:O685)</f>
        <v>Kitchen sink bowl, stainless steel, undermount</v>
      </c>
      <c r="D644" s="3721"/>
      <c r="E644" s="3721"/>
      <c r="F644" s="3721"/>
      <c r="G644" s="3721"/>
      <c r="H644" s="3721"/>
      <c r="I644" s="916">
        <f>'2 REPAIR ESTIMATOR'!P685</f>
        <v>0</v>
      </c>
      <c r="J644" s="917" t="str">
        <f>'2 REPAIR ESTIMATOR'!S685</f>
        <v>ea</v>
      </c>
      <c r="K644" s="918">
        <f t="shared" si="94"/>
        <v>0</v>
      </c>
      <c r="L644" s="918">
        <f t="shared" si="95"/>
        <v>0</v>
      </c>
      <c r="M644" s="918">
        <f t="shared" si="96"/>
        <v>0</v>
      </c>
      <c r="N644" s="3719">
        <f t="shared" si="97"/>
        <v>0</v>
      </c>
      <c r="O644" s="3719"/>
      <c r="P644" s="489">
        <f t="shared" si="80"/>
        <v>0</v>
      </c>
      <c r="S644" s="32">
        <f>'2 REPAIR ESTIMATOR'!AD685</f>
        <v>0</v>
      </c>
      <c r="T644" s="32">
        <f>'2 REPAIR ESTIMATOR'!AM685</f>
        <v>0</v>
      </c>
      <c r="U644" s="32">
        <f t="shared" si="98"/>
        <v>0</v>
      </c>
      <c r="V644" s="32">
        <f>'2 REPAIR ESTIMATOR'!AG685</f>
        <v>0</v>
      </c>
      <c r="W644" s="32">
        <f>'2 REPAIR ESTIMATOR'!AJ685</f>
        <v>0</v>
      </c>
    </row>
    <row r="645" spans="3:23" ht="18" hidden="1">
      <c r="C645" s="3720" t="str">
        <f>T('2 REPAIR ESTIMATOR'!D686:O686)</f>
        <v>Kitchen sink bowl, composite, undermount</v>
      </c>
      <c r="D645" s="3721"/>
      <c r="E645" s="3721"/>
      <c r="F645" s="3721"/>
      <c r="G645" s="3721"/>
      <c r="H645" s="3721"/>
      <c r="I645" s="916">
        <f>'2 REPAIR ESTIMATOR'!P686</f>
        <v>0</v>
      </c>
      <c r="J645" s="917" t="str">
        <f>'2 REPAIR ESTIMATOR'!S686</f>
        <v>ea</v>
      </c>
      <c r="K645" s="918">
        <f t="shared" si="94"/>
        <v>0</v>
      </c>
      <c r="L645" s="918">
        <f t="shared" si="95"/>
        <v>0</v>
      </c>
      <c r="M645" s="918">
        <f t="shared" si="96"/>
        <v>0</v>
      </c>
      <c r="N645" s="3719">
        <f t="shared" si="97"/>
        <v>0</v>
      </c>
      <c r="O645" s="3719"/>
      <c r="P645" s="490">
        <f t="shared" ref="P645:P819" si="99">I645</f>
        <v>0</v>
      </c>
      <c r="S645" s="32">
        <f>'2 REPAIR ESTIMATOR'!AD686</f>
        <v>0</v>
      </c>
      <c r="T645" s="32">
        <f>'2 REPAIR ESTIMATOR'!AM686</f>
        <v>0</v>
      </c>
      <c r="U645" s="32">
        <f t="shared" si="98"/>
        <v>0</v>
      </c>
      <c r="V645" s="32">
        <f>'2 REPAIR ESTIMATOR'!AG686</f>
        <v>0</v>
      </c>
      <c r="W645" s="32">
        <f>'2 REPAIR ESTIMATOR'!AJ686</f>
        <v>0</v>
      </c>
    </row>
    <row r="646" spans="3:23" ht="18" hidden="1">
      <c r="C646" s="3787" t="str">
        <f>T('2 REPAIR ESTIMATOR'!D687:O687)</f>
        <v>Bathrooms</v>
      </c>
      <c r="D646" s="3788"/>
      <c r="E646" s="3788"/>
      <c r="F646" s="3788"/>
      <c r="G646" s="3788"/>
      <c r="H646" s="3788"/>
      <c r="I646" s="916">
        <f>'2 REPAIR ESTIMATOR'!P687</f>
        <v>0</v>
      </c>
      <c r="J646" s="917">
        <f>'2 REPAIR ESTIMATOR'!S687</f>
        <v>0</v>
      </c>
      <c r="K646" s="918">
        <f t="shared" si="94"/>
        <v>0</v>
      </c>
      <c r="L646" s="918">
        <f t="shared" si="95"/>
        <v>0</v>
      </c>
      <c r="M646" s="918">
        <f t="shared" si="96"/>
        <v>0</v>
      </c>
      <c r="N646" s="3719">
        <f t="shared" si="97"/>
        <v>0</v>
      </c>
      <c r="O646" s="3719"/>
      <c r="P646" s="490">
        <f t="shared" si="99"/>
        <v>0</v>
      </c>
      <c r="S646" s="32">
        <f>'2 REPAIR ESTIMATOR'!AD687</f>
        <v>0</v>
      </c>
      <c r="T646" s="32">
        <f>'2 REPAIR ESTIMATOR'!AM687</f>
        <v>0</v>
      </c>
      <c r="U646" s="32">
        <f t="shared" si="98"/>
        <v>0</v>
      </c>
      <c r="V646" s="32">
        <f>'2 REPAIR ESTIMATOR'!AG687</f>
        <v>0</v>
      </c>
      <c r="W646" s="32">
        <f>'2 REPAIR ESTIMATOR'!AJ687</f>
        <v>0</v>
      </c>
    </row>
    <row r="647" spans="3:23" ht="18" hidden="1">
      <c r="C647" s="3720" t="str">
        <f>T('2 REPAIR ESTIMATOR'!D688:O688)</f>
        <v>Vanity cabinet</v>
      </c>
      <c r="D647" s="3721"/>
      <c r="E647" s="3721"/>
      <c r="F647" s="3721"/>
      <c r="G647" s="3721"/>
      <c r="H647" s="3721"/>
      <c r="I647" s="916">
        <f>'2 REPAIR ESTIMATOR'!P688</f>
        <v>0</v>
      </c>
      <c r="J647" s="917" t="str">
        <f>'2 REPAIR ESTIMATOR'!S688</f>
        <v>ea</v>
      </c>
      <c r="K647" s="918">
        <f t="shared" si="94"/>
        <v>0</v>
      </c>
      <c r="L647" s="918">
        <f t="shared" si="95"/>
        <v>0</v>
      </c>
      <c r="M647" s="918">
        <f t="shared" si="96"/>
        <v>0</v>
      </c>
      <c r="N647" s="3719">
        <f t="shared" si="97"/>
        <v>0</v>
      </c>
      <c r="O647" s="3719"/>
      <c r="P647" s="489">
        <f t="shared" si="99"/>
        <v>0</v>
      </c>
      <c r="S647" s="32">
        <f>'2 REPAIR ESTIMATOR'!AD688</f>
        <v>0</v>
      </c>
      <c r="T647" s="32">
        <f>'2 REPAIR ESTIMATOR'!AM688</f>
        <v>0</v>
      </c>
      <c r="U647" s="32">
        <f t="shared" si="98"/>
        <v>0</v>
      </c>
      <c r="V647" s="32">
        <f>'2 REPAIR ESTIMATOR'!AG688</f>
        <v>0</v>
      </c>
      <c r="W647" s="32">
        <f>'2 REPAIR ESTIMATOR'!AJ688</f>
        <v>0</v>
      </c>
    </row>
    <row r="648" spans="3:23" ht="18" hidden="1">
      <c r="C648" s="3720" t="str">
        <f>T('2 REPAIR ESTIMATOR'!D689:O689)</f>
        <v>New cabinet door pulls</v>
      </c>
      <c r="D648" s="3721"/>
      <c r="E648" s="3721"/>
      <c r="F648" s="3721"/>
      <c r="G648" s="3721"/>
      <c r="H648" s="3721"/>
      <c r="I648" s="916">
        <f>'2 REPAIR ESTIMATOR'!P689</f>
        <v>0</v>
      </c>
      <c r="J648" s="917" t="str">
        <f>'2 REPAIR ESTIMATOR'!S689</f>
        <v>ea</v>
      </c>
      <c r="K648" s="918">
        <f t="shared" si="94"/>
        <v>0</v>
      </c>
      <c r="L648" s="918">
        <f t="shared" si="95"/>
        <v>0</v>
      </c>
      <c r="M648" s="918">
        <f t="shared" si="96"/>
        <v>0</v>
      </c>
      <c r="N648" s="3719">
        <f t="shared" si="97"/>
        <v>0</v>
      </c>
      <c r="O648" s="3719"/>
      <c r="P648" s="490">
        <f t="shared" si="99"/>
        <v>0</v>
      </c>
      <c r="S648" s="32">
        <f>'2 REPAIR ESTIMATOR'!AD689</f>
        <v>0</v>
      </c>
      <c r="T648" s="32">
        <f>'2 REPAIR ESTIMATOR'!AM689</f>
        <v>0</v>
      </c>
      <c r="U648" s="32">
        <f t="shared" si="98"/>
        <v>0</v>
      </c>
      <c r="V648" s="32">
        <f>'2 REPAIR ESTIMATOR'!AG689</f>
        <v>0</v>
      </c>
      <c r="W648" s="32">
        <f>'2 REPAIR ESTIMATOR'!AJ689</f>
        <v>0</v>
      </c>
    </row>
    <row r="649" spans="3:23" ht="18" hidden="1">
      <c r="C649" s="3720" t="str">
        <f>T('2 REPAIR ESTIMATOR'!D690:O690)</f>
        <v>Vanity countertop, stone/solid surface</v>
      </c>
      <c r="D649" s="3721"/>
      <c r="E649" s="3721"/>
      <c r="F649" s="3721"/>
      <c r="G649" s="3721"/>
      <c r="H649" s="3721"/>
      <c r="I649" s="916">
        <f>'2 REPAIR ESTIMATOR'!P690</f>
        <v>0</v>
      </c>
      <c r="J649" s="917" t="str">
        <f>'2 REPAIR ESTIMATOR'!S690</f>
        <v>sf</v>
      </c>
      <c r="K649" s="918">
        <f t="shared" si="94"/>
        <v>0</v>
      </c>
      <c r="L649" s="918">
        <f t="shared" si="95"/>
        <v>0</v>
      </c>
      <c r="M649" s="918">
        <f t="shared" si="96"/>
        <v>0</v>
      </c>
      <c r="N649" s="3719">
        <f t="shared" si="97"/>
        <v>0</v>
      </c>
      <c r="O649" s="3719"/>
      <c r="P649" s="490">
        <f t="shared" si="99"/>
        <v>0</v>
      </c>
      <c r="S649" s="32">
        <f>'2 REPAIR ESTIMATOR'!AD690</f>
        <v>0</v>
      </c>
      <c r="T649" s="32">
        <f>'2 REPAIR ESTIMATOR'!AM690</f>
        <v>0</v>
      </c>
      <c r="U649" s="32">
        <f t="shared" si="98"/>
        <v>0</v>
      </c>
      <c r="V649" s="32">
        <f>'2 REPAIR ESTIMATOR'!AG690</f>
        <v>0</v>
      </c>
      <c r="W649" s="32">
        <f>'2 REPAIR ESTIMATOR'!AJ690</f>
        <v>0</v>
      </c>
    </row>
    <row r="650" spans="3:23" ht="18" hidden="1">
      <c r="C650" s="3720" t="str">
        <f>T('2 REPAIR ESTIMATOR'!D691:O691)</f>
        <v/>
      </c>
      <c r="D650" s="3721"/>
      <c r="E650" s="3721"/>
      <c r="F650" s="3721"/>
      <c r="G650" s="3721"/>
      <c r="H650" s="3721"/>
      <c r="I650" s="916">
        <f>'2 REPAIR ESTIMATOR'!P691</f>
        <v>0</v>
      </c>
      <c r="J650" s="917">
        <f>'2 REPAIR ESTIMATOR'!S691</f>
        <v>0</v>
      </c>
      <c r="K650" s="918">
        <f t="shared" si="94"/>
        <v>0</v>
      </c>
      <c r="L650" s="918">
        <f t="shared" si="95"/>
        <v>0</v>
      </c>
      <c r="M650" s="918">
        <f t="shared" si="96"/>
        <v>0</v>
      </c>
      <c r="N650" s="3719">
        <f t="shared" si="97"/>
        <v>0</v>
      </c>
      <c r="O650" s="3719"/>
      <c r="P650" s="490">
        <f t="shared" si="99"/>
        <v>0</v>
      </c>
      <c r="S650" s="32">
        <f>'2 REPAIR ESTIMATOR'!AD691</f>
        <v>0</v>
      </c>
      <c r="T650" s="32">
        <f>'2 REPAIR ESTIMATOR'!AM691</f>
        <v>0</v>
      </c>
      <c r="U650" s="32">
        <f t="shared" si="98"/>
        <v>0</v>
      </c>
      <c r="V650" s="32">
        <f>'2 REPAIR ESTIMATOR'!AG691</f>
        <v>0</v>
      </c>
      <c r="W650" s="32">
        <f>'2 REPAIR ESTIMATOR'!AJ691</f>
        <v>0</v>
      </c>
    </row>
    <row r="651" spans="3:23" ht="18" hidden="1">
      <c r="C651" s="3720" t="str">
        <f>T('2 REPAIR ESTIMATOR'!D692:O692)</f>
        <v/>
      </c>
      <c r="D651" s="3721"/>
      <c r="E651" s="3721"/>
      <c r="F651" s="3721"/>
      <c r="G651" s="3721"/>
      <c r="H651" s="3721"/>
      <c r="I651" s="916">
        <f>'2 REPAIR ESTIMATOR'!P692</f>
        <v>0</v>
      </c>
      <c r="J651" s="917">
        <f>'2 REPAIR ESTIMATOR'!S692</f>
        <v>0</v>
      </c>
      <c r="K651" s="918">
        <f t="shared" si="94"/>
        <v>0</v>
      </c>
      <c r="L651" s="918">
        <f t="shared" si="95"/>
        <v>0</v>
      </c>
      <c r="M651" s="918">
        <f t="shared" si="96"/>
        <v>0</v>
      </c>
      <c r="N651" s="3719">
        <f t="shared" si="97"/>
        <v>0</v>
      </c>
      <c r="O651" s="3719"/>
      <c r="P651" s="490">
        <f t="shared" si="99"/>
        <v>0</v>
      </c>
      <c r="S651" s="32">
        <f>'2 REPAIR ESTIMATOR'!AD692</f>
        <v>0</v>
      </c>
      <c r="T651" s="32">
        <f>'2 REPAIR ESTIMATOR'!AM692</f>
        <v>0</v>
      </c>
      <c r="U651" s="32">
        <f t="shared" si="98"/>
        <v>0</v>
      </c>
      <c r="V651" s="32">
        <f>'2 REPAIR ESTIMATOR'!AG692</f>
        <v>0</v>
      </c>
      <c r="W651" s="32">
        <f>'2 REPAIR ESTIMATOR'!AJ692</f>
        <v>0</v>
      </c>
    </row>
    <row r="652" spans="3:23" ht="18" hidden="1">
      <c r="C652" s="3720" t="str">
        <f>T('2 REPAIR ESTIMATOR'!D693:O693)</f>
        <v/>
      </c>
      <c r="D652" s="3721"/>
      <c r="E652" s="3721"/>
      <c r="F652" s="3721"/>
      <c r="G652" s="3721"/>
      <c r="H652" s="3721"/>
      <c r="I652" s="916">
        <f>'2 REPAIR ESTIMATOR'!P693</f>
        <v>0</v>
      </c>
      <c r="J652" s="917">
        <f>'2 REPAIR ESTIMATOR'!S693</f>
        <v>0</v>
      </c>
      <c r="K652" s="918">
        <f t="shared" si="94"/>
        <v>0</v>
      </c>
      <c r="L652" s="918">
        <f t="shared" si="95"/>
        <v>0</v>
      </c>
      <c r="M652" s="918">
        <f t="shared" si="96"/>
        <v>0</v>
      </c>
      <c r="N652" s="3719">
        <f t="shared" si="97"/>
        <v>0</v>
      </c>
      <c r="O652" s="3719"/>
      <c r="P652" s="490">
        <f t="shared" si="99"/>
        <v>0</v>
      </c>
      <c r="S652" s="32">
        <f>'2 REPAIR ESTIMATOR'!AD693</f>
        <v>0</v>
      </c>
      <c r="T652" s="32">
        <f>'2 REPAIR ESTIMATOR'!AM693</f>
        <v>0</v>
      </c>
      <c r="U652" s="32">
        <f t="shared" si="98"/>
        <v>0</v>
      </c>
      <c r="V652" s="32">
        <f>'2 REPAIR ESTIMATOR'!AG693</f>
        <v>0</v>
      </c>
      <c r="W652" s="32">
        <f>'2 REPAIR ESTIMATOR'!AJ693</f>
        <v>0</v>
      </c>
    </row>
    <row r="653" spans="3:23" ht="18" hidden="1">
      <c r="C653" s="3720" t="str">
        <f>T('2 REPAIR ESTIMATOR'!D694:O694)</f>
        <v/>
      </c>
      <c r="D653" s="3721"/>
      <c r="E653" s="3721"/>
      <c r="F653" s="3721"/>
      <c r="G653" s="3721"/>
      <c r="H653" s="3721"/>
      <c r="I653" s="916">
        <f>'2 REPAIR ESTIMATOR'!P694</f>
        <v>0</v>
      </c>
      <c r="J653" s="917">
        <f>'2 REPAIR ESTIMATOR'!S694</f>
        <v>0</v>
      </c>
      <c r="K653" s="918">
        <f t="shared" si="94"/>
        <v>0</v>
      </c>
      <c r="L653" s="918">
        <f t="shared" si="95"/>
        <v>0</v>
      </c>
      <c r="M653" s="918">
        <f t="shared" si="96"/>
        <v>0</v>
      </c>
      <c r="N653" s="3719">
        <f t="shared" si="97"/>
        <v>0</v>
      </c>
      <c r="O653" s="3719"/>
      <c r="P653" s="490">
        <f t="shared" si="99"/>
        <v>0</v>
      </c>
      <c r="S653" s="32">
        <f>'2 REPAIR ESTIMATOR'!AD694</f>
        <v>0</v>
      </c>
      <c r="T653" s="32">
        <f>'2 REPAIR ESTIMATOR'!AM694</f>
        <v>0</v>
      </c>
      <c r="U653" s="32">
        <f t="shared" si="98"/>
        <v>0</v>
      </c>
      <c r="V653" s="32">
        <f>'2 REPAIR ESTIMATOR'!AG694</f>
        <v>0</v>
      </c>
      <c r="W653" s="32">
        <f>'2 REPAIR ESTIMATOR'!AJ694</f>
        <v>0</v>
      </c>
    </row>
    <row r="654" spans="3:23" ht="18" hidden="1">
      <c r="C654" s="3720" t="str">
        <f>T('2 REPAIR ESTIMATOR'!D695:O695)</f>
        <v/>
      </c>
      <c r="D654" s="3721"/>
      <c r="E654" s="3721"/>
      <c r="F654" s="3721"/>
      <c r="G654" s="3721"/>
      <c r="H654" s="3721"/>
      <c r="I654" s="916">
        <f>'2 REPAIR ESTIMATOR'!P695</f>
        <v>0</v>
      </c>
      <c r="J654" s="917">
        <f>'2 REPAIR ESTIMATOR'!S695</f>
        <v>0</v>
      </c>
      <c r="K654" s="918">
        <f t="shared" si="94"/>
        <v>0</v>
      </c>
      <c r="L654" s="918">
        <f t="shared" si="95"/>
        <v>0</v>
      </c>
      <c r="M654" s="918">
        <f t="shared" si="96"/>
        <v>0</v>
      </c>
      <c r="N654" s="3719">
        <f t="shared" si="97"/>
        <v>0</v>
      </c>
      <c r="O654" s="3719"/>
      <c r="P654" s="490">
        <f t="shared" si="99"/>
        <v>0</v>
      </c>
      <c r="S654" s="32">
        <f>'2 REPAIR ESTIMATOR'!AD695</f>
        <v>0</v>
      </c>
      <c r="T654" s="32">
        <f>'2 REPAIR ESTIMATOR'!AM695</f>
        <v>0</v>
      </c>
      <c r="U654" s="32">
        <f t="shared" si="98"/>
        <v>0</v>
      </c>
      <c r="V654" s="32">
        <f>'2 REPAIR ESTIMATOR'!AG695</f>
        <v>0</v>
      </c>
      <c r="W654" s="32">
        <f>'2 REPAIR ESTIMATOR'!AJ695</f>
        <v>0</v>
      </c>
    </row>
    <row r="655" spans="3:23" ht="18" hidden="1">
      <c r="C655" s="3720" t="str">
        <f>T('2 REPAIR ESTIMATOR'!D696:O696)</f>
        <v/>
      </c>
      <c r="D655" s="3721"/>
      <c r="E655" s="3721"/>
      <c r="F655" s="3721"/>
      <c r="G655" s="3721"/>
      <c r="H655" s="3721"/>
      <c r="I655" s="916">
        <f>'2 REPAIR ESTIMATOR'!P696</f>
        <v>0</v>
      </c>
      <c r="J655" s="917">
        <f>'2 REPAIR ESTIMATOR'!S696</f>
        <v>0</v>
      </c>
      <c r="K655" s="918">
        <f t="shared" si="94"/>
        <v>0</v>
      </c>
      <c r="L655" s="918">
        <f t="shared" si="95"/>
        <v>0</v>
      </c>
      <c r="M655" s="918">
        <f t="shared" si="96"/>
        <v>0</v>
      </c>
      <c r="N655" s="3719">
        <f t="shared" si="97"/>
        <v>0</v>
      </c>
      <c r="O655" s="3719"/>
      <c r="P655" s="490">
        <f t="shared" si="99"/>
        <v>0</v>
      </c>
      <c r="S655" s="32">
        <f>'2 REPAIR ESTIMATOR'!AD696</f>
        <v>0</v>
      </c>
      <c r="T655" s="32">
        <f>'2 REPAIR ESTIMATOR'!AM696</f>
        <v>0</v>
      </c>
      <c r="U655" s="32">
        <f t="shared" si="98"/>
        <v>0</v>
      </c>
      <c r="V655" s="32">
        <f>'2 REPAIR ESTIMATOR'!AG696</f>
        <v>0</v>
      </c>
      <c r="W655" s="32">
        <f>'2 REPAIR ESTIMATOR'!AJ696</f>
        <v>0</v>
      </c>
    </row>
    <row r="656" spans="3:23" ht="18" hidden="1">
      <c r="C656" s="3720" t="str">
        <f>T('2 REPAIR ESTIMATOR'!D697:O697)</f>
        <v/>
      </c>
      <c r="D656" s="3721"/>
      <c r="E656" s="3721"/>
      <c r="F656" s="3721"/>
      <c r="G656" s="3721"/>
      <c r="H656" s="3721"/>
      <c r="I656" s="916">
        <f>'2 REPAIR ESTIMATOR'!P697</f>
        <v>0</v>
      </c>
      <c r="J656" s="917">
        <f>'2 REPAIR ESTIMATOR'!S697</f>
        <v>0</v>
      </c>
      <c r="K656" s="918">
        <f t="shared" si="94"/>
        <v>0</v>
      </c>
      <c r="L656" s="918">
        <f t="shared" si="95"/>
        <v>0</v>
      </c>
      <c r="M656" s="918">
        <f t="shared" si="96"/>
        <v>0</v>
      </c>
      <c r="N656" s="3719">
        <f t="shared" si="97"/>
        <v>0</v>
      </c>
      <c r="O656" s="3719"/>
      <c r="P656" s="490">
        <f t="shared" si="99"/>
        <v>0</v>
      </c>
      <c r="S656" s="32">
        <f>'2 REPAIR ESTIMATOR'!AD697</f>
        <v>0</v>
      </c>
      <c r="T656" s="32">
        <f>'2 REPAIR ESTIMATOR'!AM697</f>
        <v>0</v>
      </c>
      <c r="U656" s="32">
        <f t="shared" si="98"/>
        <v>0</v>
      </c>
      <c r="V656" s="32">
        <f>'2 REPAIR ESTIMATOR'!AG697</f>
        <v>0</v>
      </c>
      <c r="W656" s="32">
        <f>'2 REPAIR ESTIMATOR'!AJ697</f>
        <v>0</v>
      </c>
    </row>
    <row r="657" spans="3:23" ht="18" hidden="1">
      <c r="C657" s="3720" t="str">
        <f>T('2 REPAIR ESTIMATOR'!D698:O698)</f>
        <v/>
      </c>
      <c r="D657" s="3721"/>
      <c r="E657" s="3721"/>
      <c r="F657" s="3721"/>
      <c r="G657" s="3721"/>
      <c r="H657" s="3721"/>
      <c r="I657" s="916">
        <f>'2 REPAIR ESTIMATOR'!P698</f>
        <v>0</v>
      </c>
      <c r="J657" s="917">
        <f>'2 REPAIR ESTIMATOR'!S698</f>
        <v>0</v>
      </c>
      <c r="K657" s="918">
        <f t="shared" si="94"/>
        <v>0</v>
      </c>
      <c r="L657" s="918">
        <f t="shared" si="95"/>
        <v>0</v>
      </c>
      <c r="M657" s="918">
        <f t="shared" si="96"/>
        <v>0</v>
      </c>
      <c r="N657" s="3719">
        <f t="shared" si="97"/>
        <v>0</v>
      </c>
      <c r="O657" s="3719"/>
      <c r="P657" s="490">
        <f t="shared" si="99"/>
        <v>0</v>
      </c>
      <c r="S657" s="32">
        <f>'2 REPAIR ESTIMATOR'!AD698</f>
        <v>0</v>
      </c>
      <c r="T657" s="32">
        <f>'2 REPAIR ESTIMATOR'!AM698</f>
        <v>0</v>
      </c>
      <c r="U657" s="32">
        <f t="shared" si="98"/>
        <v>0</v>
      </c>
      <c r="V657" s="32">
        <f>'2 REPAIR ESTIMATOR'!AG698</f>
        <v>0</v>
      </c>
      <c r="W657" s="32">
        <f>'2 REPAIR ESTIMATOR'!AJ698</f>
        <v>0</v>
      </c>
    </row>
    <row r="658" spans="3:23" ht="18" hidden="1">
      <c r="C658" s="3720" t="str">
        <f>T('2 REPAIR ESTIMATOR'!D699:O699)</f>
        <v/>
      </c>
      <c r="D658" s="3721"/>
      <c r="E658" s="3721"/>
      <c r="F658" s="3721"/>
      <c r="G658" s="3721"/>
      <c r="H658" s="3721"/>
      <c r="I658" s="916">
        <f>'2 REPAIR ESTIMATOR'!P699</f>
        <v>0</v>
      </c>
      <c r="J658" s="917">
        <f>'2 REPAIR ESTIMATOR'!S699</f>
        <v>0</v>
      </c>
      <c r="K658" s="918">
        <f t="shared" si="94"/>
        <v>0</v>
      </c>
      <c r="L658" s="918">
        <f t="shared" si="95"/>
        <v>0</v>
      </c>
      <c r="M658" s="918">
        <f t="shared" si="96"/>
        <v>0</v>
      </c>
      <c r="N658" s="3719">
        <f t="shared" si="97"/>
        <v>0</v>
      </c>
      <c r="O658" s="3719"/>
      <c r="P658" s="490">
        <f t="shared" si="99"/>
        <v>0</v>
      </c>
      <c r="S658" s="32">
        <f>'2 REPAIR ESTIMATOR'!AD699</f>
        <v>0</v>
      </c>
      <c r="T658" s="32">
        <f>'2 REPAIR ESTIMATOR'!AM699</f>
        <v>0</v>
      </c>
      <c r="U658" s="32">
        <f t="shared" si="98"/>
        <v>0</v>
      </c>
      <c r="V658" s="32">
        <f>'2 REPAIR ESTIMATOR'!AG699</f>
        <v>0</v>
      </c>
      <c r="W658" s="32">
        <f>'2 REPAIR ESTIMATOR'!AJ699</f>
        <v>0</v>
      </c>
    </row>
    <row r="659" spans="3:23" ht="18" hidden="1">
      <c r="C659" s="3720" t="str">
        <f>T('2 REPAIR ESTIMATOR'!D700:O700)</f>
        <v/>
      </c>
      <c r="D659" s="3721"/>
      <c r="E659" s="3721"/>
      <c r="F659" s="3721"/>
      <c r="G659" s="3721"/>
      <c r="H659" s="3721"/>
      <c r="I659" s="916">
        <f>'2 REPAIR ESTIMATOR'!P700</f>
        <v>0</v>
      </c>
      <c r="J659" s="917">
        <f>'2 REPAIR ESTIMATOR'!S700</f>
        <v>0</v>
      </c>
      <c r="K659" s="918">
        <f t="shared" si="94"/>
        <v>0</v>
      </c>
      <c r="L659" s="918">
        <f t="shared" si="95"/>
        <v>0</v>
      </c>
      <c r="M659" s="918">
        <f t="shared" si="96"/>
        <v>0</v>
      </c>
      <c r="N659" s="3719">
        <f t="shared" si="97"/>
        <v>0</v>
      </c>
      <c r="O659" s="3719"/>
      <c r="P659" s="490">
        <f t="shared" si="99"/>
        <v>0</v>
      </c>
      <c r="S659" s="32">
        <f>'2 REPAIR ESTIMATOR'!AD700</f>
        <v>0</v>
      </c>
      <c r="T659" s="32">
        <f>'2 REPAIR ESTIMATOR'!AM700</f>
        <v>0</v>
      </c>
      <c r="U659" s="32">
        <f t="shared" si="98"/>
        <v>0</v>
      </c>
      <c r="V659" s="32">
        <f>'2 REPAIR ESTIMATOR'!AG700</f>
        <v>0</v>
      </c>
      <c r="W659" s="32">
        <f>'2 REPAIR ESTIMATOR'!AJ700</f>
        <v>0</v>
      </c>
    </row>
    <row r="660" spans="3:23" ht="18" hidden="1">
      <c r="C660" s="3720" t="str">
        <f>T('2 REPAIR ESTIMATOR'!D701:O701)</f>
        <v/>
      </c>
      <c r="D660" s="3721"/>
      <c r="E660" s="3721"/>
      <c r="F660" s="3721"/>
      <c r="G660" s="3721"/>
      <c r="H660" s="3721"/>
      <c r="I660" s="916">
        <f>'2 REPAIR ESTIMATOR'!P701</f>
        <v>0</v>
      </c>
      <c r="J660" s="917">
        <f>'2 REPAIR ESTIMATOR'!S701</f>
        <v>0</v>
      </c>
      <c r="K660" s="918">
        <f t="shared" si="94"/>
        <v>0</v>
      </c>
      <c r="L660" s="918">
        <f t="shared" si="95"/>
        <v>0</v>
      </c>
      <c r="M660" s="918">
        <f t="shared" si="96"/>
        <v>0</v>
      </c>
      <c r="N660" s="3719">
        <f t="shared" si="97"/>
        <v>0</v>
      </c>
      <c r="O660" s="3719"/>
      <c r="P660" s="490">
        <f t="shared" si="99"/>
        <v>0</v>
      </c>
      <c r="S660" s="32">
        <f>'2 REPAIR ESTIMATOR'!AD701</f>
        <v>0</v>
      </c>
      <c r="T660" s="32">
        <f>'2 REPAIR ESTIMATOR'!AM701</f>
        <v>0</v>
      </c>
      <c r="U660" s="32">
        <f t="shared" si="98"/>
        <v>0</v>
      </c>
      <c r="V660" s="32">
        <f>'2 REPAIR ESTIMATOR'!AG701</f>
        <v>0</v>
      </c>
      <c r="W660" s="32">
        <f>'2 REPAIR ESTIMATOR'!AJ701</f>
        <v>0</v>
      </c>
    </row>
    <row r="661" spans="3:23" ht="18" hidden="1">
      <c r="C661" s="3720" t="str">
        <f>T('2 REPAIR ESTIMATOR'!D702:O702)</f>
        <v/>
      </c>
      <c r="D661" s="3721"/>
      <c r="E661" s="3721"/>
      <c r="F661" s="3721"/>
      <c r="G661" s="3721"/>
      <c r="H661" s="3721"/>
      <c r="I661" s="916">
        <f>'2 REPAIR ESTIMATOR'!P702</f>
        <v>0</v>
      </c>
      <c r="J661" s="917">
        <f>'2 REPAIR ESTIMATOR'!S702</f>
        <v>0</v>
      </c>
      <c r="K661" s="918">
        <f t="shared" si="94"/>
        <v>0</v>
      </c>
      <c r="L661" s="918">
        <f t="shared" si="95"/>
        <v>0</v>
      </c>
      <c r="M661" s="918">
        <f t="shared" si="96"/>
        <v>0</v>
      </c>
      <c r="N661" s="3719">
        <f t="shared" si="97"/>
        <v>0</v>
      </c>
      <c r="O661" s="3719"/>
      <c r="P661" s="490">
        <f t="shared" si="99"/>
        <v>0</v>
      </c>
      <c r="S661" s="32">
        <f>'2 REPAIR ESTIMATOR'!AD702</f>
        <v>0</v>
      </c>
      <c r="T661" s="32">
        <f>'2 REPAIR ESTIMATOR'!AM702</f>
        <v>0</v>
      </c>
      <c r="U661" s="32">
        <f t="shared" si="98"/>
        <v>0</v>
      </c>
      <c r="V661" s="32">
        <f>'2 REPAIR ESTIMATOR'!AG702</f>
        <v>0</v>
      </c>
      <c r="W661" s="32">
        <f>'2 REPAIR ESTIMATOR'!AJ702</f>
        <v>0</v>
      </c>
    </row>
    <row r="662" spans="3:23" ht="18" hidden="1">
      <c r="C662" s="3720" t="str">
        <f>T('2 REPAIR ESTIMATOR'!D703:O703)</f>
        <v/>
      </c>
      <c r="D662" s="3721"/>
      <c r="E662" s="3721"/>
      <c r="F662" s="3721"/>
      <c r="G662" s="3721"/>
      <c r="H662" s="3721"/>
      <c r="I662" s="916">
        <f>'2 REPAIR ESTIMATOR'!P703</f>
        <v>0</v>
      </c>
      <c r="J662" s="917">
        <f>'2 REPAIR ESTIMATOR'!S703</f>
        <v>0</v>
      </c>
      <c r="K662" s="918">
        <f t="shared" si="94"/>
        <v>0</v>
      </c>
      <c r="L662" s="918">
        <f t="shared" si="95"/>
        <v>0</v>
      </c>
      <c r="M662" s="918">
        <f t="shared" si="96"/>
        <v>0</v>
      </c>
      <c r="N662" s="3719">
        <f t="shared" si="97"/>
        <v>0</v>
      </c>
      <c r="O662" s="3719"/>
      <c r="P662" s="490">
        <f t="shared" si="99"/>
        <v>0</v>
      </c>
      <c r="S662" s="32">
        <f>'2 REPAIR ESTIMATOR'!AD703</f>
        <v>0</v>
      </c>
      <c r="T662" s="32">
        <f>'2 REPAIR ESTIMATOR'!AM703</f>
        <v>0</v>
      </c>
      <c r="U662" s="32">
        <f t="shared" si="98"/>
        <v>0</v>
      </c>
      <c r="V662" s="32">
        <f>'2 REPAIR ESTIMATOR'!AG703</f>
        <v>0</v>
      </c>
      <c r="W662" s="32">
        <f>'2 REPAIR ESTIMATOR'!AJ703</f>
        <v>0</v>
      </c>
    </row>
    <row r="663" spans="3:23" ht="18" hidden="1">
      <c r="C663" s="3720" t="str">
        <f>T('2 REPAIR ESTIMATOR'!D704:O704)</f>
        <v/>
      </c>
      <c r="D663" s="3721"/>
      <c r="E663" s="3721"/>
      <c r="F663" s="3721"/>
      <c r="G663" s="3721"/>
      <c r="H663" s="3721"/>
      <c r="I663" s="916">
        <f>'2 REPAIR ESTIMATOR'!P704</f>
        <v>0</v>
      </c>
      <c r="J663" s="917">
        <f>'2 REPAIR ESTIMATOR'!S704</f>
        <v>0</v>
      </c>
      <c r="K663" s="918">
        <f t="shared" si="94"/>
        <v>0</v>
      </c>
      <c r="L663" s="918">
        <f t="shared" si="95"/>
        <v>0</v>
      </c>
      <c r="M663" s="918">
        <f t="shared" si="96"/>
        <v>0</v>
      </c>
      <c r="N663" s="3719">
        <f t="shared" si="97"/>
        <v>0</v>
      </c>
      <c r="O663" s="3719"/>
      <c r="P663" s="490">
        <f t="shared" si="99"/>
        <v>0</v>
      </c>
      <c r="S663" s="32">
        <f>'2 REPAIR ESTIMATOR'!AD704</f>
        <v>0</v>
      </c>
      <c r="T663" s="32">
        <f>'2 REPAIR ESTIMATOR'!AM704</f>
        <v>0</v>
      </c>
      <c r="U663" s="32">
        <f t="shared" si="98"/>
        <v>0</v>
      </c>
      <c r="V663" s="32">
        <f>'2 REPAIR ESTIMATOR'!AG704</f>
        <v>0</v>
      </c>
      <c r="W663" s="32">
        <f>'2 REPAIR ESTIMATOR'!AJ704</f>
        <v>0</v>
      </c>
    </row>
    <row r="664" spans="3:23" ht="18" hidden="1">
      <c r="C664" s="3720" t="str">
        <f>T('2 REPAIR ESTIMATOR'!D705:O705)</f>
        <v/>
      </c>
      <c r="D664" s="3721"/>
      <c r="E664" s="3721"/>
      <c r="F664" s="3721"/>
      <c r="G664" s="3721"/>
      <c r="H664" s="3721"/>
      <c r="I664" s="916">
        <f>'2 REPAIR ESTIMATOR'!P705</f>
        <v>0</v>
      </c>
      <c r="J664" s="917">
        <f>'2 REPAIR ESTIMATOR'!S705</f>
        <v>0</v>
      </c>
      <c r="K664" s="918">
        <f t="shared" si="94"/>
        <v>0</v>
      </c>
      <c r="L664" s="918">
        <f t="shared" si="95"/>
        <v>0</v>
      </c>
      <c r="M664" s="918">
        <f t="shared" si="96"/>
        <v>0</v>
      </c>
      <c r="N664" s="3719">
        <f t="shared" si="97"/>
        <v>0</v>
      </c>
      <c r="O664" s="3719"/>
      <c r="P664" s="490">
        <f t="shared" si="99"/>
        <v>0</v>
      </c>
      <c r="S664" s="32">
        <f>'2 REPAIR ESTIMATOR'!AD705</f>
        <v>0</v>
      </c>
      <c r="T664" s="32">
        <f>'2 REPAIR ESTIMATOR'!AM705</f>
        <v>0</v>
      </c>
      <c r="U664" s="32">
        <f t="shared" si="98"/>
        <v>0</v>
      </c>
      <c r="V664" s="32">
        <f>'2 REPAIR ESTIMATOR'!AG705</f>
        <v>0</v>
      </c>
      <c r="W664" s="32">
        <f>'2 REPAIR ESTIMATOR'!AJ705</f>
        <v>0</v>
      </c>
    </row>
    <row r="665" spans="3:23" ht="18" hidden="1">
      <c r="C665" s="3720" t="str">
        <f>T('2 REPAIR ESTIMATOR'!D706:O706)</f>
        <v/>
      </c>
      <c r="D665" s="3721"/>
      <c r="E665" s="3721"/>
      <c r="F665" s="3721"/>
      <c r="G665" s="3721"/>
      <c r="H665" s="3721"/>
      <c r="I665" s="916">
        <f>'2 REPAIR ESTIMATOR'!P706</f>
        <v>0</v>
      </c>
      <c r="J665" s="917">
        <f>'2 REPAIR ESTIMATOR'!S706</f>
        <v>0</v>
      </c>
      <c r="K665" s="918">
        <f t="shared" si="94"/>
        <v>0</v>
      </c>
      <c r="L665" s="918">
        <f t="shared" si="95"/>
        <v>0</v>
      </c>
      <c r="M665" s="918">
        <f t="shared" si="96"/>
        <v>0</v>
      </c>
      <c r="N665" s="3719">
        <f t="shared" si="97"/>
        <v>0</v>
      </c>
      <c r="O665" s="3719"/>
      <c r="P665" s="490">
        <f t="shared" ref="P665:P671" si="100">I665</f>
        <v>0</v>
      </c>
      <c r="S665" s="32">
        <f>'2 REPAIR ESTIMATOR'!AD706</f>
        <v>0</v>
      </c>
      <c r="T665" s="32">
        <f>'2 REPAIR ESTIMATOR'!AM706</f>
        <v>0</v>
      </c>
      <c r="U665" s="32">
        <f t="shared" si="98"/>
        <v>0</v>
      </c>
      <c r="V665" s="32">
        <f>'2 REPAIR ESTIMATOR'!AG706</f>
        <v>0</v>
      </c>
      <c r="W665" s="32">
        <f>'2 REPAIR ESTIMATOR'!AJ706</f>
        <v>0</v>
      </c>
    </row>
    <row r="666" spans="3:23" ht="18" hidden="1">
      <c r="C666" s="3720" t="str">
        <f>T('2 REPAIR ESTIMATOR'!D707:O707)</f>
        <v/>
      </c>
      <c r="D666" s="3721"/>
      <c r="E666" s="3721"/>
      <c r="F666" s="3721"/>
      <c r="G666" s="3721"/>
      <c r="H666" s="3721"/>
      <c r="I666" s="916">
        <f>'2 REPAIR ESTIMATOR'!P707</f>
        <v>0</v>
      </c>
      <c r="J666" s="917">
        <f>'2 REPAIR ESTIMATOR'!S707</f>
        <v>0</v>
      </c>
      <c r="K666" s="918">
        <f t="shared" si="94"/>
        <v>0</v>
      </c>
      <c r="L666" s="918">
        <f t="shared" si="95"/>
        <v>0</v>
      </c>
      <c r="M666" s="918">
        <f t="shared" si="96"/>
        <v>0</v>
      </c>
      <c r="N666" s="3719">
        <f t="shared" si="97"/>
        <v>0</v>
      </c>
      <c r="O666" s="3719"/>
      <c r="P666" s="490">
        <f t="shared" si="100"/>
        <v>0</v>
      </c>
      <c r="S666" s="32">
        <f>'2 REPAIR ESTIMATOR'!AD707</f>
        <v>0</v>
      </c>
      <c r="T666" s="32">
        <f>'2 REPAIR ESTIMATOR'!AM707</f>
        <v>0</v>
      </c>
      <c r="U666" s="32">
        <f t="shared" si="98"/>
        <v>0</v>
      </c>
      <c r="V666" s="32">
        <f>'2 REPAIR ESTIMATOR'!AG707</f>
        <v>0</v>
      </c>
      <c r="W666" s="32">
        <f>'2 REPAIR ESTIMATOR'!AJ707</f>
        <v>0</v>
      </c>
    </row>
    <row r="667" spans="3:23" ht="18" hidden="1">
      <c r="C667" s="3720" t="str">
        <f>T('2 REPAIR ESTIMATOR'!D708:O708)</f>
        <v/>
      </c>
      <c r="D667" s="3721"/>
      <c r="E667" s="3721"/>
      <c r="F667" s="3721"/>
      <c r="G667" s="3721"/>
      <c r="H667" s="3721"/>
      <c r="I667" s="916">
        <f>'2 REPAIR ESTIMATOR'!P708</f>
        <v>0</v>
      </c>
      <c r="J667" s="917">
        <f>'2 REPAIR ESTIMATOR'!S708</f>
        <v>0</v>
      </c>
      <c r="K667" s="918">
        <f t="shared" si="94"/>
        <v>0</v>
      </c>
      <c r="L667" s="918">
        <f t="shared" si="95"/>
        <v>0</v>
      </c>
      <c r="M667" s="918">
        <f t="shared" si="96"/>
        <v>0</v>
      </c>
      <c r="N667" s="3719">
        <f t="shared" si="97"/>
        <v>0</v>
      </c>
      <c r="O667" s="3719"/>
      <c r="P667" s="490">
        <f t="shared" si="100"/>
        <v>0</v>
      </c>
      <c r="S667" s="32">
        <f>'2 REPAIR ESTIMATOR'!AD708</f>
        <v>0</v>
      </c>
      <c r="T667" s="32">
        <f>'2 REPAIR ESTIMATOR'!AM708</f>
        <v>0</v>
      </c>
      <c r="U667" s="32">
        <f t="shared" si="98"/>
        <v>0</v>
      </c>
      <c r="V667" s="32">
        <f>'2 REPAIR ESTIMATOR'!AG708</f>
        <v>0</v>
      </c>
      <c r="W667" s="32">
        <f>'2 REPAIR ESTIMATOR'!AJ708</f>
        <v>0</v>
      </c>
    </row>
    <row r="668" spans="3:23" ht="18" hidden="1">
      <c r="C668" s="3720" t="str">
        <f>T('2 REPAIR ESTIMATOR'!D709:O709)</f>
        <v/>
      </c>
      <c r="D668" s="3721"/>
      <c r="E668" s="3721"/>
      <c r="F668" s="3721"/>
      <c r="G668" s="3721"/>
      <c r="H668" s="3721"/>
      <c r="I668" s="916">
        <f>'2 REPAIR ESTIMATOR'!P709</f>
        <v>0</v>
      </c>
      <c r="J668" s="917">
        <f>'2 REPAIR ESTIMATOR'!S709</f>
        <v>0</v>
      </c>
      <c r="K668" s="918">
        <f t="shared" si="94"/>
        <v>0</v>
      </c>
      <c r="L668" s="918">
        <f t="shared" si="95"/>
        <v>0</v>
      </c>
      <c r="M668" s="918">
        <f t="shared" si="96"/>
        <v>0</v>
      </c>
      <c r="N668" s="3719">
        <f t="shared" si="97"/>
        <v>0</v>
      </c>
      <c r="O668" s="3719"/>
      <c r="P668" s="490">
        <f t="shared" si="100"/>
        <v>0</v>
      </c>
      <c r="S668" s="32">
        <f>'2 REPAIR ESTIMATOR'!AD709</f>
        <v>0</v>
      </c>
      <c r="T668" s="32">
        <f>'2 REPAIR ESTIMATOR'!AM709</f>
        <v>0</v>
      </c>
      <c r="U668" s="32">
        <f t="shared" si="98"/>
        <v>0</v>
      </c>
      <c r="V668" s="32">
        <f>'2 REPAIR ESTIMATOR'!AG709</f>
        <v>0</v>
      </c>
      <c r="W668" s="32">
        <f>'2 REPAIR ESTIMATOR'!AJ709</f>
        <v>0</v>
      </c>
    </row>
    <row r="669" spans="3:23" ht="18" hidden="1">
      <c r="C669" s="3720" t="str">
        <f>T('2 REPAIR ESTIMATOR'!D710:O710)</f>
        <v/>
      </c>
      <c r="D669" s="3721"/>
      <c r="E669" s="3721"/>
      <c r="F669" s="3721"/>
      <c r="G669" s="3721"/>
      <c r="H669" s="3721"/>
      <c r="I669" s="916">
        <f>'2 REPAIR ESTIMATOR'!P710</f>
        <v>0</v>
      </c>
      <c r="J669" s="917">
        <f>'2 REPAIR ESTIMATOR'!S710</f>
        <v>0</v>
      </c>
      <c r="K669" s="918">
        <f t="shared" si="94"/>
        <v>0</v>
      </c>
      <c r="L669" s="918">
        <f t="shared" si="95"/>
        <v>0</v>
      </c>
      <c r="M669" s="918">
        <f t="shared" si="96"/>
        <v>0</v>
      </c>
      <c r="N669" s="3719">
        <f t="shared" si="97"/>
        <v>0</v>
      </c>
      <c r="O669" s="3719"/>
      <c r="P669" s="490">
        <f t="shared" si="100"/>
        <v>0</v>
      </c>
      <c r="S669" s="32">
        <f>'2 REPAIR ESTIMATOR'!AD710</f>
        <v>0</v>
      </c>
      <c r="T669" s="32">
        <f>'2 REPAIR ESTIMATOR'!AM710</f>
        <v>0</v>
      </c>
      <c r="U669" s="32">
        <f t="shared" si="98"/>
        <v>0</v>
      </c>
      <c r="V669" s="32">
        <f>'2 REPAIR ESTIMATOR'!AG710</f>
        <v>0</v>
      </c>
      <c r="W669" s="32">
        <f>'2 REPAIR ESTIMATOR'!AJ710</f>
        <v>0</v>
      </c>
    </row>
    <row r="670" spans="3:23" ht="18" hidden="1">
      <c r="C670" s="3720" t="str">
        <f>T('2 REPAIR ESTIMATOR'!D711:O711)</f>
        <v/>
      </c>
      <c r="D670" s="3721"/>
      <c r="E670" s="3721"/>
      <c r="F670" s="3721"/>
      <c r="G670" s="3721"/>
      <c r="H670" s="3721"/>
      <c r="I670" s="916">
        <f>'2 REPAIR ESTIMATOR'!P711</f>
        <v>0</v>
      </c>
      <c r="J670" s="917">
        <f>'2 REPAIR ESTIMATOR'!S711</f>
        <v>0</v>
      </c>
      <c r="K670" s="918">
        <f t="shared" si="94"/>
        <v>0</v>
      </c>
      <c r="L670" s="918">
        <f t="shared" si="95"/>
        <v>0</v>
      </c>
      <c r="M670" s="918">
        <f t="shared" si="96"/>
        <v>0</v>
      </c>
      <c r="N670" s="3719">
        <f t="shared" si="97"/>
        <v>0</v>
      </c>
      <c r="O670" s="3719"/>
      <c r="P670" s="490">
        <f t="shared" si="100"/>
        <v>0</v>
      </c>
      <c r="S670" s="32">
        <f>'2 REPAIR ESTIMATOR'!AD711</f>
        <v>0</v>
      </c>
      <c r="T670" s="32">
        <f>'2 REPAIR ESTIMATOR'!AM711</f>
        <v>0</v>
      </c>
      <c r="U670" s="32">
        <f t="shared" si="98"/>
        <v>0</v>
      </c>
      <c r="V670" s="32">
        <f>'2 REPAIR ESTIMATOR'!AG711</f>
        <v>0</v>
      </c>
      <c r="W670" s="32">
        <f>'2 REPAIR ESTIMATOR'!AJ711</f>
        <v>0</v>
      </c>
    </row>
    <row r="671" spans="3:23" ht="18.350000000000001" hidden="1" thickBot="1">
      <c r="C671" s="3779" t="str">
        <f>T('2 REPAIR ESTIMATOR'!D712:O712)</f>
        <v/>
      </c>
      <c r="D671" s="3780"/>
      <c r="E671" s="3780"/>
      <c r="F671" s="3780"/>
      <c r="G671" s="3780"/>
      <c r="H671" s="3780"/>
      <c r="I671" s="919">
        <f>'2 REPAIR ESTIMATOR'!P712</f>
        <v>0</v>
      </c>
      <c r="J671" s="920">
        <f>'2 REPAIR ESTIMATOR'!S712</f>
        <v>0</v>
      </c>
      <c r="K671" s="921">
        <f t="shared" si="94"/>
        <v>0</v>
      </c>
      <c r="L671" s="921">
        <f t="shared" si="95"/>
        <v>0</v>
      </c>
      <c r="M671" s="921">
        <f t="shared" si="96"/>
        <v>0</v>
      </c>
      <c r="N671" s="3781">
        <f t="shared" si="97"/>
        <v>0</v>
      </c>
      <c r="O671" s="3781"/>
      <c r="P671" s="490">
        <f t="shared" si="100"/>
        <v>0</v>
      </c>
      <c r="S671" s="32">
        <f>'2 REPAIR ESTIMATOR'!AD712</f>
        <v>0</v>
      </c>
      <c r="T671" s="32">
        <f>'2 REPAIR ESTIMATOR'!AM712</f>
        <v>0</v>
      </c>
      <c r="U671" s="32">
        <f t="shared" si="98"/>
        <v>0</v>
      </c>
      <c r="V671" s="32">
        <f>'2 REPAIR ESTIMATOR'!AG712</f>
        <v>0</v>
      </c>
      <c r="W671" s="32">
        <f>'2 REPAIR ESTIMATOR'!AJ712</f>
        <v>0</v>
      </c>
    </row>
    <row r="672" spans="3:23" ht="18.350000000000001" hidden="1" thickBot="1">
      <c r="C672" s="3723" t="str">
        <f>T('2 REPAIR ESTIMATOR'!AC714)</f>
        <v>CABINETS &amp; COUNTERTOPS TOTAL</v>
      </c>
      <c r="D672" s="3724"/>
      <c r="E672" s="3724"/>
      <c r="F672" s="3724"/>
      <c r="G672" s="3724"/>
      <c r="H672" s="3724"/>
      <c r="I672" s="3724"/>
      <c r="J672" s="3724"/>
      <c r="K672" s="922">
        <f>SUM(K632:K671)</f>
        <v>0</v>
      </c>
      <c r="L672" s="922">
        <f>SUM(L632:L671)</f>
        <v>0</v>
      </c>
      <c r="M672" s="922">
        <f>SUM(M632:M671)</f>
        <v>0</v>
      </c>
      <c r="N672" s="3789">
        <f>SUM(N632:O671)</f>
        <v>0</v>
      </c>
      <c r="O672" s="3789"/>
      <c r="P672" s="489">
        <f>SUM(P631:P651)</f>
        <v>0</v>
      </c>
      <c r="S672" s="33">
        <f>SUM(S632:S671)</f>
        <v>0</v>
      </c>
      <c r="T672" s="33">
        <f>SUM(T632:T671)</f>
        <v>0</v>
      </c>
      <c r="U672" s="33">
        <f>SUM(U632:U671)</f>
        <v>0</v>
      </c>
      <c r="V672" s="33">
        <f>SUM(V632:V671)</f>
        <v>0</v>
      </c>
      <c r="W672" s="33">
        <f>SUM(W632:W671)</f>
        <v>0</v>
      </c>
    </row>
    <row r="673" spans="3:23" ht="8.85" hidden="1" customHeight="1">
      <c r="C673" s="841"/>
      <c r="D673" s="841"/>
      <c r="E673" s="841"/>
      <c r="F673" s="841"/>
      <c r="G673" s="841"/>
      <c r="H673" s="841"/>
      <c r="I673" s="842"/>
      <c r="J673" s="842"/>
      <c r="K673" s="842"/>
      <c r="L673" s="842"/>
      <c r="M673" s="842"/>
      <c r="N673" s="843"/>
      <c r="O673" s="798"/>
      <c r="P673" s="489">
        <f>P672</f>
        <v>0</v>
      </c>
    </row>
    <row r="674" spans="3:23" ht="21" hidden="1" customHeight="1" thickBot="1">
      <c r="C674" s="3782" t="str">
        <f>T('2 REPAIR ESTIMATOR'!D717:O717)</f>
        <v>DOORS &amp; TRIM</v>
      </c>
      <c r="D674" s="3783"/>
      <c r="E674" s="3783"/>
      <c r="F674" s="3783"/>
      <c r="G674" s="3783"/>
      <c r="H674" s="3783"/>
      <c r="I674" s="799">
        <f>SUM(I675:I714)</f>
        <v>0</v>
      </c>
      <c r="J674" s="800"/>
      <c r="K674" s="850"/>
      <c r="L674" s="850"/>
      <c r="M674" s="850"/>
      <c r="N674" s="3722"/>
      <c r="O674" s="3722"/>
      <c r="P674" s="489">
        <f t="shared" si="99"/>
        <v>0</v>
      </c>
      <c r="S674" s="34"/>
      <c r="T674" s="34"/>
      <c r="U674" s="34"/>
      <c r="V674" s="34"/>
      <c r="W674" s="34"/>
    </row>
    <row r="675" spans="3:23" ht="18" hidden="1">
      <c r="C675" s="3720" t="str">
        <f>T('2 REPAIR ESTIMATOR'!D718:O718)</f>
        <v>Finish carpentry bid/allowance</v>
      </c>
      <c r="D675" s="3721"/>
      <c r="E675" s="3721"/>
      <c r="F675" s="3721"/>
      <c r="G675" s="3721"/>
      <c r="H675" s="3721"/>
      <c r="I675" s="916">
        <f>'2 REPAIR ESTIMATOR'!P718</f>
        <v>0</v>
      </c>
      <c r="J675" s="917" t="str">
        <f>'2 REPAIR ESTIMATOR'!S718</f>
        <v>ls</v>
      </c>
      <c r="K675" s="918">
        <f t="shared" ref="K675:K714" si="101">IF($N$3="subbed",U675,S675)*$S$70</f>
        <v>0</v>
      </c>
      <c r="L675" s="918">
        <f>V675*$S$70</f>
        <v>0</v>
      </c>
      <c r="M675" s="918">
        <f>W675*$S$70</f>
        <v>0</v>
      </c>
      <c r="N675" s="3719">
        <f>SUM(K675:M675)</f>
        <v>0</v>
      </c>
      <c r="O675" s="3719"/>
      <c r="P675" s="490">
        <f t="shared" si="99"/>
        <v>0</v>
      </c>
      <c r="S675" s="32">
        <f>'2 REPAIR ESTIMATOR'!AD718</f>
        <v>0</v>
      </c>
      <c r="T675" s="32">
        <f>'2 REPAIR ESTIMATOR'!AM718</f>
        <v>0</v>
      </c>
      <c r="U675" s="32">
        <f>T675+S675</f>
        <v>0</v>
      </c>
      <c r="V675" s="32">
        <f>'2 REPAIR ESTIMATOR'!AG718</f>
        <v>0</v>
      </c>
      <c r="W675" s="32">
        <f>'2 REPAIR ESTIMATOR'!AJ718</f>
        <v>0</v>
      </c>
    </row>
    <row r="676" spans="3:23" ht="18" hidden="1">
      <c r="C676" s="3720" t="str">
        <f>T('2 REPAIR ESTIMATOR'!D719:O719)</f>
        <v>Interior door, prehung, hollow-core door</v>
      </c>
      <c r="D676" s="3721"/>
      <c r="E676" s="3721"/>
      <c r="F676" s="3721"/>
      <c r="G676" s="3721"/>
      <c r="H676" s="3721"/>
      <c r="I676" s="916">
        <f>'2 REPAIR ESTIMATOR'!P719</f>
        <v>0</v>
      </c>
      <c r="J676" s="917" t="str">
        <f>'2 REPAIR ESTIMATOR'!S719</f>
        <v>ea</v>
      </c>
      <c r="K676" s="918">
        <f t="shared" si="101"/>
        <v>0</v>
      </c>
      <c r="L676" s="918">
        <f t="shared" ref="L676:L714" si="102">V676*$S$70</f>
        <v>0</v>
      </c>
      <c r="M676" s="918">
        <f t="shared" ref="M676:M714" si="103">W676*$S$70</f>
        <v>0</v>
      </c>
      <c r="N676" s="3719">
        <f t="shared" ref="N676:N714" si="104">SUM(K676:M676)</f>
        <v>0</v>
      </c>
      <c r="O676" s="3719"/>
      <c r="P676" s="489">
        <f t="shared" si="99"/>
        <v>0</v>
      </c>
      <c r="S676" s="32">
        <f>'2 REPAIR ESTIMATOR'!AD719</f>
        <v>0</v>
      </c>
      <c r="T676" s="32">
        <f>'2 REPAIR ESTIMATOR'!AM719</f>
        <v>0</v>
      </c>
      <c r="U676" s="32">
        <f t="shared" ref="U676:U714" si="105">T676+S676</f>
        <v>0</v>
      </c>
      <c r="V676" s="32">
        <f>'2 REPAIR ESTIMATOR'!AG719</f>
        <v>0</v>
      </c>
      <c r="W676" s="32">
        <f>'2 REPAIR ESTIMATOR'!AJ719</f>
        <v>0</v>
      </c>
    </row>
    <row r="677" spans="3:23" ht="18" hidden="1">
      <c r="C677" s="3720" t="str">
        <f>T('2 REPAIR ESTIMATOR'!D720:O720)</f>
        <v>Interior mirrored, sliding, closet doors</v>
      </c>
      <c r="D677" s="3721"/>
      <c r="E677" s="3721"/>
      <c r="F677" s="3721"/>
      <c r="G677" s="3721"/>
      <c r="H677" s="3721"/>
      <c r="I677" s="916">
        <f>'2 REPAIR ESTIMATOR'!P720</f>
        <v>0</v>
      </c>
      <c r="J677" s="917" t="str">
        <f>'2 REPAIR ESTIMATOR'!S720</f>
        <v>ea</v>
      </c>
      <c r="K677" s="918">
        <f t="shared" si="101"/>
        <v>0</v>
      </c>
      <c r="L677" s="918">
        <f t="shared" si="102"/>
        <v>0</v>
      </c>
      <c r="M677" s="918">
        <f t="shared" si="103"/>
        <v>0</v>
      </c>
      <c r="N677" s="3719">
        <f t="shared" si="104"/>
        <v>0</v>
      </c>
      <c r="O677" s="3719"/>
      <c r="P677" s="490">
        <f t="shared" si="99"/>
        <v>0</v>
      </c>
      <c r="S677" s="32">
        <f>'2 REPAIR ESTIMATOR'!AD720</f>
        <v>0</v>
      </c>
      <c r="T677" s="32">
        <f>'2 REPAIR ESTIMATOR'!AM720</f>
        <v>0</v>
      </c>
      <c r="U677" s="32">
        <f t="shared" si="105"/>
        <v>0</v>
      </c>
      <c r="V677" s="32">
        <f>'2 REPAIR ESTIMATOR'!AG720</f>
        <v>0</v>
      </c>
      <c r="W677" s="32">
        <f>'2 REPAIR ESTIMATOR'!AJ720</f>
        <v>0</v>
      </c>
    </row>
    <row r="678" spans="3:23" ht="18" hidden="1">
      <c r="C678" s="3720" t="str">
        <f>T('2 REPAIR ESTIMATOR'!D721:O721)</f>
        <v>Interior bi-fold, closet doors</v>
      </c>
      <c r="D678" s="3721"/>
      <c r="E678" s="3721"/>
      <c r="F678" s="3721"/>
      <c r="G678" s="3721"/>
      <c r="H678" s="3721"/>
      <c r="I678" s="916">
        <f>'2 REPAIR ESTIMATOR'!P721</f>
        <v>0</v>
      </c>
      <c r="J678" s="917" t="str">
        <f>'2 REPAIR ESTIMATOR'!S721</f>
        <v>ea</v>
      </c>
      <c r="K678" s="918">
        <f t="shared" si="101"/>
        <v>0</v>
      </c>
      <c r="L678" s="918">
        <f t="shared" si="102"/>
        <v>0</v>
      </c>
      <c r="M678" s="918">
        <f t="shared" si="103"/>
        <v>0</v>
      </c>
      <c r="N678" s="3719">
        <f t="shared" si="104"/>
        <v>0</v>
      </c>
      <c r="O678" s="3719"/>
      <c r="P678" s="490">
        <f t="shared" si="99"/>
        <v>0</v>
      </c>
      <c r="S678" s="32">
        <f>'2 REPAIR ESTIMATOR'!AD721</f>
        <v>0</v>
      </c>
      <c r="T678" s="32">
        <f>'2 REPAIR ESTIMATOR'!AM721</f>
        <v>0</v>
      </c>
      <c r="U678" s="32">
        <f t="shared" si="105"/>
        <v>0</v>
      </c>
      <c r="V678" s="32">
        <f>'2 REPAIR ESTIMATOR'!AG721</f>
        <v>0</v>
      </c>
      <c r="W678" s="32">
        <f>'2 REPAIR ESTIMATOR'!AJ721</f>
        <v>0</v>
      </c>
    </row>
    <row r="679" spans="3:23" ht="18" hidden="1">
      <c r="C679" s="3720" t="str">
        <f>T('2 REPAIR ESTIMATOR'!D722:O722)</f>
        <v>Door hardware, knobs only</v>
      </c>
      <c r="D679" s="3721"/>
      <c r="E679" s="3721"/>
      <c r="F679" s="3721"/>
      <c r="G679" s="3721"/>
      <c r="H679" s="3721"/>
      <c r="I679" s="916">
        <f>'2 REPAIR ESTIMATOR'!P722</f>
        <v>0</v>
      </c>
      <c r="J679" s="917" t="str">
        <f>'2 REPAIR ESTIMATOR'!S722</f>
        <v>ea</v>
      </c>
      <c r="K679" s="918">
        <f t="shared" si="101"/>
        <v>0</v>
      </c>
      <c r="L679" s="918">
        <f t="shared" si="102"/>
        <v>0</v>
      </c>
      <c r="M679" s="918">
        <f t="shared" si="103"/>
        <v>0</v>
      </c>
      <c r="N679" s="3719">
        <f t="shared" si="104"/>
        <v>0</v>
      </c>
      <c r="O679" s="3719"/>
      <c r="P679" s="490">
        <f t="shared" si="99"/>
        <v>0</v>
      </c>
      <c r="S679" s="32">
        <f>'2 REPAIR ESTIMATOR'!AD722</f>
        <v>0</v>
      </c>
      <c r="T679" s="32">
        <f>'2 REPAIR ESTIMATOR'!AM722</f>
        <v>0</v>
      </c>
      <c r="U679" s="32">
        <f t="shared" si="105"/>
        <v>0</v>
      </c>
      <c r="V679" s="32">
        <f>'2 REPAIR ESTIMATOR'!AG722</f>
        <v>0</v>
      </c>
      <c r="W679" s="32">
        <f>'2 REPAIR ESTIMATOR'!AJ722</f>
        <v>0</v>
      </c>
    </row>
    <row r="680" spans="3:23" ht="18" hidden="1">
      <c r="C680" s="3720" t="str">
        <f>T('2 REPAIR ESTIMATOR'!D723:O723)</f>
        <v>Door casings</v>
      </c>
      <c r="D680" s="3721"/>
      <c r="E680" s="3721"/>
      <c r="F680" s="3721"/>
      <c r="G680" s="3721"/>
      <c r="H680" s="3721"/>
      <c r="I680" s="916">
        <f>'2 REPAIR ESTIMATOR'!P723</f>
        <v>0</v>
      </c>
      <c r="J680" s="917" t="str">
        <f>'2 REPAIR ESTIMATOR'!S723</f>
        <v>ea</v>
      </c>
      <c r="K680" s="918">
        <f t="shared" si="101"/>
        <v>0</v>
      </c>
      <c r="L680" s="918">
        <f t="shared" si="102"/>
        <v>0</v>
      </c>
      <c r="M680" s="918">
        <f t="shared" si="103"/>
        <v>0</v>
      </c>
      <c r="N680" s="3719">
        <f t="shared" si="104"/>
        <v>0</v>
      </c>
      <c r="O680" s="3719"/>
      <c r="P680" s="490">
        <f t="shared" si="99"/>
        <v>0</v>
      </c>
      <c r="S680" s="32">
        <f>'2 REPAIR ESTIMATOR'!AD723</f>
        <v>0</v>
      </c>
      <c r="T680" s="32">
        <f>'2 REPAIR ESTIMATOR'!AM723</f>
        <v>0</v>
      </c>
      <c r="U680" s="32">
        <f t="shared" si="105"/>
        <v>0</v>
      </c>
      <c r="V680" s="32">
        <f>'2 REPAIR ESTIMATOR'!AG723</f>
        <v>0</v>
      </c>
      <c r="W680" s="32">
        <f>'2 REPAIR ESTIMATOR'!AJ723</f>
        <v>0</v>
      </c>
    </row>
    <row r="681" spans="3:23" ht="18" hidden="1">
      <c r="C681" s="3720" t="str">
        <f>T('2 REPAIR ESTIMATOR'!D724:O724)</f>
        <v>Window casings</v>
      </c>
      <c r="D681" s="3721"/>
      <c r="E681" s="3721"/>
      <c r="F681" s="3721"/>
      <c r="G681" s="3721"/>
      <c r="H681" s="3721"/>
      <c r="I681" s="916">
        <f>'2 REPAIR ESTIMATOR'!P724</f>
        <v>0</v>
      </c>
      <c r="J681" s="917" t="str">
        <f>'2 REPAIR ESTIMATOR'!S724</f>
        <v>ea</v>
      </c>
      <c r="K681" s="918">
        <f t="shared" si="101"/>
        <v>0</v>
      </c>
      <c r="L681" s="918">
        <f t="shared" si="102"/>
        <v>0</v>
      </c>
      <c r="M681" s="918">
        <f t="shared" si="103"/>
        <v>0</v>
      </c>
      <c r="N681" s="3719">
        <f t="shared" si="104"/>
        <v>0</v>
      </c>
      <c r="O681" s="3719"/>
      <c r="P681" s="490">
        <f t="shared" si="99"/>
        <v>0</v>
      </c>
      <c r="S681" s="32">
        <f>'2 REPAIR ESTIMATOR'!AD724</f>
        <v>0</v>
      </c>
      <c r="T681" s="32">
        <f>'2 REPAIR ESTIMATOR'!AM724</f>
        <v>0</v>
      </c>
      <c r="U681" s="32">
        <f t="shared" si="105"/>
        <v>0</v>
      </c>
      <c r="V681" s="32">
        <f>'2 REPAIR ESTIMATOR'!AG724</f>
        <v>0</v>
      </c>
      <c r="W681" s="32">
        <f>'2 REPAIR ESTIMATOR'!AJ724</f>
        <v>0</v>
      </c>
    </row>
    <row r="682" spans="3:23" ht="18" hidden="1">
      <c r="C682" s="3720" t="str">
        <f>T('2 REPAIR ESTIMATOR'!D725:O725)</f>
        <v>Window sills</v>
      </c>
      <c r="D682" s="3721"/>
      <c r="E682" s="3721"/>
      <c r="F682" s="3721"/>
      <c r="G682" s="3721"/>
      <c r="H682" s="3721"/>
      <c r="I682" s="916">
        <f>'2 REPAIR ESTIMATOR'!P725</f>
        <v>0</v>
      </c>
      <c r="J682" s="917" t="str">
        <f>'2 REPAIR ESTIMATOR'!S725</f>
        <v>lf</v>
      </c>
      <c r="K682" s="918">
        <f t="shared" si="101"/>
        <v>0</v>
      </c>
      <c r="L682" s="918">
        <f t="shared" si="102"/>
        <v>0</v>
      </c>
      <c r="M682" s="918">
        <f t="shared" si="103"/>
        <v>0</v>
      </c>
      <c r="N682" s="3719">
        <f t="shared" si="104"/>
        <v>0</v>
      </c>
      <c r="O682" s="3719"/>
      <c r="P682" s="490">
        <f t="shared" si="99"/>
        <v>0</v>
      </c>
      <c r="S682" s="32">
        <f>'2 REPAIR ESTIMATOR'!AD725</f>
        <v>0</v>
      </c>
      <c r="T682" s="32">
        <f>'2 REPAIR ESTIMATOR'!AM725</f>
        <v>0</v>
      </c>
      <c r="U682" s="32">
        <f t="shared" si="105"/>
        <v>0</v>
      </c>
      <c r="V682" s="32">
        <f>'2 REPAIR ESTIMATOR'!AG725</f>
        <v>0</v>
      </c>
      <c r="W682" s="32">
        <f>'2 REPAIR ESTIMATOR'!AJ725</f>
        <v>0</v>
      </c>
    </row>
    <row r="683" spans="3:23" ht="18" hidden="1">
      <c r="C683" s="3720" t="str">
        <f>T('2 REPAIR ESTIMATOR'!D726:O726)</f>
        <v>Wood  base</v>
      </c>
      <c r="D683" s="3721"/>
      <c r="E683" s="3721"/>
      <c r="F683" s="3721"/>
      <c r="G683" s="3721"/>
      <c r="H683" s="3721"/>
      <c r="I683" s="916">
        <f>'2 REPAIR ESTIMATOR'!P726</f>
        <v>0</v>
      </c>
      <c r="J683" s="917" t="str">
        <f>'2 REPAIR ESTIMATOR'!S726</f>
        <v>lf</v>
      </c>
      <c r="K683" s="918">
        <f t="shared" si="101"/>
        <v>0</v>
      </c>
      <c r="L683" s="918">
        <f t="shared" si="102"/>
        <v>0</v>
      </c>
      <c r="M683" s="918">
        <f t="shared" si="103"/>
        <v>0</v>
      </c>
      <c r="N683" s="3719">
        <f t="shared" si="104"/>
        <v>0</v>
      </c>
      <c r="O683" s="3719"/>
      <c r="P683" s="489">
        <f t="shared" si="99"/>
        <v>0</v>
      </c>
      <c r="S683" s="32">
        <f>'2 REPAIR ESTIMATOR'!AD726</f>
        <v>0</v>
      </c>
      <c r="T683" s="32">
        <f>'2 REPAIR ESTIMATOR'!AM726</f>
        <v>0</v>
      </c>
      <c r="U683" s="32">
        <f t="shared" si="105"/>
        <v>0</v>
      </c>
      <c r="V683" s="32">
        <f>'2 REPAIR ESTIMATOR'!AG726</f>
        <v>0</v>
      </c>
      <c r="W683" s="32">
        <f>'2 REPAIR ESTIMATOR'!AJ726</f>
        <v>0</v>
      </c>
    </row>
    <row r="684" spans="3:23" ht="18" hidden="1">
      <c r="C684" s="3720" t="str">
        <f>T('2 REPAIR ESTIMATOR'!D727:O727)</f>
        <v>Crown molding</v>
      </c>
      <c r="D684" s="3721"/>
      <c r="E684" s="3721"/>
      <c r="F684" s="3721"/>
      <c r="G684" s="3721"/>
      <c r="H684" s="3721"/>
      <c r="I684" s="916">
        <f>'2 REPAIR ESTIMATOR'!P727</f>
        <v>0</v>
      </c>
      <c r="J684" s="917" t="str">
        <f>'2 REPAIR ESTIMATOR'!S727</f>
        <v>lf</v>
      </c>
      <c r="K684" s="918">
        <f t="shared" si="101"/>
        <v>0</v>
      </c>
      <c r="L684" s="918">
        <f t="shared" si="102"/>
        <v>0</v>
      </c>
      <c r="M684" s="918">
        <f t="shared" si="103"/>
        <v>0</v>
      </c>
      <c r="N684" s="3719">
        <f t="shared" si="104"/>
        <v>0</v>
      </c>
      <c r="O684" s="3719"/>
      <c r="P684" s="490">
        <f t="shared" si="99"/>
        <v>0</v>
      </c>
      <c r="S684" s="32">
        <f>'2 REPAIR ESTIMATOR'!AD727</f>
        <v>0</v>
      </c>
      <c r="T684" s="32">
        <f>'2 REPAIR ESTIMATOR'!AM727</f>
        <v>0</v>
      </c>
      <c r="U684" s="32">
        <f t="shared" si="105"/>
        <v>0</v>
      </c>
      <c r="V684" s="32">
        <f>'2 REPAIR ESTIMATOR'!AG727</f>
        <v>0</v>
      </c>
      <c r="W684" s="32">
        <f>'2 REPAIR ESTIMATOR'!AJ727</f>
        <v>0</v>
      </c>
    </row>
    <row r="685" spans="3:23" ht="18" hidden="1">
      <c r="C685" s="3720" t="str">
        <f>T('2 REPAIR ESTIMATOR'!D728:O728)</f>
        <v>Raised panel wood wainscoting</v>
      </c>
      <c r="D685" s="3721"/>
      <c r="E685" s="3721"/>
      <c r="F685" s="3721"/>
      <c r="G685" s="3721"/>
      <c r="H685" s="3721"/>
      <c r="I685" s="916">
        <f>'2 REPAIR ESTIMATOR'!P728</f>
        <v>0</v>
      </c>
      <c r="J685" s="917" t="str">
        <f>'2 REPAIR ESTIMATOR'!S728</f>
        <v>lf</v>
      </c>
      <c r="K685" s="918">
        <f t="shared" si="101"/>
        <v>0</v>
      </c>
      <c r="L685" s="918">
        <f t="shared" si="102"/>
        <v>0</v>
      </c>
      <c r="M685" s="918">
        <f t="shared" si="103"/>
        <v>0</v>
      </c>
      <c r="N685" s="3719">
        <f t="shared" si="104"/>
        <v>0</v>
      </c>
      <c r="O685" s="3719"/>
      <c r="P685" s="490">
        <f t="shared" si="99"/>
        <v>0</v>
      </c>
      <c r="S685" s="32">
        <f>'2 REPAIR ESTIMATOR'!AD728</f>
        <v>0</v>
      </c>
      <c r="T685" s="32">
        <f>'2 REPAIR ESTIMATOR'!AM728</f>
        <v>0</v>
      </c>
      <c r="U685" s="32">
        <f t="shared" si="105"/>
        <v>0</v>
      </c>
      <c r="V685" s="32">
        <f>'2 REPAIR ESTIMATOR'!AG728</f>
        <v>0</v>
      </c>
      <c r="W685" s="32">
        <f>'2 REPAIR ESTIMATOR'!AJ728</f>
        <v>0</v>
      </c>
    </row>
    <row r="686" spans="3:23" ht="18" hidden="1">
      <c r="C686" s="3720" t="str">
        <f>T('2 REPAIR ESTIMATOR'!D729:O729)</f>
        <v>Bead board wainscoting</v>
      </c>
      <c r="D686" s="3721"/>
      <c r="E686" s="3721"/>
      <c r="F686" s="3721"/>
      <c r="G686" s="3721"/>
      <c r="H686" s="3721"/>
      <c r="I686" s="916">
        <f>'2 REPAIR ESTIMATOR'!P729</f>
        <v>0</v>
      </c>
      <c r="J686" s="917" t="str">
        <f>'2 REPAIR ESTIMATOR'!S729</f>
        <v>lf</v>
      </c>
      <c r="K686" s="918">
        <f t="shared" si="101"/>
        <v>0</v>
      </c>
      <c r="L686" s="918">
        <f t="shared" si="102"/>
        <v>0</v>
      </c>
      <c r="M686" s="918">
        <f t="shared" si="103"/>
        <v>0</v>
      </c>
      <c r="N686" s="3719">
        <f t="shared" si="104"/>
        <v>0</v>
      </c>
      <c r="O686" s="3719"/>
      <c r="P686" s="490">
        <f t="shared" si="99"/>
        <v>0</v>
      </c>
      <c r="S686" s="32">
        <f>'2 REPAIR ESTIMATOR'!AD729</f>
        <v>0</v>
      </c>
      <c r="T686" s="32">
        <f>'2 REPAIR ESTIMATOR'!AM729</f>
        <v>0</v>
      </c>
      <c r="U686" s="32">
        <f t="shared" si="105"/>
        <v>0</v>
      </c>
      <c r="V686" s="32">
        <f>'2 REPAIR ESTIMATOR'!AG729</f>
        <v>0</v>
      </c>
      <c r="W686" s="32">
        <f>'2 REPAIR ESTIMATOR'!AJ729</f>
        <v>0</v>
      </c>
    </row>
    <row r="687" spans="3:23" ht="18" hidden="1">
      <c r="C687" s="3720" t="str">
        <f>T('2 REPAIR ESTIMATOR'!D730:O730)</f>
        <v>Fireplace mantel</v>
      </c>
      <c r="D687" s="3721"/>
      <c r="E687" s="3721"/>
      <c r="F687" s="3721"/>
      <c r="G687" s="3721"/>
      <c r="H687" s="3721"/>
      <c r="I687" s="916">
        <f>'2 REPAIR ESTIMATOR'!P730</f>
        <v>0</v>
      </c>
      <c r="J687" s="917" t="str">
        <f>'2 REPAIR ESTIMATOR'!S730</f>
        <v>ea</v>
      </c>
      <c r="K687" s="918">
        <f t="shared" si="101"/>
        <v>0</v>
      </c>
      <c r="L687" s="918">
        <f t="shared" si="102"/>
        <v>0</v>
      </c>
      <c r="M687" s="918">
        <f t="shared" si="103"/>
        <v>0</v>
      </c>
      <c r="N687" s="3719">
        <f t="shared" si="104"/>
        <v>0</v>
      </c>
      <c r="O687" s="3719"/>
      <c r="P687" s="490">
        <f t="shared" si="99"/>
        <v>0</v>
      </c>
      <c r="S687" s="32">
        <f>'2 REPAIR ESTIMATOR'!AD730</f>
        <v>0</v>
      </c>
      <c r="T687" s="32">
        <f>'2 REPAIR ESTIMATOR'!AM730</f>
        <v>0</v>
      </c>
      <c r="U687" s="32">
        <f t="shared" si="105"/>
        <v>0</v>
      </c>
      <c r="V687" s="32">
        <f>'2 REPAIR ESTIMATOR'!AG730</f>
        <v>0</v>
      </c>
      <c r="W687" s="32">
        <f>'2 REPAIR ESTIMATOR'!AJ730</f>
        <v>0</v>
      </c>
    </row>
    <row r="688" spans="3:23" ht="18" hidden="1">
      <c r="C688" s="3720" t="str">
        <f>T('2 REPAIR ESTIMATOR'!D731:O731)</f>
        <v>Wood columns</v>
      </c>
      <c r="D688" s="3721"/>
      <c r="E688" s="3721"/>
      <c r="F688" s="3721"/>
      <c r="G688" s="3721"/>
      <c r="H688" s="3721"/>
      <c r="I688" s="916">
        <f>'2 REPAIR ESTIMATOR'!P731</f>
        <v>0</v>
      </c>
      <c r="J688" s="917" t="str">
        <f>'2 REPAIR ESTIMATOR'!S731</f>
        <v>ea</v>
      </c>
      <c r="K688" s="918">
        <f t="shared" si="101"/>
        <v>0</v>
      </c>
      <c r="L688" s="918">
        <f t="shared" si="102"/>
        <v>0</v>
      </c>
      <c r="M688" s="918">
        <f t="shared" si="103"/>
        <v>0</v>
      </c>
      <c r="N688" s="3719">
        <f t="shared" si="104"/>
        <v>0</v>
      </c>
      <c r="O688" s="3719"/>
      <c r="P688" s="490">
        <f t="shared" si="99"/>
        <v>0</v>
      </c>
      <c r="S688" s="32">
        <f>'2 REPAIR ESTIMATOR'!AD731</f>
        <v>0</v>
      </c>
      <c r="T688" s="32">
        <f>'2 REPAIR ESTIMATOR'!AM731</f>
        <v>0</v>
      </c>
      <c r="U688" s="32">
        <f t="shared" si="105"/>
        <v>0</v>
      </c>
      <c r="V688" s="32">
        <f>'2 REPAIR ESTIMATOR'!AG731</f>
        <v>0</v>
      </c>
      <c r="W688" s="32">
        <f>'2 REPAIR ESTIMATOR'!AJ731</f>
        <v>0</v>
      </c>
    </row>
    <row r="689" spans="3:23" ht="18" hidden="1">
      <c r="C689" s="3720" t="str">
        <f>T('2 REPAIR ESTIMATOR'!D732:O732)</f>
        <v>Closet shelf and rod</v>
      </c>
      <c r="D689" s="3721"/>
      <c r="E689" s="3721"/>
      <c r="F689" s="3721"/>
      <c r="G689" s="3721"/>
      <c r="H689" s="3721"/>
      <c r="I689" s="916">
        <f>'2 REPAIR ESTIMATOR'!P732</f>
        <v>0</v>
      </c>
      <c r="J689" s="917" t="str">
        <f>'2 REPAIR ESTIMATOR'!S732</f>
        <v>lf</v>
      </c>
      <c r="K689" s="918">
        <f t="shared" si="101"/>
        <v>0</v>
      </c>
      <c r="L689" s="918">
        <f t="shared" si="102"/>
        <v>0</v>
      </c>
      <c r="M689" s="918">
        <f t="shared" si="103"/>
        <v>0</v>
      </c>
      <c r="N689" s="3719">
        <f t="shared" si="104"/>
        <v>0</v>
      </c>
      <c r="O689" s="3719"/>
      <c r="P689" s="490">
        <f t="shared" si="99"/>
        <v>0</v>
      </c>
      <c r="S689" s="32">
        <f>'2 REPAIR ESTIMATOR'!AD732</f>
        <v>0</v>
      </c>
      <c r="T689" s="32">
        <f>'2 REPAIR ESTIMATOR'!AM732</f>
        <v>0</v>
      </c>
      <c r="U689" s="32">
        <f t="shared" si="105"/>
        <v>0</v>
      </c>
      <c r="V689" s="32">
        <f>'2 REPAIR ESTIMATOR'!AG732</f>
        <v>0</v>
      </c>
      <c r="W689" s="32">
        <f>'2 REPAIR ESTIMATOR'!AJ732</f>
        <v>0</v>
      </c>
    </row>
    <row r="690" spans="3:23" ht="18" hidden="1">
      <c r="C690" s="3720" t="str">
        <f>T('2 REPAIR ESTIMATOR'!D733:O733)</f>
        <v>Closet kit, 8ft long</v>
      </c>
      <c r="D690" s="3721"/>
      <c r="E690" s="3721"/>
      <c r="F690" s="3721"/>
      <c r="G690" s="3721"/>
      <c r="H690" s="3721"/>
      <c r="I690" s="916">
        <f>'2 REPAIR ESTIMATOR'!P733</f>
        <v>0</v>
      </c>
      <c r="J690" s="917" t="str">
        <f>'2 REPAIR ESTIMATOR'!S733</f>
        <v>lf</v>
      </c>
      <c r="K690" s="918">
        <f t="shared" si="101"/>
        <v>0</v>
      </c>
      <c r="L690" s="918">
        <f t="shared" si="102"/>
        <v>0</v>
      </c>
      <c r="M690" s="918">
        <f t="shared" si="103"/>
        <v>0</v>
      </c>
      <c r="N690" s="3719">
        <f t="shared" si="104"/>
        <v>0</v>
      </c>
      <c r="O690" s="3719"/>
      <c r="P690" s="490">
        <f t="shared" si="99"/>
        <v>0</v>
      </c>
      <c r="S690" s="32">
        <f>'2 REPAIR ESTIMATOR'!AD733</f>
        <v>0</v>
      </c>
      <c r="T690" s="32">
        <f>'2 REPAIR ESTIMATOR'!AM733</f>
        <v>0</v>
      </c>
      <c r="U690" s="32">
        <f t="shared" si="105"/>
        <v>0</v>
      </c>
      <c r="V690" s="32">
        <f>'2 REPAIR ESTIMATOR'!AG733</f>
        <v>0</v>
      </c>
      <c r="W690" s="32">
        <f>'2 REPAIR ESTIMATOR'!AJ733</f>
        <v>0</v>
      </c>
    </row>
    <row r="691" spans="3:23" ht="18" hidden="1">
      <c r="C691" s="3720" t="str">
        <f>T('2 REPAIR ESTIMATOR'!D734:O734)</f>
        <v>Wood handrail - rail only</v>
      </c>
      <c r="D691" s="3721"/>
      <c r="E691" s="3721"/>
      <c r="F691" s="3721"/>
      <c r="G691" s="3721"/>
      <c r="H691" s="3721"/>
      <c r="I691" s="916">
        <f>'2 REPAIR ESTIMATOR'!P734</f>
        <v>0</v>
      </c>
      <c r="J691" s="917" t="str">
        <f>'2 REPAIR ESTIMATOR'!S734</f>
        <v>lf</v>
      </c>
      <c r="K691" s="918">
        <f t="shared" si="101"/>
        <v>0</v>
      </c>
      <c r="L691" s="918">
        <f t="shared" si="102"/>
        <v>0</v>
      </c>
      <c r="M691" s="918">
        <f t="shared" si="103"/>
        <v>0</v>
      </c>
      <c r="N691" s="3719">
        <f t="shared" si="104"/>
        <v>0</v>
      </c>
      <c r="O691" s="3719"/>
      <c r="P691" s="490">
        <f t="shared" si="99"/>
        <v>0</v>
      </c>
      <c r="S691" s="32">
        <f>'2 REPAIR ESTIMATOR'!AD734</f>
        <v>0</v>
      </c>
      <c r="T691" s="32">
        <f>'2 REPAIR ESTIMATOR'!AM734</f>
        <v>0</v>
      </c>
      <c r="U691" s="32">
        <f t="shared" si="105"/>
        <v>0</v>
      </c>
      <c r="V691" s="32">
        <f>'2 REPAIR ESTIMATOR'!AG734</f>
        <v>0</v>
      </c>
      <c r="W691" s="32">
        <f>'2 REPAIR ESTIMATOR'!AJ734</f>
        <v>0</v>
      </c>
    </row>
    <row r="692" spans="3:23" ht="18" hidden="1">
      <c r="C692" s="3720" t="str">
        <f>T('2 REPAIR ESTIMATOR'!D735:O735)</f>
        <v>Wood balusters</v>
      </c>
      <c r="D692" s="3721"/>
      <c r="E692" s="3721"/>
      <c r="F692" s="3721"/>
      <c r="G692" s="3721"/>
      <c r="H692" s="3721"/>
      <c r="I692" s="916">
        <f>'2 REPAIR ESTIMATOR'!P735</f>
        <v>0</v>
      </c>
      <c r="J692" s="917" t="str">
        <f>'2 REPAIR ESTIMATOR'!S735</f>
        <v>lf</v>
      </c>
      <c r="K692" s="918">
        <f t="shared" si="101"/>
        <v>0</v>
      </c>
      <c r="L692" s="918">
        <f t="shared" si="102"/>
        <v>0</v>
      </c>
      <c r="M692" s="918">
        <f t="shared" si="103"/>
        <v>0</v>
      </c>
      <c r="N692" s="3719">
        <f t="shared" si="104"/>
        <v>0</v>
      </c>
      <c r="O692" s="3719"/>
      <c r="P692" s="490">
        <f t="shared" si="99"/>
        <v>0</v>
      </c>
      <c r="S692" s="32">
        <f>'2 REPAIR ESTIMATOR'!AD735</f>
        <v>0</v>
      </c>
      <c r="T692" s="32">
        <f>'2 REPAIR ESTIMATOR'!AM735</f>
        <v>0</v>
      </c>
      <c r="U692" s="32">
        <f t="shared" si="105"/>
        <v>0</v>
      </c>
      <c r="V692" s="32">
        <f>'2 REPAIR ESTIMATOR'!AG735</f>
        <v>0</v>
      </c>
      <c r="W692" s="32">
        <f>'2 REPAIR ESTIMATOR'!AJ735</f>
        <v>0</v>
      </c>
    </row>
    <row r="693" spans="3:23" ht="18" hidden="1">
      <c r="C693" s="3720" t="str">
        <f>T('2 REPAIR ESTIMATOR'!D736:O736)</f>
        <v>Iron balusters</v>
      </c>
      <c r="D693" s="3721"/>
      <c r="E693" s="3721"/>
      <c r="F693" s="3721"/>
      <c r="G693" s="3721"/>
      <c r="H693" s="3721"/>
      <c r="I693" s="916">
        <f>'2 REPAIR ESTIMATOR'!P736</f>
        <v>0</v>
      </c>
      <c r="J693" s="917" t="str">
        <f>'2 REPAIR ESTIMATOR'!S736</f>
        <v>lf</v>
      </c>
      <c r="K693" s="918">
        <f t="shared" si="101"/>
        <v>0</v>
      </c>
      <c r="L693" s="918">
        <f t="shared" si="102"/>
        <v>0</v>
      </c>
      <c r="M693" s="918">
        <f t="shared" si="103"/>
        <v>0</v>
      </c>
      <c r="N693" s="3719">
        <f t="shared" si="104"/>
        <v>0</v>
      </c>
      <c r="O693" s="3719"/>
      <c r="P693" s="490">
        <f t="shared" si="99"/>
        <v>0</v>
      </c>
      <c r="S693" s="32">
        <f>'2 REPAIR ESTIMATOR'!AD736</f>
        <v>0</v>
      </c>
      <c r="T693" s="32">
        <f>'2 REPAIR ESTIMATOR'!AM736</f>
        <v>0</v>
      </c>
      <c r="U693" s="32">
        <f t="shared" si="105"/>
        <v>0</v>
      </c>
      <c r="V693" s="32">
        <f>'2 REPAIR ESTIMATOR'!AG736</f>
        <v>0</v>
      </c>
      <c r="W693" s="32">
        <f>'2 REPAIR ESTIMATOR'!AJ736</f>
        <v>0</v>
      </c>
    </row>
    <row r="694" spans="3:23" ht="18" hidden="1">
      <c r="C694" s="3720" t="str">
        <f>T('2 REPAIR ESTIMATOR'!D737:O737)</f>
        <v/>
      </c>
      <c r="D694" s="3721"/>
      <c r="E694" s="3721"/>
      <c r="F694" s="3721"/>
      <c r="G694" s="3721"/>
      <c r="H694" s="3721"/>
      <c r="I694" s="916">
        <f>'2 REPAIR ESTIMATOR'!P737</f>
        <v>0</v>
      </c>
      <c r="J694" s="917">
        <f>'2 REPAIR ESTIMATOR'!S737</f>
        <v>0</v>
      </c>
      <c r="K694" s="918">
        <f t="shared" si="101"/>
        <v>0</v>
      </c>
      <c r="L694" s="918">
        <f t="shared" si="102"/>
        <v>0</v>
      </c>
      <c r="M694" s="918">
        <f t="shared" si="103"/>
        <v>0</v>
      </c>
      <c r="N694" s="3719">
        <f t="shared" si="104"/>
        <v>0</v>
      </c>
      <c r="O694" s="3719"/>
      <c r="P694" s="490">
        <f t="shared" si="99"/>
        <v>0</v>
      </c>
      <c r="S694" s="32">
        <f>'2 REPAIR ESTIMATOR'!AD737</f>
        <v>0</v>
      </c>
      <c r="T694" s="32">
        <f>'2 REPAIR ESTIMATOR'!AM737</f>
        <v>0</v>
      </c>
      <c r="U694" s="32">
        <f t="shared" si="105"/>
        <v>0</v>
      </c>
      <c r="V694" s="32">
        <f>'2 REPAIR ESTIMATOR'!AG737</f>
        <v>0</v>
      </c>
      <c r="W694" s="32">
        <f>'2 REPAIR ESTIMATOR'!AJ737</f>
        <v>0</v>
      </c>
    </row>
    <row r="695" spans="3:23" ht="18" hidden="1">
      <c r="C695" s="3720" t="str">
        <f>T('2 REPAIR ESTIMATOR'!D738:O738)</f>
        <v/>
      </c>
      <c r="D695" s="3721"/>
      <c r="E695" s="3721"/>
      <c r="F695" s="3721"/>
      <c r="G695" s="3721"/>
      <c r="H695" s="3721"/>
      <c r="I695" s="916">
        <f>'2 REPAIR ESTIMATOR'!P738</f>
        <v>0</v>
      </c>
      <c r="J695" s="917">
        <f>'2 REPAIR ESTIMATOR'!S738</f>
        <v>0</v>
      </c>
      <c r="K695" s="918">
        <f t="shared" si="101"/>
        <v>0</v>
      </c>
      <c r="L695" s="918">
        <f t="shared" si="102"/>
        <v>0</v>
      </c>
      <c r="M695" s="918">
        <f t="shared" si="103"/>
        <v>0</v>
      </c>
      <c r="N695" s="3719">
        <f t="shared" si="104"/>
        <v>0</v>
      </c>
      <c r="O695" s="3719"/>
      <c r="P695" s="490">
        <f t="shared" ref="P695:P714" si="106">I695</f>
        <v>0</v>
      </c>
      <c r="S695" s="32">
        <f>'2 REPAIR ESTIMATOR'!AD738</f>
        <v>0</v>
      </c>
      <c r="T695" s="32">
        <f>'2 REPAIR ESTIMATOR'!AM738</f>
        <v>0</v>
      </c>
      <c r="U695" s="32">
        <f t="shared" si="105"/>
        <v>0</v>
      </c>
      <c r="V695" s="32">
        <f>'2 REPAIR ESTIMATOR'!AG738</f>
        <v>0</v>
      </c>
      <c r="W695" s="32">
        <f>'2 REPAIR ESTIMATOR'!AJ738</f>
        <v>0</v>
      </c>
    </row>
    <row r="696" spans="3:23" ht="18" hidden="1">
      <c r="C696" s="3720" t="str">
        <f>T('2 REPAIR ESTIMATOR'!D739:O739)</f>
        <v/>
      </c>
      <c r="D696" s="3721"/>
      <c r="E696" s="3721"/>
      <c r="F696" s="3721"/>
      <c r="G696" s="3721"/>
      <c r="H696" s="3721"/>
      <c r="I696" s="916">
        <f>'2 REPAIR ESTIMATOR'!P739</f>
        <v>0</v>
      </c>
      <c r="J696" s="917">
        <f>'2 REPAIR ESTIMATOR'!S739</f>
        <v>0</v>
      </c>
      <c r="K696" s="918">
        <f t="shared" si="101"/>
        <v>0</v>
      </c>
      <c r="L696" s="918">
        <f t="shared" si="102"/>
        <v>0</v>
      </c>
      <c r="M696" s="918">
        <f t="shared" si="103"/>
        <v>0</v>
      </c>
      <c r="N696" s="3719">
        <f t="shared" si="104"/>
        <v>0</v>
      </c>
      <c r="O696" s="3719"/>
      <c r="P696" s="490">
        <f t="shared" si="106"/>
        <v>0</v>
      </c>
      <c r="S696" s="32">
        <f>'2 REPAIR ESTIMATOR'!AD739</f>
        <v>0</v>
      </c>
      <c r="T696" s="32">
        <f>'2 REPAIR ESTIMATOR'!AM739</f>
        <v>0</v>
      </c>
      <c r="U696" s="32">
        <f t="shared" si="105"/>
        <v>0</v>
      </c>
      <c r="V696" s="32">
        <f>'2 REPAIR ESTIMATOR'!AG739</f>
        <v>0</v>
      </c>
      <c r="W696" s="32">
        <f>'2 REPAIR ESTIMATOR'!AJ739</f>
        <v>0</v>
      </c>
    </row>
    <row r="697" spans="3:23" ht="18" hidden="1">
      <c r="C697" s="3720" t="str">
        <f>T('2 REPAIR ESTIMATOR'!D740:O740)</f>
        <v/>
      </c>
      <c r="D697" s="3721"/>
      <c r="E697" s="3721"/>
      <c r="F697" s="3721"/>
      <c r="G697" s="3721"/>
      <c r="H697" s="3721"/>
      <c r="I697" s="916">
        <f>'2 REPAIR ESTIMATOR'!P740</f>
        <v>0</v>
      </c>
      <c r="J697" s="917">
        <f>'2 REPAIR ESTIMATOR'!S740</f>
        <v>0</v>
      </c>
      <c r="K697" s="918">
        <f t="shared" si="101"/>
        <v>0</v>
      </c>
      <c r="L697" s="918">
        <f t="shared" si="102"/>
        <v>0</v>
      </c>
      <c r="M697" s="918">
        <f t="shared" si="103"/>
        <v>0</v>
      </c>
      <c r="N697" s="3719">
        <f t="shared" si="104"/>
        <v>0</v>
      </c>
      <c r="O697" s="3719"/>
      <c r="P697" s="490">
        <f t="shared" si="106"/>
        <v>0</v>
      </c>
      <c r="S697" s="32">
        <f>'2 REPAIR ESTIMATOR'!AD740</f>
        <v>0</v>
      </c>
      <c r="T697" s="32">
        <f>'2 REPAIR ESTIMATOR'!AM740</f>
        <v>0</v>
      </c>
      <c r="U697" s="32">
        <f t="shared" si="105"/>
        <v>0</v>
      </c>
      <c r="V697" s="32">
        <f>'2 REPAIR ESTIMATOR'!AG740</f>
        <v>0</v>
      </c>
      <c r="W697" s="32">
        <f>'2 REPAIR ESTIMATOR'!AJ740</f>
        <v>0</v>
      </c>
    </row>
    <row r="698" spans="3:23" ht="18" hidden="1">
      <c r="C698" s="3720" t="str">
        <f>T('2 REPAIR ESTIMATOR'!D741:O741)</f>
        <v/>
      </c>
      <c r="D698" s="3721"/>
      <c r="E698" s="3721"/>
      <c r="F698" s="3721"/>
      <c r="G698" s="3721"/>
      <c r="H698" s="3721"/>
      <c r="I698" s="916">
        <f>'2 REPAIR ESTIMATOR'!P741</f>
        <v>0</v>
      </c>
      <c r="J698" s="917">
        <f>'2 REPAIR ESTIMATOR'!S741</f>
        <v>0</v>
      </c>
      <c r="K698" s="918">
        <f t="shared" si="101"/>
        <v>0</v>
      </c>
      <c r="L698" s="918">
        <f t="shared" si="102"/>
        <v>0</v>
      </c>
      <c r="M698" s="918">
        <f t="shared" si="103"/>
        <v>0</v>
      </c>
      <c r="N698" s="3719">
        <f t="shared" si="104"/>
        <v>0</v>
      </c>
      <c r="O698" s="3719"/>
      <c r="P698" s="490">
        <f t="shared" si="106"/>
        <v>0</v>
      </c>
      <c r="S698" s="32">
        <f>'2 REPAIR ESTIMATOR'!AD741</f>
        <v>0</v>
      </c>
      <c r="T698" s="32">
        <f>'2 REPAIR ESTIMATOR'!AM741</f>
        <v>0</v>
      </c>
      <c r="U698" s="32">
        <f t="shared" si="105"/>
        <v>0</v>
      </c>
      <c r="V698" s="32">
        <f>'2 REPAIR ESTIMATOR'!AG741</f>
        <v>0</v>
      </c>
      <c r="W698" s="32">
        <f>'2 REPAIR ESTIMATOR'!AJ741</f>
        <v>0</v>
      </c>
    </row>
    <row r="699" spans="3:23" ht="18" hidden="1">
      <c r="C699" s="3720" t="str">
        <f>T('2 REPAIR ESTIMATOR'!D742:O742)</f>
        <v/>
      </c>
      <c r="D699" s="3721"/>
      <c r="E699" s="3721"/>
      <c r="F699" s="3721"/>
      <c r="G699" s="3721"/>
      <c r="H699" s="3721"/>
      <c r="I699" s="916">
        <f>'2 REPAIR ESTIMATOR'!P742</f>
        <v>0</v>
      </c>
      <c r="J699" s="917">
        <f>'2 REPAIR ESTIMATOR'!S742</f>
        <v>0</v>
      </c>
      <c r="K699" s="918">
        <f t="shared" si="101"/>
        <v>0</v>
      </c>
      <c r="L699" s="918">
        <f t="shared" si="102"/>
        <v>0</v>
      </c>
      <c r="M699" s="918">
        <f t="shared" si="103"/>
        <v>0</v>
      </c>
      <c r="N699" s="3719">
        <f t="shared" si="104"/>
        <v>0</v>
      </c>
      <c r="O699" s="3719"/>
      <c r="P699" s="490">
        <f t="shared" si="106"/>
        <v>0</v>
      </c>
      <c r="S699" s="32">
        <f>'2 REPAIR ESTIMATOR'!AD742</f>
        <v>0</v>
      </c>
      <c r="T699" s="32">
        <f>'2 REPAIR ESTIMATOR'!AM742</f>
        <v>0</v>
      </c>
      <c r="U699" s="32">
        <f t="shared" si="105"/>
        <v>0</v>
      </c>
      <c r="V699" s="32">
        <f>'2 REPAIR ESTIMATOR'!AG742</f>
        <v>0</v>
      </c>
      <c r="W699" s="32">
        <f>'2 REPAIR ESTIMATOR'!AJ742</f>
        <v>0</v>
      </c>
    </row>
    <row r="700" spans="3:23" ht="18" hidden="1">
      <c r="C700" s="3720" t="str">
        <f>T('2 REPAIR ESTIMATOR'!D743:O743)</f>
        <v/>
      </c>
      <c r="D700" s="3721"/>
      <c r="E700" s="3721"/>
      <c r="F700" s="3721"/>
      <c r="G700" s="3721"/>
      <c r="H700" s="3721"/>
      <c r="I700" s="916">
        <f>'2 REPAIR ESTIMATOR'!P743</f>
        <v>0</v>
      </c>
      <c r="J700" s="917">
        <f>'2 REPAIR ESTIMATOR'!S743</f>
        <v>0</v>
      </c>
      <c r="K700" s="918">
        <f t="shared" si="101"/>
        <v>0</v>
      </c>
      <c r="L700" s="918">
        <f t="shared" si="102"/>
        <v>0</v>
      </c>
      <c r="M700" s="918">
        <f t="shared" si="103"/>
        <v>0</v>
      </c>
      <c r="N700" s="3719">
        <f t="shared" si="104"/>
        <v>0</v>
      </c>
      <c r="O700" s="3719"/>
      <c r="P700" s="490">
        <f t="shared" si="106"/>
        <v>0</v>
      </c>
      <c r="S700" s="32">
        <f>'2 REPAIR ESTIMATOR'!AD743</f>
        <v>0</v>
      </c>
      <c r="T700" s="32">
        <f>'2 REPAIR ESTIMATOR'!AM743</f>
        <v>0</v>
      </c>
      <c r="U700" s="32">
        <f t="shared" si="105"/>
        <v>0</v>
      </c>
      <c r="V700" s="32">
        <f>'2 REPAIR ESTIMATOR'!AG743</f>
        <v>0</v>
      </c>
      <c r="W700" s="32">
        <f>'2 REPAIR ESTIMATOR'!AJ743</f>
        <v>0</v>
      </c>
    </row>
    <row r="701" spans="3:23" ht="18" hidden="1">
      <c r="C701" s="3720" t="str">
        <f>T('2 REPAIR ESTIMATOR'!D744:O744)</f>
        <v/>
      </c>
      <c r="D701" s="3721"/>
      <c r="E701" s="3721"/>
      <c r="F701" s="3721"/>
      <c r="G701" s="3721"/>
      <c r="H701" s="3721"/>
      <c r="I701" s="916">
        <f>'2 REPAIR ESTIMATOR'!P744</f>
        <v>0</v>
      </c>
      <c r="J701" s="917">
        <f>'2 REPAIR ESTIMATOR'!S744</f>
        <v>0</v>
      </c>
      <c r="K701" s="918">
        <f t="shared" si="101"/>
        <v>0</v>
      </c>
      <c r="L701" s="918">
        <f t="shared" si="102"/>
        <v>0</v>
      </c>
      <c r="M701" s="918">
        <f t="shared" si="103"/>
        <v>0</v>
      </c>
      <c r="N701" s="3719">
        <f t="shared" si="104"/>
        <v>0</v>
      </c>
      <c r="O701" s="3719"/>
      <c r="P701" s="490">
        <f t="shared" si="106"/>
        <v>0</v>
      </c>
      <c r="S701" s="32">
        <f>'2 REPAIR ESTIMATOR'!AD744</f>
        <v>0</v>
      </c>
      <c r="T701" s="32">
        <f>'2 REPAIR ESTIMATOR'!AM744</f>
        <v>0</v>
      </c>
      <c r="U701" s="32">
        <f t="shared" si="105"/>
        <v>0</v>
      </c>
      <c r="V701" s="32">
        <f>'2 REPAIR ESTIMATOR'!AG744</f>
        <v>0</v>
      </c>
      <c r="W701" s="32">
        <f>'2 REPAIR ESTIMATOR'!AJ744</f>
        <v>0</v>
      </c>
    </row>
    <row r="702" spans="3:23" ht="18" hidden="1">
      <c r="C702" s="3720" t="str">
        <f>T('2 REPAIR ESTIMATOR'!D745:O745)</f>
        <v/>
      </c>
      <c r="D702" s="3721"/>
      <c r="E702" s="3721"/>
      <c r="F702" s="3721"/>
      <c r="G702" s="3721"/>
      <c r="H702" s="3721"/>
      <c r="I702" s="916">
        <f>'2 REPAIR ESTIMATOR'!P745</f>
        <v>0</v>
      </c>
      <c r="J702" s="917">
        <f>'2 REPAIR ESTIMATOR'!S745</f>
        <v>0</v>
      </c>
      <c r="K702" s="918">
        <f t="shared" si="101"/>
        <v>0</v>
      </c>
      <c r="L702" s="918">
        <f t="shared" si="102"/>
        <v>0</v>
      </c>
      <c r="M702" s="918">
        <f t="shared" si="103"/>
        <v>0</v>
      </c>
      <c r="N702" s="3719">
        <f t="shared" si="104"/>
        <v>0</v>
      </c>
      <c r="O702" s="3719"/>
      <c r="P702" s="490">
        <f t="shared" si="106"/>
        <v>0</v>
      </c>
      <c r="S702" s="32">
        <f>'2 REPAIR ESTIMATOR'!AD745</f>
        <v>0</v>
      </c>
      <c r="T702" s="32">
        <f>'2 REPAIR ESTIMATOR'!AM745</f>
        <v>0</v>
      </c>
      <c r="U702" s="32">
        <f t="shared" si="105"/>
        <v>0</v>
      </c>
      <c r="V702" s="32">
        <f>'2 REPAIR ESTIMATOR'!AG745</f>
        <v>0</v>
      </c>
      <c r="W702" s="32">
        <f>'2 REPAIR ESTIMATOR'!AJ745</f>
        <v>0</v>
      </c>
    </row>
    <row r="703" spans="3:23" ht="18" hidden="1">
      <c r="C703" s="3720" t="str">
        <f>T('2 REPAIR ESTIMATOR'!D746:O746)</f>
        <v/>
      </c>
      <c r="D703" s="3721"/>
      <c r="E703" s="3721"/>
      <c r="F703" s="3721"/>
      <c r="G703" s="3721"/>
      <c r="H703" s="3721"/>
      <c r="I703" s="916">
        <f>'2 REPAIR ESTIMATOR'!P746</f>
        <v>0</v>
      </c>
      <c r="J703" s="917">
        <f>'2 REPAIR ESTIMATOR'!S746</f>
        <v>0</v>
      </c>
      <c r="K703" s="918">
        <f t="shared" si="101"/>
        <v>0</v>
      </c>
      <c r="L703" s="918">
        <f t="shared" si="102"/>
        <v>0</v>
      </c>
      <c r="M703" s="918">
        <f t="shared" si="103"/>
        <v>0</v>
      </c>
      <c r="N703" s="3719">
        <f t="shared" si="104"/>
        <v>0</v>
      </c>
      <c r="O703" s="3719"/>
      <c r="P703" s="490">
        <f t="shared" si="106"/>
        <v>0</v>
      </c>
      <c r="S703" s="32">
        <f>'2 REPAIR ESTIMATOR'!AD746</f>
        <v>0</v>
      </c>
      <c r="T703" s="32">
        <f>'2 REPAIR ESTIMATOR'!AM746</f>
        <v>0</v>
      </c>
      <c r="U703" s="32">
        <f t="shared" si="105"/>
        <v>0</v>
      </c>
      <c r="V703" s="32">
        <f>'2 REPAIR ESTIMATOR'!AG746</f>
        <v>0</v>
      </c>
      <c r="W703" s="32">
        <f>'2 REPAIR ESTIMATOR'!AJ746</f>
        <v>0</v>
      </c>
    </row>
    <row r="704" spans="3:23" ht="18" hidden="1">
      <c r="C704" s="3720" t="str">
        <f>T('2 REPAIR ESTIMATOR'!D747:O747)</f>
        <v/>
      </c>
      <c r="D704" s="3721"/>
      <c r="E704" s="3721"/>
      <c r="F704" s="3721"/>
      <c r="G704" s="3721"/>
      <c r="H704" s="3721"/>
      <c r="I704" s="916">
        <f>'2 REPAIR ESTIMATOR'!P747</f>
        <v>0</v>
      </c>
      <c r="J704" s="917">
        <f>'2 REPAIR ESTIMATOR'!S747</f>
        <v>0</v>
      </c>
      <c r="K704" s="918">
        <f t="shared" si="101"/>
        <v>0</v>
      </c>
      <c r="L704" s="918">
        <f t="shared" si="102"/>
        <v>0</v>
      </c>
      <c r="M704" s="918">
        <f t="shared" si="103"/>
        <v>0</v>
      </c>
      <c r="N704" s="3719">
        <f t="shared" si="104"/>
        <v>0</v>
      </c>
      <c r="O704" s="3719"/>
      <c r="P704" s="490">
        <f t="shared" si="106"/>
        <v>0</v>
      </c>
      <c r="S704" s="32">
        <f>'2 REPAIR ESTIMATOR'!AD747</f>
        <v>0</v>
      </c>
      <c r="T704" s="32">
        <f>'2 REPAIR ESTIMATOR'!AM747</f>
        <v>0</v>
      </c>
      <c r="U704" s="32">
        <f t="shared" si="105"/>
        <v>0</v>
      </c>
      <c r="V704" s="32">
        <f>'2 REPAIR ESTIMATOR'!AG747</f>
        <v>0</v>
      </c>
      <c r="W704" s="32">
        <f>'2 REPAIR ESTIMATOR'!AJ747</f>
        <v>0</v>
      </c>
    </row>
    <row r="705" spans="3:23" ht="18" hidden="1">
      <c r="C705" s="3720" t="str">
        <f>T('2 REPAIR ESTIMATOR'!D748:O748)</f>
        <v/>
      </c>
      <c r="D705" s="3721"/>
      <c r="E705" s="3721"/>
      <c r="F705" s="3721"/>
      <c r="G705" s="3721"/>
      <c r="H705" s="3721"/>
      <c r="I705" s="916">
        <f>'2 REPAIR ESTIMATOR'!P748</f>
        <v>0</v>
      </c>
      <c r="J705" s="917">
        <f>'2 REPAIR ESTIMATOR'!S748</f>
        <v>0</v>
      </c>
      <c r="K705" s="918">
        <f t="shared" si="101"/>
        <v>0</v>
      </c>
      <c r="L705" s="918">
        <f t="shared" si="102"/>
        <v>0</v>
      </c>
      <c r="M705" s="918">
        <f t="shared" si="103"/>
        <v>0</v>
      </c>
      <c r="N705" s="3719">
        <f t="shared" si="104"/>
        <v>0</v>
      </c>
      <c r="O705" s="3719"/>
      <c r="P705" s="490">
        <f t="shared" si="106"/>
        <v>0</v>
      </c>
      <c r="S705" s="32">
        <f>'2 REPAIR ESTIMATOR'!AD748</f>
        <v>0</v>
      </c>
      <c r="T705" s="32">
        <f>'2 REPAIR ESTIMATOR'!AM748</f>
        <v>0</v>
      </c>
      <c r="U705" s="32">
        <f t="shared" si="105"/>
        <v>0</v>
      </c>
      <c r="V705" s="32">
        <f>'2 REPAIR ESTIMATOR'!AG748</f>
        <v>0</v>
      </c>
      <c r="W705" s="32">
        <f>'2 REPAIR ESTIMATOR'!AJ748</f>
        <v>0</v>
      </c>
    </row>
    <row r="706" spans="3:23" ht="18" hidden="1">
      <c r="C706" s="3720" t="str">
        <f>T('2 REPAIR ESTIMATOR'!D749:O749)</f>
        <v/>
      </c>
      <c r="D706" s="3721"/>
      <c r="E706" s="3721"/>
      <c r="F706" s="3721"/>
      <c r="G706" s="3721"/>
      <c r="H706" s="3721"/>
      <c r="I706" s="916">
        <f>'2 REPAIR ESTIMATOR'!P749</f>
        <v>0</v>
      </c>
      <c r="J706" s="917">
        <f>'2 REPAIR ESTIMATOR'!S749</f>
        <v>0</v>
      </c>
      <c r="K706" s="918">
        <f t="shared" si="101"/>
        <v>0</v>
      </c>
      <c r="L706" s="918">
        <f t="shared" si="102"/>
        <v>0</v>
      </c>
      <c r="M706" s="918">
        <f t="shared" si="103"/>
        <v>0</v>
      </c>
      <c r="N706" s="3719">
        <f t="shared" si="104"/>
        <v>0</v>
      </c>
      <c r="O706" s="3719"/>
      <c r="P706" s="490">
        <f t="shared" si="106"/>
        <v>0</v>
      </c>
      <c r="S706" s="32">
        <f>'2 REPAIR ESTIMATOR'!AD749</f>
        <v>0</v>
      </c>
      <c r="T706" s="32">
        <f>'2 REPAIR ESTIMATOR'!AM749</f>
        <v>0</v>
      </c>
      <c r="U706" s="32">
        <f t="shared" si="105"/>
        <v>0</v>
      </c>
      <c r="V706" s="32">
        <f>'2 REPAIR ESTIMATOR'!AG749</f>
        <v>0</v>
      </c>
      <c r="W706" s="32">
        <f>'2 REPAIR ESTIMATOR'!AJ749</f>
        <v>0</v>
      </c>
    </row>
    <row r="707" spans="3:23" ht="18" hidden="1">
      <c r="C707" s="3720" t="str">
        <f>T('2 REPAIR ESTIMATOR'!D750:O750)</f>
        <v/>
      </c>
      <c r="D707" s="3721"/>
      <c r="E707" s="3721"/>
      <c r="F707" s="3721"/>
      <c r="G707" s="3721"/>
      <c r="H707" s="3721"/>
      <c r="I707" s="916">
        <f>'2 REPAIR ESTIMATOR'!P750</f>
        <v>0</v>
      </c>
      <c r="J707" s="917">
        <f>'2 REPAIR ESTIMATOR'!S750</f>
        <v>0</v>
      </c>
      <c r="K707" s="918">
        <f t="shared" si="101"/>
        <v>0</v>
      </c>
      <c r="L707" s="918">
        <f t="shared" si="102"/>
        <v>0</v>
      </c>
      <c r="M707" s="918">
        <f t="shared" si="103"/>
        <v>0</v>
      </c>
      <c r="N707" s="3719">
        <f t="shared" si="104"/>
        <v>0</v>
      </c>
      <c r="O707" s="3719"/>
      <c r="P707" s="490">
        <f t="shared" si="106"/>
        <v>0</v>
      </c>
      <c r="S707" s="32">
        <f>'2 REPAIR ESTIMATOR'!AD750</f>
        <v>0</v>
      </c>
      <c r="T707" s="32">
        <f>'2 REPAIR ESTIMATOR'!AM750</f>
        <v>0</v>
      </c>
      <c r="U707" s="32">
        <f t="shared" si="105"/>
        <v>0</v>
      </c>
      <c r="V707" s="32">
        <f>'2 REPAIR ESTIMATOR'!AG750</f>
        <v>0</v>
      </c>
      <c r="W707" s="32">
        <f>'2 REPAIR ESTIMATOR'!AJ750</f>
        <v>0</v>
      </c>
    </row>
    <row r="708" spans="3:23" ht="18" hidden="1">
      <c r="C708" s="3720" t="str">
        <f>T('2 REPAIR ESTIMATOR'!D751:O751)</f>
        <v/>
      </c>
      <c r="D708" s="3721"/>
      <c r="E708" s="3721"/>
      <c r="F708" s="3721"/>
      <c r="G708" s="3721"/>
      <c r="H708" s="3721"/>
      <c r="I708" s="916">
        <f>'2 REPAIR ESTIMATOR'!P751</f>
        <v>0</v>
      </c>
      <c r="J708" s="917">
        <f>'2 REPAIR ESTIMATOR'!S751</f>
        <v>0</v>
      </c>
      <c r="K708" s="918">
        <f t="shared" si="101"/>
        <v>0</v>
      </c>
      <c r="L708" s="918">
        <f t="shared" si="102"/>
        <v>0</v>
      </c>
      <c r="M708" s="918">
        <f t="shared" si="103"/>
        <v>0</v>
      </c>
      <c r="N708" s="3719">
        <f t="shared" si="104"/>
        <v>0</v>
      </c>
      <c r="O708" s="3719"/>
      <c r="P708" s="490">
        <f t="shared" si="106"/>
        <v>0</v>
      </c>
      <c r="S708" s="32">
        <f>'2 REPAIR ESTIMATOR'!AD751</f>
        <v>0</v>
      </c>
      <c r="T708" s="32">
        <f>'2 REPAIR ESTIMATOR'!AM751</f>
        <v>0</v>
      </c>
      <c r="U708" s="32">
        <f t="shared" si="105"/>
        <v>0</v>
      </c>
      <c r="V708" s="32">
        <f>'2 REPAIR ESTIMATOR'!AG751</f>
        <v>0</v>
      </c>
      <c r="W708" s="32">
        <f>'2 REPAIR ESTIMATOR'!AJ751</f>
        <v>0</v>
      </c>
    </row>
    <row r="709" spans="3:23" ht="18" hidden="1">
      <c r="C709" s="3720" t="str">
        <f>T('2 REPAIR ESTIMATOR'!D752:O752)</f>
        <v/>
      </c>
      <c r="D709" s="3721"/>
      <c r="E709" s="3721"/>
      <c r="F709" s="3721"/>
      <c r="G709" s="3721"/>
      <c r="H709" s="3721"/>
      <c r="I709" s="916">
        <f>'2 REPAIR ESTIMATOR'!P752</f>
        <v>0</v>
      </c>
      <c r="J709" s="917">
        <f>'2 REPAIR ESTIMATOR'!S752</f>
        <v>0</v>
      </c>
      <c r="K709" s="918">
        <f t="shared" si="101"/>
        <v>0</v>
      </c>
      <c r="L709" s="918">
        <f t="shared" si="102"/>
        <v>0</v>
      </c>
      <c r="M709" s="918">
        <f t="shared" si="103"/>
        <v>0</v>
      </c>
      <c r="N709" s="3719">
        <f t="shared" si="104"/>
        <v>0</v>
      </c>
      <c r="O709" s="3719"/>
      <c r="P709" s="490">
        <f t="shared" si="106"/>
        <v>0</v>
      </c>
      <c r="S709" s="32">
        <f>'2 REPAIR ESTIMATOR'!AD752</f>
        <v>0</v>
      </c>
      <c r="T709" s="32">
        <f>'2 REPAIR ESTIMATOR'!AM752</f>
        <v>0</v>
      </c>
      <c r="U709" s="32">
        <f t="shared" si="105"/>
        <v>0</v>
      </c>
      <c r="V709" s="32">
        <f>'2 REPAIR ESTIMATOR'!AG752</f>
        <v>0</v>
      </c>
      <c r="W709" s="32">
        <f>'2 REPAIR ESTIMATOR'!AJ752</f>
        <v>0</v>
      </c>
    </row>
    <row r="710" spans="3:23" ht="18" hidden="1">
      <c r="C710" s="3720" t="str">
        <f>T('2 REPAIR ESTIMATOR'!D753:O753)</f>
        <v/>
      </c>
      <c r="D710" s="3721"/>
      <c r="E710" s="3721"/>
      <c r="F710" s="3721"/>
      <c r="G710" s="3721"/>
      <c r="H710" s="3721"/>
      <c r="I710" s="916">
        <f>'2 REPAIR ESTIMATOR'!P753</f>
        <v>0</v>
      </c>
      <c r="J710" s="917">
        <f>'2 REPAIR ESTIMATOR'!S753</f>
        <v>0</v>
      </c>
      <c r="K710" s="918">
        <f t="shared" si="101"/>
        <v>0</v>
      </c>
      <c r="L710" s="918">
        <f t="shared" si="102"/>
        <v>0</v>
      </c>
      <c r="M710" s="918">
        <f t="shared" si="103"/>
        <v>0</v>
      </c>
      <c r="N710" s="3719">
        <f t="shared" si="104"/>
        <v>0</v>
      </c>
      <c r="O710" s="3719"/>
      <c r="P710" s="490">
        <f t="shared" si="106"/>
        <v>0</v>
      </c>
      <c r="S710" s="32">
        <f>'2 REPAIR ESTIMATOR'!AD753</f>
        <v>0</v>
      </c>
      <c r="T710" s="32">
        <f>'2 REPAIR ESTIMATOR'!AM753</f>
        <v>0</v>
      </c>
      <c r="U710" s="32">
        <f t="shared" si="105"/>
        <v>0</v>
      </c>
      <c r="V710" s="32">
        <f>'2 REPAIR ESTIMATOR'!AG753</f>
        <v>0</v>
      </c>
      <c r="W710" s="32">
        <f>'2 REPAIR ESTIMATOR'!AJ753</f>
        <v>0</v>
      </c>
    </row>
    <row r="711" spans="3:23" ht="18" hidden="1">
      <c r="C711" s="3720" t="str">
        <f>T('2 REPAIR ESTIMATOR'!D754:O754)</f>
        <v/>
      </c>
      <c r="D711" s="3721"/>
      <c r="E711" s="3721"/>
      <c r="F711" s="3721"/>
      <c r="G711" s="3721"/>
      <c r="H711" s="3721"/>
      <c r="I711" s="916">
        <f>'2 REPAIR ESTIMATOR'!P754</f>
        <v>0</v>
      </c>
      <c r="J711" s="917">
        <f>'2 REPAIR ESTIMATOR'!S754</f>
        <v>0</v>
      </c>
      <c r="K711" s="918">
        <f t="shared" si="101"/>
        <v>0</v>
      </c>
      <c r="L711" s="918">
        <f t="shared" si="102"/>
        <v>0</v>
      </c>
      <c r="M711" s="918">
        <f t="shared" si="103"/>
        <v>0</v>
      </c>
      <c r="N711" s="3719">
        <f t="shared" si="104"/>
        <v>0</v>
      </c>
      <c r="O711" s="3719"/>
      <c r="P711" s="490">
        <f t="shared" si="106"/>
        <v>0</v>
      </c>
      <c r="S711" s="32">
        <f>'2 REPAIR ESTIMATOR'!AD754</f>
        <v>0</v>
      </c>
      <c r="T711" s="32">
        <f>'2 REPAIR ESTIMATOR'!AM754</f>
        <v>0</v>
      </c>
      <c r="U711" s="32">
        <f t="shared" si="105"/>
        <v>0</v>
      </c>
      <c r="V711" s="32">
        <f>'2 REPAIR ESTIMATOR'!AG754</f>
        <v>0</v>
      </c>
      <c r="W711" s="32">
        <f>'2 REPAIR ESTIMATOR'!AJ754</f>
        <v>0</v>
      </c>
    </row>
    <row r="712" spans="3:23" ht="18" hidden="1">
      <c r="C712" s="3720" t="str">
        <f>T('2 REPAIR ESTIMATOR'!D755:O755)</f>
        <v/>
      </c>
      <c r="D712" s="3721"/>
      <c r="E712" s="3721"/>
      <c r="F712" s="3721"/>
      <c r="G712" s="3721"/>
      <c r="H712" s="3721"/>
      <c r="I712" s="916">
        <f>'2 REPAIR ESTIMATOR'!P755</f>
        <v>0</v>
      </c>
      <c r="J712" s="917">
        <f>'2 REPAIR ESTIMATOR'!S755</f>
        <v>0</v>
      </c>
      <c r="K712" s="918">
        <f t="shared" si="101"/>
        <v>0</v>
      </c>
      <c r="L712" s="918">
        <f t="shared" si="102"/>
        <v>0</v>
      </c>
      <c r="M712" s="918">
        <f t="shared" si="103"/>
        <v>0</v>
      </c>
      <c r="N712" s="3719">
        <f t="shared" si="104"/>
        <v>0</v>
      </c>
      <c r="O712" s="3719"/>
      <c r="P712" s="490">
        <f t="shared" si="106"/>
        <v>0</v>
      </c>
      <c r="S712" s="32">
        <f>'2 REPAIR ESTIMATOR'!AD755</f>
        <v>0</v>
      </c>
      <c r="T712" s="32">
        <f>'2 REPAIR ESTIMATOR'!AM755</f>
        <v>0</v>
      </c>
      <c r="U712" s="32">
        <f t="shared" si="105"/>
        <v>0</v>
      </c>
      <c r="V712" s="32">
        <f>'2 REPAIR ESTIMATOR'!AG755</f>
        <v>0</v>
      </c>
      <c r="W712" s="32">
        <f>'2 REPAIR ESTIMATOR'!AJ755</f>
        <v>0</v>
      </c>
    </row>
    <row r="713" spans="3:23" ht="18" hidden="1">
      <c r="C713" s="3720" t="str">
        <f>T('2 REPAIR ESTIMATOR'!D756:O756)</f>
        <v/>
      </c>
      <c r="D713" s="3721"/>
      <c r="E713" s="3721"/>
      <c r="F713" s="3721"/>
      <c r="G713" s="3721"/>
      <c r="H713" s="3721"/>
      <c r="I713" s="916">
        <f>'2 REPAIR ESTIMATOR'!P756</f>
        <v>0</v>
      </c>
      <c r="J713" s="917">
        <f>'2 REPAIR ESTIMATOR'!S756</f>
        <v>0</v>
      </c>
      <c r="K713" s="918">
        <f t="shared" si="101"/>
        <v>0</v>
      </c>
      <c r="L713" s="918">
        <f t="shared" si="102"/>
        <v>0</v>
      </c>
      <c r="M713" s="918">
        <f t="shared" si="103"/>
        <v>0</v>
      </c>
      <c r="N713" s="3719">
        <f t="shared" si="104"/>
        <v>0</v>
      </c>
      <c r="O713" s="3719"/>
      <c r="P713" s="490">
        <f t="shared" si="106"/>
        <v>0</v>
      </c>
      <c r="S713" s="32">
        <f>'2 REPAIR ESTIMATOR'!AD756</f>
        <v>0</v>
      </c>
      <c r="T713" s="32">
        <f>'2 REPAIR ESTIMATOR'!AM756</f>
        <v>0</v>
      </c>
      <c r="U713" s="32">
        <f t="shared" si="105"/>
        <v>0</v>
      </c>
      <c r="V713" s="32">
        <f>'2 REPAIR ESTIMATOR'!AG756</f>
        <v>0</v>
      </c>
      <c r="W713" s="32">
        <f>'2 REPAIR ESTIMATOR'!AJ756</f>
        <v>0</v>
      </c>
    </row>
    <row r="714" spans="3:23" ht="18.350000000000001" hidden="1" thickBot="1">
      <c r="C714" s="3779" t="str">
        <f>T('2 REPAIR ESTIMATOR'!D757:O757)</f>
        <v/>
      </c>
      <c r="D714" s="3780"/>
      <c r="E714" s="3780"/>
      <c r="F714" s="3780"/>
      <c r="G714" s="3780"/>
      <c r="H714" s="3780"/>
      <c r="I714" s="919">
        <f>'2 REPAIR ESTIMATOR'!P757</f>
        <v>0</v>
      </c>
      <c r="J714" s="920">
        <f>'2 REPAIR ESTIMATOR'!S757</f>
        <v>0</v>
      </c>
      <c r="K714" s="921">
        <f t="shared" si="101"/>
        <v>0</v>
      </c>
      <c r="L714" s="921">
        <f t="shared" si="102"/>
        <v>0</v>
      </c>
      <c r="M714" s="921">
        <f t="shared" si="103"/>
        <v>0</v>
      </c>
      <c r="N714" s="3781">
        <f t="shared" si="104"/>
        <v>0</v>
      </c>
      <c r="O714" s="3781"/>
      <c r="P714" s="490">
        <f t="shared" si="106"/>
        <v>0</v>
      </c>
      <c r="S714" s="32">
        <f>'2 REPAIR ESTIMATOR'!AD757</f>
        <v>0</v>
      </c>
      <c r="T714" s="32">
        <f>'2 REPAIR ESTIMATOR'!AM757</f>
        <v>0</v>
      </c>
      <c r="U714" s="32">
        <f t="shared" si="105"/>
        <v>0</v>
      </c>
      <c r="V714" s="32">
        <f>'2 REPAIR ESTIMATOR'!AG757</f>
        <v>0</v>
      </c>
      <c r="W714" s="32">
        <f>'2 REPAIR ESTIMATOR'!AJ757</f>
        <v>0</v>
      </c>
    </row>
    <row r="715" spans="3:23" ht="18.350000000000001" hidden="1" thickBot="1">
      <c r="C715" s="3723" t="str">
        <f>T('2 REPAIR ESTIMATOR'!AC759)</f>
        <v>DOORS &amp; TRIM TOTAL</v>
      </c>
      <c r="D715" s="3724"/>
      <c r="E715" s="3724"/>
      <c r="F715" s="3724"/>
      <c r="G715" s="3724"/>
      <c r="H715" s="3724"/>
      <c r="I715" s="3724"/>
      <c r="J715" s="3724"/>
      <c r="K715" s="922">
        <f>SUM(K675:K714)</f>
        <v>0</v>
      </c>
      <c r="L715" s="922">
        <f>SUM(L675:L714)</f>
        <v>0</v>
      </c>
      <c r="M715" s="922">
        <f>SUM(M675:M714)</f>
        <v>0</v>
      </c>
      <c r="N715" s="3789">
        <f>SUM(N675:O714)</f>
        <v>0</v>
      </c>
      <c r="O715" s="3789"/>
      <c r="P715" s="489">
        <f>SUM(P674:P693)</f>
        <v>0</v>
      </c>
      <c r="S715" s="33">
        <f>SUM(S675:S714)</f>
        <v>0</v>
      </c>
      <c r="T715" s="33">
        <f>SUM(T675:T714)</f>
        <v>0</v>
      </c>
      <c r="U715" s="33">
        <f>SUM(U675:U714)</f>
        <v>0</v>
      </c>
      <c r="V715" s="33">
        <f>SUM(V675:V714)</f>
        <v>0</v>
      </c>
      <c r="W715" s="33">
        <f>SUM(W675:W714)</f>
        <v>0</v>
      </c>
    </row>
    <row r="716" spans="3:23" ht="8.85" hidden="1" customHeight="1">
      <c r="C716" s="841"/>
      <c r="D716" s="841"/>
      <c r="E716" s="841"/>
      <c r="F716" s="841"/>
      <c r="G716" s="841"/>
      <c r="H716" s="841"/>
      <c r="I716" s="842"/>
      <c r="J716" s="842"/>
      <c r="K716" s="842"/>
      <c r="L716" s="842"/>
      <c r="M716" s="842"/>
      <c r="N716" s="843"/>
      <c r="O716" s="798"/>
      <c r="P716" s="489">
        <f>P715</f>
        <v>0</v>
      </c>
    </row>
    <row r="717" spans="3:23" ht="21" hidden="1" customHeight="1" thickBot="1">
      <c r="C717" s="3782" t="str">
        <f>T('2 REPAIR ESTIMATOR'!D762:O762)</f>
        <v>CARPET &amp; RESILIENT</v>
      </c>
      <c r="D717" s="3783"/>
      <c r="E717" s="3783"/>
      <c r="F717" s="3783"/>
      <c r="G717" s="3783"/>
      <c r="H717" s="3783"/>
      <c r="I717" s="799">
        <f>SUM(I718:I757)</f>
        <v>0</v>
      </c>
      <c r="J717" s="800"/>
      <c r="K717" s="850"/>
      <c r="L717" s="850"/>
      <c r="M717" s="850"/>
      <c r="N717" s="3722"/>
      <c r="O717" s="3722"/>
      <c r="P717" s="489">
        <f t="shared" si="99"/>
        <v>0</v>
      </c>
      <c r="S717" s="34"/>
      <c r="T717" s="34"/>
      <c r="U717" s="34"/>
      <c r="V717" s="34"/>
      <c r="W717" s="34"/>
    </row>
    <row r="718" spans="3:23" ht="18" hidden="1">
      <c r="C718" s="3720" t="str">
        <f>T('2 REPAIR ESTIMATOR'!D763:O763)</f>
        <v>Carpeting &amp; Resilient bid/allowance</v>
      </c>
      <c r="D718" s="3721"/>
      <c r="E718" s="3721"/>
      <c r="F718" s="3721"/>
      <c r="G718" s="3721"/>
      <c r="H718" s="3721"/>
      <c r="I718" s="916">
        <f>'2 REPAIR ESTIMATOR'!P763</f>
        <v>0</v>
      </c>
      <c r="J718" s="917" t="str">
        <f>'2 REPAIR ESTIMATOR'!S763</f>
        <v>ls</v>
      </c>
      <c r="K718" s="918">
        <f t="shared" ref="K718:K757" si="107">IF($N$3="subbed",U718,S718)*$S$70</f>
        <v>0</v>
      </c>
      <c r="L718" s="918">
        <f>V718*$S$70</f>
        <v>0</v>
      </c>
      <c r="M718" s="918">
        <f>W718*$S$70</f>
        <v>0</v>
      </c>
      <c r="N718" s="3719">
        <f>SUM(K718:M718)</f>
        <v>0</v>
      </c>
      <c r="O718" s="3719"/>
      <c r="P718" s="490">
        <f t="shared" si="99"/>
        <v>0</v>
      </c>
      <c r="S718" s="32">
        <f>'2 REPAIR ESTIMATOR'!AD763</f>
        <v>0</v>
      </c>
      <c r="T718" s="32">
        <f>'2 REPAIR ESTIMATOR'!AM763</f>
        <v>0</v>
      </c>
      <c r="U718" s="32">
        <f>T718+S718</f>
        <v>0</v>
      </c>
      <c r="V718" s="32">
        <f>'2 REPAIR ESTIMATOR'!AG763</f>
        <v>0</v>
      </c>
      <c r="W718" s="32">
        <f>'2 REPAIR ESTIMATOR'!AJ763</f>
        <v>0</v>
      </c>
    </row>
    <row r="719" spans="3:23" ht="18" hidden="1">
      <c r="C719" s="3787" t="str">
        <f>T('2 REPAIR ESTIMATOR'!D764:O764)</f>
        <v>Carpeting</v>
      </c>
      <c r="D719" s="3788"/>
      <c r="E719" s="3788"/>
      <c r="F719" s="3788"/>
      <c r="G719" s="3788"/>
      <c r="H719" s="3788"/>
      <c r="I719" s="916">
        <f>'2 REPAIR ESTIMATOR'!P764</f>
        <v>0</v>
      </c>
      <c r="J719" s="917">
        <f>'2 REPAIR ESTIMATOR'!S764</f>
        <v>0</v>
      </c>
      <c r="K719" s="918">
        <f t="shared" si="107"/>
        <v>0</v>
      </c>
      <c r="L719" s="918">
        <f t="shared" ref="L719:L757" si="108">V719*$S$70</f>
        <v>0</v>
      </c>
      <c r="M719" s="918">
        <f t="shared" ref="M719:M757" si="109">W719*$S$70</f>
        <v>0</v>
      </c>
      <c r="N719" s="3719">
        <f t="shared" ref="N719:N757" si="110">SUM(K719:M719)</f>
        <v>0</v>
      </c>
      <c r="O719" s="3719"/>
      <c r="P719" s="490">
        <f t="shared" si="99"/>
        <v>0</v>
      </c>
      <c r="S719" s="32">
        <f>'2 REPAIR ESTIMATOR'!AD764</f>
        <v>0</v>
      </c>
      <c r="T719" s="32">
        <f>'2 REPAIR ESTIMATOR'!AM764</f>
        <v>0</v>
      </c>
      <c r="U719" s="32">
        <f t="shared" ref="U719:U757" si="111">T719+S719</f>
        <v>0</v>
      </c>
      <c r="V719" s="32">
        <f>'2 REPAIR ESTIMATOR'!AG764</f>
        <v>0</v>
      </c>
      <c r="W719" s="32">
        <f>'2 REPAIR ESTIMATOR'!AJ764</f>
        <v>0</v>
      </c>
    </row>
    <row r="720" spans="3:23" ht="18" hidden="1">
      <c r="C720" s="3720" t="str">
        <f>T('2 REPAIR ESTIMATOR'!D765:O765)</f>
        <v>Carpet, economy grade</v>
      </c>
      <c r="D720" s="3721"/>
      <c r="E720" s="3721"/>
      <c r="F720" s="3721"/>
      <c r="G720" s="3721"/>
      <c r="H720" s="3721"/>
      <c r="I720" s="916">
        <f>'2 REPAIR ESTIMATOR'!P765</f>
        <v>0</v>
      </c>
      <c r="J720" s="917" t="str">
        <f>'2 REPAIR ESTIMATOR'!S765</f>
        <v>sf</v>
      </c>
      <c r="K720" s="918">
        <f t="shared" si="107"/>
        <v>0</v>
      </c>
      <c r="L720" s="918">
        <f t="shared" si="108"/>
        <v>0</v>
      </c>
      <c r="M720" s="918">
        <f t="shared" si="109"/>
        <v>0</v>
      </c>
      <c r="N720" s="3719">
        <f t="shared" si="110"/>
        <v>0</v>
      </c>
      <c r="O720" s="3719"/>
      <c r="P720" s="490">
        <f t="shared" si="99"/>
        <v>0</v>
      </c>
      <c r="S720" s="32">
        <f>'2 REPAIR ESTIMATOR'!AD765</f>
        <v>0</v>
      </c>
      <c r="T720" s="32">
        <f>'2 REPAIR ESTIMATOR'!AM765</f>
        <v>0</v>
      </c>
      <c r="U720" s="32">
        <f t="shared" si="111"/>
        <v>0</v>
      </c>
      <c r="V720" s="32">
        <f>'2 REPAIR ESTIMATOR'!AG765</f>
        <v>0</v>
      </c>
      <c r="W720" s="32">
        <f>'2 REPAIR ESTIMATOR'!AJ765</f>
        <v>0</v>
      </c>
    </row>
    <row r="721" spans="3:23" ht="18" hidden="1">
      <c r="C721" s="3720" t="str">
        <f>T('2 REPAIR ESTIMATOR'!D766:O766)</f>
        <v>Carpet average grade</v>
      </c>
      <c r="D721" s="3721"/>
      <c r="E721" s="3721"/>
      <c r="F721" s="3721"/>
      <c r="G721" s="3721"/>
      <c r="H721" s="3721"/>
      <c r="I721" s="916">
        <f>'2 REPAIR ESTIMATOR'!P766</f>
        <v>0</v>
      </c>
      <c r="J721" s="917" t="str">
        <f>'2 REPAIR ESTIMATOR'!S766</f>
        <v>sf</v>
      </c>
      <c r="K721" s="918">
        <f t="shared" si="107"/>
        <v>0</v>
      </c>
      <c r="L721" s="918">
        <f t="shared" si="108"/>
        <v>0</v>
      </c>
      <c r="M721" s="918">
        <f t="shared" si="109"/>
        <v>0</v>
      </c>
      <c r="N721" s="3719">
        <f t="shared" si="110"/>
        <v>0</v>
      </c>
      <c r="O721" s="3719"/>
      <c r="P721" s="489">
        <f t="shared" si="99"/>
        <v>0</v>
      </c>
      <c r="S721" s="32">
        <f>'2 REPAIR ESTIMATOR'!AD766</f>
        <v>0</v>
      </c>
      <c r="T721" s="32">
        <f>'2 REPAIR ESTIMATOR'!AM766</f>
        <v>0</v>
      </c>
      <c r="U721" s="32">
        <f t="shared" si="111"/>
        <v>0</v>
      </c>
      <c r="V721" s="32">
        <f>'2 REPAIR ESTIMATOR'!AG766</f>
        <v>0</v>
      </c>
      <c r="W721" s="32">
        <f>'2 REPAIR ESTIMATOR'!AJ766</f>
        <v>0</v>
      </c>
    </row>
    <row r="722" spans="3:23" ht="18" hidden="1">
      <c r="C722" s="3720" t="str">
        <f>T('2 REPAIR ESTIMATOR'!D767:O767)</f>
        <v>Carpet, premium grade</v>
      </c>
      <c r="D722" s="3721"/>
      <c r="E722" s="3721"/>
      <c r="F722" s="3721"/>
      <c r="G722" s="3721"/>
      <c r="H722" s="3721"/>
      <c r="I722" s="916">
        <f>'2 REPAIR ESTIMATOR'!P767</f>
        <v>0</v>
      </c>
      <c r="J722" s="917" t="str">
        <f>'2 REPAIR ESTIMATOR'!S767</f>
        <v>sf</v>
      </c>
      <c r="K722" s="918">
        <f t="shared" si="107"/>
        <v>0</v>
      </c>
      <c r="L722" s="918">
        <f t="shared" si="108"/>
        <v>0</v>
      </c>
      <c r="M722" s="918">
        <f t="shared" si="109"/>
        <v>0</v>
      </c>
      <c r="N722" s="3719">
        <f t="shared" si="110"/>
        <v>0</v>
      </c>
      <c r="O722" s="3719"/>
      <c r="P722" s="490">
        <f t="shared" si="99"/>
        <v>0</v>
      </c>
      <c r="S722" s="32">
        <f>'2 REPAIR ESTIMATOR'!AD767</f>
        <v>0</v>
      </c>
      <c r="T722" s="32">
        <f>'2 REPAIR ESTIMATOR'!AM767</f>
        <v>0</v>
      </c>
      <c r="U722" s="32">
        <f t="shared" si="111"/>
        <v>0</v>
      </c>
      <c r="V722" s="32">
        <f>'2 REPAIR ESTIMATOR'!AG767</f>
        <v>0</v>
      </c>
      <c r="W722" s="32">
        <f>'2 REPAIR ESTIMATOR'!AJ767</f>
        <v>0</v>
      </c>
    </row>
    <row r="723" spans="3:23" ht="18" hidden="1">
      <c r="C723" s="3720" t="str">
        <f>T('2 REPAIR ESTIMATOR'!D768:O768)</f>
        <v/>
      </c>
      <c r="D723" s="3721"/>
      <c r="E723" s="3721"/>
      <c r="F723" s="3721"/>
      <c r="G723" s="3721"/>
      <c r="H723" s="3721"/>
      <c r="I723" s="916">
        <f>'2 REPAIR ESTIMATOR'!P768</f>
        <v>0</v>
      </c>
      <c r="J723" s="917">
        <f>'2 REPAIR ESTIMATOR'!S768</f>
        <v>0</v>
      </c>
      <c r="K723" s="918">
        <f t="shared" si="107"/>
        <v>0</v>
      </c>
      <c r="L723" s="918">
        <f t="shared" si="108"/>
        <v>0</v>
      </c>
      <c r="M723" s="918">
        <f t="shared" si="109"/>
        <v>0</v>
      </c>
      <c r="N723" s="3719">
        <f t="shared" si="110"/>
        <v>0</v>
      </c>
      <c r="O723" s="3719"/>
      <c r="P723" s="490">
        <f t="shared" si="99"/>
        <v>0</v>
      </c>
      <c r="S723" s="32">
        <f>'2 REPAIR ESTIMATOR'!AD768</f>
        <v>0</v>
      </c>
      <c r="T723" s="32">
        <f>'2 REPAIR ESTIMATOR'!AM768</f>
        <v>0</v>
      </c>
      <c r="U723" s="32">
        <f t="shared" si="111"/>
        <v>0</v>
      </c>
      <c r="V723" s="32">
        <f>'2 REPAIR ESTIMATOR'!AG768</f>
        <v>0</v>
      </c>
      <c r="W723" s="32">
        <f>'2 REPAIR ESTIMATOR'!AJ768</f>
        <v>0</v>
      </c>
    </row>
    <row r="724" spans="3:23" ht="18" hidden="1">
      <c r="C724" s="3720" t="str">
        <f>T('2 REPAIR ESTIMATOR'!D769:O769)</f>
        <v/>
      </c>
      <c r="D724" s="3721"/>
      <c r="E724" s="3721"/>
      <c r="F724" s="3721"/>
      <c r="G724" s="3721"/>
      <c r="H724" s="3721"/>
      <c r="I724" s="916">
        <f>'2 REPAIR ESTIMATOR'!P769</f>
        <v>0</v>
      </c>
      <c r="J724" s="917">
        <f>'2 REPAIR ESTIMATOR'!S769</f>
        <v>0</v>
      </c>
      <c r="K724" s="918">
        <f t="shared" si="107"/>
        <v>0</v>
      </c>
      <c r="L724" s="918">
        <f t="shared" si="108"/>
        <v>0</v>
      </c>
      <c r="M724" s="918">
        <f t="shared" si="109"/>
        <v>0</v>
      </c>
      <c r="N724" s="3719">
        <f t="shared" si="110"/>
        <v>0</v>
      </c>
      <c r="O724" s="3719"/>
      <c r="P724" s="490">
        <f t="shared" si="99"/>
        <v>0</v>
      </c>
      <c r="S724" s="32">
        <f>'2 REPAIR ESTIMATOR'!AD769</f>
        <v>0</v>
      </c>
      <c r="T724" s="32">
        <f>'2 REPAIR ESTIMATOR'!AM769</f>
        <v>0</v>
      </c>
      <c r="U724" s="32">
        <f t="shared" si="111"/>
        <v>0</v>
      </c>
      <c r="V724" s="32">
        <f>'2 REPAIR ESTIMATOR'!AG769</f>
        <v>0</v>
      </c>
      <c r="W724" s="32">
        <f>'2 REPAIR ESTIMATOR'!AJ769</f>
        <v>0</v>
      </c>
    </row>
    <row r="725" spans="3:23" ht="18" hidden="1">
      <c r="C725" s="3787" t="str">
        <f>T('2 REPAIR ESTIMATOR'!D770:O770)</f>
        <v>Sheet Vinyl</v>
      </c>
      <c r="D725" s="3788"/>
      <c r="E725" s="3788"/>
      <c r="F725" s="3788"/>
      <c r="G725" s="3788"/>
      <c r="H725" s="3788"/>
      <c r="I725" s="916">
        <f>'2 REPAIR ESTIMATOR'!P770</f>
        <v>0</v>
      </c>
      <c r="J725" s="917">
        <f>'2 REPAIR ESTIMATOR'!S770</f>
        <v>0</v>
      </c>
      <c r="K725" s="918">
        <f t="shared" si="107"/>
        <v>0</v>
      </c>
      <c r="L725" s="918">
        <f t="shared" si="108"/>
        <v>0</v>
      </c>
      <c r="M725" s="918">
        <f t="shared" si="109"/>
        <v>0</v>
      </c>
      <c r="N725" s="3719">
        <f t="shared" si="110"/>
        <v>0</v>
      </c>
      <c r="O725" s="3719"/>
      <c r="P725" s="490">
        <f t="shared" si="99"/>
        <v>0</v>
      </c>
      <c r="S725" s="32">
        <f>'2 REPAIR ESTIMATOR'!AD770</f>
        <v>0</v>
      </c>
      <c r="T725" s="32">
        <f>'2 REPAIR ESTIMATOR'!AM770</f>
        <v>0</v>
      </c>
      <c r="U725" s="32">
        <f t="shared" si="111"/>
        <v>0</v>
      </c>
      <c r="V725" s="32">
        <f>'2 REPAIR ESTIMATOR'!AG770</f>
        <v>0</v>
      </c>
      <c r="W725" s="32">
        <f>'2 REPAIR ESTIMATOR'!AJ770</f>
        <v>0</v>
      </c>
    </row>
    <row r="726" spans="3:23" ht="18" hidden="1">
      <c r="C726" s="3720" t="str">
        <f>T('2 REPAIR ESTIMATOR'!D771:O771)</f>
        <v>Sheet vinyl, economy grade</v>
      </c>
      <c r="D726" s="3721"/>
      <c r="E726" s="3721"/>
      <c r="F726" s="3721"/>
      <c r="G726" s="3721"/>
      <c r="H726" s="3721"/>
      <c r="I726" s="916">
        <f>'2 REPAIR ESTIMATOR'!P771</f>
        <v>0</v>
      </c>
      <c r="J726" s="917" t="str">
        <f>'2 REPAIR ESTIMATOR'!S771</f>
        <v>sf</v>
      </c>
      <c r="K726" s="918">
        <f t="shared" si="107"/>
        <v>0</v>
      </c>
      <c r="L726" s="918">
        <f t="shared" si="108"/>
        <v>0</v>
      </c>
      <c r="M726" s="918">
        <f t="shared" si="109"/>
        <v>0</v>
      </c>
      <c r="N726" s="3719">
        <f t="shared" si="110"/>
        <v>0</v>
      </c>
      <c r="O726" s="3719"/>
      <c r="P726" s="490">
        <f t="shared" si="99"/>
        <v>0</v>
      </c>
      <c r="S726" s="32">
        <f>'2 REPAIR ESTIMATOR'!AD771</f>
        <v>0</v>
      </c>
      <c r="T726" s="32">
        <f>'2 REPAIR ESTIMATOR'!AM771</f>
        <v>0</v>
      </c>
      <c r="U726" s="32">
        <f t="shared" si="111"/>
        <v>0</v>
      </c>
      <c r="V726" s="32">
        <f>'2 REPAIR ESTIMATOR'!AG771</f>
        <v>0</v>
      </c>
      <c r="W726" s="32">
        <f>'2 REPAIR ESTIMATOR'!AJ771</f>
        <v>0</v>
      </c>
    </row>
    <row r="727" spans="3:23" ht="18" hidden="1">
      <c r="C727" s="3720" t="str">
        <f>T('2 REPAIR ESTIMATOR'!D772:O772)</f>
        <v>Sheet vinyl, average grade</v>
      </c>
      <c r="D727" s="3721"/>
      <c r="E727" s="3721"/>
      <c r="F727" s="3721"/>
      <c r="G727" s="3721"/>
      <c r="H727" s="3721"/>
      <c r="I727" s="916">
        <f>'2 REPAIR ESTIMATOR'!P772</f>
        <v>0</v>
      </c>
      <c r="J727" s="917" t="str">
        <f>'2 REPAIR ESTIMATOR'!S772</f>
        <v>sf</v>
      </c>
      <c r="K727" s="918">
        <f t="shared" si="107"/>
        <v>0</v>
      </c>
      <c r="L727" s="918">
        <f t="shared" si="108"/>
        <v>0</v>
      </c>
      <c r="M727" s="918">
        <f t="shared" si="109"/>
        <v>0</v>
      </c>
      <c r="N727" s="3719">
        <f t="shared" si="110"/>
        <v>0</v>
      </c>
      <c r="O727" s="3719"/>
      <c r="P727" s="489">
        <f t="shared" si="99"/>
        <v>0</v>
      </c>
      <c r="S727" s="32">
        <f>'2 REPAIR ESTIMATOR'!AD772</f>
        <v>0</v>
      </c>
      <c r="T727" s="32">
        <f>'2 REPAIR ESTIMATOR'!AM772</f>
        <v>0</v>
      </c>
      <c r="U727" s="32">
        <f t="shared" si="111"/>
        <v>0</v>
      </c>
      <c r="V727" s="32">
        <f>'2 REPAIR ESTIMATOR'!AG772</f>
        <v>0</v>
      </c>
      <c r="W727" s="32">
        <f>'2 REPAIR ESTIMATOR'!AJ772</f>
        <v>0</v>
      </c>
    </row>
    <row r="728" spans="3:23" ht="18" hidden="1">
      <c r="C728" s="3720" t="str">
        <f>T('2 REPAIR ESTIMATOR'!D773:O773)</f>
        <v>Sheet vinyl, premium grade</v>
      </c>
      <c r="D728" s="3721"/>
      <c r="E728" s="3721"/>
      <c r="F728" s="3721"/>
      <c r="G728" s="3721"/>
      <c r="H728" s="3721"/>
      <c r="I728" s="916">
        <f>'2 REPAIR ESTIMATOR'!P773</f>
        <v>0</v>
      </c>
      <c r="J728" s="917" t="str">
        <f>'2 REPAIR ESTIMATOR'!S773</f>
        <v>sf</v>
      </c>
      <c r="K728" s="918">
        <f t="shared" si="107"/>
        <v>0</v>
      </c>
      <c r="L728" s="918">
        <f t="shared" si="108"/>
        <v>0</v>
      </c>
      <c r="M728" s="918">
        <f t="shared" si="109"/>
        <v>0</v>
      </c>
      <c r="N728" s="3719">
        <f t="shared" si="110"/>
        <v>0</v>
      </c>
      <c r="O728" s="3719"/>
      <c r="P728" s="490">
        <f t="shared" si="99"/>
        <v>0</v>
      </c>
      <c r="S728" s="32">
        <f>'2 REPAIR ESTIMATOR'!AD773</f>
        <v>0</v>
      </c>
      <c r="T728" s="32">
        <f>'2 REPAIR ESTIMATOR'!AM773</f>
        <v>0</v>
      </c>
      <c r="U728" s="32">
        <f t="shared" si="111"/>
        <v>0</v>
      </c>
      <c r="V728" s="32">
        <f>'2 REPAIR ESTIMATOR'!AG773</f>
        <v>0</v>
      </c>
      <c r="W728" s="32">
        <f>'2 REPAIR ESTIMATOR'!AJ773</f>
        <v>0</v>
      </c>
    </row>
    <row r="729" spans="3:23" ht="18" hidden="1">
      <c r="C729" s="3720" t="str">
        <f>T('2 REPAIR ESTIMATOR'!D774:O774)</f>
        <v>Clean and wax vinyl</v>
      </c>
      <c r="D729" s="3721"/>
      <c r="E729" s="3721"/>
      <c r="F729" s="3721"/>
      <c r="G729" s="3721"/>
      <c r="H729" s="3721"/>
      <c r="I729" s="916">
        <f>'2 REPAIR ESTIMATOR'!P774</f>
        <v>0</v>
      </c>
      <c r="J729" s="917" t="str">
        <f>'2 REPAIR ESTIMATOR'!S774</f>
        <v>sf</v>
      </c>
      <c r="K729" s="918">
        <f t="shared" si="107"/>
        <v>0</v>
      </c>
      <c r="L729" s="918">
        <f t="shared" si="108"/>
        <v>0</v>
      </c>
      <c r="M729" s="918">
        <f t="shared" si="109"/>
        <v>0</v>
      </c>
      <c r="N729" s="3719">
        <f t="shared" si="110"/>
        <v>0</v>
      </c>
      <c r="O729" s="3719"/>
      <c r="P729" s="490">
        <f t="shared" si="99"/>
        <v>0</v>
      </c>
      <c r="S729" s="32">
        <f>'2 REPAIR ESTIMATOR'!AD774</f>
        <v>0</v>
      </c>
      <c r="T729" s="32">
        <f>'2 REPAIR ESTIMATOR'!AM774</f>
        <v>0</v>
      </c>
      <c r="U729" s="32">
        <f t="shared" si="111"/>
        <v>0</v>
      </c>
      <c r="V729" s="32">
        <f>'2 REPAIR ESTIMATOR'!AG774</f>
        <v>0</v>
      </c>
      <c r="W729" s="32">
        <f>'2 REPAIR ESTIMATOR'!AJ774</f>
        <v>0</v>
      </c>
    </row>
    <row r="730" spans="3:23" ht="18" hidden="1">
      <c r="C730" s="3720" t="str">
        <f>T('2 REPAIR ESTIMATOR'!D775:O775)</f>
        <v/>
      </c>
      <c r="D730" s="3721"/>
      <c r="E730" s="3721"/>
      <c r="F730" s="3721"/>
      <c r="G730" s="3721"/>
      <c r="H730" s="3721"/>
      <c r="I730" s="916">
        <f>'2 REPAIR ESTIMATOR'!P775</f>
        <v>0</v>
      </c>
      <c r="J730" s="917">
        <f>'2 REPAIR ESTIMATOR'!S775</f>
        <v>0</v>
      </c>
      <c r="K730" s="918">
        <f t="shared" si="107"/>
        <v>0</v>
      </c>
      <c r="L730" s="918">
        <f t="shared" si="108"/>
        <v>0</v>
      </c>
      <c r="M730" s="918">
        <f t="shared" si="109"/>
        <v>0</v>
      </c>
      <c r="N730" s="3719">
        <f t="shared" si="110"/>
        <v>0</v>
      </c>
      <c r="O730" s="3719"/>
      <c r="P730" s="490">
        <f t="shared" si="99"/>
        <v>0</v>
      </c>
      <c r="S730" s="32">
        <f>'2 REPAIR ESTIMATOR'!AD775</f>
        <v>0</v>
      </c>
      <c r="T730" s="32">
        <f>'2 REPAIR ESTIMATOR'!AM775</f>
        <v>0</v>
      </c>
      <c r="U730" s="32">
        <f t="shared" si="111"/>
        <v>0</v>
      </c>
      <c r="V730" s="32">
        <f>'2 REPAIR ESTIMATOR'!AG775</f>
        <v>0</v>
      </c>
      <c r="W730" s="32">
        <f>'2 REPAIR ESTIMATOR'!AJ775</f>
        <v>0</v>
      </c>
    </row>
    <row r="731" spans="3:23" ht="18" hidden="1">
      <c r="C731" s="3787" t="str">
        <f>T('2 REPAIR ESTIMATOR'!D776:O776)</f>
        <v>Vinyl Tile</v>
      </c>
      <c r="D731" s="3788"/>
      <c r="E731" s="3788"/>
      <c r="F731" s="3788"/>
      <c r="G731" s="3788"/>
      <c r="H731" s="3788"/>
      <c r="I731" s="916">
        <f>'2 REPAIR ESTIMATOR'!P776</f>
        <v>0</v>
      </c>
      <c r="J731" s="917">
        <f>'2 REPAIR ESTIMATOR'!S776</f>
        <v>0</v>
      </c>
      <c r="K731" s="918">
        <f t="shared" si="107"/>
        <v>0</v>
      </c>
      <c r="L731" s="918">
        <f t="shared" si="108"/>
        <v>0</v>
      </c>
      <c r="M731" s="918">
        <f t="shared" si="109"/>
        <v>0</v>
      </c>
      <c r="N731" s="3719">
        <f t="shared" si="110"/>
        <v>0</v>
      </c>
      <c r="O731" s="3719"/>
      <c r="P731" s="490">
        <f t="shared" si="99"/>
        <v>0</v>
      </c>
      <c r="S731" s="32">
        <f>'2 REPAIR ESTIMATOR'!AD776</f>
        <v>0</v>
      </c>
      <c r="T731" s="32">
        <f>'2 REPAIR ESTIMATOR'!AM776</f>
        <v>0</v>
      </c>
      <c r="U731" s="32">
        <f t="shared" si="111"/>
        <v>0</v>
      </c>
      <c r="V731" s="32">
        <f>'2 REPAIR ESTIMATOR'!AG776</f>
        <v>0</v>
      </c>
      <c r="W731" s="32">
        <f>'2 REPAIR ESTIMATOR'!AJ776</f>
        <v>0</v>
      </c>
    </row>
    <row r="732" spans="3:23" ht="18" hidden="1">
      <c r="C732" s="3720" t="str">
        <f>T('2 REPAIR ESTIMATOR'!D777:O777)</f>
        <v>Vinyl tile, economy grade</v>
      </c>
      <c r="D732" s="3721"/>
      <c r="E732" s="3721"/>
      <c r="F732" s="3721"/>
      <c r="G732" s="3721"/>
      <c r="H732" s="3721"/>
      <c r="I732" s="916">
        <f>'2 REPAIR ESTIMATOR'!P777</f>
        <v>0</v>
      </c>
      <c r="J732" s="917" t="str">
        <f>'2 REPAIR ESTIMATOR'!S777</f>
        <v>sf</v>
      </c>
      <c r="K732" s="918">
        <f t="shared" si="107"/>
        <v>0</v>
      </c>
      <c r="L732" s="918">
        <f t="shared" si="108"/>
        <v>0</v>
      </c>
      <c r="M732" s="918">
        <f t="shared" si="109"/>
        <v>0</v>
      </c>
      <c r="N732" s="3719">
        <f t="shared" si="110"/>
        <v>0</v>
      </c>
      <c r="O732" s="3719"/>
      <c r="P732" s="490">
        <f t="shared" si="99"/>
        <v>0</v>
      </c>
      <c r="S732" s="32">
        <f>'2 REPAIR ESTIMATOR'!AD777</f>
        <v>0</v>
      </c>
      <c r="T732" s="32">
        <f>'2 REPAIR ESTIMATOR'!AM777</f>
        <v>0</v>
      </c>
      <c r="U732" s="32">
        <f t="shared" si="111"/>
        <v>0</v>
      </c>
      <c r="V732" s="32">
        <f>'2 REPAIR ESTIMATOR'!AG777</f>
        <v>0</v>
      </c>
      <c r="W732" s="32">
        <f>'2 REPAIR ESTIMATOR'!AJ777</f>
        <v>0</v>
      </c>
    </row>
    <row r="733" spans="3:23" ht="18" hidden="1">
      <c r="C733" s="3720" t="str">
        <f>T('2 REPAIR ESTIMATOR'!D778:O778)</f>
        <v>Vinyl tile, average grade</v>
      </c>
      <c r="D733" s="3721"/>
      <c r="E733" s="3721"/>
      <c r="F733" s="3721"/>
      <c r="G733" s="3721"/>
      <c r="H733" s="3721"/>
      <c r="I733" s="916">
        <f>'2 REPAIR ESTIMATOR'!P778</f>
        <v>0</v>
      </c>
      <c r="J733" s="917" t="str">
        <f>'2 REPAIR ESTIMATOR'!S778</f>
        <v>sf</v>
      </c>
      <c r="K733" s="918">
        <f t="shared" si="107"/>
        <v>0</v>
      </c>
      <c r="L733" s="918">
        <f t="shared" si="108"/>
        <v>0</v>
      </c>
      <c r="M733" s="918">
        <f t="shared" si="109"/>
        <v>0</v>
      </c>
      <c r="N733" s="3719">
        <f t="shared" si="110"/>
        <v>0</v>
      </c>
      <c r="O733" s="3719"/>
      <c r="P733" s="490">
        <f t="shared" si="99"/>
        <v>0</v>
      </c>
      <c r="S733" s="32">
        <f>'2 REPAIR ESTIMATOR'!AD778</f>
        <v>0</v>
      </c>
      <c r="T733" s="32">
        <f>'2 REPAIR ESTIMATOR'!AM778</f>
        <v>0</v>
      </c>
      <c r="U733" s="32">
        <f t="shared" si="111"/>
        <v>0</v>
      </c>
      <c r="V733" s="32">
        <f>'2 REPAIR ESTIMATOR'!AG778</f>
        <v>0</v>
      </c>
      <c r="W733" s="32">
        <f>'2 REPAIR ESTIMATOR'!AJ778</f>
        <v>0</v>
      </c>
    </row>
    <row r="734" spans="3:23" ht="18" hidden="1">
      <c r="C734" s="3720" t="str">
        <f>T('2 REPAIR ESTIMATOR'!D779:O779)</f>
        <v>Vinyl tile, premium grade</v>
      </c>
      <c r="D734" s="3721"/>
      <c r="E734" s="3721"/>
      <c r="F734" s="3721"/>
      <c r="G734" s="3721"/>
      <c r="H734" s="3721"/>
      <c r="I734" s="916">
        <f>'2 REPAIR ESTIMATOR'!P779</f>
        <v>0</v>
      </c>
      <c r="J734" s="917" t="str">
        <f>'2 REPAIR ESTIMATOR'!S779</f>
        <v>sf</v>
      </c>
      <c r="K734" s="918">
        <f t="shared" si="107"/>
        <v>0</v>
      </c>
      <c r="L734" s="918">
        <f t="shared" si="108"/>
        <v>0</v>
      </c>
      <c r="M734" s="918">
        <f t="shared" si="109"/>
        <v>0</v>
      </c>
      <c r="N734" s="3719">
        <f t="shared" si="110"/>
        <v>0</v>
      </c>
      <c r="O734" s="3719"/>
      <c r="P734" s="490">
        <f t="shared" si="99"/>
        <v>0</v>
      </c>
      <c r="S734" s="32">
        <f>'2 REPAIR ESTIMATOR'!AD779</f>
        <v>0</v>
      </c>
      <c r="T734" s="32">
        <f>'2 REPAIR ESTIMATOR'!AM779</f>
        <v>0</v>
      </c>
      <c r="U734" s="32">
        <f t="shared" si="111"/>
        <v>0</v>
      </c>
      <c r="V734" s="32">
        <f>'2 REPAIR ESTIMATOR'!AG779</f>
        <v>0</v>
      </c>
      <c r="W734" s="32">
        <f>'2 REPAIR ESTIMATOR'!AJ779</f>
        <v>0</v>
      </c>
    </row>
    <row r="735" spans="3:23" ht="18" hidden="1">
      <c r="C735" s="3720" t="str">
        <f>T('2 REPAIR ESTIMATOR'!D780:O780)</f>
        <v>Clean and wax vinyl</v>
      </c>
      <c r="D735" s="3721"/>
      <c r="E735" s="3721"/>
      <c r="F735" s="3721"/>
      <c r="G735" s="3721"/>
      <c r="H735" s="3721"/>
      <c r="I735" s="916">
        <f>'2 REPAIR ESTIMATOR'!P780</f>
        <v>0</v>
      </c>
      <c r="J735" s="917" t="str">
        <f>'2 REPAIR ESTIMATOR'!S780</f>
        <v>sf</v>
      </c>
      <c r="K735" s="918">
        <f t="shared" si="107"/>
        <v>0</v>
      </c>
      <c r="L735" s="918">
        <f t="shared" si="108"/>
        <v>0</v>
      </c>
      <c r="M735" s="918">
        <f t="shared" si="109"/>
        <v>0</v>
      </c>
      <c r="N735" s="3719">
        <f t="shared" si="110"/>
        <v>0</v>
      </c>
      <c r="O735" s="3719"/>
      <c r="P735" s="490">
        <f t="shared" si="99"/>
        <v>0</v>
      </c>
      <c r="S735" s="32">
        <f>'2 REPAIR ESTIMATOR'!AD780</f>
        <v>0</v>
      </c>
      <c r="T735" s="32">
        <f>'2 REPAIR ESTIMATOR'!AM780</f>
        <v>0</v>
      </c>
      <c r="U735" s="32">
        <f t="shared" si="111"/>
        <v>0</v>
      </c>
      <c r="V735" s="32">
        <f>'2 REPAIR ESTIMATOR'!AG780</f>
        <v>0</v>
      </c>
      <c r="W735" s="32">
        <f>'2 REPAIR ESTIMATOR'!AJ780</f>
        <v>0</v>
      </c>
    </row>
    <row r="736" spans="3:23" ht="18" hidden="1">
      <c r="C736" s="3720" t="str">
        <f>T('2 REPAIR ESTIMATOR'!D781:O781)</f>
        <v/>
      </c>
      <c r="D736" s="3721"/>
      <c r="E736" s="3721"/>
      <c r="F736" s="3721"/>
      <c r="G736" s="3721"/>
      <c r="H736" s="3721"/>
      <c r="I736" s="916">
        <f>'2 REPAIR ESTIMATOR'!P781</f>
        <v>0</v>
      </c>
      <c r="J736" s="917">
        <f>'2 REPAIR ESTIMATOR'!S781</f>
        <v>0</v>
      </c>
      <c r="K736" s="918">
        <f t="shared" si="107"/>
        <v>0</v>
      </c>
      <c r="L736" s="918">
        <f t="shared" si="108"/>
        <v>0</v>
      </c>
      <c r="M736" s="918">
        <f t="shared" si="109"/>
        <v>0</v>
      </c>
      <c r="N736" s="3719">
        <f t="shared" si="110"/>
        <v>0</v>
      </c>
      <c r="O736" s="3719"/>
      <c r="P736" s="490">
        <f t="shared" si="99"/>
        <v>0</v>
      </c>
      <c r="S736" s="32">
        <f>'2 REPAIR ESTIMATOR'!AD781</f>
        <v>0</v>
      </c>
      <c r="T736" s="32">
        <f>'2 REPAIR ESTIMATOR'!AM781</f>
        <v>0</v>
      </c>
      <c r="U736" s="32">
        <f t="shared" si="111"/>
        <v>0</v>
      </c>
      <c r="V736" s="32">
        <f>'2 REPAIR ESTIMATOR'!AG781</f>
        <v>0</v>
      </c>
      <c r="W736" s="32">
        <f>'2 REPAIR ESTIMATOR'!AJ781</f>
        <v>0</v>
      </c>
    </row>
    <row r="737" spans="3:23" ht="18" hidden="1">
      <c r="C737" s="3720" t="str">
        <f>T('2 REPAIR ESTIMATOR'!D782:O782)</f>
        <v/>
      </c>
      <c r="D737" s="3721"/>
      <c r="E737" s="3721"/>
      <c r="F737" s="3721"/>
      <c r="G737" s="3721"/>
      <c r="H737" s="3721"/>
      <c r="I737" s="916">
        <f>'2 REPAIR ESTIMATOR'!P782</f>
        <v>0</v>
      </c>
      <c r="J737" s="917">
        <f>'2 REPAIR ESTIMATOR'!S782</f>
        <v>0</v>
      </c>
      <c r="K737" s="918">
        <f t="shared" si="107"/>
        <v>0</v>
      </c>
      <c r="L737" s="918">
        <f t="shared" si="108"/>
        <v>0</v>
      </c>
      <c r="M737" s="918">
        <f t="shared" si="109"/>
        <v>0</v>
      </c>
      <c r="N737" s="3719">
        <f t="shared" si="110"/>
        <v>0</v>
      </c>
      <c r="O737" s="3719"/>
      <c r="P737" s="490">
        <f t="shared" si="99"/>
        <v>0</v>
      </c>
      <c r="S737" s="32">
        <f>'2 REPAIR ESTIMATOR'!AD782</f>
        <v>0</v>
      </c>
      <c r="T737" s="32">
        <f>'2 REPAIR ESTIMATOR'!AM782</f>
        <v>0</v>
      </c>
      <c r="U737" s="32">
        <f t="shared" si="111"/>
        <v>0</v>
      </c>
      <c r="V737" s="32">
        <f>'2 REPAIR ESTIMATOR'!AG782</f>
        <v>0</v>
      </c>
      <c r="W737" s="32">
        <f>'2 REPAIR ESTIMATOR'!AJ782</f>
        <v>0</v>
      </c>
    </row>
    <row r="738" spans="3:23" ht="18" hidden="1">
      <c r="C738" s="3720" t="str">
        <f>T('2 REPAIR ESTIMATOR'!D783:O783)</f>
        <v/>
      </c>
      <c r="D738" s="3721"/>
      <c r="E738" s="3721"/>
      <c r="F738" s="3721"/>
      <c r="G738" s="3721"/>
      <c r="H738" s="3721"/>
      <c r="I738" s="916">
        <f>'2 REPAIR ESTIMATOR'!P783</f>
        <v>0</v>
      </c>
      <c r="J738" s="917">
        <f>'2 REPAIR ESTIMATOR'!S783</f>
        <v>0</v>
      </c>
      <c r="K738" s="918">
        <f t="shared" si="107"/>
        <v>0</v>
      </c>
      <c r="L738" s="918">
        <f t="shared" si="108"/>
        <v>0</v>
      </c>
      <c r="M738" s="918">
        <f t="shared" si="109"/>
        <v>0</v>
      </c>
      <c r="N738" s="3719">
        <f t="shared" si="110"/>
        <v>0</v>
      </c>
      <c r="O738" s="3719"/>
      <c r="P738" s="490">
        <f t="shared" ref="P738:P757" si="112">I738</f>
        <v>0</v>
      </c>
      <c r="S738" s="32">
        <f>'2 REPAIR ESTIMATOR'!AD783</f>
        <v>0</v>
      </c>
      <c r="T738" s="32">
        <f>'2 REPAIR ESTIMATOR'!AM783</f>
        <v>0</v>
      </c>
      <c r="U738" s="32">
        <f t="shared" si="111"/>
        <v>0</v>
      </c>
      <c r="V738" s="32">
        <f>'2 REPAIR ESTIMATOR'!AG783</f>
        <v>0</v>
      </c>
      <c r="W738" s="32">
        <f>'2 REPAIR ESTIMATOR'!AJ783</f>
        <v>0</v>
      </c>
    </row>
    <row r="739" spans="3:23" ht="18" hidden="1">
      <c r="C739" s="3720" t="str">
        <f>T('2 REPAIR ESTIMATOR'!D784:O784)</f>
        <v/>
      </c>
      <c r="D739" s="3721"/>
      <c r="E739" s="3721"/>
      <c r="F739" s="3721"/>
      <c r="G739" s="3721"/>
      <c r="H739" s="3721"/>
      <c r="I739" s="916">
        <f>'2 REPAIR ESTIMATOR'!P784</f>
        <v>0</v>
      </c>
      <c r="J739" s="917">
        <f>'2 REPAIR ESTIMATOR'!S784</f>
        <v>0</v>
      </c>
      <c r="K739" s="918">
        <f t="shared" si="107"/>
        <v>0</v>
      </c>
      <c r="L739" s="918">
        <f t="shared" si="108"/>
        <v>0</v>
      </c>
      <c r="M739" s="918">
        <f t="shared" si="109"/>
        <v>0</v>
      </c>
      <c r="N739" s="3719">
        <f t="shared" si="110"/>
        <v>0</v>
      </c>
      <c r="O739" s="3719"/>
      <c r="P739" s="490">
        <f t="shared" si="112"/>
        <v>0</v>
      </c>
      <c r="S739" s="32">
        <f>'2 REPAIR ESTIMATOR'!AD784</f>
        <v>0</v>
      </c>
      <c r="T739" s="32">
        <f>'2 REPAIR ESTIMATOR'!AM784</f>
        <v>0</v>
      </c>
      <c r="U739" s="32">
        <f t="shared" si="111"/>
        <v>0</v>
      </c>
      <c r="V739" s="32">
        <f>'2 REPAIR ESTIMATOR'!AG784</f>
        <v>0</v>
      </c>
      <c r="W739" s="32">
        <f>'2 REPAIR ESTIMATOR'!AJ784</f>
        <v>0</v>
      </c>
    </row>
    <row r="740" spans="3:23" ht="18" hidden="1">
      <c r="C740" s="3720" t="str">
        <f>T('2 REPAIR ESTIMATOR'!D785:O785)</f>
        <v/>
      </c>
      <c r="D740" s="3721"/>
      <c r="E740" s="3721"/>
      <c r="F740" s="3721"/>
      <c r="G740" s="3721"/>
      <c r="H740" s="3721"/>
      <c r="I740" s="916">
        <f>'2 REPAIR ESTIMATOR'!P785</f>
        <v>0</v>
      </c>
      <c r="J740" s="917">
        <f>'2 REPAIR ESTIMATOR'!S785</f>
        <v>0</v>
      </c>
      <c r="K740" s="918">
        <f t="shared" si="107"/>
        <v>0</v>
      </c>
      <c r="L740" s="918">
        <f t="shared" si="108"/>
        <v>0</v>
      </c>
      <c r="M740" s="918">
        <f t="shared" si="109"/>
        <v>0</v>
      </c>
      <c r="N740" s="3719">
        <f t="shared" si="110"/>
        <v>0</v>
      </c>
      <c r="O740" s="3719"/>
      <c r="P740" s="490">
        <f t="shared" si="112"/>
        <v>0</v>
      </c>
      <c r="S740" s="32">
        <f>'2 REPAIR ESTIMATOR'!AD785</f>
        <v>0</v>
      </c>
      <c r="T740" s="32">
        <f>'2 REPAIR ESTIMATOR'!AM785</f>
        <v>0</v>
      </c>
      <c r="U740" s="32">
        <f t="shared" si="111"/>
        <v>0</v>
      </c>
      <c r="V740" s="32">
        <f>'2 REPAIR ESTIMATOR'!AG785</f>
        <v>0</v>
      </c>
      <c r="W740" s="32">
        <f>'2 REPAIR ESTIMATOR'!AJ785</f>
        <v>0</v>
      </c>
    </row>
    <row r="741" spans="3:23" ht="18" hidden="1">
      <c r="C741" s="3720" t="str">
        <f>T('2 REPAIR ESTIMATOR'!D786:O786)</f>
        <v/>
      </c>
      <c r="D741" s="3721"/>
      <c r="E741" s="3721"/>
      <c r="F741" s="3721"/>
      <c r="G741" s="3721"/>
      <c r="H741" s="3721"/>
      <c r="I741" s="916">
        <f>'2 REPAIR ESTIMATOR'!P786</f>
        <v>0</v>
      </c>
      <c r="J741" s="917">
        <f>'2 REPAIR ESTIMATOR'!S786</f>
        <v>0</v>
      </c>
      <c r="K741" s="918">
        <f t="shared" si="107"/>
        <v>0</v>
      </c>
      <c r="L741" s="918">
        <f t="shared" si="108"/>
        <v>0</v>
      </c>
      <c r="M741" s="918">
        <f t="shared" si="109"/>
        <v>0</v>
      </c>
      <c r="N741" s="3719">
        <f t="shared" si="110"/>
        <v>0</v>
      </c>
      <c r="O741" s="3719"/>
      <c r="P741" s="490">
        <f t="shared" si="112"/>
        <v>0</v>
      </c>
      <c r="S741" s="32">
        <f>'2 REPAIR ESTIMATOR'!AD786</f>
        <v>0</v>
      </c>
      <c r="T741" s="32">
        <f>'2 REPAIR ESTIMATOR'!AM786</f>
        <v>0</v>
      </c>
      <c r="U741" s="32">
        <f t="shared" si="111"/>
        <v>0</v>
      </c>
      <c r="V741" s="32">
        <f>'2 REPAIR ESTIMATOR'!AG786</f>
        <v>0</v>
      </c>
      <c r="W741" s="32">
        <f>'2 REPAIR ESTIMATOR'!AJ786</f>
        <v>0</v>
      </c>
    </row>
    <row r="742" spans="3:23" ht="18" hidden="1">
      <c r="C742" s="3720" t="str">
        <f>T('2 REPAIR ESTIMATOR'!D787:O787)</f>
        <v/>
      </c>
      <c r="D742" s="3721"/>
      <c r="E742" s="3721"/>
      <c r="F742" s="3721"/>
      <c r="G742" s="3721"/>
      <c r="H742" s="3721"/>
      <c r="I742" s="916">
        <f>'2 REPAIR ESTIMATOR'!P787</f>
        <v>0</v>
      </c>
      <c r="J742" s="917">
        <f>'2 REPAIR ESTIMATOR'!S787</f>
        <v>0</v>
      </c>
      <c r="K742" s="918">
        <f t="shared" si="107"/>
        <v>0</v>
      </c>
      <c r="L742" s="918">
        <f t="shared" si="108"/>
        <v>0</v>
      </c>
      <c r="M742" s="918">
        <f t="shared" si="109"/>
        <v>0</v>
      </c>
      <c r="N742" s="3719">
        <f t="shared" si="110"/>
        <v>0</v>
      </c>
      <c r="O742" s="3719"/>
      <c r="P742" s="490">
        <f t="shared" si="112"/>
        <v>0</v>
      </c>
      <c r="S742" s="32">
        <f>'2 REPAIR ESTIMATOR'!AD787</f>
        <v>0</v>
      </c>
      <c r="T742" s="32">
        <f>'2 REPAIR ESTIMATOR'!AM787</f>
        <v>0</v>
      </c>
      <c r="U742" s="32">
        <f t="shared" si="111"/>
        <v>0</v>
      </c>
      <c r="V742" s="32">
        <f>'2 REPAIR ESTIMATOR'!AG787</f>
        <v>0</v>
      </c>
      <c r="W742" s="32">
        <f>'2 REPAIR ESTIMATOR'!AJ787</f>
        <v>0</v>
      </c>
    </row>
    <row r="743" spans="3:23" ht="18" hidden="1">
      <c r="C743" s="3720" t="str">
        <f>T('2 REPAIR ESTIMATOR'!D788:O788)</f>
        <v/>
      </c>
      <c r="D743" s="3721"/>
      <c r="E743" s="3721"/>
      <c r="F743" s="3721"/>
      <c r="G743" s="3721"/>
      <c r="H743" s="3721"/>
      <c r="I743" s="916">
        <f>'2 REPAIR ESTIMATOR'!P788</f>
        <v>0</v>
      </c>
      <c r="J743" s="917">
        <f>'2 REPAIR ESTIMATOR'!S788</f>
        <v>0</v>
      </c>
      <c r="K743" s="918">
        <f t="shared" si="107"/>
        <v>0</v>
      </c>
      <c r="L743" s="918">
        <f t="shared" si="108"/>
        <v>0</v>
      </c>
      <c r="M743" s="918">
        <f t="shared" si="109"/>
        <v>0</v>
      </c>
      <c r="N743" s="3719">
        <f t="shared" si="110"/>
        <v>0</v>
      </c>
      <c r="O743" s="3719"/>
      <c r="P743" s="490">
        <f t="shared" si="112"/>
        <v>0</v>
      </c>
      <c r="S743" s="32">
        <f>'2 REPAIR ESTIMATOR'!AD788</f>
        <v>0</v>
      </c>
      <c r="T743" s="32">
        <f>'2 REPAIR ESTIMATOR'!AM788</f>
        <v>0</v>
      </c>
      <c r="U743" s="32">
        <f t="shared" si="111"/>
        <v>0</v>
      </c>
      <c r="V743" s="32">
        <f>'2 REPAIR ESTIMATOR'!AG788</f>
        <v>0</v>
      </c>
      <c r="W743" s="32">
        <f>'2 REPAIR ESTIMATOR'!AJ788</f>
        <v>0</v>
      </c>
    </row>
    <row r="744" spans="3:23" ht="18" hidden="1">
      <c r="C744" s="3720" t="str">
        <f>T('2 REPAIR ESTIMATOR'!D789:O789)</f>
        <v/>
      </c>
      <c r="D744" s="3721"/>
      <c r="E744" s="3721"/>
      <c r="F744" s="3721"/>
      <c r="G744" s="3721"/>
      <c r="H744" s="3721"/>
      <c r="I744" s="916">
        <f>'2 REPAIR ESTIMATOR'!P789</f>
        <v>0</v>
      </c>
      <c r="J744" s="917">
        <f>'2 REPAIR ESTIMATOR'!S789</f>
        <v>0</v>
      </c>
      <c r="K744" s="918">
        <f t="shared" si="107"/>
        <v>0</v>
      </c>
      <c r="L744" s="918">
        <f t="shared" si="108"/>
        <v>0</v>
      </c>
      <c r="M744" s="918">
        <f t="shared" si="109"/>
        <v>0</v>
      </c>
      <c r="N744" s="3719">
        <f t="shared" si="110"/>
        <v>0</v>
      </c>
      <c r="O744" s="3719"/>
      <c r="P744" s="490">
        <f t="shared" si="112"/>
        <v>0</v>
      </c>
      <c r="S744" s="32">
        <f>'2 REPAIR ESTIMATOR'!AD789</f>
        <v>0</v>
      </c>
      <c r="T744" s="32">
        <f>'2 REPAIR ESTIMATOR'!AM789</f>
        <v>0</v>
      </c>
      <c r="U744" s="32">
        <f t="shared" si="111"/>
        <v>0</v>
      </c>
      <c r="V744" s="32">
        <f>'2 REPAIR ESTIMATOR'!AG789</f>
        <v>0</v>
      </c>
      <c r="W744" s="32">
        <f>'2 REPAIR ESTIMATOR'!AJ789</f>
        <v>0</v>
      </c>
    </row>
    <row r="745" spans="3:23" ht="18" hidden="1">
      <c r="C745" s="3720" t="str">
        <f>T('2 REPAIR ESTIMATOR'!D790:O790)</f>
        <v/>
      </c>
      <c r="D745" s="3721"/>
      <c r="E745" s="3721"/>
      <c r="F745" s="3721"/>
      <c r="G745" s="3721"/>
      <c r="H745" s="3721"/>
      <c r="I745" s="916">
        <f>'2 REPAIR ESTIMATOR'!P790</f>
        <v>0</v>
      </c>
      <c r="J745" s="917">
        <f>'2 REPAIR ESTIMATOR'!S790</f>
        <v>0</v>
      </c>
      <c r="K745" s="918">
        <f t="shared" si="107"/>
        <v>0</v>
      </c>
      <c r="L745" s="918">
        <f t="shared" si="108"/>
        <v>0</v>
      </c>
      <c r="M745" s="918">
        <f t="shared" si="109"/>
        <v>0</v>
      </c>
      <c r="N745" s="3719">
        <f t="shared" si="110"/>
        <v>0</v>
      </c>
      <c r="O745" s="3719"/>
      <c r="P745" s="490">
        <f t="shared" si="112"/>
        <v>0</v>
      </c>
      <c r="S745" s="32">
        <f>'2 REPAIR ESTIMATOR'!AD790</f>
        <v>0</v>
      </c>
      <c r="T745" s="32">
        <f>'2 REPAIR ESTIMATOR'!AM790</f>
        <v>0</v>
      </c>
      <c r="U745" s="32">
        <f t="shared" si="111"/>
        <v>0</v>
      </c>
      <c r="V745" s="32">
        <f>'2 REPAIR ESTIMATOR'!AG790</f>
        <v>0</v>
      </c>
      <c r="W745" s="32">
        <f>'2 REPAIR ESTIMATOR'!AJ790</f>
        <v>0</v>
      </c>
    </row>
    <row r="746" spans="3:23" ht="18" hidden="1">
      <c r="C746" s="3720" t="str">
        <f>T('2 REPAIR ESTIMATOR'!D791:O791)</f>
        <v/>
      </c>
      <c r="D746" s="3721"/>
      <c r="E746" s="3721"/>
      <c r="F746" s="3721"/>
      <c r="G746" s="3721"/>
      <c r="H746" s="3721"/>
      <c r="I746" s="916">
        <f>'2 REPAIR ESTIMATOR'!P791</f>
        <v>0</v>
      </c>
      <c r="J746" s="917">
        <f>'2 REPAIR ESTIMATOR'!S791</f>
        <v>0</v>
      </c>
      <c r="K746" s="918">
        <f t="shared" si="107"/>
        <v>0</v>
      </c>
      <c r="L746" s="918">
        <f t="shared" si="108"/>
        <v>0</v>
      </c>
      <c r="M746" s="918">
        <f t="shared" si="109"/>
        <v>0</v>
      </c>
      <c r="N746" s="3719">
        <f t="shared" si="110"/>
        <v>0</v>
      </c>
      <c r="O746" s="3719"/>
      <c r="P746" s="490">
        <f t="shared" si="112"/>
        <v>0</v>
      </c>
      <c r="S746" s="32">
        <f>'2 REPAIR ESTIMATOR'!AD791</f>
        <v>0</v>
      </c>
      <c r="T746" s="32">
        <f>'2 REPAIR ESTIMATOR'!AM791</f>
        <v>0</v>
      </c>
      <c r="U746" s="32">
        <f t="shared" si="111"/>
        <v>0</v>
      </c>
      <c r="V746" s="32">
        <f>'2 REPAIR ESTIMATOR'!AG791</f>
        <v>0</v>
      </c>
      <c r="W746" s="32">
        <f>'2 REPAIR ESTIMATOR'!AJ791</f>
        <v>0</v>
      </c>
    </row>
    <row r="747" spans="3:23" ht="18" hidden="1">
      <c r="C747" s="3720" t="str">
        <f>T('2 REPAIR ESTIMATOR'!D792:O792)</f>
        <v/>
      </c>
      <c r="D747" s="3721"/>
      <c r="E747" s="3721"/>
      <c r="F747" s="3721"/>
      <c r="G747" s="3721"/>
      <c r="H747" s="3721"/>
      <c r="I747" s="916">
        <f>'2 REPAIR ESTIMATOR'!P792</f>
        <v>0</v>
      </c>
      <c r="J747" s="917">
        <f>'2 REPAIR ESTIMATOR'!S792</f>
        <v>0</v>
      </c>
      <c r="K747" s="918">
        <f t="shared" si="107"/>
        <v>0</v>
      </c>
      <c r="L747" s="918">
        <f t="shared" si="108"/>
        <v>0</v>
      </c>
      <c r="M747" s="918">
        <f t="shared" si="109"/>
        <v>0</v>
      </c>
      <c r="N747" s="3719">
        <f t="shared" si="110"/>
        <v>0</v>
      </c>
      <c r="O747" s="3719"/>
      <c r="P747" s="490">
        <f t="shared" si="112"/>
        <v>0</v>
      </c>
      <c r="S747" s="32">
        <f>'2 REPAIR ESTIMATOR'!AD792</f>
        <v>0</v>
      </c>
      <c r="T747" s="32">
        <f>'2 REPAIR ESTIMATOR'!AM792</f>
        <v>0</v>
      </c>
      <c r="U747" s="32">
        <f t="shared" si="111"/>
        <v>0</v>
      </c>
      <c r="V747" s="32">
        <f>'2 REPAIR ESTIMATOR'!AG792</f>
        <v>0</v>
      </c>
      <c r="W747" s="32">
        <f>'2 REPAIR ESTIMATOR'!AJ792</f>
        <v>0</v>
      </c>
    </row>
    <row r="748" spans="3:23" ht="18" hidden="1">
      <c r="C748" s="3720" t="str">
        <f>T('2 REPAIR ESTIMATOR'!D793:O793)</f>
        <v/>
      </c>
      <c r="D748" s="3721"/>
      <c r="E748" s="3721"/>
      <c r="F748" s="3721"/>
      <c r="G748" s="3721"/>
      <c r="H748" s="3721"/>
      <c r="I748" s="916">
        <f>'2 REPAIR ESTIMATOR'!P793</f>
        <v>0</v>
      </c>
      <c r="J748" s="917">
        <f>'2 REPAIR ESTIMATOR'!S793</f>
        <v>0</v>
      </c>
      <c r="K748" s="918">
        <f t="shared" si="107"/>
        <v>0</v>
      </c>
      <c r="L748" s="918">
        <f t="shared" si="108"/>
        <v>0</v>
      </c>
      <c r="M748" s="918">
        <f t="shared" si="109"/>
        <v>0</v>
      </c>
      <c r="N748" s="3719">
        <f t="shared" si="110"/>
        <v>0</v>
      </c>
      <c r="O748" s="3719"/>
      <c r="P748" s="490">
        <f t="shared" si="112"/>
        <v>0</v>
      </c>
      <c r="S748" s="32">
        <f>'2 REPAIR ESTIMATOR'!AD793</f>
        <v>0</v>
      </c>
      <c r="T748" s="32">
        <f>'2 REPAIR ESTIMATOR'!AM793</f>
        <v>0</v>
      </c>
      <c r="U748" s="32">
        <f t="shared" si="111"/>
        <v>0</v>
      </c>
      <c r="V748" s="32">
        <f>'2 REPAIR ESTIMATOR'!AG793</f>
        <v>0</v>
      </c>
      <c r="W748" s="32">
        <f>'2 REPAIR ESTIMATOR'!AJ793</f>
        <v>0</v>
      </c>
    </row>
    <row r="749" spans="3:23" ht="18" hidden="1">
      <c r="C749" s="3720" t="str">
        <f>T('2 REPAIR ESTIMATOR'!D794:O794)</f>
        <v/>
      </c>
      <c r="D749" s="3721"/>
      <c r="E749" s="3721"/>
      <c r="F749" s="3721"/>
      <c r="G749" s="3721"/>
      <c r="H749" s="3721"/>
      <c r="I749" s="916">
        <f>'2 REPAIR ESTIMATOR'!P794</f>
        <v>0</v>
      </c>
      <c r="J749" s="917">
        <f>'2 REPAIR ESTIMATOR'!S794</f>
        <v>0</v>
      </c>
      <c r="K749" s="918">
        <f t="shared" si="107"/>
        <v>0</v>
      </c>
      <c r="L749" s="918">
        <f t="shared" si="108"/>
        <v>0</v>
      </c>
      <c r="M749" s="918">
        <f t="shared" si="109"/>
        <v>0</v>
      </c>
      <c r="N749" s="3719">
        <f t="shared" si="110"/>
        <v>0</v>
      </c>
      <c r="O749" s="3719"/>
      <c r="P749" s="490">
        <f t="shared" si="112"/>
        <v>0</v>
      </c>
      <c r="S749" s="32">
        <f>'2 REPAIR ESTIMATOR'!AD794</f>
        <v>0</v>
      </c>
      <c r="T749" s="32">
        <f>'2 REPAIR ESTIMATOR'!AM794</f>
        <v>0</v>
      </c>
      <c r="U749" s="32">
        <f t="shared" si="111"/>
        <v>0</v>
      </c>
      <c r="V749" s="32">
        <f>'2 REPAIR ESTIMATOR'!AG794</f>
        <v>0</v>
      </c>
      <c r="W749" s="32">
        <f>'2 REPAIR ESTIMATOR'!AJ794</f>
        <v>0</v>
      </c>
    </row>
    <row r="750" spans="3:23" ht="18" hidden="1">
      <c r="C750" s="3720" t="str">
        <f>T('2 REPAIR ESTIMATOR'!D795:O795)</f>
        <v/>
      </c>
      <c r="D750" s="3721"/>
      <c r="E750" s="3721"/>
      <c r="F750" s="3721"/>
      <c r="G750" s="3721"/>
      <c r="H750" s="3721"/>
      <c r="I750" s="916">
        <f>'2 REPAIR ESTIMATOR'!P795</f>
        <v>0</v>
      </c>
      <c r="J750" s="917">
        <f>'2 REPAIR ESTIMATOR'!S795</f>
        <v>0</v>
      </c>
      <c r="K750" s="918">
        <f t="shared" si="107"/>
        <v>0</v>
      </c>
      <c r="L750" s="918">
        <f t="shared" si="108"/>
        <v>0</v>
      </c>
      <c r="M750" s="918">
        <f t="shared" si="109"/>
        <v>0</v>
      </c>
      <c r="N750" s="3719">
        <f t="shared" si="110"/>
        <v>0</v>
      </c>
      <c r="O750" s="3719"/>
      <c r="P750" s="490">
        <f t="shared" si="112"/>
        <v>0</v>
      </c>
      <c r="S750" s="32">
        <f>'2 REPAIR ESTIMATOR'!AD795</f>
        <v>0</v>
      </c>
      <c r="T750" s="32">
        <f>'2 REPAIR ESTIMATOR'!AM795</f>
        <v>0</v>
      </c>
      <c r="U750" s="32">
        <f t="shared" si="111"/>
        <v>0</v>
      </c>
      <c r="V750" s="32">
        <f>'2 REPAIR ESTIMATOR'!AG795</f>
        <v>0</v>
      </c>
      <c r="W750" s="32">
        <f>'2 REPAIR ESTIMATOR'!AJ795</f>
        <v>0</v>
      </c>
    </row>
    <row r="751" spans="3:23" ht="18" hidden="1">
      <c r="C751" s="3720" t="str">
        <f>T('2 REPAIR ESTIMATOR'!D796:O796)</f>
        <v/>
      </c>
      <c r="D751" s="3721"/>
      <c r="E751" s="3721"/>
      <c r="F751" s="3721"/>
      <c r="G751" s="3721"/>
      <c r="H751" s="3721"/>
      <c r="I751" s="916">
        <f>'2 REPAIR ESTIMATOR'!P796</f>
        <v>0</v>
      </c>
      <c r="J751" s="917">
        <f>'2 REPAIR ESTIMATOR'!S796</f>
        <v>0</v>
      </c>
      <c r="K751" s="918">
        <f t="shared" si="107"/>
        <v>0</v>
      </c>
      <c r="L751" s="918">
        <f t="shared" si="108"/>
        <v>0</v>
      </c>
      <c r="M751" s="918">
        <f t="shared" si="109"/>
        <v>0</v>
      </c>
      <c r="N751" s="3719">
        <f t="shared" si="110"/>
        <v>0</v>
      </c>
      <c r="O751" s="3719"/>
      <c r="P751" s="490">
        <f t="shared" si="112"/>
        <v>0</v>
      </c>
      <c r="S751" s="32">
        <f>'2 REPAIR ESTIMATOR'!AD796</f>
        <v>0</v>
      </c>
      <c r="T751" s="32">
        <f>'2 REPAIR ESTIMATOR'!AM796</f>
        <v>0</v>
      </c>
      <c r="U751" s="32">
        <f t="shared" si="111"/>
        <v>0</v>
      </c>
      <c r="V751" s="32">
        <f>'2 REPAIR ESTIMATOR'!AG796</f>
        <v>0</v>
      </c>
      <c r="W751" s="32">
        <f>'2 REPAIR ESTIMATOR'!AJ796</f>
        <v>0</v>
      </c>
    </row>
    <row r="752" spans="3:23" ht="18" hidden="1">
      <c r="C752" s="3720" t="str">
        <f>T('2 REPAIR ESTIMATOR'!D797:O797)</f>
        <v/>
      </c>
      <c r="D752" s="3721"/>
      <c r="E752" s="3721"/>
      <c r="F752" s="3721"/>
      <c r="G752" s="3721"/>
      <c r="H752" s="3721"/>
      <c r="I752" s="916">
        <f>'2 REPAIR ESTIMATOR'!P797</f>
        <v>0</v>
      </c>
      <c r="J752" s="917">
        <f>'2 REPAIR ESTIMATOR'!S797</f>
        <v>0</v>
      </c>
      <c r="K752" s="918">
        <f t="shared" si="107"/>
        <v>0</v>
      </c>
      <c r="L752" s="918">
        <f t="shared" si="108"/>
        <v>0</v>
      </c>
      <c r="M752" s="918">
        <f t="shared" si="109"/>
        <v>0</v>
      </c>
      <c r="N752" s="3719">
        <f t="shared" si="110"/>
        <v>0</v>
      </c>
      <c r="O752" s="3719"/>
      <c r="P752" s="490">
        <f t="shared" si="112"/>
        <v>0</v>
      </c>
      <c r="S752" s="32">
        <f>'2 REPAIR ESTIMATOR'!AD797</f>
        <v>0</v>
      </c>
      <c r="T752" s="32">
        <f>'2 REPAIR ESTIMATOR'!AM797</f>
        <v>0</v>
      </c>
      <c r="U752" s="32">
        <f t="shared" si="111"/>
        <v>0</v>
      </c>
      <c r="V752" s="32">
        <f>'2 REPAIR ESTIMATOR'!AG797</f>
        <v>0</v>
      </c>
      <c r="W752" s="32">
        <f>'2 REPAIR ESTIMATOR'!AJ797</f>
        <v>0</v>
      </c>
    </row>
    <row r="753" spans="3:23" ht="18" hidden="1">
      <c r="C753" s="3720" t="str">
        <f>T('2 REPAIR ESTIMATOR'!D798:O798)</f>
        <v/>
      </c>
      <c r="D753" s="3721"/>
      <c r="E753" s="3721"/>
      <c r="F753" s="3721"/>
      <c r="G753" s="3721"/>
      <c r="H753" s="3721"/>
      <c r="I753" s="916">
        <f>'2 REPAIR ESTIMATOR'!P798</f>
        <v>0</v>
      </c>
      <c r="J753" s="917">
        <f>'2 REPAIR ESTIMATOR'!S798</f>
        <v>0</v>
      </c>
      <c r="K753" s="918">
        <f t="shared" si="107"/>
        <v>0</v>
      </c>
      <c r="L753" s="918">
        <f t="shared" si="108"/>
        <v>0</v>
      </c>
      <c r="M753" s="918">
        <f t="shared" si="109"/>
        <v>0</v>
      </c>
      <c r="N753" s="3719">
        <f t="shared" si="110"/>
        <v>0</v>
      </c>
      <c r="O753" s="3719"/>
      <c r="P753" s="490">
        <f t="shared" si="112"/>
        <v>0</v>
      </c>
      <c r="S753" s="32">
        <f>'2 REPAIR ESTIMATOR'!AD798</f>
        <v>0</v>
      </c>
      <c r="T753" s="32">
        <f>'2 REPAIR ESTIMATOR'!AM798</f>
        <v>0</v>
      </c>
      <c r="U753" s="32">
        <f t="shared" si="111"/>
        <v>0</v>
      </c>
      <c r="V753" s="32">
        <f>'2 REPAIR ESTIMATOR'!AG798</f>
        <v>0</v>
      </c>
      <c r="W753" s="32">
        <f>'2 REPAIR ESTIMATOR'!AJ798</f>
        <v>0</v>
      </c>
    </row>
    <row r="754" spans="3:23" ht="18" hidden="1">
      <c r="C754" s="3720" t="str">
        <f>T('2 REPAIR ESTIMATOR'!D799:O799)</f>
        <v/>
      </c>
      <c r="D754" s="3721"/>
      <c r="E754" s="3721"/>
      <c r="F754" s="3721"/>
      <c r="G754" s="3721"/>
      <c r="H754" s="3721"/>
      <c r="I754" s="916">
        <f>'2 REPAIR ESTIMATOR'!P799</f>
        <v>0</v>
      </c>
      <c r="J754" s="917">
        <f>'2 REPAIR ESTIMATOR'!S799</f>
        <v>0</v>
      </c>
      <c r="K754" s="918">
        <f t="shared" si="107"/>
        <v>0</v>
      </c>
      <c r="L754" s="918">
        <f t="shared" si="108"/>
        <v>0</v>
      </c>
      <c r="M754" s="918">
        <f t="shared" si="109"/>
        <v>0</v>
      </c>
      <c r="N754" s="3719">
        <f t="shared" si="110"/>
        <v>0</v>
      </c>
      <c r="O754" s="3719"/>
      <c r="P754" s="490">
        <f t="shared" si="112"/>
        <v>0</v>
      </c>
      <c r="S754" s="32">
        <f>'2 REPAIR ESTIMATOR'!AD799</f>
        <v>0</v>
      </c>
      <c r="T754" s="32">
        <f>'2 REPAIR ESTIMATOR'!AM799</f>
        <v>0</v>
      </c>
      <c r="U754" s="32">
        <f t="shared" si="111"/>
        <v>0</v>
      </c>
      <c r="V754" s="32">
        <f>'2 REPAIR ESTIMATOR'!AG799</f>
        <v>0</v>
      </c>
      <c r="W754" s="32">
        <f>'2 REPAIR ESTIMATOR'!AJ799</f>
        <v>0</v>
      </c>
    </row>
    <row r="755" spans="3:23" ht="18" hidden="1">
      <c r="C755" s="3720" t="str">
        <f>T('2 REPAIR ESTIMATOR'!D800:O800)</f>
        <v/>
      </c>
      <c r="D755" s="3721"/>
      <c r="E755" s="3721"/>
      <c r="F755" s="3721"/>
      <c r="G755" s="3721"/>
      <c r="H755" s="3721"/>
      <c r="I755" s="916">
        <f>'2 REPAIR ESTIMATOR'!P800</f>
        <v>0</v>
      </c>
      <c r="J755" s="917">
        <f>'2 REPAIR ESTIMATOR'!S800</f>
        <v>0</v>
      </c>
      <c r="K755" s="918">
        <f t="shared" si="107"/>
        <v>0</v>
      </c>
      <c r="L755" s="918">
        <f t="shared" si="108"/>
        <v>0</v>
      </c>
      <c r="M755" s="918">
        <f t="shared" si="109"/>
        <v>0</v>
      </c>
      <c r="N755" s="3719">
        <f t="shared" si="110"/>
        <v>0</v>
      </c>
      <c r="O755" s="3719"/>
      <c r="P755" s="490">
        <f t="shared" si="112"/>
        <v>0</v>
      </c>
      <c r="S755" s="32">
        <f>'2 REPAIR ESTIMATOR'!AD800</f>
        <v>0</v>
      </c>
      <c r="T755" s="32">
        <f>'2 REPAIR ESTIMATOR'!AM800</f>
        <v>0</v>
      </c>
      <c r="U755" s="32">
        <f t="shared" si="111"/>
        <v>0</v>
      </c>
      <c r="V755" s="32">
        <f>'2 REPAIR ESTIMATOR'!AG800</f>
        <v>0</v>
      </c>
      <c r="W755" s="32">
        <f>'2 REPAIR ESTIMATOR'!AJ800</f>
        <v>0</v>
      </c>
    </row>
    <row r="756" spans="3:23" ht="18" hidden="1">
      <c r="C756" s="3720" t="str">
        <f>T('2 REPAIR ESTIMATOR'!D801:O801)</f>
        <v/>
      </c>
      <c r="D756" s="3721"/>
      <c r="E756" s="3721"/>
      <c r="F756" s="3721"/>
      <c r="G756" s="3721"/>
      <c r="H756" s="3721"/>
      <c r="I756" s="916">
        <f>'2 REPAIR ESTIMATOR'!P801</f>
        <v>0</v>
      </c>
      <c r="J756" s="917">
        <f>'2 REPAIR ESTIMATOR'!S801</f>
        <v>0</v>
      </c>
      <c r="K756" s="918">
        <f t="shared" si="107"/>
        <v>0</v>
      </c>
      <c r="L756" s="918">
        <f t="shared" si="108"/>
        <v>0</v>
      </c>
      <c r="M756" s="918">
        <f t="shared" si="109"/>
        <v>0</v>
      </c>
      <c r="N756" s="3719">
        <f t="shared" si="110"/>
        <v>0</v>
      </c>
      <c r="O756" s="3719"/>
      <c r="P756" s="490">
        <f t="shared" si="112"/>
        <v>0</v>
      </c>
      <c r="S756" s="32">
        <f>'2 REPAIR ESTIMATOR'!AD801</f>
        <v>0</v>
      </c>
      <c r="T756" s="32">
        <f>'2 REPAIR ESTIMATOR'!AM801</f>
        <v>0</v>
      </c>
      <c r="U756" s="32">
        <f t="shared" si="111"/>
        <v>0</v>
      </c>
      <c r="V756" s="32">
        <f>'2 REPAIR ESTIMATOR'!AG801</f>
        <v>0</v>
      </c>
      <c r="W756" s="32">
        <f>'2 REPAIR ESTIMATOR'!AJ801</f>
        <v>0</v>
      </c>
    </row>
    <row r="757" spans="3:23" ht="18.350000000000001" hidden="1" thickBot="1">
      <c r="C757" s="3779" t="str">
        <f>T('2 REPAIR ESTIMATOR'!D802:O802)</f>
        <v/>
      </c>
      <c r="D757" s="3780"/>
      <c r="E757" s="3780"/>
      <c r="F757" s="3780"/>
      <c r="G757" s="3780"/>
      <c r="H757" s="3780"/>
      <c r="I757" s="919">
        <f>'2 REPAIR ESTIMATOR'!P802</f>
        <v>0</v>
      </c>
      <c r="J757" s="920">
        <f>'2 REPAIR ESTIMATOR'!S802</f>
        <v>0</v>
      </c>
      <c r="K757" s="921">
        <f t="shared" si="107"/>
        <v>0</v>
      </c>
      <c r="L757" s="921">
        <f t="shared" si="108"/>
        <v>0</v>
      </c>
      <c r="M757" s="921">
        <f t="shared" si="109"/>
        <v>0</v>
      </c>
      <c r="N757" s="3781">
        <f t="shared" si="110"/>
        <v>0</v>
      </c>
      <c r="O757" s="3781"/>
      <c r="P757" s="490">
        <f t="shared" si="112"/>
        <v>0</v>
      </c>
      <c r="S757" s="32">
        <f>'2 REPAIR ESTIMATOR'!AD802</f>
        <v>0</v>
      </c>
      <c r="T757" s="32">
        <f>'2 REPAIR ESTIMATOR'!AM802</f>
        <v>0</v>
      </c>
      <c r="U757" s="32">
        <f t="shared" si="111"/>
        <v>0</v>
      </c>
      <c r="V757" s="32">
        <f>'2 REPAIR ESTIMATOR'!AG802</f>
        <v>0</v>
      </c>
      <c r="W757" s="32">
        <f>'2 REPAIR ESTIMATOR'!AJ802</f>
        <v>0</v>
      </c>
    </row>
    <row r="758" spans="3:23" ht="18.350000000000001" hidden="1" thickBot="1">
      <c r="C758" s="3723" t="str">
        <f>T('2 REPAIR ESTIMATOR'!AC804)</f>
        <v>CARPET &amp; RESILIENT TOTAL</v>
      </c>
      <c r="D758" s="3724"/>
      <c r="E758" s="3724"/>
      <c r="F758" s="3724"/>
      <c r="G758" s="3724"/>
      <c r="H758" s="3724"/>
      <c r="I758" s="3724"/>
      <c r="J758" s="3724"/>
      <c r="K758" s="922">
        <f>SUM(K718:K757)</f>
        <v>0</v>
      </c>
      <c r="L758" s="922">
        <f>SUM(L718:L757)</f>
        <v>0</v>
      </c>
      <c r="M758" s="922">
        <f>SUM(M718:M757)</f>
        <v>0</v>
      </c>
      <c r="N758" s="3789">
        <f>SUM(N718:O757)</f>
        <v>0</v>
      </c>
      <c r="O758" s="3789"/>
      <c r="P758" s="489">
        <f>SUM(P717:P725)</f>
        <v>0</v>
      </c>
      <c r="S758" s="33">
        <f>SUM(S718:S757)</f>
        <v>0</v>
      </c>
      <c r="T758" s="33">
        <f>SUM(T718:T757)</f>
        <v>0</v>
      </c>
      <c r="U758" s="33">
        <f>SUM(U718:U757)</f>
        <v>0</v>
      </c>
      <c r="V758" s="33">
        <f>SUM(V718:V757)</f>
        <v>0</v>
      </c>
      <c r="W758" s="33">
        <f>SUM(W718:W757)</f>
        <v>0</v>
      </c>
    </row>
    <row r="759" spans="3:23" ht="8.85" hidden="1" customHeight="1">
      <c r="C759" s="841"/>
      <c r="D759" s="841"/>
      <c r="E759" s="841"/>
      <c r="F759" s="841"/>
      <c r="G759" s="841"/>
      <c r="H759" s="841"/>
      <c r="I759" s="842"/>
      <c r="J759" s="842"/>
      <c r="K759" s="842"/>
      <c r="L759" s="842"/>
      <c r="M759" s="842"/>
      <c r="N759" s="843"/>
      <c r="O759" s="798"/>
      <c r="P759" s="489">
        <f>P758</f>
        <v>0</v>
      </c>
    </row>
    <row r="760" spans="3:23" ht="21" hidden="1" customHeight="1" thickBot="1">
      <c r="C760" s="3782" t="str">
        <f>T('2 REPAIR ESTIMATOR'!D807:O807)</f>
        <v>HARDWOOD FLOORING</v>
      </c>
      <c r="D760" s="3783"/>
      <c r="E760" s="3783"/>
      <c r="F760" s="3783"/>
      <c r="G760" s="3783"/>
      <c r="H760" s="3783"/>
      <c r="I760" s="799">
        <f>SUM(I761:I800)</f>
        <v>0</v>
      </c>
      <c r="J760" s="800"/>
      <c r="K760" s="850"/>
      <c r="L760" s="850"/>
      <c r="M760" s="850"/>
      <c r="N760" s="3722"/>
      <c r="O760" s="3722"/>
      <c r="P760" s="489">
        <f t="shared" si="99"/>
        <v>0</v>
      </c>
      <c r="S760" s="34"/>
      <c r="T760" s="34"/>
      <c r="U760" s="34"/>
      <c r="V760" s="34"/>
      <c r="W760" s="34"/>
    </row>
    <row r="761" spans="3:23" ht="18" hidden="1">
      <c r="C761" s="3720" t="str">
        <f>T('2 REPAIR ESTIMATOR'!D808:O808)</f>
        <v>Hardwood floors, bid/allowance</v>
      </c>
      <c r="D761" s="3721"/>
      <c r="E761" s="3721"/>
      <c r="F761" s="3721"/>
      <c r="G761" s="3721"/>
      <c r="H761" s="3721"/>
      <c r="I761" s="916">
        <f>'2 REPAIR ESTIMATOR'!P808</f>
        <v>0</v>
      </c>
      <c r="J761" s="917" t="str">
        <f>'2 REPAIR ESTIMATOR'!S808</f>
        <v>ls</v>
      </c>
      <c r="K761" s="918">
        <f t="shared" ref="K761:K800" si="113">IF($N$3="subbed",U761,S761)*$S$70</f>
        <v>0</v>
      </c>
      <c r="L761" s="918">
        <f>V761*$S$70</f>
        <v>0</v>
      </c>
      <c r="M761" s="918">
        <f>W761*$S$70</f>
        <v>0</v>
      </c>
      <c r="N761" s="3719">
        <f>SUM(K761:M761)</f>
        <v>0</v>
      </c>
      <c r="O761" s="3719"/>
      <c r="P761" s="490">
        <f t="shared" si="99"/>
        <v>0</v>
      </c>
      <c r="S761" s="32">
        <f>'2 REPAIR ESTIMATOR'!AD808</f>
        <v>0</v>
      </c>
      <c r="T761" s="32">
        <f>'2 REPAIR ESTIMATOR'!AM808</f>
        <v>0</v>
      </c>
      <c r="U761" s="32">
        <f>T761+S761</f>
        <v>0</v>
      </c>
      <c r="V761" s="32">
        <f>'2 REPAIR ESTIMATOR'!AG808</f>
        <v>0</v>
      </c>
      <c r="W761" s="32">
        <f>'2 REPAIR ESTIMATOR'!AJ808</f>
        <v>0</v>
      </c>
    </row>
    <row r="762" spans="3:23" ht="18" hidden="1">
      <c r="C762" s="3720" t="str">
        <f>T('2 REPAIR ESTIMATOR'!D809:O809)</f>
        <v>Laminate Flooring</v>
      </c>
      <c r="D762" s="3721"/>
      <c r="E762" s="3721"/>
      <c r="F762" s="3721"/>
      <c r="G762" s="3721"/>
      <c r="H762" s="3721"/>
      <c r="I762" s="916">
        <f>'2 REPAIR ESTIMATOR'!P809</f>
        <v>0</v>
      </c>
      <c r="J762" s="917">
        <f>'2 REPAIR ESTIMATOR'!S809</f>
        <v>0</v>
      </c>
      <c r="K762" s="918">
        <f t="shared" si="113"/>
        <v>0</v>
      </c>
      <c r="L762" s="918">
        <f t="shared" ref="L762:L800" si="114">V762*$S$70</f>
        <v>0</v>
      </c>
      <c r="M762" s="918">
        <f t="shared" ref="M762:M800" si="115">W762*$S$70</f>
        <v>0</v>
      </c>
      <c r="N762" s="3719">
        <f t="shared" ref="N762:N800" si="116">SUM(K762:M762)</f>
        <v>0</v>
      </c>
      <c r="O762" s="3719"/>
      <c r="P762" s="490">
        <f t="shared" si="99"/>
        <v>0</v>
      </c>
      <c r="S762" s="32">
        <f>'2 REPAIR ESTIMATOR'!AD809</f>
        <v>0</v>
      </c>
      <c r="T762" s="32">
        <f>'2 REPAIR ESTIMATOR'!AM809</f>
        <v>0</v>
      </c>
      <c r="U762" s="32">
        <f t="shared" ref="U762:U800" si="117">T762+S762</f>
        <v>0</v>
      </c>
      <c r="V762" s="32">
        <f>'2 REPAIR ESTIMATOR'!AG809</f>
        <v>0</v>
      </c>
      <c r="W762" s="32">
        <f>'2 REPAIR ESTIMATOR'!AJ809</f>
        <v>0</v>
      </c>
    </row>
    <row r="763" spans="3:23" ht="18" hidden="1">
      <c r="C763" s="3720" t="str">
        <f>T('2 REPAIR ESTIMATOR'!D810:O810)</f>
        <v>Laminate wood flooring, economy grade</v>
      </c>
      <c r="D763" s="3721"/>
      <c r="E763" s="3721"/>
      <c r="F763" s="3721"/>
      <c r="G763" s="3721"/>
      <c r="H763" s="3721"/>
      <c r="I763" s="916">
        <f>'2 REPAIR ESTIMATOR'!P810</f>
        <v>0</v>
      </c>
      <c r="J763" s="917" t="str">
        <f>'2 REPAIR ESTIMATOR'!S810</f>
        <v>sf</v>
      </c>
      <c r="K763" s="918">
        <f t="shared" si="113"/>
        <v>0</v>
      </c>
      <c r="L763" s="918">
        <f t="shared" si="114"/>
        <v>0</v>
      </c>
      <c r="M763" s="918">
        <f t="shared" si="115"/>
        <v>0</v>
      </c>
      <c r="N763" s="3719">
        <f t="shared" si="116"/>
        <v>0</v>
      </c>
      <c r="O763" s="3719"/>
      <c r="P763" s="490">
        <f t="shared" si="99"/>
        <v>0</v>
      </c>
      <c r="S763" s="32">
        <f>'2 REPAIR ESTIMATOR'!AD810</f>
        <v>0</v>
      </c>
      <c r="T763" s="32">
        <f>'2 REPAIR ESTIMATOR'!AM810</f>
        <v>0</v>
      </c>
      <c r="U763" s="32">
        <f t="shared" si="117"/>
        <v>0</v>
      </c>
      <c r="V763" s="32">
        <f>'2 REPAIR ESTIMATOR'!AG810</f>
        <v>0</v>
      </c>
      <c r="W763" s="32">
        <f>'2 REPAIR ESTIMATOR'!AJ810</f>
        <v>0</v>
      </c>
    </row>
    <row r="764" spans="3:23" ht="18" hidden="1">
      <c r="C764" s="3720" t="str">
        <f>T('2 REPAIR ESTIMATOR'!D811:O811)</f>
        <v>Laminate wood flooring, average grade</v>
      </c>
      <c r="D764" s="3721"/>
      <c r="E764" s="3721"/>
      <c r="F764" s="3721"/>
      <c r="G764" s="3721"/>
      <c r="H764" s="3721"/>
      <c r="I764" s="916">
        <f>'2 REPAIR ESTIMATOR'!P811</f>
        <v>0</v>
      </c>
      <c r="J764" s="917" t="str">
        <f>'2 REPAIR ESTIMATOR'!S811</f>
        <v>sf</v>
      </c>
      <c r="K764" s="918">
        <f t="shared" si="113"/>
        <v>0</v>
      </c>
      <c r="L764" s="918">
        <f t="shared" si="114"/>
        <v>0</v>
      </c>
      <c r="M764" s="918">
        <f t="shared" si="115"/>
        <v>0</v>
      </c>
      <c r="N764" s="3719">
        <f t="shared" si="116"/>
        <v>0</v>
      </c>
      <c r="O764" s="3719"/>
      <c r="P764" s="489">
        <f t="shared" si="99"/>
        <v>0</v>
      </c>
      <c r="S764" s="32">
        <f>'2 REPAIR ESTIMATOR'!AD811</f>
        <v>0</v>
      </c>
      <c r="T764" s="32">
        <f>'2 REPAIR ESTIMATOR'!AM811</f>
        <v>0</v>
      </c>
      <c r="U764" s="32">
        <f t="shared" si="117"/>
        <v>0</v>
      </c>
      <c r="V764" s="32">
        <f>'2 REPAIR ESTIMATOR'!AG811</f>
        <v>0</v>
      </c>
      <c r="W764" s="32">
        <f>'2 REPAIR ESTIMATOR'!AJ811</f>
        <v>0</v>
      </c>
    </row>
    <row r="765" spans="3:23" ht="18" hidden="1">
      <c r="C765" s="3720" t="str">
        <f>T('2 REPAIR ESTIMATOR'!D812:O812)</f>
        <v>Laminate wood flooring, premium grade</v>
      </c>
      <c r="D765" s="3721"/>
      <c r="E765" s="3721"/>
      <c r="F765" s="3721"/>
      <c r="G765" s="3721"/>
      <c r="H765" s="3721"/>
      <c r="I765" s="916">
        <f>'2 REPAIR ESTIMATOR'!P812</f>
        <v>0</v>
      </c>
      <c r="J765" s="917" t="str">
        <f>'2 REPAIR ESTIMATOR'!S812</f>
        <v>sf</v>
      </c>
      <c r="K765" s="918">
        <f t="shared" si="113"/>
        <v>0</v>
      </c>
      <c r="L765" s="918">
        <f t="shared" si="114"/>
        <v>0</v>
      </c>
      <c r="M765" s="918">
        <f t="shared" si="115"/>
        <v>0</v>
      </c>
      <c r="N765" s="3719">
        <f t="shared" si="116"/>
        <v>0</v>
      </c>
      <c r="O765" s="3719"/>
      <c r="P765" s="490">
        <f t="shared" si="99"/>
        <v>0</v>
      </c>
      <c r="S765" s="32">
        <f>'2 REPAIR ESTIMATOR'!AD812</f>
        <v>0</v>
      </c>
      <c r="T765" s="32">
        <f>'2 REPAIR ESTIMATOR'!AM812</f>
        <v>0</v>
      </c>
      <c r="U765" s="32">
        <f t="shared" si="117"/>
        <v>0</v>
      </c>
      <c r="V765" s="32">
        <f>'2 REPAIR ESTIMATOR'!AG812</f>
        <v>0</v>
      </c>
      <c r="W765" s="32">
        <f>'2 REPAIR ESTIMATOR'!AJ812</f>
        <v>0</v>
      </c>
    </row>
    <row r="766" spans="3:23" ht="18" hidden="1">
      <c r="C766" s="3720" t="str">
        <f>T('2 REPAIR ESTIMATOR'!D813:O813)</f>
        <v/>
      </c>
      <c r="D766" s="3721"/>
      <c r="E766" s="3721"/>
      <c r="F766" s="3721"/>
      <c r="G766" s="3721"/>
      <c r="H766" s="3721"/>
      <c r="I766" s="916">
        <f>'2 REPAIR ESTIMATOR'!P813</f>
        <v>0</v>
      </c>
      <c r="J766" s="917">
        <f>'2 REPAIR ESTIMATOR'!S813</f>
        <v>0</v>
      </c>
      <c r="K766" s="918">
        <f t="shared" si="113"/>
        <v>0</v>
      </c>
      <c r="L766" s="918">
        <f t="shared" si="114"/>
        <v>0</v>
      </c>
      <c r="M766" s="918">
        <f t="shared" si="115"/>
        <v>0</v>
      </c>
      <c r="N766" s="3719">
        <f t="shared" si="116"/>
        <v>0</v>
      </c>
      <c r="O766" s="3719"/>
      <c r="P766" s="490">
        <f t="shared" si="99"/>
        <v>0</v>
      </c>
      <c r="S766" s="32">
        <f>'2 REPAIR ESTIMATOR'!AD813</f>
        <v>0</v>
      </c>
      <c r="T766" s="32">
        <f>'2 REPAIR ESTIMATOR'!AM813</f>
        <v>0</v>
      </c>
      <c r="U766" s="32">
        <f t="shared" si="117"/>
        <v>0</v>
      </c>
      <c r="V766" s="32">
        <f>'2 REPAIR ESTIMATOR'!AG813</f>
        <v>0</v>
      </c>
      <c r="W766" s="32">
        <f>'2 REPAIR ESTIMATOR'!AJ813</f>
        <v>0</v>
      </c>
    </row>
    <row r="767" spans="3:23" ht="18" hidden="1">
      <c r="C767" s="3720" t="str">
        <f>T('2 REPAIR ESTIMATOR'!D814:O814)</f>
        <v>Hardwood Flooring</v>
      </c>
      <c r="D767" s="3721"/>
      <c r="E767" s="3721"/>
      <c r="F767" s="3721"/>
      <c r="G767" s="3721"/>
      <c r="H767" s="3721"/>
      <c r="I767" s="916">
        <f>'2 REPAIR ESTIMATOR'!P814</f>
        <v>0</v>
      </c>
      <c r="J767" s="917">
        <f>'2 REPAIR ESTIMATOR'!S814</f>
        <v>0</v>
      </c>
      <c r="K767" s="918">
        <f t="shared" si="113"/>
        <v>0</v>
      </c>
      <c r="L767" s="918">
        <f t="shared" si="114"/>
        <v>0</v>
      </c>
      <c r="M767" s="918">
        <f t="shared" si="115"/>
        <v>0</v>
      </c>
      <c r="N767" s="3719">
        <f t="shared" si="116"/>
        <v>0</v>
      </c>
      <c r="O767" s="3719"/>
      <c r="P767" s="490">
        <f t="shared" si="99"/>
        <v>0</v>
      </c>
      <c r="S767" s="32">
        <f>'2 REPAIR ESTIMATOR'!AD814</f>
        <v>0</v>
      </c>
      <c r="T767" s="32">
        <f>'2 REPAIR ESTIMATOR'!AM814</f>
        <v>0</v>
      </c>
      <c r="U767" s="32">
        <f t="shared" si="117"/>
        <v>0</v>
      </c>
      <c r="V767" s="32">
        <f>'2 REPAIR ESTIMATOR'!AG814</f>
        <v>0</v>
      </c>
      <c r="W767" s="32">
        <f>'2 REPAIR ESTIMATOR'!AJ814</f>
        <v>0</v>
      </c>
    </row>
    <row r="768" spans="3:23" ht="18" hidden="1">
      <c r="C768" s="3720" t="str">
        <f>T('2 REPAIR ESTIMATOR'!D815:O815)</f>
        <v>Hardwood flooring, economy grade</v>
      </c>
      <c r="D768" s="3721"/>
      <c r="E768" s="3721"/>
      <c r="F768" s="3721"/>
      <c r="G768" s="3721"/>
      <c r="H768" s="3721"/>
      <c r="I768" s="916">
        <f>'2 REPAIR ESTIMATOR'!P815</f>
        <v>0</v>
      </c>
      <c r="J768" s="917" t="str">
        <f>'2 REPAIR ESTIMATOR'!S815</f>
        <v>sf</v>
      </c>
      <c r="K768" s="918">
        <f t="shared" si="113"/>
        <v>0</v>
      </c>
      <c r="L768" s="918">
        <f t="shared" si="114"/>
        <v>0</v>
      </c>
      <c r="M768" s="918">
        <f t="shared" si="115"/>
        <v>0</v>
      </c>
      <c r="N768" s="3719">
        <f t="shared" si="116"/>
        <v>0</v>
      </c>
      <c r="O768" s="3719"/>
      <c r="P768" s="490">
        <f t="shared" si="99"/>
        <v>0</v>
      </c>
      <c r="S768" s="32">
        <f>'2 REPAIR ESTIMATOR'!AD815</f>
        <v>0</v>
      </c>
      <c r="T768" s="32">
        <f>'2 REPAIR ESTIMATOR'!AM815</f>
        <v>0</v>
      </c>
      <c r="U768" s="32">
        <f t="shared" si="117"/>
        <v>0</v>
      </c>
      <c r="V768" s="32">
        <f>'2 REPAIR ESTIMATOR'!AG815</f>
        <v>0</v>
      </c>
      <c r="W768" s="32">
        <f>'2 REPAIR ESTIMATOR'!AJ815</f>
        <v>0</v>
      </c>
    </row>
    <row r="769" spans="3:23" ht="18" hidden="1">
      <c r="C769" s="3720" t="str">
        <f>T('2 REPAIR ESTIMATOR'!D816:O816)</f>
        <v>Hardwood flooring, average grade</v>
      </c>
      <c r="D769" s="3721"/>
      <c r="E769" s="3721"/>
      <c r="F769" s="3721"/>
      <c r="G769" s="3721"/>
      <c r="H769" s="3721"/>
      <c r="I769" s="916">
        <f>'2 REPAIR ESTIMATOR'!P816</f>
        <v>0</v>
      </c>
      <c r="J769" s="917" t="str">
        <f>'2 REPAIR ESTIMATOR'!S816</f>
        <v>sf</v>
      </c>
      <c r="K769" s="918">
        <f t="shared" si="113"/>
        <v>0</v>
      </c>
      <c r="L769" s="918">
        <f t="shared" si="114"/>
        <v>0</v>
      </c>
      <c r="M769" s="918">
        <f t="shared" si="115"/>
        <v>0</v>
      </c>
      <c r="N769" s="3719">
        <f t="shared" si="116"/>
        <v>0</v>
      </c>
      <c r="O769" s="3719"/>
      <c r="P769" s="490">
        <f t="shared" si="99"/>
        <v>0</v>
      </c>
      <c r="S769" s="32">
        <f>'2 REPAIR ESTIMATOR'!AD816</f>
        <v>0</v>
      </c>
      <c r="T769" s="32">
        <f>'2 REPAIR ESTIMATOR'!AM816</f>
        <v>0</v>
      </c>
      <c r="U769" s="32">
        <f t="shared" si="117"/>
        <v>0</v>
      </c>
      <c r="V769" s="32">
        <f>'2 REPAIR ESTIMATOR'!AG816</f>
        <v>0</v>
      </c>
      <c r="W769" s="32">
        <f>'2 REPAIR ESTIMATOR'!AJ816</f>
        <v>0</v>
      </c>
    </row>
    <row r="770" spans="3:23" ht="18" hidden="1">
      <c r="C770" s="3720" t="str">
        <f>T('2 REPAIR ESTIMATOR'!D817:O817)</f>
        <v>Hardwood flooring, premium grade</v>
      </c>
      <c r="D770" s="3721"/>
      <c r="E770" s="3721"/>
      <c r="F770" s="3721"/>
      <c r="G770" s="3721"/>
      <c r="H770" s="3721"/>
      <c r="I770" s="916">
        <f>'2 REPAIR ESTIMATOR'!P817</f>
        <v>0</v>
      </c>
      <c r="J770" s="917" t="str">
        <f>'2 REPAIR ESTIMATOR'!S817</f>
        <v>sf</v>
      </c>
      <c r="K770" s="918">
        <f t="shared" si="113"/>
        <v>0</v>
      </c>
      <c r="L770" s="918">
        <f t="shared" si="114"/>
        <v>0</v>
      </c>
      <c r="M770" s="918">
        <f t="shared" si="115"/>
        <v>0</v>
      </c>
      <c r="N770" s="3719">
        <f t="shared" si="116"/>
        <v>0</v>
      </c>
      <c r="O770" s="3719"/>
      <c r="P770" s="490">
        <f t="shared" si="99"/>
        <v>0</v>
      </c>
      <c r="S770" s="32">
        <f>'2 REPAIR ESTIMATOR'!AD817</f>
        <v>0</v>
      </c>
      <c r="T770" s="32">
        <f>'2 REPAIR ESTIMATOR'!AM817</f>
        <v>0</v>
      </c>
      <c r="U770" s="32">
        <f t="shared" si="117"/>
        <v>0</v>
      </c>
      <c r="V770" s="32">
        <f>'2 REPAIR ESTIMATOR'!AG817</f>
        <v>0</v>
      </c>
      <c r="W770" s="32">
        <f>'2 REPAIR ESTIMATOR'!AJ817</f>
        <v>0</v>
      </c>
    </row>
    <row r="771" spans="3:23" ht="18" hidden="1">
      <c r="C771" s="3720" t="str">
        <f>T('2 REPAIR ESTIMATOR'!D818:O818)</f>
        <v/>
      </c>
      <c r="D771" s="3721"/>
      <c r="E771" s="3721"/>
      <c r="F771" s="3721"/>
      <c r="G771" s="3721"/>
      <c r="H771" s="3721"/>
      <c r="I771" s="916">
        <f>'2 REPAIR ESTIMATOR'!P818</f>
        <v>0</v>
      </c>
      <c r="J771" s="917">
        <f>'2 REPAIR ESTIMATOR'!S818</f>
        <v>0</v>
      </c>
      <c r="K771" s="918">
        <f t="shared" si="113"/>
        <v>0</v>
      </c>
      <c r="L771" s="918">
        <f t="shared" si="114"/>
        <v>0</v>
      </c>
      <c r="M771" s="918">
        <f t="shared" si="115"/>
        <v>0</v>
      </c>
      <c r="N771" s="3719">
        <f t="shared" si="116"/>
        <v>0</v>
      </c>
      <c r="O771" s="3719"/>
      <c r="P771" s="490">
        <f t="shared" si="99"/>
        <v>0</v>
      </c>
      <c r="S771" s="32">
        <f>'2 REPAIR ESTIMATOR'!AD818</f>
        <v>0</v>
      </c>
      <c r="T771" s="32">
        <f>'2 REPAIR ESTIMATOR'!AM818</f>
        <v>0</v>
      </c>
      <c r="U771" s="32">
        <f t="shared" si="117"/>
        <v>0</v>
      </c>
      <c r="V771" s="32">
        <f>'2 REPAIR ESTIMATOR'!AG818</f>
        <v>0</v>
      </c>
      <c r="W771" s="32">
        <f>'2 REPAIR ESTIMATOR'!AJ818</f>
        <v>0</v>
      </c>
    </row>
    <row r="772" spans="3:23" ht="18" hidden="1">
      <c r="C772" s="3720" t="str">
        <f>T('2 REPAIR ESTIMATOR'!D819:O819)</f>
        <v>Hardwood Floor Refinishing</v>
      </c>
      <c r="D772" s="3721"/>
      <c r="E772" s="3721"/>
      <c r="F772" s="3721"/>
      <c r="G772" s="3721"/>
      <c r="H772" s="3721"/>
      <c r="I772" s="916">
        <f>'2 REPAIR ESTIMATOR'!P819</f>
        <v>0</v>
      </c>
      <c r="J772" s="917">
        <f>'2 REPAIR ESTIMATOR'!S819</f>
        <v>0</v>
      </c>
      <c r="K772" s="918">
        <f t="shared" si="113"/>
        <v>0</v>
      </c>
      <c r="L772" s="918">
        <f t="shared" si="114"/>
        <v>0</v>
      </c>
      <c r="M772" s="918">
        <f t="shared" si="115"/>
        <v>0</v>
      </c>
      <c r="N772" s="3719">
        <f t="shared" si="116"/>
        <v>0</v>
      </c>
      <c r="O772" s="3719"/>
      <c r="P772" s="490">
        <f t="shared" si="99"/>
        <v>0</v>
      </c>
      <c r="S772" s="32">
        <f>'2 REPAIR ESTIMATOR'!AD819</f>
        <v>0</v>
      </c>
      <c r="T772" s="32">
        <f>'2 REPAIR ESTIMATOR'!AM819</f>
        <v>0</v>
      </c>
      <c r="U772" s="32">
        <f t="shared" si="117"/>
        <v>0</v>
      </c>
      <c r="V772" s="32">
        <f>'2 REPAIR ESTIMATOR'!AG819</f>
        <v>0</v>
      </c>
      <c r="W772" s="32">
        <f>'2 REPAIR ESTIMATOR'!AJ819</f>
        <v>0</v>
      </c>
    </row>
    <row r="773" spans="3:23" ht="18" hidden="1">
      <c r="C773" s="3720" t="str">
        <f>T('2 REPAIR ESTIMATOR'!D820:O820)</f>
        <v>Floor refinishing</v>
      </c>
      <c r="D773" s="3721"/>
      <c r="E773" s="3721"/>
      <c r="F773" s="3721"/>
      <c r="G773" s="3721"/>
      <c r="H773" s="3721"/>
      <c r="I773" s="916">
        <f>'2 REPAIR ESTIMATOR'!P820</f>
        <v>0</v>
      </c>
      <c r="J773" s="917" t="str">
        <f>'2 REPAIR ESTIMATOR'!S820</f>
        <v>sf</v>
      </c>
      <c r="K773" s="918">
        <f t="shared" si="113"/>
        <v>0</v>
      </c>
      <c r="L773" s="918">
        <f t="shared" si="114"/>
        <v>0</v>
      </c>
      <c r="M773" s="918">
        <f t="shared" si="115"/>
        <v>0</v>
      </c>
      <c r="N773" s="3719">
        <f t="shared" si="116"/>
        <v>0</v>
      </c>
      <c r="O773" s="3719"/>
      <c r="P773" s="490">
        <f t="shared" si="99"/>
        <v>0</v>
      </c>
      <c r="S773" s="32">
        <f>'2 REPAIR ESTIMATOR'!AD820</f>
        <v>0</v>
      </c>
      <c r="T773" s="32">
        <f>'2 REPAIR ESTIMATOR'!AM820</f>
        <v>0</v>
      </c>
      <c r="U773" s="32">
        <f t="shared" si="117"/>
        <v>0</v>
      </c>
      <c r="V773" s="32">
        <f>'2 REPAIR ESTIMATOR'!AG820</f>
        <v>0</v>
      </c>
      <c r="W773" s="32">
        <f>'2 REPAIR ESTIMATOR'!AJ820</f>
        <v>0</v>
      </c>
    </row>
    <row r="774" spans="3:23" ht="18" hidden="1">
      <c r="C774" s="3720" t="str">
        <f>T('2 REPAIR ESTIMATOR'!D821:O821)</f>
        <v>Lacing new hardwood to match existing, case-by-case</v>
      </c>
      <c r="D774" s="3721"/>
      <c r="E774" s="3721"/>
      <c r="F774" s="3721"/>
      <c r="G774" s="3721"/>
      <c r="H774" s="3721"/>
      <c r="I774" s="916">
        <f>'2 REPAIR ESTIMATOR'!P821</f>
        <v>0</v>
      </c>
      <c r="J774" s="917" t="str">
        <f>'2 REPAIR ESTIMATOR'!S821</f>
        <v>sf</v>
      </c>
      <c r="K774" s="918">
        <f t="shared" si="113"/>
        <v>0</v>
      </c>
      <c r="L774" s="918">
        <f t="shared" si="114"/>
        <v>0</v>
      </c>
      <c r="M774" s="918">
        <f t="shared" si="115"/>
        <v>0</v>
      </c>
      <c r="N774" s="3719">
        <f t="shared" si="116"/>
        <v>0</v>
      </c>
      <c r="O774" s="3719"/>
      <c r="P774" s="490">
        <f t="shared" si="99"/>
        <v>0</v>
      </c>
      <c r="S774" s="32">
        <f>'2 REPAIR ESTIMATOR'!AD821</f>
        <v>0</v>
      </c>
      <c r="T774" s="32">
        <f>'2 REPAIR ESTIMATOR'!AM821</f>
        <v>0</v>
      </c>
      <c r="U774" s="32">
        <f t="shared" si="117"/>
        <v>0</v>
      </c>
      <c r="V774" s="32">
        <f>'2 REPAIR ESTIMATOR'!AG821</f>
        <v>0</v>
      </c>
      <c r="W774" s="32">
        <f>'2 REPAIR ESTIMATOR'!AJ821</f>
        <v>0</v>
      </c>
    </row>
    <row r="775" spans="3:23" ht="18" hidden="1">
      <c r="C775" s="3720" t="str">
        <f>T('2 REPAIR ESTIMATOR'!D822:O822)</f>
        <v/>
      </c>
      <c r="D775" s="3721"/>
      <c r="E775" s="3721"/>
      <c r="F775" s="3721"/>
      <c r="G775" s="3721"/>
      <c r="H775" s="3721"/>
      <c r="I775" s="916">
        <f>'2 REPAIR ESTIMATOR'!P822</f>
        <v>0</v>
      </c>
      <c r="J775" s="917">
        <f>'2 REPAIR ESTIMATOR'!S822</f>
        <v>0</v>
      </c>
      <c r="K775" s="918">
        <f t="shared" si="113"/>
        <v>0</v>
      </c>
      <c r="L775" s="918">
        <f t="shared" si="114"/>
        <v>0</v>
      </c>
      <c r="M775" s="918">
        <f t="shared" si="115"/>
        <v>0</v>
      </c>
      <c r="N775" s="3719">
        <f t="shared" si="116"/>
        <v>0</v>
      </c>
      <c r="O775" s="3719"/>
      <c r="P775" s="490">
        <f t="shared" si="99"/>
        <v>0</v>
      </c>
      <c r="S775" s="32">
        <f>'2 REPAIR ESTIMATOR'!AD822</f>
        <v>0</v>
      </c>
      <c r="T775" s="32">
        <f>'2 REPAIR ESTIMATOR'!AM822</f>
        <v>0</v>
      </c>
      <c r="U775" s="32">
        <f t="shared" si="117"/>
        <v>0</v>
      </c>
      <c r="V775" s="32">
        <f>'2 REPAIR ESTIMATOR'!AG822</f>
        <v>0</v>
      </c>
      <c r="W775" s="32">
        <f>'2 REPAIR ESTIMATOR'!AJ822</f>
        <v>0</v>
      </c>
    </row>
    <row r="776" spans="3:23" ht="18" hidden="1">
      <c r="C776" s="3720" t="str">
        <f>T('2 REPAIR ESTIMATOR'!D823:O823)</f>
        <v>Miscellaneous</v>
      </c>
      <c r="D776" s="3721"/>
      <c r="E776" s="3721"/>
      <c r="F776" s="3721"/>
      <c r="G776" s="3721"/>
      <c r="H776" s="3721"/>
      <c r="I776" s="916">
        <f>'2 REPAIR ESTIMATOR'!P823</f>
        <v>0</v>
      </c>
      <c r="J776" s="917">
        <f>'2 REPAIR ESTIMATOR'!S823</f>
        <v>0</v>
      </c>
      <c r="K776" s="918">
        <f t="shared" si="113"/>
        <v>0</v>
      </c>
      <c r="L776" s="918">
        <f t="shared" si="114"/>
        <v>0</v>
      </c>
      <c r="M776" s="918">
        <f t="shared" si="115"/>
        <v>0</v>
      </c>
      <c r="N776" s="3719">
        <f t="shared" si="116"/>
        <v>0</v>
      </c>
      <c r="O776" s="3719"/>
      <c r="P776" s="490">
        <f t="shared" si="99"/>
        <v>0</v>
      </c>
      <c r="S776" s="32">
        <f>'2 REPAIR ESTIMATOR'!AD823</f>
        <v>0</v>
      </c>
      <c r="T776" s="32">
        <f>'2 REPAIR ESTIMATOR'!AM823</f>
        <v>0</v>
      </c>
      <c r="U776" s="32">
        <f t="shared" si="117"/>
        <v>0</v>
      </c>
      <c r="V776" s="32">
        <f>'2 REPAIR ESTIMATOR'!AG823</f>
        <v>0</v>
      </c>
      <c r="W776" s="32">
        <f>'2 REPAIR ESTIMATOR'!AJ823</f>
        <v>0</v>
      </c>
    </row>
    <row r="777" spans="3:23" ht="18" hidden="1">
      <c r="C777" s="3720" t="str">
        <f>T('2 REPAIR ESTIMATOR'!D824:O824)</f>
        <v>Stair treads, 4ft avg</v>
      </c>
      <c r="D777" s="3721"/>
      <c r="E777" s="3721"/>
      <c r="F777" s="3721"/>
      <c r="G777" s="3721"/>
      <c r="H777" s="3721"/>
      <c r="I777" s="916">
        <f>'2 REPAIR ESTIMATOR'!P824</f>
        <v>0</v>
      </c>
      <c r="J777" s="917" t="str">
        <f>'2 REPAIR ESTIMATOR'!S824</f>
        <v>ea</v>
      </c>
      <c r="K777" s="918">
        <f t="shared" si="113"/>
        <v>0</v>
      </c>
      <c r="L777" s="918">
        <f t="shared" si="114"/>
        <v>0</v>
      </c>
      <c r="M777" s="918">
        <f t="shared" si="115"/>
        <v>0</v>
      </c>
      <c r="N777" s="3719">
        <f t="shared" si="116"/>
        <v>0</v>
      </c>
      <c r="O777" s="3719"/>
      <c r="P777" s="490">
        <f t="shared" si="99"/>
        <v>0</v>
      </c>
      <c r="S777" s="32">
        <f>'2 REPAIR ESTIMATOR'!AD824</f>
        <v>0</v>
      </c>
      <c r="T777" s="32">
        <f>'2 REPAIR ESTIMATOR'!AM824</f>
        <v>0</v>
      </c>
      <c r="U777" s="32">
        <f t="shared" si="117"/>
        <v>0</v>
      </c>
      <c r="V777" s="32">
        <f>'2 REPAIR ESTIMATOR'!AG824</f>
        <v>0</v>
      </c>
      <c r="W777" s="32">
        <f>'2 REPAIR ESTIMATOR'!AJ824</f>
        <v>0</v>
      </c>
    </row>
    <row r="778" spans="3:23" ht="18" hidden="1">
      <c r="C778" s="3720" t="str">
        <f>T('2 REPAIR ESTIMATOR'!D825:O825)</f>
        <v>Shoe moldings</v>
      </c>
      <c r="D778" s="3721"/>
      <c r="E778" s="3721"/>
      <c r="F778" s="3721"/>
      <c r="G778" s="3721"/>
      <c r="H778" s="3721"/>
      <c r="I778" s="916">
        <f>'2 REPAIR ESTIMATOR'!P825</f>
        <v>0</v>
      </c>
      <c r="J778" s="917" t="str">
        <f>'2 REPAIR ESTIMATOR'!S825</f>
        <v>lf</v>
      </c>
      <c r="K778" s="918">
        <f t="shared" si="113"/>
        <v>0</v>
      </c>
      <c r="L778" s="918">
        <f t="shared" si="114"/>
        <v>0</v>
      </c>
      <c r="M778" s="918">
        <f t="shared" si="115"/>
        <v>0</v>
      </c>
      <c r="N778" s="3719">
        <f t="shared" si="116"/>
        <v>0</v>
      </c>
      <c r="O778" s="3719"/>
      <c r="P778" s="490">
        <f t="shared" si="99"/>
        <v>0</v>
      </c>
      <c r="S778" s="32">
        <f>'2 REPAIR ESTIMATOR'!AD825</f>
        <v>0</v>
      </c>
      <c r="T778" s="32">
        <f>'2 REPAIR ESTIMATOR'!AM825</f>
        <v>0</v>
      </c>
      <c r="U778" s="32">
        <f t="shared" si="117"/>
        <v>0</v>
      </c>
      <c r="V778" s="32">
        <f>'2 REPAIR ESTIMATOR'!AG825</f>
        <v>0</v>
      </c>
      <c r="W778" s="32">
        <f>'2 REPAIR ESTIMATOR'!AJ825</f>
        <v>0</v>
      </c>
    </row>
    <row r="779" spans="3:23" ht="18" hidden="1">
      <c r="C779" s="3720" t="str">
        <f>T('2 REPAIR ESTIMATOR'!D826:O826)</f>
        <v>Underlayment</v>
      </c>
      <c r="D779" s="3721"/>
      <c r="E779" s="3721"/>
      <c r="F779" s="3721"/>
      <c r="G779" s="3721"/>
      <c r="H779" s="3721"/>
      <c r="I779" s="916">
        <f>'2 REPAIR ESTIMATOR'!P826</f>
        <v>0</v>
      </c>
      <c r="J779" s="917" t="str">
        <f>'2 REPAIR ESTIMATOR'!S826</f>
        <v>sf</v>
      </c>
      <c r="K779" s="918">
        <f t="shared" si="113"/>
        <v>0</v>
      </c>
      <c r="L779" s="918">
        <f t="shared" si="114"/>
        <v>0</v>
      </c>
      <c r="M779" s="918">
        <f t="shared" si="115"/>
        <v>0</v>
      </c>
      <c r="N779" s="3719">
        <f t="shared" si="116"/>
        <v>0</v>
      </c>
      <c r="O779" s="3719"/>
      <c r="P779" s="490">
        <f t="shared" si="99"/>
        <v>0</v>
      </c>
      <c r="S779" s="32">
        <f>'2 REPAIR ESTIMATOR'!AD826</f>
        <v>0</v>
      </c>
      <c r="T779" s="32">
        <f>'2 REPAIR ESTIMATOR'!AM826</f>
        <v>0</v>
      </c>
      <c r="U779" s="32">
        <f t="shared" si="117"/>
        <v>0</v>
      </c>
      <c r="V779" s="32">
        <f>'2 REPAIR ESTIMATOR'!AG826</f>
        <v>0</v>
      </c>
      <c r="W779" s="32">
        <f>'2 REPAIR ESTIMATOR'!AJ826</f>
        <v>0</v>
      </c>
    </row>
    <row r="780" spans="3:23" ht="18" hidden="1">
      <c r="C780" s="3720" t="str">
        <f>T('2 REPAIR ESTIMATOR'!D827:O827)</f>
        <v/>
      </c>
      <c r="D780" s="3721"/>
      <c r="E780" s="3721"/>
      <c r="F780" s="3721"/>
      <c r="G780" s="3721"/>
      <c r="H780" s="3721"/>
      <c r="I780" s="916">
        <f>'2 REPAIR ESTIMATOR'!P827</f>
        <v>0</v>
      </c>
      <c r="J780" s="917">
        <f>'2 REPAIR ESTIMATOR'!S827</f>
        <v>0</v>
      </c>
      <c r="K780" s="918">
        <f t="shared" si="113"/>
        <v>0</v>
      </c>
      <c r="L780" s="918">
        <f t="shared" si="114"/>
        <v>0</v>
      </c>
      <c r="M780" s="918">
        <f t="shared" si="115"/>
        <v>0</v>
      </c>
      <c r="N780" s="3719">
        <f t="shared" si="116"/>
        <v>0</v>
      </c>
      <c r="O780" s="3719"/>
      <c r="P780" s="490">
        <f t="shared" si="99"/>
        <v>0</v>
      </c>
      <c r="S780" s="32">
        <f>'2 REPAIR ESTIMATOR'!AD827</f>
        <v>0</v>
      </c>
      <c r="T780" s="32">
        <f>'2 REPAIR ESTIMATOR'!AM827</f>
        <v>0</v>
      </c>
      <c r="U780" s="32">
        <f t="shared" si="117"/>
        <v>0</v>
      </c>
      <c r="V780" s="32">
        <f>'2 REPAIR ESTIMATOR'!AG827</f>
        <v>0</v>
      </c>
      <c r="W780" s="32">
        <f>'2 REPAIR ESTIMATOR'!AJ827</f>
        <v>0</v>
      </c>
    </row>
    <row r="781" spans="3:23" ht="18" hidden="1">
      <c r="C781" s="3720" t="str">
        <f>T('2 REPAIR ESTIMATOR'!D828:O828)</f>
        <v/>
      </c>
      <c r="D781" s="3721"/>
      <c r="E781" s="3721"/>
      <c r="F781" s="3721"/>
      <c r="G781" s="3721"/>
      <c r="H781" s="3721"/>
      <c r="I781" s="916">
        <f>'2 REPAIR ESTIMATOR'!P828</f>
        <v>0</v>
      </c>
      <c r="J781" s="917">
        <f>'2 REPAIR ESTIMATOR'!S828</f>
        <v>0</v>
      </c>
      <c r="K781" s="918">
        <f t="shared" si="113"/>
        <v>0</v>
      </c>
      <c r="L781" s="918">
        <f t="shared" si="114"/>
        <v>0</v>
      </c>
      <c r="M781" s="918">
        <f t="shared" si="115"/>
        <v>0</v>
      </c>
      <c r="N781" s="3719">
        <f t="shared" si="116"/>
        <v>0</v>
      </c>
      <c r="O781" s="3719"/>
      <c r="P781" s="490">
        <f t="shared" ref="P781:P800" si="118">I781</f>
        <v>0</v>
      </c>
      <c r="S781" s="32">
        <f>'2 REPAIR ESTIMATOR'!AD828</f>
        <v>0</v>
      </c>
      <c r="T781" s="32">
        <f>'2 REPAIR ESTIMATOR'!AM828</f>
        <v>0</v>
      </c>
      <c r="U781" s="32">
        <f t="shared" si="117"/>
        <v>0</v>
      </c>
      <c r="V781" s="32">
        <f>'2 REPAIR ESTIMATOR'!AG828</f>
        <v>0</v>
      </c>
      <c r="W781" s="32">
        <f>'2 REPAIR ESTIMATOR'!AJ828</f>
        <v>0</v>
      </c>
    </row>
    <row r="782" spans="3:23" ht="18" hidden="1">
      <c r="C782" s="3720" t="str">
        <f>T('2 REPAIR ESTIMATOR'!D829:O829)</f>
        <v/>
      </c>
      <c r="D782" s="3721"/>
      <c r="E782" s="3721"/>
      <c r="F782" s="3721"/>
      <c r="G782" s="3721"/>
      <c r="H782" s="3721"/>
      <c r="I782" s="916">
        <f>'2 REPAIR ESTIMATOR'!P829</f>
        <v>0</v>
      </c>
      <c r="J782" s="917">
        <f>'2 REPAIR ESTIMATOR'!S829</f>
        <v>0</v>
      </c>
      <c r="K782" s="918">
        <f t="shared" si="113"/>
        <v>0</v>
      </c>
      <c r="L782" s="918">
        <f t="shared" si="114"/>
        <v>0</v>
      </c>
      <c r="M782" s="918">
        <f t="shared" si="115"/>
        <v>0</v>
      </c>
      <c r="N782" s="3719">
        <f t="shared" si="116"/>
        <v>0</v>
      </c>
      <c r="O782" s="3719"/>
      <c r="P782" s="490">
        <f t="shared" si="118"/>
        <v>0</v>
      </c>
      <c r="S782" s="32">
        <f>'2 REPAIR ESTIMATOR'!AD829</f>
        <v>0</v>
      </c>
      <c r="T782" s="32">
        <f>'2 REPAIR ESTIMATOR'!AM829</f>
        <v>0</v>
      </c>
      <c r="U782" s="32">
        <f t="shared" si="117"/>
        <v>0</v>
      </c>
      <c r="V782" s="32">
        <f>'2 REPAIR ESTIMATOR'!AG829</f>
        <v>0</v>
      </c>
      <c r="W782" s="32">
        <f>'2 REPAIR ESTIMATOR'!AJ829</f>
        <v>0</v>
      </c>
    </row>
    <row r="783" spans="3:23" ht="18" hidden="1">
      <c r="C783" s="3720" t="str">
        <f>T('2 REPAIR ESTIMATOR'!D830:O830)</f>
        <v/>
      </c>
      <c r="D783" s="3721"/>
      <c r="E783" s="3721"/>
      <c r="F783" s="3721"/>
      <c r="G783" s="3721"/>
      <c r="H783" s="3721"/>
      <c r="I783" s="916">
        <f>'2 REPAIR ESTIMATOR'!P830</f>
        <v>0</v>
      </c>
      <c r="J783" s="917">
        <f>'2 REPAIR ESTIMATOR'!S830</f>
        <v>0</v>
      </c>
      <c r="K783" s="918">
        <f t="shared" si="113"/>
        <v>0</v>
      </c>
      <c r="L783" s="918">
        <f t="shared" si="114"/>
        <v>0</v>
      </c>
      <c r="M783" s="918">
        <f t="shared" si="115"/>
        <v>0</v>
      </c>
      <c r="N783" s="3719">
        <f t="shared" si="116"/>
        <v>0</v>
      </c>
      <c r="O783" s="3719"/>
      <c r="P783" s="490">
        <f t="shared" si="118"/>
        <v>0</v>
      </c>
      <c r="S783" s="32">
        <f>'2 REPAIR ESTIMATOR'!AD830</f>
        <v>0</v>
      </c>
      <c r="T783" s="32">
        <f>'2 REPAIR ESTIMATOR'!AM830</f>
        <v>0</v>
      </c>
      <c r="U783" s="32">
        <f t="shared" si="117"/>
        <v>0</v>
      </c>
      <c r="V783" s="32">
        <f>'2 REPAIR ESTIMATOR'!AG830</f>
        <v>0</v>
      </c>
      <c r="W783" s="32">
        <f>'2 REPAIR ESTIMATOR'!AJ830</f>
        <v>0</v>
      </c>
    </row>
    <row r="784" spans="3:23" ht="18" hidden="1">
      <c r="C784" s="3720" t="str">
        <f>T('2 REPAIR ESTIMATOR'!D831:O831)</f>
        <v/>
      </c>
      <c r="D784" s="3721"/>
      <c r="E784" s="3721"/>
      <c r="F784" s="3721"/>
      <c r="G784" s="3721"/>
      <c r="H784" s="3721"/>
      <c r="I784" s="916">
        <f>'2 REPAIR ESTIMATOR'!P831</f>
        <v>0</v>
      </c>
      <c r="J784" s="917">
        <f>'2 REPAIR ESTIMATOR'!S831</f>
        <v>0</v>
      </c>
      <c r="K784" s="918">
        <f t="shared" si="113"/>
        <v>0</v>
      </c>
      <c r="L784" s="918">
        <f t="shared" si="114"/>
        <v>0</v>
      </c>
      <c r="M784" s="918">
        <f t="shared" si="115"/>
        <v>0</v>
      </c>
      <c r="N784" s="3719">
        <f t="shared" si="116"/>
        <v>0</v>
      </c>
      <c r="O784" s="3719"/>
      <c r="P784" s="490">
        <f t="shared" si="118"/>
        <v>0</v>
      </c>
      <c r="S784" s="32">
        <f>'2 REPAIR ESTIMATOR'!AD831</f>
        <v>0</v>
      </c>
      <c r="T784" s="32">
        <f>'2 REPAIR ESTIMATOR'!AM831</f>
        <v>0</v>
      </c>
      <c r="U784" s="32">
        <f t="shared" si="117"/>
        <v>0</v>
      </c>
      <c r="V784" s="32">
        <f>'2 REPAIR ESTIMATOR'!AG831</f>
        <v>0</v>
      </c>
      <c r="W784" s="32">
        <f>'2 REPAIR ESTIMATOR'!AJ831</f>
        <v>0</v>
      </c>
    </row>
    <row r="785" spans="3:23" ht="18" hidden="1">
      <c r="C785" s="3720" t="str">
        <f>T('2 REPAIR ESTIMATOR'!D832:O832)</f>
        <v/>
      </c>
      <c r="D785" s="3721"/>
      <c r="E785" s="3721"/>
      <c r="F785" s="3721"/>
      <c r="G785" s="3721"/>
      <c r="H785" s="3721"/>
      <c r="I785" s="916">
        <f>'2 REPAIR ESTIMATOR'!P832</f>
        <v>0</v>
      </c>
      <c r="J785" s="917">
        <f>'2 REPAIR ESTIMATOR'!S832</f>
        <v>0</v>
      </c>
      <c r="K785" s="918">
        <f t="shared" si="113"/>
        <v>0</v>
      </c>
      <c r="L785" s="918">
        <f t="shared" si="114"/>
        <v>0</v>
      </c>
      <c r="M785" s="918">
        <f t="shared" si="115"/>
        <v>0</v>
      </c>
      <c r="N785" s="3719">
        <f t="shared" si="116"/>
        <v>0</v>
      </c>
      <c r="O785" s="3719"/>
      <c r="P785" s="490">
        <f t="shared" si="118"/>
        <v>0</v>
      </c>
      <c r="S785" s="32">
        <f>'2 REPAIR ESTIMATOR'!AD832</f>
        <v>0</v>
      </c>
      <c r="T785" s="32">
        <f>'2 REPAIR ESTIMATOR'!AM832</f>
        <v>0</v>
      </c>
      <c r="U785" s="32">
        <f t="shared" si="117"/>
        <v>0</v>
      </c>
      <c r="V785" s="32">
        <f>'2 REPAIR ESTIMATOR'!AG832</f>
        <v>0</v>
      </c>
      <c r="W785" s="32">
        <f>'2 REPAIR ESTIMATOR'!AJ832</f>
        <v>0</v>
      </c>
    </row>
    <row r="786" spans="3:23" ht="18" hidden="1">
      <c r="C786" s="3720" t="str">
        <f>T('2 REPAIR ESTIMATOR'!D833:O833)</f>
        <v/>
      </c>
      <c r="D786" s="3721"/>
      <c r="E786" s="3721"/>
      <c r="F786" s="3721"/>
      <c r="G786" s="3721"/>
      <c r="H786" s="3721"/>
      <c r="I786" s="916">
        <f>'2 REPAIR ESTIMATOR'!P833</f>
        <v>0</v>
      </c>
      <c r="J786" s="917">
        <f>'2 REPAIR ESTIMATOR'!S833</f>
        <v>0</v>
      </c>
      <c r="K786" s="918">
        <f t="shared" si="113"/>
        <v>0</v>
      </c>
      <c r="L786" s="918">
        <f t="shared" si="114"/>
        <v>0</v>
      </c>
      <c r="M786" s="918">
        <f t="shared" si="115"/>
        <v>0</v>
      </c>
      <c r="N786" s="3719">
        <f t="shared" si="116"/>
        <v>0</v>
      </c>
      <c r="O786" s="3719"/>
      <c r="P786" s="490">
        <f t="shared" si="118"/>
        <v>0</v>
      </c>
      <c r="S786" s="32">
        <f>'2 REPAIR ESTIMATOR'!AD833</f>
        <v>0</v>
      </c>
      <c r="T786" s="32">
        <f>'2 REPAIR ESTIMATOR'!AM833</f>
        <v>0</v>
      </c>
      <c r="U786" s="32">
        <f t="shared" si="117"/>
        <v>0</v>
      </c>
      <c r="V786" s="32">
        <f>'2 REPAIR ESTIMATOR'!AG833</f>
        <v>0</v>
      </c>
      <c r="W786" s="32">
        <f>'2 REPAIR ESTIMATOR'!AJ833</f>
        <v>0</v>
      </c>
    </row>
    <row r="787" spans="3:23" ht="18" hidden="1">
      <c r="C787" s="3720" t="str">
        <f>T('2 REPAIR ESTIMATOR'!D834:O834)</f>
        <v/>
      </c>
      <c r="D787" s="3721"/>
      <c r="E787" s="3721"/>
      <c r="F787" s="3721"/>
      <c r="G787" s="3721"/>
      <c r="H787" s="3721"/>
      <c r="I787" s="916">
        <f>'2 REPAIR ESTIMATOR'!P834</f>
        <v>0</v>
      </c>
      <c r="J787" s="917">
        <f>'2 REPAIR ESTIMATOR'!S834</f>
        <v>0</v>
      </c>
      <c r="K787" s="918">
        <f t="shared" si="113"/>
        <v>0</v>
      </c>
      <c r="L787" s="918">
        <f t="shared" si="114"/>
        <v>0</v>
      </c>
      <c r="M787" s="918">
        <f t="shared" si="115"/>
        <v>0</v>
      </c>
      <c r="N787" s="3719">
        <f t="shared" si="116"/>
        <v>0</v>
      </c>
      <c r="O787" s="3719"/>
      <c r="P787" s="490">
        <f t="shared" si="118"/>
        <v>0</v>
      </c>
      <c r="S787" s="32">
        <f>'2 REPAIR ESTIMATOR'!AD834</f>
        <v>0</v>
      </c>
      <c r="T787" s="32">
        <f>'2 REPAIR ESTIMATOR'!AM834</f>
        <v>0</v>
      </c>
      <c r="U787" s="32">
        <f t="shared" si="117"/>
        <v>0</v>
      </c>
      <c r="V787" s="32">
        <f>'2 REPAIR ESTIMATOR'!AG834</f>
        <v>0</v>
      </c>
      <c r="W787" s="32">
        <f>'2 REPAIR ESTIMATOR'!AJ834</f>
        <v>0</v>
      </c>
    </row>
    <row r="788" spans="3:23" ht="18" hidden="1">
      <c r="C788" s="3720" t="str">
        <f>T('2 REPAIR ESTIMATOR'!D835:O835)</f>
        <v/>
      </c>
      <c r="D788" s="3721"/>
      <c r="E788" s="3721"/>
      <c r="F788" s="3721"/>
      <c r="G788" s="3721"/>
      <c r="H788" s="3721"/>
      <c r="I788" s="916">
        <f>'2 REPAIR ESTIMATOR'!P835</f>
        <v>0</v>
      </c>
      <c r="J788" s="917">
        <f>'2 REPAIR ESTIMATOR'!S835</f>
        <v>0</v>
      </c>
      <c r="K788" s="918">
        <f t="shared" si="113"/>
        <v>0</v>
      </c>
      <c r="L788" s="918">
        <f t="shared" si="114"/>
        <v>0</v>
      </c>
      <c r="M788" s="918">
        <f t="shared" si="115"/>
        <v>0</v>
      </c>
      <c r="N788" s="3719">
        <f t="shared" si="116"/>
        <v>0</v>
      </c>
      <c r="O788" s="3719"/>
      <c r="P788" s="490">
        <f t="shared" si="118"/>
        <v>0</v>
      </c>
      <c r="S788" s="32">
        <f>'2 REPAIR ESTIMATOR'!AD835</f>
        <v>0</v>
      </c>
      <c r="T788" s="32">
        <f>'2 REPAIR ESTIMATOR'!AM835</f>
        <v>0</v>
      </c>
      <c r="U788" s="32">
        <f t="shared" si="117"/>
        <v>0</v>
      </c>
      <c r="V788" s="32">
        <f>'2 REPAIR ESTIMATOR'!AG835</f>
        <v>0</v>
      </c>
      <c r="W788" s="32">
        <f>'2 REPAIR ESTIMATOR'!AJ835</f>
        <v>0</v>
      </c>
    </row>
    <row r="789" spans="3:23" ht="18" hidden="1">
      <c r="C789" s="3720" t="str">
        <f>T('2 REPAIR ESTIMATOR'!D836:O836)</f>
        <v/>
      </c>
      <c r="D789" s="3721"/>
      <c r="E789" s="3721"/>
      <c r="F789" s="3721"/>
      <c r="G789" s="3721"/>
      <c r="H789" s="3721"/>
      <c r="I789" s="916">
        <f>'2 REPAIR ESTIMATOR'!P836</f>
        <v>0</v>
      </c>
      <c r="J789" s="917">
        <f>'2 REPAIR ESTIMATOR'!S836</f>
        <v>0</v>
      </c>
      <c r="K789" s="918">
        <f t="shared" si="113"/>
        <v>0</v>
      </c>
      <c r="L789" s="918">
        <f t="shared" si="114"/>
        <v>0</v>
      </c>
      <c r="M789" s="918">
        <f t="shared" si="115"/>
        <v>0</v>
      </c>
      <c r="N789" s="3719">
        <f t="shared" si="116"/>
        <v>0</v>
      </c>
      <c r="O789" s="3719"/>
      <c r="P789" s="490">
        <f t="shared" si="118"/>
        <v>0</v>
      </c>
      <c r="S789" s="32">
        <f>'2 REPAIR ESTIMATOR'!AD836</f>
        <v>0</v>
      </c>
      <c r="T789" s="32">
        <f>'2 REPAIR ESTIMATOR'!AM836</f>
        <v>0</v>
      </c>
      <c r="U789" s="32">
        <f t="shared" si="117"/>
        <v>0</v>
      </c>
      <c r="V789" s="32">
        <f>'2 REPAIR ESTIMATOR'!AG836</f>
        <v>0</v>
      </c>
      <c r="W789" s="32">
        <f>'2 REPAIR ESTIMATOR'!AJ836</f>
        <v>0</v>
      </c>
    </row>
    <row r="790" spans="3:23" ht="18" hidden="1">
      <c r="C790" s="3720" t="str">
        <f>T('2 REPAIR ESTIMATOR'!D837:O837)</f>
        <v/>
      </c>
      <c r="D790" s="3721"/>
      <c r="E790" s="3721"/>
      <c r="F790" s="3721"/>
      <c r="G790" s="3721"/>
      <c r="H790" s="3721"/>
      <c r="I790" s="916">
        <f>'2 REPAIR ESTIMATOR'!P837</f>
        <v>0</v>
      </c>
      <c r="J790" s="917">
        <f>'2 REPAIR ESTIMATOR'!S837</f>
        <v>0</v>
      </c>
      <c r="K790" s="918">
        <f t="shared" si="113"/>
        <v>0</v>
      </c>
      <c r="L790" s="918">
        <f t="shared" si="114"/>
        <v>0</v>
      </c>
      <c r="M790" s="918">
        <f t="shared" si="115"/>
        <v>0</v>
      </c>
      <c r="N790" s="3719">
        <f t="shared" si="116"/>
        <v>0</v>
      </c>
      <c r="O790" s="3719"/>
      <c r="P790" s="490">
        <f t="shared" si="118"/>
        <v>0</v>
      </c>
      <c r="S790" s="32">
        <f>'2 REPAIR ESTIMATOR'!AD837</f>
        <v>0</v>
      </c>
      <c r="T790" s="32">
        <f>'2 REPAIR ESTIMATOR'!AM837</f>
        <v>0</v>
      </c>
      <c r="U790" s="32">
        <f t="shared" si="117"/>
        <v>0</v>
      </c>
      <c r="V790" s="32">
        <f>'2 REPAIR ESTIMATOR'!AG837</f>
        <v>0</v>
      </c>
      <c r="W790" s="32">
        <f>'2 REPAIR ESTIMATOR'!AJ837</f>
        <v>0</v>
      </c>
    </row>
    <row r="791" spans="3:23" ht="18" hidden="1">
      <c r="C791" s="3720" t="str">
        <f>T('2 REPAIR ESTIMATOR'!D838:O838)</f>
        <v/>
      </c>
      <c r="D791" s="3721"/>
      <c r="E791" s="3721"/>
      <c r="F791" s="3721"/>
      <c r="G791" s="3721"/>
      <c r="H791" s="3721"/>
      <c r="I791" s="916">
        <f>'2 REPAIR ESTIMATOR'!P838</f>
        <v>0</v>
      </c>
      <c r="J791" s="917">
        <f>'2 REPAIR ESTIMATOR'!S838</f>
        <v>0</v>
      </c>
      <c r="K791" s="918">
        <f t="shared" si="113"/>
        <v>0</v>
      </c>
      <c r="L791" s="918">
        <f t="shared" si="114"/>
        <v>0</v>
      </c>
      <c r="M791" s="918">
        <f t="shared" si="115"/>
        <v>0</v>
      </c>
      <c r="N791" s="3719">
        <f t="shared" si="116"/>
        <v>0</v>
      </c>
      <c r="O791" s="3719"/>
      <c r="P791" s="490">
        <f t="shared" si="118"/>
        <v>0</v>
      </c>
      <c r="S791" s="32">
        <f>'2 REPAIR ESTIMATOR'!AD838</f>
        <v>0</v>
      </c>
      <c r="T791" s="32">
        <f>'2 REPAIR ESTIMATOR'!AM838</f>
        <v>0</v>
      </c>
      <c r="U791" s="32">
        <f t="shared" si="117"/>
        <v>0</v>
      </c>
      <c r="V791" s="32">
        <f>'2 REPAIR ESTIMATOR'!AG838</f>
        <v>0</v>
      </c>
      <c r="W791" s="32">
        <f>'2 REPAIR ESTIMATOR'!AJ838</f>
        <v>0</v>
      </c>
    </row>
    <row r="792" spans="3:23" ht="18" hidden="1">
      <c r="C792" s="3720" t="str">
        <f>T('2 REPAIR ESTIMATOR'!D839:O839)</f>
        <v/>
      </c>
      <c r="D792" s="3721"/>
      <c r="E792" s="3721"/>
      <c r="F792" s="3721"/>
      <c r="G792" s="3721"/>
      <c r="H792" s="3721"/>
      <c r="I792" s="916">
        <f>'2 REPAIR ESTIMATOR'!P839</f>
        <v>0</v>
      </c>
      <c r="J792" s="917">
        <f>'2 REPAIR ESTIMATOR'!S839</f>
        <v>0</v>
      </c>
      <c r="K792" s="918">
        <f t="shared" si="113"/>
        <v>0</v>
      </c>
      <c r="L792" s="918">
        <f t="shared" si="114"/>
        <v>0</v>
      </c>
      <c r="M792" s="918">
        <f t="shared" si="115"/>
        <v>0</v>
      </c>
      <c r="N792" s="3719">
        <f t="shared" si="116"/>
        <v>0</v>
      </c>
      <c r="O792" s="3719"/>
      <c r="P792" s="490">
        <f t="shared" si="118"/>
        <v>0</v>
      </c>
      <c r="S792" s="32">
        <f>'2 REPAIR ESTIMATOR'!AD839</f>
        <v>0</v>
      </c>
      <c r="T792" s="32">
        <f>'2 REPAIR ESTIMATOR'!AM839</f>
        <v>0</v>
      </c>
      <c r="U792" s="32">
        <f t="shared" si="117"/>
        <v>0</v>
      </c>
      <c r="V792" s="32">
        <f>'2 REPAIR ESTIMATOR'!AG839</f>
        <v>0</v>
      </c>
      <c r="W792" s="32">
        <f>'2 REPAIR ESTIMATOR'!AJ839</f>
        <v>0</v>
      </c>
    </row>
    <row r="793" spans="3:23" ht="18" hidden="1">
      <c r="C793" s="3720" t="str">
        <f>T('2 REPAIR ESTIMATOR'!D840:O840)</f>
        <v/>
      </c>
      <c r="D793" s="3721"/>
      <c r="E793" s="3721"/>
      <c r="F793" s="3721"/>
      <c r="G793" s="3721"/>
      <c r="H793" s="3721"/>
      <c r="I793" s="916">
        <f>'2 REPAIR ESTIMATOR'!P840</f>
        <v>0</v>
      </c>
      <c r="J793" s="917">
        <f>'2 REPAIR ESTIMATOR'!S840</f>
        <v>0</v>
      </c>
      <c r="K793" s="918">
        <f t="shared" si="113"/>
        <v>0</v>
      </c>
      <c r="L793" s="918">
        <f t="shared" si="114"/>
        <v>0</v>
      </c>
      <c r="M793" s="918">
        <f t="shared" si="115"/>
        <v>0</v>
      </c>
      <c r="N793" s="3719">
        <f t="shared" si="116"/>
        <v>0</v>
      </c>
      <c r="O793" s="3719"/>
      <c r="P793" s="490">
        <f t="shared" si="118"/>
        <v>0</v>
      </c>
      <c r="S793" s="32">
        <f>'2 REPAIR ESTIMATOR'!AD840</f>
        <v>0</v>
      </c>
      <c r="T793" s="32">
        <f>'2 REPAIR ESTIMATOR'!AM840</f>
        <v>0</v>
      </c>
      <c r="U793" s="32">
        <f t="shared" si="117"/>
        <v>0</v>
      </c>
      <c r="V793" s="32">
        <f>'2 REPAIR ESTIMATOR'!AG840</f>
        <v>0</v>
      </c>
      <c r="W793" s="32">
        <f>'2 REPAIR ESTIMATOR'!AJ840</f>
        <v>0</v>
      </c>
    </row>
    <row r="794" spans="3:23" ht="18" hidden="1">
      <c r="C794" s="3720" t="str">
        <f>T('2 REPAIR ESTIMATOR'!D841:O841)</f>
        <v/>
      </c>
      <c r="D794" s="3721"/>
      <c r="E794" s="3721"/>
      <c r="F794" s="3721"/>
      <c r="G794" s="3721"/>
      <c r="H794" s="3721"/>
      <c r="I794" s="916">
        <f>'2 REPAIR ESTIMATOR'!P841</f>
        <v>0</v>
      </c>
      <c r="J794" s="917">
        <f>'2 REPAIR ESTIMATOR'!S841</f>
        <v>0</v>
      </c>
      <c r="K794" s="918">
        <f t="shared" si="113"/>
        <v>0</v>
      </c>
      <c r="L794" s="918">
        <f t="shared" si="114"/>
        <v>0</v>
      </c>
      <c r="M794" s="918">
        <f t="shared" si="115"/>
        <v>0</v>
      </c>
      <c r="N794" s="3719">
        <f t="shared" si="116"/>
        <v>0</v>
      </c>
      <c r="O794" s="3719"/>
      <c r="P794" s="490">
        <f t="shared" si="118"/>
        <v>0</v>
      </c>
      <c r="S794" s="32">
        <f>'2 REPAIR ESTIMATOR'!AD841</f>
        <v>0</v>
      </c>
      <c r="T794" s="32">
        <f>'2 REPAIR ESTIMATOR'!AM841</f>
        <v>0</v>
      </c>
      <c r="U794" s="32">
        <f t="shared" si="117"/>
        <v>0</v>
      </c>
      <c r="V794" s="32">
        <f>'2 REPAIR ESTIMATOR'!AG841</f>
        <v>0</v>
      </c>
      <c r="W794" s="32">
        <f>'2 REPAIR ESTIMATOR'!AJ841</f>
        <v>0</v>
      </c>
    </row>
    <row r="795" spans="3:23" ht="18" hidden="1">
      <c r="C795" s="3720" t="str">
        <f>T('2 REPAIR ESTIMATOR'!D842:O842)</f>
        <v/>
      </c>
      <c r="D795" s="3721"/>
      <c r="E795" s="3721"/>
      <c r="F795" s="3721"/>
      <c r="G795" s="3721"/>
      <c r="H795" s="3721"/>
      <c r="I795" s="916">
        <f>'2 REPAIR ESTIMATOR'!P842</f>
        <v>0</v>
      </c>
      <c r="J795" s="917">
        <f>'2 REPAIR ESTIMATOR'!S842</f>
        <v>0</v>
      </c>
      <c r="K795" s="918">
        <f t="shared" si="113"/>
        <v>0</v>
      </c>
      <c r="L795" s="918">
        <f t="shared" si="114"/>
        <v>0</v>
      </c>
      <c r="M795" s="918">
        <f t="shared" si="115"/>
        <v>0</v>
      </c>
      <c r="N795" s="3719">
        <f t="shared" si="116"/>
        <v>0</v>
      </c>
      <c r="O795" s="3719"/>
      <c r="P795" s="490">
        <f t="shared" si="118"/>
        <v>0</v>
      </c>
      <c r="S795" s="32">
        <f>'2 REPAIR ESTIMATOR'!AD842</f>
        <v>0</v>
      </c>
      <c r="T795" s="32">
        <f>'2 REPAIR ESTIMATOR'!AM842</f>
        <v>0</v>
      </c>
      <c r="U795" s="32">
        <f t="shared" si="117"/>
        <v>0</v>
      </c>
      <c r="V795" s="32">
        <f>'2 REPAIR ESTIMATOR'!AG842</f>
        <v>0</v>
      </c>
      <c r="W795" s="32">
        <f>'2 REPAIR ESTIMATOR'!AJ842</f>
        <v>0</v>
      </c>
    </row>
    <row r="796" spans="3:23" ht="18" hidden="1">
      <c r="C796" s="3720" t="str">
        <f>T('2 REPAIR ESTIMATOR'!D843:O843)</f>
        <v/>
      </c>
      <c r="D796" s="3721"/>
      <c r="E796" s="3721"/>
      <c r="F796" s="3721"/>
      <c r="G796" s="3721"/>
      <c r="H796" s="3721"/>
      <c r="I796" s="916">
        <f>'2 REPAIR ESTIMATOR'!P843</f>
        <v>0</v>
      </c>
      <c r="J796" s="917">
        <f>'2 REPAIR ESTIMATOR'!S843</f>
        <v>0</v>
      </c>
      <c r="K796" s="918">
        <f t="shared" si="113"/>
        <v>0</v>
      </c>
      <c r="L796" s="918">
        <f t="shared" si="114"/>
        <v>0</v>
      </c>
      <c r="M796" s="918">
        <f t="shared" si="115"/>
        <v>0</v>
      </c>
      <c r="N796" s="3719">
        <f t="shared" si="116"/>
        <v>0</v>
      </c>
      <c r="O796" s="3719"/>
      <c r="P796" s="490">
        <f t="shared" si="118"/>
        <v>0</v>
      </c>
      <c r="S796" s="32">
        <f>'2 REPAIR ESTIMATOR'!AD843</f>
        <v>0</v>
      </c>
      <c r="T796" s="32">
        <f>'2 REPAIR ESTIMATOR'!AM843</f>
        <v>0</v>
      </c>
      <c r="U796" s="32">
        <f t="shared" si="117"/>
        <v>0</v>
      </c>
      <c r="V796" s="32">
        <f>'2 REPAIR ESTIMATOR'!AG843</f>
        <v>0</v>
      </c>
      <c r="W796" s="32">
        <f>'2 REPAIR ESTIMATOR'!AJ843</f>
        <v>0</v>
      </c>
    </row>
    <row r="797" spans="3:23" ht="18" hidden="1">
      <c r="C797" s="3720" t="str">
        <f>T('2 REPAIR ESTIMATOR'!D844:O844)</f>
        <v/>
      </c>
      <c r="D797" s="3721"/>
      <c r="E797" s="3721"/>
      <c r="F797" s="3721"/>
      <c r="G797" s="3721"/>
      <c r="H797" s="3721"/>
      <c r="I797" s="916">
        <f>'2 REPAIR ESTIMATOR'!P844</f>
        <v>0</v>
      </c>
      <c r="J797" s="917">
        <f>'2 REPAIR ESTIMATOR'!S844</f>
        <v>0</v>
      </c>
      <c r="K797" s="918">
        <f t="shared" si="113"/>
        <v>0</v>
      </c>
      <c r="L797" s="918">
        <f t="shared" si="114"/>
        <v>0</v>
      </c>
      <c r="M797" s="918">
        <f t="shared" si="115"/>
        <v>0</v>
      </c>
      <c r="N797" s="3719">
        <f t="shared" si="116"/>
        <v>0</v>
      </c>
      <c r="O797" s="3719"/>
      <c r="P797" s="490">
        <f t="shared" si="118"/>
        <v>0</v>
      </c>
      <c r="S797" s="32">
        <f>'2 REPAIR ESTIMATOR'!AD844</f>
        <v>0</v>
      </c>
      <c r="T797" s="32">
        <f>'2 REPAIR ESTIMATOR'!AM844</f>
        <v>0</v>
      </c>
      <c r="U797" s="32">
        <f t="shared" si="117"/>
        <v>0</v>
      </c>
      <c r="V797" s="32">
        <f>'2 REPAIR ESTIMATOR'!AG844</f>
        <v>0</v>
      </c>
      <c r="W797" s="32">
        <f>'2 REPAIR ESTIMATOR'!AJ844</f>
        <v>0</v>
      </c>
    </row>
    <row r="798" spans="3:23" ht="18" hidden="1">
      <c r="C798" s="3720" t="str">
        <f>T('2 REPAIR ESTIMATOR'!D845:O845)</f>
        <v/>
      </c>
      <c r="D798" s="3721"/>
      <c r="E798" s="3721"/>
      <c r="F798" s="3721"/>
      <c r="G798" s="3721"/>
      <c r="H798" s="3721"/>
      <c r="I798" s="916">
        <f>'2 REPAIR ESTIMATOR'!P845</f>
        <v>0</v>
      </c>
      <c r="J798" s="917">
        <f>'2 REPAIR ESTIMATOR'!S845</f>
        <v>0</v>
      </c>
      <c r="K798" s="918">
        <f t="shared" si="113"/>
        <v>0</v>
      </c>
      <c r="L798" s="918">
        <f t="shared" si="114"/>
        <v>0</v>
      </c>
      <c r="M798" s="918">
        <f t="shared" si="115"/>
        <v>0</v>
      </c>
      <c r="N798" s="3719">
        <f t="shared" si="116"/>
        <v>0</v>
      </c>
      <c r="O798" s="3719"/>
      <c r="P798" s="490">
        <f t="shared" si="118"/>
        <v>0</v>
      </c>
      <c r="S798" s="32">
        <f>'2 REPAIR ESTIMATOR'!AD845</f>
        <v>0</v>
      </c>
      <c r="T798" s="32">
        <f>'2 REPAIR ESTIMATOR'!AM845</f>
        <v>0</v>
      </c>
      <c r="U798" s="32">
        <f t="shared" si="117"/>
        <v>0</v>
      </c>
      <c r="V798" s="32">
        <f>'2 REPAIR ESTIMATOR'!AG845</f>
        <v>0</v>
      </c>
      <c r="W798" s="32">
        <f>'2 REPAIR ESTIMATOR'!AJ845</f>
        <v>0</v>
      </c>
    </row>
    <row r="799" spans="3:23" ht="18" hidden="1">
      <c r="C799" s="3720" t="str">
        <f>T('2 REPAIR ESTIMATOR'!D846:O846)</f>
        <v/>
      </c>
      <c r="D799" s="3721"/>
      <c r="E799" s="3721"/>
      <c r="F799" s="3721"/>
      <c r="G799" s="3721"/>
      <c r="H799" s="3721"/>
      <c r="I799" s="916">
        <f>'2 REPAIR ESTIMATOR'!P846</f>
        <v>0</v>
      </c>
      <c r="J799" s="917">
        <f>'2 REPAIR ESTIMATOR'!S846</f>
        <v>0</v>
      </c>
      <c r="K799" s="918">
        <f t="shared" si="113"/>
        <v>0</v>
      </c>
      <c r="L799" s="918">
        <f t="shared" si="114"/>
        <v>0</v>
      </c>
      <c r="M799" s="918">
        <f t="shared" si="115"/>
        <v>0</v>
      </c>
      <c r="N799" s="3719">
        <f t="shared" si="116"/>
        <v>0</v>
      </c>
      <c r="O799" s="3719"/>
      <c r="P799" s="490">
        <f t="shared" si="118"/>
        <v>0</v>
      </c>
      <c r="S799" s="32">
        <f>'2 REPAIR ESTIMATOR'!AD846</f>
        <v>0</v>
      </c>
      <c r="T799" s="32">
        <f>'2 REPAIR ESTIMATOR'!AM846</f>
        <v>0</v>
      </c>
      <c r="U799" s="32">
        <f t="shared" si="117"/>
        <v>0</v>
      </c>
      <c r="V799" s="32">
        <f>'2 REPAIR ESTIMATOR'!AG846</f>
        <v>0</v>
      </c>
      <c r="W799" s="32">
        <f>'2 REPAIR ESTIMATOR'!AJ846</f>
        <v>0</v>
      </c>
    </row>
    <row r="800" spans="3:23" ht="18.350000000000001" hidden="1" thickBot="1">
      <c r="C800" s="3779" t="str">
        <f>T('2 REPAIR ESTIMATOR'!D847:O847)</f>
        <v/>
      </c>
      <c r="D800" s="3780"/>
      <c r="E800" s="3780"/>
      <c r="F800" s="3780"/>
      <c r="G800" s="3780"/>
      <c r="H800" s="3780"/>
      <c r="I800" s="919">
        <f>'2 REPAIR ESTIMATOR'!P847</f>
        <v>0</v>
      </c>
      <c r="J800" s="920">
        <f>'2 REPAIR ESTIMATOR'!S847</f>
        <v>0</v>
      </c>
      <c r="K800" s="921">
        <f t="shared" si="113"/>
        <v>0</v>
      </c>
      <c r="L800" s="921">
        <f t="shared" si="114"/>
        <v>0</v>
      </c>
      <c r="M800" s="921">
        <f t="shared" si="115"/>
        <v>0</v>
      </c>
      <c r="N800" s="3781">
        <f t="shared" si="116"/>
        <v>0</v>
      </c>
      <c r="O800" s="3781"/>
      <c r="P800" s="490">
        <f t="shared" si="118"/>
        <v>0</v>
      </c>
      <c r="S800" s="32">
        <f>'2 REPAIR ESTIMATOR'!AD847</f>
        <v>0</v>
      </c>
      <c r="T800" s="32">
        <f>'2 REPAIR ESTIMATOR'!AM847</f>
        <v>0</v>
      </c>
      <c r="U800" s="32">
        <f t="shared" si="117"/>
        <v>0</v>
      </c>
      <c r="V800" s="32">
        <f>'2 REPAIR ESTIMATOR'!AG847</f>
        <v>0</v>
      </c>
      <c r="W800" s="32">
        <f>'2 REPAIR ESTIMATOR'!AJ847</f>
        <v>0</v>
      </c>
    </row>
    <row r="801" spans="3:23" ht="18.350000000000001" hidden="1" thickBot="1">
      <c r="C801" s="3723" t="str">
        <f>T('2 REPAIR ESTIMATOR'!AC849)</f>
        <v>HARDWOOD FLOORING TOTAL</v>
      </c>
      <c r="D801" s="3724"/>
      <c r="E801" s="3724"/>
      <c r="F801" s="3724"/>
      <c r="G801" s="3724"/>
      <c r="H801" s="3724"/>
      <c r="I801" s="3724"/>
      <c r="J801" s="3724"/>
      <c r="K801" s="922">
        <f>SUM(K761:K800)</f>
        <v>0</v>
      </c>
      <c r="L801" s="922">
        <f>SUM(L761:L800)</f>
        <v>0</v>
      </c>
      <c r="M801" s="922">
        <f>SUM(M761:M800)</f>
        <v>0</v>
      </c>
      <c r="N801" s="3789">
        <f>SUM(N761:O800)</f>
        <v>0</v>
      </c>
      <c r="O801" s="3789"/>
      <c r="P801" s="489">
        <f>SUM(P760:P768)</f>
        <v>0</v>
      </c>
      <c r="S801" s="33">
        <f>SUM(S761:S800)</f>
        <v>0</v>
      </c>
      <c r="T801" s="33">
        <f>SUM(T761:T800)</f>
        <v>0</v>
      </c>
      <c r="U801" s="33">
        <f>SUM(U761:U800)</f>
        <v>0</v>
      </c>
      <c r="V801" s="33">
        <f>SUM(V761:V800)</f>
        <v>0</v>
      </c>
      <c r="W801" s="33">
        <f>SUM(W761:W800)</f>
        <v>0</v>
      </c>
    </row>
    <row r="802" spans="3:23" ht="8.85" hidden="1" customHeight="1">
      <c r="C802" s="841"/>
      <c r="D802" s="841"/>
      <c r="E802" s="841"/>
      <c r="F802" s="841"/>
      <c r="G802" s="841"/>
      <c r="H802" s="841"/>
      <c r="I802" s="842"/>
      <c r="J802" s="842"/>
      <c r="K802" s="842"/>
      <c r="L802" s="842"/>
      <c r="M802" s="842"/>
      <c r="N802" s="843"/>
      <c r="O802" s="798"/>
      <c r="P802" s="489">
        <f>P801</f>
        <v>0</v>
      </c>
    </row>
    <row r="803" spans="3:23" ht="21" hidden="1" customHeight="1" thickBot="1">
      <c r="C803" s="3782" t="str">
        <f>T('2 REPAIR ESTIMATOR'!D852:O852)</f>
        <v>TILING</v>
      </c>
      <c r="D803" s="3783"/>
      <c r="E803" s="3783"/>
      <c r="F803" s="3783"/>
      <c r="G803" s="3783"/>
      <c r="H803" s="3783"/>
      <c r="I803" s="799">
        <f>SUM(I804:I843)</f>
        <v>0</v>
      </c>
      <c r="J803" s="800"/>
      <c r="K803" s="850"/>
      <c r="L803" s="850"/>
      <c r="M803" s="850"/>
      <c r="N803" s="3722"/>
      <c r="O803" s="3722"/>
      <c r="P803" s="489">
        <f t="shared" si="99"/>
        <v>0</v>
      </c>
      <c r="S803" s="34"/>
      <c r="T803" s="34"/>
      <c r="U803" s="34"/>
      <c r="V803" s="34"/>
      <c r="W803" s="34"/>
    </row>
    <row r="804" spans="3:23" ht="18" hidden="1">
      <c r="C804" s="3720" t="str">
        <f>T('2 REPAIR ESTIMATOR'!D853:O853)</f>
        <v>Tiling bid/allowance</v>
      </c>
      <c r="D804" s="3721"/>
      <c r="E804" s="3721"/>
      <c r="F804" s="3721"/>
      <c r="G804" s="3721"/>
      <c r="H804" s="3721"/>
      <c r="I804" s="916">
        <f>'2 REPAIR ESTIMATOR'!P853</f>
        <v>0</v>
      </c>
      <c r="J804" s="917" t="str">
        <f>'2 REPAIR ESTIMATOR'!S853</f>
        <v>ls</v>
      </c>
      <c r="K804" s="918">
        <f t="shared" ref="K804:K843" si="119">IF($N$3="subbed",U804,S804)*$S$70</f>
        <v>0</v>
      </c>
      <c r="L804" s="918">
        <f>V804*$S$70</f>
        <v>0</v>
      </c>
      <c r="M804" s="918">
        <f>W804*$S$70</f>
        <v>0</v>
      </c>
      <c r="N804" s="3719">
        <f>SUM(K804:M804)</f>
        <v>0</v>
      </c>
      <c r="O804" s="3719"/>
      <c r="P804" s="490">
        <f t="shared" si="99"/>
        <v>0</v>
      </c>
      <c r="S804" s="32">
        <f>'2 REPAIR ESTIMATOR'!AD853</f>
        <v>0</v>
      </c>
      <c r="T804" s="32">
        <f>'2 REPAIR ESTIMATOR'!AM853</f>
        <v>0</v>
      </c>
      <c r="U804" s="32">
        <f>T804+S804</f>
        <v>0</v>
      </c>
      <c r="V804" s="32">
        <f>'2 REPAIR ESTIMATOR'!AG853</f>
        <v>0</v>
      </c>
      <c r="W804" s="32">
        <f>'2 REPAIR ESTIMATOR'!AJ853</f>
        <v>0</v>
      </c>
    </row>
    <row r="805" spans="3:23" ht="18" hidden="1">
      <c r="C805" s="3787" t="str">
        <f>T('2 REPAIR ESTIMATOR'!D854:O854)</f>
        <v xml:space="preserve">Kitchen </v>
      </c>
      <c r="D805" s="3788"/>
      <c r="E805" s="3788"/>
      <c r="F805" s="3788"/>
      <c r="G805" s="3788"/>
      <c r="H805" s="3788"/>
      <c r="I805" s="916">
        <f>'2 REPAIR ESTIMATOR'!P854</f>
        <v>0</v>
      </c>
      <c r="J805" s="917">
        <f>'2 REPAIR ESTIMATOR'!S854</f>
        <v>0</v>
      </c>
      <c r="K805" s="918">
        <f t="shared" si="119"/>
        <v>0</v>
      </c>
      <c r="L805" s="918">
        <f t="shared" ref="L805:L843" si="120">V805*$S$70</f>
        <v>0</v>
      </c>
      <c r="M805" s="918">
        <f t="shared" ref="M805:M843" si="121">W805*$S$70</f>
        <v>0</v>
      </c>
      <c r="N805" s="3719">
        <f t="shared" ref="N805:N843" si="122">SUM(K805:M805)</f>
        <v>0</v>
      </c>
      <c r="O805" s="3719"/>
      <c r="P805" s="490">
        <f t="shared" si="99"/>
        <v>0</v>
      </c>
      <c r="S805" s="32">
        <f>'2 REPAIR ESTIMATOR'!AD854</f>
        <v>0</v>
      </c>
      <c r="T805" s="32">
        <f>'2 REPAIR ESTIMATOR'!AM854</f>
        <v>0</v>
      </c>
      <c r="U805" s="32">
        <f t="shared" ref="U805:U843" si="123">T805+S805</f>
        <v>0</v>
      </c>
      <c r="V805" s="32">
        <f>'2 REPAIR ESTIMATOR'!AG854</f>
        <v>0</v>
      </c>
      <c r="W805" s="32">
        <f>'2 REPAIR ESTIMATOR'!AJ854</f>
        <v>0</v>
      </c>
    </row>
    <row r="806" spans="3:23" ht="18" hidden="1">
      <c r="C806" s="3720" t="str">
        <f>T('2 REPAIR ESTIMATOR'!D855:O855)</f>
        <v>Kitchen backsplash, mosaic tile</v>
      </c>
      <c r="D806" s="3721"/>
      <c r="E806" s="3721"/>
      <c r="F806" s="3721"/>
      <c r="G806" s="3721"/>
      <c r="H806" s="3721"/>
      <c r="I806" s="916">
        <f>'2 REPAIR ESTIMATOR'!P855</f>
        <v>0</v>
      </c>
      <c r="J806" s="917" t="str">
        <f>'2 REPAIR ESTIMATOR'!S855</f>
        <v>sf</v>
      </c>
      <c r="K806" s="918">
        <f t="shared" si="119"/>
        <v>0</v>
      </c>
      <c r="L806" s="918">
        <f t="shared" si="120"/>
        <v>0</v>
      </c>
      <c r="M806" s="918">
        <f t="shared" si="121"/>
        <v>0</v>
      </c>
      <c r="N806" s="3719">
        <f t="shared" si="122"/>
        <v>0</v>
      </c>
      <c r="O806" s="3719"/>
      <c r="P806" s="490">
        <f t="shared" si="99"/>
        <v>0</v>
      </c>
      <c r="S806" s="32">
        <f>'2 REPAIR ESTIMATOR'!AD855</f>
        <v>0</v>
      </c>
      <c r="T806" s="32">
        <f>'2 REPAIR ESTIMATOR'!AM855</f>
        <v>0</v>
      </c>
      <c r="U806" s="32">
        <f t="shared" si="123"/>
        <v>0</v>
      </c>
      <c r="V806" s="32">
        <f>'2 REPAIR ESTIMATOR'!AG855</f>
        <v>0</v>
      </c>
      <c r="W806" s="32">
        <f>'2 REPAIR ESTIMATOR'!AJ855</f>
        <v>0</v>
      </c>
    </row>
    <row r="807" spans="3:23" ht="18" hidden="1">
      <c r="C807" s="3720" t="str">
        <f>T('2 REPAIR ESTIMATOR'!D856:O856)</f>
        <v>Floor tile, Kitchen</v>
      </c>
      <c r="D807" s="3721"/>
      <c r="E807" s="3721"/>
      <c r="F807" s="3721"/>
      <c r="G807" s="3721"/>
      <c r="H807" s="3721"/>
      <c r="I807" s="916">
        <f>'2 REPAIR ESTIMATOR'!P856</f>
        <v>0</v>
      </c>
      <c r="J807" s="917" t="str">
        <f>'2 REPAIR ESTIMATOR'!S856</f>
        <v>sf</v>
      </c>
      <c r="K807" s="918">
        <f t="shared" si="119"/>
        <v>0</v>
      </c>
      <c r="L807" s="918">
        <f t="shared" si="120"/>
        <v>0</v>
      </c>
      <c r="M807" s="918">
        <f t="shared" si="121"/>
        <v>0</v>
      </c>
      <c r="N807" s="3719">
        <f t="shared" si="122"/>
        <v>0</v>
      </c>
      <c r="O807" s="3719"/>
      <c r="P807" s="490">
        <f t="shared" si="99"/>
        <v>0</v>
      </c>
      <c r="S807" s="32">
        <f>'2 REPAIR ESTIMATOR'!AD856</f>
        <v>0</v>
      </c>
      <c r="T807" s="32">
        <f>'2 REPAIR ESTIMATOR'!AM856</f>
        <v>0</v>
      </c>
      <c r="U807" s="32">
        <f t="shared" si="123"/>
        <v>0</v>
      </c>
      <c r="V807" s="32">
        <f>'2 REPAIR ESTIMATOR'!AG856</f>
        <v>0</v>
      </c>
      <c r="W807" s="32">
        <f>'2 REPAIR ESTIMATOR'!AJ856</f>
        <v>0</v>
      </c>
    </row>
    <row r="808" spans="3:23" ht="18" hidden="1">
      <c r="C808" s="3720" t="str">
        <f>T('2 REPAIR ESTIMATOR'!D857:O857)</f>
        <v/>
      </c>
      <c r="D808" s="3721"/>
      <c r="E808" s="3721"/>
      <c r="F808" s="3721"/>
      <c r="G808" s="3721"/>
      <c r="H808" s="3721"/>
      <c r="I808" s="916">
        <f>'2 REPAIR ESTIMATOR'!P857</f>
        <v>0</v>
      </c>
      <c r="J808" s="917">
        <f>'2 REPAIR ESTIMATOR'!S857</f>
        <v>0</v>
      </c>
      <c r="K808" s="918">
        <f t="shared" si="119"/>
        <v>0</v>
      </c>
      <c r="L808" s="918">
        <f t="shared" si="120"/>
        <v>0</v>
      </c>
      <c r="M808" s="918">
        <f t="shared" si="121"/>
        <v>0</v>
      </c>
      <c r="N808" s="3719">
        <f t="shared" si="122"/>
        <v>0</v>
      </c>
      <c r="O808" s="3719"/>
      <c r="P808" s="490">
        <f t="shared" si="99"/>
        <v>0</v>
      </c>
      <c r="S808" s="32">
        <f>'2 REPAIR ESTIMATOR'!AD857</f>
        <v>0</v>
      </c>
      <c r="T808" s="32">
        <f>'2 REPAIR ESTIMATOR'!AM857</f>
        <v>0</v>
      </c>
      <c r="U808" s="32">
        <f t="shared" si="123"/>
        <v>0</v>
      </c>
      <c r="V808" s="32">
        <f>'2 REPAIR ESTIMATOR'!AG857</f>
        <v>0</v>
      </c>
      <c r="W808" s="32">
        <f>'2 REPAIR ESTIMATOR'!AJ857</f>
        <v>0</v>
      </c>
    </row>
    <row r="809" spans="3:23" ht="18" hidden="1">
      <c r="C809" s="3720" t="str">
        <f>T('2 REPAIR ESTIMATOR'!D858:O858)</f>
        <v/>
      </c>
      <c r="D809" s="3721"/>
      <c r="E809" s="3721"/>
      <c r="F809" s="3721"/>
      <c r="G809" s="3721"/>
      <c r="H809" s="3721"/>
      <c r="I809" s="916">
        <f>'2 REPAIR ESTIMATOR'!P858</f>
        <v>0</v>
      </c>
      <c r="J809" s="917">
        <f>'2 REPAIR ESTIMATOR'!S858</f>
        <v>0</v>
      </c>
      <c r="K809" s="918">
        <f t="shared" si="119"/>
        <v>0</v>
      </c>
      <c r="L809" s="918">
        <f t="shared" si="120"/>
        <v>0</v>
      </c>
      <c r="M809" s="918">
        <f t="shared" si="121"/>
        <v>0</v>
      </c>
      <c r="N809" s="3719">
        <f t="shared" si="122"/>
        <v>0</v>
      </c>
      <c r="O809" s="3719"/>
      <c r="P809" s="490">
        <f t="shared" si="99"/>
        <v>0</v>
      </c>
      <c r="S809" s="32">
        <f>'2 REPAIR ESTIMATOR'!AD858</f>
        <v>0</v>
      </c>
      <c r="T809" s="32">
        <f>'2 REPAIR ESTIMATOR'!AM858</f>
        <v>0</v>
      </c>
      <c r="U809" s="32">
        <f t="shared" si="123"/>
        <v>0</v>
      </c>
      <c r="V809" s="32">
        <f>'2 REPAIR ESTIMATOR'!AG858</f>
        <v>0</v>
      </c>
      <c r="W809" s="32">
        <f>'2 REPAIR ESTIMATOR'!AJ858</f>
        <v>0</v>
      </c>
    </row>
    <row r="810" spans="3:23" ht="18" hidden="1">
      <c r="C810" s="3787" t="str">
        <f>T('2 REPAIR ESTIMATOR'!D859:O859)</f>
        <v>Bathrooms</v>
      </c>
      <c r="D810" s="3788"/>
      <c r="E810" s="3788"/>
      <c r="F810" s="3788"/>
      <c r="G810" s="3788"/>
      <c r="H810" s="3788"/>
      <c r="I810" s="916">
        <f>'2 REPAIR ESTIMATOR'!P859</f>
        <v>0</v>
      </c>
      <c r="J810" s="917">
        <f>'2 REPAIR ESTIMATOR'!S859</f>
        <v>0</v>
      </c>
      <c r="K810" s="918">
        <f t="shared" si="119"/>
        <v>0</v>
      </c>
      <c r="L810" s="918">
        <f t="shared" si="120"/>
        <v>0</v>
      </c>
      <c r="M810" s="918">
        <f t="shared" si="121"/>
        <v>0</v>
      </c>
      <c r="N810" s="3719">
        <f t="shared" si="122"/>
        <v>0</v>
      </c>
      <c r="O810" s="3719"/>
      <c r="P810" s="490">
        <f t="shared" si="99"/>
        <v>0</v>
      </c>
      <c r="S810" s="32">
        <f>'2 REPAIR ESTIMATOR'!AD859</f>
        <v>0</v>
      </c>
      <c r="T810" s="32">
        <f>'2 REPAIR ESTIMATOR'!AM859</f>
        <v>0</v>
      </c>
      <c r="U810" s="32">
        <f t="shared" si="123"/>
        <v>0</v>
      </c>
      <c r="V810" s="32">
        <f>'2 REPAIR ESTIMATOR'!AG859</f>
        <v>0</v>
      </c>
      <c r="W810" s="32">
        <f>'2 REPAIR ESTIMATOR'!AJ859</f>
        <v>0</v>
      </c>
    </row>
    <row r="811" spans="3:23" ht="18" hidden="1">
      <c r="C811" s="3720" t="str">
        <f>T('2 REPAIR ESTIMATOR'!D860:O860)</f>
        <v>Shower tile, standard</v>
      </c>
      <c r="D811" s="3721"/>
      <c r="E811" s="3721"/>
      <c r="F811" s="3721"/>
      <c r="G811" s="3721"/>
      <c r="H811" s="3721"/>
      <c r="I811" s="916">
        <f>'2 REPAIR ESTIMATOR'!P860</f>
        <v>0</v>
      </c>
      <c r="J811" s="917" t="str">
        <f>'2 REPAIR ESTIMATOR'!S860</f>
        <v>sf</v>
      </c>
      <c r="K811" s="918">
        <f t="shared" si="119"/>
        <v>0</v>
      </c>
      <c r="L811" s="918">
        <f t="shared" si="120"/>
        <v>0</v>
      </c>
      <c r="M811" s="918">
        <f t="shared" si="121"/>
        <v>0</v>
      </c>
      <c r="N811" s="3719">
        <f t="shared" si="122"/>
        <v>0</v>
      </c>
      <c r="O811" s="3719"/>
      <c r="P811" s="489">
        <f t="shared" si="99"/>
        <v>0</v>
      </c>
      <c r="S811" s="32">
        <f>'2 REPAIR ESTIMATOR'!AD860</f>
        <v>0</v>
      </c>
      <c r="T811" s="32">
        <f>'2 REPAIR ESTIMATOR'!AM860</f>
        <v>0</v>
      </c>
      <c r="U811" s="32">
        <f t="shared" si="123"/>
        <v>0</v>
      </c>
      <c r="V811" s="32">
        <f>'2 REPAIR ESTIMATOR'!AG860</f>
        <v>0</v>
      </c>
      <c r="W811" s="32">
        <f>'2 REPAIR ESTIMATOR'!AJ860</f>
        <v>0</v>
      </c>
    </row>
    <row r="812" spans="3:23" ht="18" hidden="1">
      <c r="C812" s="3720" t="str">
        <f>T('2 REPAIR ESTIMATOR'!D861:O861)</f>
        <v>Shower tile, accent mosaic tile</v>
      </c>
      <c r="D812" s="3721"/>
      <c r="E812" s="3721"/>
      <c r="F812" s="3721"/>
      <c r="G812" s="3721"/>
      <c r="H812" s="3721"/>
      <c r="I812" s="916">
        <f>'2 REPAIR ESTIMATOR'!P861</f>
        <v>0</v>
      </c>
      <c r="J812" s="917" t="str">
        <f>'2 REPAIR ESTIMATOR'!S861</f>
        <v>sf</v>
      </c>
      <c r="K812" s="918">
        <f t="shared" si="119"/>
        <v>0</v>
      </c>
      <c r="L812" s="918">
        <f t="shared" si="120"/>
        <v>0</v>
      </c>
      <c r="M812" s="918">
        <f t="shared" si="121"/>
        <v>0</v>
      </c>
      <c r="N812" s="3719">
        <f t="shared" si="122"/>
        <v>0</v>
      </c>
      <c r="O812" s="3719"/>
      <c r="P812" s="489">
        <f t="shared" si="99"/>
        <v>0</v>
      </c>
      <c r="S812" s="32">
        <f>'2 REPAIR ESTIMATOR'!AD861</f>
        <v>0</v>
      </c>
      <c r="T812" s="32">
        <f>'2 REPAIR ESTIMATOR'!AM861</f>
        <v>0</v>
      </c>
      <c r="U812" s="32">
        <f t="shared" si="123"/>
        <v>0</v>
      </c>
      <c r="V812" s="32">
        <f>'2 REPAIR ESTIMATOR'!AG861</f>
        <v>0</v>
      </c>
      <c r="W812" s="32">
        <f>'2 REPAIR ESTIMATOR'!AJ861</f>
        <v>0</v>
      </c>
    </row>
    <row r="813" spans="3:23" ht="18" hidden="1">
      <c r="C813" s="3720" t="str">
        <f>T('2 REPAIR ESTIMATOR'!D862:O862)</f>
        <v>Floor tile, bathrooms</v>
      </c>
      <c r="D813" s="3721"/>
      <c r="E813" s="3721"/>
      <c r="F813" s="3721"/>
      <c r="G813" s="3721"/>
      <c r="H813" s="3721"/>
      <c r="I813" s="916">
        <f>'2 REPAIR ESTIMATOR'!P862</f>
        <v>0</v>
      </c>
      <c r="J813" s="917" t="str">
        <f>'2 REPAIR ESTIMATOR'!S862</f>
        <v>sf</v>
      </c>
      <c r="K813" s="918">
        <f t="shared" si="119"/>
        <v>0</v>
      </c>
      <c r="L813" s="918">
        <f t="shared" si="120"/>
        <v>0</v>
      </c>
      <c r="M813" s="918">
        <f t="shared" si="121"/>
        <v>0</v>
      </c>
      <c r="N813" s="3719">
        <f t="shared" si="122"/>
        <v>0</v>
      </c>
      <c r="O813" s="3719"/>
      <c r="P813" s="489">
        <f t="shared" si="99"/>
        <v>0</v>
      </c>
      <c r="S813" s="32">
        <f>'2 REPAIR ESTIMATOR'!AD862</f>
        <v>0</v>
      </c>
      <c r="T813" s="32">
        <f>'2 REPAIR ESTIMATOR'!AM862</f>
        <v>0</v>
      </c>
      <c r="U813" s="32">
        <f t="shared" si="123"/>
        <v>0</v>
      </c>
      <c r="V813" s="32">
        <f>'2 REPAIR ESTIMATOR'!AG862</f>
        <v>0</v>
      </c>
      <c r="W813" s="32">
        <f>'2 REPAIR ESTIMATOR'!AJ862</f>
        <v>0</v>
      </c>
    </row>
    <row r="814" spans="3:23" ht="18" hidden="1">
      <c r="C814" s="3720" t="str">
        <f>T('2 REPAIR ESTIMATOR'!D863:O863)</f>
        <v/>
      </c>
      <c r="D814" s="3721"/>
      <c r="E814" s="3721"/>
      <c r="F814" s="3721"/>
      <c r="G814" s="3721"/>
      <c r="H814" s="3721"/>
      <c r="I814" s="916">
        <f>'2 REPAIR ESTIMATOR'!P863</f>
        <v>0</v>
      </c>
      <c r="J814" s="917">
        <f>'2 REPAIR ESTIMATOR'!S863</f>
        <v>0</v>
      </c>
      <c r="K814" s="918">
        <f t="shared" si="119"/>
        <v>0</v>
      </c>
      <c r="L814" s="918">
        <f t="shared" si="120"/>
        <v>0</v>
      </c>
      <c r="M814" s="918">
        <f t="shared" si="121"/>
        <v>0</v>
      </c>
      <c r="N814" s="3719">
        <f t="shared" si="122"/>
        <v>0</v>
      </c>
      <c r="O814" s="3719"/>
      <c r="P814" s="490">
        <f t="shared" si="99"/>
        <v>0</v>
      </c>
      <c r="S814" s="32">
        <f>'2 REPAIR ESTIMATOR'!AD863</f>
        <v>0</v>
      </c>
      <c r="T814" s="32">
        <f>'2 REPAIR ESTIMATOR'!AM863</f>
        <v>0</v>
      </c>
      <c r="U814" s="32">
        <f t="shared" si="123"/>
        <v>0</v>
      </c>
      <c r="V814" s="32">
        <f>'2 REPAIR ESTIMATOR'!AG863</f>
        <v>0</v>
      </c>
      <c r="W814" s="32">
        <f>'2 REPAIR ESTIMATOR'!AJ863</f>
        <v>0</v>
      </c>
    </row>
    <row r="815" spans="3:23" ht="18" hidden="1">
      <c r="C815" s="3720" t="str">
        <f>T('2 REPAIR ESTIMATOR'!D864:O864)</f>
        <v/>
      </c>
      <c r="D815" s="3721"/>
      <c r="E815" s="3721"/>
      <c r="F815" s="3721"/>
      <c r="G815" s="3721"/>
      <c r="H815" s="3721"/>
      <c r="I815" s="916">
        <f>'2 REPAIR ESTIMATOR'!P864</f>
        <v>0</v>
      </c>
      <c r="J815" s="917">
        <f>'2 REPAIR ESTIMATOR'!S864</f>
        <v>0</v>
      </c>
      <c r="K815" s="918">
        <f t="shared" si="119"/>
        <v>0</v>
      </c>
      <c r="L815" s="918">
        <f t="shared" si="120"/>
        <v>0</v>
      </c>
      <c r="M815" s="918">
        <f t="shared" si="121"/>
        <v>0</v>
      </c>
      <c r="N815" s="3719">
        <f t="shared" si="122"/>
        <v>0</v>
      </c>
      <c r="O815" s="3719"/>
      <c r="P815" s="490">
        <f t="shared" si="99"/>
        <v>0</v>
      </c>
      <c r="S815" s="32">
        <f>'2 REPAIR ESTIMATOR'!AD864</f>
        <v>0</v>
      </c>
      <c r="T815" s="32">
        <f>'2 REPAIR ESTIMATOR'!AM864</f>
        <v>0</v>
      </c>
      <c r="U815" s="32">
        <f t="shared" si="123"/>
        <v>0</v>
      </c>
      <c r="V815" s="32">
        <f>'2 REPAIR ESTIMATOR'!AG864</f>
        <v>0</v>
      </c>
      <c r="W815" s="32">
        <f>'2 REPAIR ESTIMATOR'!AJ864</f>
        <v>0</v>
      </c>
    </row>
    <row r="816" spans="3:23" ht="18" hidden="1">
      <c r="C816" s="3787" t="str">
        <f>T('2 REPAIR ESTIMATOR'!D865:O865)</f>
        <v>Miscellaneous Tiling</v>
      </c>
      <c r="D816" s="3788"/>
      <c r="E816" s="3788"/>
      <c r="F816" s="3788"/>
      <c r="G816" s="3788"/>
      <c r="H816" s="3788"/>
      <c r="I816" s="916">
        <f>'2 REPAIR ESTIMATOR'!P865</f>
        <v>0</v>
      </c>
      <c r="J816" s="917">
        <f>'2 REPAIR ESTIMATOR'!S865</f>
        <v>0</v>
      </c>
      <c r="K816" s="918">
        <f t="shared" si="119"/>
        <v>0</v>
      </c>
      <c r="L816" s="918">
        <f t="shared" si="120"/>
        <v>0</v>
      </c>
      <c r="M816" s="918">
        <f t="shared" si="121"/>
        <v>0</v>
      </c>
      <c r="N816" s="3719">
        <f t="shared" si="122"/>
        <v>0</v>
      </c>
      <c r="O816" s="3719"/>
      <c r="P816" s="490">
        <f t="shared" si="99"/>
        <v>0</v>
      </c>
      <c r="S816" s="32">
        <f>'2 REPAIR ESTIMATOR'!AD865</f>
        <v>0</v>
      </c>
      <c r="T816" s="32">
        <f>'2 REPAIR ESTIMATOR'!AM865</f>
        <v>0</v>
      </c>
      <c r="U816" s="32">
        <f t="shared" si="123"/>
        <v>0</v>
      </c>
      <c r="V816" s="32">
        <f>'2 REPAIR ESTIMATOR'!AG865</f>
        <v>0</v>
      </c>
      <c r="W816" s="32">
        <f>'2 REPAIR ESTIMATOR'!AJ865</f>
        <v>0</v>
      </c>
    </row>
    <row r="817" spans="3:23" ht="18" hidden="1">
      <c r="C817" s="3720" t="str">
        <f>T('2 REPAIR ESTIMATOR'!D866:O866)</f>
        <v xml:space="preserve">Floor tile, entry </v>
      </c>
      <c r="D817" s="3721"/>
      <c r="E817" s="3721"/>
      <c r="F817" s="3721"/>
      <c r="G817" s="3721"/>
      <c r="H817" s="3721"/>
      <c r="I817" s="916">
        <f>'2 REPAIR ESTIMATOR'!P866</f>
        <v>0</v>
      </c>
      <c r="J817" s="917" t="str">
        <f>'2 REPAIR ESTIMATOR'!S866</f>
        <v>sf</v>
      </c>
      <c r="K817" s="918">
        <f t="shared" si="119"/>
        <v>0</v>
      </c>
      <c r="L817" s="918">
        <f t="shared" si="120"/>
        <v>0</v>
      </c>
      <c r="M817" s="918">
        <f t="shared" si="121"/>
        <v>0</v>
      </c>
      <c r="N817" s="3719">
        <f t="shared" si="122"/>
        <v>0</v>
      </c>
      <c r="O817" s="3719"/>
      <c r="P817" s="490">
        <f t="shared" si="99"/>
        <v>0</v>
      </c>
      <c r="S817" s="32">
        <f>'2 REPAIR ESTIMATOR'!AD866</f>
        <v>0</v>
      </c>
      <c r="T817" s="32">
        <f>'2 REPAIR ESTIMATOR'!AM866</f>
        <v>0</v>
      </c>
      <c r="U817" s="32">
        <f t="shared" si="123"/>
        <v>0</v>
      </c>
      <c r="V817" s="32">
        <f>'2 REPAIR ESTIMATOR'!AG866</f>
        <v>0</v>
      </c>
      <c r="W817" s="32">
        <f>'2 REPAIR ESTIMATOR'!AJ866</f>
        <v>0</v>
      </c>
    </row>
    <row r="818" spans="3:23" ht="18" hidden="1">
      <c r="C818" s="3720" t="str">
        <f>T('2 REPAIR ESTIMATOR'!D867:O867)</f>
        <v>Fireplace tiling</v>
      </c>
      <c r="D818" s="3721"/>
      <c r="E818" s="3721"/>
      <c r="F818" s="3721"/>
      <c r="G818" s="3721"/>
      <c r="H818" s="3721"/>
      <c r="I818" s="916">
        <f>'2 REPAIR ESTIMATOR'!P867</f>
        <v>0</v>
      </c>
      <c r="J818" s="917" t="str">
        <f>'2 REPAIR ESTIMATOR'!S867</f>
        <v>sf</v>
      </c>
      <c r="K818" s="918">
        <f t="shared" si="119"/>
        <v>0</v>
      </c>
      <c r="L818" s="918">
        <f t="shared" si="120"/>
        <v>0</v>
      </c>
      <c r="M818" s="918">
        <f t="shared" si="121"/>
        <v>0</v>
      </c>
      <c r="N818" s="3719">
        <f t="shared" si="122"/>
        <v>0</v>
      </c>
      <c r="O818" s="3719"/>
      <c r="P818" s="490">
        <f t="shared" si="99"/>
        <v>0</v>
      </c>
      <c r="S818" s="32">
        <f>'2 REPAIR ESTIMATOR'!AD867</f>
        <v>0</v>
      </c>
      <c r="T818" s="32">
        <f>'2 REPAIR ESTIMATOR'!AM867</f>
        <v>0</v>
      </c>
      <c r="U818" s="32">
        <f t="shared" si="123"/>
        <v>0</v>
      </c>
      <c r="V818" s="32">
        <f>'2 REPAIR ESTIMATOR'!AG867</f>
        <v>0</v>
      </c>
      <c r="W818" s="32">
        <f>'2 REPAIR ESTIMATOR'!AJ867</f>
        <v>0</v>
      </c>
    </row>
    <row r="819" spans="3:23" ht="18" hidden="1">
      <c r="C819" s="3720" t="str">
        <f>T('2 REPAIR ESTIMATOR'!D868:O868)</f>
        <v/>
      </c>
      <c r="D819" s="3721"/>
      <c r="E819" s="3721"/>
      <c r="F819" s="3721"/>
      <c r="G819" s="3721"/>
      <c r="H819" s="3721"/>
      <c r="I819" s="916">
        <f>'2 REPAIR ESTIMATOR'!P868</f>
        <v>0</v>
      </c>
      <c r="J819" s="917">
        <f>'2 REPAIR ESTIMATOR'!S868</f>
        <v>0</v>
      </c>
      <c r="K819" s="918">
        <f t="shared" si="119"/>
        <v>0</v>
      </c>
      <c r="L819" s="918">
        <f t="shared" si="120"/>
        <v>0</v>
      </c>
      <c r="M819" s="918">
        <f t="shared" si="121"/>
        <v>0</v>
      </c>
      <c r="N819" s="3719">
        <f t="shared" si="122"/>
        <v>0</v>
      </c>
      <c r="O819" s="3719"/>
      <c r="P819" s="490">
        <f t="shared" si="99"/>
        <v>0</v>
      </c>
      <c r="S819" s="32">
        <f>'2 REPAIR ESTIMATOR'!AD868</f>
        <v>0</v>
      </c>
      <c r="T819" s="32">
        <f>'2 REPAIR ESTIMATOR'!AM868</f>
        <v>0</v>
      </c>
      <c r="U819" s="32">
        <f t="shared" si="123"/>
        <v>0</v>
      </c>
      <c r="V819" s="32">
        <f>'2 REPAIR ESTIMATOR'!AG868</f>
        <v>0</v>
      </c>
      <c r="W819" s="32">
        <f>'2 REPAIR ESTIMATOR'!AJ868</f>
        <v>0</v>
      </c>
    </row>
    <row r="820" spans="3:23" ht="18" hidden="1">
      <c r="C820" s="3720" t="str">
        <f>T('2 REPAIR ESTIMATOR'!D869:O869)</f>
        <v/>
      </c>
      <c r="D820" s="3721"/>
      <c r="E820" s="3721"/>
      <c r="F820" s="3721"/>
      <c r="G820" s="3721"/>
      <c r="H820" s="3721"/>
      <c r="I820" s="916">
        <f>'2 REPAIR ESTIMATOR'!P869</f>
        <v>0</v>
      </c>
      <c r="J820" s="917">
        <f>'2 REPAIR ESTIMATOR'!S869</f>
        <v>0</v>
      </c>
      <c r="K820" s="918">
        <f t="shared" si="119"/>
        <v>0</v>
      </c>
      <c r="L820" s="918">
        <f t="shared" si="120"/>
        <v>0</v>
      </c>
      <c r="M820" s="918">
        <f t="shared" si="121"/>
        <v>0</v>
      </c>
      <c r="N820" s="3719">
        <f t="shared" si="122"/>
        <v>0</v>
      </c>
      <c r="O820" s="3719"/>
      <c r="P820" s="490">
        <f t="shared" ref="P820:P952" si="124">I820</f>
        <v>0</v>
      </c>
      <c r="S820" s="32">
        <f>'2 REPAIR ESTIMATOR'!AD869</f>
        <v>0</v>
      </c>
      <c r="T820" s="32">
        <f>'2 REPAIR ESTIMATOR'!AM869</f>
        <v>0</v>
      </c>
      <c r="U820" s="32">
        <f t="shared" si="123"/>
        <v>0</v>
      </c>
      <c r="V820" s="32">
        <f>'2 REPAIR ESTIMATOR'!AG869</f>
        <v>0</v>
      </c>
      <c r="W820" s="32">
        <f>'2 REPAIR ESTIMATOR'!AJ869</f>
        <v>0</v>
      </c>
    </row>
    <row r="821" spans="3:23" ht="18" hidden="1">
      <c r="C821" s="3787" t="str">
        <f>T('2 REPAIR ESTIMATOR'!D870:O870)</f>
        <v>Other</v>
      </c>
      <c r="D821" s="3788"/>
      <c r="E821" s="3788"/>
      <c r="F821" s="3788"/>
      <c r="G821" s="3788"/>
      <c r="H821" s="3788"/>
      <c r="I821" s="916">
        <f>'2 REPAIR ESTIMATOR'!P870</f>
        <v>0</v>
      </c>
      <c r="J821" s="917">
        <f>'2 REPAIR ESTIMATOR'!S870</f>
        <v>0</v>
      </c>
      <c r="K821" s="918">
        <f t="shared" si="119"/>
        <v>0</v>
      </c>
      <c r="L821" s="918">
        <f t="shared" si="120"/>
        <v>0</v>
      </c>
      <c r="M821" s="918">
        <f t="shared" si="121"/>
        <v>0</v>
      </c>
      <c r="N821" s="3719">
        <f t="shared" si="122"/>
        <v>0</v>
      </c>
      <c r="O821" s="3719"/>
      <c r="P821" s="490">
        <f t="shared" si="124"/>
        <v>0</v>
      </c>
      <c r="S821" s="32">
        <f>'2 REPAIR ESTIMATOR'!AD870</f>
        <v>0</v>
      </c>
      <c r="T821" s="32">
        <f>'2 REPAIR ESTIMATOR'!AM870</f>
        <v>0</v>
      </c>
      <c r="U821" s="32">
        <f t="shared" si="123"/>
        <v>0</v>
      </c>
      <c r="V821" s="32">
        <f>'2 REPAIR ESTIMATOR'!AG870</f>
        <v>0</v>
      </c>
      <c r="W821" s="32">
        <f>'2 REPAIR ESTIMATOR'!AJ870</f>
        <v>0</v>
      </c>
    </row>
    <row r="822" spans="3:23" ht="18" hidden="1">
      <c r="C822" s="3720" t="str">
        <f>T('2 REPAIR ESTIMATOR'!D871:O871)</f>
        <v>Backer board 1/4" at floor tile</v>
      </c>
      <c r="D822" s="3721"/>
      <c r="E822" s="3721"/>
      <c r="F822" s="3721"/>
      <c r="G822" s="3721"/>
      <c r="H822" s="3721"/>
      <c r="I822" s="916">
        <f>'2 REPAIR ESTIMATOR'!P871</f>
        <v>0</v>
      </c>
      <c r="J822" s="917" t="str">
        <f>'2 REPAIR ESTIMATOR'!S871</f>
        <v>sf</v>
      </c>
      <c r="K822" s="918">
        <f t="shared" si="119"/>
        <v>0</v>
      </c>
      <c r="L822" s="918">
        <f t="shared" si="120"/>
        <v>0</v>
      </c>
      <c r="M822" s="918">
        <f t="shared" si="121"/>
        <v>0</v>
      </c>
      <c r="N822" s="3719">
        <f t="shared" si="122"/>
        <v>0</v>
      </c>
      <c r="O822" s="3719"/>
      <c r="P822" s="490">
        <f t="shared" si="124"/>
        <v>0</v>
      </c>
      <c r="S822" s="32">
        <f>'2 REPAIR ESTIMATOR'!AD871</f>
        <v>0</v>
      </c>
      <c r="T822" s="32">
        <f>'2 REPAIR ESTIMATOR'!AM871</f>
        <v>0</v>
      </c>
      <c r="U822" s="32">
        <f t="shared" si="123"/>
        <v>0</v>
      </c>
      <c r="V822" s="32">
        <f>'2 REPAIR ESTIMATOR'!AG871</f>
        <v>0</v>
      </c>
      <c r="W822" s="32">
        <f>'2 REPAIR ESTIMATOR'!AJ871</f>
        <v>0</v>
      </c>
    </row>
    <row r="823" spans="3:23" ht="18" hidden="1">
      <c r="C823" s="3720" t="str">
        <f>T('2 REPAIR ESTIMATOR'!D872:O872)</f>
        <v>Backer board 1/2" at wall tile</v>
      </c>
      <c r="D823" s="3721"/>
      <c r="E823" s="3721"/>
      <c r="F823" s="3721"/>
      <c r="G823" s="3721"/>
      <c r="H823" s="3721"/>
      <c r="I823" s="916">
        <f>'2 REPAIR ESTIMATOR'!P872</f>
        <v>0</v>
      </c>
      <c r="J823" s="917" t="str">
        <f>'2 REPAIR ESTIMATOR'!S872</f>
        <v>sf</v>
      </c>
      <c r="K823" s="918">
        <f t="shared" si="119"/>
        <v>0</v>
      </c>
      <c r="L823" s="918">
        <f t="shared" si="120"/>
        <v>0</v>
      </c>
      <c r="M823" s="918">
        <f t="shared" si="121"/>
        <v>0</v>
      </c>
      <c r="N823" s="3719">
        <f t="shared" si="122"/>
        <v>0</v>
      </c>
      <c r="O823" s="3719"/>
      <c r="P823" s="490">
        <f t="shared" si="124"/>
        <v>0</v>
      </c>
      <c r="S823" s="32">
        <f>'2 REPAIR ESTIMATOR'!AD872</f>
        <v>0</v>
      </c>
      <c r="T823" s="32">
        <f>'2 REPAIR ESTIMATOR'!AM872</f>
        <v>0</v>
      </c>
      <c r="U823" s="32">
        <f t="shared" si="123"/>
        <v>0</v>
      </c>
      <c r="V823" s="32">
        <f>'2 REPAIR ESTIMATOR'!AG872</f>
        <v>0</v>
      </c>
      <c r="W823" s="32">
        <f>'2 REPAIR ESTIMATOR'!AJ872</f>
        <v>0</v>
      </c>
    </row>
    <row r="824" spans="3:23" ht="18" hidden="1">
      <c r="C824" s="3720" t="str">
        <f>T('2 REPAIR ESTIMATOR'!D873:O873)</f>
        <v/>
      </c>
      <c r="D824" s="3721"/>
      <c r="E824" s="3721"/>
      <c r="F824" s="3721"/>
      <c r="G824" s="3721"/>
      <c r="H824" s="3721"/>
      <c r="I824" s="916">
        <f>'2 REPAIR ESTIMATOR'!P873</f>
        <v>0</v>
      </c>
      <c r="J824" s="917">
        <f>'2 REPAIR ESTIMATOR'!S873</f>
        <v>0</v>
      </c>
      <c r="K824" s="918">
        <f t="shared" si="119"/>
        <v>0</v>
      </c>
      <c r="L824" s="918">
        <f t="shared" si="120"/>
        <v>0</v>
      </c>
      <c r="M824" s="918">
        <f t="shared" si="121"/>
        <v>0</v>
      </c>
      <c r="N824" s="3719">
        <f t="shared" si="122"/>
        <v>0</v>
      </c>
      <c r="O824" s="3719"/>
      <c r="P824" s="490">
        <f t="shared" si="124"/>
        <v>0</v>
      </c>
      <c r="S824" s="32">
        <f>'2 REPAIR ESTIMATOR'!AD873</f>
        <v>0</v>
      </c>
      <c r="T824" s="32">
        <f>'2 REPAIR ESTIMATOR'!AM873</f>
        <v>0</v>
      </c>
      <c r="U824" s="32">
        <f t="shared" si="123"/>
        <v>0</v>
      </c>
      <c r="V824" s="32">
        <f>'2 REPAIR ESTIMATOR'!AG873</f>
        <v>0</v>
      </c>
      <c r="W824" s="32">
        <f>'2 REPAIR ESTIMATOR'!AJ873</f>
        <v>0</v>
      </c>
    </row>
    <row r="825" spans="3:23" ht="18" hidden="1">
      <c r="C825" s="3720" t="str">
        <f>T('2 REPAIR ESTIMATOR'!D874:O874)</f>
        <v/>
      </c>
      <c r="D825" s="3721"/>
      <c r="E825" s="3721"/>
      <c r="F825" s="3721"/>
      <c r="G825" s="3721"/>
      <c r="H825" s="3721"/>
      <c r="I825" s="916">
        <f>'2 REPAIR ESTIMATOR'!P874</f>
        <v>0</v>
      </c>
      <c r="J825" s="917">
        <f>'2 REPAIR ESTIMATOR'!S874</f>
        <v>0</v>
      </c>
      <c r="K825" s="918">
        <f t="shared" si="119"/>
        <v>0</v>
      </c>
      <c r="L825" s="918">
        <f t="shared" si="120"/>
        <v>0</v>
      </c>
      <c r="M825" s="918">
        <f t="shared" si="121"/>
        <v>0</v>
      </c>
      <c r="N825" s="3719">
        <f t="shared" si="122"/>
        <v>0</v>
      </c>
      <c r="O825" s="3719"/>
      <c r="P825" s="490">
        <f t="shared" si="124"/>
        <v>0</v>
      </c>
      <c r="S825" s="32">
        <f>'2 REPAIR ESTIMATOR'!AD874</f>
        <v>0</v>
      </c>
      <c r="T825" s="32">
        <f>'2 REPAIR ESTIMATOR'!AM874</f>
        <v>0</v>
      </c>
      <c r="U825" s="32">
        <f t="shared" si="123"/>
        <v>0</v>
      </c>
      <c r="V825" s="32">
        <f>'2 REPAIR ESTIMATOR'!AG874</f>
        <v>0</v>
      </c>
      <c r="W825" s="32">
        <f>'2 REPAIR ESTIMATOR'!AJ874</f>
        <v>0</v>
      </c>
    </row>
    <row r="826" spans="3:23" ht="18" hidden="1">
      <c r="C826" s="3720" t="str">
        <f>T('2 REPAIR ESTIMATOR'!D875:O875)</f>
        <v/>
      </c>
      <c r="D826" s="3721"/>
      <c r="E826" s="3721"/>
      <c r="F826" s="3721"/>
      <c r="G826" s="3721"/>
      <c r="H826" s="3721"/>
      <c r="I826" s="916">
        <f>'2 REPAIR ESTIMATOR'!P875</f>
        <v>0</v>
      </c>
      <c r="J826" s="917">
        <f>'2 REPAIR ESTIMATOR'!S875</f>
        <v>0</v>
      </c>
      <c r="K826" s="918">
        <f t="shared" si="119"/>
        <v>0</v>
      </c>
      <c r="L826" s="918">
        <f t="shared" si="120"/>
        <v>0</v>
      </c>
      <c r="M826" s="918">
        <f t="shared" si="121"/>
        <v>0</v>
      </c>
      <c r="N826" s="3719">
        <f t="shared" si="122"/>
        <v>0</v>
      </c>
      <c r="O826" s="3719"/>
      <c r="P826" s="490">
        <f t="shared" si="124"/>
        <v>0</v>
      </c>
      <c r="S826" s="32">
        <f>'2 REPAIR ESTIMATOR'!AD875</f>
        <v>0</v>
      </c>
      <c r="T826" s="32">
        <f>'2 REPAIR ESTIMATOR'!AM875</f>
        <v>0</v>
      </c>
      <c r="U826" s="32">
        <f t="shared" si="123"/>
        <v>0</v>
      </c>
      <c r="V826" s="32">
        <f>'2 REPAIR ESTIMATOR'!AG875</f>
        <v>0</v>
      </c>
      <c r="W826" s="32">
        <f>'2 REPAIR ESTIMATOR'!AJ875</f>
        <v>0</v>
      </c>
    </row>
    <row r="827" spans="3:23" ht="18" hidden="1">
      <c r="C827" s="3720" t="str">
        <f>T('2 REPAIR ESTIMATOR'!D876:O876)</f>
        <v/>
      </c>
      <c r="D827" s="3721"/>
      <c r="E827" s="3721"/>
      <c r="F827" s="3721"/>
      <c r="G827" s="3721"/>
      <c r="H827" s="3721"/>
      <c r="I827" s="916">
        <f>'2 REPAIR ESTIMATOR'!P876</f>
        <v>0</v>
      </c>
      <c r="J827" s="917">
        <f>'2 REPAIR ESTIMATOR'!S876</f>
        <v>0</v>
      </c>
      <c r="K827" s="918">
        <f t="shared" si="119"/>
        <v>0</v>
      </c>
      <c r="L827" s="918">
        <f t="shared" si="120"/>
        <v>0</v>
      </c>
      <c r="M827" s="918">
        <f t="shared" si="121"/>
        <v>0</v>
      </c>
      <c r="N827" s="3719">
        <f t="shared" si="122"/>
        <v>0</v>
      </c>
      <c r="O827" s="3719"/>
      <c r="P827" s="490">
        <f t="shared" si="124"/>
        <v>0</v>
      </c>
      <c r="S827" s="32">
        <f>'2 REPAIR ESTIMATOR'!AD876</f>
        <v>0</v>
      </c>
      <c r="T827" s="32">
        <f>'2 REPAIR ESTIMATOR'!AM876</f>
        <v>0</v>
      </c>
      <c r="U827" s="32">
        <f t="shared" si="123"/>
        <v>0</v>
      </c>
      <c r="V827" s="32">
        <f>'2 REPAIR ESTIMATOR'!AG876</f>
        <v>0</v>
      </c>
      <c r="W827" s="32">
        <f>'2 REPAIR ESTIMATOR'!AJ876</f>
        <v>0</v>
      </c>
    </row>
    <row r="828" spans="3:23" ht="18" hidden="1">
      <c r="C828" s="3720" t="str">
        <f>T('2 REPAIR ESTIMATOR'!D877:O877)</f>
        <v/>
      </c>
      <c r="D828" s="3721"/>
      <c r="E828" s="3721"/>
      <c r="F828" s="3721"/>
      <c r="G828" s="3721"/>
      <c r="H828" s="3721"/>
      <c r="I828" s="916">
        <f>'2 REPAIR ESTIMATOR'!P877</f>
        <v>0</v>
      </c>
      <c r="J828" s="917">
        <f>'2 REPAIR ESTIMATOR'!S877</f>
        <v>0</v>
      </c>
      <c r="K828" s="918">
        <f t="shared" si="119"/>
        <v>0</v>
      </c>
      <c r="L828" s="918">
        <f t="shared" si="120"/>
        <v>0</v>
      </c>
      <c r="M828" s="918">
        <f t="shared" si="121"/>
        <v>0</v>
      </c>
      <c r="N828" s="3719">
        <f t="shared" si="122"/>
        <v>0</v>
      </c>
      <c r="O828" s="3719"/>
      <c r="P828" s="490">
        <f t="shared" si="124"/>
        <v>0</v>
      </c>
      <c r="S828" s="32">
        <f>'2 REPAIR ESTIMATOR'!AD877</f>
        <v>0</v>
      </c>
      <c r="T828" s="32">
        <f>'2 REPAIR ESTIMATOR'!AM877</f>
        <v>0</v>
      </c>
      <c r="U828" s="32">
        <f t="shared" si="123"/>
        <v>0</v>
      </c>
      <c r="V828" s="32">
        <f>'2 REPAIR ESTIMATOR'!AG877</f>
        <v>0</v>
      </c>
      <c r="W828" s="32">
        <f>'2 REPAIR ESTIMATOR'!AJ877</f>
        <v>0</v>
      </c>
    </row>
    <row r="829" spans="3:23" ht="18" hidden="1">
      <c r="C829" s="3720" t="str">
        <f>T('2 REPAIR ESTIMATOR'!D878:O878)</f>
        <v/>
      </c>
      <c r="D829" s="3721"/>
      <c r="E829" s="3721"/>
      <c r="F829" s="3721"/>
      <c r="G829" s="3721"/>
      <c r="H829" s="3721"/>
      <c r="I829" s="916">
        <f>'2 REPAIR ESTIMATOR'!P878</f>
        <v>0</v>
      </c>
      <c r="J829" s="917">
        <f>'2 REPAIR ESTIMATOR'!S878</f>
        <v>0</v>
      </c>
      <c r="K829" s="918">
        <f t="shared" si="119"/>
        <v>0</v>
      </c>
      <c r="L829" s="918">
        <f t="shared" si="120"/>
        <v>0</v>
      </c>
      <c r="M829" s="918">
        <f t="shared" si="121"/>
        <v>0</v>
      </c>
      <c r="N829" s="3719">
        <f t="shared" si="122"/>
        <v>0</v>
      </c>
      <c r="O829" s="3719"/>
      <c r="P829" s="490">
        <f t="shared" si="124"/>
        <v>0</v>
      </c>
      <c r="S829" s="32">
        <f>'2 REPAIR ESTIMATOR'!AD878</f>
        <v>0</v>
      </c>
      <c r="T829" s="32">
        <f>'2 REPAIR ESTIMATOR'!AM878</f>
        <v>0</v>
      </c>
      <c r="U829" s="32">
        <f t="shared" si="123"/>
        <v>0</v>
      </c>
      <c r="V829" s="32">
        <f>'2 REPAIR ESTIMATOR'!AG878</f>
        <v>0</v>
      </c>
      <c r="W829" s="32">
        <f>'2 REPAIR ESTIMATOR'!AJ878</f>
        <v>0</v>
      </c>
    </row>
    <row r="830" spans="3:23" ht="18" hidden="1">
      <c r="C830" s="3720" t="str">
        <f>T('2 REPAIR ESTIMATOR'!D879:O879)</f>
        <v/>
      </c>
      <c r="D830" s="3721"/>
      <c r="E830" s="3721"/>
      <c r="F830" s="3721"/>
      <c r="G830" s="3721"/>
      <c r="H830" s="3721"/>
      <c r="I830" s="916">
        <f>'2 REPAIR ESTIMATOR'!P879</f>
        <v>0</v>
      </c>
      <c r="J830" s="917">
        <f>'2 REPAIR ESTIMATOR'!S879</f>
        <v>0</v>
      </c>
      <c r="K830" s="918">
        <f t="shared" si="119"/>
        <v>0</v>
      </c>
      <c r="L830" s="918">
        <f t="shared" si="120"/>
        <v>0</v>
      </c>
      <c r="M830" s="918">
        <f t="shared" si="121"/>
        <v>0</v>
      </c>
      <c r="N830" s="3719">
        <f t="shared" si="122"/>
        <v>0</v>
      </c>
      <c r="O830" s="3719"/>
      <c r="P830" s="490">
        <f t="shared" si="124"/>
        <v>0</v>
      </c>
      <c r="S830" s="32">
        <f>'2 REPAIR ESTIMATOR'!AD879</f>
        <v>0</v>
      </c>
      <c r="T830" s="32">
        <f>'2 REPAIR ESTIMATOR'!AM879</f>
        <v>0</v>
      </c>
      <c r="U830" s="32">
        <f t="shared" si="123"/>
        <v>0</v>
      </c>
      <c r="V830" s="32">
        <f>'2 REPAIR ESTIMATOR'!AG879</f>
        <v>0</v>
      </c>
      <c r="W830" s="32">
        <f>'2 REPAIR ESTIMATOR'!AJ879</f>
        <v>0</v>
      </c>
    </row>
    <row r="831" spans="3:23" ht="18" hidden="1">
      <c r="C831" s="3720" t="str">
        <f>T('2 REPAIR ESTIMATOR'!D880:O880)</f>
        <v/>
      </c>
      <c r="D831" s="3721"/>
      <c r="E831" s="3721"/>
      <c r="F831" s="3721"/>
      <c r="G831" s="3721"/>
      <c r="H831" s="3721"/>
      <c r="I831" s="916">
        <f>'2 REPAIR ESTIMATOR'!P880</f>
        <v>0</v>
      </c>
      <c r="J831" s="917">
        <f>'2 REPAIR ESTIMATOR'!S880</f>
        <v>0</v>
      </c>
      <c r="K831" s="918">
        <f t="shared" si="119"/>
        <v>0</v>
      </c>
      <c r="L831" s="918">
        <f t="shared" si="120"/>
        <v>0</v>
      </c>
      <c r="M831" s="918">
        <f t="shared" si="121"/>
        <v>0</v>
      </c>
      <c r="N831" s="3719">
        <f t="shared" si="122"/>
        <v>0</v>
      </c>
      <c r="O831" s="3719"/>
      <c r="P831" s="490">
        <f t="shared" si="124"/>
        <v>0</v>
      </c>
      <c r="S831" s="32">
        <f>'2 REPAIR ESTIMATOR'!AD880</f>
        <v>0</v>
      </c>
      <c r="T831" s="32">
        <f>'2 REPAIR ESTIMATOR'!AM880</f>
        <v>0</v>
      </c>
      <c r="U831" s="32">
        <f t="shared" si="123"/>
        <v>0</v>
      </c>
      <c r="V831" s="32">
        <f>'2 REPAIR ESTIMATOR'!AG880</f>
        <v>0</v>
      </c>
      <c r="W831" s="32">
        <f>'2 REPAIR ESTIMATOR'!AJ880</f>
        <v>0</v>
      </c>
    </row>
    <row r="832" spans="3:23" ht="18" hidden="1">
      <c r="C832" s="3720" t="str">
        <f>T('2 REPAIR ESTIMATOR'!D881:O881)</f>
        <v/>
      </c>
      <c r="D832" s="3721"/>
      <c r="E832" s="3721"/>
      <c r="F832" s="3721"/>
      <c r="G832" s="3721"/>
      <c r="H832" s="3721"/>
      <c r="I832" s="916">
        <f>'2 REPAIR ESTIMATOR'!P881</f>
        <v>0</v>
      </c>
      <c r="J832" s="917">
        <f>'2 REPAIR ESTIMATOR'!S881</f>
        <v>0</v>
      </c>
      <c r="K832" s="918">
        <f t="shared" si="119"/>
        <v>0</v>
      </c>
      <c r="L832" s="918">
        <f t="shared" si="120"/>
        <v>0</v>
      </c>
      <c r="M832" s="918">
        <f t="shared" si="121"/>
        <v>0</v>
      </c>
      <c r="N832" s="3719">
        <f t="shared" si="122"/>
        <v>0</v>
      </c>
      <c r="O832" s="3719"/>
      <c r="P832" s="490">
        <f t="shared" si="124"/>
        <v>0</v>
      </c>
      <c r="S832" s="32">
        <f>'2 REPAIR ESTIMATOR'!AD881</f>
        <v>0</v>
      </c>
      <c r="T832" s="32">
        <f>'2 REPAIR ESTIMATOR'!AM881</f>
        <v>0</v>
      </c>
      <c r="U832" s="32">
        <f t="shared" si="123"/>
        <v>0</v>
      </c>
      <c r="V832" s="32">
        <f>'2 REPAIR ESTIMATOR'!AG881</f>
        <v>0</v>
      </c>
      <c r="W832" s="32">
        <f>'2 REPAIR ESTIMATOR'!AJ881</f>
        <v>0</v>
      </c>
    </row>
    <row r="833" spans="3:23" ht="18" hidden="1">
      <c r="C833" s="3720" t="str">
        <f>T('2 REPAIR ESTIMATOR'!D882:O882)</f>
        <v/>
      </c>
      <c r="D833" s="3721"/>
      <c r="E833" s="3721"/>
      <c r="F833" s="3721"/>
      <c r="G833" s="3721"/>
      <c r="H833" s="3721"/>
      <c r="I833" s="916">
        <f>'2 REPAIR ESTIMATOR'!P882</f>
        <v>0</v>
      </c>
      <c r="J833" s="917">
        <f>'2 REPAIR ESTIMATOR'!S882</f>
        <v>0</v>
      </c>
      <c r="K833" s="918">
        <f t="shared" si="119"/>
        <v>0</v>
      </c>
      <c r="L833" s="918">
        <f t="shared" si="120"/>
        <v>0</v>
      </c>
      <c r="M833" s="918">
        <f t="shared" si="121"/>
        <v>0</v>
      </c>
      <c r="N833" s="3719">
        <f t="shared" si="122"/>
        <v>0</v>
      </c>
      <c r="O833" s="3719"/>
      <c r="P833" s="490">
        <f t="shared" si="124"/>
        <v>0</v>
      </c>
      <c r="S833" s="32">
        <f>'2 REPAIR ESTIMATOR'!AD882</f>
        <v>0</v>
      </c>
      <c r="T833" s="32">
        <f>'2 REPAIR ESTIMATOR'!AM882</f>
        <v>0</v>
      </c>
      <c r="U833" s="32">
        <f t="shared" si="123"/>
        <v>0</v>
      </c>
      <c r="V833" s="32">
        <f>'2 REPAIR ESTIMATOR'!AG882</f>
        <v>0</v>
      </c>
      <c r="W833" s="32">
        <f>'2 REPAIR ESTIMATOR'!AJ882</f>
        <v>0</v>
      </c>
    </row>
    <row r="834" spans="3:23" ht="18" hidden="1">
      <c r="C834" s="3720" t="str">
        <f>T('2 REPAIR ESTIMATOR'!D883:O883)</f>
        <v/>
      </c>
      <c r="D834" s="3721"/>
      <c r="E834" s="3721"/>
      <c r="F834" s="3721"/>
      <c r="G834" s="3721"/>
      <c r="H834" s="3721"/>
      <c r="I834" s="916">
        <f>'2 REPAIR ESTIMATOR'!P883</f>
        <v>0</v>
      </c>
      <c r="J834" s="917">
        <f>'2 REPAIR ESTIMATOR'!S883</f>
        <v>0</v>
      </c>
      <c r="K834" s="918">
        <f t="shared" si="119"/>
        <v>0</v>
      </c>
      <c r="L834" s="918">
        <f t="shared" si="120"/>
        <v>0</v>
      </c>
      <c r="M834" s="918">
        <f t="shared" si="121"/>
        <v>0</v>
      </c>
      <c r="N834" s="3719">
        <f t="shared" si="122"/>
        <v>0</v>
      </c>
      <c r="O834" s="3719"/>
      <c r="P834" s="490">
        <f t="shared" si="124"/>
        <v>0</v>
      </c>
      <c r="S834" s="32">
        <f>'2 REPAIR ESTIMATOR'!AD883</f>
        <v>0</v>
      </c>
      <c r="T834" s="32">
        <f>'2 REPAIR ESTIMATOR'!AM883</f>
        <v>0</v>
      </c>
      <c r="U834" s="32">
        <f t="shared" si="123"/>
        <v>0</v>
      </c>
      <c r="V834" s="32">
        <f>'2 REPAIR ESTIMATOR'!AG883</f>
        <v>0</v>
      </c>
      <c r="W834" s="32">
        <f>'2 REPAIR ESTIMATOR'!AJ883</f>
        <v>0</v>
      </c>
    </row>
    <row r="835" spans="3:23" ht="18" hidden="1">
      <c r="C835" s="3720" t="str">
        <f>T('2 REPAIR ESTIMATOR'!D884:O884)</f>
        <v/>
      </c>
      <c r="D835" s="3721"/>
      <c r="E835" s="3721"/>
      <c r="F835" s="3721"/>
      <c r="G835" s="3721"/>
      <c r="H835" s="3721"/>
      <c r="I835" s="916">
        <f>'2 REPAIR ESTIMATOR'!P884</f>
        <v>0</v>
      </c>
      <c r="J835" s="917">
        <f>'2 REPAIR ESTIMATOR'!S884</f>
        <v>0</v>
      </c>
      <c r="K835" s="918">
        <f t="shared" si="119"/>
        <v>0</v>
      </c>
      <c r="L835" s="918">
        <f t="shared" si="120"/>
        <v>0</v>
      </c>
      <c r="M835" s="918">
        <f t="shared" si="121"/>
        <v>0</v>
      </c>
      <c r="N835" s="3719">
        <f t="shared" si="122"/>
        <v>0</v>
      </c>
      <c r="O835" s="3719"/>
      <c r="P835" s="490">
        <f t="shared" si="124"/>
        <v>0</v>
      </c>
      <c r="S835" s="32">
        <f>'2 REPAIR ESTIMATOR'!AD884</f>
        <v>0</v>
      </c>
      <c r="T835" s="32">
        <f>'2 REPAIR ESTIMATOR'!AM884</f>
        <v>0</v>
      </c>
      <c r="U835" s="32">
        <f t="shared" si="123"/>
        <v>0</v>
      </c>
      <c r="V835" s="32">
        <f>'2 REPAIR ESTIMATOR'!AG884</f>
        <v>0</v>
      </c>
      <c r="W835" s="32">
        <f>'2 REPAIR ESTIMATOR'!AJ884</f>
        <v>0</v>
      </c>
    </row>
    <row r="836" spans="3:23" ht="18" hidden="1">
      <c r="C836" s="3720" t="str">
        <f>T('2 REPAIR ESTIMATOR'!D885:O885)</f>
        <v/>
      </c>
      <c r="D836" s="3721"/>
      <c r="E836" s="3721"/>
      <c r="F836" s="3721"/>
      <c r="G836" s="3721"/>
      <c r="H836" s="3721"/>
      <c r="I836" s="916">
        <f>'2 REPAIR ESTIMATOR'!P885</f>
        <v>0</v>
      </c>
      <c r="J836" s="917">
        <f>'2 REPAIR ESTIMATOR'!S885</f>
        <v>0</v>
      </c>
      <c r="K836" s="918">
        <f t="shared" si="119"/>
        <v>0</v>
      </c>
      <c r="L836" s="918">
        <f t="shared" si="120"/>
        <v>0</v>
      </c>
      <c r="M836" s="918">
        <f t="shared" si="121"/>
        <v>0</v>
      </c>
      <c r="N836" s="3719">
        <f t="shared" si="122"/>
        <v>0</v>
      </c>
      <c r="O836" s="3719"/>
      <c r="P836" s="490">
        <f t="shared" si="124"/>
        <v>0</v>
      </c>
      <c r="S836" s="32">
        <f>'2 REPAIR ESTIMATOR'!AD885</f>
        <v>0</v>
      </c>
      <c r="T836" s="32">
        <f>'2 REPAIR ESTIMATOR'!AM885</f>
        <v>0</v>
      </c>
      <c r="U836" s="32">
        <f t="shared" si="123"/>
        <v>0</v>
      </c>
      <c r="V836" s="32">
        <f>'2 REPAIR ESTIMATOR'!AG885</f>
        <v>0</v>
      </c>
      <c r="W836" s="32">
        <f>'2 REPAIR ESTIMATOR'!AJ885</f>
        <v>0</v>
      </c>
    </row>
    <row r="837" spans="3:23" ht="18" hidden="1">
      <c r="C837" s="3720" t="str">
        <f>T('2 REPAIR ESTIMATOR'!D886:O886)</f>
        <v/>
      </c>
      <c r="D837" s="3721"/>
      <c r="E837" s="3721"/>
      <c r="F837" s="3721"/>
      <c r="G837" s="3721"/>
      <c r="H837" s="3721"/>
      <c r="I837" s="916">
        <f>'2 REPAIR ESTIMATOR'!P886</f>
        <v>0</v>
      </c>
      <c r="J837" s="917">
        <f>'2 REPAIR ESTIMATOR'!S886</f>
        <v>0</v>
      </c>
      <c r="K837" s="918">
        <f t="shared" si="119"/>
        <v>0</v>
      </c>
      <c r="L837" s="918">
        <f t="shared" si="120"/>
        <v>0</v>
      </c>
      <c r="M837" s="918">
        <f t="shared" si="121"/>
        <v>0</v>
      </c>
      <c r="N837" s="3719">
        <f t="shared" si="122"/>
        <v>0</v>
      </c>
      <c r="O837" s="3719"/>
      <c r="P837" s="490">
        <f t="shared" si="124"/>
        <v>0</v>
      </c>
      <c r="S837" s="32">
        <f>'2 REPAIR ESTIMATOR'!AD886</f>
        <v>0</v>
      </c>
      <c r="T837" s="32">
        <f>'2 REPAIR ESTIMATOR'!AM886</f>
        <v>0</v>
      </c>
      <c r="U837" s="32">
        <f t="shared" si="123"/>
        <v>0</v>
      </c>
      <c r="V837" s="32">
        <f>'2 REPAIR ESTIMATOR'!AG886</f>
        <v>0</v>
      </c>
      <c r="W837" s="32">
        <f>'2 REPAIR ESTIMATOR'!AJ886</f>
        <v>0</v>
      </c>
    </row>
    <row r="838" spans="3:23" ht="18" hidden="1">
      <c r="C838" s="3720" t="str">
        <f>T('2 REPAIR ESTIMATOR'!D887:O887)</f>
        <v/>
      </c>
      <c r="D838" s="3721"/>
      <c r="E838" s="3721"/>
      <c r="F838" s="3721"/>
      <c r="G838" s="3721"/>
      <c r="H838" s="3721"/>
      <c r="I838" s="916">
        <f>'2 REPAIR ESTIMATOR'!P887</f>
        <v>0</v>
      </c>
      <c r="J838" s="917">
        <f>'2 REPAIR ESTIMATOR'!S887</f>
        <v>0</v>
      </c>
      <c r="K838" s="918">
        <f t="shared" si="119"/>
        <v>0</v>
      </c>
      <c r="L838" s="918">
        <f t="shared" si="120"/>
        <v>0</v>
      </c>
      <c r="M838" s="918">
        <f t="shared" si="121"/>
        <v>0</v>
      </c>
      <c r="N838" s="3719">
        <f t="shared" si="122"/>
        <v>0</v>
      </c>
      <c r="O838" s="3719"/>
      <c r="P838" s="490">
        <f t="shared" si="124"/>
        <v>0</v>
      </c>
      <c r="S838" s="32">
        <f>'2 REPAIR ESTIMATOR'!AD887</f>
        <v>0</v>
      </c>
      <c r="T838" s="32">
        <f>'2 REPAIR ESTIMATOR'!AM887</f>
        <v>0</v>
      </c>
      <c r="U838" s="32">
        <f t="shared" si="123"/>
        <v>0</v>
      </c>
      <c r="V838" s="32">
        <f>'2 REPAIR ESTIMATOR'!AG887</f>
        <v>0</v>
      </c>
      <c r="W838" s="32">
        <f>'2 REPAIR ESTIMATOR'!AJ887</f>
        <v>0</v>
      </c>
    </row>
    <row r="839" spans="3:23" ht="18" hidden="1">
      <c r="C839" s="3720" t="str">
        <f>T('2 REPAIR ESTIMATOR'!D888:O888)</f>
        <v/>
      </c>
      <c r="D839" s="3721"/>
      <c r="E839" s="3721"/>
      <c r="F839" s="3721"/>
      <c r="G839" s="3721"/>
      <c r="H839" s="3721"/>
      <c r="I839" s="916">
        <f>'2 REPAIR ESTIMATOR'!P888</f>
        <v>0</v>
      </c>
      <c r="J839" s="917">
        <f>'2 REPAIR ESTIMATOR'!S888</f>
        <v>0</v>
      </c>
      <c r="K839" s="918">
        <f t="shared" si="119"/>
        <v>0</v>
      </c>
      <c r="L839" s="918">
        <f t="shared" si="120"/>
        <v>0</v>
      </c>
      <c r="M839" s="918">
        <f t="shared" si="121"/>
        <v>0</v>
      </c>
      <c r="N839" s="3719">
        <f t="shared" si="122"/>
        <v>0</v>
      </c>
      <c r="O839" s="3719"/>
      <c r="P839" s="490">
        <f t="shared" si="124"/>
        <v>0</v>
      </c>
      <c r="S839" s="32">
        <f>'2 REPAIR ESTIMATOR'!AD888</f>
        <v>0</v>
      </c>
      <c r="T839" s="32">
        <f>'2 REPAIR ESTIMATOR'!AM888</f>
        <v>0</v>
      </c>
      <c r="U839" s="32">
        <f t="shared" si="123"/>
        <v>0</v>
      </c>
      <c r="V839" s="32">
        <f>'2 REPAIR ESTIMATOR'!AG888</f>
        <v>0</v>
      </c>
      <c r="W839" s="32">
        <f>'2 REPAIR ESTIMATOR'!AJ888</f>
        <v>0</v>
      </c>
    </row>
    <row r="840" spans="3:23" ht="18" hidden="1">
      <c r="C840" s="3720" t="str">
        <f>T('2 REPAIR ESTIMATOR'!D889:O889)</f>
        <v/>
      </c>
      <c r="D840" s="3721"/>
      <c r="E840" s="3721"/>
      <c r="F840" s="3721"/>
      <c r="G840" s="3721"/>
      <c r="H840" s="3721"/>
      <c r="I840" s="916">
        <f>'2 REPAIR ESTIMATOR'!P889</f>
        <v>0</v>
      </c>
      <c r="J840" s="917">
        <f>'2 REPAIR ESTIMATOR'!S889</f>
        <v>0</v>
      </c>
      <c r="K840" s="918">
        <f t="shared" si="119"/>
        <v>0</v>
      </c>
      <c r="L840" s="918">
        <f t="shared" si="120"/>
        <v>0</v>
      </c>
      <c r="M840" s="918">
        <f t="shared" si="121"/>
        <v>0</v>
      </c>
      <c r="N840" s="3719">
        <f t="shared" si="122"/>
        <v>0</v>
      </c>
      <c r="O840" s="3719"/>
      <c r="P840" s="490">
        <f>I840</f>
        <v>0</v>
      </c>
      <c r="S840" s="32">
        <f>'2 REPAIR ESTIMATOR'!AD889</f>
        <v>0</v>
      </c>
      <c r="T840" s="32">
        <f>'2 REPAIR ESTIMATOR'!AM889</f>
        <v>0</v>
      </c>
      <c r="U840" s="32">
        <f t="shared" si="123"/>
        <v>0</v>
      </c>
      <c r="V840" s="32">
        <f>'2 REPAIR ESTIMATOR'!AG889</f>
        <v>0</v>
      </c>
      <c r="W840" s="32">
        <f>'2 REPAIR ESTIMATOR'!AJ889</f>
        <v>0</v>
      </c>
    </row>
    <row r="841" spans="3:23" ht="18" hidden="1">
      <c r="C841" s="3720" t="str">
        <f>T('2 REPAIR ESTIMATOR'!D890:O890)</f>
        <v/>
      </c>
      <c r="D841" s="3721"/>
      <c r="E841" s="3721"/>
      <c r="F841" s="3721"/>
      <c r="G841" s="3721"/>
      <c r="H841" s="3721"/>
      <c r="I841" s="916">
        <f>'2 REPAIR ESTIMATOR'!P890</f>
        <v>0</v>
      </c>
      <c r="J841" s="917">
        <f>'2 REPAIR ESTIMATOR'!S890</f>
        <v>0</v>
      </c>
      <c r="K841" s="918">
        <f t="shared" si="119"/>
        <v>0</v>
      </c>
      <c r="L841" s="918">
        <f t="shared" si="120"/>
        <v>0</v>
      </c>
      <c r="M841" s="918">
        <f t="shared" si="121"/>
        <v>0</v>
      </c>
      <c r="N841" s="3719">
        <f t="shared" si="122"/>
        <v>0</v>
      </c>
      <c r="O841" s="3719"/>
      <c r="P841" s="490">
        <f>I841</f>
        <v>0</v>
      </c>
      <c r="S841" s="32">
        <f>'2 REPAIR ESTIMATOR'!AD890</f>
        <v>0</v>
      </c>
      <c r="T841" s="32">
        <f>'2 REPAIR ESTIMATOR'!AM890</f>
        <v>0</v>
      </c>
      <c r="U841" s="32">
        <f t="shared" si="123"/>
        <v>0</v>
      </c>
      <c r="V841" s="32">
        <f>'2 REPAIR ESTIMATOR'!AG890</f>
        <v>0</v>
      </c>
      <c r="W841" s="32">
        <f>'2 REPAIR ESTIMATOR'!AJ890</f>
        <v>0</v>
      </c>
    </row>
    <row r="842" spans="3:23" ht="18" hidden="1">
      <c r="C842" s="3720" t="str">
        <f>T('2 REPAIR ESTIMATOR'!D891:O891)</f>
        <v/>
      </c>
      <c r="D842" s="3721"/>
      <c r="E842" s="3721"/>
      <c r="F842" s="3721"/>
      <c r="G842" s="3721"/>
      <c r="H842" s="3721"/>
      <c r="I842" s="916">
        <f>'2 REPAIR ESTIMATOR'!P891</f>
        <v>0</v>
      </c>
      <c r="J842" s="917">
        <f>'2 REPAIR ESTIMATOR'!S891</f>
        <v>0</v>
      </c>
      <c r="K842" s="918">
        <f t="shared" si="119"/>
        <v>0</v>
      </c>
      <c r="L842" s="918">
        <f t="shared" si="120"/>
        <v>0</v>
      </c>
      <c r="M842" s="918">
        <f t="shared" si="121"/>
        <v>0</v>
      </c>
      <c r="N842" s="3719">
        <f t="shared" si="122"/>
        <v>0</v>
      </c>
      <c r="O842" s="3719"/>
      <c r="P842" s="490">
        <f>I842</f>
        <v>0</v>
      </c>
      <c r="S842" s="32">
        <f>'2 REPAIR ESTIMATOR'!AD891</f>
        <v>0</v>
      </c>
      <c r="T842" s="32">
        <f>'2 REPAIR ESTIMATOR'!AM891</f>
        <v>0</v>
      </c>
      <c r="U842" s="32">
        <f t="shared" si="123"/>
        <v>0</v>
      </c>
      <c r="V842" s="32">
        <f>'2 REPAIR ESTIMATOR'!AG891</f>
        <v>0</v>
      </c>
      <c r="W842" s="32">
        <f>'2 REPAIR ESTIMATOR'!AJ891</f>
        <v>0</v>
      </c>
    </row>
    <row r="843" spans="3:23" ht="18.350000000000001" hidden="1" thickBot="1">
      <c r="C843" s="3779" t="str">
        <f>T('2 REPAIR ESTIMATOR'!D892:O892)</f>
        <v/>
      </c>
      <c r="D843" s="3780"/>
      <c r="E843" s="3780"/>
      <c r="F843" s="3780"/>
      <c r="G843" s="3780"/>
      <c r="H843" s="3780"/>
      <c r="I843" s="919">
        <f>'2 REPAIR ESTIMATOR'!P892</f>
        <v>0</v>
      </c>
      <c r="J843" s="920">
        <f>'2 REPAIR ESTIMATOR'!S892</f>
        <v>0</v>
      </c>
      <c r="K843" s="921">
        <f t="shared" si="119"/>
        <v>0</v>
      </c>
      <c r="L843" s="921">
        <f t="shared" si="120"/>
        <v>0</v>
      </c>
      <c r="M843" s="921">
        <f t="shared" si="121"/>
        <v>0</v>
      </c>
      <c r="N843" s="3781">
        <f t="shared" si="122"/>
        <v>0</v>
      </c>
      <c r="O843" s="3781"/>
      <c r="P843" s="490">
        <f>I843</f>
        <v>0</v>
      </c>
      <c r="S843" s="32">
        <f>'2 REPAIR ESTIMATOR'!AD892</f>
        <v>0</v>
      </c>
      <c r="T843" s="32">
        <f>'2 REPAIR ESTIMATOR'!AM892</f>
        <v>0</v>
      </c>
      <c r="U843" s="32">
        <f t="shared" si="123"/>
        <v>0</v>
      </c>
      <c r="V843" s="32">
        <f>'2 REPAIR ESTIMATOR'!AG892</f>
        <v>0</v>
      </c>
      <c r="W843" s="32">
        <f>'2 REPAIR ESTIMATOR'!AJ892</f>
        <v>0</v>
      </c>
    </row>
    <row r="844" spans="3:23" ht="18.350000000000001" hidden="1" thickBot="1">
      <c r="C844" s="3723" t="str">
        <f>T('2 REPAIR ESTIMATOR'!AC894)</f>
        <v>TILING TOTAL</v>
      </c>
      <c r="D844" s="3724"/>
      <c r="E844" s="3724"/>
      <c r="F844" s="3724"/>
      <c r="G844" s="3724"/>
      <c r="H844" s="3724"/>
      <c r="I844" s="3724"/>
      <c r="J844" s="3724"/>
      <c r="K844" s="922">
        <f>SUM(K804:K843)</f>
        <v>0</v>
      </c>
      <c r="L844" s="922">
        <f>SUM(L804:L843)</f>
        <v>0</v>
      </c>
      <c r="M844" s="922">
        <f>SUM(M804:M843)</f>
        <v>0</v>
      </c>
      <c r="N844" s="3789">
        <f>SUM(N804:O843)</f>
        <v>0</v>
      </c>
      <c r="O844" s="3789"/>
      <c r="P844" s="489">
        <f>SUM(P803:P823)</f>
        <v>0</v>
      </c>
      <c r="S844" s="33">
        <f>SUM(S804:S843)</f>
        <v>0</v>
      </c>
      <c r="T844" s="33">
        <f>SUM(T804:T843)</f>
        <v>0</v>
      </c>
      <c r="U844" s="33">
        <f>SUM(U804:U843)</f>
        <v>0</v>
      </c>
      <c r="V844" s="33">
        <f>SUM(V804:V843)</f>
        <v>0</v>
      </c>
      <c r="W844" s="33">
        <f>SUM(W804:W843)</f>
        <v>0</v>
      </c>
    </row>
    <row r="845" spans="3:23" ht="8.85" hidden="1" customHeight="1">
      <c r="C845" s="841"/>
      <c r="D845" s="841"/>
      <c r="E845" s="841"/>
      <c r="F845" s="841"/>
      <c r="G845" s="841"/>
      <c r="H845" s="841"/>
      <c r="I845" s="842"/>
      <c r="J845" s="842"/>
      <c r="K845" s="842"/>
      <c r="L845" s="842"/>
      <c r="M845" s="842"/>
      <c r="N845" s="843"/>
      <c r="O845" s="798"/>
      <c r="P845" s="489">
        <f>P844</f>
        <v>0</v>
      </c>
    </row>
    <row r="846" spans="3:23" ht="21" hidden="1" customHeight="1" thickBot="1">
      <c r="C846" s="3782" t="str">
        <f>T('2 REPAIR ESTIMATOR'!D897:O897)</f>
        <v>PAINTING</v>
      </c>
      <c r="D846" s="3783"/>
      <c r="E846" s="3783"/>
      <c r="F846" s="3783"/>
      <c r="G846" s="3783"/>
      <c r="H846" s="3783"/>
      <c r="I846" s="799">
        <f>SUM(I847:I886)</f>
        <v>0</v>
      </c>
      <c r="J846" s="800"/>
      <c r="K846" s="850"/>
      <c r="L846" s="850"/>
      <c r="M846" s="850"/>
      <c r="N846" s="3722"/>
      <c r="O846" s="3722"/>
      <c r="P846" s="489">
        <f t="shared" si="124"/>
        <v>0</v>
      </c>
      <c r="S846" s="34"/>
      <c r="T846" s="34"/>
      <c r="U846" s="34"/>
      <c r="V846" s="34"/>
      <c r="W846" s="34"/>
    </row>
    <row r="847" spans="3:23" ht="18" hidden="1">
      <c r="C847" s="3787" t="str">
        <f>T('2 REPAIR ESTIMATOR'!D898:O898)</f>
        <v>Exterior Painting</v>
      </c>
      <c r="D847" s="3788"/>
      <c r="E847" s="3788"/>
      <c r="F847" s="3788"/>
      <c r="G847" s="3788"/>
      <c r="H847" s="3788"/>
      <c r="I847" s="916">
        <f>'2 REPAIR ESTIMATOR'!P898</f>
        <v>0</v>
      </c>
      <c r="J847" s="917">
        <f>'2 REPAIR ESTIMATOR'!S898</f>
        <v>0</v>
      </c>
      <c r="K847" s="918">
        <f t="shared" ref="K847:K886" si="125">IF($N$3="subbed",U847,S847)*$S$70</f>
        <v>0</v>
      </c>
      <c r="L847" s="918">
        <f>V847*$S$70</f>
        <v>0</v>
      </c>
      <c r="M847" s="918">
        <f>W847*$S$70</f>
        <v>0</v>
      </c>
      <c r="N847" s="3719">
        <f>SUM(K847:M847)</f>
        <v>0</v>
      </c>
      <c r="O847" s="3719"/>
      <c r="P847" s="490">
        <f t="shared" si="124"/>
        <v>0</v>
      </c>
      <c r="S847" s="32">
        <f>'2 REPAIR ESTIMATOR'!AD898</f>
        <v>0</v>
      </c>
      <c r="T847" s="32">
        <f>'2 REPAIR ESTIMATOR'!AM898</f>
        <v>0</v>
      </c>
      <c r="U847" s="32">
        <f>T847+S847</f>
        <v>0</v>
      </c>
      <c r="V847" s="32">
        <f>'2 REPAIR ESTIMATOR'!AG898</f>
        <v>0</v>
      </c>
      <c r="W847" s="32">
        <f>'2 REPAIR ESTIMATOR'!AJ898</f>
        <v>0</v>
      </c>
    </row>
    <row r="848" spans="3:23" ht="18" hidden="1">
      <c r="C848" s="3720" t="str">
        <f>T('2 REPAIR ESTIMATOR'!D899:O899)</f>
        <v>Exterior painting, bid/allowance</v>
      </c>
      <c r="D848" s="3721"/>
      <c r="E848" s="3721"/>
      <c r="F848" s="3721"/>
      <c r="G848" s="3721"/>
      <c r="H848" s="3721"/>
      <c r="I848" s="916">
        <f>'2 REPAIR ESTIMATOR'!P899</f>
        <v>0</v>
      </c>
      <c r="J848" s="917" t="str">
        <f>'2 REPAIR ESTIMATOR'!S899</f>
        <v>ls</v>
      </c>
      <c r="K848" s="918">
        <f t="shared" si="125"/>
        <v>0</v>
      </c>
      <c r="L848" s="918">
        <f t="shared" ref="L848:L886" si="126">V848*$S$70</f>
        <v>0</v>
      </c>
      <c r="M848" s="918">
        <f t="shared" ref="M848:M886" si="127">W848*$S$70</f>
        <v>0</v>
      </c>
      <c r="N848" s="3719">
        <f t="shared" ref="N848:N886" si="128">SUM(K848:M848)</f>
        <v>0</v>
      </c>
      <c r="O848" s="3719"/>
      <c r="P848" s="489">
        <f t="shared" si="124"/>
        <v>0</v>
      </c>
      <c r="S848" s="32">
        <f>'2 REPAIR ESTIMATOR'!AD899</f>
        <v>0</v>
      </c>
      <c r="T848" s="32">
        <f>'2 REPAIR ESTIMATOR'!AM899</f>
        <v>0</v>
      </c>
      <c r="U848" s="32">
        <f t="shared" ref="U848:U886" si="129">T848+S848</f>
        <v>0</v>
      </c>
      <c r="V848" s="32">
        <f>'2 REPAIR ESTIMATOR'!AG899</f>
        <v>0</v>
      </c>
      <c r="W848" s="32">
        <f>'2 REPAIR ESTIMATOR'!AJ899</f>
        <v>0</v>
      </c>
    </row>
    <row r="849" spans="3:23" ht="18" hidden="1">
      <c r="C849" s="3720" t="str">
        <f>T('2 REPAIR ESTIMATOR'!D900:O900)</f>
        <v>Exterior painting materials allowance</v>
      </c>
      <c r="D849" s="3721"/>
      <c r="E849" s="3721"/>
      <c r="F849" s="3721"/>
      <c r="G849" s="3721"/>
      <c r="H849" s="3721"/>
      <c r="I849" s="916">
        <f>'2 REPAIR ESTIMATOR'!P900</f>
        <v>0</v>
      </c>
      <c r="J849" s="917" t="str">
        <f>'2 REPAIR ESTIMATOR'!S900</f>
        <v>gal</v>
      </c>
      <c r="K849" s="918">
        <f t="shared" si="125"/>
        <v>0</v>
      </c>
      <c r="L849" s="918">
        <f t="shared" si="126"/>
        <v>0</v>
      </c>
      <c r="M849" s="918">
        <f t="shared" si="127"/>
        <v>0</v>
      </c>
      <c r="N849" s="3719">
        <f t="shared" si="128"/>
        <v>0</v>
      </c>
      <c r="O849" s="3719"/>
      <c r="P849" s="489">
        <f t="shared" si="124"/>
        <v>0</v>
      </c>
      <c r="S849" s="32">
        <f>'2 REPAIR ESTIMATOR'!AD900</f>
        <v>0</v>
      </c>
      <c r="T849" s="32">
        <f>'2 REPAIR ESTIMATOR'!AM900</f>
        <v>0</v>
      </c>
      <c r="U849" s="32">
        <f t="shared" si="129"/>
        <v>0</v>
      </c>
      <c r="V849" s="32">
        <f>'2 REPAIR ESTIMATOR'!AG900</f>
        <v>0</v>
      </c>
      <c r="W849" s="32">
        <f>'2 REPAIR ESTIMATOR'!AJ900</f>
        <v>0</v>
      </c>
    </row>
    <row r="850" spans="3:23" ht="18" hidden="1">
      <c r="C850" s="3720" t="str">
        <f>T('2 REPAIR ESTIMATOR'!D901:O901)</f>
        <v>Prep/clean siding</v>
      </c>
      <c r="D850" s="3721"/>
      <c r="E850" s="3721"/>
      <c r="F850" s="3721"/>
      <c r="G850" s="3721"/>
      <c r="H850" s="3721"/>
      <c r="I850" s="916">
        <f>'2 REPAIR ESTIMATOR'!P901</f>
        <v>0</v>
      </c>
      <c r="J850" s="917" t="str">
        <f>'2 REPAIR ESTIMATOR'!S901</f>
        <v>sf</v>
      </c>
      <c r="K850" s="918">
        <f t="shared" si="125"/>
        <v>0</v>
      </c>
      <c r="L850" s="918">
        <f t="shared" si="126"/>
        <v>0</v>
      </c>
      <c r="M850" s="918">
        <f t="shared" si="127"/>
        <v>0</v>
      </c>
      <c r="N850" s="3719">
        <f t="shared" si="128"/>
        <v>0</v>
      </c>
      <c r="O850" s="3719"/>
      <c r="P850" s="490">
        <f t="shared" si="124"/>
        <v>0</v>
      </c>
      <c r="S850" s="32">
        <f>'2 REPAIR ESTIMATOR'!AD901</f>
        <v>0</v>
      </c>
      <c r="T850" s="32">
        <f>'2 REPAIR ESTIMATOR'!AM901</f>
        <v>0</v>
      </c>
      <c r="U850" s="32">
        <f t="shared" si="129"/>
        <v>0</v>
      </c>
      <c r="V850" s="32">
        <f>'2 REPAIR ESTIMATOR'!AG901</f>
        <v>0</v>
      </c>
      <c r="W850" s="32">
        <f>'2 REPAIR ESTIMATOR'!AJ901</f>
        <v>0</v>
      </c>
    </row>
    <row r="851" spans="3:23" ht="18" hidden="1">
      <c r="C851" s="3720" t="str">
        <f>T('2 REPAIR ESTIMATOR'!D902:O902)</f>
        <v>Paint siding</v>
      </c>
      <c r="D851" s="3721"/>
      <c r="E851" s="3721"/>
      <c r="F851" s="3721"/>
      <c r="G851" s="3721"/>
      <c r="H851" s="3721"/>
      <c r="I851" s="916">
        <f>'2 REPAIR ESTIMATOR'!P902</f>
        <v>0</v>
      </c>
      <c r="J851" s="917" t="str">
        <f>'2 REPAIR ESTIMATOR'!S902</f>
        <v>sf</v>
      </c>
      <c r="K851" s="918">
        <f t="shared" si="125"/>
        <v>0</v>
      </c>
      <c r="L851" s="918">
        <f t="shared" si="126"/>
        <v>0</v>
      </c>
      <c r="M851" s="918">
        <f t="shared" si="127"/>
        <v>0</v>
      </c>
      <c r="N851" s="3719">
        <f t="shared" si="128"/>
        <v>0</v>
      </c>
      <c r="O851" s="3719"/>
      <c r="P851" s="490">
        <f t="shared" si="124"/>
        <v>0</v>
      </c>
      <c r="S851" s="32">
        <f>'2 REPAIR ESTIMATOR'!AD902</f>
        <v>0</v>
      </c>
      <c r="T851" s="32">
        <f>'2 REPAIR ESTIMATOR'!AM902</f>
        <v>0</v>
      </c>
      <c r="U851" s="32">
        <f t="shared" si="129"/>
        <v>0</v>
      </c>
      <c r="V851" s="32">
        <f>'2 REPAIR ESTIMATOR'!AG902</f>
        <v>0</v>
      </c>
      <c r="W851" s="32">
        <f>'2 REPAIR ESTIMATOR'!AJ902</f>
        <v>0</v>
      </c>
    </row>
    <row r="852" spans="3:23" ht="18" hidden="1">
      <c r="C852" s="3720" t="str">
        <f>T('2 REPAIR ESTIMATOR'!D903:O903)</f>
        <v>Paint exterior door</v>
      </c>
      <c r="D852" s="3721"/>
      <c r="E852" s="3721"/>
      <c r="F852" s="3721"/>
      <c r="G852" s="3721"/>
      <c r="H852" s="3721"/>
      <c r="I852" s="916">
        <f>'2 REPAIR ESTIMATOR'!P903</f>
        <v>0</v>
      </c>
      <c r="J852" s="917" t="str">
        <f>'2 REPAIR ESTIMATOR'!S903</f>
        <v>ea</v>
      </c>
      <c r="K852" s="918">
        <f t="shared" si="125"/>
        <v>0</v>
      </c>
      <c r="L852" s="918">
        <f t="shared" si="126"/>
        <v>0</v>
      </c>
      <c r="M852" s="918">
        <f t="shared" si="127"/>
        <v>0</v>
      </c>
      <c r="N852" s="3719">
        <f t="shared" si="128"/>
        <v>0</v>
      </c>
      <c r="O852" s="3719"/>
      <c r="P852" s="490">
        <f t="shared" si="124"/>
        <v>0</v>
      </c>
      <c r="S852" s="32">
        <f>'2 REPAIR ESTIMATOR'!AD903</f>
        <v>0</v>
      </c>
      <c r="T852" s="32">
        <f>'2 REPAIR ESTIMATOR'!AM903</f>
        <v>0</v>
      </c>
      <c r="U852" s="32">
        <f t="shared" si="129"/>
        <v>0</v>
      </c>
      <c r="V852" s="32">
        <f>'2 REPAIR ESTIMATOR'!AG903</f>
        <v>0</v>
      </c>
      <c r="W852" s="32">
        <f>'2 REPAIR ESTIMATOR'!AJ903</f>
        <v>0</v>
      </c>
    </row>
    <row r="853" spans="3:23" ht="18" hidden="1">
      <c r="C853" s="3720" t="str">
        <f>T('2 REPAIR ESTIMATOR'!D904:O904)</f>
        <v>Paint trim only</v>
      </c>
      <c r="D853" s="3721"/>
      <c r="E853" s="3721"/>
      <c r="F853" s="3721"/>
      <c r="G853" s="3721"/>
      <c r="H853" s="3721"/>
      <c r="I853" s="916">
        <f>'2 REPAIR ESTIMATOR'!P904</f>
        <v>0</v>
      </c>
      <c r="J853" s="917" t="str">
        <f>'2 REPAIR ESTIMATOR'!S904</f>
        <v>lf</v>
      </c>
      <c r="K853" s="918">
        <f t="shared" si="125"/>
        <v>0</v>
      </c>
      <c r="L853" s="918">
        <f t="shared" si="126"/>
        <v>0</v>
      </c>
      <c r="M853" s="918">
        <f t="shared" si="127"/>
        <v>0</v>
      </c>
      <c r="N853" s="3719">
        <f t="shared" si="128"/>
        <v>0</v>
      </c>
      <c r="O853" s="3719"/>
      <c r="P853" s="490">
        <f t="shared" si="124"/>
        <v>0</v>
      </c>
      <c r="S853" s="32">
        <f>'2 REPAIR ESTIMATOR'!AD904</f>
        <v>0</v>
      </c>
      <c r="T853" s="32">
        <f>'2 REPAIR ESTIMATOR'!AM904</f>
        <v>0</v>
      </c>
      <c r="U853" s="32">
        <f t="shared" si="129"/>
        <v>0</v>
      </c>
      <c r="V853" s="32">
        <f>'2 REPAIR ESTIMATOR'!AG904</f>
        <v>0</v>
      </c>
      <c r="W853" s="32">
        <f>'2 REPAIR ESTIMATOR'!AJ904</f>
        <v>0</v>
      </c>
    </row>
    <row r="854" spans="3:23" ht="18" hidden="1">
      <c r="C854" s="3720" t="str">
        <f>T('2 REPAIR ESTIMATOR'!D905:O905)</f>
        <v>Sand &amp; refinish decking</v>
      </c>
      <c r="D854" s="3721"/>
      <c r="E854" s="3721"/>
      <c r="F854" s="3721"/>
      <c r="G854" s="3721"/>
      <c r="H854" s="3721"/>
      <c r="I854" s="916">
        <f>'2 REPAIR ESTIMATOR'!P905</f>
        <v>0</v>
      </c>
      <c r="J854" s="917" t="str">
        <f>'2 REPAIR ESTIMATOR'!S905</f>
        <v>sf</v>
      </c>
      <c r="K854" s="918">
        <f t="shared" si="125"/>
        <v>0</v>
      </c>
      <c r="L854" s="918">
        <f t="shared" si="126"/>
        <v>0</v>
      </c>
      <c r="M854" s="918">
        <f t="shared" si="127"/>
        <v>0</v>
      </c>
      <c r="N854" s="3719">
        <f t="shared" si="128"/>
        <v>0</v>
      </c>
      <c r="O854" s="3719"/>
      <c r="P854" s="490">
        <f t="shared" si="124"/>
        <v>0</v>
      </c>
      <c r="S854" s="32">
        <f>'2 REPAIR ESTIMATOR'!AD905</f>
        <v>0</v>
      </c>
      <c r="T854" s="32">
        <f>'2 REPAIR ESTIMATOR'!AM905</f>
        <v>0</v>
      </c>
      <c r="U854" s="32">
        <f t="shared" si="129"/>
        <v>0</v>
      </c>
      <c r="V854" s="32">
        <f>'2 REPAIR ESTIMATOR'!AG905</f>
        <v>0</v>
      </c>
      <c r="W854" s="32">
        <f>'2 REPAIR ESTIMATOR'!AJ905</f>
        <v>0</v>
      </c>
    </row>
    <row r="855" spans="3:23" ht="18" hidden="1">
      <c r="C855" s="3720" t="str">
        <f>T('2 REPAIR ESTIMATOR'!D906:O906)</f>
        <v/>
      </c>
      <c r="D855" s="3721"/>
      <c r="E855" s="3721"/>
      <c r="F855" s="3721"/>
      <c r="G855" s="3721"/>
      <c r="H855" s="3721"/>
      <c r="I855" s="916">
        <f>'2 REPAIR ESTIMATOR'!P906</f>
        <v>0</v>
      </c>
      <c r="J855" s="917">
        <f>'2 REPAIR ESTIMATOR'!S906</f>
        <v>0</v>
      </c>
      <c r="K855" s="918">
        <f t="shared" si="125"/>
        <v>0</v>
      </c>
      <c r="L855" s="918">
        <f t="shared" si="126"/>
        <v>0</v>
      </c>
      <c r="M855" s="918">
        <f t="shared" si="127"/>
        <v>0</v>
      </c>
      <c r="N855" s="3719">
        <f t="shared" si="128"/>
        <v>0</v>
      </c>
      <c r="O855" s="3719"/>
      <c r="P855" s="490">
        <f t="shared" si="124"/>
        <v>0</v>
      </c>
      <c r="S855" s="32">
        <f>'2 REPAIR ESTIMATOR'!AD906</f>
        <v>0</v>
      </c>
      <c r="T855" s="32">
        <f>'2 REPAIR ESTIMATOR'!AM906</f>
        <v>0</v>
      </c>
      <c r="U855" s="32">
        <f t="shared" si="129"/>
        <v>0</v>
      </c>
      <c r="V855" s="32">
        <f>'2 REPAIR ESTIMATOR'!AG906</f>
        <v>0</v>
      </c>
      <c r="W855" s="32">
        <f>'2 REPAIR ESTIMATOR'!AJ906</f>
        <v>0</v>
      </c>
    </row>
    <row r="856" spans="3:23" ht="18" hidden="1">
      <c r="C856" s="3720" t="str">
        <f>T('2 REPAIR ESTIMATOR'!D907:O907)</f>
        <v/>
      </c>
      <c r="D856" s="3721"/>
      <c r="E856" s="3721"/>
      <c r="F856" s="3721"/>
      <c r="G856" s="3721"/>
      <c r="H856" s="3721"/>
      <c r="I856" s="916">
        <f>'2 REPAIR ESTIMATOR'!P907</f>
        <v>0</v>
      </c>
      <c r="J856" s="917">
        <f>'2 REPAIR ESTIMATOR'!S907</f>
        <v>0</v>
      </c>
      <c r="K856" s="918">
        <f t="shared" si="125"/>
        <v>0</v>
      </c>
      <c r="L856" s="918">
        <f t="shared" si="126"/>
        <v>0</v>
      </c>
      <c r="M856" s="918">
        <f t="shared" si="127"/>
        <v>0</v>
      </c>
      <c r="N856" s="3719">
        <f t="shared" si="128"/>
        <v>0</v>
      </c>
      <c r="O856" s="3719"/>
      <c r="P856" s="490">
        <f t="shared" si="124"/>
        <v>0</v>
      </c>
      <c r="S856" s="32">
        <f>'2 REPAIR ESTIMATOR'!AD907</f>
        <v>0</v>
      </c>
      <c r="T856" s="32">
        <f>'2 REPAIR ESTIMATOR'!AM907</f>
        <v>0</v>
      </c>
      <c r="U856" s="32">
        <f t="shared" si="129"/>
        <v>0</v>
      </c>
      <c r="V856" s="32">
        <f>'2 REPAIR ESTIMATOR'!AG907</f>
        <v>0</v>
      </c>
      <c r="W856" s="32">
        <f>'2 REPAIR ESTIMATOR'!AJ907</f>
        <v>0</v>
      </c>
    </row>
    <row r="857" spans="3:23" ht="18" hidden="1">
      <c r="C857" s="3787" t="str">
        <f>T('2 REPAIR ESTIMATOR'!D908:O908)</f>
        <v>Interior Painting</v>
      </c>
      <c r="D857" s="3788"/>
      <c r="E857" s="3788"/>
      <c r="F857" s="3788"/>
      <c r="G857" s="3788"/>
      <c r="H857" s="3788"/>
      <c r="I857" s="916">
        <f>'2 REPAIR ESTIMATOR'!P908</f>
        <v>0</v>
      </c>
      <c r="J857" s="917">
        <f>'2 REPAIR ESTIMATOR'!S908</f>
        <v>0</v>
      </c>
      <c r="K857" s="918">
        <f t="shared" si="125"/>
        <v>0</v>
      </c>
      <c r="L857" s="918">
        <f t="shared" si="126"/>
        <v>0</v>
      </c>
      <c r="M857" s="918">
        <f t="shared" si="127"/>
        <v>0</v>
      </c>
      <c r="N857" s="3719">
        <f t="shared" si="128"/>
        <v>0</v>
      </c>
      <c r="O857" s="3719"/>
      <c r="P857" s="490">
        <f t="shared" si="124"/>
        <v>0</v>
      </c>
      <c r="S857" s="32">
        <f>'2 REPAIR ESTIMATOR'!AD908</f>
        <v>0</v>
      </c>
      <c r="T857" s="32">
        <f>'2 REPAIR ESTIMATOR'!AM908</f>
        <v>0</v>
      </c>
      <c r="U857" s="32">
        <f t="shared" si="129"/>
        <v>0</v>
      </c>
      <c r="V857" s="32">
        <f>'2 REPAIR ESTIMATOR'!AG908</f>
        <v>0</v>
      </c>
      <c r="W857" s="32">
        <f>'2 REPAIR ESTIMATOR'!AJ908</f>
        <v>0</v>
      </c>
    </row>
    <row r="858" spans="3:23" ht="18" hidden="1">
      <c r="C858" s="3720" t="str">
        <f>T('2 REPAIR ESTIMATOR'!D909:O909)</f>
        <v>Interior painting, bid/allowance</v>
      </c>
      <c r="D858" s="3721"/>
      <c r="E858" s="3721"/>
      <c r="F858" s="3721"/>
      <c r="G858" s="3721"/>
      <c r="H858" s="3721"/>
      <c r="I858" s="916">
        <f>'2 REPAIR ESTIMATOR'!P909</f>
        <v>0</v>
      </c>
      <c r="J858" s="917" t="str">
        <f>'2 REPAIR ESTIMATOR'!S909</f>
        <v>ls</v>
      </c>
      <c r="K858" s="918">
        <f t="shared" si="125"/>
        <v>0</v>
      </c>
      <c r="L858" s="918">
        <f t="shared" si="126"/>
        <v>0</v>
      </c>
      <c r="M858" s="918">
        <f t="shared" si="127"/>
        <v>0</v>
      </c>
      <c r="N858" s="3719">
        <f t="shared" si="128"/>
        <v>0</v>
      </c>
      <c r="O858" s="3719"/>
      <c r="P858" s="489">
        <f t="shared" si="124"/>
        <v>0</v>
      </c>
      <c r="S858" s="32">
        <f>'2 REPAIR ESTIMATOR'!AD909</f>
        <v>0</v>
      </c>
      <c r="T858" s="32">
        <f>'2 REPAIR ESTIMATOR'!AM909</f>
        <v>0</v>
      </c>
      <c r="U858" s="32">
        <f t="shared" si="129"/>
        <v>0</v>
      </c>
      <c r="V858" s="32">
        <f>'2 REPAIR ESTIMATOR'!AG909</f>
        <v>0</v>
      </c>
      <c r="W858" s="32">
        <f>'2 REPAIR ESTIMATOR'!AJ909</f>
        <v>0</v>
      </c>
    </row>
    <row r="859" spans="3:23" ht="18" hidden="1">
      <c r="C859" s="3720" t="str">
        <f>T('2 REPAIR ESTIMATOR'!D910:O910)</f>
        <v>Interior painting materials allowance</v>
      </c>
      <c r="D859" s="3721"/>
      <c r="E859" s="3721"/>
      <c r="F859" s="3721"/>
      <c r="G859" s="3721"/>
      <c r="H859" s="3721"/>
      <c r="I859" s="916">
        <f>'2 REPAIR ESTIMATOR'!P910</f>
        <v>0</v>
      </c>
      <c r="J859" s="917" t="str">
        <f>'2 REPAIR ESTIMATOR'!S910</f>
        <v>gal</v>
      </c>
      <c r="K859" s="918">
        <f t="shared" si="125"/>
        <v>0</v>
      </c>
      <c r="L859" s="918">
        <f t="shared" si="126"/>
        <v>0</v>
      </c>
      <c r="M859" s="918">
        <f t="shared" si="127"/>
        <v>0</v>
      </c>
      <c r="N859" s="3719">
        <f t="shared" si="128"/>
        <v>0</v>
      </c>
      <c r="O859" s="3719"/>
      <c r="P859" s="489">
        <f t="shared" si="124"/>
        <v>0</v>
      </c>
      <c r="S859" s="32">
        <f>'2 REPAIR ESTIMATOR'!AD910</f>
        <v>0</v>
      </c>
      <c r="T859" s="32">
        <f>'2 REPAIR ESTIMATOR'!AM910</f>
        <v>0</v>
      </c>
      <c r="U859" s="32">
        <f t="shared" si="129"/>
        <v>0</v>
      </c>
      <c r="V859" s="32">
        <f>'2 REPAIR ESTIMATOR'!AG910</f>
        <v>0</v>
      </c>
      <c r="W859" s="32">
        <f>'2 REPAIR ESTIMATOR'!AJ910</f>
        <v>0</v>
      </c>
    </row>
    <row r="860" spans="3:23" ht="18" hidden="1">
      <c r="C860" s="3720" t="str">
        <f>T('2 REPAIR ESTIMATOR'!D911:O911)</f>
        <v>Paint doors &amp; frames</v>
      </c>
      <c r="D860" s="3721"/>
      <c r="E860" s="3721"/>
      <c r="F860" s="3721"/>
      <c r="G860" s="3721"/>
      <c r="H860" s="3721"/>
      <c r="I860" s="916">
        <f>'2 REPAIR ESTIMATOR'!P911</f>
        <v>0</v>
      </c>
      <c r="J860" s="917" t="str">
        <f>'2 REPAIR ESTIMATOR'!S911</f>
        <v>ea</v>
      </c>
      <c r="K860" s="918">
        <f t="shared" si="125"/>
        <v>0</v>
      </c>
      <c r="L860" s="918">
        <f t="shared" si="126"/>
        <v>0</v>
      </c>
      <c r="M860" s="918">
        <f t="shared" si="127"/>
        <v>0</v>
      </c>
      <c r="N860" s="3719">
        <f t="shared" si="128"/>
        <v>0</v>
      </c>
      <c r="O860" s="3719"/>
      <c r="P860" s="490">
        <f t="shared" si="124"/>
        <v>0</v>
      </c>
      <c r="S860" s="32">
        <f>'2 REPAIR ESTIMATOR'!AD911</f>
        <v>0</v>
      </c>
      <c r="T860" s="32">
        <f>'2 REPAIR ESTIMATOR'!AM911</f>
        <v>0</v>
      </c>
      <c r="U860" s="32">
        <f t="shared" si="129"/>
        <v>0</v>
      </c>
      <c r="V860" s="32">
        <f>'2 REPAIR ESTIMATOR'!AG911</f>
        <v>0</v>
      </c>
      <c r="W860" s="32">
        <f>'2 REPAIR ESTIMATOR'!AJ911</f>
        <v>0</v>
      </c>
    </row>
    <row r="861" spans="3:23" ht="18" hidden="1">
      <c r="C861" s="3720" t="str">
        <f>T('2 REPAIR ESTIMATOR'!D912:O912)</f>
        <v>Paint walls</v>
      </c>
      <c r="D861" s="3721"/>
      <c r="E861" s="3721"/>
      <c r="F861" s="3721"/>
      <c r="G861" s="3721"/>
      <c r="H861" s="3721"/>
      <c r="I861" s="916">
        <f>'2 REPAIR ESTIMATOR'!P912</f>
        <v>0</v>
      </c>
      <c r="J861" s="917" t="str">
        <f>'2 REPAIR ESTIMATOR'!S912</f>
        <v>sf</v>
      </c>
      <c r="K861" s="918">
        <f t="shared" si="125"/>
        <v>0</v>
      </c>
      <c r="L861" s="918">
        <f t="shared" si="126"/>
        <v>0</v>
      </c>
      <c r="M861" s="918">
        <f t="shared" si="127"/>
        <v>0</v>
      </c>
      <c r="N861" s="3719">
        <f t="shared" si="128"/>
        <v>0</v>
      </c>
      <c r="O861" s="3719"/>
      <c r="P861" s="490">
        <f t="shared" si="124"/>
        <v>0</v>
      </c>
      <c r="S861" s="32">
        <f>'2 REPAIR ESTIMATOR'!AD912</f>
        <v>0</v>
      </c>
      <c r="T861" s="32">
        <f>'2 REPAIR ESTIMATOR'!AM912</f>
        <v>0</v>
      </c>
      <c r="U861" s="32">
        <f t="shared" si="129"/>
        <v>0</v>
      </c>
      <c r="V861" s="32">
        <f>'2 REPAIR ESTIMATOR'!AG912</f>
        <v>0</v>
      </c>
      <c r="W861" s="32">
        <f>'2 REPAIR ESTIMATOR'!AJ912</f>
        <v>0</v>
      </c>
    </row>
    <row r="862" spans="3:23" ht="18" hidden="1">
      <c r="C862" s="3720" t="str">
        <f>T('2 REPAIR ESTIMATOR'!D913:O913)</f>
        <v>Paint ceilings</v>
      </c>
      <c r="D862" s="3721"/>
      <c r="E862" s="3721"/>
      <c r="F862" s="3721"/>
      <c r="G862" s="3721"/>
      <c r="H862" s="3721"/>
      <c r="I862" s="916">
        <f>'2 REPAIR ESTIMATOR'!P913</f>
        <v>0</v>
      </c>
      <c r="J862" s="917" t="str">
        <f>'2 REPAIR ESTIMATOR'!S913</f>
        <v>sf</v>
      </c>
      <c r="K862" s="918">
        <f t="shared" si="125"/>
        <v>0</v>
      </c>
      <c r="L862" s="918">
        <f t="shared" si="126"/>
        <v>0</v>
      </c>
      <c r="M862" s="918">
        <f t="shared" si="127"/>
        <v>0</v>
      </c>
      <c r="N862" s="3719">
        <f t="shared" si="128"/>
        <v>0</v>
      </c>
      <c r="O862" s="3719"/>
      <c r="P862" s="490">
        <f t="shared" si="124"/>
        <v>0</v>
      </c>
      <c r="S862" s="32">
        <f>'2 REPAIR ESTIMATOR'!AD913</f>
        <v>0</v>
      </c>
      <c r="T862" s="32">
        <f>'2 REPAIR ESTIMATOR'!AM913</f>
        <v>0</v>
      </c>
      <c r="U862" s="32">
        <f t="shared" si="129"/>
        <v>0</v>
      </c>
      <c r="V862" s="32">
        <f>'2 REPAIR ESTIMATOR'!AG913</f>
        <v>0</v>
      </c>
      <c r="W862" s="32">
        <f>'2 REPAIR ESTIMATOR'!AJ913</f>
        <v>0</v>
      </c>
    </row>
    <row r="863" spans="3:23" ht="18" hidden="1">
      <c r="C863" s="3720" t="str">
        <f>T('2 REPAIR ESTIMATOR'!D914:O914)</f>
        <v>Paint wood base</v>
      </c>
      <c r="D863" s="3721"/>
      <c r="E863" s="3721"/>
      <c r="F863" s="3721"/>
      <c r="G863" s="3721"/>
      <c r="H863" s="3721"/>
      <c r="I863" s="916">
        <f>'2 REPAIR ESTIMATOR'!P914</f>
        <v>0</v>
      </c>
      <c r="J863" s="917" t="str">
        <f>'2 REPAIR ESTIMATOR'!S914</f>
        <v>lf</v>
      </c>
      <c r="K863" s="918">
        <f t="shared" si="125"/>
        <v>0</v>
      </c>
      <c r="L863" s="918">
        <f t="shared" si="126"/>
        <v>0</v>
      </c>
      <c r="M863" s="918">
        <f t="shared" si="127"/>
        <v>0</v>
      </c>
      <c r="N863" s="3719">
        <f t="shared" si="128"/>
        <v>0</v>
      </c>
      <c r="O863" s="3719"/>
      <c r="P863" s="490">
        <f t="shared" si="124"/>
        <v>0</v>
      </c>
      <c r="S863" s="32">
        <f>'2 REPAIR ESTIMATOR'!AD914</f>
        <v>0</v>
      </c>
      <c r="T863" s="32">
        <f>'2 REPAIR ESTIMATOR'!AM914</f>
        <v>0</v>
      </c>
      <c r="U863" s="32">
        <f t="shared" si="129"/>
        <v>0</v>
      </c>
      <c r="V863" s="32">
        <f>'2 REPAIR ESTIMATOR'!AG914</f>
        <v>0</v>
      </c>
      <c r="W863" s="32">
        <f>'2 REPAIR ESTIMATOR'!AJ914</f>
        <v>0</v>
      </c>
    </row>
    <row r="864" spans="3:23" ht="18" hidden="1">
      <c r="C864" s="3720" t="str">
        <f>T('2 REPAIR ESTIMATOR'!D915:O915)</f>
        <v>Strip, paint cabinets/vanities</v>
      </c>
      <c r="D864" s="3721"/>
      <c r="E864" s="3721"/>
      <c r="F864" s="3721"/>
      <c r="G864" s="3721"/>
      <c r="H864" s="3721"/>
      <c r="I864" s="916">
        <f>'2 REPAIR ESTIMATOR'!P915</f>
        <v>0</v>
      </c>
      <c r="J864" s="917" t="str">
        <f>'2 REPAIR ESTIMATOR'!S915</f>
        <v>sf</v>
      </c>
      <c r="K864" s="918">
        <f t="shared" si="125"/>
        <v>0</v>
      </c>
      <c r="L864" s="918">
        <f t="shared" si="126"/>
        <v>0</v>
      </c>
      <c r="M864" s="918">
        <f t="shared" si="127"/>
        <v>0</v>
      </c>
      <c r="N864" s="3719">
        <f t="shared" si="128"/>
        <v>0</v>
      </c>
      <c r="O864" s="3719"/>
      <c r="P864" s="490">
        <f t="shared" si="124"/>
        <v>0</v>
      </c>
      <c r="S864" s="32">
        <f>'2 REPAIR ESTIMATOR'!AD915</f>
        <v>0</v>
      </c>
      <c r="T864" s="32">
        <f>'2 REPAIR ESTIMATOR'!AM915</f>
        <v>0</v>
      </c>
      <c r="U864" s="32">
        <f t="shared" si="129"/>
        <v>0</v>
      </c>
      <c r="V864" s="32">
        <f>'2 REPAIR ESTIMATOR'!AG915</f>
        <v>0</v>
      </c>
      <c r="W864" s="32">
        <f>'2 REPAIR ESTIMATOR'!AJ915</f>
        <v>0</v>
      </c>
    </row>
    <row r="865" spans="3:23" ht="18" hidden="1">
      <c r="C865" s="3720" t="str">
        <f>T('2 REPAIR ESTIMATOR'!D916:O916)</f>
        <v/>
      </c>
      <c r="D865" s="3721"/>
      <c r="E865" s="3721"/>
      <c r="F865" s="3721"/>
      <c r="G865" s="3721"/>
      <c r="H865" s="3721"/>
      <c r="I865" s="916">
        <f>'2 REPAIR ESTIMATOR'!P916</f>
        <v>0</v>
      </c>
      <c r="J865" s="917">
        <f>'2 REPAIR ESTIMATOR'!S916</f>
        <v>0</v>
      </c>
      <c r="K865" s="918">
        <f t="shared" si="125"/>
        <v>0</v>
      </c>
      <c r="L865" s="918">
        <f t="shared" si="126"/>
        <v>0</v>
      </c>
      <c r="M865" s="918">
        <f t="shared" si="127"/>
        <v>0</v>
      </c>
      <c r="N865" s="3719">
        <f t="shared" si="128"/>
        <v>0</v>
      </c>
      <c r="O865" s="3719"/>
      <c r="P865" s="490">
        <f t="shared" si="124"/>
        <v>0</v>
      </c>
      <c r="S865" s="32">
        <f>'2 REPAIR ESTIMATOR'!AD916</f>
        <v>0</v>
      </c>
      <c r="T865" s="32">
        <f>'2 REPAIR ESTIMATOR'!AM916</f>
        <v>0</v>
      </c>
      <c r="U865" s="32">
        <f t="shared" si="129"/>
        <v>0</v>
      </c>
      <c r="V865" s="32">
        <f>'2 REPAIR ESTIMATOR'!AG916</f>
        <v>0</v>
      </c>
      <c r="W865" s="32">
        <f>'2 REPAIR ESTIMATOR'!AJ916</f>
        <v>0</v>
      </c>
    </row>
    <row r="866" spans="3:23" ht="18" hidden="1">
      <c r="C866" s="3720" t="str">
        <f>T('2 REPAIR ESTIMATOR'!D917:O917)</f>
        <v/>
      </c>
      <c r="D866" s="3721"/>
      <c r="E866" s="3721"/>
      <c r="F866" s="3721"/>
      <c r="G866" s="3721"/>
      <c r="H866" s="3721"/>
      <c r="I866" s="916">
        <f>'2 REPAIR ESTIMATOR'!P917</f>
        <v>0</v>
      </c>
      <c r="J866" s="917">
        <f>'2 REPAIR ESTIMATOR'!S917</f>
        <v>0</v>
      </c>
      <c r="K866" s="918">
        <f t="shared" si="125"/>
        <v>0</v>
      </c>
      <c r="L866" s="918">
        <f t="shared" si="126"/>
        <v>0</v>
      </c>
      <c r="M866" s="918">
        <f t="shared" si="127"/>
        <v>0</v>
      </c>
      <c r="N866" s="3719">
        <f t="shared" si="128"/>
        <v>0</v>
      </c>
      <c r="O866" s="3719"/>
      <c r="P866" s="490">
        <f t="shared" si="124"/>
        <v>0</v>
      </c>
      <c r="S866" s="32">
        <f>'2 REPAIR ESTIMATOR'!AD917</f>
        <v>0</v>
      </c>
      <c r="T866" s="32">
        <f>'2 REPAIR ESTIMATOR'!AM917</f>
        <v>0</v>
      </c>
      <c r="U866" s="32">
        <f t="shared" si="129"/>
        <v>0</v>
      </c>
      <c r="V866" s="32">
        <f>'2 REPAIR ESTIMATOR'!AG917</f>
        <v>0</v>
      </c>
      <c r="W866" s="32">
        <f>'2 REPAIR ESTIMATOR'!AJ917</f>
        <v>0</v>
      </c>
    </row>
    <row r="867" spans="3:23" ht="18" hidden="1">
      <c r="C867" s="3720" t="str">
        <f>T('2 REPAIR ESTIMATOR'!D918:O918)</f>
        <v/>
      </c>
      <c r="D867" s="3721"/>
      <c r="E867" s="3721"/>
      <c r="F867" s="3721"/>
      <c r="G867" s="3721"/>
      <c r="H867" s="3721"/>
      <c r="I867" s="916">
        <f>'2 REPAIR ESTIMATOR'!P918</f>
        <v>0</v>
      </c>
      <c r="J867" s="917">
        <f>'2 REPAIR ESTIMATOR'!S918</f>
        <v>0</v>
      </c>
      <c r="K867" s="918">
        <f t="shared" si="125"/>
        <v>0</v>
      </c>
      <c r="L867" s="918">
        <f t="shared" si="126"/>
        <v>0</v>
      </c>
      <c r="M867" s="918">
        <f t="shared" si="127"/>
        <v>0</v>
      </c>
      <c r="N867" s="3719">
        <f t="shared" si="128"/>
        <v>0</v>
      </c>
      <c r="O867" s="3719"/>
      <c r="P867" s="490">
        <f t="shared" ref="P867:P886" si="130">I867</f>
        <v>0</v>
      </c>
      <c r="S867" s="32">
        <f>'2 REPAIR ESTIMATOR'!AD918</f>
        <v>0</v>
      </c>
      <c r="T867" s="32">
        <f>'2 REPAIR ESTIMATOR'!AM918</f>
        <v>0</v>
      </c>
      <c r="U867" s="32">
        <f t="shared" si="129"/>
        <v>0</v>
      </c>
      <c r="V867" s="32">
        <f>'2 REPAIR ESTIMATOR'!AG918</f>
        <v>0</v>
      </c>
      <c r="W867" s="32">
        <f>'2 REPAIR ESTIMATOR'!AJ918</f>
        <v>0</v>
      </c>
    </row>
    <row r="868" spans="3:23" ht="18" hidden="1">
      <c r="C868" s="3720" t="str">
        <f>T('2 REPAIR ESTIMATOR'!D919:O919)</f>
        <v/>
      </c>
      <c r="D868" s="3721"/>
      <c r="E868" s="3721"/>
      <c r="F868" s="3721"/>
      <c r="G868" s="3721"/>
      <c r="H868" s="3721"/>
      <c r="I868" s="916">
        <f>'2 REPAIR ESTIMATOR'!P919</f>
        <v>0</v>
      </c>
      <c r="J868" s="917">
        <f>'2 REPAIR ESTIMATOR'!S919</f>
        <v>0</v>
      </c>
      <c r="K868" s="918">
        <f t="shared" si="125"/>
        <v>0</v>
      </c>
      <c r="L868" s="918">
        <f t="shared" si="126"/>
        <v>0</v>
      </c>
      <c r="M868" s="918">
        <f t="shared" si="127"/>
        <v>0</v>
      </c>
      <c r="N868" s="3719">
        <f t="shared" si="128"/>
        <v>0</v>
      </c>
      <c r="O868" s="3719"/>
      <c r="P868" s="490">
        <f t="shared" si="130"/>
        <v>0</v>
      </c>
      <c r="S868" s="32">
        <f>'2 REPAIR ESTIMATOR'!AD919</f>
        <v>0</v>
      </c>
      <c r="T868" s="32">
        <f>'2 REPAIR ESTIMATOR'!AM919</f>
        <v>0</v>
      </c>
      <c r="U868" s="32">
        <f t="shared" si="129"/>
        <v>0</v>
      </c>
      <c r="V868" s="32">
        <f>'2 REPAIR ESTIMATOR'!AG919</f>
        <v>0</v>
      </c>
      <c r="W868" s="32">
        <f>'2 REPAIR ESTIMATOR'!AJ919</f>
        <v>0</v>
      </c>
    </row>
    <row r="869" spans="3:23" ht="18" hidden="1">
      <c r="C869" s="3720" t="str">
        <f>T('2 REPAIR ESTIMATOR'!D920:O920)</f>
        <v/>
      </c>
      <c r="D869" s="3721"/>
      <c r="E869" s="3721"/>
      <c r="F869" s="3721"/>
      <c r="G869" s="3721"/>
      <c r="H869" s="3721"/>
      <c r="I869" s="916">
        <f>'2 REPAIR ESTIMATOR'!P920</f>
        <v>0</v>
      </c>
      <c r="J869" s="917">
        <f>'2 REPAIR ESTIMATOR'!S920</f>
        <v>0</v>
      </c>
      <c r="K869" s="918">
        <f t="shared" si="125"/>
        <v>0</v>
      </c>
      <c r="L869" s="918">
        <f t="shared" si="126"/>
        <v>0</v>
      </c>
      <c r="M869" s="918">
        <f t="shared" si="127"/>
        <v>0</v>
      </c>
      <c r="N869" s="3719">
        <f t="shared" si="128"/>
        <v>0</v>
      </c>
      <c r="O869" s="3719"/>
      <c r="P869" s="490">
        <f t="shared" si="130"/>
        <v>0</v>
      </c>
      <c r="S869" s="32">
        <f>'2 REPAIR ESTIMATOR'!AD920</f>
        <v>0</v>
      </c>
      <c r="T869" s="32">
        <f>'2 REPAIR ESTIMATOR'!AM920</f>
        <v>0</v>
      </c>
      <c r="U869" s="32">
        <f t="shared" si="129"/>
        <v>0</v>
      </c>
      <c r="V869" s="32">
        <f>'2 REPAIR ESTIMATOR'!AG920</f>
        <v>0</v>
      </c>
      <c r="W869" s="32">
        <f>'2 REPAIR ESTIMATOR'!AJ920</f>
        <v>0</v>
      </c>
    </row>
    <row r="870" spans="3:23" ht="18" hidden="1">
      <c r="C870" s="3720" t="str">
        <f>T('2 REPAIR ESTIMATOR'!D921:O921)</f>
        <v/>
      </c>
      <c r="D870" s="3721"/>
      <c r="E870" s="3721"/>
      <c r="F870" s="3721"/>
      <c r="G870" s="3721"/>
      <c r="H870" s="3721"/>
      <c r="I870" s="916">
        <f>'2 REPAIR ESTIMATOR'!P921</f>
        <v>0</v>
      </c>
      <c r="J870" s="917">
        <f>'2 REPAIR ESTIMATOR'!S921</f>
        <v>0</v>
      </c>
      <c r="K870" s="918">
        <f t="shared" si="125"/>
        <v>0</v>
      </c>
      <c r="L870" s="918">
        <f t="shared" si="126"/>
        <v>0</v>
      </c>
      <c r="M870" s="918">
        <f t="shared" si="127"/>
        <v>0</v>
      </c>
      <c r="N870" s="3719">
        <f t="shared" si="128"/>
        <v>0</v>
      </c>
      <c r="O870" s="3719"/>
      <c r="P870" s="490">
        <f t="shared" si="130"/>
        <v>0</v>
      </c>
      <c r="S870" s="32">
        <f>'2 REPAIR ESTIMATOR'!AD921</f>
        <v>0</v>
      </c>
      <c r="T870" s="32">
        <f>'2 REPAIR ESTIMATOR'!AM921</f>
        <v>0</v>
      </c>
      <c r="U870" s="32">
        <f t="shared" si="129"/>
        <v>0</v>
      </c>
      <c r="V870" s="32">
        <f>'2 REPAIR ESTIMATOR'!AG921</f>
        <v>0</v>
      </c>
      <c r="W870" s="32">
        <f>'2 REPAIR ESTIMATOR'!AJ921</f>
        <v>0</v>
      </c>
    </row>
    <row r="871" spans="3:23" ht="18" hidden="1">
      <c r="C871" s="3720" t="str">
        <f>T('2 REPAIR ESTIMATOR'!D922:O922)</f>
        <v/>
      </c>
      <c r="D871" s="3721"/>
      <c r="E871" s="3721"/>
      <c r="F871" s="3721"/>
      <c r="G871" s="3721"/>
      <c r="H871" s="3721"/>
      <c r="I871" s="916">
        <f>'2 REPAIR ESTIMATOR'!P922</f>
        <v>0</v>
      </c>
      <c r="J871" s="917">
        <f>'2 REPAIR ESTIMATOR'!S922</f>
        <v>0</v>
      </c>
      <c r="K871" s="918">
        <f t="shared" si="125"/>
        <v>0</v>
      </c>
      <c r="L871" s="918">
        <f t="shared" si="126"/>
        <v>0</v>
      </c>
      <c r="M871" s="918">
        <f t="shared" si="127"/>
        <v>0</v>
      </c>
      <c r="N871" s="3719">
        <f t="shared" si="128"/>
        <v>0</v>
      </c>
      <c r="O871" s="3719"/>
      <c r="P871" s="490">
        <f t="shared" si="130"/>
        <v>0</v>
      </c>
      <c r="S871" s="32">
        <f>'2 REPAIR ESTIMATOR'!AD922</f>
        <v>0</v>
      </c>
      <c r="T871" s="32">
        <f>'2 REPAIR ESTIMATOR'!AM922</f>
        <v>0</v>
      </c>
      <c r="U871" s="32">
        <f t="shared" si="129"/>
        <v>0</v>
      </c>
      <c r="V871" s="32">
        <f>'2 REPAIR ESTIMATOR'!AG922</f>
        <v>0</v>
      </c>
      <c r="W871" s="32">
        <f>'2 REPAIR ESTIMATOR'!AJ922</f>
        <v>0</v>
      </c>
    </row>
    <row r="872" spans="3:23" ht="18" hidden="1">
      <c r="C872" s="3720" t="str">
        <f>T('2 REPAIR ESTIMATOR'!D923:O923)</f>
        <v/>
      </c>
      <c r="D872" s="3721"/>
      <c r="E872" s="3721"/>
      <c r="F872" s="3721"/>
      <c r="G872" s="3721"/>
      <c r="H872" s="3721"/>
      <c r="I872" s="916">
        <f>'2 REPAIR ESTIMATOR'!P923</f>
        <v>0</v>
      </c>
      <c r="J872" s="917">
        <f>'2 REPAIR ESTIMATOR'!S923</f>
        <v>0</v>
      </c>
      <c r="K872" s="918">
        <f t="shared" si="125"/>
        <v>0</v>
      </c>
      <c r="L872" s="918">
        <f t="shared" si="126"/>
        <v>0</v>
      </c>
      <c r="M872" s="918">
        <f t="shared" si="127"/>
        <v>0</v>
      </c>
      <c r="N872" s="3719">
        <f t="shared" si="128"/>
        <v>0</v>
      </c>
      <c r="O872" s="3719"/>
      <c r="P872" s="490">
        <f t="shared" si="130"/>
        <v>0</v>
      </c>
      <c r="S872" s="32">
        <f>'2 REPAIR ESTIMATOR'!AD923</f>
        <v>0</v>
      </c>
      <c r="T872" s="32">
        <f>'2 REPAIR ESTIMATOR'!AM923</f>
        <v>0</v>
      </c>
      <c r="U872" s="32">
        <f t="shared" si="129"/>
        <v>0</v>
      </c>
      <c r="V872" s="32">
        <f>'2 REPAIR ESTIMATOR'!AG923</f>
        <v>0</v>
      </c>
      <c r="W872" s="32">
        <f>'2 REPAIR ESTIMATOR'!AJ923</f>
        <v>0</v>
      </c>
    </row>
    <row r="873" spans="3:23" ht="18" hidden="1">
      <c r="C873" s="3720" t="str">
        <f>T('2 REPAIR ESTIMATOR'!D924:O924)</f>
        <v/>
      </c>
      <c r="D873" s="3721"/>
      <c r="E873" s="3721"/>
      <c r="F873" s="3721"/>
      <c r="G873" s="3721"/>
      <c r="H873" s="3721"/>
      <c r="I873" s="916">
        <f>'2 REPAIR ESTIMATOR'!P924</f>
        <v>0</v>
      </c>
      <c r="J873" s="917">
        <f>'2 REPAIR ESTIMATOR'!S924</f>
        <v>0</v>
      </c>
      <c r="K873" s="918">
        <f t="shared" si="125"/>
        <v>0</v>
      </c>
      <c r="L873" s="918">
        <f t="shared" si="126"/>
        <v>0</v>
      </c>
      <c r="M873" s="918">
        <f t="shared" si="127"/>
        <v>0</v>
      </c>
      <c r="N873" s="3719">
        <f t="shared" si="128"/>
        <v>0</v>
      </c>
      <c r="O873" s="3719"/>
      <c r="P873" s="490">
        <f t="shared" si="130"/>
        <v>0</v>
      </c>
      <c r="S873" s="32">
        <f>'2 REPAIR ESTIMATOR'!AD924</f>
        <v>0</v>
      </c>
      <c r="T873" s="32">
        <f>'2 REPAIR ESTIMATOR'!AM924</f>
        <v>0</v>
      </c>
      <c r="U873" s="32">
        <f t="shared" si="129"/>
        <v>0</v>
      </c>
      <c r="V873" s="32">
        <f>'2 REPAIR ESTIMATOR'!AG924</f>
        <v>0</v>
      </c>
      <c r="W873" s="32">
        <f>'2 REPAIR ESTIMATOR'!AJ924</f>
        <v>0</v>
      </c>
    </row>
    <row r="874" spans="3:23" ht="18" hidden="1">
      <c r="C874" s="3720" t="str">
        <f>T('2 REPAIR ESTIMATOR'!D925:O925)</f>
        <v/>
      </c>
      <c r="D874" s="3721"/>
      <c r="E874" s="3721"/>
      <c r="F874" s="3721"/>
      <c r="G874" s="3721"/>
      <c r="H874" s="3721"/>
      <c r="I874" s="916">
        <f>'2 REPAIR ESTIMATOR'!P925</f>
        <v>0</v>
      </c>
      <c r="J874" s="917">
        <f>'2 REPAIR ESTIMATOR'!S925</f>
        <v>0</v>
      </c>
      <c r="K874" s="918">
        <f t="shared" si="125"/>
        <v>0</v>
      </c>
      <c r="L874" s="918">
        <f t="shared" si="126"/>
        <v>0</v>
      </c>
      <c r="M874" s="918">
        <f t="shared" si="127"/>
        <v>0</v>
      </c>
      <c r="N874" s="3719">
        <f t="shared" si="128"/>
        <v>0</v>
      </c>
      <c r="O874" s="3719"/>
      <c r="P874" s="490">
        <f t="shared" si="130"/>
        <v>0</v>
      </c>
      <c r="S874" s="32">
        <f>'2 REPAIR ESTIMATOR'!AD925</f>
        <v>0</v>
      </c>
      <c r="T874" s="32">
        <f>'2 REPAIR ESTIMATOR'!AM925</f>
        <v>0</v>
      </c>
      <c r="U874" s="32">
        <f t="shared" si="129"/>
        <v>0</v>
      </c>
      <c r="V874" s="32">
        <f>'2 REPAIR ESTIMATOR'!AG925</f>
        <v>0</v>
      </c>
      <c r="W874" s="32">
        <f>'2 REPAIR ESTIMATOR'!AJ925</f>
        <v>0</v>
      </c>
    </row>
    <row r="875" spans="3:23" ht="18" hidden="1">
      <c r="C875" s="3720" t="str">
        <f>T('2 REPAIR ESTIMATOR'!D926:O926)</f>
        <v/>
      </c>
      <c r="D875" s="3721"/>
      <c r="E875" s="3721"/>
      <c r="F875" s="3721"/>
      <c r="G875" s="3721"/>
      <c r="H875" s="3721"/>
      <c r="I875" s="916">
        <f>'2 REPAIR ESTIMATOR'!P926</f>
        <v>0</v>
      </c>
      <c r="J875" s="917">
        <f>'2 REPAIR ESTIMATOR'!S926</f>
        <v>0</v>
      </c>
      <c r="K875" s="918">
        <f t="shared" si="125"/>
        <v>0</v>
      </c>
      <c r="L875" s="918">
        <f t="shared" si="126"/>
        <v>0</v>
      </c>
      <c r="M875" s="918">
        <f t="shared" si="127"/>
        <v>0</v>
      </c>
      <c r="N875" s="3719">
        <f t="shared" si="128"/>
        <v>0</v>
      </c>
      <c r="O875" s="3719"/>
      <c r="P875" s="490">
        <f t="shared" si="130"/>
        <v>0</v>
      </c>
      <c r="S875" s="32">
        <f>'2 REPAIR ESTIMATOR'!AD926</f>
        <v>0</v>
      </c>
      <c r="T875" s="32">
        <f>'2 REPAIR ESTIMATOR'!AM926</f>
        <v>0</v>
      </c>
      <c r="U875" s="32">
        <f t="shared" si="129"/>
        <v>0</v>
      </c>
      <c r="V875" s="32">
        <f>'2 REPAIR ESTIMATOR'!AG926</f>
        <v>0</v>
      </c>
      <c r="W875" s="32">
        <f>'2 REPAIR ESTIMATOR'!AJ926</f>
        <v>0</v>
      </c>
    </row>
    <row r="876" spans="3:23" ht="18" hidden="1">
      <c r="C876" s="3720" t="str">
        <f>T('2 REPAIR ESTIMATOR'!D927:O927)</f>
        <v/>
      </c>
      <c r="D876" s="3721"/>
      <c r="E876" s="3721"/>
      <c r="F876" s="3721"/>
      <c r="G876" s="3721"/>
      <c r="H876" s="3721"/>
      <c r="I876" s="916">
        <f>'2 REPAIR ESTIMATOR'!P927</f>
        <v>0</v>
      </c>
      <c r="J876" s="917">
        <f>'2 REPAIR ESTIMATOR'!S927</f>
        <v>0</v>
      </c>
      <c r="K876" s="918">
        <f t="shared" si="125"/>
        <v>0</v>
      </c>
      <c r="L876" s="918">
        <f t="shared" si="126"/>
        <v>0</v>
      </c>
      <c r="M876" s="918">
        <f t="shared" si="127"/>
        <v>0</v>
      </c>
      <c r="N876" s="3719">
        <f t="shared" si="128"/>
        <v>0</v>
      </c>
      <c r="O876" s="3719"/>
      <c r="P876" s="490">
        <f t="shared" si="130"/>
        <v>0</v>
      </c>
      <c r="S876" s="32">
        <f>'2 REPAIR ESTIMATOR'!AD927</f>
        <v>0</v>
      </c>
      <c r="T876" s="32">
        <f>'2 REPAIR ESTIMATOR'!AM927</f>
        <v>0</v>
      </c>
      <c r="U876" s="32">
        <f t="shared" si="129"/>
        <v>0</v>
      </c>
      <c r="V876" s="32">
        <f>'2 REPAIR ESTIMATOR'!AG927</f>
        <v>0</v>
      </c>
      <c r="W876" s="32">
        <f>'2 REPAIR ESTIMATOR'!AJ927</f>
        <v>0</v>
      </c>
    </row>
    <row r="877" spans="3:23" ht="18" hidden="1">
      <c r="C877" s="3720" t="str">
        <f>T('2 REPAIR ESTIMATOR'!D928:O928)</f>
        <v/>
      </c>
      <c r="D877" s="3721"/>
      <c r="E877" s="3721"/>
      <c r="F877" s="3721"/>
      <c r="G877" s="3721"/>
      <c r="H877" s="3721"/>
      <c r="I877" s="916">
        <f>'2 REPAIR ESTIMATOR'!P928</f>
        <v>0</v>
      </c>
      <c r="J877" s="917">
        <f>'2 REPAIR ESTIMATOR'!S928</f>
        <v>0</v>
      </c>
      <c r="K877" s="918">
        <f t="shared" si="125"/>
        <v>0</v>
      </c>
      <c r="L877" s="918">
        <f t="shared" si="126"/>
        <v>0</v>
      </c>
      <c r="M877" s="918">
        <f t="shared" si="127"/>
        <v>0</v>
      </c>
      <c r="N877" s="3719">
        <f t="shared" si="128"/>
        <v>0</v>
      </c>
      <c r="O877" s="3719"/>
      <c r="P877" s="490">
        <f t="shared" si="130"/>
        <v>0</v>
      </c>
      <c r="S877" s="32">
        <f>'2 REPAIR ESTIMATOR'!AD928</f>
        <v>0</v>
      </c>
      <c r="T877" s="32">
        <f>'2 REPAIR ESTIMATOR'!AM928</f>
        <v>0</v>
      </c>
      <c r="U877" s="32">
        <f t="shared" si="129"/>
        <v>0</v>
      </c>
      <c r="V877" s="32">
        <f>'2 REPAIR ESTIMATOR'!AG928</f>
        <v>0</v>
      </c>
      <c r="W877" s="32">
        <f>'2 REPAIR ESTIMATOR'!AJ928</f>
        <v>0</v>
      </c>
    </row>
    <row r="878" spans="3:23" ht="18" hidden="1">
      <c r="C878" s="3720" t="str">
        <f>T('2 REPAIR ESTIMATOR'!D929:O929)</f>
        <v/>
      </c>
      <c r="D878" s="3721"/>
      <c r="E878" s="3721"/>
      <c r="F878" s="3721"/>
      <c r="G878" s="3721"/>
      <c r="H878" s="3721"/>
      <c r="I878" s="916">
        <f>'2 REPAIR ESTIMATOR'!P929</f>
        <v>0</v>
      </c>
      <c r="J878" s="917">
        <f>'2 REPAIR ESTIMATOR'!S929</f>
        <v>0</v>
      </c>
      <c r="K878" s="918">
        <f t="shared" si="125"/>
        <v>0</v>
      </c>
      <c r="L878" s="918">
        <f t="shared" si="126"/>
        <v>0</v>
      </c>
      <c r="M878" s="918">
        <f t="shared" si="127"/>
        <v>0</v>
      </c>
      <c r="N878" s="3719">
        <f t="shared" si="128"/>
        <v>0</v>
      </c>
      <c r="O878" s="3719"/>
      <c r="P878" s="490">
        <f t="shared" si="130"/>
        <v>0</v>
      </c>
      <c r="S878" s="32">
        <f>'2 REPAIR ESTIMATOR'!AD929</f>
        <v>0</v>
      </c>
      <c r="T878" s="32">
        <f>'2 REPAIR ESTIMATOR'!AM929</f>
        <v>0</v>
      </c>
      <c r="U878" s="32">
        <f t="shared" si="129"/>
        <v>0</v>
      </c>
      <c r="V878" s="32">
        <f>'2 REPAIR ESTIMATOR'!AG929</f>
        <v>0</v>
      </c>
      <c r="W878" s="32">
        <f>'2 REPAIR ESTIMATOR'!AJ929</f>
        <v>0</v>
      </c>
    </row>
    <row r="879" spans="3:23" ht="18" hidden="1">
      <c r="C879" s="3720" t="str">
        <f>T('2 REPAIR ESTIMATOR'!D930:O930)</f>
        <v/>
      </c>
      <c r="D879" s="3721"/>
      <c r="E879" s="3721"/>
      <c r="F879" s="3721"/>
      <c r="G879" s="3721"/>
      <c r="H879" s="3721"/>
      <c r="I879" s="916">
        <f>'2 REPAIR ESTIMATOR'!P930</f>
        <v>0</v>
      </c>
      <c r="J879" s="917">
        <f>'2 REPAIR ESTIMATOR'!S930</f>
        <v>0</v>
      </c>
      <c r="K879" s="918">
        <f t="shared" si="125"/>
        <v>0</v>
      </c>
      <c r="L879" s="918">
        <f t="shared" si="126"/>
        <v>0</v>
      </c>
      <c r="M879" s="918">
        <f t="shared" si="127"/>
        <v>0</v>
      </c>
      <c r="N879" s="3719">
        <f t="shared" si="128"/>
        <v>0</v>
      </c>
      <c r="O879" s="3719"/>
      <c r="P879" s="490">
        <f t="shared" si="130"/>
        <v>0</v>
      </c>
      <c r="S879" s="32">
        <f>'2 REPAIR ESTIMATOR'!AD930</f>
        <v>0</v>
      </c>
      <c r="T879" s="32">
        <f>'2 REPAIR ESTIMATOR'!AM930</f>
        <v>0</v>
      </c>
      <c r="U879" s="32">
        <f t="shared" si="129"/>
        <v>0</v>
      </c>
      <c r="V879" s="32">
        <f>'2 REPAIR ESTIMATOR'!AG930</f>
        <v>0</v>
      </c>
      <c r="W879" s="32">
        <f>'2 REPAIR ESTIMATOR'!AJ930</f>
        <v>0</v>
      </c>
    </row>
    <row r="880" spans="3:23" ht="18" hidden="1">
      <c r="C880" s="3720" t="str">
        <f>T('2 REPAIR ESTIMATOR'!D931:O931)</f>
        <v/>
      </c>
      <c r="D880" s="3721"/>
      <c r="E880" s="3721"/>
      <c r="F880" s="3721"/>
      <c r="G880" s="3721"/>
      <c r="H880" s="3721"/>
      <c r="I880" s="916">
        <f>'2 REPAIR ESTIMATOR'!P931</f>
        <v>0</v>
      </c>
      <c r="J880" s="917">
        <f>'2 REPAIR ESTIMATOR'!S931</f>
        <v>0</v>
      </c>
      <c r="K880" s="918">
        <f t="shared" si="125"/>
        <v>0</v>
      </c>
      <c r="L880" s="918">
        <f t="shared" si="126"/>
        <v>0</v>
      </c>
      <c r="M880" s="918">
        <f t="shared" si="127"/>
        <v>0</v>
      </c>
      <c r="N880" s="3719">
        <f t="shared" si="128"/>
        <v>0</v>
      </c>
      <c r="O880" s="3719"/>
      <c r="P880" s="490">
        <f t="shared" si="130"/>
        <v>0</v>
      </c>
      <c r="S880" s="32">
        <f>'2 REPAIR ESTIMATOR'!AD931</f>
        <v>0</v>
      </c>
      <c r="T880" s="32">
        <f>'2 REPAIR ESTIMATOR'!AM931</f>
        <v>0</v>
      </c>
      <c r="U880" s="32">
        <f t="shared" si="129"/>
        <v>0</v>
      </c>
      <c r="V880" s="32">
        <f>'2 REPAIR ESTIMATOR'!AG931</f>
        <v>0</v>
      </c>
      <c r="W880" s="32">
        <f>'2 REPAIR ESTIMATOR'!AJ931</f>
        <v>0</v>
      </c>
    </row>
    <row r="881" spans="3:23" ht="18" hidden="1">
      <c r="C881" s="3720" t="str">
        <f>T('2 REPAIR ESTIMATOR'!D932:O932)</f>
        <v/>
      </c>
      <c r="D881" s="3721"/>
      <c r="E881" s="3721"/>
      <c r="F881" s="3721"/>
      <c r="G881" s="3721"/>
      <c r="H881" s="3721"/>
      <c r="I881" s="916">
        <f>'2 REPAIR ESTIMATOR'!P932</f>
        <v>0</v>
      </c>
      <c r="J881" s="917">
        <f>'2 REPAIR ESTIMATOR'!S932</f>
        <v>0</v>
      </c>
      <c r="K881" s="918">
        <f t="shared" si="125"/>
        <v>0</v>
      </c>
      <c r="L881" s="918">
        <f t="shared" si="126"/>
        <v>0</v>
      </c>
      <c r="M881" s="918">
        <f t="shared" si="127"/>
        <v>0</v>
      </c>
      <c r="N881" s="3719">
        <f t="shared" si="128"/>
        <v>0</v>
      </c>
      <c r="O881" s="3719"/>
      <c r="P881" s="490">
        <f t="shared" si="130"/>
        <v>0</v>
      </c>
      <c r="S881" s="32">
        <f>'2 REPAIR ESTIMATOR'!AD932</f>
        <v>0</v>
      </c>
      <c r="T881" s="32">
        <f>'2 REPAIR ESTIMATOR'!AM932</f>
        <v>0</v>
      </c>
      <c r="U881" s="32">
        <f t="shared" si="129"/>
        <v>0</v>
      </c>
      <c r="V881" s="32">
        <f>'2 REPAIR ESTIMATOR'!AG932</f>
        <v>0</v>
      </c>
      <c r="W881" s="32">
        <f>'2 REPAIR ESTIMATOR'!AJ932</f>
        <v>0</v>
      </c>
    </row>
    <row r="882" spans="3:23" ht="18" hidden="1">
      <c r="C882" s="3720" t="str">
        <f>T('2 REPAIR ESTIMATOR'!D933:O933)</f>
        <v/>
      </c>
      <c r="D882" s="3721"/>
      <c r="E882" s="3721"/>
      <c r="F882" s="3721"/>
      <c r="G882" s="3721"/>
      <c r="H882" s="3721"/>
      <c r="I882" s="916">
        <f>'2 REPAIR ESTIMATOR'!P933</f>
        <v>0</v>
      </c>
      <c r="J882" s="917">
        <f>'2 REPAIR ESTIMATOR'!S933</f>
        <v>0</v>
      </c>
      <c r="K882" s="918">
        <f t="shared" si="125"/>
        <v>0</v>
      </c>
      <c r="L882" s="918">
        <f t="shared" si="126"/>
        <v>0</v>
      </c>
      <c r="M882" s="918">
        <f t="shared" si="127"/>
        <v>0</v>
      </c>
      <c r="N882" s="3719">
        <f t="shared" si="128"/>
        <v>0</v>
      </c>
      <c r="O882" s="3719"/>
      <c r="P882" s="490">
        <f t="shared" si="130"/>
        <v>0</v>
      </c>
      <c r="S882" s="32">
        <f>'2 REPAIR ESTIMATOR'!AD933</f>
        <v>0</v>
      </c>
      <c r="T882" s="32">
        <f>'2 REPAIR ESTIMATOR'!AM933</f>
        <v>0</v>
      </c>
      <c r="U882" s="32">
        <f t="shared" si="129"/>
        <v>0</v>
      </c>
      <c r="V882" s="32">
        <f>'2 REPAIR ESTIMATOR'!AG933</f>
        <v>0</v>
      </c>
      <c r="W882" s="32">
        <f>'2 REPAIR ESTIMATOR'!AJ933</f>
        <v>0</v>
      </c>
    </row>
    <row r="883" spans="3:23" ht="18" hidden="1">
      <c r="C883" s="3720" t="str">
        <f>T('2 REPAIR ESTIMATOR'!D934:O934)</f>
        <v/>
      </c>
      <c r="D883" s="3721"/>
      <c r="E883" s="3721"/>
      <c r="F883" s="3721"/>
      <c r="G883" s="3721"/>
      <c r="H883" s="3721"/>
      <c r="I883" s="916">
        <f>'2 REPAIR ESTIMATOR'!P934</f>
        <v>0</v>
      </c>
      <c r="J883" s="917">
        <f>'2 REPAIR ESTIMATOR'!S934</f>
        <v>0</v>
      </c>
      <c r="K883" s="918">
        <f t="shared" si="125"/>
        <v>0</v>
      </c>
      <c r="L883" s="918">
        <f t="shared" si="126"/>
        <v>0</v>
      </c>
      <c r="M883" s="918">
        <f t="shared" si="127"/>
        <v>0</v>
      </c>
      <c r="N883" s="3719">
        <f t="shared" si="128"/>
        <v>0</v>
      </c>
      <c r="O883" s="3719"/>
      <c r="P883" s="490">
        <f t="shared" si="130"/>
        <v>0</v>
      </c>
      <c r="S883" s="32">
        <f>'2 REPAIR ESTIMATOR'!AD934</f>
        <v>0</v>
      </c>
      <c r="T883" s="32">
        <f>'2 REPAIR ESTIMATOR'!AM934</f>
        <v>0</v>
      </c>
      <c r="U883" s="32">
        <f t="shared" si="129"/>
        <v>0</v>
      </c>
      <c r="V883" s="32">
        <f>'2 REPAIR ESTIMATOR'!AG934</f>
        <v>0</v>
      </c>
      <c r="W883" s="32">
        <f>'2 REPAIR ESTIMATOR'!AJ934</f>
        <v>0</v>
      </c>
    </row>
    <row r="884" spans="3:23" ht="18" hidden="1">
      <c r="C884" s="3720" t="str">
        <f>T('2 REPAIR ESTIMATOR'!D935:O935)</f>
        <v/>
      </c>
      <c r="D884" s="3721"/>
      <c r="E884" s="3721"/>
      <c r="F884" s="3721"/>
      <c r="G884" s="3721"/>
      <c r="H884" s="3721"/>
      <c r="I884" s="916">
        <f>'2 REPAIR ESTIMATOR'!P935</f>
        <v>0</v>
      </c>
      <c r="J884" s="917">
        <f>'2 REPAIR ESTIMATOR'!S935</f>
        <v>0</v>
      </c>
      <c r="K884" s="918">
        <f t="shared" si="125"/>
        <v>0</v>
      </c>
      <c r="L884" s="918">
        <f t="shared" si="126"/>
        <v>0</v>
      </c>
      <c r="M884" s="918">
        <f t="shared" si="127"/>
        <v>0</v>
      </c>
      <c r="N884" s="3719">
        <f t="shared" si="128"/>
        <v>0</v>
      </c>
      <c r="O884" s="3719"/>
      <c r="P884" s="490">
        <f t="shared" si="130"/>
        <v>0</v>
      </c>
      <c r="S884" s="32">
        <f>'2 REPAIR ESTIMATOR'!AD935</f>
        <v>0</v>
      </c>
      <c r="T884" s="32">
        <f>'2 REPAIR ESTIMATOR'!AM935</f>
        <v>0</v>
      </c>
      <c r="U884" s="32">
        <f t="shared" si="129"/>
        <v>0</v>
      </c>
      <c r="V884" s="32">
        <f>'2 REPAIR ESTIMATOR'!AG935</f>
        <v>0</v>
      </c>
      <c r="W884" s="32">
        <f>'2 REPAIR ESTIMATOR'!AJ935</f>
        <v>0</v>
      </c>
    </row>
    <row r="885" spans="3:23" ht="18" hidden="1">
      <c r="C885" s="3720" t="str">
        <f>T('2 REPAIR ESTIMATOR'!D936:O936)</f>
        <v/>
      </c>
      <c r="D885" s="3721"/>
      <c r="E885" s="3721"/>
      <c r="F885" s="3721"/>
      <c r="G885" s="3721"/>
      <c r="H885" s="3721"/>
      <c r="I885" s="916">
        <f>'2 REPAIR ESTIMATOR'!P936</f>
        <v>0</v>
      </c>
      <c r="J885" s="917">
        <f>'2 REPAIR ESTIMATOR'!S936</f>
        <v>0</v>
      </c>
      <c r="K885" s="918">
        <f t="shared" si="125"/>
        <v>0</v>
      </c>
      <c r="L885" s="918">
        <f t="shared" si="126"/>
        <v>0</v>
      </c>
      <c r="M885" s="918">
        <f t="shared" si="127"/>
        <v>0</v>
      </c>
      <c r="N885" s="3719">
        <f t="shared" si="128"/>
        <v>0</v>
      </c>
      <c r="O885" s="3719"/>
      <c r="P885" s="490">
        <f t="shared" si="130"/>
        <v>0</v>
      </c>
      <c r="S885" s="32">
        <f>'2 REPAIR ESTIMATOR'!AD936</f>
        <v>0</v>
      </c>
      <c r="T885" s="32">
        <f>'2 REPAIR ESTIMATOR'!AM936</f>
        <v>0</v>
      </c>
      <c r="U885" s="32">
        <f t="shared" si="129"/>
        <v>0</v>
      </c>
      <c r="V885" s="32">
        <f>'2 REPAIR ESTIMATOR'!AG936</f>
        <v>0</v>
      </c>
      <c r="W885" s="32">
        <f>'2 REPAIR ESTIMATOR'!AJ936</f>
        <v>0</v>
      </c>
    </row>
    <row r="886" spans="3:23" ht="18.350000000000001" hidden="1" thickBot="1">
      <c r="C886" s="3779" t="str">
        <f>T('2 REPAIR ESTIMATOR'!D937:O937)</f>
        <v/>
      </c>
      <c r="D886" s="3780"/>
      <c r="E886" s="3780"/>
      <c r="F886" s="3780"/>
      <c r="G886" s="3780"/>
      <c r="H886" s="3780"/>
      <c r="I886" s="919">
        <f>'2 REPAIR ESTIMATOR'!P937</f>
        <v>0</v>
      </c>
      <c r="J886" s="920">
        <f>'2 REPAIR ESTIMATOR'!S937</f>
        <v>0</v>
      </c>
      <c r="K886" s="921">
        <f t="shared" si="125"/>
        <v>0</v>
      </c>
      <c r="L886" s="921">
        <f t="shared" si="126"/>
        <v>0</v>
      </c>
      <c r="M886" s="921">
        <f t="shared" si="127"/>
        <v>0</v>
      </c>
      <c r="N886" s="3781">
        <f t="shared" si="128"/>
        <v>0</v>
      </c>
      <c r="O886" s="3781"/>
      <c r="P886" s="490">
        <f t="shared" si="130"/>
        <v>0</v>
      </c>
      <c r="S886" s="32">
        <f>'2 REPAIR ESTIMATOR'!AD937</f>
        <v>0</v>
      </c>
      <c r="T886" s="32">
        <f>'2 REPAIR ESTIMATOR'!AM937</f>
        <v>0</v>
      </c>
      <c r="U886" s="32">
        <f t="shared" si="129"/>
        <v>0</v>
      </c>
      <c r="V886" s="32">
        <f>'2 REPAIR ESTIMATOR'!AG937</f>
        <v>0</v>
      </c>
      <c r="W886" s="32">
        <f>'2 REPAIR ESTIMATOR'!AJ937</f>
        <v>0</v>
      </c>
    </row>
    <row r="887" spans="3:23" ht="18.350000000000001" hidden="1" thickBot="1">
      <c r="C887" s="3723" t="str">
        <f>T('2 REPAIR ESTIMATOR'!AC939)</f>
        <v>PAINTING TOTAL</v>
      </c>
      <c r="D887" s="3724"/>
      <c r="E887" s="3724"/>
      <c r="F887" s="3724"/>
      <c r="G887" s="3724"/>
      <c r="H887" s="3724"/>
      <c r="I887" s="3724"/>
      <c r="J887" s="3724"/>
      <c r="K887" s="922">
        <f>SUM(K847:K886)</f>
        <v>0</v>
      </c>
      <c r="L887" s="922">
        <f>SUM(L847:L886)</f>
        <v>0</v>
      </c>
      <c r="M887" s="922">
        <f>SUM(M847:M886)</f>
        <v>0</v>
      </c>
      <c r="N887" s="3789">
        <f>SUM(N847:O886)</f>
        <v>0</v>
      </c>
      <c r="O887" s="3789"/>
      <c r="P887" s="489">
        <f>SUM(P846:P866)</f>
        <v>0</v>
      </c>
      <c r="S887" s="33">
        <f>SUM(S847:S886)</f>
        <v>0</v>
      </c>
      <c r="T887" s="33">
        <f>SUM(T847:T886)</f>
        <v>0</v>
      </c>
      <c r="U887" s="33">
        <f>SUM(U847:U886)</f>
        <v>0</v>
      </c>
      <c r="V887" s="33">
        <f>SUM(V847:V886)</f>
        <v>0</v>
      </c>
      <c r="W887" s="33">
        <f>SUM(W847:W886)</f>
        <v>0</v>
      </c>
    </row>
    <row r="888" spans="3:23" ht="8.85" hidden="1" customHeight="1">
      <c r="C888" s="841"/>
      <c r="D888" s="841"/>
      <c r="E888" s="841"/>
      <c r="F888" s="841"/>
      <c r="G888" s="841"/>
      <c r="H888" s="841"/>
      <c r="I888" s="842"/>
      <c r="J888" s="842"/>
      <c r="K888" s="842"/>
      <c r="L888" s="842"/>
      <c r="M888" s="842"/>
      <c r="N888" s="843"/>
      <c r="O888" s="798"/>
      <c r="P888" s="489">
        <f>P887</f>
        <v>0</v>
      </c>
    </row>
    <row r="889" spans="3:23" ht="21" hidden="1" customHeight="1" thickBot="1">
      <c r="C889" s="3782" t="str">
        <f>T('2 REPAIR ESTIMATOR'!D942:O942)</f>
        <v>APPLIANCES</v>
      </c>
      <c r="D889" s="3783"/>
      <c r="E889" s="3783"/>
      <c r="F889" s="3783"/>
      <c r="G889" s="3783"/>
      <c r="H889" s="3783"/>
      <c r="I889" s="799">
        <f>SUM(I890:I929)</f>
        <v>0</v>
      </c>
      <c r="J889" s="800"/>
      <c r="K889" s="850"/>
      <c r="L889" s="850"/>
      <c r="M889" s="850"/>
      <c r="N889" s="3722"/>
      <c r="O889" s="3722"/>
      <c r="P889" s="489">
        <f t="shared" si="124"/>
        <v>0</v>
      </c>
      <c r="S889" s="34"/>
      <c r="T889" s="34"/>
      <c r="U889" s="34"/>
      <c r="V889" s="34"/>
      <c r="W889" s="34"/>
    </row>
    <row r="890" spans="3:23" ht="18" hidden="1">
      <c r="C890" s="3720" t="str">
        <f>T('2 REPAIR ESTIMATOR'!D943:O943)</f>
        <v>Appliances, Bid/Allowance</v>
      </c>
      <c r="D890" s="3721"/>
      <c r="E890" s="3721"/>
      <c r="F890" s="3721"/>
      <c r="G890" s="3721"/>
      <c r="H890" s="3721"/>
      <c r="I890" s="916">
        <f>'2 REPAIR ESTIMATOR'!P943</f>
        <v>0</v>
      </c>
      <c r="J890" s="917" t="str">
        <f>'2 REPAIR ESTIMATOR'!S943</f>
        <v>ls</v>
      </c>
      <c r="K890" s="918">
        <f t="shared" ref="K890:K929" si="131">IF($N$3="subbed",U890,S890)*$S$70</f>
        <v>0</v>
      </c>
      <c r="L890" s="918">
        <f>V890*$S$70</f>
        <v>0</v>
      </c>
      <c r="M890" s="918">
        <f>W890*$S$70</f>
        <v>0</v>
      </c>
      <c r="N890" s="3719">
        <f>SUM(K890:M890)</f>
        <v>0</v>
      </c>
      <c r="O890" s="3719"/>
      <c r="P890" s="490">
        <f t="shared" si="124"/>
        <v>0</v>
      </c>
      <c r="S890" s="32">
        <f>'2 REPAIR ESTIMATOR'!AD943</f>
        <v>0</v>
      </c>
      <c r="T890" s="32">
        <f>'2 REPAIR ESTIMATOR'!AM943</f>
        <v>0</v>
      </c>
      <c r="U890" s="32">
        <f>T890+S890</f>
        <v>0</v>
      </c>
      <c r="V890" s="32">
        <f>'2 REPAIR ESTIMATOR'!AG943</f>
        <v>0</v>
      </c>
      <c r="W890" s="32">
        <f>'2 REPAIR ESTIMATOR'!AJ943</f>
        <v>0</v>
      </c>
    </row>
    <row r="891" spans="3:23" ht="18" hidden="1">
      <c r="C891" s="3720" t="str">
        <f>T('2 REPAIR ESTIMATOR'!D944:O944)</f>
        <v/>
      </c>
      <c r="D891" s="3721"/>
      <c r="E891" s="3721"/>
      <c r="F891" s="3721"/>
      <c r="G891" s="3721"/>
      <c r="H891" s="3721"/>
      <c r="I891" s="916">
        <f>'2 REPAIR ESTIMATOR'!P944</f>
        <v>0</v>
      </c>
      <c r="J891" s="917">
        <f>'2 REPAIR ESTIMATOR'!S944</f>
        <v>0</v>
      </c>
      <c r="K891" s="918">
        <f t="shared" si="131"/>
        <v>0</v>
      </c>
      <c r="L891" s="918">
        <f t="shared" ref="L891:L929" si="132">V891*$S$70</f>
        <v>0</v>
      </c>
      <c r="M891" s="918">
        <f t="shared" ref="M891:M929" si="133">W891*$S$70</f>
        <v>0</v>
      </c>
      <c r="N891" s="3719">
        <f t="shared" ref="N891:N929" si="134">SUM(K891:M891)</f>
        <v>0</v>
      </c>
      <c r="O891" s="3719"/>
      <c r="P891" s="490">
        <f t="shared" si="124"/>
        <v>0</v>
      </c>
      <c r="S891" s="32">
        <f>'2 REPAIR ESTIMATOR'!AD944</f>
        <v>0</v>
      </c>
      <c r="T891" s="32">
        <f>'2 REPAIR ESTIMATOR'!AM944</f>
        <v>0</v>
      </c>
      <c r="U891" s="32">
        <f t="shared" ref="U891:U929" si="135">T891+S891</f>
        <v>0</v>
      </c>
      <c r="V891" s="32">
        <f>'2 REPAIR ESTIMATOR'!AG944</f>
        <v>0</v>
      </c>
      <c r="W891" s="32">
        <f>'2 REPAIR ESTIMATOR'!AJ944</f>
        <v>0</v>
      </c>
    </row>
    <row r="892" spans="3:23" ht="18" hidden="1">
      <c r="C892" s="3790" t="str">
        <f>T('2 REPAIR ESTIMATOR'!D945:O945)</f>
        <v>Appliance Package</v>
      </c>
      <c r="D892" s="3791"/>
      <c r="E892" s="3791"/>
      <c r="F892" s="3791"/>
      <c r="G892" s="3791"/>
      <c r="H892" s="3791"/>
      <c r="I892" s="916">
        <f>'2 REPAIR ESTIMATOR'!P945</f>
        <v>0</v>
      </c>
      <c r="J892" s="917">
        <f>'2 REPAIR ESTIMATOR'!S945</f>
        <v>0</v>
      </c>
      <c r="K892" s="918">
        <f t="shared" si="131"/>
        <v>0</v>
      </c>
      <c r="L892" s="918">
        <f t="shared" si="132"/>
        <v>0</v>
      </c>
      <c r="M892" s="918">
        <f t="shared" si="133"/>
        <v>0</v>
      </c>
      <c r="N892" s="3719">
        <f t="shared" si="134"/>
        <v>0</v>
      </c>
      <c r="O892" s="3719"/>
      <c r="P892" s="489">
        <f t="shared" si="124"/>
        <v>0</v>
      </c>
      <c r="S892" s="32">
        <f>'2 REPAIR ESTIMATOR'!AD945</f>
        <v>0</v>
      </c>
      <c r="T892" s="32">
        <f>'2 REPAIR ESTIMATOR'!AM945</f>
        <v>0</v>
      </c>
      <c r="U892" s="32">
        <f t="shared" si="135"/>
        <v>0</v>
      </c>
      <c r="V892" s="32">
        <f>'2 REPAIR ESTIMATOR'!AG945</f>
        <v>0</v>
      </c>
      <c r="W892" s="32">
        <f>'2 REPAIR ESTIMATOR'!AJ945</f>
        <v>0</v>
      </c>
    </row>
    <row r="893" spans="3:23" ht="18" hidden="1">
      <c r="C893" s="3720" t="str">
        <f>T('2 REPAIR ESTIMATOR'!D946:O946)</f>
        <v>Economy, (fridge, range, hood, dw, microwave)</v>
      </c>
      <c r="D893" s="3721"/>
      <c r="E893" s="3721"/>
      <c r="F893" s="3721"/>
      <c r="G893" s="3721"/>
      <c r="H893" s="3721"/>
      <c r="I893" s="916">
        <f>'2 REPAIR ESTIMATOR'!P946</f>
        <v>0</v>
      </c>
      <c r="J893" s="917" t="str">
        <f>'2 REPAIR ESTIMATOR'!S946</f>
        <v>ea</v>
      </c>
      <c r="K893" s="918">
        <f t="shared" si="131"/>
        <v>0</v>
      </c>
      <c r="L893" s="918">
        <f t="shared" si="132"/>
        <v>0</v>
      </c>
      <c r="M893" s="918">
        <f t="shared" si="133"/>
        <v>0</v>
      </c>
      <c r="N893" s="3719">
        <f t="shared" si="134"/>
        <v>0</v>
      </c>
      <c r="O893" s="3719"/>
      <c r="P893" s="490">
        <f t="shared" si="124"/>
        <v>0</v>
      </c>
      <c r="S893" s="32">
        <f>'2 REPAIR ESTIMATOR'!AD946</f>
        <v>0</v>
      </c>
      <c r="T893" s="32">
        <f>'2 REPAIR ESTIMATOR'!AM946</f>
        <v>0</v>
      </c>
      <c r="U893" s="32">
        <f t="shared" si="135"/>
        <v>0</v>
      </c>
      <c r="V893" s="32">
        <f>'2 REPAIR ESTIMATOR'!AG946</f>
        <v>0</v>
      </c>
      <c r="W893" s="32">
        <f>'2 REPAIR ESTIMATOR'!AJ946</f>
        <v>0</v>
      </c>
    </row>
    <row r="894" spans="3:23" ht="18" hidden="1">
      <c r="C894" s="3720" t="str">
        <f>T('2 REPAIR ESTIMATOR'!D947:O947)</f>
        <v>Average, (fridge, range, hood, dw, microwave)</v>
      </c>
      <c r="D894" s="3721"/>
      <c r="E894" s="3721"/>
      <c r="F894" s="3721"/>
      <c r="G894" s="3721"/>
      <c r="H894" s="3721"/>
      <c r="I894" s="916">
        <f>'2 REPAIR ESTIMATOR'!P947</f>
        <v>0</v>
      </c>
      <c r="J894" s="917" t="str">
        <f>'2 REPAIR ESTIMATOR'!S947</f>
        <v>ea</v>
      </c>
      <c r="K894" s="918">
        <f t="shared" si="131"/>
        <v>0</v>
      </c>
      <c r="L894" s="918">
        <f t="shared" si="132"/>
        <v>0</v>
      </c>
      <c r="M894" s="918">
        <f t="shared" si="133"/>
        <v>0</v>
      </c>
      <c r="N894" s="3719">
        <f t="shared" si="134"/>
        <v>0</v>
      </c>
      <c r="O894" s="3719"/>
      <c r="P894" s="490">
        <f t="shared" si="124"/>
        <v>0</v>
      </c>
      <c r="S894" s="32">
        <f>'2 REPAIR ESTIMATOR'!AD947</f>
        <v>0</v>
      </c>
      <c r="T894" s="32">
        <f>'2 REPAIR ESTIMATOR'!AM947</f>
        <v>0</v>
      </c>
      <c r="U894" s="32">
        <f t="shared" si="135"/>
        <v>0</v>
      </c>
      <c r="V894" s="32">
        <f>'2 REPAIR ESTIMATOR'!AG947</f>
        <v>0</v>
      </c>
      <c r="W894" s="32">
        <f>'2 REPAIR ESTIMATOR'!AJ947</f>
        <v>0</v>
      </c>
    </row>
    <row r="895" spans="3:23" ht="18" hidden="1">
      <c r="C895" s="3720" t="str">
        <f>T('2 REPAIR ESTIMATOR'!D948:O948)</f>
        <v>High End, (fridge, range, hood, dw, microwave)</v>
      </c>
      <c r="D895" s="3721"/>
      <c r="E895" s="3721"/>
      <c r="F895" s="3721"/>
      <c r="G895" s="3721"/>
      <c r="H895" s="3721"/>
      <c r="I895" s="916">
        <f>'2 REPAIR ESTIMATOR'!P948</f>
        <v>0</v>
      </c>
      <c r="J895" s="917" t="str">
        <f>'2 REPAIR ESTIMATOR'!S948</f>
        <v>ea</v>
      </c>
      <c r="K895" s="918">
        <f t="shared" si="131"/>
        <v>0</v>
      </c>
      <c r="L895" s="918">
        <f t="shared" si="132"/>
        <v>0</v>
      </c>
      <c r="M895" s="918">
        <f t="shared" si="133"/>
        <v>0</v>
      </c>
      <c r="N895" s="3719">
        <f t="shared" si="134"/>
        <v>0</v>
      </c>
      <c r="O895" s="3719"/>
      <c r="P895" s="489">
        <f t="shared" si="124"/>
        <v>0</v>
      </c>
      <c r="S895" s="32">
        <f>'2 REPAIR ESTIMATOR'!AD948</f>
        <v>0</v>
      </c>
      <c r="T895" s="32">
        <f>'2 REPAIR ESTIMATOR'!AM948</f>
        <v>0</v>
      </c>
      <c r="U895" s="32">
        <f t="shared" si="135"/>
        <v>0</v>
      </c>
      <c r="V895" s="32">
        <f>'2 REPAIR ESTIMATOR'!AG948</f>
        <v>0</v>
      </c>
      <c r="W895" s="32">
        <f>'2 REPAIR ESTIMATOR'!AJ948</f>
        <v>0</v>
      </c>
    </row>
    <row r="896" spans="3:23" ht="18" hidden="1">
      <c r="C896" s="3720" t="str">
        <f>T('2 REPAIR ESTIMATOR'!D949:O949)</f>
        <v/>
      </c>
      <c r="D896" s="3721"/>
      <c r="E896" s="3721"/>
      <c r="F896" s="3721"/>
      <c r="G896" s="3721"/>
      <c r="H896" s="3721"/>
      <c r="I896" s="916">
        <f>'2 REPAIR ESTIMATOR'!P949</f>
        <v>0</v>
      </c>
      <c r="J896" s="917">
        <f>'2 REPAIR ESTIMATOR'!S949</f>
        <v>0</v>
      </c>
      <c r="K896" s="918">
        <f t="shared" si="131"/>
        <v>0</v>
      </c>
      <c r="L896" s="918">
        <f t="shared" si="132"/>
        <v>0</v>
      </c>
      <c r="M896" s="918">
        <f t="shared" si="133"/>
        <v>0</v>
      </c>
      <c r="N896" s="3719">
        <f t="shared" si="134"/>
        <v>0</v>
      </c>
      <c r="O896" s="3719"/>
      <c r="P896" s="490">
        <f t="shared" si="124"/>
        <v>0</v>
      </c>
      <c r="S896" s="32">
        <f>'2 REPAIR ESTIMATOR'!AD949</f>
        <v>0</v>
      </c>
      <c r="T896" s="32">
        <f>'2 REPAIR ESTIMATOR'!AM949</f>
        <v>0</v>
      </c>
      <c r="U896" s="32">
        <f t="shared" si="135"/>
        <v>0</v>
      </c>
      <c r="V896" s="32">
        <f>'2 REPAIR ESTIMATOR'!AG949</f>
        <v>0</v>
      </c>
      <c r="W896" s="32">
        <f>'2 REPAIR ESTIMATOR'!AJ949</f>
        <v>0</v>
      </c>
    </row>
    <row r="897" spans="3:23" ht="18" hidden="1">
      <c r="C897" s="3720" t="str">
        <f>T('2 REPAIR ESTIMATOR'!D950:O950)</f>
        <v/>
      </c>
      <c r="D897" s="3721"/>
      <c r="E897" s="3721"/>
      <c r="F897" s="3721"/>
      <c r="G897" s="3721"/>
      <c r="H897" s="3721"/>
      <c r="I897" s="916">
        <f>'2 REPAIR ESTIMATOR'!P950</f>
        <v>0</v>
      </c>
      <c r="J897" s="917">
        <f>'2 REPAIR ESTIMATOR'!S950</f>
        <v>0</v>
      </c>
      <c r="K897" s="918">
        <f t="shared" si="131"/>
        <v>0</v>
      </c>
      <c r="L897" s="918">
        <f t="shared" si="132"/>
        <v>0</v>
      </c>
      <c r="M897" s="918">
        <f t="shared" si="133"/>
        <v>0</v>
      </c>
      <c r="N897" s="3719">
        <f t="shared" si="134"/>
        <v>0</v>
      </c>
      <c r="O897" s="3719"/>
      <c r="P897" s="490">
        <f t="shared" si="124"/>
        <v>0</v>
      </c>
      <c r="S897" s="32">
        <f>'2 REPAIR ESTIMATOR'!AD950</f>
        <v>0</v>
      </c>
      <c r="T897" s="32">
        <f>'2 REPAIR ESTIMATOR'!AM950</f>
        <v>0</v>
      </c>
      <c r="U897" s="32">
        <f t="shared" si="135"/>
        <v>0</v>
      </c>
      <c r="V897" s="32">
        <f>'2 REPAIR ESTIMATOR'!AG950</f>
        <v>0</v>
      </c>
      <c r="W897" s="32">
        <f>'2 REPAIR ESTIMATOR'!AJ950</f>
        <v>0</v>
      </c>
    </row>
    <row r="898" spans="3:23" ht="18" hidden="1">
      <c r="C898" s="3790" t="str">
        <f>T('2 REPAIR ESTIMATOR'!D951:O951)</f>
        <v>Appliances, Detailed, Ecomony</v>
      </c>
      <c r="D898" s="3791"/>
      <c r="E898" s="3791"/>
      <c r="F898" s="3791"/>
      <c r="G898" s="3791"/>
      <c r="H898" s="3791"/>
      <c r="I898" s="916">
        <f>'2 REPAIR ESTIMATOR'!P951</f>
        <v>0</v>
      </c>
      <c r="J898" s="917">
        <f>'2 REPAIR ESTIMATOR'!S951</f>
        <v>0</v>
      </c>
      <c r="K898" s="918">
        <f t="shared" si="131"/>
        <v>0</v>
      </c>
      <c r="L898" s="918">
        <f t="shared" si="132"/>
        <v>0</v>
      </c>
      <c r="M898" s="918">
        <f t="shared" si="133"/>
        <v>0</v>
      </c>
      <c r="N898" s="3719">
        <f t="shared" si="134"/>
        <v>0</v>
      </c>
      <c r="O898" s="3719"/>
      <c r="P898" s="490">
        <f t="shared" si="124"/>
        <v>0</v>
      </c>
      <c r="S898" s="32">
        <f>'2 REPAIR ESTIMATOR'!AD951</f>
        <v>0</v>
      </c>
      <c r="T898" s="32">
        <f>'2 REPAIR ESTIMATOR'!AM951</f>
        <v>0</v>
      </c>
      <c r="U898" s="32">
        <f t="shared" si="135"/>
        <v>0</v>
      </c>
      <c r="V898" s="32">
        <f>'2 REPAIR ESTIMATOR'!AG951</f>
        <v>0</v>
      </c>
      <c r="W898" s="32">
        <f>'2 REPAIR ESTIMATOR'!AJ951</f>
        <v>0</v>
      </c>
    </row>
    <row r="899" spans="3:23" ht="18" hidden="1">
      <c r="C899" s="3720" t="str">
        <f>T('2 REPAIR ESTIMATOR'!D952:O952)</f>
        <v>Refrigerator, economy</v>
      </c>
      <c r="D899" s="3721"/>
      <c r="E899" s="3721"/>
      <c r="F899" s="3721"/>
      <c r="G899" s="3721"/>
      <c r="H899" s="3721"/>
      <c r="I899" s="916">
        <f>'2 REPAIR ESTIMATOR'!P952</f>
        <v>0</v>
      </c>
      <c r="J899" s="917" t="str">
        <f>'2 REPAIR ESTIMATOR'!S952</f>
        <v>ea</v>
      </c>
      <c r="K899" s="918">
        <f t="shared" si="131"/>
        <v>0</v>
      </c>
      <c r="L899" s="918">
        <f t="shared" si="132"/>
        <v>0</v>
      </c>
      <c r="M899" s="918">
        <f t="shared" si="133"/>
        <v>0</v>
      </c>
      <c r="N899" s="3719">
        <f t="shared" si="134"/>
        <v>0</v>
      </c>
      <c r="O899" s="3719"/>
      <c r="P899" s="490">
        <f t="shared" si="124"/>
        <v>0</v>
      </c>
      <c r="S899" s="32">
        <f>'2 REPAIR ESTIMATOR'!AD952</f>
        <v>0</v>
      </c>
      <c r="T899" s="32">
        <f>'2 REPAIR ESTIMATOR'!AM952</f>
        <v>0</v>
      </c>
      <c r="U899" s="32">
        <f t="shared" si="135"/>
        <v>0</v>
      </c>
      <c r="V899" s="32">
        <f>'2 REPAIR ESTIMATOR'!AG952</f>
        <v>0</v>
      </c>
      <c r="W899" s="32">
        <f>'2 REPAIR ESTIMATOR'!AJ952</f>
        <v>0</v>
      </c>
    </row>
    <row r="900" spans="3:23" ht="18" hidden="1">
      <c r="C900" s="3720" t="str">
        <f>T('2 REPAIR ESTIMATOR'!D953:O953)</f>
        <v>Range, economy</v>
      </c>
      <c r="D900" s="3721"/>
      <c r="E900" s="3721"/>
      <c r="F900" s="3721"/>
      <c r="G900" s="3721"/>
      <c r="H900" s="3721"/>
      <c r="I900" s="916">
        <f>'2 REPAIR ESTIMATOR'!P953</f>
        <v>0</v>
      </c>
      <c r="J900" s="917" t="str">
        <f>'2 REPAIR ESTIMATOR'!S953</f>
        <v>ea</v>
      </c>
      <c r="K900" s="918">
        <f t="shared" si="131"/>
        <v>0</v>
      </c>
      <c r="L900" s="918">
        <f t="shared" si="132"/>
        <v>0</v>
      </c>
      <c r="M900" s="918">
        <f t="shared" si="133"/>
        <v>0</v>
      </c>
      <c r="N900" s="3719">
        <f t="shared" si="134"/>
        <v>0</v>
      </c>
      <c r="O900" s="3719"/>
      <c r="P900" s="490">
        <f t="shared" si="124"/>
        <v>0</v>
      </c>
      <c r="S900" s="32">
        <f>'2 REPAIR ESTIMATOR'!AD953</f>
        <v>0</v>
      </c>
      <c r="T900" s="32">
        <f>'2 REPAIR ESTIMATOR'!AM953</f>
        <v>0</v>
      </c>
      <c r="U900" s="32">
        <f t="shared" si="135"/>
        <v>0</v>
      </c>
      <c r="V900" s="32">
        <f>'2 REPAIR ESTIMATOR'!AG953</f>
        <v>0</v>
      </c>
      <c r="W900" s="32">
        <f>'2 REPAIR ESTIMATOR'!AJ953</f>
        <v>0</v>
      </c>
    </row>
    <row r="901" spans="3:23" ht="18" hidden="1">
      <c r="C901" s="3720" t="str">
        <f>T('2 REPAIR ESTIMATOR'!D954:O954)</f>
        <v>Range Hood, economy</v>
      </c>
      <c r="D901" s="3721"/>
      <c r="E901" s="3721"/>
      <c r="F901" s="3721"/>
      <c r="G901" s="3721"/>
      <c r="H901" s="3721"/>
      <c r="I901" s="916">
        <f>'2 REPAIR ESTIMATOR'!P954</f>
        <v>0</v>
      </c>
      <c r="J901" s="917" t="str">
        <f>'2 REPAIR ESTIMATOR'!S954</f>
        <v>ea</v>
      </c>
      <c r="K901" s="918">
        <f t="shared" si="131"/>
        <v>0</v>
      </c>
      <c r="L901" s="918">
        <f t="shared" si="132"/>
        <v>0</v>
      </c>
      <c r="M901" s="918">
        <f t="shared" si="133"/>
        <v>0</v>
      </c>
      <c r="N901" s="3719">
        <f t="shared" si="134"/>
        <v>0</v>
      </c>
      <c r="O901" s="3719"/>
      <c r="P901" s="490">
        <f t="shared" si="124"/>
        <v>0</v>
      </c>
      <c r="S901" s="32">
        <f>'2 REPAIR ESTIMATOR'!AD954</f>
        <v>0</v>
      </c>
      <c r="T901" s="32">
        <f>'2 REPAIR ESTIMATOR'!AM954</f>
        <v>0</v>
      </c>
      <c r="U901" s="32">
        <f t="shared" si="135"/>
        <v>0</v>
      </c>
      <c r="V901" s="32">
        <f>'2 REPAIR ESTIMATOR'!AG954</f>
        <v>0</v>
      </c>
      <c r="W901" s="32">
        <f>'2 REPAIR ESTIMATOR'!AJ954</f>
        <v>0</v>
      </c>
    </row>
    <row r="902" spans="3:23" ht="18" hidden="1">
      <c r="C902" s="3720" t="str">
        <f>T('2 REPAIR ESTIMATOR'!D955:O955)</f>
        <v>Dishwasher, economy</v>
      </c>
      <c r="D902" s="3721"/>
      <c r="E902" s="3721"/>
      <c r="F902" s="3721"/>
      <c r="G902" s="3721"/>
      <c r="H902" s="3721"/>
      <c r="I902" s="916">
        <f>'2 REPAIR ESTIMATOR'!P955</f>
        <v>0</v>
      </c>
      <c r="J902" s="917" t="str">
        <f>'2 REPAIR ESTIMATOR'!S955</f>
        <v>ea</v>
      </c>
      <c r="K902" s="918">
        <f t="shared" si="131"/>
        <v>0</v>
      </c>
      <c r="L902" s="918">
        <f t="shared" si="132"/>
        <v>0</v>
      </c>
      <c r="M902" s="918">
        <f t="shared" si="133"/>
        <v>0</v>
      </c>
      <c r="N902" s="3719">
        <f t="shared" si="134"/>
        <v>0</v>
      </c>
      <c r="O902" s="3719"/>
      <c r="P902" s="490">
        <f t="shared" si="124"/>
        <v>0</v>
      </c>
      <c r="S902" s="32">
        <f>'2 REPAIR ESTIMATOR'!AD955</f>
        <v>0</v>
      </c>
      <c r="T902" s="32">
        <f>'2 REPAIR ESTIMATOR'!AM955</f>
        <v>0</v>
      </c>
      <c r="U902" s="32">
        <f t="shared" si="135"/>
        <v>0</v>
      </c>
      <c r="V902" s="32">
        <f>'2 REPAIR ESTIMATOR'!AG955</f>
        <v>0</v>
      </c>
      <c r="W902" s="32">
        <f>'2 REPAIR ESTIMATOR'!AJ955</f>
        <v>0</v>
      </c>
    </row>
    <row r="903" spans="3:23" ht="18" hidden="1">
      <c r="C903" s="3720" t="str">
        <f>T('2 REPAIR ESTIMATOR'!D956:O956)</f>
        <v>Microwave, economy</v>
      </c>
      <c r="D903" s="3721"/>
      <c r="E903" s="3721"/>
      <c r="F903" s="3721"/>
      <c r="G903" s="3721"/>
      <c r="H903" s="3721"/>
      <c r="I903" s="916">
        <f>'2 REPAIR ESTIMATOR'!P956</f>
        <v>0</v>
      </c>
      <c r="J903" s="917" t="str">
        <f>'2 REPAIR ESTIMATOR'!S956</f>
        <v>ea</v>
      </c>
      <c r="K903" s="918">
        <f t="shared" si="131"/>
        <v>0</v>
      </c>
      <c r="L903" s="918">
        <f t="shared" si="132"/>
        <v>0</v>
      </c>
      <c r="M903" s="918">
        <f t="shared" si="133"/>
        <v>0</v>
      </c>
      <c r="N903" s="3719">
        <f t="shared" si="134"/>
        <v>0</v>
      </c>
      <c r="O903" s="3719"/>
      <c r="P903" s="489">
        <f t="shared" si="124"/>
        <v>0</v>
      </c>
      <c r="S903" s="32">
        <f>'2 REPAIR ESTIMATOR'!AD956</f>
        <v>0</v>
      </c>
      <c r="T903" s="32">
        <f>'2 REPAIR ESTIMATOR'!AM956</f>
        <v>0</v>
      </c>
      <c r="U903" s="32">
        <f t="shared" si="135"/>
        <v>0</v>
      </c>
      <c r="V903" s="32">
        <f>'2 REPAIR ESTIMATOR'!AG956</f>
        <v>0</v>
      </c>
      <c r="W903" s="32">
        <f>'2 REPAIR ESTIMATOR'!AJ956</f>
        <v>0</v>
      </c>
    </row>
    <row r="904" spans="3:23" ht="18" hidden="1">
      <c r="C904" s="3720" t="str">
        <f>T('2 REPAIR ESTIMATOR'!D957:O957)</f>
        <v>Appliance delivery</v>
      </c>
      <c r="D904" s="3721"/>
      <c r="E904" s="3721"/>
      <c r="F904" s="3721"/>
      <c r="G904" s="3721"/>
      <c r="H904" s="3721"/>
      <c r="I904" s="916">
        <f>'2 REPAIR ESTIMATOR'!P957</f>
        <v>0</v>
      </c>
      <c r="J904" s="917" t="str">
        <f>'2 REPAIR ESTIMATOR'!S957</f>
        <v>ea</v>
      </c>
      <c r="K904" s="918">
        <f t="shared" si="131"/>
        <v>0</v>
      </c>
      <c r="L904" s="918">
        <f t="shared" si="132"/>
        <v>0</v>
      </c>
      <c r="M904" s="918">
        <f t="shared" si="133"/>
        <v>0</v>
      </c>
      <c r="N904" s="3719">
        <f t="shared" si="134"/>
        <v>0</v>
      </c>
      <c r="O904" s="3719"/>
      <c r="P904" s="490">
        <f t="shared" si="124"/>
        <v>0</v>
      </c>
      <c r="S904" s="32">
        <f>'2 REPAIR ESTIMATOR'!AD957</f>
        <v>0</v>
      </c>
      <c r="T904" s="32">
        <f>'2 REPAIR ESTIMATOR'!AM957</f>
        <v>0</v>
      </c>
      <c r="U904" s="32">
        <f t="shared" si="135"/>
        <v>0</v>
      </c>
      <c r="V904" s="32">
        <f>'2 REPAIR ESTIMATOR'!AG957</f>
        <v>0</v>
      </c>
      <c r="W904" s="32">
        <f>'2 REPAIR ESTIMATOR'!AJ957</f>
        <v>0</v>
      </c>
    </row>
    <row r="905" spans="3:23" ht="18" hidden="1">
      <c r="C905" s="3720" t="str">
        <f>T('2 REPAIR ESTIMATOR'!D958:O958)</f>
        <v/>
      </c>
      <c r="D905" s="3721"/>
      <c r="E905" s="3721"/>
      <c r="F905" s="3721"/>
      <c r="G905" s="3721"/>
      <c r="H905" s="3721"/>
      <c r="I905" s="916">
        <f>'2 REPAIR ESTIMATOR'!P958</f>
        <v>0</v>
      </c>
      <c r="J905" s="917">
        <f>'2 REPAIR ESTIMATOR'!S958</f>
        <v>0</v>
      </c>
      <c r="K905" s="918">
        <f t="shared" si="131"/>
        <v>0</v>
      </c>
      <c r="L905" s="918">
        <f t="shared" si="132"/>
        <v>0</v>
      </c>
      <c r="M905" s="918">
        <f t="shared" si="133"/>
        <v>0</v>
      </c>
      <c r="N905" s="3719">
        <f t="shared" si="134"/>
        <v>0</v>
      </c>
      <c r="O905" s="3719"/>
      <c r="P905" s="490">
        <f t="shared" si="124"/>
        <v>0</v>
      </c>
      <c r="S905" s="32">
        <f>'2 REPAIR ESTIMATOR'!AD958</f>
        <v>0</v>
      </c>
      <c r="T905" s="32">
        <f>'2 REPAIR ESTIMATOR'!AM958</f>
        <v>0</v>
      </c>
      <c r="U905" s="32">
        <f t="shared" si="135"/>
        <v>0</v>
      </c>
      <c r="V905" s="32">
        <f>'2 REPAIR ESTIMATOR'!AG958</f>
        <v>0</v>
      </c>
      <c r="W905" s="32">
        <f>'2 REPAIR ESTIMATOR'!AJ958</f>
        <v>0</v>
      </c>
    </row>
    <row r="906" spans="3:23" ht="18" hidden="1">
      <c r="C906" s="3720" t="str">
        <f>T('2 REPAIR ESTIMATOR'!D959:O959)</f>
        <v/>
      </c>
      <c r="D906" s="3721"/>
      <c r="E906" s="3721"/>
      <c r="F906" s="3721"/>
      <c r="G906" s="3721"/>
      <c r="H906" s="3721"/>
      <c r="I906" s="916">
        <f>'2 REPAIR ESTIMATOR'!P959</f>
        <v>0</v>
      </c>
      <c r="J906" s="917">
        <f>'2 REPAIR ESTIMATOR'!S959</f>
        <v>0</v>
      </c>
      <c r="K906" s="918">
        <f t="shared" si="131"/>
        <v>0</v>
      </c>
      <c r="L906" s="918">
        <f t="shared" si="132"/>
        <v>0</v>
      </c>
      <c r="M906" s="918">
        <f t="shared" si="133"/>
        <v>0</v>
      </c>
      <c r="N906" s="3719">
        <f t="shared" si="134"/>
        <v>0</v>
      </c>
      <c r="O906" s="3719"/>
      <c r="P906" s="490">
        <f t="shared" si="124"/>
        <v>0</v>
      </c>
      <c r="S906" s="32">
        <f>'2 REPAIR ESTIMATOR'!AD959</f>
        <v>0</v>
      </c>
      <c r="T906" s="32">
        <f>'2 REPAIR ESTIMATOR'!AM959</f>
        <v>0</v>
      </c>
      <c r="U906" s="32">
        <f t="shared" si="135"/>
        <v>0</v>
      </c>
      <c r="V906" s="32">
        <f>'2 REPAIR ESTIMATOR'!AG959</f>
        <v>0</v>
      </c>
      <c r="W906" s="32">
        <f>'2 REPAIR ESTIMATOR'!AJ959</f>
        <v>0</v>
      </c>
    </row>
    <row r="907" spans="3:23" ht="18" hidden="1">
      <c r="C907" s="3790" t="str">
        <f>T('2 REPAIR ESTIMATOR'!D960:O960)</f>
        <v>Appliances, Detailed, Average</v>
      </c>
      <c r="D907" s="3791"/>
      <c r="E907" s="3791"/>
      <c r="F907" s="3791"/>
      <c r="G907" s="3791"/>
      <c r="H907" s="3791"/>
      <c r="I907" s="916">
        <f>'2 REPAIR ESTIMATOR'!P960</f>
        <v>0</v>
      </c>
      <c r="J907" s="917">
        <f>'2 REPAIR ESTIMATOR'!S960</f>
        <v>0</v>
      </c>
      <c r="K907" s="918">
        <f t="shared" si="131"/>
        <v>0</v>
      </c>
      <c r="L907" s="918">
        <f t="shared" si="132"/>
        <v>0</v>
      </c>
      <c r="M907" s="918">
        <f t="shared" si="133"/>
        <v>0</v>
      </c>
      <c r="N907" s="3719">
        <f t="shared" si="134"/>
        <v>0</v>
      </c>
      <c r="O907" s="3719"/>
      <c r="P907" s="489">
        <f t="shared" si="124"/>
        <v>0</v>
      </c>
      <c r="S907" s="32">
        <f>'2 REPAIR ESTIMATOR'!AD960</f>
        <v>0</v>
      </c>
      <c r="T907" s="32">
        <f>'2 REPAIR ESTIMATOR'!AM960</f>
        <v>0</v>
      </c>
      <c r="U907" s="32">
        <f t="shared" si="135"/>
        <v>0</v>
      </c>
      <c r="V907" s="32">
        <f>'2 REPAIR ESTIMATOR'!AG960</f>
        <v>0</v>
      </c>
      <c r="W907" s="32">
        <f>'2 REPAIR ESTIMATOR'!AJ960</f>
        <v>0</v>
      </c>
    </row>
    <row r="908" spans="3:23" ht="18" hidden="1">
      <c r="C908" s="3720" t="str">
        <f>T('2 REPAIR ESTIMATOR'!D961:O961)</f>
        <v>Refrigerator, average</v>
      </c>
      <c r="D908" s="3721"/>
      <c r="E908" s="3721"/>
      <c r="F908" s="3721"/>
      <c r="G908" s="3721"/>
      <c r="H908" s="3721"/>
      <c r="I908" s="916">
        <f>'2 REPAIR ESTIMATOR'!P961</f>
        <v>0</v>
      </c>
      <c r="J908" s="917" t="str">
        <f>'2 REPAIR ESTIMATOR'!S961</f>
        <v>ea</v>
      </c>
      <c r="K908" s="918">
        <f t="shared" si="131"/>
        <v>0</v>
      </c>
      <c r="L908" s="918">
        <f t="shared" si="132"/>
        <v>0</v>
      </c>
      <c r="M908" s="918">
        <f t="shared" si="133"/>
        <v>0</v>
      </c>
      <c r="N908" s="3719">
        <f t="shared" si="134"/>
        <v>0</v>
      </c>
      <c r="O908" s="3719"/>
      <c r="P908" s="490">
        <f t="shared" si="124"/>
        <v>0</v>
      </c>
      <c r="S908" s="32">
        <f>'2 REPAIR ESTIMATOR'!AD961</f>
        <v>0</v>
      </c>
      <c r="T908" s="32">
        <f>'2 REPAIR ESTIMATOR'!AM961</f>
        <v>0</v>
      </c>
      <c r="U908" s="32">
        <f t="shared" si="135"/>
        <v>0</v>
      </c>
      <c r="V908" s="32">
        <f>'2 REPAIR ESTIMATOR'!AG961</f>
        <v>0</v>
      </c>
      <c r="W908" s="32">
        <f>'2 REPAIR ESTIMATOR'!AJ961</f>
        <v>0</v>
      </c>
    </row>
    <row r="909" spans="3:23" ht="18" hidden="1">
      <c r="C909" s="3720" t="str">
        <f>T('2 REPAIR ESTIMATOR'!D962:O962)</f>
        <v>Range, average</v>
      </c>
      <c r="D909" s="3721"/>
      <c r="E909" s="3721"/>
      <c r="F909" s="3721"/>
      <c r="G909" s="3721"/>
      <c r="H909" s="3721"/>
      <c r="I909" s="916">
        <f>'2 REPAIR ESTIMATOR'!P962</f>
        <v>0</v>
      </c>
      <c r="J909" s="917" t="str">
        <f>'2 REPAIR ESTIMATOR'!S962</f>
        <v>ea</v>
      </c>
      <c r="K909" s="918">
        <f t="shared" si="131"/>
        <v>0</v>
      </c>
      <c r="L909" s="918">
        <f t="shared" si="132"/>
        <v>0</v>
      </c>
      <c r="M909" s="918">
        <f t="shared" si="133"/>
        <v>0</v>
      </c>
      <c r="N909" s="3719">
        <f t="shared" si="134"/>
        <v>0</v>
      </c>
      <c r="O909" s="3719"/>
      <c r="P909" s="490">
        <f t="shared" si="124"/>
        <v>0</v>
      </c>
      <c r="S909" s="32">
        <f>'2 REPAIR ESTIMATOR'!AD962</f>
        <v>0</v>
      </c>
      <c r="T909" s="32">
        <f>'2 REPAIR ESTIMATOR'!AM962</f>
        <v>0</v>
      </c>
      <c r="U909" s="32">
        <f t="shared" si="135"/>
        <v>0</v>
      </c>
      <c r="V909" s="32">
        <f>'2 REPAIR ESTIMATOR'!AG962</f>
        <v>0</v>
      </c>
      <c r="W909" s="32">
        <f>'2 REPAIR ESTIMATOR'!AJ962</f>
        <v>0</v>
      </c>
    </row>
    <row r="910" spans="3:23" ht="18" hidden="1">
      <c r="C910" s="3720" t="str">
        <f>T('2 REPAIR ESTIMATOR'!D963:O963)</f>
        <v>Range Hood, average</v>
      </c>
      <c r="D910" s="3721"/>
      <c r="E910" s="3721"/>
      <c r="F910" s="3721"/>
      <c r="G910" s="3721"/>
      <c r="H910" s="3721"/>
      <c r="I910" s="916">
        <f>'2 REPAIR ESTIMATOR'!P963</f>
        <v>0</v>
      </c>
      <c r="J910" s="917" t="str">
        <f>'2 REPAIR ESTIMATOR'!S963</f>
        <v>ea</v>
      </c>
      <c r="K910" s="918">
        <f t="shared" si="131"/>
        <v>0</v>
      </c>
      <c r="L910" s="918">
        <f t="shared" si="132"/>
        <v>0</v>
      </c>
      <c r="M910" s="918">
        <f t="shared" si="133"/>
        <v>0</v>
      </c>
      <c r="N910" s="3719">
        <f t="shared" si="134"/>
        <v>0</v>
      </c>
      <c r="O910" s="3719"/>
      <c r="P910" s="490">
        <f t="shared" ref="P910:P929" si="136">I910</f>
        <v>0</v>
      </c>
      <c r="S910" s="32">
        <f>'2 REPAIR ESTIMATOR'!AD963</f>
        <v>0</v>
      </c>
      <c r="T910" s="32">
        <f>'2 REPAIR ESTIMATOR'!AM963</f>
        <v>0</v>
      </c>
      <c r="U910" s="32">
        <f t="shared" si="135"/>
        <v>0</v>
      </c>
      <c r="V910" s="32">
        <f>'2 REPAIR ESTIMATOR'!AG963</f>
        <v>0</v>
      </c>
      <c r="W910" s="32">
        <f>'2 REPAIR ESTIMATOR'!AJ963</f>
        <v>0</v>
      </c>
    </row>
    <row r="911" spans="3:23" ht="18" hidden="1">
      <c r="C911" s="3720" t="str">
        <f>T('2 REPAIR ESTIMATOR'!D964:O964)</f>
        <v>Dishwasher, average</v>
      </c>
      <c r="D911" s="3721"/>
      <c r="E911" s="3721"/>
      <c r="F911" s="3721"/>
      <c r="G911" s="3721"/>
      <c r="H911" s="3721"/>
      <c r="I911" s="916">
        <f>'2 REPAIR ESTIMATOR'!P964</f>
        <v>0</v>
      </c>
      <c r="J911" s="917" t="str">
        <f>'2 REPAIR ESTIMATOR'!S964</f>
        <v>ea</v>
      </c>
      <c r="K911" s="918">
        <f t="shared" si="131"/>
        <v>0</v>
      </c>
      <c r="L911" s="918">
        <f t="shared" si="132"/>
        <v>0</v>
      </c>
      <c r="M911" s="918">
        <f t="shared" si="133"/>
        <v>0</v>
      </c>
      <c r="N911" s="3719">
        <f t="shared" si="134"/>
        <v>0</v>
      </c>
      <c r="O911" s="3719"/>
      <c r="P911" s="490">
        <f t="shared" si="136"/>
        <v>0</v>
      </c>
      <c r="S911" s="32">
        <f>'2 REPAIR ESTIMATOR'!AD964</f>
        <v>0</v>
      </c>
      <c r="T911" s="32">
        <f>'2 REPAIR ESTIMATOR'!AM964</f>
        <v>0</v>
      </c>
      <c r="U911" s="32">
        <f t="shared" si="135"/>
        <v>0</v>
      </c>
      <c r="V911" s="32">
        <f>'2 REPAIR ESTIMATOR'!AG964</f>
        <v>0</v>
      </c>
      <c r="W911" s="32">
        <f>'2 REPAIR ESTIMATOR'!AJ964</f>
        <v>0</v>
      </c>
    </row>
    <row r="912" spans="3:23" ht="18" hidden="1">
      <c r="C912" s="3720" t="str">
        <f>T('2 REPAIR ESTIMATOR'!D965:O965)</f>
        <v>Microwave, average</v>
      </c>
      <c r="D912" s="3721"/>
      <c r="E912" s="3721"/>
      <c r="F912" s="3721"/>
      <c r="G912" s="3721"/>
      <c r="H912" s="3721"/>
      <c r="I912" s="916">
        <f>'2 REPAIR ESTIMATOR'!P965</f>
        <v>0</v>
      </c>
      <c r="J912" s="917" t="str">
        <f>'2 REPAIR ESTIMATOR'!S965</f>
        <v>ea</v>
      </c>
      <c r="K912" s="918">
        <f t="shared" si="131"/>
        <v>0</v>
      </c>
      <c r="L912" s="918">
        <f t="shared" si="132"/>
        <v>0</v>
      </c>
      <c r="M912" s="918">
        <f t="shared" si="133"/>
        <v>0</v>
      </c>
      <c r="N912" s="3719">
        <f t="shared" si="134"/>
        <v>0</v>
      </c>
      <c r="O912" s="3719"/>
      <c r="P912" s="490">
        <f t="shared" si="136"/>
        <v>0</v>
      </c>
      <c r="S912" s="32">
        <f>'2 REPAIR ESTIMATOR'!AD965</f>
        <v>0</v>
      </c>
      <c r="T912" s="32">
        <f>'2 REPAIR ESTIMATOR'!AM965</f>
        <v>0</v>
      </c>
      <c r="U912" s="32">
        <f t="shared" si="135"/>
        <v>0</v>
      </c>
      <c r="V912" s="32">
        <f>'2 REPAIR ESTIMATOR'!AG965</f>
        <v>0</v>
      </c>
      <c r="W912" s="32">
        <f>'2 REPAIR ESTIMATOR'!AJ965</f>
        <v>0</v>
      </c>
    </row>
    <row r="913" spans="3:23" ht="18" hidden="1">
      <c r="C913" s="3720" t="str">
        <f>T('2 REPAIR ESTIMATOR'!D966:O966)</f>
        <v>Appliance delivery</v>
      </c>
      <c r="D913" s="3721"/>
      <c r="E913" s="3721"/>
      <c r="F913" s="3721"/>
      <c r="G913" s="3721"/>
      <c r="H913" s="3721"/>
      <c r="I913" s="916">
        <f>'2 REPAIR ESTIMATOR'!P966</f>
        <v>0</v>
      </c>
      <c r="J913" s="917" t="str">
        <f>'2 REPAIR ESTIMATOR'!S966</f>
        <v>ea</v>
      </c>
      <c r="K913" s="918">
        <f t="shared" si="131"/>
        <v>0</v>
      </c>
      <c r="L913" s="918">
        <f t="shared" si="132"/>
        <v>0</v>
      </c>
      <c r="M913" s="918">
        <f t="shared" si="133"/>
        <v>0</v>
      </c>
      <c r="N913" s="3719">
        <f t="shared" si="134"/>
        <v>0</v>
      </c>
      <c r="O913" s="3719"/>
      <c r="P913" s="490">
        <f t="shared" si="136"/>
        <v>0</v>
      </c>
      <c r="S913" s="32">
        <f>'2 REPAIR ESTIMATOR'!AD966</f>
        <v>0</v>
      </c>
      <c r="T913" s="32">
        <f>'2 REPAIR ESTIMATOR'!AM966</f>
        <v>0</v>
      </c>
      <c r="U913" s="32">
        <f t="shared" si="135"/>
        <v>0</v>
      </c>
      <c r="V913" s="32">
        <f>'2 REPAIR ESTIMATOR'!AG966</f>
        <v>0</v>
      </c>
      <c r="W913" s="32">
        <f>'2 REPAIR ESTIMATOR'!AJ966</f>
        <v>0</v>
      </c>
    </row>
    <row r="914" spans="3:23" ht="18" hidden="1">
      <c r="C914" s="3720" t="str">
        <f>T('2 REPAIR ESTIMATOR'!D967:O967)</f>
        <v/>
      </c>
      <c r="D914" s="3721"/>
      <c r="E914" s="3721"/>
      <c r="F914" s="3721"/>
      <c r="G914" s="3721"/>
      <c r="H914" s="3721"/>
      <c r="I914" s="916">
        <f>'2 REPAIR ESTIMATOR'!P967</f>
        <v>0</v>
      </c>
      <c r="J914" s="917">
        <f>'2 REPAIR ESTIMATOR'!S967</f>
        <v>0</v>
      </c>
      <c r="K914" s="918">
        <f t="shared" si="131"/>
        <v>0</v>
      </c>
      <c r="L914" s="918">
        <f t="shared" si="132"/>
        <v>0</v>
      </c>
      <c r="M914" s="918">
        <f t="shared" si="133"/>
        <v>0</v>
      </c>
      <c r="N914" s="3719">
        <f t="shared" si="134"/>
        <v>0</v>
      </c>
      <c r="O914" s="3719"/>
      <c r="P914" s="490">
        <f t="shared" si="136"/>
        <v>0</v>
      </c>
      <c r="S914" s="32">
        <f>'2 REPAIR ESTIMATOR'!AD967</f>
        <v>0</v>
      </c>
      <c r="T914" s="32">
        <f>'2 REPAIR ESTIMATOR'!AM967</f>
        <v>0</v>
      </c>
      <c r="U914" s="32">
        <f t="shared" si="135"/>
        <v>0</v>
      </c>
      <c r="V914" s="32">
        <f>'2 REPAIR ESTIMATOR'!AG967</f>
        <v>0</v>
      </c>
      <c r="W914" s="32">
        <f>'2 REPAIR ESTIMATOR'!AJ967</f>
        <v>0</v>
      </c>
    </row>
    <row r="915" spans="3:23" ht="18" hidden="1">
      <c r="C915" s="3720" t="str">
        <f>T('2 REPAIR ESTIMATOR'!D968:O968)</f>
        <v/>
      </c>
      <c r="D915" s="3721"/>
      <c r="E915" s="3721"/>
      <c r="F915" s="3721"/>
      <c r="G915" s="3721"/>
      <c r="H915" s="3721"/>
      <c r="I915" s="916">
        <f>'2 REPAIR ESTIMATOR'!P968</f>
        <v>0</v>
      </c>
      <c r="J915" s="917">
        <f>'2 REPAIR ESTIMATOR'!S968</f>
        <v>0</v>
      </c>
      <c r="K915" s="918">
        <f t="shared" si="131"/>
        <v>0</v>
      </c>
      <c r="L915" s="918">
        <f t="shared" si="132"/>
        <v>0</v>
      </c>
      <c r="M915" s="918">
        <f t="shared" si="133"/>
        <v>0</v>
      </c>
      <c r="N915" s="3719">
        <f t="shared" si="134"/>
        <v>0</v>
      </c>
      <c r="O915" s="3719"/>
      <c r="P915" s="490">
        <f t="shared" si="136"/>
        <v>0</v>
      </c>
      <c r="S915" s="32">
        <f>'2 REPAIR ESTIMATOR'!AD968</f>
        <v>0</v>
      </c>
      <c r="T915" s="32">
        <f>'2 REPAIR ESTIMATOR'!AM968</f>
        <v>0</v>
      </c>
      <c r="U915" s="32">
        <f t="shared" si="135"/>
        <v>0</v>
      </c>
      <c r="V915" s="32">
        <f>'2 REPAIR ESTIMATOR'!AG968</f>
        <v>0</v>
      </c>
      <c r="W915" s="32">
        <f>'2 REPAIR ESTIMATOR'!AJ968</f>
        <v>0</v>
      </c>
    </row>
    <row r="916" spans="3:23" ht="18" hidden="1">
      <c r="C916" s="3790" t="str">
        <f>T('2 REPAIR ESTIMATOR'!D969:O969)</f>
        <v>Appliances, Detailed, High End</v>
      </c>
      <c r="D916" s="3791"/>
      <c r="E916" s="3791"/>
      <c r="F916" s="3791"/>
      <c r="G916" s="3791"/>
      <c r="H916" s="3791"/>
      <c r="I916" s="916">
        <f>'2 REPAIR ESTIMATOR'!P969</f>
        <v>0</v>
      </c>
      <c r="J916" s="917">
        <f>'2 REPAIR ESTIMATOR'!S969</f>
        <v>0</v>
      </c>
      <c r="K916" s="918">
        <f t="shared" si="131"/>
        <v>0</v>
      </c>
      <c r="L916" s="918">
        <f t="shared" si="132"/>
        <v>0</v>
      </c>
      <c r="M916" s="918">
        <f t="shared" si="133"/>
        <v>0</v>
      </c>
      <c r="N916" s="3719">
        <f t="shared" si="134"/>
        <v>0</v>
      </c>
      <c r="O916" s="3719"/>
      <c r="P916" s="490">
        <f t="shared" si="136"/>
        <v>0</v>
      </c>
      <c r="S916" s="32">
        <f>'2 REPAIR ESTIMATOR'!AD969</f>
        <v>0</v>
      </c>
      <c r="T916" s="32">
        <f>'2 REPAIR ESTIMATOR'!AM969</f>
        <v>0</v>
      </c>
      <c r="U916" s="32">
        <f t="shared" si="135"/>
        <v>0</v>
      </c>
      <c r="V916" s="32">
        <f>'2 REPAIR ESTIMATOR'!AG969</f>
        <v>0</v>
      </c>
      <c r="W916" s="32">
        <f>'2 REPAIR ESTIMATOR'!AJ969</f>
        <v>0</v>
      </c>
    </row>
    <row r="917" spans="3:23" ht="18" hidden="1">
      <c r="C917" s="3720" t="str">
        <f>T('2 REPAIR ESTIMATOR'!D970:O970)</f>
        <v>Refrigerator, high end</v>
      </c>
      <c r="D917" s="3721"/>
      <c r="E917" s="3721"/>
      <c r="F917" s="3721"/>
      <c r="G917" s="3721"/>
      <c r="H917" s="3721"/>
      <c r="I917" s="916">
        <f>'2 REPAIR ESTIMATOR'!P970</f>
        <v>0</v>
      </c>
      <c r="J917" s="917" t="str">
        <f>'2 REPAIR ESTIMATOR'!S970</f>
        <v>ea</v>
      </c>
      <c r="K917" s="918">
        <f t="shared" si="131"/>
        <v>0</v>
      </c>
      <c r="L917" s="918">
        <f t="shared" si="132"/>
        <v>0</v>
      </c>
      <c r="M917" s="918">
        <f t="shared" si="133"/>
        <v>0</v>
      </c>
      <c r="N917" s="3719">
        <f t="shared" si="134"/>
        <v>0</v>
      </c>
      <c r="O917" s="3719"/>
      <c r="P917" s="490">
        <f t="shared" si="136"/>
        <v>0</v>
      </c>
      <c r="S917" s="32">
        <f>'2 REPAIR ESTIMATOR'!AD970</f>
        <v>0</v>
      </c>
      <c r="T917" s="32">
        <f>'2 REPAIR ESTIMATOR'!AM970</f>
        <v>0</v>
      </c>
      <c r="U917" s="32">
        <f t="shared" si="135"/>
        <v>0</v>
      </c>
      <c r="V917" s="32">
        <f>'2 REPAIR ESTIMATOR'!AG970</f>
        <v>0</v>
      </c>
      <c r="W917" s="32">
        <f>'2 REPAIR ESTIMATOR'!AJ970</f>
        <v>0</v>
      </c>
    </row>
    <row r="918" spans="3:23" ht="18" hidden="1">
      <c r="C918" s="3720" t="str">
        <f>T('2 REPAIR ESTIMATOR'!D971:O971)</f>
        <v>Range, high end</v>
      </c>
      <c r="D918" s="3721"/>
      <c r="E918" s="3721"/>
      <c r="F918" s="3721"/>
      <c r="G918" s="3721"/>
      <c r="H918" s="3721"/>
      <c r="I918" s="916">
        <f>'2 REPAIR ESTIMATOR'!P971</f>
        <v>0</v>
      </c>
      <c r="J918" s="917" t="str">
        <f>'2 REPAIR ESTIMATOR'!S971</f>
        <v>ea</v>
      </c>
      <c r="K918" s="918">
        <f t="shared" si="131"/>
        <v>0</v>
      </c>
      <c r="L918" s="918">
        <f t="shared" si="132"/>
        <v>0</v>
      </c>
      <c r="M918" s="918">
        <f t="shared" si="133"/>
        <v>0</v>
      </c>
      <c r="N918" s="3719">
        <f t="shared" si="134"/>
        <v>0</v>
      </c>
      <c r="O918" s="3719"/>
      <c r="P918" s="490">
        <f t="shared" si="136"/>
        <v>0</v>
      </c>
      <c r="S918" s="32">
        <f>'2 REPAIR ESTIMATOR'!AD971</f>
        <v>0</v>
      </c>
      <c r="T918" s="32">
        <f>'2 REPAIR ESTIMATOR'!AM971</f>
        <v>0</v>
      </c>
      <c r="U918" s="32">
        <f t="shared" si="135"/>
        <v>0</v>
      </c>
      <c r="V918" s="32">
        <f>'2 REPAIR ESTIMATOR'!AG971</f>
        <v>0</v>
      </c>
      <c r="W918" s="32">
        <f>'2 REPAIR ESTIMATOR'!AJ971</f>
        <v>0</v>
      </c>
    </row>
    <row r="919" spans="3:23" ht="18" hidden="1">
      <c r="C919" s="3720" t="str">
        <f>T('2 REPAIR ESTIMATOR'!D972:O972)</f>
        <v>Range Hood, high end</v>
      </c>
      <c r="D919" s="3721"/>
      <c r="E919" s="3721"/>
      <c r="F919" s="3721"/>
      <c r="G919" s="3721"/>
      <c r="H919" s="3721"/>
      <c r="I919" s="916">
        <f>'2 REPAIR ESTIMATOR'!P972</f>
        <v>0</v>
      </c>
      <c r="J919" s="917" t="str">
        <f>'2 REPAIR ESTIMATOR'!S972</f>
        <v>ea</v>
      </c>
      <c r="K919" s="918">
        <f t="shared" si="131"/>
        <v>0</v>
      </c>
      <c r="L919" s="918">
        <f t="shared" si="132"/>
        <v>0</v>
      </c>
      <c r="M919" s="918">
        <f t="shared" si="133"/>
        <v>0</v>
      </c>
      <c r="N919" s="3719">
        <f t="shared" si="134"/>
        <v>0</v>
      </c>
      <c r="O919" s="3719"/>
      <c r="P919" s="490">
        <f t="shared" si="136"/>
        <v>0</v>
      </c>
      <c r="S919" s="32">
        <f>'2 REPAIR ESTIMATOR'!AD972</f>
        <v>0</v>
      </c>
      <c r="T919" s="32">
        <f>'2 REPAIR ESTIMATOR'!AM972</f>
        <v>0</v>
      </c>
      <c r="U919" s="32">
        <f t="shared" si="135"/>
        <v>0</v>
      </c>
      <c r="V919" s="32">
        <f>'2 REPAIR ESTIMATOR'!AG972</f>
        <v>0</v>
      </c>
      <c r="W919" s="32">
        <f>'2 REPAIR ESTIMATOR'!AJ972</f>
        <v>0</v>
      </c>
    </row>
    <row r="920" spans="3:23" ht="18" hidden="1">
      <c r="C920" s="3720" t="str">
        <f>T('2 REPAIR ESTIMATOR'!D973:O973)</f>
        <v>Dishwasher, high end</v>
      </c>
      <c r="D920" s="3721"/>
      <c r="E920" s="3721"/>
      <c r="F920" s="3721"/>
      <c r="G920" s="3721"/>
      <c r="H920" s="3721"/>
      <c r="I920" s="916">
        <f>'2 REPAIR ESTIMATOR'!P973</f>
        <v>0</v>
      </c>
      <c r="J920" s="917" t="str">
        <f>'2 REPAIR ESTIMATOR'!S973</f>
        <v>ea</v>
      </c>
      <c r="K920" s="918">
        <f t="shared" si="131"/>
        <v>0</v>
      </c>
      <c r="L920" s="918">
        <f t="shared" si="132"/>
        <v>0</v>
      </c>
      <c r="M920" s="918">
        <f t="shared" si="133"/>
        <v>0</v>
      </c>
      <c r="N920" s="3719">
        <f t="shared" si="134"/>
        <v>0</v>
      </c>
      <c r="O920" s="3719"/>
      <c r="P920" s="490">
        <f t="shared" si="136"/>
        <v>0</v>
      </c>
      <c r="S920" s="32">
        <f>'2 REPAIR ESTIMATOR'!AD973</f>
        <v>0</v>
      </c>
      <c r="T920" s="32">
        <f>'2 REPAIR ESTIMATOR'!AM973</f>
        <v>0</v>
      </c>
      <c r="U920" s="32">
        <f t="shared" si="135"/>
        <v>0</v>
      </c>
      <c r="V920" s="32">
        <f>'2 REPAIR ESTIMATOR'!AG973</f>
        <v>0</v>
      </c>
      <c r="W920" s="32">
        <f>'2 REPAIR ESTIMATOR'!AJ973</f>
        <v>0</v>
      </c>
    </row>
    <row r="921" spans="3:23" ht="18" hidden="1">
      <c r="C921" s="3720" t="str">
        <f>T('2 REPAIR ESTIMATOR'!D974:O974)</f>
        <v>Microwave, high end</v>
      </c>
      <c r="D921" s="3721"/>
      <c r="E921" s="3721"/>
      <c r="F921" s="3721"/>
      <c r="G921" s="3721"/>
      <c r="H921" s="3721"/>
      <c r="I921" s="916">
        <f>'2 REPAIR ESTIMATOR'!P974</f>
        <v>0</v>
      </c>
      <c r="J921" s="917" t="str">
        <f>'2 REPAIR ESTIMATOR'!S974</f>
        <v>ea</v>
      </c>
      <c r="K921" s="918">
        <f t="shared" si="131"/>
        <v>0</v>
      </c>
      <c r="L921" s="918">
        <f t="shared" si="132"/>
        <v>0</v>
      </c>
      <c r="M921" s="918">
        <f t="shared" si="133"/>
        <v>0</v>
      </c>
      <c r="N921" s="3719">
        <f t="shared" si="134"/>
        <v>0</v>
      </c>
      <c r="O921" s="3719"/>
      <c r="P921" s="490">
        <f t="shared" si="136"/>
        <v>0</v>
      </c>
      <c r="S921" s="32">
        <f>'2 REPAIR ESTIMATOR'!AD974</f>
        <v>0</v>
      </c>
      <c r="T921" s="32">
        <f>'2 REPAIR ESTIMATOR'!AM974</f>
        <v>0</v>
      </c>
      <c r="U921" s="32">
        <f t="shared" si="135"/>
        <v>0</v>
      </c>
      <c r="V921" s="32">
        <f>'2 REPAIR ESTIMATOR'!AG974</f>
        <v>0</v>
      </c>
      <c r="W921" s="32">
        <f>'2 REPAIR ESTIMATOR'!AJ974</f>
        <v>0</v>
      </c>
    </row>
    <row r="922" spans="3:23" ht="18" hidden="1">
      <c r="C922" s="3720" t="str">
        <f>T('2 REPAIR ESTIMATOR'!D975:O975)</f>
        <v>Appliance delivery</v>
      </c>
      <c r="D922" s="3721"/>
      <c r="E922" s="3721"/>
      <c r="F922" s="3721"/>
      <c r="G922" s="3721"/>
      <c r="H922" s="3721"/>
      <c r="I922" s="916">
        <f>'2 REPAIR ESTIMATOR'!P975</f>
        <v>0</v>
      </c>
      <c r="J922" s="917" t="str">
        <f>'2 REPAIR ESTIMATOR'!S975</f>
        <v>ea</v>
      </c>
      <c r="K922" s="918">
        <f t="shared" si="131"/>
        <v>0</v>
      </c>
      <c r="L922" s="918">
        <f t="shared" si="132"/>
        <v>0</v>
      </c>
      <c r="M922" s="918">
        <f t="shared" si="133"/>
        <v>0</v>
      </c>
      <c r="N922" s="3719">
        <f t="shared" si="134"/>
        <v>0</v>
      </c>
      <c r="O922" s="3719"/>
      <c r="P922" s="490">
        <f t="shared" si="136"/>
        <v>0</v>
      </c>
      <c r="S922" s="32">
        <f>'2 REPAIR ESTIMATOR'!AD975</f>
        <v>0</v>
      </c>
      <c r="T922" s="32">
        <f>'2 REPAIR ESTIMATOR'!AM975</f>
        <v>0</v>
      </c>
      <c r="U922" s="32">
        <f t="shared" si="135"/>
        <v>0</v>
      </c>
      <c r="V922" s="32">
        <f>'2 REPAIR ESTIMATOR'!AG975</f>
        <v>0</v>
      </c>
      <c r="W922" s="32">
        <f>'2 REPAIR ESTIMATOR'!AJ975</f>
        <v>0</v>
      </c>
    </row>
    <row r="923" spans="3:23" ht="18" hidden="1">
      <c r="C923" s="3720" t="str">
        <f>T('2 REPAIR ESTIMATOR'!D976:O976)</f>
        <v/>
      </c>
      <c r="D923" s="3721"/>
      <c r="E923" s="3721"/>
      <c r="F923" s="3721"/>
      <c r="G923" s="3721"/>
      <c r="H923" s="3721"/>
      <c r="I923" s="916">
        <f>'2 REPAIR ESTIMATOR'!P976</f>
        <v>0</v>
      </c>
      <c r="J923" s="917">
        <f>'2 REPAIR ESTIMATOR'!S976</f>
        <v>0</v>
      </c>
      <c r="K923" s="918">
        <f t="shared" si="131"/>
        <v>0</v>
      </c>
      <c r="L923" s="918">
        <f t="shared" si="132"/>
        <v>0</v>
      </c>
      <c r="M923" s="918">
        <f t="shared" si="133"/>
        <v>0</v>
      </c>
      <c r="N923" s="3719">
        <f t="shared" si="134"/>
        <v>0</v>
      </c>
      <c r="O923" s="3719"/>
      <c r="P923" s="490">
        <f t="shared" si="136"/>
        <v>0</v>
      </c>
      <c r="S923" s="32">
        <f>'2 REPAIR ESTIMATOR'!AD976</f>
        <v>0</v>
      </c>
      <c r="T923" s="32">
        <f>'2 REPAIR ESTIMATOR'!AM976</f>
        <v>0</v>
      </c>
      <c r="U923" s="32">
        <f t="shared" si="135"/>
        <v>0</v>
      </c>
      <c r="V923" s="32">
        <f>'2 REPAIR ESTIMATOR'!AG976</f>
        <v>0</v>
      </c>
      <c r="W923" s="32">
        <f>'2 REPAIR ESTIMATOR'!AJ976</f>
        <v>0</v>
      </c>
    </row>
    <row r="924" spans="3:23" ht="18" hidden="1">
      <c r="C924" s="3720" t="str">
        <f>T('2 REPAIR ESTIMATOR'!D977:O977)</f>
        <v/>
      </c>
      <c r="D924" s="3721"/>
      <c r="E924" s="3721"/>
      <c r="F924" s="3721"/>
      <c r="G924" s="3721"/>
      <c r="H924" s="3721"/>
      <c r="I924" s="916">
        <f>'2 REPAIR ESTIMATOR'!P977</f>
        <v>0</v>
      </c>
      <c r="J924" s="917">
        <f>'2 REPAIR ESTIMATOR'!S977</f>
        <v>0</v>
      </c>
      <c r="K924" s="918">
        <f t="shared" si="131"/>
        <v>0</v>
      </c>
      <c r="L924" s="918">
        <f t="shared" si="132"/>
        <v>0</v>
      </c>
      <c r="M924" s="918">
        <f t="shared" si="133"/>
        <v>0</v>
      </c>
      <c r="N924" s="3719">
        <f t="shared" si="134"/>
        <v>0</v>
      </c>
      <c r="O924" s="3719"/>
      <c r="P924" s="490">
        <f t="shared" si="136"/>
        <v>0</v>
      </c>
      <c r="S924" s="32">
        <f>'2 REPAIR ESTIMATOR'!AD977</f>
        <v>0</v>
      </c>
      <c r="T924" s="32">
        <f>'2 REPAIR ESTIMATOR'!AM977</f>
        <v>0</v>
      </c>
      <c r="U924" s="32">
        <f t="shared" si="135"/>
        <v>0</v>
      </c>
      <c r="V924" s="32">
        <f>'2 REPAIR ESTIMATOR'!AG977</f>
        <v>0</v>
      </c>
      <c r="W924" s="32">
        <f>'2 REPAIR ESTIMATOR'!AJ977</f>
        <v>0</v>
      </c>
    </row>
    <row r="925" spans="3:23" ht="18" hidden="1">
      <c r="C925" s="3720" t="str">
        <f>T('2 REPAIR ESTIMATOR'!D978:O978)</f>
        <v/>
      </c>
      <c r="D925" s="3721"/>
      <c r="E925" s="3721"/>
      <c r="F925" s="3721"/>
      <c r="G925" s="3721"/>
      <c r="H925" s="3721"/>
      <c r="I925" s="916">
        <f>'2 REPAIR ESTIMATOR'!P978</f>
        <v>0</v>
      </c>
      <c r="J925" s="917">
        <f>'2 REPAIR ESTIMATOR'!S978</f>
        <v>0</v>
      </c>
      <c r="K925" s="918">
        <f t="shared" si="131"/>
        <v>0</v>
      </c>
      <c r="L925" s="918">
        <f t="shared" si="132"/>
        <v>0</v>
      </c>
      <c r="M925" s="918">
        <f t="shared" si="133"/>
        <v>0</v>
      </c>
      <c r="N925" s="3719">
        <f t="shared" si="134"/>
        <v>0</v>
      </c>
      <c r="O925" s="3719"/>
      <c r="P925" s="490">
        <f t="shared" si="136"/>
        <v>0</v>
      </c>
      <c r="S925" s="32">
        <f>'2 REPAIR ESTIMATOR'!AD978</f>
        <v>0</v>
      </c>
      <c r="T925" s="32">
        <f>'2 REPAIR ESTIMATOR'!AM978</f>
        <v>0</v>
      </c>
      <c r="U925" s="32">
        <f t="shared" si="135"/>
        <v>0</v>
      </c>
      <c r="V925" s="32">
        <f>'2 REPAIR ESTIMATOR'!AG978</f>
        <v>0</v>
      </c>
      <c r="W925" s="32">
        <f>'2 REPAIR ESTIMATOR'!AJ978</f>
        <v>0</v>
      </c>
    </row>
    <row r="926" spans="3:23" ht="18" hidden="1">
      <c r="C926" s="3720" t="str">
        <f>T('2 REPAIR ESTIMATOR'!D979:O979)</f>
        <v/>
      </c>
      <c r="D926" s="3721"/>
      <c r="E926" s="3721"/>
      <c r="F926" s="3721"/>
      <c r="G926" s="3721"/>
      <c r="H926" s="3721"/>
      <c r="I926" s="916">
        <f>'2 REPAIR ESTIMATOR'!P979</f>
        <v>0</v>
      </c>
      <c r="J926" s="917">
        <f>'2 REPAIR ESTIMATOR'!S979</f>
        <v>0</v>
      </c>
      <c r="K926" s="918">
        <f t="shared" si="131"/>
        <v>0</v>
      </c>
      <c r="L926" s="918">
        <f t="shared" si="132"/>
        <v>0</v>
      </c>
      <c r="M926" s="918">
        <f t="shared" si="133"/>
        <v>0</v>
      </c>
      <c r="N926" s="3719">
        <f t="shared" si="134"/>
        <v>0</v>
      </c>
      <c r="O926" s="3719"/>
      <c r="P926" s="490">
        <f t="shared" si="136"/>
        <v>0</v>
      </c>
      <c r="S926" s="32">
        <f>'2 REPAIR ESTIMATOR'!AD979</f>
        <v>0</v>
      </c>
      <c r="T926" s="32">
        <f>'2 REPAIR ESTIMATOR'!AM979</f>
        <v>0</v>
      </c>
      <c r="U926" s="32">
        <f t="shared" si="135"/>
        <v>0</v>
      </c>
      <c r="V926" s="32">
        <f>'2 REPAIR ESTIMATOR'!AG979</f>
        <v>0</v>
      </c>
      <c r="W926" s="32">
        <f>'2 REPAIR ESTIMATOR'!AJ979</f>
        <v>0</v>
      </c>
    </row>
    <row r="927" spans="3:23" ht="18" hidden="1">
      <c r="C927" s="3720" t="str">
        <f>T('2 REPAIR ESTIMATOR'!D980:O980)</f>
        <v/>
      </c>
      <c r="D927" s="3721"/>
      <c r="E927" s="3721"/>
      <c r="F927" s="3721"/>
      <c r="G927" s="3721"/>
      <c r="H927" s="3721"/>
      <c r="I927" s="916">
        <f>'2 REPAIR ESTIMATOR'!P980</f>
        <v>0</v>
      </c>
      <c r="J927" s="917">
        <f>'2 REPAIR ESTIMATOR'!S980</f>
        <v>0</v>
      </c>
      <c r="K927" s="918">
        <f t="shared" si="131"/>
        <v>0</v>
      </c>
      <c r="L927" s="918">
        <f t="shared" si="132"/>
        <v>0</v>
      </c>
      <c r="M927" s="918">
        <f t="shared" si="133"/>
        <v>0</v>
      </c>
      <c r="N927" s="3719">
        <f t="shared" si="134"/>
        <v>0</v>
      </c>
      <c r="O927" s="3719"/>
      <c r="P927" s="490">
        <f t="shared" si="136"/>
        <v>0</v>
      </c>
      <c r="S927" s="32">
        <f>'2 REPAIR ESTIMATOR'!AD980</f>
        <v>0</v>
      </c>
      <c r="T927" s="32">
        <f>'2 REPAIR ESTIMATOR'!AM980</f>
        <v>0</v>
      </c>
      <c r="U927" s="32">
        <f t="shared" si="135"/>
        <v>0</v>
      </c>
      <c r="V927" s="32">
        <f>'2 REPAIR ESTIMATOR'!AG980</f>
        <v>0</v>
      </c>
      <c r="W927" s="32">
        <f>'2 REPAIR ESTIMATOR'!AJ980</f>
        <v>0</v>
      </c>
    </row>
    <row r="928" spans="3:23" ht="18" hidden="1">
      <c r="C928" s="3720" t="str">
        <f>T('2 REPAIR ESTIMATOR'!D981:O981)</f>
        <v/>
      </c>
      <c r="D928" s="3721"/>
      <c r="E928" s="3721"/>
      <c r="F928" s="3721"/>
      <c r="G928" s="3721"/>
      <c r="H928" s="3721"/>
      <c r="I928" s="916">
        <f>'2 REPAIR ESTIMATOR'!P981</f>
        <v>0</v>
      </c>
      <c r="J928" s="917">
        <f>'2 REPAIR ESTIMATOR'!S981</f>
        <v>0</v>
      </c>
      <c r="K928" s="918">
        <f t="shared" si="131"/>
        <v>0</v>
      </c>
      <c r="L928" s="918">
        <f t="shared" si="132"/>
        <v>0</v>
      </c>
      <c r="M928" s="918">
        <f t="shared" si="133"/>
        <v>0</v>
      </c>
      <c r="N928" s="3719">
        <f t="shared" si="134"/>
        <v>0</v>
      </c>
      <c r="O928" s="3719"/>
      <c r="P928" s="490">
        <f t="shared" si="136"/>
        <v>0</v>
      </c>
      <c r="S928" s="32">
        <f>'2 REPAIR ESTIMATOR'!AD981</f>
        <v>0</v>
      </c>
      <c r="T928" s="32">
        <f>'2 REPAIR ESTIMATOR'!AM981</f>
        <v>0</v>
      </c>
      <c r="U928" s="32">
        <f t="shared" si="135"/>
        <v>0</v>
      </c>
      <c r="V928" s="32">
        <f>'2 REPAIR ESTIMATOR'!AG981</f>
        <v>0</v>
      </c>
      <c r="W928" s="32">
        <f>'2 REPAIR ESTIMATOR'!AJ981</f>
        <v>0</v>
      </c>
    </row>
    <row r="929" spans="3:23" ht="18.350000000000001" hidden="1" thickBot="1">
      <c r="C929" s="3779" t="str">
        <f>T('2 REPAIR ESTIMATOR'!D982:O982)</f>
        <v/>
      </c>
      <c r="D929" s="3780"/>
      <c r="E929" s="3780"/>
      <c r="F929" s="3780"/>
      <c r="G929" s="3780"/>
      <c r="H929" s="3780"/>
      <c r="I929" s="919">
        <f>'2 REPAIR ESTIMATOR'!P982</f>
        <v>0</v>
      </c>
      <c r="J929" s="920">
        <f>'2 REPAIR ESTIMATOR'!S982</f>
        <v>0</v>
      </c>
      <c r="K929" s="921">
        <f t="shared" si="131"/>
        <v>0</v>
      </c>
      <c r="L929" s="921">
        <f t="shared" si="132"/>
        <v>0</v>
      </c>
      <c r="M929" s="921">
        <f t="shared" si="133"/>
        <v>0</v>
      </c>
      <c r="N929" s="3781">
        <f t="shared" si="134"/>
        <v>0</v>
      </c>
      <c r="O929" s="3781"/>
      <c r="P929" s="490">
        <f t="shared" si="136"/>
        <v>0</v>
      </c>
      <c r="S929" s="32">
        <f>'2 REPAIR ESTIMATOR'!AD982</f>
        <v>0</v>
      </c>
      <c r="T929" s="32">
        <f>'2 REPAIR ESTIMATOR'!AM982</f>
        <v>0</v>
      </c>
      <c r="U929" s="32">
        <f t="shared" si="135"/>
        <v>0</v>
      </c>
      <c r="V929" s="32">
        <f>'2 REPAIR ESTIMATOR'!AG982</f>
        <v>0</v>
      </c>
      <c r="W929" s="32">
        <f>'2 REPAIR ESTIMATOR'!AJ982</f>
        <v>0</v>
      </c>
    </row>
    <row r="930" spans="3:23" ht="18.350000000000001" hidden="1" thickBot="1">
      <c r="C930" s="3723" t="str">
        <f>T('2 REPAIR ESTIMATOR'!AC984)</f>
        <v>APPLIANCES TOTAL</v>
      </c>
      <c r="D930" s="3724"/>
      <c r="E930" s="3724"/>
      <c r="F930" s="3724"/>
      <c r="G930" s="3724"/>
      <c r="H930" s="3724"/>
      <c r="I930" s="3724"/>
      <c r="J930" s="3724"/>
      <c r="K930" s="922">
        <f>SUM(K890:K929)</f>
        <v>0</v>
      </c>
      <c r="L930" s="922">
        <f>SUM(L890:L929)</f>
        <v>0</v>
      </c>
      <c r="M930" s="922">
        <f>SUM(M890:M929)</f>
        <v>0</v>
      </c>
      <c r="N930" s="3789">
        <f>SUM(N890:O929)</f>
        <v>0</v>
      </c>
      <c r="O930" s="3789"/>
      <c r="P930" s="489">
        <f>SUM(P889:P899)</f>
        <v>0</v>
      </c>
      <c r="S930" s="33">
        <f>SUM(S890:S929)</f>
        <v>0</v>
      </c>
      <c r="T930" s="33">
        <f>SUM(T890:T929)</f>
        <v>0</v>
      </c>
      <c r="U930" s="33">
        <f>SUM(U890:U929)</f>
        <v>0</v>
      </c>
      <c r="V930" s="33">
        <f>SUM(V890:V929)</f>
        <v>0</v>
      </c>
      <c r="W930" s="33">
        <f>SUM(W890:W929)</f>
        <v>0</v>
      </c>
    </row>
    <row r="931" spans="3:23" ht="8.85" hidden="1" customHeight="1">
      <c r="C931" s="841"/>
      <c r="D931" s="841"/>
      <c r="E931" s="841"/>
      <c r="F931" s="841"/>
      <c r="G931" s="841"/>
      <c r="H931" s="841"/>
      <c r="I931" s="842"/>
      <c r="J931" s="842"/>
      <c r="K931" s="842"/>
      <c r="L931" s="842"/>
      <c r="M931" s="842"/>
      <c r="N931" s="843"/>
      <c r="O931" s="798"/>
      <c r="P931" s="489">
        <f>P930</f>
        <v>0</v>
      </c>
    </row>
    <row r="932" spans="3:23" ht="21" hidden="1" customHeight="1" thickBot="1">
      <c r="C932" s="3782" t="str">
        <f>T('2 REPAIR ESTIMATOR'!D987:O987)</f>
        <v>PLUMBING</v>
      </c>
      <c r="D932" s="3783"/>
      <c r="E932" s="3783"/>
      <c r="F932" s="3783"/>
      <c r="G932" s="3783"/>
      <c r="H932" s="3783"/>
      <c r="I932" s="799">
        <f>SUM(I933:I972)</f>
        <v>0</v>
      </c>
      <c r="J932" s="800"/>
      <c r="K932" s="850"/>
      <c r="L932" s="850"/>
      <c r="M932" s="850"/>
      <c r="N932" s="3722"/>
      <c r="O932" s="3722"/>
      <c r="P932" s="489">
        <f t="shared" si="124"/>
        <v>0</v>
      </c>
      <c r="S932" s="34"/>
      <c r="T932" s="34"/>
      <c r="U932" s="34"/>
      <c r="V932" s="34"/>
      <c r="W932" s="34"/>
    </row>
    <row r="933" spans="3:23" ht="18" hidden="1">
      <c r="C933" s="3720" t="str">
        <f>T('2 REPAIR ESTIMATOR'!D988:O988)</f>
        <v>Plumbing, bid/allowance</v>
      </c>
      <c r="D933" s="3721"/>
      <c r="E933" s="3721"/>
      <c r="F933" s="3721"/>
      <c r="G933" s="3721"/>
      <c r="H933" s="3721"/>
      <c r="I933" s="916">
        <f>'2 REPAIR ESTIMATOR'!P988</f>
        <v>0</v>
      </c>
      <c r="J933" s="917" t="str">
        <f>'2 REPAIR ESTIMATOR'!S988</f>
        <v>ls</v>
      </c>
      <c r="K933" s="918">
        <f t="shared" ref="K933:K972" si="137">IF($N$3="subbed",U933,S933)*$S$70</f>
        <v>0</v>
      </c>
      <c r="L933" s="918">
        <f>V933*$S$70</f>
        <v>0</v>
      </c>
      <c r="M933" s="918">
        <f>W933*$S$70</f>
        <v>0</v>
      </c>
      <c r="N933" s="3719">
        <f>SUM(K933:M933)</f>
        <v>0</v>
      </c>
      <c r="O933" s="3719"/>
      <c r="P933" s="490">
        <f t="shared" si="124"/>
        <v>0</v>
      </c>
      <c r="S933" s="32">
        <f>'2 REPAIR ESTIMATOR'!AD988</f>
        <v>0</v>
      </c>
      <c r="T933" s="32">
        <f>'2 REPAIR ESTIMATOR'!AM988</f>
        <v>0</v>
      </c>
      <c r="U933" s="32">
        <f>T933+S933</f>
        <v>0</v>
      </c>
      <c r="V933" s="32">
        <f>'2 REPAIR ESTIMATOR'!AG988</f>
        <v>0</v>
      </c>
      <c r="W933" s="32">
        <f>'2 REPAIR ESTIMATOR'!AJ988</f>
        <v>0</v>
      </c>
    </row>
    <row r="934" spans="3:23" ht="18" hidden="1">
      <c r="C934" s="3787" t="str">
        <f>T('2 REPAIR ESTIMATOR'!D989:O989)</f>
        <v>Miscellaneous Plumbing</v>
      </c>
      <c r="D934" s="3788"/>
      <c r="E934" s="3788"/>
      <c r="F934" s="3788"/>
      <c r="G934" s="3788"/>
      <c r="H934" s="3788"/>
      <c r="I934" s="916">
        <f>'2 REPAIR ESTIMATOR'!P989</f>
        <v>0</v>
      </c>
      <c r="J934" s="917" t="str">
        <f>'2 REPAIR ESTIMATOR'!S989</f>
        <v>ls</v>
      </c>
      <c r="K934" s="918">
        <f t="shared" si="137"/>
        <v>0</v>
      </c>
      <c r="L934" s="918">
        <f t="shared" ref="L934:L972" si="138">V934*$S$70</f>
        <v>0</v>
      </c>
      <c r="M934" s="918">
        <f t="shared" ref="M934:M972" si="139">W934*$S$70</f>
        <v>0</v>
      </c>
      <c r="N934" s="3719">
        <f t="shared" ref="N934:N972" si="140">SUM(K934:M934)</f>
        <v>0</v>
      </c>
      <c r="O934" s="3719"/>
      <c r="P934" s="490">
        <f t="shared" si="124"/>
        <v>0</v>
      </c>
      <c r="S934" s="32">
        <f>'2 REPAIR ESTIMATOR'!AD989</f>
        <v>0</v>
      </c>
      <c r="T934" s="32">
        <f>'2 REPAIR ESTIMATOR'!AM989</f>
        <v>0</v>
      </c>
      <c r="U934" s="32">
        <f t="shared" ref="U934:U972" si="141">T934+S934</f>
        <v>0</v>
      </c>
      <c r="V934" s="32">
        <f>'2 REPAIR ESTIMATOR'!AG989</f>
        <v>0</v>
      </c>
      <c r="W934" s="32">
        <f>'2 REPAIR ESTIMATOR'!AJ989</f>
        <v>0</v>
      </c>
    </row>
    <row r="935" spans="3:23" ht="18" hidden="1">
      <c r="C935" s="3720" t="str">
        <f>T('2 REPAIR ESTIMATOR'!D990:O990)</f>
        <v>Plumbing rough-in, per hour</v>
      </c>
      <c r="D935" s="3721"/>
      <c r="E935" s="3721"/>
      <c r="F935" s="3721"/>
      <c r="G935" s="3721"/>
      <c r="H935" s="3721"/>
      <c r="I935" s="916">
        <f>'2 REPAIR ESTIMATOR'!P990</f>
        <v>0</v>
      </c>
      <c r="J935" s="917" t="str">
        <f>'2 REPAIR ESTIMATOR'!S990</f>
        <v>hrs</v>
      </c>
      <c r="K935" s="918">
        <f t="shared" si="137"/>
        <v>0</v>
      </c>
      <c r="L935" s="918">
        <f t="shared" si="138"/>
        <v>0</v>
      </c>
      <c r="M935" s="918">
        <f t="shared" si="139"/>
        <v>0</v>
      </c>
      <c r="N935" s="3719">
        <f t="shared" si="140"/>
        <v>0</v>
      </c>
      <c r="O935" s="3719"/>
      <c r="P935" s="490">
        <f t="shared" si="124"/>
        <v>0</v>
      </c>
      <c r="S935" s="32">
        <f>'2 REPAIR ESTIMATOR'!AD990</f>
        <v>0</v>
      </c>
      <c r="T935" s="32">
        <f>'2 REPAIR ESTIMATOR'!AM990</f>
        <v>0</v>
      </c>
      <c r="U935" s="32">
        <f t="shared" si="141"/>
        <v>0</v>
      </c>
      <c r="V935" s="32">
        <f>'2 REPAIR ESTIMATOR'!AG990</f>
        <v>0</v>
      </c>
      <c r="W935" s="32">
        <f>'2 REPAIR ESTIMATOR'!AJ990</f>
        <v>0</v>
      </c>
    </row>
    <row r="936" spans="3:23" ht="18" hidden="1">
      <c r="C936" s="3720" t="str">
        <f>T('2 REPAIR ESTIMATOR'!D991:O991)</f>
        <v>Concrete demo for below slab rough-in</v>
      </c>
      <c r="D936" s="3721"/>
      <c r="E936" s="3721"/>
      <c r="F936" s="3721"/>
      <c r="G936" s="3721"/>
      <c r="H936" s="3721"/>
      <c r="I936" s="916">
        <f>'2 REPAIR ESTIMATOR'!P991</f>
        <v>0</v>
      </c>
      <c r="J936" s="917" t="str">
        <f>'2 REPAIR ESTIMATOR'!S991</f>
        <v>sf</v>
      </c>
      <c r="K936" s="918">
        <f t="shared" si="137"/>
        <v>0</v>
      </c>
      <c r="L936" s="918">
        <f t="shared" si="138"/>
        <v>0</v>
      </c>
      <c r="M936" s="918">
        <f t="shared" si="139"/>
        <v>0</v>
      </c>
      <c r="N936" s="3719">
        <f t="shared" si="140"/>
        <v>0</v>
      </c>
      <c r="O936" s="3719"/>
      <c r="P936" s="490">
        <f t="shared" si="124"/>
        <v>0</v>
      </c>
      <c r="S936" s="32">
        <f>'2 REPAIR ESTIMATOR'!AD991</f>
        <v>0</v>
      </c>
      <c r="T936" s="32">
        <f>'2 REPAIR ESTIMATOR'!AM991</f>
        <v>0</v>
      </c>
      <c r="U936" s="32">
        <f t="shared" si="141"/>
        <v>0</v>
      </c>
      <c r="V936" s="32">
        <f>'2 REPAIR ESTIMATOR'!AG991</f>
        <v>0</v>
      </c>
      <c r="W936" s="32">
        <f>'2 REPAIR ESTIMATOR'!AJ991</f>
        <v>0</v>
      </c>
    </row>
    <row r="937" spans="3:23" ht="18" hidden="1">
      <c r="C937" s="3720" t="str">
        <f>T('2 REPAIR ESTIMATOR'!D992:O992)</f>
        <v>Plumbing finish work, per hour</v>
      </c>
      <c r="D937" s="3721"/>
      <c r="E937" s="3721"/>
      <c r="F937" s="3721"/>
      <c r="G937" s="3721"/>
      <c r="H937" s="3721"/>
      <c r="I937" s="916">
        <f>'2 REPAIR ESTIMATOR'!P992</f>
        <v>0</v>
      </c>
      <c r="J937" s="917" t="str">
        <f>'2 REPAIR ESTIMATOR'!S992</f>
        <v>hrs</v>
      </c>
      <c r="K937" s="918">
        <f t="shared" si="137"/>
        <v>0</v>
      </c>
      <c r="L937" s="918">
        <f t="shared" si="138"/>
        <v>0</v>
      </c>
      <c r="M937" s="918">
        <f t="shared" si="139"/>
        <v>0</v>
      </c>
      <c r="N937" s="3719">
        <f t="shared" si="140"/>
        <v>0</v>
      </c>
      <c r="O937" s="3719"/>
      <c r="P937" s="490">
        <f t="shared" si="124"/>
        <v>0</v>
      </c>
      <c r="S937" s="32">
        <f>'2 REPAIR ESTIMATOR'!AD992</f>
        <v>0</v>
      </c>
      <c r="T937" s="32">
        <f>'2 REPAIR ESTIMATOR'!AM992</f>
        <v>0</v>
      </c>
      <c r="U937" s="32">
        <f t="shared" si="141"/>
        <v>0</v>
      </c>
      <c r="V937" s="32">
        <f>'2 REPAIR ESTIMATOR'!AG992</f>
        <v>0</v>
      </c>
      <c r="W937" s="32">
        <f>'2 REPAIR ESTIMATOR'!AJ992</f>
        <v>0</v>
      </c>
    </row>
    <row r="938" spans="3:23" ht="18" hidden="1">
      <c r="C938" s="3720" t="str">
        <f>T('2 REPAIR ESTIMATOR'!D993:O993)</f>
        <v>Replace gas hot water heater, 40 gallon</v>
      </c>
      <c r="D938" s="3721"/>
      <c r="E938" s="3721"/>
      <c r="F938" s="3721"/>
      <c r="G938" s="3721"/>
      <c r="H938" s="3721"/>
      <c r="I938" s="916">
        <f>'2 REPAIR ESTIMATOR'!P993</f>
        <v>0</v>
      </c>
      <c r="J938" s="917" t="str">
        <f>'2 REPAIR ESTIMATOR'!S993</f>
        <v>ea</v>
      </c>
      <c r="K938" s="918">
        <f t="shared" si="137"/>
        <v>0</v>
      </c>
      <c r="L938" s="918">
        <f t="shared" si="138"/>
        <v>0</v>
      </c>
      <c r="M938" s="918">
        <f t="shared" si="139"/>
        <v>0</v>
      </c>
      <c r="N938" s="3719">
        <f t="shared" si="140"/>
        <v>0</v>
      </c>
      <c r="O938" s="3719"/>
      <c r="P938" s="490">
        <f t="shared" si="124"/>
        <v>0</v>
      </c>
      <c r="S938" s="32">
        <f>'2 REPAIR ESTIMATOR'!AD993</f>
        <v>0</v>
      </c>
      <c r="T938" s="32">
        <f>'2 REPAIR ESTIMATOR'!AM993</f>
        <v>0</v>
      </c>
      <c r="U938" s="32">
        <f t="shared" si="141"/>
        <v>0</v>
      </c>
      <c r="V938" s="32">
        <f>'2 REPAIR ESTIMATOR'!AG993</f>
        <v>0</v>
      </c>
      <c r="W938" s="32">
        <f>'2 REPAIR ESTIMATOR'!AJ993</f>
        <v>0</v>
      </c>
    </row>
    <row r="939" spans="3:23" ht="18" hidden="1">
      <c r="C939" s="3787" t="str">
        <f>T('2 REPAIR ESTIMATOR'!D994:O994)</f>
        <v>Kitchen</v>
      </c>
      <c r="D939" s="3788"/>
      <c r="E939" s="3788"/>
      <c r="F939" s="3788"/>
      <c r="G939" s="3788"/>
      <c r="H939" s="3788"/>
      <c r="I939" s="916">
        <f>'2 REPAIR ESTIMATOR'!P994</f>
        <v>0</v>
      </c>
      <c r="J939" s="917">
        <f>'2 REPAIR ESTIMATOR'!S994</f>
        <v>0</v>
      </c>
      <c r="K939" s="918">
        <f t="shared" si="137"/>
        <v>0</v>
      </c>
      <c r="L939" s="918">
        <f t="shared" si="138"/>
        <v>0</v>
      </c>
      <c r="M939" s="918">
        <f t="shared" si="139"/>
        <v>0</v>
      </c>
      <c r="N939" s="3719">
        <f t="shared" si="140"/>
        <v>0</v>
      </c>
      <c r="O939" s="3719"/>
      <c r="P939" s="490">
        <f t="shared" si="124"/>
        <v>0</v>
      </c>
      <c r="S939" s="32">
        <f>'2 REPAIR ESTIMATOR'!AD994</f>
        <v>0</v>
      </c>
      <c r="T939" s="32">
        <f>'2 REPAIR ESTIMATOR'!AM994</f>
        <v>0</v>
      </c>
      <c r="U939" s="32">
        <f t="shared" si="141"/>
        <v>0</v>
      </c>
      <c r="V939" s="32">
        <f>'2 REPAIR ESTIMATOR'!AG994</f>
        <v>0</v>
      </c>
      <c r="W939" s="32">
        <f>'2 REPAIR ESTIMATOR'!AJ994</f>
        <v>0</v>
      </c>
    </row>
    <row r="940" spans="3:23" ht="18" hidden="1">
      <c r="C940" s="3720" t="str">
        <f>T('2 REPAIR ESTIMATOR'!D995:O995)</f>
        <v>Kitchen faucet fixture</v>
      </c>
      <c r="D940" s="3721"/>
      <c r="E940" s="3721"/>
      <c r="F940" s="3721"/>
      <c r="G940" s="3721"/>
      <c r="H940" s="3721"/>
      <c r="I940" s="916">
        <f>'2 REPAIR ESTIMATOR'!P995</f>
        <v>0</v>
      </c>
      <c r="J940" s="917" t="str">
        <f>'2 REPAIR ESTIMATOR'!S995</f>
        <v>ea</v>
      </c>
      <c r="K940" s="918">
        <f t="shared" si="137"/>
        <v>0</v>
      </c>
      <c r="L940" s="918">
        <f t="shared" si="138"/>
        <v>0</v>
      </c>
      <c r="M940" s="918">
        <f t="shared" si="139"/>
        <v>0</v>
      </c>
      <c r="N940" s="3719">
        <f t="shared" si="140"/>
        <v>0</v>
      </c>
      <c r="O940" s="3719"/>
      <c r="P940" s="489">
        <f t="shared" si="124"/>
        <v>0</v>
      </c>
      <c r="S940" s="32">
        <f>'2 REPAIR ESTIMATOR'!AD995</f>
        <v>0</v>
      </c>
      <c r="T940" s="32">
        <f>'2 REPAIR ESTIMATOR'!AM995</f>
        <v>0</v>
      </c>
      <c r="U940" s="32">
        <f t="shared" si="141"/>
        <v>0</v>
      </c>
      <c r="V940" s="32">
        <f>'2 REPAIR ESTIMATOR'!AG995</f>
        <v>0</v>
      </c>
      <c r="W940" s="32">
        <f>'2 REPAIR ESTIMATOR'!AJ995</f>
        <v>0</v>
      </c>
    </row>
    <row r="941" spans="3:23" ht="18" hidden="1">
      <c r="C941" s="3720" t="str">
        <f>T('2 REPAIR ESTIMATOR'!D996:O996)</f>
        <v>Garbage disposal</v>
      </c>
      <c r="D941" s="3721"/>
      <c r="E941" s="3721"/>
      <c r="F941" s="3721"/>
      <c r="G941" s="3721"/>
      <c r="H941" s="3721"/>
      <c r="I941" s="916">
        <f>'2 REPAIR ESTIMATOR'!P996</f>
        <v>0</v>
      </c>
      <c r="J941" s="917" t="str">
        <f>'2 REPAIR ESTIMATOR'!S996</f>
        <v>ea</v>
      </c>
      <c r="K941" s="918">
        <f t="shared" si="137"/>
        <v>0</v>
      </c>
      <c r="L941" s="918">
        <f t="shared" si="138"/>
        <v>0</v>
      </c>
      <c r="M941" s="918">
        <f t="shared" si="139"/>
        <v>0</v>
      </c>
      <c r="N941" s="3719">
        <f t="shared" si="140"/>
        <v>0</v>
      </c>
      <c r="O941" s="3719"/>
      <c r="P941" s="489">
        <f t="shared" si="124"/>
        <v>0</v>
      </c>
      <c r="S941" s="32">
        <f>'2 REPAIR ESTIMATOR'!AD996</f>
        <v>0</v>
      </c>
      <c r="T941" s="32">
        <f>'2 REPAIR ESTIMATOR'!AM996</f>
        <v>0</v>
      </c>
      <c r="U941" s="32">
        <f t="shared" si="141"/>
        <v>0</v>
      </c>
      <c r="V941" s="32">
        <f>'2 REPAIR ESTIMATOR'!AG996</f>
        <v>0</v>
      </c>
      <c r="W941" s="32">
        <f>'2 REPAIR ESTIMATOR'!AJ996</f>
        <v>0</v>
      </c>
    </row>
    <row r="942" spans="3:23" ht="18" hidden="1">
      <c r="C942" s="3720" t="str">
        <f>T('2 REPAIR ESTIMATOR'!D997:O997)</f>
        <v>Hookup dishwasher</v>
      </c>
      <c r="D942" s="3721"/>
      <c r="E942" s="3721"/>
      <c r="F942" s="3721"/>
      <c r="G942" s="3721"/>
      <c r="H942" s="3721"/>
      <c r="I942" s="916">
        <f>'2 REPAIR ESTIMATOR'!P997</f>
        <v>0</v>
      </c>
      <c r="J942" s="917" t="str">
        <f>'2 REPAIR ESTIMATOR'!S997</f>
        <v>ea</v>
      </c>
      <c r="K942" s="918">
        <f t="shared" si="137"/>
        <v>0</v>
      </c>
      <c r="L942" s="918">
        <f t="shared" si="138"/>
        <v>0</v>
      </c>
      <c r="M942" s="918">
        <f t="shared" si="139"/>
        <v>0</v>
      </c>
      <c r="N942" s="3719">
        <f t="shared" si="140"/>
        <v>0</v>
      </c>
      <c r="O942" s="3719"/>
      <c r="P942" s="489">
        <f t="shared" si="124"/>
        <v>0</v>
      </c>
      <c r="S942" s="32">
        <f>'2 REPAIR ESTIMATOR'!AD997</f>
        <v>0</v>
      </c>
      <c r="T942" s="32">
        <f>'2 REPAIR ESTIMATOR'!AM997</f>
        <v>0</v>
      </c>
      <c r="U942" s="32">
        <f t="shared" si="141"/>
        <v>0</v>
      </c>
      <c r="V942" s="32">
        <f>'2 REPAIR ESTIMATOR'!AG997</f>
        <v>0</v>
      </c>
      <c r="W942" s="32">
        <f>'2 REPAIR ESTIMATOR'!AJ997</f>
        <v>0</v>
      </c>
    </row>
    <row r="943" spans="3:23" ht="18" hidden="1">
      <c r="C943" s="3720" t="str">
        <f>T('2 REPAIR ESTIMATOR'!D998:O998)</f>
        <v>Water supply line for refrigerator</v>
      </c>
      <c r="D943" s="3721"/>
      <c r="E943" s="3721"/>
      <c r="F943" s="3721"/>
      <c r="G943" s="3721"/>
      <c r="H943" s="3721"/>
      <c r="I943" s="916">
        <f>'2 REPAIR ESTIMATOR'!P998</f>
        <v>0</v>
      </c>
      <c r="J943" s="917" t="str">
        <f>'2 REPAIR ESTIMATOR'!S998</f>
        <v>ea</v>
      </c>
      <c r="K943" s="918">
        <f t="shared" si="137"/>
        <v>0</v>
      </c>
      <c r="L943" s="918">
        <f t="shared" si="138"/>
        <v>0</v>
      </c>
      <c r="M943" s="918">
        <f t="shared" si="139"/>
        <v>0</v>
      </c>
      <c r="N943" s="3719">
        <f t="shared" si="140"/>
        <v>0</v>
      </c>
      <c r="O943" s="3719"/>
      <c r="P943" s="489">
        <f t="shared" si="124"/>
        <v>0</v>
      </c>
      <c r="S943" s="32">
        <f>'2 REPAIR ESTIMATOR'!AD998</f>
        <v>0</v>
      </c>
      <c r="T943" s="32">
        <f>'2 REPAIR ESTIMATOR'!AM998</f>
        <v>0</v>
      </c>
      <c r="U943" s="32">
        <f t="shared" si="141"/>
        <v>0</v>
      </c>
      <c r="V943" s="32">
        <f>'2 REPAIR ESTIMATOR'!AG998</f>
        <v>0</v>
      </c>
      <c r="W943" s="32">
        <f>'2 REPAIR ESTIMATOR'!AJ998</f>
        <v>0</v>
      </c>
    </row>
    <row r="944" spans="3:23" ht="18" hidden="1">
      <c r="C944" s="3787" t="str">
        <f>T('2 REPAIR ESTIMATOR'!D999:O999)</f>
        <v>Bathrooms</v>
      </c>
      <c r="D944" s="3788"/>
      <c r="E944" s="3788"/>
      <c r="F944" s="3788"/>
      <c r="G944" s="3788"/>
      <c r="H944" s="3788"/>
      <c r="I944" s="916">
        <f>'2 REPAIR ESTIMATOR'!P999</f>
        <v>0</v>
      </c>
      <c r="J944" s="917">
        <f>'2 REPAIR ESTIMATOR'!S999</f>
        <v>0</v>
      </c>
      <c r="K944" s="918">
        <f t="shared" si="137"/>
        <v>0</v>
      </c>
      <c r="L944" s="918">
        <f t="shared" si="138"/>
        <v>0</v>
      </c>
      <c r="M944" s="918">
        <f t="shared" si="139"/>
        <v>0</v>
      </c>
      <c r="N944" s="3719">
        <f t="shared" si="140"/>
        <v>0</v>
      </c>
      <c r="O944" s="3719"/>
      <c r="P944" s="490">
        <f t="shared" si="124"/>
        <v>0</v>
      </c>
      <c r="S944" s="32">
        <f>'2 REPAIR ESTIMATOR'!AD999</f>
        <v>0</v>
      </c>
      <c r="T944" s="32">
        <f>'2 REPAIR ESTIMATOR'!AM999</f>
        <v>0</v>
      </c>
      <c r="U944" s="32">
        <f t="shared" si="141"/>
        <v>0</v>
      </c>
      <c r="V944" s="32">
        <f>'2 REPAIR ESTIMATOR'!AG999</f>
        <v>0</v>
      </c>
      <c r="W944" s="32">
        <f>'2 REPAIR ESTIMATOR'!AJ999</f>
        <v>0</v>
      </c>
    </row>
    <row r="945" spans="3:23" ht="18" hidden="1">
      <c r="C945" s="3720" t="str">
        <f>T('2 REPAIR ESTIMATOR'!D1000:O1000)</f>
        <v>Bathroom faucet fixture</v>
      </c>
      <c r="D945" s="3721"/>
      <c r="E945" s="3721"/>
      <c r="F945" s="3721"/>
      <c r="G945" s="3721"/>
      <c r="H945" s="3721"/>
      <c r="I945" s="916">
        <f>'2 REPAIR ESTIMATOR'!P1000</f>
        <v>0</v>
      </c>
      <c r="J945" s="917" t="str">
        <f>'2 REPAIR ESTIMATOR'!S1000</f>
        <v>ea</v>
      </c>
      <c r="K945" s="918">
        <f t="shared" si="137"/>
        <v>0</v>
      </c>
      <c r="L945" s="918">
        <f t="shared" si="138"/>
        <v>0</v>
      </c>
      <c r="M945" s="918">
        <f t="shared" si="139"/>
        <v>0</v>
      </c>
      <c r="N945" s="3719">
        <f t="shared" si="140"/>
        <v>0</v>
      </c>
      <c r="O945" s="3719"/>
      <c r="P945" s="489">
        <f t="shared" si="124"/>
        <v>0</v>
      </c>
      <c r="S945" s="32">
        <f>'2 REPAIR ESTIMATOR'!AD1000</f>
        <v>0</v>
      </c>
      <c r="T945" s="32">
        <f>'2 REPAIR ESTIMATOR'!AM1000</f>
        <v>0</v>
      </c>
      <c r="U945" s="32">
        <f t="shared" si="141"/>
        <v>0</v>
      </c>
      <c r="V945" s="32">
        <f>'2 REPAIR ESTIMATOR'!AG1000</f>
        <v>0</v>
      </c>
      <c r="W945" s="32">
        <f>'2 REPAIR ESTIMATOR'!AJ1000</f>
        <v>0</v>
      </c>
    </row>
    <row r="946" spans="3:23" ht="18" hidden="1">
      <c r="C946" s="3720" t="str">
        <f>T('2 REPAIR ESTIMATOR'!D1001:O1001)</f>
        <v>Fiberglass shower stall</v>
      </c>
      <c r="D946" s="3721"/>
      <c r="E946" s="3721"/>
      <c r="F946" s="3721"/>
      <c r="G946" s="3721"/>
      <c r="H946" s="3721"/>
      <c r="I946" s="916">
        <f>'2 REPAIR ESTIMATOR'!P1001</f>
        <v>0</v>
      </c>
      <c r="J946" s="917" t="str">
        <f>'2 REPAIR ESTIMATOR'!S1001</f>
        <v>ea</v>
      </c>
      <c r="K946" s="918">
        <f t="shared" si="137"/>
        <v>0</v>
      </c>
      <c r="L946" s="918">
        <f t="shared" si="138"/>
        <v>0</v>
      </c>
      <c r="M946" s="918">
        <f t="shared" si="139"/>
        <v>0</v>
      </c>
      <c r="N946" s="3719">
        <f t="shared" si="140"/>
        <v>0</v>
      </c>
      <c r="O946" s="3719"/>
      <c r="P946" s="490">
        <f t="shared" si="124"/>
        <v>0</v>
      </c>
      <c r="S946" s="32">
        <f>'2 REPAIR ESTIMATOR'!AD1001</f>
        <v>0</v>
      </c>
      <c r="T946" s="32">
        <f>'2 REPAIR ESTIMATOR'!AM1001</f>
        <v>0</v>
      </c>
      <c r="U946" s="32">
        <f t="shared" si="141"/>
        <v>0</v>
      </c>
      <c r="V946" s="32">
        <f>'2 REPAIR ESTIMATOR'!AG1001</f>
        <v>0</v>
      </c>
      <c r="W946" s="32">
        <f>'2 REPAIR ESTIMATOR'!AJ1001</f>
        <v>0</v>
      </c>
    </row>
    <row r="947" spans="3:23" ht="18" hidden="1">
      <c r="C947" s="3720" t="str">
        <f>T('2 REPAIR ESTIMATOR'!D1002:O1002)</f>
        <v>Fiberglass tub</v>
      </c>
      <c r="D947" s="3721"/>
      <c r="E947" s="3721"/>
      <c r="F947" s="3721"/>
      <c r="G947" s="3721"/>
      <c r="H947" s="3721"/>
      <c r="I947" s="916">
        <f>'2 REPAIR ESTIMATOR'!P1002</f>
        <v>0</v>
      </c>
      <c r="J947" s="917" t="str">
        <f>'2 REPAIR ESTIMATOR'!S1002</f>
        <v>ea</v>
      </c>
      <c r="K947" s="918">
        <f t="shared" si="137"/>
        <v>0</v>
      </c>
      <c r="L947" s="918">
        <f t="shared" si="138"/>
        <v>0</v>
      </c>
      <c r="M947" s="918">
        <f t="shared" si="139"/>
        <v>0</v>
      </c>
      <c r="N947" s="3719">
        <f t="shared" si="140"/>
        <v>0</v>
      </c>
      <c r="O947" s="3719"/>
      <c r="P947" s="489">
        <f t="shared" si="124"/>
        <v>0</v>
      </c>
      <c r="S947" s="32">
        <f>'2 REPAIR ESTIMATOR'!AD1002</f>
        <v>0</v>
      </c>
      <c r="T947" s="32">
        <f>'2 REPAIR ESTIMATOR'!AM1002</f>
        <v>0</v>
      </c>
      <c r="U947" s="32">
        <f t="shared" si="141"/>
        <v>0</v>
      </c>
      <c r="V947" s="32">
        <f>'2 REPAIR ESTIMATOR'!AG1002</f>
        <v>0</v>
      </c>
      <c r="W947" s="32">
        <f>'2 REPAIR ESTIMATOR'!AJ1002</f>
        <v>0</v>
      </c>
    </row>
    <row r="948" spans="3:23" ht="18" hidden="1">
      <c r="C948" s="3720" t="str">
        <f>T('2 REPAIR ESTIMATOR'!D1003:O1003)</f>
        <v>Fiberglass tub/shower surround</v>
      </c>
      <c r="D948" s="3721"/>
      <c r="E948" s="3721"/>
      <c r="F948" s="3721"/>
      <c r="G948" s="3721"/>
      <c r="H948" s="3721"/>
      <c r="I948" s="916">
        <f>'2 REPAIR ESTIMATOR'!P1003</f>
        <v>0</v>
      </c>
      <c r="J948" s="917" t="str">
        <f>'2 REPAIR ESTIMATOR'!S1003</f>
        <v>ea</v>
      </c>
      <c r="K948" s="918">
        <f t="shared" si="137"/>
        <v>0</v>
      </c>
      <c r="L948" s="918">
        <f t="shared" si="138"/>
        <v>0</v>
      </c>
      <c r="M948" s="918">
        <f t="shared" si="139"/>
        <v>0</v>
      </c>
      <c r="N948" s="3719">
        <f t="shared" si="140"/>
        <v>0</v>
      </c>
      <c r="O948" s="3719"/>
      <c r="P948" s="489">
        <f t="shared" si="124"/>
        <v>0</v>
      </c>
      <c r="S948" s="32">
        <f>'2 REPAIR ESTIMATOR'!AD1003</f>
        <v>0</v>
      </c>
      <c r="T948" s="32">
        <f>'2 REPAIR ESTIMATOR'!AM1003</f>
        <v>0</v>
      </c>
      <c r="U948" s="32">
        <f t="shared" si="141"/>
        <v>0</v>
      </c>
      <c r="V948" s="32">
        <f>'2 REPAIR ESTIMATOR'!AG1003</f>
        <v>0</v>
      </c>
      <c r="W948" s="32">
        <f>'2 REPAIR ESTIMATOR'!AJ1003</f>
        <v>0</v>
      </c>
    </row>
    <row r="949" spans="3:23" ht="18" hidden="1">
      <c r="C949" s="3720" t="str">
        <f>T('2 REPAIR ESTIMATOR'!D1004:O1004)</f>
        <v>Showerhead/tub kit</v>
      </c>
      <c r="D949" s="3721"/>
      <c r="E949" s="3721"/>
      <c r="F949" s="3721"/>
      <c r="G949" s="3721"/>
      <c r="H949" s="3721"/>
      <c r="I949" s="916">
        <f>'2 REPAIR ESTIMATOR'!P1004</f>
        <v>0</v>
      </c>
      <c r="J949" s="917" t="str">
        <f>'2 REPAIR ESTIMATOR'!S1004</f>
        <v>ea</v>
      </c>
      <c r="K949" s="918">
        <f t="shared" si="137"/>
        <v>0</v>
      </c>
      <c r="L949" s="918">
        <f t="shared" si="138"/>
        <v>0</v>
      </c>
      <c r="M949" s="918">
        <f t="shared" si="139"/>
        <v>0</v>
      </c>
      <c r="N949" s="3719">
        <f t="shared" si="140"/>
        <v>0</v>
      </c>
      <c r="O949" s="3719"/>
      <c r="P949" s="489">
        <f t="shared" si="124"/>
        <v>0</v>
      </c>
      <c r="S949" s="32">
        <f>'2 REPAIR ESTIMATOR'!AD1004</f>
        <v>0</v>
      </c>
      <c r="T949" s="32">
        <f>'2 REPAIR ESTIMATOR'!AM1004</f>
        <v>0</v>
      </c>
      <c r="U949" s="32">
        <f t="shared" si="141"/>
        <v>0</v>
      </c>
      <c r="V949" s="32">
        <f>'2 REPAIR ESTIMATOR'!AG1004</f>
        <v>0</v>
      </c>
      <c r="W949" s="32">
        <f>'2 REPAIR ESTIMATOR'!AJ1004</f>
        <v>0</v>
      </c>
    </row>
    <row r="950" spans="3:23" ht="18" hidden="1">
      <c r="C950" s="3720" t="str">
        <f>T('2 REPAIR ESTIMATOR'!D1005:O1005)</f>
        <v>Toilets</v>
      </c>
      <c r="D950" s="3721"/>
      <c r="E950" s="3721"/>
      <c r="F950" s="3721"/>
      <c r="G950" s="3721"/>
      <c r="H950" s="3721"/>
      <c r="I950" s="916">
        <f>'2 REPAIR ESTIMATOR'!P1005</f>
        <v>0</v>
      </c>
      <c r="J950" s="917" t="str">
        <f>'2 REPAIR ESTIMATOR'!S1005</f>
        <v>ea</v>
      </c>
      <c r="K950" s="918">
        <f t="shared" si="137"/>
        <v>0</v>
      </c>
      <c r="L950" s="918">
        <f t="shared" si="138"/>
        <v>0</v>
      </c>
      <c r="M950" s="918">
        <f t="shared" si="139"/>
        <v>0</v>
      </c>
      <c r="N950" s="3719">
        <f t="shared" si="140"/>
        <v>0</v>
      </c>
      <c r="O950" s="3719"/>
      <c r="P950" s="489">
        <f t="shared" si="124"/>
        <v>0</v>
      </c>
      <c r="S950" s="32">
        <f>'2 REPAIR ESTIMATOR'!AD1005</f>
        <v>0</v>
      </c>
      <c r="T950" s="32">
        <f>'2 REPAIR ESTIMATOR'!AM1005</f>
        <v>0</v>
      </c>
      <c r="U950" s="32">
        <f t="shared" si="141"/>
        <v>0</v>
      </c>
      <c r="V950" s="32">
        <f>'2 REPAIR ESTIMATOR'!AG1005</f>
        <v>0</v>
      </c>
      <c r="W950" s="32">
        <f>'2 REPAIR ESTIMATOR'!AJ1005</f>
        <v>0</v>
      </c>
    </row>
    <row r="951" spans="3:23" ht="18" hidden="1">
      <c r="C951" s="3720" t="str">
        <f>T('2 REPAIR ESTIMATOR'!D1006:O1006)</f>
        <v>Toilet seats</v>
      </c>
      <c r="D951" s="3721"/>
      <c r="E951" s="3721"/>
      <c r="F951" s="3721"/>
      <c r="G951" s="3721"/>
      <c r="H951" s="3721"/>
      <c r="I951" s="916">
        <f>'2 REPAIR ESTIMATOR'!P1006</f>
        <v>0</v>
      </c>
      <c r="J951" s="917" t="str">
        <f>'2 REPAIR ESTIMATOR'!S1006</f>
        <v>ea</v>
      </c>
      <c r="K951" s="918">
        <f t="shared" si="137"/>
        <v>0</v>
      </c>
      <c r="L951" s="918">
        <f t="shared" si="138"/>
        <v>0</v>
      </c>
      <c r="M951" s="918">
        <f t="shared" si="139"/>
        <v>0</v>
      </c>
      <c r="N951" s="3719">
        <f t="shared" si="140"/>
        <v>0</v>
      </c>
      <c r="O951" s="3719"/>
      <c r="P951" s="490">
        <f t="shared" si="124"/>
        <v>0</v>
      </c>
      <c r="S951" s="32">
        <f>'2 REPAIR ESTIMATOR'!AD1006</f>
        <v>0</v>
      </c>
      <c r="T951" s="32">
        <f>'2 REPAIR ESTIMATOR'!AM1006</f>
        <v>0</v>
      </c>
      <c r="U951" s="32">
        <f t="shared" si="141"/>
        <v>0</v>
      </c>
      <c r="V951" s="32">
        <f>'2 REPAIR ESTIMATOR'!AG1006</f>
        <v>0</v>
      </c>
      <c r="W951" s="32">
        <f>'2 REPAIR ESTIMATOR'!AJ1006</f>
        <v>0</v>
      </c>
    </row>
    <row r="952" spans="3:23" ht="18" hidden="1">
      <c r="C952" s="3720" t="str">
        <f>T('2 REPAIR ESTIMATOR'!D1007:O1007)</f>
        <v>Pedestal sink</v>
      </c>
      <c r="D952" s="3721"/>
      <c r="E952" s="3721"/>
      <c r="F952" s="3721"/>
      <c r="G952" s="3721"/>
      <c r="H952" s="3721"/>
      <c r="I952" s="916">
        <f>'2 REPAIR ESTIMATOR'!P1007</f>
        <v>0</v>
      </c>
      <c r="J952" s="917" t="str">
        <f>'2 REPAIR ESTIMATOR'!S1007</f>
        <v>ea</v>
      </c>
      <c r="K952" s="918">
        <f t="shared" si="137"/>
        <v>0</v>
      </c>
      <c r="L952" s="918">
        <f t="shared" si="138"/>
        <v>0</v>
      </c>
      <c r="M952" s="918">
        <f t="shared" si="139"/>
        <v>0</v>
      </c>
      <c r="N952" s="3719">
        <f t="shared" si="140"/>
        <v>0</v>
      </c>
      <c r="O952" s="3719"/>
      <c r="P952" s="490">
        <f t="shared" si="124"/>
        <v>0</v>
      </c>
      <c r="S952" s="32">
        <f>'2 REPAIR ESTIMATOR'!AD1007</f>
        <v>0</v>
      </c>
      <c r="T952" s="32">
        <f>'2 REPAIR ESTIMATOR'!AM1007</f>
        <v>0</v>
      </c>
      <c r="U952" s="32">
        <f t="shared" si="141"/>
        <v>0</v>
      </c>
      <c r="V952" s="32">
        <f>'2 REPAIR ESTIMATOR'!AG1007</f>
        <v>0</v>
      </c>
      <c r="W952" s="32">
        <f>'2 REPAIR ESTIMATOR'!AJ1007</f>
        <v>0</v>
      </c>
    </row>
    <row r="953" spans="3:23" ht="18" hidden="1">
      <c r="C953" s="3720" t="str">
        <f>T('2 REPAIR ESTIMATOR'!D1008:O1008)</f>
        <v/>
      </c>
      <c r="D953" s="3721"/>
      <c r="E953" s="3721"/>
      <c r="F953" s="3721"/>
      <c r="G953" s="3721"/>
      <c r="H953" s="3721"/>
      <c r="I953" s="916">
        <f>'2 REPAIR ESTIMATOR'!P1008</f>
        <v>0</v>
      </c>
      <c r="J953" s="917">
        <f>'2 REPAIR ESTIMATOR'!S1008</f>
        <v>0</v>
      </c>
      <c r="K953" s="918">
        <f t="shared" si="137"/>
        <v>0</v>
      </c>
      <c r="L953" s="918">
        <f t="shared" si="138"/>
        <v>0</v>
      </c>
      <c r="M953" s="918">
        <f t="shared" si="139"/>
        <v>0</v>
      </c>
      <c r="N953" s="3719">
        <f t="shared" si="140"/>
        <v>0</v>
      </c>
      <c r="O953" s="3719"/>
      <c r="P953" s="490">
        <f t="shared" ref="P953:P972" si="142">I953</f>
        <v>0</v>
      </c>
      <c r="S953" s="32">
        <f>'2 REPAIR ESTIMATOR'!AD1008</f>
        <v>0</v>
      </c>
      <c r="T953" s="32">
        <f>'2 REPAIR ESTIMATOR'!AM1008</f>
        <v>0</v>
      </c>
      <c r="U953" s="32">
        <f t="shared" si="141"/>
        <v>0</v>
      </c>
      <c r="V953" s="32">
        <f>'2 REPAIR ESTIMATOR'!AG1008</f>
        <v>0</v>
      </c>
      <c r="W953" s="32">
        <f>'2 REPAIR ESTIMATOR'!AJ1008</f>
        <v>0</v>
      </c>
    </row>
    <row r="954" spans="3:23" ht="18" hidden="1">
      <c r="C954" s="3720" t="str">
        <f>T('2 REPAIR ESTIMATOR'!D1009:O1009)</f>
        <v/>
      </c>
      <c r="D954" s="3721"/>
      <c r="E954" s="3721"/>
      <c r="F954" s="3721"/>
      <c r="G954" s="3721"/>
      <c r="H954" s="3721"/>
      <c r="I954" s="916">
        <f>'2 REPAIR ESTIMATOR'!P1009</f>
        <v>0</v>
      </c>
      <c r="J954" s="917">
        <f>'2 REPAIR ESTIMATOR'!S1009</f>
        <v>0</v>
      </c>
      <c r="K954" s="918">
        <f t="shared" si="137"/>
        <v>0</v>
      </c>
      <c r="L954" s="918">
        <f t="shared" si="138"/>
        <v>0</v>
      </c>
      <c r="M954" s="918">
        <f t="shared" si="139"/>
        <v>0</v>
      </c>
      <c r="N954" s="3719">
        <f t="shared" si="140"/>
        <v>0</v>
      </c>
      <c r="O954" s="3719"/>
      <c r="P954" s="490">
        <f t="shared" si="142"/>
        <v>0</v>
      </c>
      <c r="S954" s="32">
        <f>'2 REPAIR ESTIMATOR'!AD1009</f>
        <v>0</v>
      </c>
      <c r="T954" s="32">
        <f>'2 REPAIR ESTIMATOR'!AM1009</f>
        <v>0</v>
      </c>
      <c r="U954" s="32">
        <f t="shared" si="141"/>
        <v>0</v>
      </c>
      <c r="V954" s="32">
        <f>'2 REPAIR ESTIMATOR'!AG1009</f>
        <v>0</v>
      </c>
      <c r="W954" s="32">
        <f>'2 REPAIR ESTIMATOR'!AJ1009</f>
        <v>0</v>
      </c>
    </row>
    <row r="955" spans="3:23" ht="18" hidden="1">
      <c r="C955" s="3720" t="str">
        <f>T('2 REPAIR ESTIMATOR'!D1010:O1010)</f>
        <v/>
      </c>
      <c r="D955" s="3721"/>
      <c r="E955" s="3721"/>
      <c r="F955" s="3721"/>
      <c r="G955" s="3721"/>
      <c r="H955" s="3721"/>
      <c r="I955" s="916">
        <f>'2 REPAIR ESTIMATOR'!P1010</f>
        <v>0</v>
      </c>
      <c r="J955" s="917">
        <f>'2 REPAIR ESTIMATOR'!S1010</f>
        <v>0</v>
      </c>
      <c r="K955" s="918">
        <f t="shared" si="137"/>
        <v>0</v>
      </c>
      <c r="L955" s="918">
        <f t="shared" si="138"/>
        <v>0</v>
      </c>
      <c r="M955" s="918">
        <f t="shared" si="139"/>
        <v>0</v>
      </c>
      <c r="N955" s="3719">
        <f t="shared" si="140"/>
        <v>0</v>
      </c>
      <c r="O955" s="3719"/>
      <c r="P955" s="490">
        <f t="shared" si="142"/>
        <v>0</v>
      </c>
      <c r="S955" s="32">
        <f>'2 REPAIR ESTIMATOR'!AD1010</f>
        <v>0</v>
      </c>
      <c r="T955" s="32">
        <f>'2 REPAIR ESTIMATOR'!AM1010</f>
        <v>0</v>
      </c>
      <c r="U955" s="32">
        <f t="shared" si="141"/>
        <v>0</v>
      </c>
      <c r="V955" s="32">
        <f>'2 REPAIR ESTIMATOR'!AG1010</f>
        <v>0</v>
      </c>
      <c r="W955" s="32">
        <f>'2 REPAIR ESTIMATOR'!AJ1010</f>
        <v>0</v>
      </c>
    </row>
    <row r="956" spans="3:23" ht="18" hidden="1">
      <c r="C956" s="3720" t="str">
        <f>T('2 REPAIR ESTIMATOR'!D1011:O1011)</f>
        <v/>
      </c>
      <c r="D956" s="3721"/>
      <c r="E956" s="3721"/>
      <c r="F956" s="3721"/>
      <c r="G956" s="3721"/>
      <c r="H956" s="3721"/>
      <c r="I956" s="916">
        <f>'2 REPAIR ESTIMATOR'!P1011</f>
        <v>0</v>
      </c>
      <c r="J956" s="917">
        <f>'2 REPAIR ESTIMATOR'!S1011</f>
        <v>0</v>
      </c>
      <c r="K956" s="918">
        <f t="shared" si="137"/>
        <v>0</v>
      </c>
      <c r="L956" s="918">
        <f t="shared" si="138"/>
        <v>0</v>
      </c>
      <c r="M956" s="918">
        <f t="shared" si="139"/>
        <v>0</v>
      </c>
      <c r="N956" s="3719">
        <f t="shared" si="140"/>
        <v>0</v>
      </c>
      <c r="O956" s="3719"/>
      <c r="P956" s="490">
        <f t="shared" si="142"/>
        <v>0</v>
      </c>
      <c r="S956" s="32">
        <f>'2 REPAIR ESTIMATOR'!AD1011</f>
        <v>0</v>
      </c>
      <c r="T956" s="32">
        <f>'2 REPAIR ESTIMATOR'!AM1011</f>
        <v>0</v>
      </c>
      <c r="U956" s="32">
        <f t="shared" si="141"/>
        <v>0</v>
      </c>
      <c r="V956" s="32">
        <f>'2 REPAIR ESTIMATOR'!AG1011</f>
        <v>0</v>
      </c>
      <c r="W956" s="32">
        <f>'2 REPAIR ESTIMATOR'!AJ1011</f>
        <v>0</v>
      </c>
    </row>
    <row r="957" spans="3:23" ht="18" hidden="1">
      <c r="C957" s="3720" t="str">
        <f>T('2 REPAIR ESTIMATOR'!D1012:O1012)</f>
        <v/>
      </c>
      <c r="D957" s="3721"/>
      <c r="E957" s="3721"/>
      <c r="F957" s="3721"/>
      <c r="G957" s="3721"/>
      <c r="H957" s="3721"/>
      <c r="I957" s="916">
        <f>'2 REPAIR ESTIMATOR'!P1012</f>
        <v>0</v>
      </c>
      <c r="J957" s="917">
        <f>'2 REPAIR ESTIMATOR'!S1012</f>
        <v>0</v>
      </c>
      <c r="K957" s="918">
        <f t="shared" si="137"/>
        <v>0</v>
      </c>
      <c r="L957" s="918">
        <f t="shared" si="138"/>
        <v>0</v>
      </c>
      <c r="M957" s="918">
        <f t="shared" si="139"/>
        <v>0</v>
      </c>
      <c r="N957" s="3719">
        <f t="shared" si="140"/>
        <v>0</v>
      </c>
      <c r="O957" s="3719"/>
      <c r="P957" s="490">
        <f t="shared" si="142"/>
        <v>0</v>
      </c>
      <c r="S957" s="32">
        <f>'2 REPAIR ESTIMATOR'!AD1012</f>
        <v>0</v>
      </c>
      <c r="T957" s="32">
        <f>'2 REPAIR ESTIMATOR'!AM1012</f>
        <v>0</v>
      </c>
      <c r="U957" s="32">
        <f t="shared" si="141"/>
        <v>0</v>
      </c>
      <c r="V957" s="32">
        <f>'2 REPAIR ESTIMATOR'!AG1012</f>
        <v>0</v>
      </c>
      <c r="W957" s="32">
        <f>'2 REPAIR ESTIMATOR'!AJ1012</f>
        <v>0</v>
      </c>
    </row>
    <row r="958" spans="3:23" ht="18" hidden="1">
      <c r="C958" s="3720" t="str">
        <f>T('2 REPAIR ESTIMATOR'!D1013:O1013)</f>
        <v/>
      </c>
      <c r="D958" s="3721"/>
      <c r="E958" s="3721"/>
      <c r="F958" s="3721"/>
      <c r="G958" s="3721"/>
      <c r="H958" s="3721"/>
      <c r="I958" s="916">
        <f>'2 REPAIR ESTIMATOR'!P1013</f>
        <v>0</v>
      </c>
      <c r="J958" s="917">
        <f>'2 REPAIR ESTIMATOR'!S1013</f>
        <v>0</v>
      </c>
      <c r="K958" s="918">
        <f t="shared" si="137"/>
        <v>0</v>
      </c>
      <c r="L958" s="918">
        <f t="shared" si="138"/>
        <v>0</v>
      </c>
      <c r="M958" s="918">
        <f t="shared" si="139"/>
        <v>0</v>
      </c>
      <c r="N958" s="3719">
        <f t="shared" si="140"/>
        <v>0</v>
      </c>
      <c r="O958" s="3719"/>
      <c r="P958" s="490">
        <f t="shared" si="142"/>
        <v>0</v>
      </c>
      <c r="S958" s="32">
        <f>'2 REPAIR ESTIMATOR'!AD1013</f>
        <v>0</v>
      </c>
      <c r="T958" s="32">
        <f>'2 REPAIR ESTIMATOR'!AM1013</f>
        <v>0</v>
      </c>
      <c r="U958" s="32">
        <f t="shared" si="141"/>
        <v>0</v>
      </c>
      <c r="V958" s="32">
        <f>'2 REPAIR ESTIMATOR'!AG1013</f>
        <v>0</v>
      </c>
      <c r="W958" s="32">
        <f>'2 REPAIR ESTIMATOR'!AJ1013</f>
        <v>0</v>
      </c>
    </row>
    <row r="959" spans="3:23" ht="18" hidden="1">
      <c r="C959" s="3720" t="str">
        <f>T('2 REPAIR ESTIMATOR'!D1014:O1014)</f>
        <v/>
      </c>
      <c r="D959" s="3721"/>
      <c r="E959" s="3721"/>
      <c r="F959" s="3721"/>
      <c r="G959" s="3721"/>
      <c r="H959" s="3721"/>
      <c r="I959" s="916">
        <f>'2 REPAIR ESTIMATOR'!P1014</f>
        <v>0</v>
      </c>
      <c r="J959" s="917">
        <f>'2 REPAIR ESTIMATOR'!S1014</f>
        <v>0</v>
      </c>
      <c r="K959" s="918">
        <f t="shared" si="137"/>
        <v>0</v>
      </c>
      <c r="L959" s="918">
        <f t="shared" si="138"/>
        <v>0</v>
      </c>
      <c r="M959" s="918">
        <f t="shared" si="139"/>
        <v>0</v>
      </c>
      <c r="N959" s="3719">
        <f t="shared" si="140"/>
        <v>0</v>
      </c>
      <c r="O959" s="3719"/>
      <c r="P959" s="490">
        <f t="shared" si="142"/>
        <v>0</v>
      </c>
      <c r="S959" s="32">
        <f>'2 REPAIR ESTIMATOR'!AD1014</f>
        <v>0</v>
      </c>
      <c r="T959" s="32">
        <f>'2 REPAIR ESTIMATOR'!AM1014</f>
        <v>0</v>
      </c>
      <c r="U959" s="32">
        <f t="shared" si="141"/>
        <v>0</v>
      </c>
      <c r="V959" s="32">
        <f>'2 REPAIR ESTIMATOR'!AG1014</f>
        <v>0</v>
      </c>
      <c r="W959" s="32">
        <f>'2 REPAIR ESTIMATOR'!AJ1014</f>
        <v>0</v>
      </c>
    </row>
    <row r="960" spans="3:23" ht="18" hidden="1">
      <c r="C960" s="3720" t="str">
        <f>T('2 REPAIR ESTIMATOR'!D1015:O1015)</f>
        <v/>
      </c>
      <c r="D960" s="3721"/>
      <c r="E960" s="3721"/>
      <c r="F960" s="3721"/>
      <c r="G960" s="3721"/>
      <c r="H960" s="3721"/>
      <c r="I960" s="916">
        <f>'2 REPAIR ESTIMATOR'!P1015</f>
        <v>0</v>
      </c>
      <c r="J960" s="917">
        <f>'2 REPAIR ESTIMATOR'!S1015</f>
        <v>0</v>
      </c>
      <c r="K960" s="918">
        <f t="shared" si="137"/>
        <v>0</v>
      </c>
      <c r="L960" s="918">
        <f t="shared" si="138"/>
        <v>0</v>
      </c>
      <c r="M960" s="918">
        <f t="shared" si="139"/>
        <v>0</v>
      </c>
      <c r="N960" s="3719">
        <f t="shared" si="140"/>
        <v>0</v>
      </c>
      <c r="O960" s="3719"/>
      <c r="P960" s="490">
        <f t="shared" si="142"/>
        <v>0</v>
      </c>
      <c r="S960" s="32">
        <f>'2 REPAIR ESTIMATOR'!AD1015</f>
        <v>0</v>
      </c>
      <c r="T960" s="32">
        <f>'2 REPAIR ESTIMATOR'!AM1015</f>
        <v>0</v>
      </c>
      <c r="U960" s="32">
        <f t="shared" si="141"/>
        <v>0</v>
      </c>
      <c r="V960" s="32">
        <f>'2 REPAIR ESTIMATOR'!AG1015</f>
        <v>0</v>
      </c>
      <c r="W960" s="32">
        <f>'2 REPAIR ESTIMATOR'!AJ1015</f>
        <v>0</v>
      </c>
    </row>
    <row r="961" spans="3:23" ht="18" hidden="1">
      <c r="C961" s="3720" t="str">
        <f>T('2 REPAIR ESTIMATOR'!D1016:O1016)</f>
        <v/>
      </c>
      <c r="D961" s="3721"/>
      <c r="E961" s="3721"/>
      <c r="F961" s="3721"/>
      <c r="G961" s="3721"/>
      <c r="H961" s="3721"/>
      <c r="I961" s="916">
        <f>'2 REPAIR ESTIMATOR'!P1016</f>
        <v>0</v>
      </c>
      <c r="J961" s="917">
        <f>'2 REPAIR ESTIMATOR'!S1016</f>
        <v>0</v>
      </c>
      <c r="K961" s="918">
        <f t="shared" si="137"/>
        <v>0</v>
      </c>
      <c r="L961" s="918">
        <f t="shared" si="138"/>
        <v>0</v>
      </c>
      <c r="M961" s="918">
        <f t="shared" si="139"/>
        <v>0</v>
      </c>
      <c r="N961" s="3719">
        <f t="shared" si="140"/>
        <v>0</v>
      </c>
      <c r="O961" s="3719"/>
      <c r="P961" s="490">
        <f t="shared" si="142"/>
        <v>0</v>
      </c>
      <c r="S961" s="32">
        <f>'2 REPAIR ESTIMATOR'!AD1016</f>
        <v>0</v>
      </c>
      <c r="T961" s="32">
        <f>'2 REPAIR ESTIMATOR'!AM1016</f>
        <v>0</v>
      </c>
      <c r="U961" s="32">
        <f t="shared" si="141"/>
        <v>0</v>
      </c>
      <c r="V961" s="32">
        <f>'2 REPAIR ESTIMATOR'!AG1016</f>
        <v>0</v>
      </c>
      <c r="W961" s="32">
        <f>'2 REPAIR ESTIMATOR'!AJ1016</f>
        <v>0</v>
      </c>
    </row>
    <row r="962" spans="3:23" ht="18" hidden="1">
      <c r="C962" s="3720" t="str">
        <f>T('2 REPAIR ESTIMATOR'!D1017:O1017)</f>
        <v/>
      </c>
      <c r="D962" s="3721"/>
      <c r="E962" s="3721"/>
      <c r="F962" s="3721"/>
      <c r="G962" s="3721"/>
      <c r="H962" s="3721"/>
      <c r="I962" s="916">
        <f>'2 REPAIR ESTIMATOR'!P1017</f>
        <v>0</v>
      </c>
      <c r="J962" s="917">
        <f>'2 REPAIR ESTIMATOR'!S1017</f>
        <v>0</v>
      </c>
      <c r="K962" s="918">
        <f t="shared" si="137"/>
        <v>0</v>
      </c>
      <c r="L962" s="918">
        <f t="shared" si="138"/>
        <v>0</v>
      </c>
      <c r="M962" s="918">
        <f t="shared" si="139"/>
        <v>0</v>
      </c>
      <c r="N962" s="3719">
        <f t="shared" si="140"/>
        <v>0</v>
      </c>
      <c r="O962" s="3719"/>
      <c r="P962" s="490">
        <f t="shared" si="142"/>
        <v>0</v>
      </c>
      <c r="S962" s="32">
        <f>'2 REPAIR ESTIMATOR'!AD1017</f>
        <v>0</v>
      </c>
      <c r="T962" s="32">
        <f>'2 REPAIR ESTIMATOR'!AM1017</f>
        <v>0</v>
      </c>
      <c r="U962" s="32">
        <f t="shared" si="141"/>
        <v>0</v>
      </c>
      <c r="V962" s="32">
        <f>'2 REPAIR ESTIMATOR'!AG1017</f>
        <v>0</v>
      </c>
      <c r="W962" s="32">
        <f>'2 REPAIR ESTIMATOR'!AJ1017</f>
        <v>0</v>
      </c>
    </row>
    <row r="963" spans="3:23" ht="18" hidden="1">
      <c r="C963" s="3720" t="str">
        <f>T('2 REPAIR ESTIMATOR'!D1018:O1018)</f>
        <v/>
      </c>
      <c r="D963" s="3721"/>
      <c r="E963" s="3721"/>
      <c r="F963" s="3721"/>
      <c r="G963" s="3721"/>
      <c r="H963" s="3721"/>
      <c r="I963" s="916">
        <f>'2 REPAIR ESTIMATOR'!P1018</f>
        <v>0</v>
      </c>
      <c r="J963" s="917">
        <f>'2 REPAIR ESTIMATOR'!S1018</f>
        <v>0</v>
      </c>
      <c r="K963" s="918">
        <f t="shared" si="137"/>
        <v>0</v>
      </c>
      <c r="L963" s="918">
        <f t="shared" si="138"/>
        <v>0</v>
      </c>
      <c r="M963" s="918">
        <f t="shared" si="139"/>
        <v>0</v>
      </c>
      <c r="N963" s="3719">
        <f t="shared" si="140"/>
        <v>0</v>
      </c>
      <c r="O963" s="3719"/>
      <c r="P963" s="490">
        <f t="shared" si="142"/>
        <v>0</v>
      </c>
      <c r="S963" s="32">
        <f>'2 REPAIR ESTIMATOR'!AD1018</f>
        <v>0</v>
      </c>
      <c r="T963" s="32">
        <f>'2 REPAIR ESTIMATOR'!AM1018</f>
        <v>0</v>
      </c>
      <c r="U963" s="32">
        <f t="shared" si="141"/>
        <v>0</v>
      </c>
      <c r="V963" s="32">
        <f>'2 REPAIR ESTIMATOR'!AG1018</f>
        <v>0</v>
      </c>
      <c r="W963" s="32">
        <f>'2 REPAIR ESTIMATOR'!AJ1018</f>
        <v>0</v>
      </c>
    </row>
    <row r="964" spans="3:23" ht="18" hidden="1">
      <c r="C964" s="3720" t="str">
        <f>T('2 REPAIR ESTIMATOR'!D1019:O1019)</f>
        <v/>
      </c>
      <c r="D964" s="3721"/>
      <c r="E964" s="3721"/>
      <c r="F964" s="3721"/>
      <c r="G964" s="3721"/>
      <c r="H964" s="3721"/>
      <c r="I964" s="916">
        <f>'2 REPAIR ESTIMATOR'!P1019</f>
        <v>0</v>
      </c>
      <c r="J964" s="917">
        <f>'2 REPAIR ESTIMATOR'!S1019</f>
        <v>0</v>
      </c>
      <c r="K964" s="918">
        <f t="shared" si="137"/>
        <v>0</v>
      </c>
      <c r="L964" s="918">
        <f t="shared" si="138"/>
        <v>0</v>
      </c>
      <c r="M964" s="918">
        <f t="shared" si="139"/>
        <v>0</v>
      </c>
      <c r="N964" s="3719">
        <f t="shared" si="140"/>
        <v>0</v>
      </c>
      <c r="O964" s="3719"/>
      <c r="P964" s="490">
        <f t="shared" si="142"/>
        <v>0</v>
      </c>
      <c r="S964" s="32">
        <f>'2 REPAIR ESTIMATOR'!AD1019</f>
        <v>0</v>
      </c>
      <c r="T964" s="32">
        <f>'2 REPAIR ESTIMATOR'!AM1019</f>
        <v>0</v>
      </c>
      <c r="U964" s="32">
        <f t="shared" si="141"/>
        <v>0</v>
      </c>
      <c r="V964" s="32">
        <f>'2 REPAIR ESTIMATOR'!AG1019</f>
        <v>0</v>
      </c>
      <c r="W964" s="32">
        <f>'2 REPAIR ESTIMATOR'!AJ1019</f>
        <v>0</v>
      </c>
    </row>
    <row r="965" spans="3:23" ht="18" hidden="1">
      <c r="C965" s="3720" t="str">
        <f>T('2 REPAIR ESTIMATOR'!D1020:O1020)</f>
        <v/>
      </c>
      <c r="D965" s="3721"/>
      <c r="E965" s="3721"/>
      <c r="F965" s="3721"/>
      <c r="G965" s="3721"/>
      <c r="H965" s="3721"/>
      <c r="I965" s="916">
        <f>'2 REPAIR ESTIMATOR'!P1020</f>
        <v>0</v>
      </c>
      <c r="J965" s="917">
        <f>'2 REPAIR ESTIMATOR'!S1020</f>
        <v>0</v>
      </c>
      <c r="K965" s="918">
        <f t="shared" si="137"/>
        <v>0</v>
      </c>
      <c r="L965" s="918">
        <f t="shared" si="138"/>
        <v>0</v>
      </c>
      <c r="M965" s="918">
        <f t="shared" si="139"/>
        <v>0</v>
      </c>
      <c r="N965" s="3719">
        <f t="shared" si="140"/>
        <v>0</v>
      </c>
      <c r="O965" s="3719"/>
      <c r="P965" s="490">
        <f t="shared" si="142"/>
        <v>0</v>
      </c>
      <c r="S965" s="32">
        <f>'2 REPAIR ESTIMATOR'!AD1020</f>
        <v>0</v>
      </c>
      <c r="T965" s="32">
        <f>'2 REPAIR ESTIMATOR'!AM1020</f>
        <v>0</v>
      </c>
      <c r="U965" s="32">
        <f t="shared" si="141"/>
        <v>0</v>
      </c>
      <c r="V965" s="32">
        <f>'2 REPAIR ESTIMATOR'!AG1020</f>
        <v>0</v>
      </c>
      <c r="W965" s="32">
        <f>'2 REPAIR ESTIMATOR'!AJ1020</f>
        <v>0</v>
      </c>
    </row>
    <row r="966" spans="3:23" ht="18" hidden="1">
      <c r="C966" s="3720" t="str">
        <f>T('2 REPAIR ESTIMATOR'!D1021:O1021)</f>
        <v/>
      </c>
      <c r="D966" s="3721"/>
      <c r="E966" s="3721"/>
      <c r="F966" s="3721"/>
      <c r="G966" s="3721"/>
      <c r="H966" s="3721"/>
      <c r="I966" s="916">
        <f>'2 REPAIR ESTIMATOR'!P1021</f>
        <v>0</v>
      </c>
      <c r="J966" s="917">
        <f>'2 REPAIR ESTIMATOR'!S1021</f>
        <v>0</v>
      </c>
      <c r="K966" s="918">
        <f t="shared" si="137"/>
        <v>0</v>
      </c>
      <c r="L966" s="918">
        <f t="shared" si="138"/>
        <v>0</v>
      </c>
      <c r="M966" s="918">
        <f t="shared" si="139"/>
        <v>0</v>
      </c>
      <c r="N966" s="3719">
        <f t="shared" si="140"/>
        <v>0</v>
      </c>
      <c r="O966" s="3719"/>
      <c r="P966" s="490">
        <f t="shared" si="142"/>
        <v>0</v>
      </c>
      <c r="S966" s="32">
        <f>'2 REPAIR ESTIMATOR'!AD1021</f>
        <v>0</v>
      </c>
      <c r="T966" s="32">
        <f>'2 REPAIR ESTIMATOR'!AM1021</f>
        <v>0</v>
      </c>
      <c r="U966" s="32">
        <f t="shared" si="141"/>
        <v>0</v>
      </c>
      <c r="V966" s="32">
        <f>'2 REPAIR ESTIMATOR'!AG1021</f>
        <v>0</v>
      </c>
      <c r="W966" s="32">
        <f>'2 REPAIR ESTIMATOR'!AJ1021</f>
        <v>0</v>
      </c>
    </row>
    <row r="967" spans="3:23" ht="18" hidden="1">
      <c r="C967" s="3720" t="str">
        <f>T('2 REPAIR ESTIMATOR'!D1022:O1022)</f>
        <v/>
      </c>
      <c r="D967" s="3721"/>
      <c r="E967" s="3721"/>
      <c r="F967" s="3721"/>
      <c r="G967" s="3721"/>
      <c r="H967" s="3721"/>
      <c r="I967" s="916">
        <f>'2 REPAIR ESTIMATOR'!P1022</f>
        <v>0</v>
      </c>
      <c r="J967" s="917">
        <f>'2 REPAIR ESTIMATOR'!S1022</f>
        <v>0</v>
      </c>
      <c r="K967" s="918">
        <f t="shared" si="137"/>
        <v>0</v>
      </c>
      <c r="L967" s="918">
        <f t="shared" si="138"/>
        <v>0</v>
      </c>
      <c r="M967" s="918">
        <f t="shared" si="139"/>
        <v>0</v>
      </c>
      <c r="N967" s="3719">
        <f t="shared" si="140"/>
        <v>0</v>
      </c>
      <c r="O967" s="3719"/>
      <c r="P967" s="490">
        <f t="shared" si="142"/>
        <v>0</v>
      </c>
      <c r="S967" s="32">
        <f>'2 REPAIR ESTIMATOR'!AD1022</f>
        <v>0</v>
      </c>
      <c r="T967" s="32">
        <f>'2 REPAIR ESTIMATOR'!AM1022</f>
        <v>0</v>
      </c>
      <c r="U967" s="32">
        <f t="shared" si="141"/>
        <v>0</v>
      </c>
      <c r="V967" s="32">
        <f>'2 REPAIR ESTIMATOR'!AG1022</f>
        <v>0</v>
      </c>
      <c r="W967" s="32">
        <f>'2 REPAIR ESTIMATOR'!AJ1022</f>
        <v>0</v>
      </c>
    </row>
    <row r="968" spans="3:23" ht="18" hidden="1">
      <c r="C968" s="3720" t="str">
        <f>T('2 REPAIR ESTIMATOR'!D1023:O1023)</f>
        <v/>
      </c>
      <c r="D968" s="3721"/>
      <c r="E968" s="3721"/>
      <c r="F968" s="3721"/>
      <c r="G968" s="3721"/>
      <c r="H968" s="3721"/>
      <c r="I968" s="916">
        <f>'2 REPAIR ESTIMATOR'!P1023</f>
        <v>0</v>
      </c>
      <c r="J968" s="917">
        <f>'2 REPAIR ESTIMATOR'!S1023</f>
        <v>0</v>
      </c>
      <c r="K968" s="918">
        <f t="shared" si="137"/>
        <v>0</v>
      </c>
      <c r="L968" s="918">
        <f t="shared" si="138"/>
        <v>0</v>
      </c>
      <c r="M968" s="918">
        <f t="shared" si="139"/>
        <v>0</v>
      </c>
      <c r="N968" s="3719">
        <f t="shared" si="140"/>
        <v>0</v>
      </c>
      <c r="O968" s="3719"/>
      <c r="P968" s="490">
        <f t="shared" si="142"/>
        <v>0</v>
      </c>
      <c r="S968" s="32">
        <f>'2 REPAIR ESTIMATOR'!AD1023</f>
        <v>0</v>
      </c>
      <c r="T968" s="32">
        <f>'2 REPAIR ESTIMATOR'!AM1023</f>
        <v>0</v>
      </c>
      <c r="U968" s="32">
        <f t="shared" si="141"/>
        <v>0</v>
      </c>
      <c r="V968" s="32">
        <f>'2 REPAIR ESTIMATOR'!AG1023</f>
        <v>0</v>
      </c>
      <c r="W968" s="32">
        <f>'2 REPAIR ESTIMATOR'!AJ1023</f>
        <v>0</v>
      </c>
    </row>
    <row r="969" spans="3:23" ht="18" hidden="1">
      <c r="C969" s="3720" t="str">
        <f>T('2 REPAIR ESTIMATOR'!D1024:O1024)</f>
        <v/>
      </c>
      <c r="D969" s="3721"/>
      <c r="E969" s="3721"/>
      <c r="F969" s="3721"/>
      <c r="G969" s="3721"/>
      <c r="H969" s="3721"/>
      <c r="I969" s="916">
        <f>'2 REPAIR ESTIMATOR'!P1024</f>
        <v>0</v>
      </c>
      <c r="J969" s="917">
        <f>'2 REPAIR ESTIMATOR'!S1024</f>
        <v>0</v>
      </c>
      <c r="K969" s="918">
        <f t="shared" si="137"/>
        <v>0</v>
      </c>
      <c r="L969" s="918">
        <f t="shared" si="138"/>
        <v>0</v>
      </c>
      <c r="M969" s="918">
        <f t="shared" si="139"/>
        <v>0</v>
      </c>
      <c r="N969" s="3719">
        <f t="shared" si="140"/>
        <v>0</v>
      </c>
      <c r="O969" s="3719"/>
      <c r="P969" s="490">
        <f t="shared" si="142"/>
        <v>0</v>
      </c>
      <c r="S969" s="32">
        <f>'2 REPAIR ESTIMATOR'!AD1024</f>
        <v>0</v>
      </c>
      <c r="T969" s="32">
        <f>'2 REPAIR ESTIMATOR'!AM1024</f>
        <v>0</v>
      </c>
      <c r="U969" s="32">
        <f t="shared" si="141"/>
        <v>0</v>
      </c>
      <c r="V969" s="32">
        <f>'2 REPAIR ESTIMATOR'!AG1024</f>
        <v>0</v>
      </c>
      <c r="W969" s="32">
        <f>'2 REPAIR ESTIMATOR'!AJ1024</f>
        <v>0</v>
      </c>
    </row>
    <row r="970" spans="3:23" ht="18" hidden="1">
      <c r="C970" s="3720" t="str">
        <f>T('2 REPAIR ESTIMATOR'!D1025:O1025)</f>
        <v/>
      </c>
      <c r="D970" s="3721"/>
      <c r="E970" s="3721"/>
      <c r="F970" s="3721"/>
      <c r="G970" s="3721"/>
      <c r="H970" s="3721"/>
      <c r="I970" s="916">
        <f>'2 REPAIR ESTIMATOR'!P1025</f>
        <v>0</v>
      </c>
      <c r="J970" s="917">
        <f>'2 REPAIR ESTIMATOR'!S1025</f>
        <v>0</v>
      </c>
      <c r="K970" s="918">
        <f t="shared" si="137"/>
        <v>0</v>
      </c>
      <c r="L970" s="918">
        <f t="shared" si="138"/>
        <v>0</v>
      </c>
      <c r="M970" s="918">
        <f t="shared" si="139"/>
        <v>0</v>
      </c>
      <c r="N970" s="3719">
        <f t="shared" si="140"/>
        <v>0</v>
      </c>
      <c r="O970" s="3719"/>
      <c r="P970" s="490">
        <f t="shared" si="142"/>
        <v>0</v>
      </c>
      <c r="S970" s="32">
        <f>'2 REPAIR ESTIMATOR'!AD1025</f>
        <v>0</v>
      </c>
      <c r="T970" s="32">
        <f>'2 REPAIR ESTIMATOR'!AM1025</f>
        <v>0</v>
      </c>
      <c r="U970" s="32">
        <f t="shared" si="141"/>
        <v>0</v>
      </c>
      <c r="V970" s="32">
        <f>'2 REPAIR ESTIMATOR'!AG1025</f>
        <v>0</v>
      </c>
      <c r="W970" s="32">
        <f>'2 REPAIR ESTIMATOR'!AJ1025</f>
        <v>0</v>
      </c>
    </row>
    <row r="971" spans="3:23" ht="18" hidden="1">
      <c r="C971" s="3720" t="str">
        <f>T('2 REPAIR ESTIMATOR'!D1026:O1026)</f>
        <v/>
      </c>
      <c r="D971" s="3721"/>
      <c r="E971" s="3721"/>
      <c r="F971" s="3721"/>
      <c r="G971" s="3721"/>
      <c r="H971" s="3721"/>
      <c r="I971" s="916">
        <f>'2 REPAIR ESTIMATOR'!P1026</f>
        <v>0</v>
      </c>
      <c r="J971" s="917">
        <f>'2 REPAIR ESTIMATOR'!S1026</f>
        <v>0</v>
      </c>
      <c r="K971" s="918">
        <f t="shared" si="137"/>
        <v>0</v>
      </c>
      <c r="L971" s="918">
        <f t="shared" si="138"/>
        <v>0</v>
      </c>
      <c r="M971" s="918">
        <f t="shared" si="139"/>
        <v>0</v>
      </c>
      <c r="N971" s="3719">
        <f t="shared" si="140"/>
        <v>0</v>
      </c>
      <c r="O971" s="3719"/>
      <c r="P971" s="490">
        <f t="shared" si="142"/>
        <v>0</v>
      </c>
      <c r="S971" s="32">
        <f>'2 REPAIR ESTIMATOR'!AD1026</f>
        <v>0</v>
      </c>
      <c r="T971" s="32">
        <f>'2 REPAIR ESTIMATOR'!AM1026</f>
        <v>0</v>
      </c>
      <c r="U971" s="32">
        <f t="shared" si="141"/>
        <v>0</v>
      </c>
      <c r="V971" s="32">
        <f>'2 REPAIR ESTIMATOR'!AG1026</f>
        <v>0</v>
      </c>
      <c r="W971" s="32">
        <f>'2 REPAIR ESTIMATOR'!AJ1026</f>
        <v>0</v>
      </c>
    </row>
    <row r="972" spans="3:23" ht="18.350000000000001" hidden="1" thickBot="1">
      <c r="C972" s="3779" t="str">
        <f>T('2 REPAIR ESTIMATOR'!D1027:O1027)</f>
        <v/>
      </c>
      <c r="D972" s="3780"/>
      <c r="E972" s="3780"/>
      <c r="F972" s="3780"/>
      <c r="G972" s="3780"/>
      <c r="H972" s="3780"/>
      <c r="I972" s="919">
        <f>'2 REPAIR ESTIMATOR'!P1027</f>
        <v>0</v>
      </c>
      <c r="J972" s="920">
        <f>'2 REPAIR ESTIMATOR'!S1027</f>
        <v>0</v>
      </c>
      <c r="K972" s="921">
        <f t="shared" si="137"/>
        <v>0</v>
      </c>
      <c r="L972" s="921">
        <f t="shared" si="138"/>
        <v>0</v>
      </c>
      <c r="M972" s="921">
        <f t="shared" si="139"/>
        <v>0</v>
      </c>
      <c r="N972" s="3781">
        <f t="shared" si="140"/>
        <v>0</v>
      </c>
      <c r="O972" s="3781"/>
      <c r="P972" s="490">
        <f t="shared" si="142"/>
        <v>0</v>
      </c>
      <c r="S972" s="32">
        <f>'2 REPAIR ESTIMATOR'!AD1027</f>
        <v>0</v>
      </c>
      <c r="T972" s="32">
        <f>'2 REPAIR ESTIMATOR'!AM1027</f>
        <v>0</v>
      </c>
      <c r="U972" s="32">
        <f t="shared" si="141"/>
        <v>0</v>
      </c>
      <c r="V972" s="32">
        <f>'2 REPAIR ESTIMATOR'!AG1027</f>
        <v>0</v>
      </c>
      <c r="W972" s="32">
        <f>'2 REPAIR ESTIMATOR'!AJ1027</f>
        <v>0</v>
      </c>
    </row>
    <row r="973" spans="3:23" ht="18.350000000000001" hidden="1" thickBot="1">
      <c r="C973" s="3723" t="str">
        <f>T('2 REPAIR ESTIMATOR'!AC1029)</f>
        <v>PLUMBING TOTAL</v>
      </c>
      <c r="D973" s="3724"/>
      <c r="E973" s="3724"/>
      <c r="F973" s="3724"/>
      <c r="G973" s="3724"/>
      <c r="H973" s="3724"/>
      <c r="I973" s="3724"/>
      <c r="J973" s="3724"/>
      <c r="K973" s="922">
        <f>SUM(K933:K972)</f>
        <v>0</v>
      </c>
      <c r="L973" s="922">
        <f>SUM(L933:L972)</f>
        <v>0</v>
      </c>
      <c r="M973" s="922">
        <f>SUM(M933:M972)</f>
        <v>0</v>
      </c>
      <c r="N973" s="3789">
        <f>SUM(N933:O972)</f>
        <v>0</v>
      </c>
      <c r="O973" s="3789"/>
      <c r="P973" s="489">
        <f>SUM(P932:P952)</f>
        <v>0</v>
      </c>
      <c r="S973" s="33">
        <f>SUM(S933:S972)</f>
        <v>0</v>
      </c>
      <c r="T973" s="33">
        <f>SUM(T933:T972)</f>
        <v>0</v>
      </c>
      <c r="U973" s="33">
        <f>SUM(U933:U972)</f>
        <v>0</v>
      </c>
      <c r="V973" s="33">
        <f>SUM(V933:V972)</f>
        <v>0</v>
      </c>
      <c r="W973" s="33">
        <f>SUM(W933:W972)</f>
        <v>0</v>
      </c>
    </row>
    <row r="974" spans="3:23" ht="8.85" hidden="1" customHeight="1">
      <c r="C974" s="841"/>
      <c r="D974" s="841"/>
      <c r="E974" s="841"/>
      <c r="F974" s="841"/>
      <c r="G974" s="841"/>
      <c r="H974" s="841"/>
      <c r="I974" s="842"/>
      <c r="J974" s="842"/>
      <c r="K974" s="842"/>
      <c r="L974" s="842"/>
      <c r="M974" s="842"/>
      <c r="N974" s="843"/>
      <c r="O974" s="798"/>
      <c r="P974" s="489">
        <f>P973</f>
        <v>0</v>
      </c>
    </row>
    <row r="975" spans="3:23" ht="21" hidden="1" customHeight="1" thickBot="1">
      <c r="C975" s="3782" t="str">
        <f>T('2 REPAIR ESTIMATOR'!D1032:O1032)</f>
        <v>HVAC</v>
      </c>
      <c r="D975" s="3783"/>
      <c r="E975" s="3783"/>
      <c r="F975" s="3783"/>
      <c r="G975" s="3783"/>
      <c r="H975" s="3783"/>
      <c r="I975" s="799">
        <f>SUM(I976:I1015)</f>
        <v>0</v>
      </c>
      <c r="J975" s="800"/>
      <c r="K975" s="850"/>
      <c r="L975" s="850"/>
      <c r="M975" s="850"/>
      <c r="N975" s="3722"/>
      <c r="O975" s="3722"/>
      <c r="P975" s="489">
        <f t="shared" ref="P975:P1074" si="143">I975</f>
        <v>0</v>
      </c>
      <c r="S975" s="34"/>
      <c r="T975" s="34"/>
      <c r="U975" s="34"/>
      <c r="V975" s="34"/>
      <c r="W975" s="34"/>
    </row>
    <row r="976" spans="3:23" ht="18" hidden="1">
      <c r="C976" s="3720" t="str">
        <f>T('2 REPAIR ESTIMATOR'!D1033:O1033)</f>
        <v>HVAC, bid/allowance</v>
      </c>
      <c r="D976" s="3721"/>
      <c r="E976" s="3721"/>
      <c r="F976" s="3721"/>
      <c r="G976" s="3721"/>
      <c r="H976" s="3721"/>
      <c r="I976" s="916">
        <f>'2 REPAIR ESTIMATOR'!P1033</f>
        <v>0</v>
      </c>
      <c r="J976" s="917" t="str">
        <f>'2 REPAIR ESTIMATOR'!S1033</f>
        <v>ls</v>
      </c>
      <c r="K976" s="918">
        <f t="shared" ref="K976:K1015" si="144">IF($N$3="subbed",U976,S976)*$S$70</f>
        <v>0</v>
      </c>
      <c r="L976" s="918">
        <f>V976*$S$70</f>
        <v>0</v>
      </c>
      <c r="M976" s="918">
        <f>W976*$S$70</f>
        <v>0</v>
      </c>
      <c r="N976" s="3719">
        <f>SUM(K976:M976)</f>
        <v>0</v>
      </c>
      <c r="O976" s="3719"/>
      <c r="P976" s="490">
        <f t="shared" si="143"/>
        <v>0</v>
      </c>
      <c r="S976" s="32">
        <f>'2 REPAIR ESTIMATOR'!AD1033</f>
        <v>0</v>
      </c>
      <c r="T976" s="32">
        <f>'2 REPAIR ESTIMATOR'!AM1033</f>
        <v>0</v>
      </c>
      <c r="U976" s="32">
        <f>T976+S976</f>
        <v>0</v>
      </c>
      <c r="V976" s="32">
        <f>'2 REPAIR ESTIMATOR'!AG1033</f>
        <v>0</v>
      </c>
      <c r="W976" s="32">
        <f>'2 REPAIR ESTIMATOR'!AJ1033</f>
        <v>0</v>
      </c>
    </row>
    <row r="977" spans="3:23" ht="18" hidden="1">
      <c r="C977" s="3720" t="str">
        <f>T('2 REPAIR ESTIMATOR'!D1034:O1034)</f>
        <v>HVAC Rough-In, per hour</v>
      </c>
      <c r="D977" s="3721"/>
      <c r="E977" s="3721"/>
      <c r="F977" s="3721"/>
      <c r="G977" s="3721"/>
      <c r="H977" s="3721"/>
      <c r="I977" s="916">
        <f>'2 REPAIR ESTIMATOR'!P1034</f>
        <v>0</v>
      </c>
      <c r="J977" s="917" t="str">
        <f>'2 REPAIR ESTIMATOR'!S1034</f>
        <v>hrs</v>
      </c>
      <c r="K977" s="918">
        <f t="shared" si="144"/>
        <v>0</v>
      </c>
      <c r="L977" s="918">
        <f t="shared" ref="L977:L1015" si="145">V977*$S$70</f>
        <v>0</v>
      </c>
      <c r="M977" s="918">
        <f t="shared" ref="M977:M1015" si="146">W977*$S$70</f>
        <v>0</v>
      </c>
      <c r="N977" s="3719">
        <f t="shared" ref="N977:N1015" si="147">SUM(K977:M977)</f>
        <v>0</v>
      </c>
      <c r="O977" s="3719"/>
      <c r="P977" s="490">
        <f t="shared" si="143"/>
        <v>0</v>
      </c>
      <c r="S977" s="32">
        <f>'2 REPAIR ESTIMATOR'!AD1034</f>
        <v>0</v>
      </c>
      <c r="T977" s="32">
        <f>'2 REPAIR ESTIMATOR'!AM1034</f>
        <v>0</v>
      </c>
      <c r="U977" s="32">
        <f t="shared" ref="U977:U1015" si="148">T977+S977</f>
        <v>0</v>
      </c>
      <c r="V977" s="32">
        <f>'2 REPAIR ESTIMATOR'!AG1034</f>
        <v>0</v>
      </c>
      <c r="W977" s="32">
        <f>'2 REPAIR ESTIMATOR'!AJ1034</f>
        <v>0</v>
      </c>
    </row>
    <row r="978" spans="3:23" ht="18" hidden="1">
      <c r="C978" s="3720" t="str">
        <f>T('2 REPAIR ESTIMATOR'!D1035:O1035)</f>
        <v>HVAC Finish Work, per hour</v>
      </c>
      <c r="D978" s="3721"/>
      <c r="E978" s="3721"/>
      <c r="F978" s="3721"/>
      <c r="G978" s="3721"/>
      <c r="H978" s="3721"/>
      <c r="I978" s="916">
        <f>'2 REPAIR ESTIMATOR'!P1035</f>
        <v>0</v>
      </c>
      <c r="J978" s="917" t="str">
        <f>'2 REPAIR ESTIMATOR'!S1035</f>
        <v>hrs</v>
      </c>
      <c r="K978" s="918">
        <f t="shared" si="144"/>
        <v>0</v>
      </c>
      <c r="L978" s="918">
        <f t="shared" si="145"/>
        <v>0</v>
      </c>
      <c r="M978" s="918">
        <f t="shared" si="146"/>
        <v>0</v>
      </c>
      <c r="N978" s="3719">
        <f t="shared" si="147"/>
        <v>0</v>
      </c>
      <c r="O978" s="3719"/>
      <c r="P978" s="490">
        <f t="shared" si="143"/>
        <v>0</v>
      </c>
      <c r="S978" s="32">
        <f>'2 REPAIR ESTIMATOR'!AD1035</f>
        <v>0</v>
      </c>
      <c r="T978" s="32">
        <f>'2 REPAIR ESTIMATOR'!AM1035</f>
        <v>0</v>
      </c>
      <c r="U978" s="32">
        <f t="shared" si="148"/>
        <v>0</v>
      </c>
      <c r="V978" s="32">
        <f>'2 REPAIR ESTIMATOR'!AG1035</f>
        <v>0</v>
      </c>
      <c r="W978" s="32">
        <f>'2 REPAIR ESTIMATOR'!AJ1035</f>
        <v>0</v>
      </c>
    </row>
    <row r="979" spans="3:23" ht="18" hidden="1">
      <c r="C979" s="3720" t="str">
        <f>T('2 REPAIR ESTIMATOR'!D1036:O1036)</f>
        <v>Replace gas fired forced air unit, 1000 sf, 60k btus</v>
      </c>
      <c r="D979" s="3721"/>
      <c r="E979" s="3721"/>
      <c r="F979" s="3721"/>
      <c r="G979" s="3721"/>
      <c r="H979" s="3721"/>
      <c r="I979" s="916">
        <f>'2 REPAIR ESTIMATOR'!P1036</f>
        <v>0</v>
      </c>
      <c r="J979" s="917" t="str">
        <f>'2 REPAIR ESTIMATOR'!S1036</f>
        <v>ea</v>
      </c>
      <c r="K979" s="918">
        <f t="shared" si="144"/>
        <v>0</v>
      </c>
      <c r="L979" s="918">
        <f t="shared" si="145"/>
        <v>0</v>
      </c>
      <c r="M979" s="918">
        <f t="shared" si="146"/>
        <v>0</v>
      </c>
      <c r="N979" s="3719">
        <f t="shared" si="147"/>
        <v>0</v>
      </c>
      <c r="O979" s="3719"/>
      <c r="P979" s="490">
        <f t="shared" si="143"/>
        <v>0</v>
      </c>
      <c r="S979" s="32">
        <f>'2 REPAIR ESTIMATOR'!AD1036</f>
        <v>0</v>
      </c>
      <c r="T979" s="32">
        <f>'2 REPAIR ESTIMATOR'!AM1036</f>
        <v>0</v>
      </c>
      <c r="U979" s="32">
        <f t="shared" si="148"/>
        <v>0</v>
      </c>
      <c r="V979" s="32">
        <f>'2 REPAIR ESTIMATOR'!AG1036</f>
        <v>0</v>
      </c>
      <c r="W979" s="32">
        <f>'2 REPAIR ESTIMATOR'!AJ1036</f>
        <v>0</v>
      </c>
    </row>
    <row r="980" spans="3:23" ht="18" hidden="1">
      <c r="C980" s="3720" t="str">
        <f>T('2 REPAIR ESTIMATOR'!D1037:O1037)</f>
        <v>Replace gas fired forced air unit, 2,000, 80k btus</v>
      </c>
      <c r="D980" s="3721"/>
      <c r="E980" s="3721"/>
      <c r="F980" s="3721"/>
      <c r="G980" s="3721"/>
      <c r="H980" s="3721"/>
      <c r="I980" s="916">
        <f>'2 REPAIR ESTIMATOR'!P1037</f>
        <v>0</v>
      </c>
      <c r="J980" s="917" t="str">
        <f>'2 REPAIR ESTIMATOR'!S1037</f>
        <v>ea</v>
      </c>
      <c r="K980" s="918">
        <f t="shared" si="144"/>
        <v>0</v>
      </c>
      <c r="L980" s="918">
        <f t="shared" si="145"/>
        <v>0</v>
      </c>
      <c r="M980" s="918">
        <f t="shared" si="146"/>
        <v>0</v>
      </c>
      <c r="N980" s="3719">
        <f t="shared" si="147"/>
        <v>0</v>
      </c>
      <c r="O980" s="3719"/>
      <c r="P980" s="490">
        <f t="shared" si="143"/>
        <v>0</v>
      </c>
      <c r="S980" s="32">
        <f>'2 REPAIR ESTIMATOR'!AD1037</f>
        <v>0</v>
      </c>
      <c r="T980" s="32">
        <f>'2 REPAIR ESTIMATOR'!AM1037</f>
        <v>0</v>
      </c>
      <c r="U980" s="32">
        <f t="shared" si="148"/>
        <v>0</v>
      </c>
      <c r="V980" s="32">
        <f>'2 REPAIR ESTIMATOR'!AG1037</f>
        <v>0</v>
      </c>
      <c r="W980" s="32">
        <f>'2 REPAIR ESTIMATOR'!AJ1037</f>
        <v>0</v>
      </c>
    </row>
    <row r="981" spans="3:23" ht="18" hidden="1">
      <c r="C981" s="3720" t="str">
        <f>T('2 REPAIR ESTIMATOR'!D1038:O1038)</f>
        <v>Replace gas fired forced air unit, 3,000, 100k btus</v>
      </c>
      <c r="D981" s="3721"/>
      <c r="E981" s="3721"/>
      <c r="F981" s="3721"/>
      <c r="G981" s="3721"/>
      <c r="H981" s="3721"/>
      <c r="I981" s="916">
        <f>'2 REPAIR ESTIMATOR'!P1038</f>
        <v>0</v>
      </c>
      <c r="J981" s="917" t="str">
        <f>'2 REPAIR ESTIMATOR'!S1038</f>
        <v>ea</v>
      </c>
      <c r="K981" s="918">
        <f t="shared" si="144"/>
        <v>0</v>
      </c>
      <c r="L981" s="918">
        <f t="shared" si="145"/>
        <v>0</v>
      </c>
      <c r="M981" s="918">
        <f t="shared" si="146"/>
        <v>0</v>
      </c>
      <c r="N981" s="3719">
        <f t="shared" si="147"/>
        <v>0</v>
      </c>
      <c r="O981" s="3719"/>
      <c r="P981" s="490">
        <f t="shared" si="143"/>
        <v>0</v>
      </c>
      <c r="S981" s="32">
        <f>'2 REPAIR ESTIMATOR'!AD1038</f>
        <v>0</v>
      </c>
      <c r="T981" s="32">
        <f>'2 REPAIR ESTIMATOR'!AM1038</f>
        <v>0</v>
      </c>
      <c r="U981" s="32">
        <f t="shared" si="148"/>
        <v>0</v>
      </c>
      <c r="V981" s="32">
        <f>'2 REPAIR ESTIMATOR'!AG1038</f>
        <v>0</v>
      </c>
      <c r="W981" s="32">
        <f>'2 REPAIR ESTIMATOR'!AJ1038</f>
        <v>0</v>
      </c>
    </row>
    <row r="982" spans="3:23" ht="18" hidden="1">
      <c r="C982" s="3720" t="str">
        <f>T('2 REPAIR ESTIMATOR'!D1039:O1039)</f>
        <v>Replace air conditioning unit, ~1,000 sf, 2 ton</v>
      </c>
      <c r="D982" s="3721"/>
      <c r="E982" s="3721"/>
      <c r="F982" s="3721"/>
      <c r="G982" s="3721"/>
      <c r="H982" s="3721"/>
      <c r="I982" s="916">
        <f>'2 REPAIR ESTIMATOR'!P1039</f>
        <v>0</v>
      </c>
      <c r="J982" s="917" t="str">
        <f>'2 REPAIR ESTIMATOR'!S1039</f>
        <v>ea</v>
      </c>
      <c r="K982" s="918">
        <f t="shared" si="144"/>
        <v>0</v>
      </c>
      <c r="L982" s="918">
        <f t="shared" si="145"/>
        <v>0</v>
      </c>
      <c r="M982" s="918">
        <f t="shared" si="146"/>
        <v>0</v>
      </c>
      <c r="N982" s="3719">
        <f t="shared" si="147"/>
        <v>0</v>
      </c>
      <c r="O982" s="3719"/>
      <c r="P982" s="490">
        <f t="shared" si="143"/>
        <v>0</v>
      </c>
      <c r="S982" s="32">
        <f>'2 REPAIR ESTIMATOR'!AD1039</f>
        <v>0</v>
      </c>
      <c r="T982" s="32">
        <f>'2 REPAIR ESTIMATOR'!AM1039</f>
        <v>0</v>
      </c>
      <c r="U982" s="32">
        <f t="shared" si="148"/>
        <v>0</v>
      </c>
      <c r="V982" s="32">
        <f>'2 REPAIR ESTIMATOR'!AG1039</f>
        <v>0</v>
      </c>
      <c r="W982" s="32">
        <f>'2 REPAIR ESTIMATOR'!AJ1039</f>
        <v>0</v>
      </c>
    </row>
    <row r="983" spans="3:23" ht="18" hidden="1">
      <c r="C983" s="3720" t="str">
        <f>T('2 REPAIR ESTIMATOR'!D1040:O1040)</f>
        <v>Replace air conditioning unit, ~2,000 sf, 3.5 ton</v>
      </c>
      <c r="D983" s="3721"/>
      <c r="E983" s="3721"/>
      <c r="F983" s="3721"/>
      <c r="G983" s="3721"/>
      <c r="H983" s="3721"/>
      <c r="I983" s="916">
        <f>'2 REPAIR ESTIMATOR'!P1040</f>
        <v>0</v>
      </c>
      <c r="J983" s="917" t="str">
        <f>'2 REPAIR ESTIMATOR'!S1040</f>
        <v>ea</v>
      </c>
      <c r="K983" s="918">
        <f t="shared" si="144"/>
        <v>0</v>
      </c>
      <c r="L983" s="918">
        <f t="shared" si="145"/>
        <v>0</v>
      </c>
      <c r="M983" s="918">
        <f t="shared" si="146"/>
        <v>0</v>
      </c>
      <c r="N983" s="3719">
        <f t="shared" si="147"/>
        <v>0</v>
      </c>
      <c r="O983" s="3719"/>
      <c r="P983" s="490">
        <f t="shared" si="143"/>
        <v>0</v>
      </c>
      <c r="S983" s="32">
        <f>'2 REPAIR ESTIMATOR'!AD1040</f>
        <v>0</v>
      </c>
      <c r="T983" s="32">
        <f>'2 REPAIR ESTIMATOR'!AM1040</f>
        <v>0</v>
      </c>
      <c r="U983" s="32">
        <f t="shared" si="148"/>
        <v>0</v>
      </c>
      <c r="V983" s="32">
        <f>'2 REPAIR ESTIMATOR'!AG1040</f>
        <v>0</v>
      </c>
      <c r="W983" s="32">
        <f>'2 REPAIR ESTIMATOR'!AJ1040</f>
        <v>0</v>
      </c>
    </row>
    <row r="984" spans="3:23" ht="18" hidden="1">
      <c r="C984" s="3720" t="str">
        <f>T('2 REPAIR ESTIMATOR'!D1041:O1041)</f>
        <v>Replace air conditioning unit, ~3,000sf, 5 ton</v>
      </c>
      <c r="D984" s="3721"/>
      <c r="E984" s="3721"/>
      <c r="F984" s="3721"/>
      <c r="G984" s="3721"/>
      <c r="H984" s="3721"/>
      <c r="I984" s="916">
        <f>'2 REPAIR ESTIMATOR'!P1041</f>
        <v>0</v>
      </c>
      <c r="J984" s="917" t="str">
        <f>'2 REPAIR ESTIMATOR'!S1041</f>
        <v>ea</v>
      </c>
      <c r="K984" s="918">
        <f t="shared" si="144"/>
        <v>0</v>
      </c>
      <c r="L984" s="918">
        <f t="shared" si="145"/>
        <v>0</v>
      </c>
      <c r="M984" s="918">
        <f t="shared" si="146"/>
        <v>0</v>
      </c>
      <c r="N984" s="3719">
        <f t="shared" si="147"/>
        <v>0</v>
      </c>
      <c r="O984" s="3719"/>
      <c r="P984" s="490">
        <f t="shared" si="143"/>
        <v>0</v>
      </c>
      <c r="S984" s="32">
        <f>'2 REPAIR ESTIMATOR'!AD1041</f>
        <v>0</v>
      </c>
      <c r="T984" s="32">
        <f>'2 REPAIR ESTIMATOR'!AM1041</f>
        <v>0</v>
      </c>
      <c r="U984" s="32">
        <f t="shared" si="148"/>
        <v>0</v>
      </c>
      <c r="V984" s="32">
        <f>'2 REPAIR ESTIMATOR'!AG1041</f>
        <v>0</v>
      </c>
      <c r="W984" s="32">
        <f>'2 REPAIR ESTIMATOR'!AJ1041</f>
        <v>0</v>
      </c>
    </row>
    <row r="985" spans="3:23" ht="18" hidden="1">
      <c r="C985" s="3720" t="str">
        <f>T('2 REPAIR ESTIMATOR'!D1042:O1042)</f>
        <v>Hotel type, hot/cold packaged unit</v>
      </c>
      <c r="D985" s="3721"/>
      <c r="E985" s="3721"/>
      <c r="F985" s="3721"/>
      <c r="G985" s="3721"/>
      <c r="H985" s="3721"/>
      <c r="I985" s="916">
        <f>'2 REPAIR ESTIMATOR'!P1042</f>
        <v>0</v>
      </c>
      <c r="J985" s="917" t="str">
        <f>'2 REPAIR ESTIMATOR'!S1042</f>
        <v>ea</v>
      </c>
      <c r="K985" s="918">
        <f t="shared" si="144"/>
        <v>0</v>
      </c>
      <c r="L985" s="918">
        <f t="shared" si="145"/>
        <v>0</v>
      </c>
      <c r="M985" s="918">
        <f t="shared" si="146"/>
        <v>0</v>
      </c>
      <c r="N985" s="3719">
        <f t="shared" si="147"/>
        <v>0</v>
      </c>
      <c r="O985" s="3719"/>
      <c r="P985" s="490">
        <f t="shared" si="143"/>
        <v>0</v>
      </c>
      <c r="S985" s="32">
        <f>'2 REPAIR ESTIMATOR'!AD1042</f>
        <v>0</v>
      </c>
      <c r="T985" s="32">
        <f>'2 REPAIR ESTIMATOR'!AM1042</f>
        <v>0</v>
      </c>
      <c r="U985" s="32">
        <f t="shared" si="148"/>
        <v>0</v>
      </c>
      <c r="V985" s="32">
        <f>'2 REPAIR ESTIMATOR'!AG1042</f>
        <v>0</v>
      </c>
      <c r="W985" s="32">
        <f>'2 REPAIR ESTIMATOR'!AJ1042</f>
        <v>0</v>
      </c>
    </row>
    <row r="986" spans="3:23" ht="18" hidden="1">
      <c r="C986" s="3720" t="str">
        <f>T('2 REPAIR ESTIMATOR'!D1043:O1043)</f>
        <v>Window mounted unit</v>
      </c>
      <c r="D986" s="3721"/>
      <c r="E986" s="3721"/>
      <c r="F986" s="3721"/>
      <c r="G986" s="3721"/>
      <c r="H986" s="3721"/>
      <c r="I986" s="916">
        <f>'2 REPAIR ESTIMATOR'!P1043</f>
        <v>0</v>
      </c>
      <c r="J986" s="917" t="str">
        <f>'2 REPAIR ESTIMATOR'!S1043</f>
        <v>ea</v>
      </c>
      <c r="K986" s="918">
        <f t="shared" si="144"/>
        <v>0</v>
      </c>
      <c r="L986" s="918">
        <f t="shared" si="145"/>
        <v>0</v>
      </c>
      <c r="M986" s="918">
        <f t="shared" si="146"/>
        <v>0</v>
      </c>
      <c r="N986" s="3719">
        <f t="shared" si="147"/>
        <v>0</v>
      </c>
      <c r="O986" s="3719"/>
      <c r="P986" s="490">
        <f t="shared" si="143"/>
        <v>0</v>
      </c>
      <c r="S986" s="32">
        <f>'2 REPAIR ESTIMATOR'!AD1043</f>
        <v>0</v>
      </c>
      <c r="T986" s="32">
        <f>'2 REPAIR ESTIMATOR'!AM1043</f>
        <v>0</v>
      </c>
      <c r="U986" s="32">
        <f t="shared" si="148"/>
        <v>0</v>
      </c>
      <c r="V986" s="32">
        <f>'2 REPAIR ESTIMATOR'!AG1043</f>
        <v>0</v>
      </c>
      <c r="W986" s="32">
        <f>'2 REPAIR ESTIMATOR'!AJ1043</f>
        <v>0</v>
      </c>
    </row>
    <row r="987" spans="3:23" ht="18" hidden="1">
      <c r="C987" s="3720" t="str">
        <f>T('2 REPAIR ESTIMATOR'!D1044:O1044)</f>
        <v>HVAC equipment tune-up/service call</v>
      </c>
      <c r="D987" s="3721"/>
      <c r="E987" s="3721"/>
      <c r="F987" s="3721"/>
      <c r="G987" s="3721"/>
      <c r="H987" s="3721"/>
      <c r="I987" s="916">
        <f>'2 REPAIR ESTIMATOR'!P1044</f>
        <v>0</v>
      </c>
      <c r="J987" s="917" t="str">
        <f>'2 REPAIR ESTIMATOR'!S1044</f>
        <v>ea</v>
      </c>
      <c r="K987" s="918">
        <f t="shared" si="144"/>
        <v>0</v>
      </c>
      <c r="L987" s="918">
        <f t="shared" si="145"/>
        <v>0</v>
      </c>
      <c r="M987" s="918">
        <f t="shared" si="146"/>
        <v>0</v>
      </c>
      <c r="N987" s="3719">
        <f t="shared" si="147"/>
        <v>0</v>
      </c>
      <c r="O987" s="3719"/>
      <c r="P987" s="490">
        <f t="shared" si="143"/>
        <v>0</v>
      </c>
      <c r="S987" s="32">
        <f>'2 REPAIR ESTIMATOR'!AD1044</f>
        <v>0</v>
      </c>
      <c r="T987" s="32">
        <f>'2 REPAIR ESTIMATOR'!AM1044</f>
        <v>0</v>
      </c>
      <c r="U987" s="32">
        <f t="shared" si="148"/>
        <v>0</v>
      </c>
      <c r="V987" s="32">
        <f>'2 REPAIR ESTIMATOR'!AG1044</f>
        <v>0</v>
      </c>
      <c r="W987" s="32">
        <f>'2 REPAIR ESTIMATOR'!AJ1044</f>
        <v>0</v>
      </c>
    </row>
    <row r="988" spans="3:23" ht="18" hidden="1">
      <c r="C988" s="3720" t="str">
        <f>T('2 REPAIR ESTIMATOR'!D1045:O1045)</f>
        <v>Programmable thermostat</v>
      </c>
      <c r="D988" s="3721"/>
      <c r="E988" s="3721"/>
      <c r="F988" s="3721"/>
      <c r="G988" s="3721"/>
      <c r="H988" s="3721"/>
      <c r="I988" s="916">
        <f>'2 REPAIR ESTIMATOR'!P1045</f>
        <v>0</v>
      </c>
      <c r="J988" s="917" t="str">
        <f>'2 REPAIR ESTIMATOR'!S1045</f>
        <v>ea</v>
      </c>
      <c r="K988" s="918">
        <f t="shared" si="144"/>
        <v>0</v>
      </c>
      <c r="L988" s="918">
        <f t="shared" si="145"/>
        <v>0</v>
      </c>
      <c r="M988" s="918">
        <f t="shared" si="146"/>
        <v>0</v>
      </c>
      <c r="N988" s="3719">
        <f t="shared" si="147"/>
        <v>0</v>
      </c>
      <c r="O988" s="3719"/>
      <c r="P988" s="489">
        <f t="shared" si="143"/>
        <v>0</v>
      </c>
      <c r="S988" s="32">
        <f>'2 REPAIR ESTIMATOR'!AD1045</f>
        <v>0</v>
      </c>
      <c r="T988" s="32">
        <f>'2 REPAIR ESTIMATOR'!AM1045</f>
        <v>0</v>
      </c>
      <c r="U988" s="32">
        <f t="shared" si="148"/>
        <v>0</v>
      </c>
      <c r="V988" s="32">
        <f>'2 REPAIR ESTIMATOR'!AG1045</f>
        <v>0</v>
      </c>
      <c r="W988" s="32">
        <f>'2 REPAIR ESTIMATOR'!AJ1045</f>
        <v>0</v>
      </c>
    </row>
    <row r="989" spans="3:23" ht="18" hidden="1">
      <c r="C989" s="3720" t="str">
        <f>T('2 REPAIR ESTIMATOR'!D1046:O1046)</f>
        <v>Replace supply air grilles/returns</v>
      </c>
      <c r="D989" s="3721"/>
      <c r="E989" s="3721"/>
      <c r="F989" s="3721"/>
      <c r="G989" s="3721"/>
      <c r="H989" s="3721"/>
      <c r="I989" s="916">
        <f>'2 REPAIR ESTIMATOR'!P1046</f>
        <v>0</v>
      </c>
      <c r="J989" s="917" t="str">
        <f>'2 REPAIR ESTIMATOR'!S1046</f>
        <v>ea</v>
      </c>
      <c r="K989" s="918">
        <f t="shared" si="144"/>
        <v>0</v>
      </c>
      <c r="L989" s="918">
        <f t="shared" si="145"/>
        <v>0</v>
      </c>
      <c r="M989" s="918">
        <f t="shared" si="146"/>
        <v>0</v>
      </c>
      <c r="N989" s="3719">
        <f t="shared" si="147"/>
        <v>0</v>
      </c>
      <c r="O989" s="3719"/>
      <c r="P989" s="489">
        <f t="shared" si="143"/>
        <v>0</v>
      </c>
      <c r="S989" s="32">
        <f>'2 REPAIR ESTIMATOR'!AD1046</f>
        <v>0</v>
      </c>
      <c r="T989" s="32">
        <f>'2 REPAIR ESTIMATOR'!AM1046</f>
        <v>0</v>
      </c>
      <c r="U989" s="32">
        <f t="shared" si="148"/>
        <v>0</v>
      </c>
      <c r="V989" s="32">
        <f>'2 REPAIR ESTIMATOR'!AG1046</f>
        <v>0</v>
      </c>
      <c r="W989" s="32">
        <f>'2 REPAIR ESTIMATOR'!AJ1046</f>
        <v>0</v>
      </c>
    </row>
    <row r="990" spans="3:23" ht="18" hidden="1">
      <c r="C990" s="3720" t="str">
        <f>T('2 REPAIR ESTIMATOR'!D1047:O1047)</f>
        <v>Clean ductwork</v>
      </c>
      <c r="D990" s="3721"/>
      <c r="E990" s="3721"/>
      <c r="F990" s="3721"/>
      <c r="G990" s="3721"/>
      <c r="H990" s="3721"/>
      <c r="I990" s="916">
        <f>'2 REPAIR ESTIMATOR'!P1047</f>
        <v>0</v>
      </c>
      <c r="J990" s="917" t="str">
        <f>'2 REPAIR ESTIMATOR'!S1047</f>
        <v>ls</v>
      </c>
      <c r="K990" s="918">
        <f t="shared" si="144"/>
        <v>0</v>
      </c>
      <c r="L990" s="918">
        <f t="shared" si="145"/>
        <v>0</v>
      </c>
      <c r="M990" s="918">
        <f t="shared" si="146"/>
        <v>0</v>
      </c>
      <c r="N990" s="3719">
        <f t="shared" si="147"/>
        <v>0</v>
      </c>
      <c r="O990" s="3719"/>
      <c r="P990" s="490">
        <f t="shared" si="143"/>
        <v>0</v>
      </c>
      <c r="S990" s="32">
        <f>'2 REPAIR ESTIMATOR'!AD1047</f>
        <v>0</v>
      </c>
      <c r="T990" s="32">
        <f>'2 REPAIR ESTIMATOR'!AM1047</f>
        <v>0</v>
      </c>
      <c r="U990" s="32">
        <f t="shared" si="148"/>
        <v>0</v>
      </c>
      <c r="V990" s="32">
        <f>'2 REPAIR ESTIMATOR'!AG1047</f>
        <v>0</v>
      </c>
      <c r="W990" s="32">
        <f>'2 REPAIR ESTIMATOR'!AJ1047</f>
        <v>0</v>
      </c>
    </row>
    <row r="991" spans="3:23" ht="18" hidden="1">
      <c r="C991" s="3720" t="str">
        <f>T('2 REPAIR ESTIMATOR'!D1048:O1048)</f>
        <v/>
      </c>
      <c r="D991" s="3721"/>
      <c r="E991" s="3721"/>
      <c r="F991" s="3721"/>
      <c r="G991" s="3721"/>
      <c r="H991" s="3721"/>
      <c r="I991" s="916">
        <f>'2 REPAIR ESTIMATOR'!P1048</f>
        <v>0</v>
      </c>
      <c r="J991" s="917">
        <f>'2 REPAIR ESTIMATOR'!S1048</f>
        <v>0</v>
      </c>
      <c r="K991" s="918">
        <f t="shared" si="144"/>
        <v>0</v>
      </c>
      <c r="L991" s="918">
        <f t="shared" si="145"/>
        <v>0</v>
      </c>
      <c r="M991" s="918">
        <f t="shared" si="146"/>
        <v>0</v>
      </c>
      <c r="N991" s="3719">
        <f t="shared" si="147"/>
        <v>0</v>
      </c>
      <c r="O991" s="3719"/>
      <c r="P991" s="490">
        <f t="shared" si="143"/>
        <v>0</v>
      </c>
      <c r="S991" s="32">
        <f>'2 REPAIR ESTIMATOR'!AD1048</f>
        <v>0</v>
      </c>
      <c r="T991" s="32">
        <f>'2 REPAIR ESTIMATOR'!AM1048</f>
        <v>0</v>
      </c>
      <c r="U991" s="32">
        <f t="shared" si="148"/>
        <v>0</v>
      </c>
      <c r="V991" s="32">
        <f>'2 REPAIR ESTIMATOR'!AG1048</f>
        <v>0</v>
      </c>
      <c r="W991" s="32">
        <f>'2 REPAIR ESTIMATOR'!AJ1048</f>
        <v>0</v>
      </c>
    </row>
    <row r="992" spans="3:23" ht="18" hidden="1">
      <c r="C992" s="3720" t="str">
        <f>T('2 REPAIR ESTIMATOR'!D1049:O1049)</f>
        <v/>
      </c>
      <c r="D992" s="3721"/>
      <c r="E992" s="3721"/>
      <c r="F992" s="3721"/>
      <c r="G992" s="3721"/>
      <c r="H992" s="3721"/>
      <c r="I992" s="916">
        <f>'2 REPAIR ESTIMATOR'!P1049</f>
        <v>0</v>
      </c>
      <c r="J992" s="917">
        <f>'2 REPAIR ESTIMATOR'!S1049</f>
        <v>0</v>
      </c>
      <c r="K992" s="918">
        <f t="shared" si="144"/>
        <v>0</v>
      </c>
      <c r="L992" s="918">
        <f t="shared" si="145"/>
        <v>0</v>
      </c>
      <c r="M992" s="918">
        <f t="shared" si="146"/>
        <v>0</v>
      </c>
      <c r="N992" s="3719">
        <f t="shared" si="147"/>
        <v>0</v>
      </c>
      <c r="O992" s="3719"/>
      <c r="P992" s="490">
        <f t="shared" si="143"/>
        <v>0</v>
      </c>
      <c r="S992" s="32">
        <f>'2 REPAIR ESTIMATOR'!AD1049</f>
        <v>0</v>
      </c>
      <c r="T992" s="32">
        <f>'2 REPAIR ESTIMATOR'!AM1049</f>
        <v>0</v>
      </c>
      <c r="U992" s="32">
        <f t="shared" si="148"/>
        <v>0</v>
      </c>
      <c r="V992" s="32">
        <f>'2 REPAIR ESTIMATOR'!AG1049</f>
        <v>0</v>
      </c>
      <c r="W992" s="32">
        <f>'2 REPAIR ESTIMATOR'!AJ1049</f>
        <v>0</v>
      </c>
    </row>
    <row r="993" spans="3:23" ht="18" hidden="1">
      <c r="C993" s="3720" t="str">
        <f>T('2 REPAIR ESTIMATOR'!D1050:O1050)</f>
        <v/>
      </c>
      <c r="D993" s="3721"/>
      <c r="E993" s="3721"/>
      <c r="F993" s="3721"/>
      <c r="G993" s="3721"/>
      <c r="H993" s="3721"/>
      <c r="I993" s="916">
        <f>'2 REPAIR ESTIMATOR'!P1050</f>
        <v>0</v>
      </c>
      <c r="J993" s="917">
        <f>'2 REPAIR ESTIMATOR'!S1050</f>
        <v>0</v>
      </c>
      <c r="K993" s="918">
        <f t="shared" si="144"/>
        <v>0</v>
      </c>
      <c r="L993" s="918">
        <f t="shared" si="145"/>
        <v>0</v>
      </c>
      <c r="M993" s="918">
        <f t="shared" si="146"/>
        <v>0</v>
      </c>
      <c r="N993" s="3719">
        <f t="shared" si="147"/>
        <v>0</v>
      </c>
      <c r="O993" s="3719"/>
      <c r="P993" s="490">
        <f t="shared" si="143"/>
        <v>0</v>
      </c>
      <c r="S993" s="32">
        <f>'2 REPAIR ESTIMATOR'!AD1050</f>
        <v>0</v>
      </c>
      <c r="T993" s="32">
        <f>'2 REPAIR ESTIMATOR'!AM1050</f>
        <v>0</v>
      </c>
      <c r="U993" s="32">
        <f t="shared" si="148"/>
        <v>0</v>
      </c>
      <c r="V993" s="32">
        <f>'2 REPAIR ESTIMATOR'!AG1050</f>
        <v>0</v>
      </c>
      <c r="W993" s="32">
        <f>'2 REPAIR ESTIMATOR'!AJ1050</f>
        <v>0</v>
      </c>
    </row>
    <row r="994" spans="3:23" ht="18" hidden="1">
      <c r="C994" s="3720" t="str">
        <f>T('2 REPAIR ESTIMATOR'!D1051:O1051)</f>
        <v/>
      </c>
      <c r="D994" s="3721"/>
      <c r="E994" s="3721"/>
      <c r="F994" s="3721"/>
      <c r="G994" s="3721"/>
      <c r="H994" s="3721"/>
      <c r="I994" s="916">
        <f>'2 REPAIR ESTIMATOR'!P1051</f>
        <v>0</v>
      </c>
      <c r="J994" s="917">
        <f>'2 REPAIR ESTIMATOR'!S1051</f>
        <v>0</v>
      </c>
      <c r="K994" s="918">
        <f t="shared" si="144"/>
        <v>0</v>
      </c>
      <c r="L994" s="918">
        <f t="shared" si="145"/>
        <v>0</v>
      </c>
      <c r="M994" s="918">
        <f t="shared" si="146"/>
        <v>0</v>
      </c>
      <c r="N994" s="3719">
        <f t="shared" si="147"/>
        <v>0</v>
      </c>
      <c r="O994" s="3719"/>
      <c r="P994" s="490">
        <f t="shared" si="143"/>
        <v>0</v>
      </c>
      <c r="S994" s="32">
        <f>'2 REPAIR ESTIMATOR'!AD1051</f>
        <v>0</v>
      </c>
      <c r="T994" s="32">
        <f>'2 REPAIR ESTIMATOR'!AM1051</f>
        <v>0</v>
      </c>
      <c r="U994" s="32">
        <f t="shared" si="148"/>
        <v>0</v>
      </c>
      <c r="V994" s="32">
        <f>'2 REPAIR ESTIMATOR'!AG1051</f>
        <v>0</v>
      </c>
      <c r="W994" s="32">
        <f>'2 REPAIR ESTIMATOR'!AJ1051</f>
        <v>0</v>
      </c>
    </row>
    <row r="995" spans="3:23" ht="18" hidden="1">
      <c r="C995" s="3720" t="str">
        <f>T('2 REPAIR ESTIMATOR'!D1052:O1052)</f>
        <v/>
      </c>
      <c r="D995" s="3721"/>
      <c r="E995" s="3721"/>
      <c r="F995" s="3721"/>
      <c r="G995" s="3721"/>
      <c r="H995" s="3721"/>
      <c r="I995" s="916">
        <f>'2 REPAIR ESTIMATOR'!P1052</f>
        <v>0</v>
      </c>
      <c r="J995" s="917">
        <f>'2 REPAIR ESTIMATOR'!S1052</f>
        <v>0</v>
      </c>
      <c r="K995" s="918">
        <f t="shared" si="144"/>
        <v>0</v>
      </c>
      <c r="L995" s="918">
        <f t="shared" si="145"/>
        <v>0</v>
      </c>
      <c r="M995" s="918">
        <f t="shared" si="146"/>
        <v>0</v>
      </c>
      <c r="N995" s="3719">
        <f t="shared" si="147"/>
        <v>0</v>
      </c>
      <c r="O995" s="3719"/>
      <c r="P995" s="490">
        <f t="shared" si="143"/>
        <v>0</v>
      </c>
      <c r="S995" s="32">
        <f>'2 REPAIR ESTIMATOR'!AD1052</f>
        <v>0</v>
      </c>
      <c r="T995" s="32">
        <f>'2 REPAIR ESTIMATOR'!AM1052</f>
        <v>0</v>
      </c>
      <c r="U995" s="32">
        <f t="shared" si="148"/>
        <v>0</v>
      </c>
      <c r="V995" s="32">
        <f>'2 REPAIR ESTIMATOR'!AG1052</f>
        <v>0</v>
      </c>
      <c r="W995" s="32">
        <f>'2 REPAIR ESTIMATOR'!AJ1052</f>
        <v>0</v>
      </c>
    </row>
    <row r="996" spans="3:23" ht="18" hidden="1">
      <c r="C996" s="3720" t="str">
        <f>T('2 REPAIR ESTIMATOR'!D1053:O1053)</f>
        <v/>
      </c>
      <c r="D996" s="3721"/>
      <c r="E996" s="3721"/>
      <c r="F996" s="3721"/>
      <c r="G996" s="3721"/>
      <c r="H996" s="3721"/>
      <c r="I996" s="916">
        <f>'2 REPAIR ESTIMATOR'!P1053</f>
        <v>0</v>
      </c>
      <c r="J996" s="917">
        <f>'2 REPAIR ESTIMATOR'!S1053</f>
        <v>0</v>
      </c>
      <c r="K996" s="918">
        <f t="shared" si="144"/>
        <v>0</v>
      </c>
      <c r="L996" s="918">
        <f t="shared" si="145"/>
        <v>0</v>
      </c>
      <c r="M996" s="918">
        <f t="shared" si="146"/>
        <v>0</v>
      </c>
      <c r="N996" s="3719">
        <f t="shared" si="147"/>
        <v>0</v>
      </c>
      <c r="O996" s="3719"/>
      <c r="P996" s="490">
        <f t="shared" ref="P996:P1015" si="149">I996</f>
        <v>0</v>
      </c>
      <c r="S996" s="32">
        <f>'2 REPAIR ESTIMATOR'!AD1053</f>
        <v>0</v>
      </c>
      <c r="T996" s="32">
        <f>'2 REPAIR ESTIMATOR'!AM1053</f>
        <v>0</v>
      </c>
      <c r="U996" s="32">
        <f t="shared" si="148"/>
        <v>0</v>
      </c>
      <c r="V996" s="32">
        <f>'2 REPAIR ESTIMATOR'!AG1053</f>
        <v>0</v>
      </c>
      <c r="W996" s="32">
        <f>'2 REPAIR ESTIMATOR'!AJ1053</f>
        <v>0</v>
      </c>
    </row>
    <row r="997" spans="3:23" ht="18" hidden="1">
      <c r="C997" s="3720" t="str">
        <f>T('2 REPAIR ESTIMATOR'!D1054:O1054)</f>
        <v/>
      </c>
      <c r="D997" s="3721"/>
      <c r="E997" s="3721"/>
      <c r="F997" s="3721"/>
      <c r="G997" s="3721"/>
      <c r="H997" s="3721"/>
      <c r="I997" s="916">
        <f>'2 REPAIR ESTIMATOR'!P1054</f>
        <v>0</v>
      </c>
      <c r="J997" s="917">
        <f>'2 REPAIR ESTIMATOR'!S1054</f>
        <v>0</v>
      </c>
      <c r="K997" s="918">
        <f t="shared" si="144"/>
        <v>0</v>
      </c>
      <c r="L997" s="918">
        <f t="shared" si="145"/>
        <v>0</v>
      </c>
      <c r="M997" s="918">
        <f t="shared" si="146"/>
        <v>0</v>
      </c>
      <c r="N997" s="3719">
        <f t="shared" si="147"/>
        <v>0</v>
      </c>
      <c r="O997" s="3719"/>
      <c r="P997" s="490">
        <f t="shared" si="149"/>
        <v>0</v>
      </c>
      <c r="S997" s="32">
        <f>'2 REPAIR ESTIMATOR'!AD1054</f>
        <v>0</v>
      </c>
      <c r="T997" s="32">
        <f>'2 REPAIR ESTIMATOR'!AM1054</f>
        <v>0</v>
      </c>
      <c r="U997" s="32">
        <f t="shared" si="148"/>
        <v>0</v>
      </c>
      <c r="V997" s="32">
        <f>'2 REPAIR ESTIMATOR'!AG1054</f>
        <v>0</v>
      </c>
      <c r="W997" s="32">
        <f>'2 REPAIR ESTIMATOR'!AJ1054</f>
        <v>0</v>
      </c>
    </row>
    <row r="998" spans="3:23" ht="18" hidden="1">
      <c r="C998" s="3720" t="str">
        <f>T('2 REPAIR ESTIMATOR'!D1055:O1055)</f>
        <v/>
      </c>
      <c r="D998" s="3721"/>
      <c r="E998" s="3721"/>
      <c r="F998" s="3721"/>
      <c r="G998" s="3721"/>
      <c r="H998" s="3721"/>
      <c r="I998" s="916">
        <f>'2 REPAIR ESTIMATOR'!P1055</f>
        <v>0</v>
      </c>
      <c r="J998" s="917">
        <f>'2 REPAIR ESTIMATOR'!S1055</f>
        <v>0</v>
      </c>
      <c r="K998" s="918">
        <f t="shared" si="144"/>
        <v>0</v>
      </c>
      <c r="L998" s="918">
        <f t="shared" si="145"/>
        <v>0</v>
      </c>
      <c r="M998" s="918">
        <f t="shared" si="146"/>
        <v>0</v>
      </c>
      <c r="N998" s="3719">
        <f t="shared" si="147"/>
        <v>0</v>
      </c>
      <c r="O998" s="3719"/>
      <c r="P998" s="490">
        <f t="shared" si="149"/>
        <v>0</v>
      </c>
      <c r="S998" s="32">
        <f>'2 REPAIR ESTIMATOR'!AD1055</f>
        <v>0</v>
      </c>
      <c r="T998" s="32">
        <f>'2 REPAIR ESTIMATOR'!AM1055</f>
        <v>0</v>
      </c>
      <c r="U998" s="32">
        <f t="shared" si="148"/>
        <v>0</v>
      </c>
      <c r="V998" s="32">
        <f>'2 REPAIR ESTIMATOR'!AG1055</f>
        <v>0</v>
      </c>
      <c r="W998" s="32">
        <f>'2 REPAIR ESTIMATOR'!AJ1055</f>
        <v>0</v>
      </c>
    </row>
    <row r="999" spans="3:23" ht="18" hidden="1">
      <c r="C999" s="3720" t="str">
        <f>T('2 REPAIR ESTIMATOR'!D1056:O1056)</f>
        <v/>
      </c>
      <c r="D999" s="3721"/>
      <c r="E999" s="3721"/>
      <c r="F999" s="3721"/>
      <c r="G999" s="3721"/>
      <c r="H999" s="3721"/>
      <c r="I999" s="916">
        <f>'2 REPAIR ESTIMATOR'!P1056</f>
        <v>0</v>
      </c>
      <c r="J999" s="917">
        <f>'2 REPAIR ESTIMATOR'!S1056</f>
        <v>0</v>
      </c>
      <c r="K999" s="918">
        <f t="shared" si="144"/>
        <v>0</v>
      </c>
      <c r="L999" s="918">
        <f t="shared" si="145"/>
        <v>0</v>
      </c>
      <c r="M999" s="918">
        <f t="shared" si="146"/>
        <v>0</v>
      </c>
      <c r="N999" s="3719">
        <f t="shared" si="147"/>
        <v>0</v>
      </c>
      <c r="O999" s="3719"/>
      <c r="P999" s="490">
        <f t="shared" si="149"/>
        <v>0</v>
      </c>
      <c r="S999" s="32">
        <f>'2 REPAIR ESTIMATOR'!AD1056</f>
        <v>0</v>
      </c>
      <c r="T999" s="32">
        <f>'2 REPAIR ESTIMATOR'!AM1056</f>
        <v>0</v>
      </c>
      <c r="U999" s="32">
        <f t="shared" si="148"/>
        <v>0</v>
      </c>
      <c r="V999" s="32">
        <f>'2 REPAIR ESTIMATOR'!AG1056</f>
        <v>0</v>
      </c>
      <c r="W999" s="32">
        <f>'2 REPAIR ESTIMATOR'!AJ1056</f>
        <v>0</v>
      </c>
    </row>
    <row r="1000" spans="3:23" ht="18" hidden="1">
      <c r="C1000" s="3720" t="str">
        <f>T('2 REPAIR ESTIMATOR'!D1057:O1057)</f>
        <v/>
      </c>
      <c r="D1000" s="3721"/>
      <c r="E1000" s="3721"/>
      <c r="F1000" s="3721"/>
      <c r="G1000" s="3721"/>
      <c r="H1000" s="3721"/>
      <c r="I1000" s="916">
        <f>'2 REPAIR ESTIMATOR'!P1057</f>
        <v>0</v>
      </c>
      <c r="J1000" s="917">
        <f>'2 REPAIR ESTIMATOR'!S1057</f>
        <v>0</v>
      </c>
      <c r="K1000" s="918">
        <f t="shared" si="144"/>
        <v>0</v>
      </c>
      <c r="L1000" s="918">
        <f t="shared" si="145"/>
        <v>0</v>
      </c>
      <c r="M1000" s="918">
        <f t="shared" si="146"/>
        <v>0</v>
      </c>
      <c r="N1000" s="3719">
        <f t="shared" si="147"/>
        <v>0</v>
      </c>
      <c r="O1000" s="3719"/>
      <c r="P1000" s="490">
        <f t="shared" si="149"/>
        <v>0</v>
      </c>
      <c r="S1000" s="32">
        <f>'2 REPAIR ESTIMATOR'!AD1057</f>
        <v>0</v>
      </c>
      <c r="T1000" s="32">
        <f>'2 REPAIR ESTIMATOR'!AM1057</f>
        <v>0</v>
      </c>
      <c r="U1000" s="32">
        <f t="shared" si="148"/>
        <v>0</v>
      </c>
      <c r="V1000" s="32">
        <f>'2 REPAIR ESTIMATOR'!AG1057</f>
        <v>0</v>
      </c>
      <c r="W1000" s="32">
        <f>'2 REPAIR ESTIMATOR'!AJ1057</f>
        <v>0</v>
      </c>
    </row>
    <row r="1001" spans="3:23" ht="18" hidden="1">
      <c r="C1001" s="3720" t="str">
        <f>T('2 REPAIR ESTIMATOR'!D1058:O1058)</f>
        <v/>
      </c>
      <c r="D1001" s="3721"/>
      <c r="E1001" s="3721"/>
      <c r="F1001" s="3721"/>
      <c r="G1001" s="3721"/>
      <c r="H1001" s="3721"/>
      <c r="I1001" s="916">
        <f>'2 REPAIR ESTIMATOR'!P1058</f>
        <v>0</v>
      </c>
      <c r="J1001" s="917">
        <f>'2 REPAIR ESTIMATOR'!S1058</f>
        <v>0</v>
      </c>
      <c r="K1001" s="918">
        <f t="shared" si="144"/>
        <v>0</v>
      </c>
      <c r="L1001" s="918">
        <f t="shared" si="145"/>
        <v>0</v>
      </c>
      <c r="M1001" s="918">
        <f t="shared" si="146"/>
        <v>0</v>
      </c>
      <c r="N1001" s="3719">
        <f t="shared" si="147"/>
        <v>0</v>
      </c>
      <c r="O1001" s="3719"/>
      <c r="P1001" s="490">
        <f t="shared" si="149"/>
        <v>0</v>
      </c>
      <c r="S1001" s="32">
        <f>'2 REPAIR ESTIMATOR'!AD1058</f>
        <v>0</v>
      </c>
      <c r="T1001" s="32">
        <f>'2 REPAIR ESTIMATOR'!AM1058</f>
        <v>0</v>
      </c>
      <c r="U1001" s="32">
        <f t="shared" si="148"/>
        <v>0</v>
      </c>
      <c r="V1001" s="32">
        <f>'2 REPAIR ESTIMATOR'!AG1058</f>
        <v>0</v>
      </c>
      <c r="W1001" s="32">
        <f>'2 REPAIR ESTIMATOR'!AJ1058</f>
        <v>0</v>
      </c>
    </row>
    <row r="1002" spans="3:23" ht="18" hidden="1">
      <c r="C1002" s="3720" t="str">
        <f>T('2 REPAIR ESTIMATOR'!D1059:O1059)</f>
        <v/>
      </c>
      <c r="D1002" s="3721"/>
      <c r="E1002" s="3721"/>
      <c r="F1002" s="3721"/>
      <c r="G1002" s="3721"/>
      <c r="H1002" s="3721"/>
      <c r="I1002" s="916">
        <f>'2 REPAIR ESTIMATOR'!P1059</f>
        <v>0</v>
      </c>
      <c r="J1002" s="917">
        <f>'2 REPAIR ESTIMATOR'!S1059</f>
        <v>0</v>
      </c>
      <c r="K1002" s="918">
        <f t="shared" si="144"/>
        <v>0</v>
      </c>
      <c r="L1002" s="918">
        <f t="shared" si="145"/>
        <v>0</v>
      </c>
      <c r="M1002" s="918">
        <f t="shared" si="146"/>
        <v>0</v>
      </c>
      <c r="N1002" s="3719">
        <f t="shared" si="147"/>
        <v>0</v>
      </c>
      <c r="O1002" s="3719"/>
      <c r="P1002" s="490">
        <f t="shared" si="149"/>
        <v>0</v>
      </c>
      <c r="S1002" s="32">
        <f>'2 REPAIR ESTIMATOR'!AD1059</f>
        <v>0</v>
      </c>
      <c r="T1002" s="32">
        <f>'2 REPAIR ESTIMATOR'!AM1059</f>
        <v>0</v>
      </c>
      <c r="U1002" s="32">
        <f t="shared" si="148"/>
        <v>0</v>
      </c>
      <c r="V1002" s="32">
        <f>'2 REPAIR ESTIMATOR'!AG1059</f>
        <v>0</v>
      </c>
      <c r="W1002" s="32">
        <f>'2 REPAIR ESTIMATOR'!AJ1059</f>
        <v>0</v>
      </c>
    </row>
    <row r="1003" spans="3:23" ht="18" hidden="1">
      <c r="C1003" s="3720" t="str">
        <f>T('2 REPAIR ESTIMATOR'!D1060:O1060)</f>
        <v/>
      </c>
      <c r="D1003" s="3721"/>
      <c r="E1003" s="3721"/>
      <c r="F1003" s="3721"/>
      <c r="G1003" s="3721"/>
      <c r="H1003" s="3721"/>
      <c r="I1003" s="916">
        <f>'2 REPAIR ESTIMATOR'!P1060</f>
        <v>0</v>
      </c>
      <c r="J1003" s="917">
        <f>'2 REPAIR ESTIMATOR'!S1060</f>
        <v>0</v>
      </c>
      <c r="K1003" s="918">
        <f t="shared" si="144"/>
        <v>0</v>
      </c>
      <c r="L1003" s="918">
        <f t="shared" si="145"/>
        <v>0</v>
      </c>
      <c r="M1003" s="918">
        <f t="shared" si="146"/>
        <v>0</v>
      </c>
      <c r="N1003" s="3719">
        <f t="shared" si="147"/>
        <v>0</v>
      </c>
      <c r="O1003" s="3719"/>
      <c r="P1003" s="490">
        <f t="shared" si="149"/>
        <v>0</v>
      </c>
      <c r="S1003" s="32">
        <f>'2 REPAIR ESTIMATOR'!AD1060</f>
        <v>0</v>
      </c>
      <c r="T1003" s="32">
        <f>'2 REPAIR ESTIMATOR'!AM1060</f>
        <v>0</v>
      </c>
      <c r="U1003" s="32">
        <f t="shared" si="148"/>
        <v>0</v>
      </c>
      <c r="V1003" s="32">
        <f>'2 REPAIR ESTIMATOR'!AG1060</f>
        <v>0</v>
      </c>
      <c r="W1003" s="32">
        <f>'2 REPAIR ESTIMATOR'!AJ1060</f>
        <v>0</v>
      </c>
    </row>
    <row r="1004" spans="3:23" ht="18" hidden="1">
      <c r="C1004" s="3720" t="str">
        <f>T('2 REPAIR ESTIMATOR'!D1061:O1061)</f>
        <v/>
      </c>
      <c r="D1004" s="3721"/>
      <c r="E1004" s="3721"/>
      <c r="F1004" s="3721"/>
      <c r="G1004" s="3721"/>
      <c r="H1004" s="3721"/>
      <c r="I1004" s="916">
        <f>'2 REPAIR ESTIMATOR'!P1061</f>
        <v>0</v>
      </c>
      <c r="J1004" s="917">
        <f>'2 REPAIR ESTIMATOR'!S1061</f>
        <v>0</v>
      </c>
      <c r="K1004" s="918">
        <f t="shared" si="144"/>
        <v>0</v>
      </c>
      <c r="L1004" s="918">
        <f t="shared" si="145"/>
        <v>0</v>
      </c>
      <c r="M1004" s="918">
        <f t="shared" si="146"/>
        <v>0</v>
      </c>
      <c r="N1004" s="3719">
        <f t="shared" si="147"/>
        <v>0</v>
      </c>
      <c r="O1004" s="3719"/>
      <c r="P1004" s="490">
        <f t="shared" si="149"/>
        <v>0</v>
      </c>
      <c r="S1004" s="32">
        <f>'2 REPAIR ESTIMATOR'!AD1061</f>
        <v>0</v>
      </c>
      <c r="T1004" s="32">
        <f>'2 REPAIR ESTIMATOR'!AM1061</f>
        <v>0</v>
      </c>
      <c r="U1004" s="32">
        <f t="shared" si="148"/>
        <v>0</v>
      </c>
      <c r="V1004" s="32">
        <f>'2 REPAIR ESTIMATOR'!AG1061</f>
        <v>0</v>
      </c>
      <c r="W1004" s="32">
        <f>'2 REPAIR ESTIMATOR'!AJ1061</f>
        <v>0</v>
      </c>
    </row>
    <row r="1005" spans="3:23" ht="18" hidden="1">
      <c r="C1005" s="3720" t="str">
        <f>T('2 REPAIR ESTIMATOR'!D1062:O1062)</f>
        <v/>
      </c>
      <c r="D1005" s="3721"/>
      <c r="E1005" s="3721"/>
      <c r="F1005" s="3721"/>
      <c r="G1005" s="3721"/>
      <c r="H1005" s="3721"/>
      <c r="I1005" s="916">
        <f>'2 REPAIR ESTIMATOR'!P1062</f>
        <v>0</v>
      </c>
      <c r="J1005" s="917">
        <f>'2 REPAIR ESTIMATOR'!S1062</f>
        <v>0</v>
      </c>
      <c r="K1005" s="918">
        <f t="shared" si="144"/>
        <v>0</v>
      </c>
      <c r="L1005" s="918">
        <f t="shared" si="145"/>
        <v>0</v>
      </c>
      <c r="M1005" s="918">
        <f t="shared" si="146"/>
        <v>0</v>
      </c>
      <c r="N1005" s="3719">
        <f t="shared" si="147"/>
        <v>0</v>
      </c>
      <c r="O1005" s="3719"/>
      <c r="P1005" s="490">
        <f t="shared" si="149"/>
        <v>0</v>
      </c>
      <c r="S1005" s="32">
        <f>'2 REPAIR ESTIMATOR'!AD1062</f>
        <v>0</v>
      </c>
      <c r="T1005" s="32">
        <f>'2 REPAIR ESTIMATOR'!AM1062</f>
        <v>0</v>
      </c>
      <c r="U1005" s="32">
        <f t="shared" si="148"/>
        <v>0</v>
      </c>
      <c r="V1005" s="32">
        <f>'2 REPAIR ESTIMATOR'!AG1062</f>
        <v>0</v>
      </c>
      <c r="W1005" s="32">
        <f>'2 REPAIR ESTIMATOR'!AJ1062</f>
        <v>0</v>
      </c>
    </row>
    <row r="1006" spans="3:23" ht="18" hidden="1">
      <c r="C1006" s="3720" t="str">
        <f>T('2 REPAIR ESTIMATOR'!D1063:O1063)</f>
        <v/>
      </c>
      <c r="D1006" s="3721"/>
      <c r="E1006" s="3721"/>
      <c r="F1006" s="3721"/>
      <c r="G1006" s="3721"/>
      <c r="H1006" s="3721"/>
      <c r="I1006" s="916">
        <f>'2 REPAIR ESTIMATOR'!P1063</f>
        <v>0</v>
      </c>
      <c r="J1006" s="917">
        <f>'2 REPAIR ESTIMATOR'!S1063</f>
        <v>0</v>
      </c>
      <c r="K1006" s="918">
        <f t="shared" si="144"/>
        <v>0</v>
      </c>
      <c r="L1006" s="918">
        <f t="shared" si="145"/>
        <v>0</v>
      </c>
      <c r="M1006" s="918">
        <f t="shared" si="146"/>
        <v>0</v>
      </c>
      <c r="N1006" s="3719">
        <f t="shared" si="147"/>
        <v>0</v>
      </c>
      <c r="O1006" s="3719"/>
      <c r="P1006" s="490">
        <f t="shared" si="149"/>
        <v>0</v>
      </c>
      <c r="S1006" s="32">
        <f>'2 REPAIR ESTIMATOR'!AD1063</f>
        <v>0</v>
      </c>
      <c r="T1006" s="32">
        <f>'2 REPAIR ESTIMATOR'!AM1063</f>
        <v>0</v>
      </c>
      <c r="U1006" s="32">
        <f t="shared" si="148"/>
        <v>0</v>
      </c>
      <c r="V1006" s="32">
        <f>'2 REPAIR ESTIMATOR'!AG1063</f>
        <v>0</v>
      </c>
      <c r="W1006" s="32">
        <f>'2 REPAIR ESTIMATOR'!AJ1063</f>
        <v>0</v>
      </c>
    </row>
    <row r="1007" spans="3:23" ht="18" hidden="1">
      <c r="C1007" s="3720" t="str">
        <f>T('2 REPAIR ESTIMATOR'!D1064:O1064)</f>
        <v/>
      </c>
      <c r="D1007" s="3721"/>
      <c r="E1007" s="3721"/>
      <c r="F1007" s="3721"/>
      <c r="G1007" s="3721"/>
      <c r="H1007" s="3721"/>
      <c r="I1007" s="916">
        <f>'2 REPAIR ESTIMATOR'!P1064</f>
        <v>0</v>
      </c>
      <c r="J1007" s="917">
        <f>'2 REPAIR ESTIMATOR'!S1064</f>
        <v>0</v>
      </c>
      <c r="K1007" s="918">
        <f t="shared" si="144"/>
        <v>0</v>
      </c>
      <c r="L1007" s="918">
        <f t="shared" si="145"/>
        <v>0</v>
      </c>
      <c r="M1007" s="918">
        <f t="shared" si="146"/>
        <v>0</v>
      </c>
      <c r="N1007" s="3719">
        <f t="shared" si="147"/>
        <v>0</v>
      </c>
      <c r="O1007" s="3719"/>
      <c r="P1007" s="490">
        <f t="shared" si="149"/>
        <v>0</v>
      </c>
      <c r="S1007" s="32">
        <f>'2 REPAIR ESTIMATOR'!AD1064</f>
        <v>0</v>
      </c>
      <c r="T1007" s="32">
        <f>'2 REPAIR ESTIMATOR'!AM1064</f>
        <v>0</v>
      </c>
      <c r="U1007" s="32">
        <f t="shared" si="148"/>
        <v>0</v>
      </c>
      <c r="V1007" s="32">
        <f>'2 REPAIR ESTIMATOR'!AG1064</f>
        <v>0</v>
      </c>
      <c r="W1007" s="32">
        <f>'2 REPAIR ESTIMATOR'!AJ1064</f>
        <v>0</v>
      </c>
    </row>
    <row r="1008" spans="3:23" ht="18" hidden="1">
      <c r="C1008" s="3720" t="str">
        <f>T('2 REPAIR ESTIMATOR'!D1065:O1065)</f>
        <v/>
      </c>
      <c r="D1008" s="3721"/>
      <c r="E1008" s="3721"/>
      <c r="F1008" s="3721"/>
      <c r="G1008" s="3721"/>
      <c r="H1008" s="3721"/>
      <c r="I1008" s="916">
        <f>'2 REPAIR ESTIMATOR'!P1065</f>
        <v>0</v>
      </c>
      <c r="J1008" s="917">
        <f>'2 REPAIR ESTIMATOR'!S1065</f>
        <v>0</v>
      </c>
      <c r="K1008" s="918">
        <f t="shared" si="144"/>
        <v>0</v>
      </c>
      <c r="L1008" s="918">
        <f t="shared" si="145"/>
        <v>0</v>
      </c>
      <c r="M1008" s="918">
        <f t="shared" si="146"/>
        <v>0</v>
      </c>
      <c r="N1008" s="3719">
        <f t="shared" si="147"/>
        <v>0</v>
      </c>
      <c r="O1008" s="3719"/>
      <c r="P1008" s="490">
        <f t="shared" si="149"/>
        <v>0</v>
      </c>
      <c r="S1008" s="32">
        <f>'2 REPAIR ESTIMATOR'!AD1065</f>
        <v>0</v>
      </c>
      <c r="T1008" s="32">
        <f>'2 REPAIR ESTIMATOR'!AM1065</f>
        <v>0</v>
      </c>
      <c r="U1008" s="32">
        <f t="shared" si="148"/>
        <v>0</v>
      </c>
      <c r="V1008" s="32">
        <f>'2 REPAIR ESTIMATOR'!AG1065</f>
        <v>0</v>
      </c>
      <c r="W1008" s="32">
        <f>'2 REPAIR ESTIMATOR'!AJ1065</f>
        <v>0</v>
      </c>
    </row>
    <row r="1009" spans="3:23" ht="18" hidden="1">
      <c r="C1009" s="3720" t="str">
        <f>T('2 REPAIR ESTIMATOR'!D1066:O1066)</f>
        <v/>
      </c>
      <c r="D1009" s="3721"/>
      <c r="E1009" s="3721"/>
      <c r="F1009" s="3721"/>
      <c r="G1009" s="3721"/>
      <c r="H1009" s="3721"/>
      <c r="I1009" s="916">
        <f>'2 REPAIR ESTIMATOR'!P1066</f>
        <v>0</v>
      </c>
      <c r="J1009" s="917">
        <f>'2 REPAIR ESTIMATOR'!S1066</f>
        <v>0</v>
      </c>
      <c r="K1009" s="918">
        <f t="shared" si="144"/>
        <v>0</v>
      </c>
      <c r="L1009" s="918">
        <f t="shared" si="145"/>
        <v>0</v>
      </c>
      <c r="M1009" s="918">
        <f t="shared" si="146"/>
        <v>0</v>
      </c>
      <c r="N1009" s="3719">
        <f t="shared" si="147"/>
        <v>0</v>
      </c>
      <c r="O1009" s="3719"/>
      <c r="P1009" s="490">
        <f t="shared" si="149"/>
        <v>0</v>
      </c>
      <c r="S1009" s="32">
        <f>'2 REPAIR ESTIMATOR'!AD1066</f>
        <v>0</v>
      </c>
      <c r="T1009" s="32">
        <f>'2 REPAIR ESTIMATOR'!AM1066</f>
        <v>0</v>
      </c>
      <c r="U1009" s="32">
        <f t="shared" si="148"/>
        <v>0</v>
      </c>
      <c r="V1009" s="32">
        <f>'2 REPAIR ESTIMATOR'!AG1066</f>
        <v>0</v>
      </c>
      <c r="W1009" s="32">
        <f>'2 REPAIR ESTIMATOR'!AJ1066</f>
        <v>0</v>
      </c>
    </row>
    <row r="1010" spans="3:23" ht="18" hidden="1">
      <c r="C1010" s="3720" t="str">
        <f>T('2 REPAIR ESTIMATOR'!D1067:O1067)</f>
        <v/>
      </c>
      <c r="D1010" s="3721"/>
      <c r="E1010" s="3721"/>
      <c r="F1010" s="3721"/>
      <c r="G1010" s="3721"/>
      <c r="H1010" s="3721"/>
      <c r="I1010" s="916">
        <f>'2 REPAIR ESTIMATOR'!P1067</f>
        <v>0</v>
      </c>
      <c r="J1010" s="917">
        <f>'2 REPAIR ESTIMATOR'!S1067</f>
        <v>0</v>
      </c>
      <c r="K1010" s="918">
        <f t="shared" si="144"/>
        <v>0</v>
      </c>
      <c r="L1010" s="918">
        <f t="shared" si="145"/>
        <v>0</v>
      </c>
      <c r="M1010" s="918">
        <f t="shared" si="146"/>
        <v>0</v>
      </c>
      <c r="N1010" s="3719">
        <f t="shared" si="147"/>
        <v>0</v>
      </c>
      <c r="O1010" s="3719"/>
      <c r="P1010" s="490">
        <f t="shared" si="149"/>
        <v>0</v>
      </c>
      <c r="S1010" s="32">
        <f>'2 REPAIR ESTIMATOR'!AD1067</f>
        <v>0</v>
      </c>
      <c r="T1010" s="32">
        <f>'2 REPAIR ESTIMATOR'!AM1067</f>
        <v>0</v>
      </c>
      <c r="U1010" s="32">
        <f t="shared" si="148"/>
        <v>0</v>
      </c>
      <c r="V1010" s="32">
        <f>'2 REPAIR ESTIMATOR'!AG1067</f>
        <v>0</v>
      </c>
      <c r="W1010" s="32">
        <f>'2 REPAIR ESTIMATOR'!AJ1067</f>
        <v>0</v>
      </c>
    </row>
    <row r="1011" spans="3:23" ht="18" hidden="1">
      <c r="C1011" s="3720" t="str">
        <f>T('2 REPAIR ESTIMATOR'!D1068:O1068)</f>
        <v/>
      </c>
      <c r="D1011" s="3721"/>
      <c r="E1011" s="3721"/>
      <c r="F1011" s="3721"/>
      <c r="G1011" s="3721"/>
      <c r="H1011" s="3721"/>
      <c r="I1011" s="916">
        <f>'2 REPAIR ESTIMATOR'!P1068</f>
        <v>0</v>
      </c>
      <c r="J1011" s="917">
        <f>'2 REPAIR ESTIMATOR'!S1068</f>
        <v>0</v>
      </c>
      <c r="K1011" s="918">
        <f t="shared" si="144"/>
        <v>0</v>
      </c>
      <c r="L1011" s="918">
        <f t="shared" si="145"/>
        <v>0</v>
      </c>
      <c r="M1011" s="918">
        <f t="shared" si="146"/>
        <v>0</v>
      </c>
      <c r="N1011" s="3719">
        <f t="shared" si="147"/>
        <v>0</v>
      </c>
      <c r="O1011" s="3719"/>
      <c r="P1011" s="490">
        <f t="shared" si="149"/>
        <v>0</v>
      </c>
      <c r="S1011" s="32">
        <f>'2 REPAIR ESTIMATOR'!AD1068</f>
        <v>0</v>
      </c>
      <c r="T1011" s="32">
        <f>'2 REPAIR ESTIMATOR'!AM1068</f>
        <v>0</v>
      </c>
      <c r="U1011" s="32">
        <f t="shared" si="148"/>
        <v>0</v>
      </c>
      <c r="V1011" s="32">
        <f>'2 REPAIR ESTIMATOR'!AG1068</f>
        <v>0</v>
      </c>
      <c r="W1011" s="32">
        <f>'2 REPAIR ESTIMATOR'!AJ1068</f>
        <v>0</v>
      </c>
    </row>
    <row r="1012" spans="3:23" ht="18" hidden="1">
      <c r="C1012" s="3720" t="str">
        <f>T('2 REPAIR ESTIMATOR'!D1069:O1069)</f>
        <v/>
      </c>
      <c r="D1012" s="3721"/>
      <c r="E1012" s="3721"/>
      <c r="F1012" s="3721"/>
      <c r="G1012" s="3721"/>
      <c r="H1012" s="3721"/>
      <c r="I1012" s="916">
        <f>'2 REPAIR ESTIMATOR'!P1069</f>
        <v>0</v>
      </c>
      <c r="J1012" s="917">
        <f>'2 REPAIR ESTIMATOR'!S1069</f>
        <v>0</v>
      </c>
      <c r="K1012" s="918">
        <f t="shared" si="144"/>
        <v>0</v>
      </c>
      <c r="L1012" s="918">
        <f t="shared" si="145"/>
        <v>0</v>
      </c>
      <c r="M1012" s="918">
        <f t="shared" si="146"/>
        <v>0</v>
      </c>
      <c r="N1012" s="3719">
        <f t="shared" si="147"/>
        <v>0</v>
      </c>
      <c r="O1012" s="3719"/>
      <c r="P1012" s="490">
        <f t="shared" si="149"/>
        <v>0</v>
      </c>
      <c r="S1012" s="32">
        <f>'2 REPAIR ESTIMATOR'!AD1069</f>
        <v>0</v>
      </c>
      <c r="T1012" s="32">
        <f>'2 REPAIR ESTIMATOR'!AM1069</f>
        <v>0</v>
      </c>
      <c r="U1012" s="32">
        <f t="shared" si="148"/>
        <v>0</v>
      </c>
      <c r="V1012" s="32">
        <f>'2 REPAIR ESTIMATOR'!AG1069</f>
        <v>0</v>
      </c>
      <c r="W1012" s="32">
        <f>'2 REPAIR ESTIMATOR'!AJ1069</f>
        <v>0</v>
      </c>
    </row>
    <row r="1013" spans="3:23" ht="18" hidden="1">
      <c r="C1013" s="3720" t="str">
        <f>T('2 REPAIR ESTIMATOR'!D1070:O1070)</f>
        <v/>
      </c>
      <c r="D1013" s="3721"/>
      <c r="E1013" s="3721"/>
      <c r="F1013" s="3721"/>
      <c r="G1013" s="3721"/>
      <c r="H1013" s="3721"/>
      <c r="I1013" s="916">
        <f>'2 REPAIR ESTIMATOR'!P1070</f>
        <v>0</v>
      </c>
      <c r="J1013" s="917">
        <f>'2 REPAIR ESTIMATOR'!S1070</f>
        <v>0</v>
      </c>
      <c r="K1013" s="918">
        <f t="shared" si="144"/>
        <v>0</v>
      </c>
      <c r="L1013" s="918">
        <f t="shared" si="145"/>
        <v>0</v>
      </c>
      <c r="M1013" s="918">
        <f t="shared" si="146"/>
        <v>0</v>
      </c>
      <c r="N1013" s="3719">
        <f t="shared" si="147"/>
        <v>0</v>
      </c>
      <c r="O1013" s="3719"/>
      <c r="P1013" s="490">
        <f t="shared" si="149"/>
        <v>0</v>
      </c>
      <c r="S1013" s="32">
        <f>'2 REPAIR ESTIMATOR'!AD1070</f>
        <v>0</v>
      </c>
      <c r="T1013" s="32">
        <f>'2 REPAIR ESTIMATOR'!AM1070</f>
        <v>0</v>
      </c>
      <c r="U1013" s="32">
        <f t="shared" si="148"/>
        <v>0</v>
      </c>
      <c r="V1013" s="32">
        <f>'2 REPAIR ESTIMATOR'!AG1070</f>
        <v>0</v>
      </c>
      <c r="W1013" s="32">
        <f>'2 REPAIR ESTIMATOR'!AJ1070</f>
        <v>0</v>
      </c>
    </row>
    <row r="1014" spans="3:23" ht="18" hidden="1">
      <c r="C1014" s="3720" t="str">
        <f>T('2 REPAIR ESTIMATOR'!D1071:O1071)</f>
        <v/>
      </c>
      <c r="D1014" s="3721"/>
      <c r="E1014" s="3721"/>
      <c r="F1014" s="3721"/>
      <c r="G1014" s="3721"/>
      <c r="H1014" s="3721"/>
      <c r="I1014" s="916">
        <f>'2 REPAIR ESTIMATOR'!P1071</f>
        <v>0</v>
      </c>
      <c r="J1014" s="917">
        <f>'2 REPAIR ESTIMATOR'!S1071</f>
        <v>0</v>
      </c>
      <c r="K1014" s="918">
        <f t="shared" si="144"/>
        <v>0</v>
      </c>
      <c r="L1014" s="918">
        <f t="shared" si="145"/>
        <v>0</v>
      </c>
      <c r="M1014" s="918">
        <f t="shared" si="146"/>
        <v>0</v>
      </c>
      <c r="N1014" s="3719">
        <f t="shared" si="147"/>
        <v>0</v>
      </c>
      <c r="O1014" s="3719"/>
      <c r="P1014" s="490">
        <f t="shared" si="149"/>
        <v>0</v>
      </c>
      <c r="S1014" s="32">
        <f>'2 REPAIR ESTIMATOR'!AD1071</f>
        <v>0</v>
      </c>
      <c r="T1014" s="32">
        <f>'2 REPAIR ESTIMATOR'!AM1071</f>
        <v>0</v>
      </c>
      <c r="U1014" s="32">
        <f t="shared" si="148"/>
        <v>0</v>
      </c>
      <c r="V1014" s="32">
        <f>'2 REPAIR ESTIMATOR'!AG1071</f>
        <v>0</v>
      </c>
      <c r="W1014" s="32">
        <f>'2 REPAIR ESTIMATOR'!AJ1071</f>
        <v>0</v>
      </c>
    </row>
    <row r="1015" spans="3:23" ht="18.350000000000001" hidden="1" thickBot="1">
      <c r="C1015" s="3779" t="str">
        <f>T('2 REPAIR ESTIMATOR'!D1072:O1072)</f>
        <v/>
      </c>
      <c r="D1015" s="3780"/>
      <c r="E1015" s="3780"/>
      <c r="F1015" s="3780"/>
      <c r="G1015" s="3780"/>
      <c r="H1015" s="3780"/>
      <c r="I1015" s="919">
        <f>'2 REPAIR ESTIMATOR'!P1072</f>
        <v>0</v>
      </c>
      <c r="J1015" s="920">
        <f>'2 REPAIR ESTIMATOR'!S1072</f>
        <v>0</v>
      </c>
      <c r="K1015" s="921">
        <f t="shared" si="144"/>
        <v>0</v>
      </c>
      <c r="L1015" s="921">
        <f t="shared" si="145"/>
        <v>0</v>
      </c>
      <c r="M1015" s="921">
        <f t="shared" si="146"/>
        <v>0</v>
      </c>
      <c r="N1015" s="3781">
        <f t="shared" si="147"/>
        <v>0</v>
      </c>
      <c r="O1015" s="3781"/>
      <c r="P1015" s="490">
        <f t="shared" si="149"/>
        <v>0</v>
      </c>
      <c r="S1015" s="32">
        <f>'2 REPAIR ESTIMATOR'!AD1072</f>
        <v>0</v>
      </c>
      <c r="T1015" s="32">
        <f>'2 REPAIR ESTIMATOR'!AM1072</f>
        <v>0</v>
      </c>
      <c r="U1015" s="32">
        <f t="shared" si="148"/>
        <v>0</v>
      </c>
      <c r="V1015" s="32">
        <f>'2 REPAIR ESTIMATOR'!AG1072</f>
        <v>0</v>
      </c>
      <c r="W1015" s="32">
        <f>'2 REPAIR ESTIMATOR'!AJ1072</f>
        <v>0</v>
      </c>
    </row>
    <row r="1016" spans="3:23" ht="18.350000000000001" hidden="1" thickBot="1">
      <c r="C1016" s="3723" t="str">
        <f>T('2 REPAIR ESTIMATOR'!AC1074)</f>
        <v>HVAC TOTAL</v>
      </c>
      <c r="D1016" s="3724"/>
      <c r="E1016" s="3724"/>
      <c r="F1016" s="3724"/>
      <c r="G1016" s="3724"/>
      <c r="H1016" s="3724"/>
      <c r="I1016" s="3724"/>
      <c r="J1016" s="3724"/>
      <c r="K1016" s="922">
        <f>SUM(K976:K1015)</f>
        <v>0</v>
      </c>
      <c r="L1016" s="922">
        <f>SUM(L976:L1015)</f>
        <v>0</v>
      </c>
      <c r="M1016" s="922">
        <f>SUM(M976:M1015)</f>
        <v>0</v>
      </c>
      <c r="N1016" s="3789">
        <f>SUM(N976:O1015)</f>
        <v>0</v>
      </c>
      <c r="O1016" s="3789"/>
      <c r="P1016" s="489">
        <f>SUM(P975:P987)</f>
        <v>0</v>
      </c>
      <c r="S1016" s="33">
        <f>SUM(S976:S1015)</f>
        <v>0</v>
      </c>
      <c r="T1016" s="33">
        <f>SUM(T976:T1015)</f>
        <v>0</v>
      </c>
      <c r="U1016" s="33">
        <f>SUM(U976:U1015)</f>
        <v>0</v>
      </c>
      <c r="V1016" s="33">
        <f>SUM(V976:V1015)</f>
        <v>0</v>
      </c>
      <c r="W1016" s="33">
        <f>SUM(W976:W1015)</f>
        <v>0</v>
      </c>
    </row>
    <row r="1017" spans="3:23" ht="8.85" hidden="1" customHeight="1">
      <c r="C1017" s="841"/>
      <c r="D1017" s="841"/>
      <c r="E1017" s="841"/>
      <c r="F1017" s="841"/>
      <c r="G1017" s="841"/>
      <c r="H1017" s="841"/>
      <c r="I1017" s="842"/>
      <c r="J1017" s="842"/>
      <c r="K1017" s="842"/>
      <c r="L1017" s="842"/>
      <c r="M1017" s="842"/>
      <c r="N1017" s="843"/>
      <c r="O1017" s="798"/>
      <c r="P1017" s="489">
        <f>P1016</f>
        <v>0</v>
      </c>
    </row>
    <row r="1018" spans="3:23" ht="21" hidden="1" customHeight="1" thickBot="1">
      <c r="C1018" s="3782" t="str">
        <f>T('2 REPAIR ESTIMATOR'!D1077:O1077)</f>
        <v>ELECTRICAL</v>
      </c>
      <c r="D1018" s="3783"/>
      <c r="E1018" s="3783"/>
      <c r="F1018" s="3783"/>
      <c r="G1018" s="3783"/>
      <c r="H1018" s="3783"/>
      <c r="I1018" s="799">
        <f>SUM(I1019:I1058)</f>
        <v>0</v>
      </c>
      <c r="J1018" s="800"/>
      <c r="K1018" s="850"/>
      <c r="L1018" s="850"/>
      <c r="M1018" s="850"/>
      <c r="N1018" s="3722"/>
      <c r="O1018" s="3722"/>
      <c r="P1018" s="489">
        <f t="shared" si="143"/>
        <v>0</v>
      </c>
      <c r="S1018" s="34"/>
      <c r="T1018" s="34"/>
      <c r="U1018" s="34"/>
      <c r="V1018" s="34"/>
      <c r="W1018" s="34"/>
    </row>
    <row r="1019" spans="3:23" ht="18" hidden="1">
      <c r="C1019" s="3720" t="str">
        <f>T('2 REPAIR ESTIMATOR'!D1078:O1078)</f>
        <v>Electrical, bid/allowance</v>
      </c>
      <c r="D1019" s="3721"/>
      <c r="E1019" s="3721"/>
      <c r="F1019" s="3721"/>
      <c r="G1019" s="3721"/>
      <c r="H1019" s="3721"/>
      <c r="I1019" s="916">
        <f>'2 REPAIR ESTIMATOR'!P1078</f>
        <v>0</v>
      </c>
      <c r="J1019" s="917" t="str">
        <f>'2 REPAIR ESTIMATOR'!S1078</f>
        <v>ls</v>
      </c>
      <c r="K1019" s="918">
        <f t="shared" ref="K1019:K1058" si="150">IF($N$3="subbed",U1019,S1019)*$S$70</f>
        <v>0</v>
      </c>
      <c r="L1019" s="918">
        <f>V1019*$S$70</f>
        <v>0</v>
      </c>
      <c r="M1019" s="918">
        <f>W1019*$S$70</f>
        <v>0</v>
      </c>
      <c r="N1019" s="3719">
        <f>SUM(K1019:M1019)</f>
        <v>0</v>
      </c>
      <c r="O1019" s="3719"/>
      <c r="P1019" s="490">
        <f t="shared" si="143"/>
        <v>0</v>
      </c>
      <c r="S1019" s="32">
        <f>'2 REPAIR ESTIMATOR'!AD1078</f>
        <v>0</v>
      </c>
      <c r="T1019" s="32">
        <f>'2 REPAIR ESTIMATOR'!AM1078</f>
        <v>0</v>
      </c>
      <c r="U1019" s="32">
        <f>T1019+S1019</f>
        <v>0</v>
      </c>
      <c r="V1019" s="32">
        <f>'2 REPAIR ESTIMATOR'!AG1078</f>
        <v>0</v>
      </c>
      <c r="W1019" s="32">
        <f>'2 REPAIR ESTIMATOR'!AJ1078</f>
        <v>0</v>
      </c>
    </row>
    <row r="1020" spans="3:23" ht="18" hidden="1">
      <c r="C1020" s="3787" t="str">
        <f>T('2 REPAIR ESTIMATOR'!D1079:O1079)</f>
        <v xml:space="preserve">Miscellaneous Electrical </v>
      </c>
      <c r="D1020" s="3788"/>
      <c r="E1020" s="3788"/>
      <c r="F1020" s="3788"/>
      <c r="G1020" s="3788"/>
      <c r="H1020" s="3788"/>
      <c r="I1020" s="916">
        <f>'2 REPAIR ESTIMATOR'!P1079</f>
        <v>0</v>
      </c>
      <c r="J1020" s="917">
        <f>'2 REPAIR ESTIMATOR'!S1079</f>
        <v>0</v>
      </c>
      <c r="K1020" s="918">
        <f t="shared" si="150"/>
        <v>0</v>
      </c>
      <c r="L1020" s="918">
        <f t="shared" ref="L1020:L1058" si="151">V1020*$S$70</f>
        <v>0</v>
      </c>
      <c r="M1020" s="918">
        <f t="shared" ref="M1020:M1058" si="152">W1020*$S$70</f>
        <v>0</v>
      </c>
      <c r="N1020" s="3719">
        <f t="shared" ref="N1020:N1058" si="153">SUM(K1020:M1020)</f>
        <v>0</v>
      </c>
      <c r="O1020" s="3719"/>
      <c r="P1020" s="490">
        <f t="shared" si="143"/>
        <v>0</v>
      </c>
      <c r="S1020" s="32">
        <f>'2 REPAIR ESTIMATOR'!AD1079</f>
        <v>0</v>
      </c>
      <c r="T1020" s="32">
        <f>'2 REPAIR ESTIMATOR'!AM1079</f>
        <v>0</v>
      </c>
      <c r="U1020" s="32">
        <f t="shared" ref="U1020:U1058" si="154">T1020+S1020</f>
        <v>0</v>
      </c>
      <c r="V1020" s="32">
        <f>'2 REPAIR ESTIMATOR'!AG1079</f>
        <v>0</v>
      </c>
      <c r="W1020" s="32">
        <f>'2 REPAIR ESTIMATOR'!AJ1079</f>
        <v>0</v>
      </c>
    </row>
    <row r="1021" spans="3:23" ht="18" hidden="1">
      <c r="C1021" s="3720" t="str">
        <f>T('2 REPAIR ESTIMATOR'!D1080:O1080)</f>
        <v>Electrical Rough-in, per hour</v>
      </c>
      <c r="D1021" s="3721"/>
      <c r="E1021" s="3721"/>
      <c r="F1021" s="3721"/>
      <c r="G1021" s="3721"/>
      <c r="H1021" s="3721"/>
      <c r="I1021" s="916">
        <f>'2 REPAIR ESTIMATOR'!P1080</f>
        <v>0</v>
      </c>
      <c r="J1021" s="917" t="str">
        <f>'2 REPAIR ESTIMATOR'!S1080</f>
        <v>hrs</v>
      </c>
      <c r="K1021" s="918">
        <f t="shared" si="150"/>
        <v>0</v>
      </c>
      <c r="L1021" s="918">
        <f t="shared" si="151"/>
        <v>0</v>
      </c>
      <c r="M1021" s="918">
        <f t="shared" si="152"/>
        <v>0</v>
      </c>
      <c r="N1021" s="3719">
        <f t="shared" si="153"/>
        <v>0</v>
      </c>
      <c r="O1021" s="3719"/>
      <c r="P1021" s="490">
        <f t="shared" si="143"/>
        <v>0</v>
      </c>
      <c r="S1021" s="32">
        <f>'2 REPAIR ESTIMATOR'!AD1080</f>
        <v>0</v>
      </c>
      <c r="T1021" s="32">
        <f>'2 REPAIR ESTIMATOR'!AM1080</f>
        <v>0</v>
      </c>
      <c r="U1021" s="32">
        <f t="shared" si="154"/>
        <v>0</v>
      </c>
      <c r="V1021" s="32">
        <f>'2 REPAIR ESTIMATOR'!AG1080</f>
        <v>0</v>
      </c>
      <c r="W1021" s="32">
        <f>'2 REPAIR ESTIMATOR'!AJ1080</f>
        <v>0</v>
      </c>
    </row>
    <row r="1022" spans="3:23" ht="18" hidden="1">
      <c r="C1022" s="3720" t="str">
        <f>T('2 REPAIR ESTIMATOR'!D1081:O1081)</f>
        <v>CATV Rough-in, per hour</v>
      </c>
      <c r="D1022" s="3721"/>
      <c r="E1022" s="3721"/>
      <c r="F1022" s="3721"/>
      <c r="G1022" s="3721"/>
      <c r="H1022" s="3721"/>
      <c r="I1022" s="916">
        <f>'2 REPAIR ESTIMATOR'!P1081</f>
        <v>0</v>
      </c>
      <c r="J1022" s="917" t="str">
        <f>'2 REPAIR ESTIMATOR'!S1081</f>
        <v>hrs</v>
      </c>
      <c r="K1022" s="918">
        <f t="shared" si="150"/>
        <v>0</v>
      </c>
      <c r="L1022" s="918">
        <f t="shared" si="151"/>
        <v>0</v>
      </c>
      <c r="M1022" s="918">
        <f t="shared" si="152"/>
        <v>0</v>
      </c>
      <c r="N1022" s="3719">
        <f t="shared" si="153"/>
        <v>0</v>
      </c>
      <c r="O1022" s="3719"/>
      <c r="P1022" s="490">
        <f>I1022</f>
        <v>0</v>
      </c>
      <c r="S1022" s="32">
        <f>'2 REPAIR ESTIMATOR'!AD1081</f>
        <v>0</v>
      </c>
      <c r="T1022" s="32">
        <f>'2 REPAIR ESTIMATOR'!AM1081</f>
        <v>0</v>
      </c>
      <c r="U1022" s="32">
        <f t="shared" si="154"/>
        <v>0</v>
      </c>
      <c r="V1022" s="32">
        <f>'2 REPAIR ESTIMATOR'!AG1081</f>
        <v>0</v>
      </c>
      <c r="W1022" s="32">
        <f>'2 REPAIR ESTIMATOR'!AJ1081</f>
        <v>0</v>
      </c>
    </row>
    <row r="1023" spans="3:23" ht="18" hidden="1">
      <c r="C1023" s="3720" t="str">
        <f>T('2 REPAIR ESTIMATOR'!D1082:O1082)</f>
        <v>Electrical Finish Work, per hour</v>
      </c>
      <c r="D1023" s="3721"/>
      <c r="E1023" s="3721"/>
      <c r="F1023" s="3721"/>
      <c r="G1023" s="3721"/>
      <c r="H1023" s="3721"/>
      <c r="I1023" s="916">
        <f>'2 REPAIR ESTIMATOR'!P1082</f>
        <v>0</v>
      </c>
      <c r="J1023" s="917" t="str">
        <f>'2 REPAIR ESTIMATOR'!S1082</f>
        <v>hrs</v>
      </c>
      <c r="K1023" s="918">
        <f t="shared" si="150"/>
        <v>0</v>
      </c>
      <c r="L1023" s="918">
        <f t="shared" si="151"/>
        <v>0</v>
      </c>
      <c r="M1023" s="918">
        <f t="shared" si="152"/>
        <v>0</v>
      </c>
      <c r="N1023" s="3719">
        <f t="shared" si="153"/>
        <v>0</v>
      </c>
      <c r="O1023" s="3719"/>
      <c r="P1023" s="490">
        <f t="shared" si="143"/>
        <v>0</v>
      </c>
      <c r="S1023" s="32">
        <f>'2 REPAIR ESTIMATOR'!AD1082</f>
        <v>0</v>
      </c>
      <c r="T1023" s="32">
        <f>'2 REPAIR ESTIMATOR'!AM1082</f>
        <v>0</v>
      </c>
      <c r="U1023" s="32">
        <f t="shared" si="154"/>
        <v>0</v>
      </c>
      <c r="V1023" s="32">
        <f>'2 REPAIR ESTIMATOR'!AG1082</f>
        <v>0</v>
      </c>
      <c r="W1023" s="32">
        <f>'2 REPAIR ESTIMATOR'!AJ1082</f>
        <v>0</v>
      </c>
    </row>
    <row r="1024" spans="3:23" ht="18" hidden="1">
      <c r="C1024" s="3720" t="str">
        <f>T('2 REPAIR ESTIMATOR'!D1083:O1083)</f>
        <v>Replace electrical panel, 100 AMP</v>
      </c>
      <c r="D1024" s="3721"/>
      <c r="E1024" s="3721"/>
      <c r="F1024" s="3721"/>
      <c r="G1024" s="3721"/>
      <c r="H1024" s="3721"/>
      <c r="I1024" s="916">
        <f>'2 REPAIR ESTIMATOR'!P1083</f>
        <v>0</v>
      </c>
      <c r="J1024" s="917" t="str">
        <f>'2 REPAIR ESTIMATOR'!S1083</f>
        <v>ea</v>
      </c>
      <c r="K1024" s="918">
        <f t="shared" si="150"/>
        <v>0</v>
      </c>
      <c r="L1024" s="918">
        <f t="shared" si="151"/>
        <v>0</v>
      </c>
      <c r="M1024" s="918">
        <f t="shared" si="152"/>
        <v>0</v>
      </c>
      <c r="N1024" s="3719">
        <f t="shared" si="153"/>
        <v>0</v>
      </c>
      <c r="O1024" s="3719"/>
      <c r="P1024" s="490">
        <f t="shared" si="143"/>
        <v>0</v>
      </c>
      <c r="S1024" s="32">
        <f>'2 REPAIR ESTIMATOR'!AD1083</f>
        <v>0</v>
      </c>
      <c r="T1024" s="32">
        <f>'2 REPAIR ESTIMATOR'!AM1083</f>
        <v>0</v>
      </c>
      <c r="U1024" s="32">
        <f t="shared" si="154"/>
        <v>0</v>
      </c>
      <c r="V1024" s="32">
        <f>'2 REPAIR ESTIMATOR'!AG1083</f>
        <v>0</v>
      </c>
      <c r="W1024" s="32">
        <f>'2 REPAIR ESTIMATOR'!AJ1083</f>
        <v>0</v>
      </c>
    </row>
    <row r="1025" spans="3:23" ht="18" hidden="1">
      <c r="C1025" s="3720" t="str">
        <f>T('2 REPAIR ESTIMATOR'!D1084:O1084)</f>
        <v>Replace electrical panel, 200 AMP</v>
      </c>
      <c r="D1025" s="3721"/>
      <c r="E1025" s="3721"/>
      <c r="F1025" s="3721"/>
      <c r="G1025" s="3721"/>
      <c r="H1025" s="3721"/>
      <c r="I1025" s="916">
        <f>'2 REPAIR ESTIMATOR'!P1084</f>
        <v>0</v>
      </c>
      <c r="J1025" s="917" t="str">
        <f>'2 REPAIR ESTIMATOR'!S1084</f>
        <v>ea</v>
      </c>
      <c r="K1025" s="918">
        <f t="shared" si="150"/>
        <v>0</v>
      </c>
      <c r="L1025" s="918">
        <f t="shared" si="151"/>
        <v>0</v>
      </c>
      <c r="M1025" s="918">
        <f t="shared" si="152"/>
        <v>0</v>
      </c>
      <c r="N1025" s="3719">
        <f t="shared" si="153"/>
        <v>0</v>
      </c>
      <c r="O1025" s="3719"/>
      <c r="P1025" s="490">
        <f t="shared" si="143"/>
        <v>0</v>
      </c>
      <c r="S1025" s="32">
        <f>'2 REPAIR ESTIMATOR'!AD1084</f>
        <v>0</v>
      </c>
      <c r="T1025" s="32">
        <f>'2 REPAIR ESTIMATOR'!AM1084</f>
        <v>0</v>
      </c>
      <c r="U1025" s="32">
        <f t="shared" si="154"/>
        <v>0</v>
      </c>
      <c r="V1025" s="32">
        <f>'2 REPAIR ESTIMATOR'!AG1084</f>
        <v>0</v>
      </c>
      <c r="W1025" s="32">
        <f>'2 REPAIR ESTIMATOR'!AJ1084</f>
        <v>0</v>
      </c>
    </row>
    <row r="1026" spans="3:23" ht="18" hidden="1">
      <c r="C1026" s="3720" t="str">
        <f>T('2 REPAIR ESTIMATOR'!D1085:O1085)</f>
        <v>Replace outlets, light switches</v>
      </c>
      <c r="D1026" s="3721"/>
      <c r="E1026" s="3721"/>
      <c r="F1026" s="3721"/>
      <c r="G1026" s="3721"/>
      <c r="H1026" s="3721"/>
      <c r="I1026" s="916">
        <f>'2 REPAIR ESTIMATOR'!P1085</f>
        <v>0</v>
      </c>
      <c r="J1026" s="917" t="str">
        <f>'2 REPAIR ESTIMATOR'!S1085</f>
        <v>ea</v>
      </c>
      <c r="K1026" s="918">
        <f t="shared" si="150"/>
        <v>0</v>
      </c>
      <c r="L1026" s="918">
        <f t="shared" si="151"/>
        <v>0</v>
      </c>
      <c r="M1026" s="918">
        <f t="shared" si="152"/>
        <v>0</v>
      </c>
      <c r="N1026" s="3719">
        <f t="shared" si="153"/>
        <v>0</v>
      </c>
      <c r="O1026" s="3719"/>
      <c r="P1026" s="489">
        <f t="shared" si="143"/>
        <v>0</v>
      </c>
      <c r="S1026" s="32">
        <f>'2 REPAIR ESTIMATOR'!AD1085</f>
        <v>0</v>
      </c>
      <c r="T1026" s="32">
        <f>'2 REPAIR ESTIMATOR'!AM1085</f>
        <v>0</v>
      </c>
      <c r="U1026" s="32">
        <f t="shared" si="154"/>
        <v>0</v>
      </c>
      <c r="V1026" s="32">
        <f>'2 REPAIR ESTIMATOR'!AG1085</f>
        <v>0</v>
      </c>
      <c r="W1026" s="32">
        <f>'2 REPAIR ESTIMATOR'!AJ1085</f>
        <v>0</v>
      </c>
    </row>
    <row r="1027" spans="3:23" ht="18" hidden="1">
      <c r="C1027" s="3720" t="str">
        <f>T('2 REPAIR ESTIMATOR'!D1086:O1086)</f>
        <v>Replace GFI outlets/ground back to panel</v>
      </c>
      <c r="D1027" s="3721"/>
      <c r="E1027" s="3721"/>
      <c r="F1027" s="3721"/>
      <c r="G1027" s="3721"/>
      <c r="H1027" s="3721"/>
      <c r="I1027" s="916">
        <f>'2 REPAIR ESTIMATOR'!P1086</f>
        <v>0</v>
      </c>
      <c r="J1027" s="917" t="str">
        <f>'2 REPAIR ESTIMATOR'!S1086</f>
        <v>ea</v>
      </c>
      <c r="K1027" s="918">
        <f t="shared" si="150"/>
        <v>0</v>
      </c>
      <c r="L1027" s="918">
        <f t="shared" si="151"/>
        <v>0</v>
      </c>
      <c r="M1027" s="918">
        <f t="shared" si="152"/>
        <v>0</v>
      </c>
      <c r="N1027" s="3719">
        <f t="shared" si="153"/>
        <v>0</v>
      </c>
      <c r="O1027" s="3719"/>
      <c r="P1027" s="489">
        <f t="shared" si="143"/>
        <v>0</v>
      </c>
      <c r="S1027" s="32">
        <f>'2 REPAIR ESTIMATOR'!AD1086</f>
        <v>0</v>
      </c>
      <c r="T1027" s="32">
        <f>'2 REPAIR ESTIMATOR'!AM1086</f>
        <v>0</v>
      </c>
      <c r="U1027" s="32">
        <f t="shared" si="154"/>
        <v>0</v>
      </c>
      <c r="V1027" s="32">
        <f>'2 REPAIR ESTIMATOR'!AG1086</f>
        <v>0</v>
      </c>
      <c r="W1027" s="32">
        <f>'2 REPAIR ESTIMATOR'!AJ1086</f>
        <v>0</v>
      </c>
    </row>
    <row r="1028" spans="3:23" ht="18" hidden="1">
      <c r="C1028" s="3720" t="str">
        <f>T('2 REPAIR ESTIMATOR'!D1087:O1087)</f>
        <v>Exhaust Fan</v>
      </c>
      <c r="D1028" s="3721"/>
      <c r="E1028" s="3721"/>
      <c r="F1028" s="3721"/>
      <c r="G1028" s="3721"/>
      <c r="H1028" s="3721"/>
      <c r="I1028" s="916">
        <f>'2 REPAIR ESTIMATOR'!P1087</f>
        <v>0</v>
      </c>
      <c r="J1028" s="917" t="str">
        <f>'2 REPAIR ESTIMATOR'!S1087</f>
        <v>ea</v>
      </c>
      <c r="K1028" s="918">
        <f t="shared" si="150"/>
        <v>0</v>
      </c>
      <c r="L1028" s="918">
        <f t="shared" si="151"/>
        <v>0</v>
      </c>
      <c r="M1028" s="918">
        <f t="shared" si="152"/>
        <v>0</v>
      </c>
      <c r="N1028" s="3719">
        <f t="shared" si="153"/>
        <v>0</v>
      </c>
      <c r="O1028" s="3719"/>
      <c r="P1028" s="489">
        <f t="shared" si="143"/>
        <v>0</v>
      </c>
      <c r="S1028" s="32">
        <f>'2 REPAIR ESTIMATOR'!AD1087</f>
        <v>0</v>
      </c>
      <c r="T1028" s="32">
        <f>'2 REPAIR ESTIMATOR'!AM1087</f>
        <v>0</v>
      </c>
      <c r="U1028" s="32">
        <f t="shared" si="154"/>
        <v>0</v>
      </c>
      <c r="V1028" s="32">
        <f>'2 REPAIR ESTIMATOR'!AG1087</f>
        <v>0</v>
      </c>
      <c r="W1028" s="32">
        <f>'2 REPAIR ESTIMATOR'!AJ1087</f>
        <v>0</v>
      </c>
    </row>
    <row r="1029" spans="3:23" ht="18" hidden="1">
      <c r="C1029" s="3720" t="str">
        <f>T('2 REPAIR ESTIMATOR'!D1088:O1088)</f>
        <v>Smoke detectors</v>
      </c>
      <c r="D1029" s="3721"/>
      <c r="E1029" s="3721"/>
      <c r="F1029" s="3721"/>
      <c r="G1029" s="3721"/>
      <c r="H1029" s="3721"/>
      <c r="I1029" s="916">
        <f>'2 REPAIR ESTIMATOR'!P1088</f>
        <v>0</v>
      </c>
      <c r="J1029" s="917" t="str">
        <f>'2 REPAIR ESTIMATOR'!S1088</f>
        <v>ea</v>
      </c>
      <c r="K1029" s="918">
        <f t="shared" si="150"/>
        <v>0</v>
      </c>
      <c r="L1029" s="918">
        <f t="shared" si="151"/>
        <v>0</v>
      </c>
      <c r="M1029" s="918">
        <f t="shared" si="152"/>
        <v>0</v>
      </c>
      <c r="N1029" s="3719">
        <f t="shared" si="153"/>
        <v>0</v>
      </c>
      <c r="O1029" s="3719"/>
      <c r="P1029" s="489">
        <f t="shared" si="143"/>
        <v>0</v>
      </c>
      <c r="S1029" s="32">
        <f>'2 REPAIR ESTIMATOR'!AD1088</f>
        <v>0</v>
      </c>
      <c r="T1029" s="32">
        <f>'2 REPAIR ESTIMATOR'!AM1088</f>
        <v>0</v>
      </c>
      <c r="U1029" s="32">
        <f t="shared" si="154"/>
        <v>0</v>
      </c>
      <c r="V1029" s="32">
        <f>'2 REPAIR ESTIMATOR'!AG1088</f>
        <v>0</v>
      </c>
      <c r="W1029" s="32">
        <f>'2 REPAIR ESTIMATOR'!AJ1088</f>
        <v>0</v>
      </c>
    </row>
    <row r="1030" spans="3:23" ht="18" hidden="1">
      <c r="C1030" s="3720" t="str">
        <f>T('2 REPAIR ESTIMATOR'!D1089:O1089)</f>
        <v>Carbon monoxide detector</v>
      </c>
      <c r="D1030" s="3721"/>
      <c r="E1030" s="3721"/>
      <c r="F1030" s="3721"/>
      <c r="G1030" s="3721"/>
      <c r="H1030" s="3721"/>
      <c r="I1030" s="916">
        <f>'2 REPAIR ESTIMATOR'!P1089</f>
        <v>0</v>
      </c>
      <c r="J1030" s="917" t="str">
        <f>'2 REPAIR ESTIMATOR'!S1089</f>
        <v>ea</v>
      </c>
      <c r="K1030" s="918">
        <f t="shared" si="150"/>
        <v>0</v>
      </c>
      <c r="L1030" s="918">
        <f t="shared" si="151"/>
        <v>0</v>
      </c>
      <c r="M1030" s="918">
        <f t="shared" si="152"/>
        <v>0</v>
      </c>
      <c r="N1030" s="3719">
        <f t="shared" si="153"/>
        <v>0</v>
      </c>
      <c r="O1030" s="3719"/>
      <c r="P1030" s="490">
        <f t="shared" si="143"/>
        <v>0</v>
      </c>
      <c r="S1030" s="32">
        <f>'2 REPAIR ESTIMATOR'!AD1089</f>
        <v>0</v>
      </c>
      <c r="T1030" s="32">
        <f>'2 REPAIR ESTIMATOR'!AM1089</f>
        <v>0</v>
      </c>
      <c r="U1030" s="32">
        <f t="shared" si="154"/>
        <v>0</v>
      </c>
      <c r="V1030" s="32">
        <f>'2 REPAIR ESTIMATOR'!AG1089</f>
        <v>0</v>
      </c>
      <c r="W1030" s="32">
        <f>'2 REPAIR ESTIMATOR'!AJ1089</f>
        <v>0</v>
      </c>
    </row>
    <row r="1031" spans="3:23" ht="18" hidden="1">
      <c r="C1031" s="3787" t="str">
        <f>T('2 REPAIR ESTIMATOR'!D1090:O1090)</f>
        <v>Lighting</v>
      </c>
      <c r="D1031" s="3788"/>
      <c r="E1031" s="3788"/>
      <c r="F1031" s="3788"/>
      <c r="G1031" s="3788"/>
      <c r="H1031" s="3788"/>
      <c r="I1031" s="916">
        <f>'2 REPAIR ESTIMATOR'!P1090</f>
        <v>0</v>
      </c>
      <c r="J1031" s="917">
        <f>'2 REPAIR ESTIMATOR'!S1090</f>
        <v>0</v>
      </c>
      <c r="K1031" s="918">
        <f t="shared" si="150"/>
        <v>0</v>
      </c>
      <c r="L1031" s="918">
        <f t="shared" si="151"/>
        <v>0</v>
      </c>
      <c r="M1031" s="918">
        <f t="shared" si="152"/>
        <v>0</v>
      </c>
      <c r="N1031" s="3719">
        <f t="shared" si="153"/>
        <v>0</v>
      </c>
      <c r="O1031" s="3719"/>
      <c r="P1031" s="490">
        <f t="shared" si="143"/>
        <v>0</v>
      </c>
      <c r="S1031" s="32">
        <f>'2 REPAIR ESTIMATOR'!AD1090</f>
        <v>0</v>
      </c>
      <c r="T1031" s="32">
        <f>'2 REPAIR ESTIMATOR'!AM1090</f>
        <v>0</v>
      </c>
      <c r="U1031" s="32">
        <f t="shared" si="154"/>
        <v>0</v>
      </c>
      <c r="V1031" s="32">
        <f>'2 REPAIR ESTIMATOR'!AG1090</f>
        <v>0</v>
      </c>
      <c r="W1031" s="32">
        <f>'2 REPAIR ESTIMATOR'!AJ1090</f>
        <v>0</v>
      </c>
    </row>
    <row r="1032" spans="3:23" ht="18" hidden="1">
      <c r="C1032" s="3720" t="str">
        <f>T('2 REPAIR ESTIMATOR'!D1091:O1091)</f>
        <v>Track/Pendent light</v>
      </c>
      <c r="D1032" s="3721"/>
      <c r="E1032" s="3721"/>
      <c r="F1032" s="3721"/>
      <c r="G1032" s="3721"/>
      <c r="H1032" s="3721"/>
      <c r="I1032" s="916">
        <f>'2 REPAIR ESTIMATOR'!P1091</f>
        <v>0</v>
      </c>
      <c r="J1032" s="917" t="str">
        <f>'2 REPAIR ESTIMATOR'!S1091</f>
        <v>ea</v>
      </c>
      <c r="K1032" s="918">
        <f t="shared" si="150"/>
        <v>0</v>
      </c>
      <c r="L1032" s="918">
        <f t="shared" si="151"/>
        <v>0</v>
      </c>
      <c r="M1032" s="918">
        <f t="shared" si="152"/>
        <v>0</v>
      </c>
      <c r="N1032" s="3719">
        <f t="shared" si="153"/>
        <v>0</v>
      </c>
      <c r="O1032" s="3719"/>
      <c r="P1032" s="490">
        <f t="shared" si="143"/>
        <v>0</v>
      </c>
      <c r="S1032" s="32">
        <f>'2 REPAIR ESTIMATOR'!AD1091</f>
        <v>0</v>
      </c>
      <c r="T1032" s="32">
        <f>'2 REPAIR ESTIMATOR'!AM1091</f>
        <v>0</v>
      </c>
      <c r="U1032" s="32">
        <f t="shared" si="154"/>
        <v>0</v>
      </c>
      <c r="V1032" s="32">
        <f>'2 REPAIR ESTIMATOR'!AG1091</f>
        <v>0</v>
      </c>
      <c r="W1032" s="32">
        <f>'2 REPAIR ESTIMATOR'!AJ1091</f>
        <v>0</v>
      </c>
    </row>
    <row r="1033" spans="3:23" ht="18" hidden="1">
      <c r="C1033" s="3720" t="str">
        <f>T('2 REPAIR ESTIMATOR'!D1092:O1092)</f>
        <v>Chandelier light fixture</v>
      </c>
      <c r="D1033" s="3721"/>
      <c r="E1033" s="3721"/>
      <c r="F1033" s="3721"/>
      <c r="G1033" s="3721"/>
      <c r="H1033" s="3721"/>
      <c r="I1033" s="916">
        <f>'2 REPAIR ESTIMATOR'!P1092</f>
        <v>0</v>
      </c>
      <c r="J1033" s="917" t="str">
        <f>'2 REPAIR ESTIMATOR'!S1092</f>
        <v>ea</v>
      </c>
      <c r="K1033" s="918">
        <f t="shared" si="150"/>
        <v>0</v>
      </c>
      <c r="L1033" s="918">
        <f t="shared" si="151"/>
        <v>0</v>
      </c>
      <c r="M1033" s="918">
        <f t="shared" si="152"/>
        <v>0</v>
      </c>
      <c r="N1033" s="3719">
        <f t="shared" si="153"/>
        <v>0</v>
      </c>
      <c r="O1033" s="3719"/>
      <c r="P1033" s="490">
        <f t="shared" si="143"/>
        <v>0</v>
      </c>
      <c r="S1033" s="32">
        <f>'2 REPAIR ESTIMATOR'!AD1092</f>
        <v>0</v>
      </c>
      <c r="T1033" s="32">
        <f>'2 REPAIR ESTIMATOR'!AM1092</f>
        <v>0</v>
      </c>
      <c r="U1033" s="32">
        <f t="shared" si="154"/>
        <v>0</v>
      </c>
      <c r="V1033" s="32">
        <f>'2 REPAIR ESTIMATOR'!AG1092</f>
        <v>0</v>
      </c>
      <c r="W1033" s="32">
        <f>'2 REPAIR ESTIMATOR'!AJ1092</f>
        <v>0</v>
      </c>
    </row>
    <row r="1034" spans="3:23" ht="18" hidden="1">
      <c r="C1034" s="3720" t="str">
        <f>T('2 REPAIR ESTIMATOR'!D1093:O1093)</f>
        <v>Ceiling dome light</v>
      </c>
      <c r="D1034" s="3721"/>
      <c r="E1034" s="3721"/>
      <c r="F1034" s="3721"/>
      <c r="G1034" s="3721"/>
      <c r="H1034" s="3721"/>
      <c r="I1034" s="916">
        <f>'2 REPAIR ESTIMATOR'!P1093</f>
        <v>0</v>
      </c>
      <c r="J1034" s="917" t="str">
        <f>'2 REPAIR ESTIMATOR'!S1093</f>
        <v>ea</v>
      </c>
      <c r="K1034" s="918">
        <f t="shared" si="150"/>
        <v>0</v>
      </c>
      <c r="L1034" s="918">
        <f t="shared" si="151"/>
        <v>0</v>
      </c>
      <c r="M1034" s="918">
        <f t="shared" si="152"/>
        <v>0</v>
      </c>
      <c r="N1034" s="3719">
        <f t="shared" si="153"/>
        <v>0</v>
      </c>
      <c r="O1034" s="3719"/>
      <c r="P1034" s="489">
        <f t="shared" si="143"/>
        <v>0</v>
      </c>
      <c r="S1034" s="32">
        <f>'2 REPAIR ESTIMATOR'!AD1093</f>
        <v>0</v>
      </c>
      <c r="T1034" s="32">
        <f>'2 REPAIR ESTIMATOR'!AM1093</f>
        <v>0</v>
      </c>
      <c r="U1034" s="32">
        <f t="shared" si="154"/>
        <v>0</v>
      </c>
      <c r="V1034" s="32">
        <f>'2 REPAIR ESTIMATOR'!AG1093</f>
        <v>0</v>
      </c>
      <c r="W1034" s="32">
        <f>'2 REPAIR ESTIMATOR'!AJ1093</f>
        <v>0</v>
      </c>
    </row>
    <row r="1035" spans="3:23" ht="18" hidden="1">
      <c r="C1035" s="3720" t="str">
        <f>T('2 REPAIR ESTIMATOR'!D1094:O1094)</f>
        <v>Ceiling fan fixture</v>
      </c>
      <c r="D1035" s="3721"/>
      <c r="E1035" s="3721"/>
      <c r="F1035" s="3721"/>
      <c r="G1035" s="3721"/>
      <c r="H1035" s="3721"/>
      <c r="I1035" s="916">
        <f>'2 REPAIR ESTIMATOR'!P1094</f>
        <v>0</v>
      </c>
      <c r="J1035" s="917" t="str">
        <f>'2 REPAIR ESTIMATOR'!S1094</f>
        <v>ea</v>
      </c>
      <c r="K1035" s="918">
        <f t="shared" si="150"/>
        <v>0</v>
      </c>
      <c r="L1035" s="918">
        <f t="shared" si="151"/>
        <v>0</v>
      </c>
      <c r="M1035" s="918">
        <f t="shared" si="152"/>
        <v>0</v>
      </c>
      <c r="N1035" s="3719">
        <f t="shared" si="153"/>
        <v>0</v>
      </c>
      <c r="O1035" s="3719"/>
      <c r="P1035" s="489">
        <f t="shared" si="143"/>
        <v>0</v>
      </c>
      <c r="S1035" s="32">
        <f>'2 REPAIR ESTIMATOR'!AD1094</f>
        <v>0</v>
      </c>
      <c r="T1035" s="32">
        <f>'2 REPAIR ESTIMATOR'!AM1094</f>
        <v>0</v>
      </c>
      <c r="U1035" s="32">
        <f t="shared" si="154"/>
        <v>0</v>
      </c>
      <c r="V1035" s="32">
        <f>'2 REPAIR ESTIMATOR'!AG1094</f>
        <v>0</v>
      </c>
      <c r="W1035" s="32">
        <f>'2 REPAIR ESTIMATOR'!AJ1094</f>
        <v>0</v>
      </c>
    </row>
    <row r="1036" spans="3:23" ht="18" hidden="1">
      <c r="C1036" s="3720" t="str">
        <f>T('2 REPAIR ESTIMATOR'!D1095:O1095)</f>
        <v>Bathroom vanity light</v>
      </c>
      <c r="D1036" s="3721"/>
      <c r="E1036" s="3721"/>
      <c r="F1036" s="3721"/>
      <c r="G1036" s="3721"/>
      <c r="H1036" s="3721"/>
      <c r="I1036" s="916">
        <f>'2 REPAIR ESTIMATOR'!P1095</f>
        <v>0</v>
      </c>
      <c r="J1036" s="917" t="str">
        <f>'2 REPAIR ESTIMATOR'!S1095</f>
        <v>ea</v>
      </c>
      <c r="K1036" s="918">
        <f t="shared" si="150"/>
        <v>0</v>
      </c>
      <c r="L1036" s="918">
        <f t="shared" si="151"/>
        <v>0</v>
      </c>
      <c r="M1036" s="918">
        <f t="shared" si="152"/>
        <v>0</v>
      </c>
      <c r="N1036" s="3719">
        <f t="shared" si="153"/>
        <v>0</v>
      </c>
      <c r="O1036" s="3719"/>
      <c r="P1036" s="489">
        <f t="shared" si="143"/>
        <v>0</v>
      </c>
      <c r="S1036" s="32">
        <f>'2 REPAIR ESTIMATOR'!AD1095</f>
        <v>0</v>
      </c>
      <c r="T1036" s="32">
        <f>'2 REPAIR ESTIMATOR'!AM1095</f>
        <v>0</v>
      </c>
      <c r="U1036" s="32">
        <f t="shared" si="154"/>
        <v>0</v>
      </c>
      <c r="V1036" s="32">
        <f>'2 REPAIR ESTIMATOR'!AG1095</f>
        <v>0</v>
      </c>
      <c r="W1036" s="32">
        <f>'2 REPAIR ESTIMATOR'!AJ1095</f>
        <v>0</v>
      </c>
    </row>
    <row r="1037" spans="3:23" ht="18" hidden="1">
      <c r="C1037" s="3720" t="str">
        <f>T('2 REPAIR ESTIMATOR'!D1096:O1096)</f>
        <v>Can lighting</v>
      </c>
      <c r="D1037" s="3721"/>
      <c r="E1037" s="3721"/>
      <c r="F1037" s="3721"/>
      <c r="G1037" s="3721"/>
      <c r="H1037" s="3721"/>
      <c r="I1037" s="916">
        <f>'2 REPAIR ESTIMATOR'!P1096</f>
        <v>0</v>
      </c>
      <c r="J1037" s="917" t="str">
        <f>'2 REPAIR ESTIMATOR'!S1096</f>
        <v>ea</v>
      </c>
      <c r="K1037" s="918">
        <f t="shared" si="150"/>
        <v>0</v>
      </c>
      <c r="L1037" s="918">
        <f t="shared" si="151"/>
        <v>0</v>
      </c>
      <c r="M1037" s="918">
        <f t="shared" si="152"/>
        <v>0</v>
      </c>
      <c r="N1037" s="3719">
        <f t="shared" si="153"/>
        <v>0</v>
      </c>
      <c r="O1037" s="3719"/>
      <c r="P1037" s="490">
        <f t="shared" si="143"/>
        <v>0</v>
      </c>
      <c r="S1037" s="32">
        <f>'2 REPAIR ESTIMATOR'!AD1096</f>
        <v>0</v>
      </c>
      <c r="T1037" s="32">
        <f>'2 REPAIR ESTIMATOR'!AM1096</f>
        <v>0</v>
      </c>
      <c r="U1037" s="32">
        <f t="shared" si="154"/>
        <v>0</v>
      </c>
      <c r="V1037" s="32">
        <f>'2 REPAIR ESTIMATOR'!AG1096</f>
        <v>0</v>
      </c>
      <c r="W1037" s="32">
        <f>'2 REPAIR ESTIMATOR'!AJ1096</f>
        <v>0</v>
      </c>
    </row>
    <row r="1038" spans="3:23" ht="18" hidden="1">
      <c r="C1038" s="3720" t="str">
        <f>T('2 REPAIR ESTIMATOR'!D1097:O1097)</f>
        <v>Exterior light fixture</v>
      </c>
      <c r="D1038" s="3721"/>
      <c r="E1038" s="3721"/>
      <c r="F1038" s="3721"/>
      <c r="G1038" s="3721"/>
      <c r="H1038" s="3721"/>
      <c r="I1038" s="916">
        <f>'2 REPAIR ESTIMATOR'!P1097</f>
        <v>0</v>
      </c>
      <c r="J1038" s="917" t="str">
        <f>'2 REPAIR ESTIMATOR'!S1097</f>
        <v>ea</v>
      </c>
      <c r="K1038" s="918">
        <f t="shared" si="150"/>
        <v>0</v>
      </c>
      <c r="L1038" s="918">
        <f t="shared" si="151"/>
        <v>0</v>
      </c>
      <c r="M1038" s="918">
        <f t="shared" si="152"/>
        <v>0</v>
      </c>
      <c r="N1038" s="3719">
        <f t="shared" si="153"/>
        <v>0</v>
      </c>
      <c r="O1038" s="3719"/>
      <c r="P1038" s="489">
        <f t="shared" si="143"/>
        <v>0</v>
      </c>
      <c r="S1038" s="32">
        <f>'2 REPAIR ESTIMATOR'!AD1097</f>
        <v>0</v>
      </c>
      <c r="T1038" s="32">
        <f>'2 REPAIR ESTIMATOR'!AM1097</f>
        <v>0</v>
      </c>
      <c r="U1038" s="32">
        <f t="shared" si="154"/>
        <v>0</v>
      </c>
      <c r="V1038" s="32">
        <f>'2 REPAIR ESTIMATOR'!AG1097</f>
        <v>0</v>
      </c>
      <c r="W1038" s="32">
        <f>'2 REPAIR ESTIMATOR'!AJ1097</f>
        <v>0</v>
      </c>
    </row>
    <row r="1039" spans="3:23" ht="18" hidden="1">
      <c r="C1039" s="3720" t="str">
        <f>T('2 REPAIR ESTIMATOR'!D1098:O1098)</f>
        <v/>
      </c>
      <c r="D1039" s="3721"/>
      <c r="E1039" s="3721"/>
      <c r="F1039" s="3721"/>
      <c r="G1039" s="3721"/>
      <c r="H1039" s="3721"/>
      <c r="I1039" s="916">
        <f>'2 REPAIR ESTIMATOR'!P1098</f>
        <v>0</v>
      </c>
      <c r="J1039" s="917">
        <f>'2 REPAIR ESTIMATOR'!S1098</f>
        <v>0</v>
      </c>
      <c r="K1039" s="918">
        <f t="shared" si="150"/>
        <v>0</v>
      </c>
      <c r="L1039" s="918">
        <f t="shared" si="151"/>
        <v>0</v>
      </c>
      <c r="M1039" s="918">
        <f t="shared" si="152"/>
        <v>0</v>
      </c>
      <c r="N1039" s="3719">
        <f t="shared" si="153"/>
        <v>0</v>
      </c>
      <c r="O1039" s="3719"/>
      <c r="P1039" s="490">
        <f>I1039</f>
        <v>0</v>
      </c>
      <c r="S1039" s="32">
        <f>'2 REPAIR ESTIMATOR'!AD1098</f>
        <v>0</v>
      </c>
      <c r="T1039" s="32">
        <f>'2 REPAIR ESTIMATOR'!AM1098</f>
        <v>0</v>
      </c>
      <c r="U1039" s="32">
        <f t="shared" si="154"/>
        <v>0</v>
      </c>
      <c r="V1039" s="32">
        <f>'2 REPAIR ESTIMATOR'!AG1098</f>
        <v>0</v>
      </c>
      <c r="W1039" s="32">
        <f>'2 REPAIR ESTIMATOR'!AJ1098</f>
        <v>0</v>
      </c>
    </row>
    <row r="1040" spans="3:23" ht="18" hidden="1">
      <c r="C1040" s="3720" t="str">
        <f>T('2 REPAIR ESTIMATOR'!D1099:O1099)</f>
        <v/>
      </c>
      <c r="D1040" s="3721"/>
      <c r="E1040" s="3721"/>
      <c r="F1040" s="3721"/>
      <c r="G1040" s="3721"/>
      <c r="H1040" s="3721"/>
      <c r="I1040" s="916">
        <f>'2 REPAIR ESTIMATOR'!P1099</f>
        <v>0</v>
      </c>
      <c r="J1040" s="917">
        <f>'2 REPAIR ESTIMATOR'!S1099</f>
        <v>0</v>
      </c>
      <c r="K1040" s="918">
        <f t="shared" si="150"/>
        <v>0</v>
      </c>
      <c r="L1040" s="918">
        <f t="shared" si="151"/>
        <v>0</v>
      </c>
      <c r="M1040" s="918">
        <f t="shared" si="152"/>
        <v>0</v>
      </c>
      <c r="N1040" s="3719">
        <f t="shared" si="153"/>
        <v>0</v>
      </c>
      <c r="O1040" s="3719"/>
      <c r="P1040" s="490">
        <f>I1040</f>
        <v>0</v>
      </c>
      <c r="S1040" s="32">
        <f>'2 REPAIR ESTIMATOR'!AD1099</f>
        <v>0</v>
      </c>
      <c r="T1040" s="32">
        <f>'2 REPAIR ESTIMATOR'!AM1099</f>
        <v>0</v>
      </c>
      <c r="U1040" s="32">
        <f t="shared" si="154"/>
        <v>0</v>
      </c>
      <c r="V1040" s="32">
        <f>'2 REPAIR ESTIMATOR'!AG1099</f>
        <v>0</v>
      </c>
      <c r="W1040" s="32">
        <f>'2 REPAIR ESTIMATOR'!AJ1099</f>
        <v>0</v>
      </c>
    </row>
    <row r="1041" spans="3:23" ht="18" hidden="1">
      <c r="C1041" s="3720" t="str">
        <f>T('2 REPAIR ESTIMATOR'!D1100:O1100)</f>
        <v/>
      </c>
      <c r="D1041" s="3721"/>
      <c r="E1041" s="3721"/>
      <c r="F1041" s="3721"/>
      <c r="G1041" s="3721"/>
      <c r="H1041" s="3721"/>
      <c r="I1041" s="916">
        <f>'2 REPAIR ESTIMATOR'!P1100</f>
        <v>0</v>
      </c>
      <c r="J1041" s="917">
        <f>'2 REPAIR ESTIMATOR'!S1100</f>
        <v>0</v>
      </c>
      <c r="K1041" s="918">
        <f t="shared" si="150"/>
        <v>0</v>
      </c>
      <c r="L1041" s="918">
        <f t="shared" si="151"/>
        <v>0</v>
      </c>
      <c r="M1041" s="918">
        <f t="shared" si="152"/>
        <v>0</v>
      </c>
      <c r="N1041" s="3719">
        <f t="shared" si="153"/>
        <v>0</v>
      </c>
      <c r="O1041" s="3719"/>
      <c r="P1041" s="490">
        <f>I1041</f>
        <v>0</v>
      </c>
      <c r="S1041" s="32">
        <f>'2 REPAIR ESTIMATOR'!AD1100</f>
        <v>0</v>
      </c>
      <c r="T1041" s="32">
        <f>'2 REPAIR ESTIMATOR'!AM1100</f>
        <v>0</v>
      </c>
      <c r="U1041" s="32">
        <f t="shared" si="154"/>
        <v>0</v>
      </c>
      <c r="V1041" s="32">
        <f>'2 REPAIR ESTIMATOR'!AG1100</f>
        <v>0</v>
      </c>
      <c r="W1041" s="32">
        <f>'2 REPAIR ESTIMATOR'!AJ1100</f>
        <v>0</v>
      </c>
    </row>
    <row r="1042" spans="3:23" ht="18" hidden="1">
      <c r="C1042" s="3720" t="str">
        <f>T('2 REPAIR ESTIMATOR'!D1101:O1101)</f>
        <v/>
      </c>
      <c r="D1042" s="3721"/>
      <c r="E1042" s="3721"/>
      <c r="F1042" s="3721"/>
      <c r="G1042" s="3721"/>
      <c r="H1042" s="3721"/>
      <c r="I1042" s="916">
        <f>'2 REPAIR ESTIMATOR'!P1101</f>
        <v>0</v>
      </c>
      <c r="J1042" s="917">
        <f>'2 REPAIR ESTIMATOR'!S1101</f>
        <v>0</v>
      </c>
      <c r="K1042" s="918">
        <f t="shared" si="150"/>
        <v>0</v>
      </c>
      <c r="L1042" s="918">
        <f t="shared" si="151"/>
        <v>0</v>
      </c>
      <c r="M1042" s="918">
        <f t="shared" si="152"/>
        <v>0</v>
      </c>
      <c r="N1042" s="3719">
        <f t="shared" si="153"/>
        <v>0</v>
      </c>
      <c r="O1042" s="3719"/>
      <c r="P1042" s="490">
        <f>I1042</f>
        <v>0</v>
      </c>
      <c r="S1042" s="32">
        <f>'2 REPAIR ESTIMATOR'!AD1101</f>
        <v>0</v>
      </c>
      <c r="T1042" s="32">
        <f>'2 REPAIR ESTIMATOR'!AM1101</f>
        <v>0</v>
      </c>
      <c r="U1042" s="32">
        <f t="shared" si="154"/>
        <v>0</v>
      </c>
      <c r="V1042" s="32">
        <f>'2 REPAIR ESTIMATOR'!AG1101</f>
        <v>0</v>
      </c>
      <c r="W1042" s="32">
        <f>'2 REPAIR ESTIMATOR'!AJ1101</f>
        <v>0</v>
      </c>
    </row>
    <row r="1043" spans="3:23" ht="18" hidden="1">
      <c r="C1043" s="3720" t="str">
        <f>T('2 REPAIR ESTIMATOR'!D1102:O1102)</f>
        <v/>
      </c>
      <c r="D1043" s="3721"/>
      <c r="E1043" s="3721"/>
      <c r="F1043" s="3721"/>
      <c r="G1043" s="3721"/>
      <c r="H1043" s="3721"/>
      <c r="I1043" s="916">
        <f>'2 REPAIR ESTIMATOR'!P1102</f>
        <v>0</v>
      </c>
      <c r="J1043" s="917">
        <f>'2 REPAIR ESTIMATOR'!S1102</f>
        <v>0</v>
      </c>
      <c r="K1043" s="918">
        <f t="shared" si="150"/>
        <v>0</v>
      </c>
      <c r="L1043" s="918">
        <f t="shared" si="151"/>
        <v>0</v>
      </c>
      <c r="M1043" s="918">
        <f t="shared" si="152"/>
        <v>0</v>
      </c>
      <c r="N1043" s="3719">
        <f t="shared" si="153"/>
        <v>0</v>
      </c>
      <c r="O1043" s="3719"/>
      <c r="P1043" s="490">
        <f t="shared" ref="P1043:P1058" si="155">I1043</f>
        <v>0</v>
      </c>
      <c r="S1043" s="32">
        <f>'2 REPAIR ESTIMATOR'!AD1102</f>
        <v>0</v>
      </c>
      <c r="T1043" s="32">
        <f>'2 REPAIR ESTIMATOR'!AM1102</f>
        <v>0</v>
      </c>
      <c r="U1043" s="32">
        <f t="shared" si="154"/>
        <v>0</v>
      </c>
      <c r="V1043" s="32">
        <f>'2 REPAIR ESTIMATOR'!AG1102</f>
        <v>0</v>
      </c>
      <c r="W1043" s="32">
        <f>'2 REPAIR ESTIMATOR'!AJ1102</f>
        <v>0</v>
      </c>
    </row>
    <row r="1044" spans="3:23" ht="18" hidden="1">
      <c r="C1044" s="3720" t="str">
        <f>T('2 REPAIR ESTIMATOR'!D1103:O1103)</f>
        <v/>
      </c>
      <c r="D1044" s="3721"/>
      <c r="E1044" s="3721"/>
      <c r="F1044" s="3721"/>
      <c r="G1044" s="3721"/>
      <c r="H1044" s="3721"/>
      <c r="I1044" s="916">
        <f>'2 REPAIR ESTIMATOR'!P1103</f>
        <v>0</v>
      </c>
      <c r="J1044" s="917">
        <f>'2 REPAIR ESTIMATOR'!S1103</f>
        <v>0</v>
      </c>
      <c r="K1044" s="918">
        <f t="shared" si="150"/>
        <v>0</v>
      </c>
      <c r="L1044" s="918">
        <f t="shared" si="151"/>
        <v>0</v>
      </c>
      <c r="M1044" s="918">
        <f t="shared" si="152"/>
        <v>0</v>
      </c>
      <c r="N1044" s="3719">
        <f t="shared" si="153"/>
        <v>0</v>
      </c>
      <c r="O1044" s="3719"/>
      <c r="P1044" s="490">
        <f t="shared" si="155"/>
        <v>0</v>
      </c>
      <c r="S1044" s="32">
        <f>'2 REPAIR ESTIMATOR'!AD1103</f>
        <v>0</v>
      </c>
      <c r="T1044" s="32">
        <f>'2 REPAIR ESTIMATOR'!AM1103</f>
        <v>0</v>
      </c>
      <c r="U1044" s="32">
        <f t="shared" si="154"/>
        <v>0</v>
      </c>
      <c r="V1044" s="32">
        <f>'2 REPAIR ESTIMATOR'!AG1103</f>
        <v>0</v>
      </c>
      <c r="W1044" s="32">
        <f>'2 REPAIR ESTIMATOR'!AJ1103</f>
        <v>0</v>
      </c>
    </row>
    <row r="1045" spans="3:23" ht="18" hidden="1">
      <c r="C1045" s="3720" t="str">
        <f>T('2 REPAIR ESTIMATOR'!D1104:O1104)</f>
        <v/>
      </c>
      <c r="D1045" s="3721"/>
      <c r="E1045" s="3721"/>
      <c r="F1045" s="3721"/>
      <c r="G1045" s="3721"/>
      <c r="H1045" s="3721"/>
      <c r="I1045" s="916">
        <f>'2 REPAIR ESTIMATOR'!P1104</f>
        <v>0</v>
      </c>
      <c r="J1045" s="917">
        <f>'2 REPAIR ESTIMATOR'!S1104</f>
        <v>0</v>
      </c>
      <c r="K1045" s="918">
        <f t="shared" si="150"/>
        <v>0</v>
      </c>
      <c r="L1045" s="918">
        <f t="shared" si="151"/>
        <v>0</v>
      </c>
      <c r="M1045" s="918">
        <f t="shared" si="152"/>
        <v>0</v>
      </c>
      <c r="N1045" s="3719">
        <f t="shared" si="153"/>
        <v>0</v>
      </c>
      <c r="O1045" s="3719"/>
      <c r="P1045" s="490">
        <f t="shared" si="155"/>
        <v>0</v>
      </c>
      <c r="S1045" s="32">
        <f>'2 REPAIR ESTIMATOR'!AD1104</f>
        <v>0</v>
      </c>
      <c r="T1045" s="32">
        <f>'2 REPAIR ESTIMATOR'!AM1104</f>
        <v>0</v>
      </c>
      <c r="U1045" s="32">
        <f t="shared" si="154"/>
        <v>0</v>
      </c>
      <c r="V1045" s="32">
        <f>'2 REPAIR ESTIMATOR'!AG1104</f>
        <v>0</v>
      </c>
      <c r="W1045" s="32">
        <f>'2 REPAIR ESTIMATOR'!AJ1104</f>
        <v>0</v>
      </c>
    </row>
    <row r="1046" spans="3:23" ht="18" hidden="1">
      <c r="C1046" s="3720" t="str">
        <f>T('2 REPAIR ESTIMATOR'!D1105:O1105)</f>
        <v/>
      </c>
      <c r="D1046" s="3721"/>
      <c r="E1046" s="3721"/>
      <c r="F1046" s="3721"/>
      <c r="G1046" s="3721"/>
      <c r="H1046" s="3721"/>
      <c r="I1046" s="916">
        <f>'2 REPAIR ESTIMATOR'!P1105</f>
        <v>0</v>
      </c>
      <c r="J1046" s="917">
        <f>'2 REPAIR ESTIMATOR'!S1105</f>
        <v>0</v>
      </c>
      <c r="K1046" s="918">
        <f t="shared" si="150"/>
        <v>0</v>
      </c>
      <c r="L1046" s="918">
        <f t="shared" si="151"/>
        <v>0</v>
      </c>
      <c r="M1046" s="918">
        <f t="shared" si="152"/>
        <v>0</v>
      </c>
      <c r="N1046" s="3719">
        <f t="shared" si="153"/>
        <v>0</v>
      </c>
      <c r="O1046" s="3719"/>
      <c r="P1046" s="490">
        <f t="shared" si="155"/>
        <v>0</v>
      </c>
      <c r="S1046" s="32">
        <f>'2 REPAIR ESTIMATOR'!AD1105</f>
        <v>0</v>
      </c>
      <c r="T1046" s="32">
        <f>'2 REPAIR ESTIMATOR'!AM1105</f>
        <v>0</v>
      </c>
      <c r="U1046" s="32">
        <f t="shared" si="154"/>
        <v>0</v>
      </c>
      <c r="V1046" s="32">
        <f>'2 REPAIR ESTIMATOR'!AG1105</f>
        <v>0</v>
      </c>
      <c r="W1046" s="32">
        <f>'2 REPAIR ESTIMATOR'!AJ1105</f>
        <v>0</v>
      </c>
    </row>
    <row r="1047" spans="3:23" ht="18" hidden="1">
      <c r="C1047" s="3720" t="str">
        <f>T('2 REPAIR ESTIMATOR'!D1106:O1106)</f>
        <v/>
      </c>
      <c r="D1047" s="3721"/>
      <c r="E1047" s="3721"/>
      <c r="F1047" s="3721"/>
      <c r="G1047" s="3721"/>
      <c r="H1047" s="3721"/>
      <c r="I1047" s="916">
        <f>'2 REPAIR ESTIMATOR'!P1106</f>
        <v>0</v>
      </c>
      <c r="J1047" s="917">
        <f>'2 REPAIR ESTIMATOR'!S1106</f>
        <v>0</v>
      </c>
      <c r="K1047" s="918">
        <f t="shared" si="150"/>
        <v>0</v>
      </c>
      <c r="L1047" s="918">
        <f t="shared" si="151"/>
        <v>0</v>
      </c>
      <c r="M1047" s="918">
        <f t="shared" si="152"/>
        <v>0</v>
      </c>
      <c r="N1047" s="3719">
        <f t="shared" si="153"/>
        <v>0</v>
      </c>
      <c r="O1047" s="3719"/>
      <c r="P1047" s="490">
        <f t="shared" si="155"/>
        <v>0</v>
      </c>
      <c r="S1047" s="32">
        <f>'2 REPAIR ESTIMATOR'!AD1106</f>
        <v>0</v>
      </c>
      <c r="T1047" s="32">
        <f>'2 REPAIR ESTIMATOR'!AM1106</f>
        <v>0</v>
      </c>
      <c r="U1047" s="32">
        <f t="shared" si="154"/>
        <v>0</v>
      </c>
      <c r="V1047" s="32">
        <f>'2 REPAIR ESTIMATOR'!AG1106</f>
        <v>0</v>
      </c>
      <c r="W1047" s="32">
        <f>'2 REPAIR ESTIMATOR'!AJ1106</f>
        <v>0</v>
      </c>
    </row>
    <row r="1048" spans="3:23" ht="18" hidden="1">
      <c r="C1048" s="3720" t="str">
        <f>T('2 REPAIR ESTIMATOR'!D1107:O1107)</f>
        <v/>
      </c>
      <c r="D1048" s="3721"/>
      <c r="E1048" s="3721"/>
      <c r="F1048" s="3721"/>
      <c r="G1048" s="3721"/>
      <c r="H1048" s="3721"/>
      <c r="I1048" s="916">
        <f>'2 REPAIR ESTIMATOR'!P1107</f>
        <v>0</v>
      </c>
      <c r="J1048" s="917">
        <f>'2 REPAIR ESTIMATOR'!S1107</f>
        <v>0</v>
      </c>
      <c r="K1048" s="918">
        <f t="shared" si="150"/>
        <v>0</v>
      </c>
      <c r="L1048" s="918">
        <f t="shared" si="151"/>
        <v>0</v>
      </c>
      <c r="M1048" s="918">
        <f t="shared" si="152"/>
        <v>0</v>
      </c>
      <c r="N1048" s="3719">
        <f t="shared" si="153"/>
        <v>0</v>
      </c>
      <c r="O1048" s="3719"/>
      <c r="P1048" s="490">
        <f t="shared" si="155"/>
        <v>0</v>
      </c>
      <c r="S1048" s="32">
        <f>'2 REPAIR ESTIMATOR'!AD1107</f>
        <v>0</v>
      </c>
      <c r="T1048" s="32">
        <f>'2 REPAIR ESTIMATOR'!AM1107</f>
        <v>0</v>
      </c>
      <c r="U1048" s="32">
        <f t="shared" si="154"/>
        <v>0</v>
      </c>
      <c r="V1048" s="32">
        <f>'2 REPAIR ESTIMATOR'!AG1107</f>
        <v>0</v>
      </c>
      <c r="W1048" s="32">
        <f>'2 REPAIR ESTIMATOR'!AJ1107</f>
        <v>0</v>
      </c>
    </row>
    <row r="1049" spans="3:23" ht="18" hidden="1">
      <c r="C1049" s="3720" t="str">
        <f>T('2 REPAIR ESTIMATOR'!D1108:O1108)</f>
        <v/>
      </c>
      <c r="D1049" s="3721"/>
      <c r="E1049" s="3721"/>
      <c r="F1049" s="3721"/>
      <c r="G1049" s="3721"/>
      <c r="H1049" s="3721"/>
      <c r="I1049" s="916">
        <f>'2 REPAIR ESTIMATOR'!P1108</f>
        <v>0</v>
      </c>
      <c r="J1049" s="917">
        <f>'2 REPAIR ESTIMATOR'!S1108</f>
        <v>0</v>
      </c>
      <c r="K1049" s="918">
        <f t="shared" si="150"/>
        <v>0</v>
      </c>
      <c r="L1049" s="918">
        <f t="shared" si="151"/>
        <v>0</v>
      </c>
      <c r="M1049" s="918">
        <f t="shared" si="152"/>
        <v>0</v>
      </c>
      <c r="N1049" s="3719">
        <f t="shared" si="153"/>
        <v>0</v>
      </c>
      <c r="O1049" s="3719"/>
      <c r="P1049" s="490">
        <f t="shared" si="155"/>
        <v>0</v>
      </c>
      <c r="S1049" s="32">
        <f>'2 REPAIR ESTIMATOR'!AD1108</f>
        <v>0</v>
      </c>
      <c r="T1049" s="32">
        <f>'2 REPAIR ESTIMATOR'!AM1108</f>
        <v>0</v>
      </c>
      <c r="U1049" s="32">
        <f t="shared" si="154"/>
        <v>0</v>
      </c>
      <c r="V1049" s="32">
        <f>'2 REPAIR ESTIMATOR'!AG1108</f>
        <v>0</v>
      </c>
      <c r="W1049" s="32">
        <f>'2 REPAIR ESTIMATOR'!AJ1108</f>
        <v>0</v>
      </c>
    </row>
    <row r="1050" spans="3:23" ht="18" hidden="1">
      <c r="C1050" s="3720" t="str">
        <f>T('2 REPAIR ESTIMATOR'!D1109:O1109)</f>
        <v/>
      </c>
      <c r="D1050" s="3721"/>
      <c r="E1050" s="3721"/>
      <c r="F1050" s="3721"/>
      <c r="G1050" s="3721"/>
      <c r="H1050" s="3721"/>
      <c r="I1050" s="916">
        <f>'2 REPAIR ESTIMATOR'!P1109</f>
        <v>0</v>
      </c>
      <c r="J1050" s="917">
        <f>'2 REPAIR ESTIMATOR'!S1109</f>
        <v>0</v>
      </c>
      <c r="K1050" s="918">
        <f t="shared" si="150"/>
        <v>0</v>
      </c>
      <c r="L1050" s="918">
        <f t="shared" si="151"/>
        <v>0</v>
      </c>
      <c r="M1050" s="918">
        <f t="shared" si="152"/>
        <v>0</v>
      </c>
      <c r="N1050" s="3719">
        <f t="shared" si="153"/>
        <v>0</v>
      </c>
      <c r="O1050" s="3719"/>
      <c r="P1050" s="490">
        <f t="shared" si="155"/>
        <v>0</v>
      </c>
      <c r="S1050" s="32">
        <f>'2 REPAIR ESTIMATOR'!AD1109</f>
        <v>0</v>
      </c>
      <c r="T1050" s="32">
        <f>'2 REPAIR ESTIMATOR'!AM1109</f>
        <v>0</v>
      </c>
      <c r="U1050" s="32">
        <f t="shared" si="154"/>
        <v>0</v>
      </c>
      <c r="V1050" s="32">
        <f>'2 REPAIR ESTIMATOR'!AG1109</f>
        <v>0</v>
      </c>
      <c r="W1050" s="32">
        <f>'2 REPAIR ESTIMATOR'!AJ1109</f>
        <v>0</v>
      </c>
    </row>
    <row r="1051" spans="3:23" ht="18" hidden="1">
      <c r="C1051" s="3720" t="str">
        <f>T('2 REPAIR ESTIMATOR'!D1110:O1110)</f>
        <v/>
      </c>
      <c r="D1051" s="3721"/>
      <c r="E1051" s="3721"/>
      <c r="F1051" s="3721"/>
      <c r="G1051" s="3721"/>
      <c r="H1051" s="3721"/>
      <c r="I1051" s="916">
        <f>'2 REPAIR ESTIMATOR'!P1110</f>
        <v>0</v>
      </c>
      <c r="J1051" s="917">
        <f>'2 REPAIR ESTIMATOR'!S1110</f>
        <v>0</v>
      </c>
      <c r="K1051" s="918">
        <f t="shared" si="150"/>
        <v>0</v>
      </c>
      <c r="L1051" s="918">
        <f t="shared" si="151"/>
        <v>0</v>
      </c>
      <c r="M1051" s="918">
        <f t="shared" si="152"/>
        <v>0</v>
      </c>
      <c r="N1051" s="3719">
        <f t="shared" si="153"/>
        <v>0</v>
      </c>
      <c r="O1051" s="3719"/>
      <c r="P1051" s="490">
        <f t="shared" si="155"/>
        <v>0</v>
      </c>
      <c r="S1051" s="32">
        <f>'2 REPAIR ESTIMATOR'!AD1110</f>
        <v>0</v>
      </c>
      <c r="T1051" s="32">
        <f>'2 REPAIR ESTIMATOR'!AM1110</f>
        <v>0</v>
      </c>
      <c r="U1051" s="32">
        <f t="shared" si="154"/>
        <v>0</v>
      </c>
      <c r="V1051" s="32">
        <f>'2 REPAIR ESTIMATOR'!AG1110</f>
        <v>0</v>
      </c>
      <c r="W1051" s="32">
        <f>'2 REPAIR ESTIMATOR'!AJ1110</f>
        <v>0</v>
      </c>
    </row>
    <row r="1052" spans="3:23" ht="18" hidden="1">
      <c r="C1052" s="3720" t="str">
        <f>T('2 REPAIR ESTIMATOR'!D1111:O1111)</f>
        <v/>
      </c>
      <c r="D1052" s="3721"/>
      <c r="E1052" s="3721"/>
      <c r="F1052" s="3721"/>
      <c r="G1052" s="3721"/>
      <c r="H1052" s="3721"/>
      <c r="I1052" s="916">
        <f>'2 REPAIR ESTIMATOR'!P1111</f>
        <v>0</v>
      </c>
      <c r="J1052" s="917">
        <f>'2 REPAIR ESTIMATOR'!S1111</f>
        <v>0</v>
      </c>
      <c r="K1052" s="918">
        <f t="shared" si="150"/>
        <v>0</v>
      </c>
      <c r="L1052" s="918">
        <f t="shared" si="151"/>
        <v>0</v>
      </c>
      <c r="M1052" s="918">
        <f t="shared" si="152"/>
        <v>0</v>
      </c>
      <c r="N1052" s="3719">
        <f t="shared" si="153"/>
        <v>0</v>
      </c>
      <c r="O1052" s="3719"/>
      <c r="P1052" s="490">
        <f t="shared" si="155"/>
        <v>0</v>
      </c>
      <c r="S1052" s="32">
        <f>'2 REPAIR ESTIMATOR'!AD1111</f>
        <v>0</v>
      </c>
      <c r="T1052" s="32">
        <f>'2 REPAIR ESTIMATOR'!AM1111</f>
        <v>0</v>
      </c>
      <c r="U1052" s="32">
        <f t="shared" si="154"/>
        <v>0</v>
      </c>
      <c r="V1052" s="32">
        <f>'2 REPAIR ESTIMATOR'!AG1111</f>
        <v>0</v>
      </c>
      <c r="W1052" s="32">
        <f>'2 REPAIR ESTIMATOR'!AJ1111</f>
        <v>0</v>
      </c>
    </row>
    <row r="1053" spans="3:23" ht="18" hidden="1">
      <c r="C1053" s="3720" t="str">
        <f>T('2 REPAIR ESTIMATOR'!D1112:O1112)</f>
        <v/>
      </c>
      <c r="D1053" s="3721"/>
      <c r="E1053" s="3721"/>
      <c r="F1053" s="3721"/>
      <c r="G1053" s="3721"/>
      <c r="H1053" s="3721"/>
      <c r="I1053" s="916">
        <f>'2 REPAIR ESTIMATOR'!P1112</f>
        <v>0</v>
      </c>
      <c r="J1053" s="917">
        <f>'2 REPAIR ESTIMATOR'!S1112</f>
        <v>0</v>
      </c>
      <c r="K1053" s="918">
        <f t="shared" si="150"/>
        <v>0</v>
      </c>
      <c r="L1053" s="918">
        <f t="shared" si="151"/>
        <v>0</v>
      </c>
      <c r="M1053" s="918">
        <f t="shared" si="152"/>
        <v>0</v>
      </c>
      <c r="N1053" s="3719">
        <f t="shared" si="153"/>
        <v>0</v>
      </c>
      <c r="O1053" s="3719"/>
      <c r="P1053" s="490">
        <f t="shared" si="155"/>
        <v>0</v>
      </c>
      <c r="S1053" s="32">
        <f>'2 REPAIR ESTIMATOR'!AD1112</f>
        <v>0</v>
      </c>
      <c r="T1053" s="32">
        <f>'2 REPAIR ESTIMATOR'!AM1112</f>
        <v>0</v>
      </c>
      <c r="U1053" s="32">
        <f t="shared" si="154"/>
        <v>0</v>
      </c>
      <c r="V1053" s="32">
        <f>'2 REPAIR ESTIMATOR'!AG1112</f>
        <v>0</v>
      </c>
      <c r="W1053" s="32">
        <f>'2 REPAIR ESTIMATOR'!AJ1112</f>
        <v>0</v>
      </c>
    </row>
    <row r="1054" spans="3:23" ht="18" hidden="1">
      <c r="C1054" s="3720" t="str">
        <f>T('2 REPAIR ESTIMATOR'!D1113:O1113)</f>
        <v/>
      </c>
      <c r="D1054" s="3721"/>
      <c r="E1054" s="3721"/>
      <c r="F1054" s="3721"/>
      <c r="G1054" s="3721"/>
      <c r="H1054" s="3721"/>
      <c r="I1054" s="916">
        <f>'2 REPAIR ESTIMATOR'!P1113</f>
        <v>0</v>
      </c>
      <c r="J1054" s="917">
        <f>'2 REPAIR ESTIMATOR'!S1113</f>
        <v>0</v>
      </c>
      <c r="K1054" s="918">
        <f t="shared" si="150"/>
        <v>0</v>
      </c>
      <c r="L1054" s="918">
        <f t="shared" si="151"/>
        <v>0</v>
      </c>
      <c r="M1054" s="918">
        <f t="shared" si="152"/>
        <v>0</v>
      </c>
      <c r="N1054" s="3719">
        <f t="shared" si="153"/>
        <v>0</v>
      </c>
      <c r="O1054" s="3719"/>
      <c r="P1054" s="490">
        <f t="shared" si="155"/>
        <v>0</v>
      </c>
      <c r="S1054" s="32">
        <f>'2 REPAIR ESTIMATOR'!AD1113</f>
        <v>0</v>
      </c>
      <c r="T1054" s="32">
        <f>'2 REPAIR ESTIMATOR'!AM1113</f>
        <v>0</v>
      </c>
      <c r="U1054" s="32">
        <f t="shared" si="154"/>
        <v>0</v>
      </c>
      <c r="V1054" s="32">
        <f>'2 REPAIR ESTIMATOR'!AG1113</f>
        <v>0</v>
      </c>
      <c r="W1054" s="32">
        <f>'2 REPAIR ESTIMATOR'!AJ1113</f>
        <v>0</v>
      </c>
    </row>
    <row r="1055" spans="3:23" ht="18" hidden="1">
      <c r="C1055" s="3720" t="str">
        <f>T('2 REPAIR ESTIMATOR'!D1114:O1114)</f>
        <v/>
      </c>
      <c r="D1055" s="3721"/>
      <c r="E1055" s="3721"/>
      <c r="F1055" s="3721"/>
      <c r="G1055" s="3721"/>
      <c r="H1055" s="3721"/>
      <c r="I1055" s="916">
        <f>'2 REPAIR ESTIMATOR'!P1114</f>
        <v>0</v>
      </c>
      <c r="J1055" s="917">
        <f>'2 REPAIR ESTIMATOR'!S1114</f>
        <v>0</v>
      </c>
      <c r="K1055" s="918">
        <f t="shared" si="150"/>
        <v>0</v>
      </c>
      <c r="L1055" s="918">
        <f t="shared" si="151"/>
        <v>0</v>
      </c>
      <c r="M1055" s="918">
        <f t="shared" si="152"/>
        <v>0</v>
      </c>
      <c r="N1055" s="3719">
        <f t="shared" si="153"/>
        <v>0</v>
      </c>
      <c r="O1055" s="3719"/>
      <c r="P1055" s="490">
        <f t="shared" si="155"/>
        <v>0</v>
      </c>
      <c r="S1055" s="32">
        <f>'2 REPAIR ESTIMATOR'!AD1114</f>
        <v>0</v>
      </c>
      <c r="T1055" s="32">
        <f>'2 REPAIR ESTIMATOR'!AM1114</f>
        <v>0</v>
      </c>
      <c r="U1055" s="32">
        <f t="shared" si="154"/>
        <v>0</v>
      </c>
      <c r="V1055" s="32">
        <f>'2 REPAIR ESTIMATOR'!AG1114</f>
        <v>0</v>
      </c>
      <c r="W1055" s="32">
        <f>'2 REPAIR ESTIMATOR'!AJ1114</f>
        <v>0</v>
      </c>
    </row>
    <row r="1056" spans="3:23" ht="18" hidden="1">
      <c r="C1056" s="3720" t="str">
        <f>T('2 REPAIR ESTIMATOR'!D1115:O1115)</f>
        <v/>
      </c>
      <c r="D1056" s="3721"/>
      <c r="E1056" s="3721"/>
      <c r="F1056" s="3721"/>
      <c r="G1056" s="3721"/>
      <c r="H1056" s="3721"/>
      <c r="I1056" s="916">
        <f>'2 REPAIR ESTIMATOR'!P1115</f>
        <v>0</v>
      </c>
      <c r="J1056" s="917">
        <f>'2 REPAIR ESTIMATOR'!S1115</f>
        <v>0</v>
      </c>
      <c r="K1056" s="918">
        <f t="shared" si="150"/>
        <v>0</v>
      </c>
      <c r="L1056" s="918">
        <f t="shared" si="151"/>
        <v>0</v>
      </c>
      <c r="M1056" s="918">
        <f t="shared" si="152"/>
        <v>0</v>
      </c>
      <c r="N1056" s="3719">
        <f t="shared" si="153"/>
        <v>0</v>
      </c>
      <c r="O1056" s="3719"/>
      <c r="P1056" s="490">
        <f t="shared" si="155"/>
        <v>0</v>
      </c>
      <c r="S1056" s="32">
        <f>'2 REPAIR ESTIMATOR'!AD1115</f>
        <v>0</v>
      </c>
      <c r="T1056" s="32">
        <f>'2 REPAIR ESTIMATOR'!AM1115</f>
        <v>0</v>
      </c>
      <c r="U1056" s="32">
        <f t="shared" si="154"/>
        <v>0</v>
      </c>
      <c r="V1056" s="32">
        <f>'2 REPAIR ESTIMATOR'!AG1115</f>
        <v>0</v>
      </c>
      <c r="W1056" s="32">
        <f>'2 REPAIR ESTIMATOR'!AJ1115</f>
        <v>0</v>
      </c>
    </row>
    <row r="1057" spans="3:23" ht="18" hidden="1">
      <c r="C1057" s="3720" t="str">
        <f>T('2 REPAIR ESTIMATOR'!D1116:O1116)</f>
        <v/>
      </c>
      <c r="D1057" s="3721"/>
      <c r="E1057" s="3721"/>
      <c r="F1057" s="3721"/>
      <c r="G1057" s="3721"/>
      <c r="H1057" s="3721"/>
      <c r="I1057" s="916">
        <f>'2 REPAIR ESTIMATOR'!P1116</f>
        <v>0</v>
      </c>
      <c r="J1057" s="917">
        <f>'2 REPAIR ESTIMATOR'!S1116</f>
        <v>0</v>
      </c>
      <c r="K1057" s="918">
        <f t="shared" si="150"/>
        <v>0</v>
      </c>
      <c r="L1057" s="918">
        <f t="shared" si="151"/>
        <v>0</v>
      </c>
      <c r="M1057" s="918">
        <f t="shared" si="152"/>
        <v>0</v>
      </c>
      <c r="N1057" s="3719">
        <f t="shared" si="153"/>
        <v>0</v>
      </c>
      <c r="O1057" s="3719"/>
      <c r="P1057" s="490">
        <f t="shared" si="155"/>
        <v>0</v>
      </c>
      <c r="S1057" s="32">
        <f>'2 REPAIR ESTIMATOR'!AD1116</f>
        <v>0</v>
      </c>
      <c r="T1057" s="32">
        <f>'2 REPAIR ESTIMATOR'!AM1116</f>
        <v>0</v>
      </c>
      <c r="U1057" s="32">
        <f t="shared" si="154"/>
        <v>0</v>
      </c>
      <c r="V1057" s="32">
        <f>'2 REPAIR ESTIMATOR'!AG1116</f>
        <v>0</v>
      </c>
      <c r="W1057" s="32">
        <f>'2 REPAIR ESTIMATOR'!AJ1116</f>
        <v>0</v>
      </c>
    </row>
    <row r="1058" spans="3:23" ht="18.350000000000001" hidden="1" thickBot="1">
      <c r="C1058" s="3779" t="str">
        <f>T('2 REPAIR ESTIMATOR'!D1117:O1117)</f>
        <v/>
      </c>
      <c r="D1058" s="3780"/>
      <c r="E1058" s="3780"/>
      <c r="F1058" s="3780"/>
      <c r="G1058" s="3780"/>
      <c r="H1058" s="3780"/>
      <c r="I1058" s="919">
        <f>'2 REPAIR ESTIMATOR'!P1117</f>
        <v>0</v>
      </c>
      <c r="J1058" s="920">
        <f>'2 REPAIR ESTIMATOR'!S1117</f>
        <v>0</v>
      </c>
      <c r="K1058" s="921">
        <f t="shared" si="150"/>
        <v>0</v>
      </c>
      <c r="L1058" s="921">
        <f t="shared" si="151"/>
        <v>0</v>
      </c>
      <c r="M1058" s="921">
        <f t="shared" si="152"/>
        <v>0</v>
      </c>
      <c r="N1058" s="3781">
        <f t="shared" si="153"/>
        <v>0</v>
      </c>
      <c r="O1058" s="3781"/>
      <c r="P1058" s="490">
        <f t="shared" si="155"/>
        <v>0</v>
      </c>
      <c r="S1058" s="32">
        <f>'2 REPAIR ESTIMATOR'!AD1117</f>
        <v>0</v>
      </c>
      <c r="T1058" s="32">
        <f>'2 REPAIR ESTIMATOR'!AM1117</f>
        <v>0</v>
      </c>
      <c r="U1058" s="32">
        <f t="shared" si="154"/>
        <v>0</v>
      </c>
      <c r="V1058" s="32">
        <f>'2 REPAIR ESTIMATOR'!AG1117</f>
        <v>0</v>
      </c>
      <c r="W1058" s="32">
        <f>'2 REPAIR ESTIMATOR'!AJ1117</f>
        <v>0</v>
      </c>
    </row>
    <row r="1059" spans="3:23" ht="18.350000000000001" hidden="1" thickBot="1">
      <c r="C1059" s="3723" t="str">
        <f>T('2 REPAIR ESTIMATOR'!AC1119)</f>
        <v>ELECTRICAL TOTAL</v>
      </c>
      <c r="D1059" s="3724"/>
      <c r="E1059" s="3724"/>
      <c r="F1059" s="3724"/>
      <c r="G1059" s="3724"/>
      <c r="H1059" s="3724"/>
      <c r="I1059" s="3724"/>
      <c r="J1059" s="3724"/>
      <c r="K1059" s="922">
        <f>SUM(K1019:K1058)</f>
        <v>0</v>
      </c>
      <c r="L1059" s="922">
        <f>SUM(L1019:L1058)</f>
        <v>0</v>
      </c>
      <c r="M1059" s="922">
        <f>SUM(M1019:M1058)</f>
        <v>0</v>
      </c>
      <c r="N1059" s="3789">
        <f>SUM(N1019:O1058)</f>
        <v>0</v>
      </c>
      <c r="O1059" s="3789"/>
      <c r="P1059" s="489">
        <f>SUM(P1018:P1038)</f>
        <v>0</v>
      </c>
      <c r="S1059" s="33">
        <f>SUM(S1019:S1058)</f>
        <v>0</v>
      </c>
      <c r="T1059" s="33">
        <f>SUM(T1019:T1058)</f>
        <v>0</v>
      </c>
      <c r="U1059" s="33">
        <f>SUM(U1019:U1058)</f>
        <v>0</v>
      </c>
      <c r="V1059" s="33">
        <f>SUM(V1019:V1058)</f>
        <v>0</v>
      </c>
      <c r="W1059" s="33">
        <f>SUM(W1019:W1058)</f>
        <v>0</v>
      </c>
    </row>
    <row r="1060" spans="3:23" ht="8.85" hidden="1" customHeight="1">
      <c r="C1060" s="841"/>
      <c r="D1060" s="841"/>
      <c r="E1060" s="841"/>
      <c r="F1060" s="841"/>
      <c r="G1060" s="841"/>
      <c r="H1060" s="841"/>
      <c r="I1060" s="842"/>
      <c r="J1060" s="842"/>
      <c r="K1060" s="842"/>
      <c r="L1060" s="842"/>
      <c r="M1060" s="842"/>
      <c r="N1060" s="843"/>
      <c r="O1060" s="798"/>
      <c r="P1060" s="489">
        <f>P1059</f>
        <v>0</v>
      </c>
    </row>
    <row r="1061" spans="3:23" ht="21" hidden="1" customHeight="1" thickBot="1">
      <c r="C1061" s="3782" t="str">
        <f>T('2 REPAIR ESTIMATOR'!D1122:O1122)</f>
        <v>MISCELLANEOUS</v>
      </c>
      <c r="D1061" s="3783"/>
      <c r="E1061" s="3783"/>
      <c r="F1061" s="3783"/>
      <c r="G1061" s="3783"/>
      <c r="H1061" s="3783"/>
      <c r="I1061" s="799">
        <f>SUM(I1062:I1101)</f>
        <v>0</v>
      </c>
      <c r="J1061" s="800"/>
      <c r="K1061" s="850"/>
      <c r="L1061" s="850"/>
      <c r="M1061" s="850"/>
      <c r="N1061" s="3722"/>
      <c r="O1061" s="3722"/>
      <c r="P1061" s="489">
        <f t="shared" si="143"/>
        <v>0</v>
      </c>
      <c r="S1061" s="34"/>
      <c r="T1061" s="34"/>
      <c r="U1061" s="34"/>
      <c r="V1061" s="34"/>
      <c r="W1061" s="34"/>
    </row>
    <row r="1062" spans="3:23" ht="18" hidden="1">
      <c r="C1062" s="3720" t="str">
        <f>T('2 REPAIR ESTIMATOR'!D1123:O1123)</f>
        <v>Bath accessories, towel bar, toilet disp, ea bathroom</v>
      </c>
      <c r="D1062" s="3721"/>
      <c r="E1062" s="3721"/>
      <c r="F1062" s="3721"/>
      <c r="G1062" s="3721"/>
      <c r="H1062" s="3721"/>
      <c r="I1062" s="916">
        <f>'2 REPAIR ESTIMATOR'!P1123</f>
        <v>0</v>
      </c>
      <c r="J1062" s="917" t="str">
        <f>'2 REPAIR ESTIMATOR'!S1123</f>
        <v>ea</v>
      </c>
      <c r="K1062" s="918">
        <f t="shared" ref="K1062:K1101" si="156">IF($N$3="subbed",U1062,S1062)*$S$70</f>
        <v>0</v>
      </c>
      <c r="L1062" s="918">
        <f>V1062*$S$70</f>
        <v>0</v>
      </c>
      <c r="M1062" s="918">
        <f>W1062*$S$70</f>
        <v>0</v>
      </c>
      <c r="N1062" s="3719">
        <f>SUM(K1062:M1062)</f>
        <v>0</v>
      </c>
      <c r="O1062" s="3719"/>
      <c r="P1062" s="489">
        <f t="shared" si="143"/>
        <v>0</v>
      </c>
      <c r="S1062" s="32">
        <f>'2 REPAIR ESTIMATOR'!AD1123</f>
        <v>0</v>
      </c>
      <c r="T1062" s="32">
        <f>'2 REPAIR ESTIMATOR'!AM1123</f>
        <v>0</v>
      </c>
      <c r="U1062" s="32">
        <f>T1062+S1062</f>
        <v>0</v>
      </c>
      <c r="V1062" s="32">
        <f>'2 REPAIR ESTIMATOR'!AG1123</f>
        <v>0</v>
      </c>
      <c r="W1062" s="32">
        <f>'2 REPAIR ESTIMATOR'!AJ1123</f>
        <v>0</v>
      </c>
    </row>
    <row r="1063" spans="3:23" ht="18" hidden="1">
      <c r="C1063" s="3720" t="str">
        <f>T('2 REPAIR ESTIMATOR'!D1124:O1124)</f>
        <v>Bathroom mirrors</v>
      </c>
      <c r="D1063" s="3721"/>
      <c r="E1063" s="3721"/>
      <c r="F1063" s="3721"/>
      <c r="G1063" s="3721"/>
      <c r="H1063" s="3721"/>
      <c r="I1063" s="916">
        <f>'2 REPAIR ESTIMATOR'!P1124</f>
        <v>0</v>
      </c>
      <c r="J1063" s="917" t="str">
        <f>'2 REPAIR ESTIMATOR'!S1124</f>
        <v>ea</v>
      </c>
      <c r="K1063" s="918">
        <f t="shared" si="156"/>
        <v>0</v>
      </c>
      <c r="L1063" s="918">
        <f t="shared" ref="L1063:L1101" si="157">V1063*$S$70</f>
        <v>0</v>
      </c>
      <c r="M1063" s="918">
        <f t="shared" ref="M1063:M1101" si="158">W1063*$S$70</f>
        <v>0</v>
      </c>
      <c r="N1063" s="3719">
        <f t="shared" ref="N1063:N1101" si="159">SUM(K1063:M1063)</f>
        <v>0</v>
      </c>
      <c r="O1063" s="3719"/>
      <c r="P1063" s="489">
        <f t="shared" si="143"/>
        <v>0</v>
      </c>
      <c r="S1063" s="32">
        <f>'2 REPAIR ESTIMATOR'!AD1124</f>
        <v>0</v>
      </c>
      <c r="T1063" s="32">
        <f>'2 REPAIR ESTIMATOR'!AM1124</f>
        <v>0</v>
      </c>
      <c r="U1063" s="32">
        <f t="shared" ref="U1063:U1101" si="160">T1063+S1063</f>
        <v>0</v>
      </c>
      <c r="V1063" s="32">
        <f>'2 REPAIR ESTIMATOR'!AG1124</f>
        <v>0</v>
      </c>
      <c r="W1063" s="32">
        <f>'2 REPAIR ESTIMATOR'!AJ1124</f>
        <v>0</v>
      </c>
    </row>
    <row r="1064" spans="3:23" ht="18" hidden="1">
      <c r="C1064" s="3720" t="str">
        <f>T('2 REPAIR ESTIMATOR'!D1125:O1125)</f>
        <v>Window coverings, each window</v>
      </c>
      <c r="D1064" s="3721"/>
      <c r="E1064" s="3721"/>
      <c r="F1064" s="3721"/>
      <c r="G1064" s="3721"/>
      <c r="H1064" s="3721"/>
      <c r="I1064" s="916">
        <f>'2 REPAIR ESTIMATOR'!P1125</f>
        <v>0</v>
      </c>
      <c r="J1064" s="917" t="str">
        <f>'2 REPAIR ESTIMATOR'!S1125</f>
        <v>ea</v>
      </c>
      <c r="K1064" s="918">
        <f t="shared" si="156"/>
        <v>0</v>
      </c>
      <c r="L1064" s="918">
        <f t="shared" si="157"/>
        <v>0</v>
      </c>
      <c r="M1064" s="918">
        <f t="shared" si="158"/>
        <v>0</v>
      </c>
      <c r="N1064" s="3719">
        <f t="shared" si="159"/>
        <v>0</v>
      </c>
      <c r="O1064" s="3719"/>
      <c r="P1064" s="490">
        <f t="shared" si="143"/>
        <v>0</v>
      </c>
      <c r="S1064" s="32">
        <f>'2 REPAIR ESTIMATOR'!AD1125</f>
        <v>0</v>
      </c>
      <c r="T1064" s="32">
        <f>'2 REPAIR ESTIMATOR'!AM1125</f>
        <v>0</v>
      </c>
      <c r="U1064" s="32">
        <f t="shared" si="160"/>
        <v>0</v>
      </c>
      <c r="V1064" s="32">
        <f>'2 REPAIR ESTIMATOR'!AG1125</f>
        <v>0</v>
      </c>
      <c r="W1064" s="32">
        <f>'2 REPAIR ESTIMATOR'!AJ1125</f>
        <v>0</v>
      </c>
    </row>
    <row r="1065" spans="3:23" ht="18" hidden="1">
      <c r="C1065" s="3720" t="str">
        <f>T('2 REPAIR ESTIMATOR'!D1126:O1126)</f>
        <v/>
      </c>
      <c r="D1065" s="3721"/>
      <c r="E1065" s="3721"/>
      <c r="F1065" s="3721"/>
      <c r="G1065" s="3721"/>
      <c r="H1065" s="3721"/>
      <c r="I1065" s="916">
        <f>'2 REPAIR ESTIMATOR'!P1126</f>
        <v>0</v>
      </c>
      <c r="J1065" s="917">
        <f>'2 REPAIR ESTIMATOR'!S1126</f>
        <v>0</v>
      </c>
      <c r="K1065" s="918">
        <f t="shared" si="156"/>
        <v>0</v>
      </c>
      <c r="L1065" s="918">
        <f t="shared" si="157"/>
        <v>0</v>
      </c>
      <c r="M1065" s="918">
        <f t="shared" si="158"/>
        <v>0</v>
      </c>
      <c r="N1065" s="3719">
        <f t="shared" si="159"/>
        <v>0</v>
      </c>
      <c r="O1065" s="3719"/>
      <c r="P1065" s="490">
        <f t="shared" si="143"/>
        <v>0</v>
      </c>
      <c r="S1065" s="32">
        <f>'2 REPAIR ESTIMATOR'!AD1126</f>
        <v>0</v>
      </c>
      <c r="T1065" s="32">
        <f>'2 REPAIR ESTIMATOR'!AM1126</f>
        <v>0</v>
      </c>
      <c r="U1065" s="32">
        <f t="shared" si="160"/>
        <v>0</v>
      </c>
      <c r="V1065" s="32">
        <f>'2 REPAIR ESTIMATOR'!AG1126</f>
        <v>0</v>
      </c>
      <c r="W1065" s="32">
        <f>'2 REPAIR ESTIMATOR'!AJ1126</f>
        <v>0</v>
      </c>
    </row>
    <row r="1066" spans="3:23" ht="18" hidden="1">
      <c r="C1066" s="3720" t="str">
        <f>T('2 REPAIR ESTIMATOR'!D1127:O1127)</f>
        <v/>
      </c>
      <c r="D1066" s="3721"/>
      <c r="E1066" s="3721"/>
      <c r="F1066" s="3721"/>
      <c r="G1066" s="3721"/>
      <c r="H1066" s="3721"/>
      <c r="I1066" s="916">
        <f>'2 REPAIR ESTIMATOR'!P1127</f>
        <v>0</v>
      </c>
      <c r="J1066" s="917">
        <f>'2 REPAIR ESTIMATOR'!S1127</f>
        <v>0</v>
      </c>
      <c r="K1066" s="918">
        <f t="shared" si="156"/>
        <v>0</v>
      </c>
      <c r="L1066" s="918">
        <f t="shared" si="157"/>
        <v>0</v>
      </c>
      <c r="M1066" s="918">
        <f t="shared" si="158"/>
        <v>0</v>
      </c>
      <c r="N1066" s="3719">
        <f t="shared" si="159"/>
        <v>0</v>
      </c>
      <c r="O1066" s="3719"/>
      <c r="P1066" s="490">
        <f t="shared" si="143"/>
        <v>0</v>
      </c>
      <c r="S1066" s="32">
        <f>'2 REPAIR ESTIMATOR'!AD1127</f>
        <v>0</v>
      </c>
      <c r="T1066" s="32">
        <f>'2 REPAIR ESTIMATOR'!AM1127</f>
        <v>0</v>
      </c>
      <c r="U1066" s="32">
        <f t="shared" si="160"/>
        <v>0</v>
      </c>
      <c r="V1066" s="32">
        <f>'2 REPAIR ESTIMATOR'!AG1127</f>
        <v>0</v>
      </c>
      <c r="W1066" s="32">
        <f>'2 REPAIR ESTIMATOR'!AJ1127</f>
        <v>0</v>
      </c>
    </row>
    <row r="1067" spans="3:23" ht="18" hidden="1">
      <c r="C1067" s="3720" t="str">
        <f>T('2 REPAIR ESTIMATOR'!D1128:O1128)</f>
        <v/>
      </c>
      <c r="D1067" s="3721"/>
      <c r="E1067" s="3721"/>
      <c r="F1067" s="3721"/>
      <c r="G1067" s="3721"/>
      <c r="H1067" s="3721"/>
      <c r="I1067" s="916">
        <f>'2 REPAIR ESTIMATOR'!P1128</f>
        <v>0</v>
      </c>
      <c r="J1067" s="917">
        <f>'2 REPAIR ESTIMATOR'!S1128</f>
        <v>0</v>
      </c>
      <c r="K1067" s="918">
        <f t="shared" si="156"/>
        <v>0</v>
      </c>
      <c r="L1067" s="918">
        <f t="shared" si="157"/>
        <v>0</v>
      </c>
      <c r="M1067" s="918">
        <f t="shared" si="158"/>
        <v>0</v>
      </c>
      <c r="N1067" s="3719">
        <f t="shared" si="159"/>
        <v>0</v>
      </c>
      <c r="O1067" s="3719"/>
      <c r="P1067" s="490">
        <f t="shared" si="143"/>
        <v>0</v>
      </c>
      <c r="S1067" s="32">
        <f>'2 REPAIR ESTIMATOR'!AD1128</f>
        <v>0</v>
      </c>
      <c r="T1067" s="32">
        <f>'2 REPAIR ESTIMATOR'!AM1128</f>
        <v>0</v>
      </c>
      <c r="U1067" s="32">
        <f t="shared" si="160"/>
        <v>0</v>
      </c>
      <c r="V1067" s="32">
        <f>'2 REPAIR ESTIMATOR'!AG1128</f>
        <v>0</v>
      </c>
      <c r="W1067" s="32">
        <f>'2 REPAIR ESTIMATOR'!AJ1128</f>
        <v>0</v>
      </c>
    </row>
    <row r="1068" spans="3:23" ht="18" hidden="1">
      <c r="C1068" s="3720" t="str">
        <f>T('2 REPAIR ESTIMATOR'!D1129:O1129)</f>
        <v/>
      </c>
      <c r="D1068" s="3721"/>
      <c r="E1068" s="3721"/>
      <c r="F1068" s="3721"/>
      <c r="G1068" s="3721"/>
      <c r="H1068" s="3721"/>
      <c r="I1068" s="916">
        <f>'2 REPAIR ESTIMATOR'!P1129</f>
        <v>0</v>
      </c>
      <c r="J1068" s="917">
        <f>'2 REPAIR ESTIMATOR'!S1129</f>
        <v>0</v>
      </c>
      <c r="K1068" s="918">
        <f t="shared" si="156"/>
        <v>0</v>
      </c>
      <c r="L1068" s="918">
        <f t="shared" si="157"/>
        <v>0</v>
      </c>
      <c r="M1068" s="918">
        <f t="shared" si="158"/>
        <v>0</v>
      </c>
      <c r="N1068" s="3719">
        <f t="shared" si="159"/>
        <v>0</v>
      </c>
      <c r="O1068" s="3719"/>
      <c r="P1068" s="490">
        <f t="shared" si="143"/>
        <v>0</v>
      </c>
      <c r="S1068" s="32">
        <f>'2 REPAIR ESTIMATOR'!AD1129</f>
        <v>0</v>
      </c>
      <c r="T1068" s="32">
        <f>'2 REPAIR ESTIMATOR'!AM1129</f>
        <v>0</v>
      </c>
      <c r="U1068" s="32">
        <f t="shared" si="160"/>
        <v>0</v>
      </c>
      <c r="V1068" s="32">
        <f>'2 REPAIR ESTIMATOR'!AG1129</f>
        <v>0</v>
      </c>
      <c r="W1068" s="32">
        <f>'2 REPAIR ESTIMATOR'!AJ1129</f>
        <v>0</v>
      </c>
    </row>
    <row r="1069" spans="3:23" ht="18" hidden="1">
      <c r="C1069" s="3720" t="str">
        <f>T('2 REPAIR ESTIMATOR'!D1130:O1130)</f>
        <v/>
      </c>
      <c r="D1069" s="3721"/>
      <c r="E1069" s="3721"/>
      <c r="F1069" s="3721"/>
      <c r="G1069" s="3721"/>
      <c r="H1069" s="3721"/>
      <c r="I1069" s="916">
        <f>'2 REPAIR ESTIMATOR'!P1130</f>
        <v>0</v>
      </c>
      <c r="J1069" s="917">
        <f>'2 REPAIR ESTIMATOR'!S1130</f>
        <v>0</v>
      </c>
      <c r="K1069" s="918">
        <f t="shared" si="156"/>
        <v>0</v>
      </c>
      <c r="L1069" s="918">
        <f t="shared" si="157"/>
        <v>0</v>
      </c>
      <c r="M1069" s="918">
        <f t="shared" si="158"/>
        <v>0</v>
      </c>
      <c r="N1069" s="3719">
        <f t="shared" si="159"/>
        <v>0</v>
      </c>
      <c r="O1069" s="3719"/>
      <c r="P1069" s="490">
        <f t="shared" si="143"/>
        <v>0</v>
      </c>
      <c r="S1069" s="32">
        <f>'2 REPAIR ESTIMATOR'!AD1130</f>
        <v>0</v>
      </c>
      <c r="T1069" s="32">
        <f>'2 REPAIR ESTIMATOR'!AM1130</f>
        <v>0</v>
      </c>
      <c r="U1069" s="32">
        <f t="shared" si="160"/>
        <v>0</v>
      </c>
      <c r="V1069" s="32">
        <f>'2 REPAIR ESTIMATOR'!AG1130</f>
        <v>0</v>
      </c>
      <c r="W1069" s="32">
        <f>'2 REPAIR ESTIMATOR'!AJ1130</f>
        <v>0</v>
      </c>
    </row>
    <row r="1070" spans="3:23" ht="18" hidden="1">
      <c r="C1070" s="3720" t="str">
        <f>T('2 REPAIR ESTIMATOR'!D1131:O1131)</f>
        <v/>
      </c>
      <c r="D1070" s="3721"/>
      <c r="E1070" s="3721"/>
      <c r="F1070" s="3721"/>
      <c r="G1070" s="3721"/>
      <c r="H1070" s="3721"/>
      <c r="I1070" s="916">
        <f>'2 REPAIR ESTIMATOR'!P1131</f>
        <v>0</v>
      </c>
      <c r="J1070" s="917">
        <f>'2 REPAIR ESTIMATOR'!S1131</f>
        <v>0</v>
      </c>
      <c r="K1070" s="918">
        <f t="shared" si="156"/>
        <v>0</v>
      </c>
      <c r="L1070" s="918">
        <f t="shared" si="157"/>
        <v>0</v>
      </c>
      <c r="M1070" s="918">
        <f t="shared" si="158"/>
        <v>0</v>
      </c>
      <c r="N1070" s="3719">
        <f t="shared" si="159"/>
        <v>0</v>
      </c>
      <c r="O1070" s="3719"/>
      <c r="P1070" s="490">
        <f t="shared" si="143"/>
        <v>0</v>
      </c>
      <c r="S1070" s="32">
        <f>'2 REPAIR ESTIMATOR'!AD1131</f>
        <v>0</v>
      </c>
      <c r="T1070" s="32">
        <f>'2 REPAIR ESTIMATOR'!AM1131</f>
        <v>0</v>
      </c>
      <c r="U1070" s="32">
        <f t="shared" si="160"/>
        <v>0</v>
      </c>
      <c r="V1070" s="32">
        <f>'2 REPAIR ESTIMATOR'!AG1131</f>
        <v>0</v>
      </c>
      <c r="W1070" s="32">
        <f>'2 REPAIR ESTIMATOR'!AJ1131</f>
        <v>0</v>
      </c>
    </row>
    <row r="1071" spans="3:23" ht="18" hidden="1">
      <c r="C1071" s="3720" t="str">
        <f>T('2 REPAIR ESTIMATOR'!D1132:O1132)</f>
        <v/>
      </c>
      <c r="D1071" s="3721"/>
      <c r="E1071" s="3721"/>
      <c r="F1071" s="3721"/>
      <c r="G1071" s="3721"/>
      <c r="H1071" s="3721"/>
      <c r="I1071" s="916">
        <f>'2 REPAIR ESTIMATOR'!P1132</f>
        <v>0</v>
      </c>
      <c r="J1071" s="917">
        <f>'2 REPAIR ESTIMATOR'!S1132</f>
        <v>0</v>
      </c>
      <c r="K1071" s="918">
        <f t="shared" si="156"/>
        <v>0</v>
      </c>
      <c r="L1071" s="918">
        <f t="shared" si="157"/>
        <v>0</v>
      </c>
      <c r="M1071" s="918">
        <f t="shared" si="158"/>
        <v>0</v>
      </c>
      <c r="N1071" s="3719">
        <f t="shared" si="159"/>
        <v>0</v>
      </c>
      <c r="O1071" s="3719"/>
      <c r="P1071" s="490">
        <f t="shared" si="143"/>
        <v>0</v>
      </c>
      <c r="S1071" s="32">
        <f>'2 REPAIR ESTIMATOR'!AD1132</f>
        <v>0</v>
      </c>
      <c r="T1071" s="32">
        <f>'2 REPAIR ESTIMATOR'!AM1132</f>
        <v>0</v>
      </c>
      <c r="U1071" s="32">
        <f t="shared" si="160"/>
        <v>0</v>
      </c>
      <c r="V1071" s="32">
        <f>'2 REPAIR ESTIMATOR'!AG1132</f>
        <v>0</v>
      </c>
      <c r="W1071" s="32">
        <f>'2 REPAIR ESTIMATOR'!AJ1132</f>
        <v>0</v>
      </c>
    </row>
    <row r="1072" spans="3:23" ht="18" hidden="1">
      <c r="C1072" s="3720" t="str">
        <f>T('2 REPAIR ESTIMATOR'!D1133:O1133)</f>
        <v/>
      </c>
      <c r="D1072" s="3721"/>
      <c r="E1072" s="3721"/>
      <c r="F1072" s="3721"/>
      <c r="G1072" s="3721"/>
      <c r="H1072" s="3721"/>
      <c r="I1072" s="916">
        <f>'2 REPAIR ESTIMATOR'!P1133</f>
        <v>0</v>
      </c>
      <c r="J1072" s="917">
        <f>'2 REPAIR ESTIMATOR'!S1133</f>
        <v>0</v>
      </c>
      <c r="K1072" s="918">
        <f t="shared" si="156"/>
        <v>0</v>
      </c>
      <c r="L1072" s="918">
        <f t="shared" si="157"/>
        <v>0</v>
      </c>
      <c r="M1072" s="918">
        <f t="shared" si="158"/>
        <v>0</v>
      </c>
      <c r="N1072" s="3719">
        <f t="shared" si="159"/>
        <v>0</v>
      </c>
      <c r="O1072" s="3719"/>
      <c r="P1072" s="490">
        <f t="shared" si="143"/>
        <v>0</v>
      </c>
      <c r="S1072" s="32">
        <f>'2 REPAIR ESTIMATOR'!AD1133</f>
        <v>0</v>
      </c>
      <c r="T1072" s="32">
        <f>'2 REPAIR ESTIMATOR'!AM1133</f>
        <v>0</v>
      </c>
      <c r="U1072" s="32">
        <f t="shared" si="160"/>
        <v>0</v>
      </c>
      <c r="V1072" s="32">
        <f>'2 REPAIR ESTIMATOR'!AG1133</f>
        <v>0</v>
      </c>
      <c r="W1072" s="32">
        <f>'2 REPAIR ESTIMATOR'!AJ1133</f>
        <v>0</v>
      </c>
    </row>
    <row r="1073" spans="3:23" ht="18" hidden="1">
      <c r="C1073" s="3720" t="str">
        <f>T('2 REPAIR ESTIMATOR'!D1134:O1134)</f>
        <v/>
      </c>
      <c r="D1073" s="3721"/>
      <c r="E1073" s="3721"/>
      <c r="F1073" s="3721"/>
      <c r="G1073" s="3721"/>
      <c r="H1073" s="3721"/>
      <c r="I1073" s="916">
        <f>'2 REPAIR ESTIMATOR'!P1134</f>
        <v>0</v>
      </c>
      <c r="J1073" s="917">
        <f>'2 REPAIR ESTIMATOR'!S1134</f>
        <v>0</v>
      </c>
      <c r="K1073" s="918">
        <f t="shared" si="156"/>
        <v>0</v>
      </c>
      <c r="L1073" s="918">
        <f t="shared" si="157"/>
        <v>0</v>
      </c>
      <c r="M1073" s="918">
        <f t="shared" si="158"/>
        <v>0</v>
      </c>
      <c r="N1073" s="3719">
        <f t="shared" si="159"/>
        <v>0</v>
      </c>
      <c r="O1073" s="3719"/>
      <c r="P1073" s="490">
        <f t="shared" si="143"/>
        <v>0</v>
      </c>
      <c r="S1073" s="32">
        <f>'2 REPAIR ESTIMATOR'!AD1134</f>
        <v>0</v>
      </c>
      <c r="T1073" s="32">
        <f>'2 REPAIR ESTIMATOR'!AM1134</f>
        <v>0</v>
      </c>
      <c r="U1073" s="32">
        <f t="shared" si="160"/>
        <v>0</v>
      </c>
      <c r="V1073" s="32">
        <f>'2 REPAIR ESTIMATOR'!AG1134</f>
        <v>0</v>
      </c>
      <c r="W1073" s="32">
        <f>'2 REPAIR ESTIMATOR'!AJ1134</f>
        <v>0</v>
      </c>
    </row>
    <row r="1074" spans="3:23" ht="18" hidden="1">
      <c r="C1074" s="3720" t="str">
        <f>T('2 REPAIR ESTIMATOR'!D1135:O1135)</f>
        <v/>
      </c>
      <c r="D1074" s="3721"/>
      <c r="E1074" s="3721"/>
      <c r="F1074" s="3721"/>
      <c r="G1074" s="3721"/>
      <c r="H1074" s="3721"/>
      <c r="I1074" s="916">
        <f>'2 REPAIR ESTIMATOR'!P1135</f>
        <v>0</v>
      </c>
      <c r="J1074" s="917">
        <f>'2 REPAIR ESTIMATOR'!S1135</f>
        <v>0</v>
      </c>
      <c r="K1074" s="918">
        <f t="shared" si="156"/>
        <v>0</v>
      </c>
      <c r="L1074" s="918">
        <f t="shared" si="157"/>
        <v>0</v>
      </c>
      <c r="M1074" s="918">
        <f t="shared" si="158"/>
        <v>0</v>
      </c>
      <c r="N1074" s="3719">
        <f t="shared" si="159"/>
        <v>0</v>
      </c>
      <c r="O1074" s="3719"/>
      <c r="P1074" s="490">
        <f t="shared" si="143"/>
        <v>0</v>
      </c>
      <c r="S1074" s="32">
        <f>'2 REPAIR ESTIMATOR'!AD1135</f>
        <v>0</v>
      </c>
      <c r="T1074" s="32">
        <f>'2 REPAIR ESTIMATOR'!AM1135</f>
        <v>0</v>
      </c>
      <c r="U1074" s="32">
        <f t="shared" si="160"/>
        <v>0</v>
      </c>
      <c r="V1074" s="32">
        <f>'2 REPAIR ESTIMATOR'!AG1135</f>
        <v>0</v>
      </c>
      <c r="W1074" s="32">
        <f>'2 REPAIR ESTIMATOR'!AJ1135</f>
        <v>0</v>
      </c>
    </row>
    <row r="1075" spans="3:23" ht="18" hidden="1">
      <c r="C1075" s="3720" t="str">
        <f>T('2 REPAIR ESTIMATOR'!D1136:O1136)</f>
        <v/>
      </c>
      <c r="D1075" s="3721"/>
      <c r="E1075" s="3721"/>
      <c r="F1075" s="3721"/>
      <c r="G1075" s="3721"/>
      <c r="H1075" s="3721"/>
      <c r="I1075" s="916">
        <f>'2 REPAIR ESTIMATOR'!P1136</f>
        <v>0</v>
      </c>
      <c r="J1075" s="917">
        <f>'2 REPAIR ESTIMATOR'!S1136</f>
        <v>0</v>
      </c>
      <c r="K1075" s="918">
        <f t="shared" si="156"/>
        <v>0</v>
      </c>
      <c r="L1075" s="918">
        <f t="shared" si="157"/>
        <v>0</v>
      </c>
      <c r="M1075" s="918">
        <f t="shared" si="158"/>
        <v>0</v>
      </c>
      <c r="N1075" s="3719">
        <f t="shared" si="159"/>
        <v>0</v>
      </c>
      <c r="O1075" s="3719"/>
      <c r="P1075" s="490">
        <f t="shared" ref="P1075:P1094" si="161">I1075</f>
        <v>0</v>
      </c>
      <c r="S1075" s="32">
        <f>'2 REPAIR ESTIMATOR'!AD1136</f>
        <v>0</v>
      </c>
      <c r="T1075" s="32">
        <f>'2 REPAIR ESTIMATOR'!AM1136</f>
        <v>0</v>
      </c>
      <c r="U1075" s="32">
        <f t="shared" si="160"/>
        <v>0</v>
      </c>
      <c r="V1075" s="32">
        <f>'2 REPAIR ESTIMATOR'!AG1136</f>
        <v>0</v>
      </c>
      <c r="W1075" s="32">
        <f>'2 REPAIR ESTIMATOR'!AJ1136</f>
        <v>0</v>
      </c>
    </row>
    <row r="1076" spans="3:23" ht="18" hidden="1">
      <c r="C1076" s="3720" t="str">
        <f>T('2 REPAIR ESTIMATOR'!D1137:O1137)</f>
        <v/>
      </c>
      <c r="D1076" s="3721"/>
      <c r="E1076" s="3721"/>
      <c r="F1076" s="3721"/>
      <c r="G1076" s="3721"/>
      <c r="H1076" s="3721"/>
      <c r="I1076" s="916">
        <f>'2 REPAIR ESTIMATOR'!P1137</f>
        <v>0</v>
      </c>
      <c r="J1076" s="917">
        <f>'2 REPAIR ESTIMATOR'!S1137</f>
        <v>0</v>
      </c>
      <c r="K1076" s="918">
        <f t="shared" si="156"/>
        <v>0</v>
      </c>
      <c r="L1076" s="918">
        <f t="shared" si="157"/>
        <v>0</v>
      </c>
      <c r="M1076" s="918">
        <f t="shared" si="158"/>
        <v>0</v>
      </c>
      <c r="N1076" s="3719">
        <f t="shared" si="159"/>
        <v>0</v>
      </c>
      <c r="O1076" s="3719"/>
      <c r="P1076" s="490">
        <f t="shared" si="161"/>
        <v>0</v>
      </c>
      <c r="S1076" s="32">
        <f>'2 REPAIR ESTIMATOR'!AD1137</f>
        <v>0</v>
      </c>
      <c r="T1076" s="32">
        <f>'2 REPAIR ESTIMATOR'!AM1137</f>
        <v>0</v>
      </c>
      <c r="U1076" s="32">
        <f t="shared" si="160"/>
        <v>0</v>
      </c>
      <c r="V1076" s="32">
        <f>'2 REPAIR ESTIMATOR'!AG1137</f>
        <v>0</v>
      </c>
      <c r="W1076" s="32">
        <f>'2 REPAIR ESTIMATOR'!AJ1137</f>
        <v>0</v>
      </c>
    </row>
    <row r="1077" spans="3:23" ht="18" hidden="1">
      <c r="C1077" s="3720" t="str">
        <f>T('2 REPAIR ESTIMATOR'!D1138:O1138)</f>
        <v/>
      </c>
      <c r="D1077" s="3721"/>
      <c r="E1077" s="3721"/>
      <c r="F1077" s="3721"/>
      <c r="G1077" s="3721"/>
      <c r="H1077" s="3721"/>
      <c r="I1077" s="916">
        <f>'2 REPAIR ESTIMATOR'!P1138</f>
        <v>0</v>
      </c>
      <c r="J1077" s="917">
        <f>'2 REPAIR ESTIMATOR'!S1138</f>
        <v>0</v>
      </c>
      <c r="K1077" s="918">
        <f t="shared" si="156"/>
        <v>0</v>
      </c>
      <c r="L1077" s="918">
        <f t="shared" si="157"/>
        <v>0</v>
      </c>
      <c r="M1077" s="918">
        <f t="shared" si="158"/>
        <v>0</v>
      </c>
      <c r="N1077" s="3719">
        <f t="shared" si="159"/>
        <v>0</v>
      </c>
      <c r="O1077" s="3719"/>
      <c r="P1077" s="490">
        <f t="shared" si="161"/>
        <v>0</v>
      </c>
      <c r="S1077" s="32">
        <f>'2 REPAIR ESTIMATOR'!AD1138</f>
        <v>0</v>
      </c>
      <c r="T1077" s="32">
        <f>'2 REPAIR ESTIMATOR'!AM1138</f>
        <v>0</v>
      </c>
      <c r="U1077" s="32">
        <f t="shared" si="160"/>
        <v>0</v>
      </c>
      <c r="V1077" s="32">
        <f>'2 REPAIR ESTIMATOR'!AG1138</f>
        <v>0</v>
      </c>
      <c r="W1077" s="32">
        <f>'2 REPAIR ESTIMATOR'!AJ1138</f>
        <v>0</v>
      </c>
    </row>
    <row r="1078" spans="3:23" ht="18" hidden="1">
      <c r="C1078" s="3720" t="str">
        <f>T('2 REPAIR ESTIMATOR'!D1139:O1139)</f>
        <v/>
      </c>
      <c r="D1078" s="3721"/>
      <c r="E1078" s="3721"/>
      <c r="F1078" s="3721"/>
      <c r="G1078" s="3721"/>
      <c r="H1078" s="3721"/>
      <c r="I1078" s="916">
        <f>'2 REPAIR ESTIMATOR'!P1139</f>
        <v>0</v>
      </c>
      <c r="J1078" s="917">
        <f>'2 REPAIR ESTIMATOR'!S1139</f>
        <v>0</v>
      </c>
      <c r="K1078" s="918">
        <f t="shared" si="156"/>
        <v>0</v>
      </c>
      <c r="L1078" s="918">
        <f t="shared" si="157"/>
        <v>0</v>
      </c>
      <c r="M1078" s="918">
        <f t="shared" si="158"/>
        <v>0</v>
      </c>
      <c r="N1078" s="3719">
        <f t="shared" si="159"/>
        <v>0</v>
      </c>
      <c r="O1078" s="3719"/>
      <c r="P1078" s="490">
        <f t="shared" si="161"/>
        <v>0</v>
      </c>
      <c r="S1078" s="32">
        <f>'2 REPAIR ESTIMATOR'!AD1139</f>
        <v>0</v>
      </c>
      <c r="T1078" s="32">
        <f>'2 REPAIR ESTIMATOR'!AM1139</f>
        <v>0</v>
      </c>
      <c r="U1078" s="32">
        <f t="shared" si="160"/>
        <v>0</v>
      </c>
      <c r="V1078" s="32">
        <f>'2 REPAIR ESTIMATOR'!AG1139</f>
        <v>0</v>
      </c>
      <c r="W1078" s="32">
        <f>'2 REPAIR ESTIMATOR'!AJ1139</f>
        <v>0</v>
      </c>
    </row>
    <row r="1079" spans="3:23" ht="18" hidden="1">
      <c r="C1079" s="3720" t="str">
        <f>T('2 REPAIR ESTIMATOR'!D1140:O1140)</f>
        <v/>
      </c>
      <c r="D1079" s="3721"/>
      <c r="E1079" s="3721"/>
      <c r="F1079" s="3721"/>
      <c r="G1079" s="3721"/>
      <c r="H1079" s="3721"/>
      <c r="I1079" s="916">
        <f>'2 REPAIR ESTIMATOR'!P1140</f>
        <v>0</v>
      </c>
      <c r="J1079" s="917">
        <f>'2 REPAIR ESTIMATOR'!S1140</f>
        <v>0</v>
      </c>
      <c r="K1079" s="918">
        <f t="shared" si="156"/>
        <v>0</v>
      </c>
      <c r="L1079" s="918">
        <f t="shared" si="157"/>
        <v>0</v>
      </c>
      <c r="M1079" s="918">
        <f t="shared" si="158"/>
        <v>0</v>
      </c>
      <c r="N1079" s="3719">
        <f t="shared" si="159"/>
        <v>0</v>
      </c>
      <c r="O1079" s="3719"/>
      <c r="P1079" s="490">
        <f t="shared" si="161"/>
        <v>0</v>
      </c>
      <c r="S1079" s="32">
        <f>'2 REPAIR ESTIMATOR'!AD1140</f>
        <v>0</v>
      </c>
      <c r="T1079" s="32">
        <f>'2 REPAIR ESTIMATOR'!AM1140</f>
        <v>0</v>
      </c>
      <c r="U1079" s="32">
        <f t="shared" si="160"/>
        <v>0</v>
      </c>
      <c r="V1079" s="32">
        <f>'2 REPAIR ESTIMATOR'!AG1140</f>
        <v>0</v>
      </c>
      <c r="W1079" s="32">
        <f>'2 REPAIR ESTIMATOR'!AJ1140</f>
        <v>0</v>
      </c>
    </row>
    <row r="1080" spans="3:23" ht="18" hidden="1">
      <c r="C1080" s="3720" t="str">
        <f>T('2 REPAIR ESTIMATOR'!D1141:O1141)</f>
        <v/>
      </c>
      <c r="D1080" s="3721"/>
      <c r="E1080" s="3721"/>
      <c r="F1080" s="3721"/>
      <c r="G1080" s="3721"/>
      <c r="H1080" s="3721"/>
      <c r="I1080" s="916">
        <f>'2 REPAIR ESTIMATOR'!P1141</f>
        <v>0</v>
      </c>
      <c r="J1080" s="917">
        <f>'2 REPAIR ESTIMATOR'!S1141</f>
        <v>0</v>
      </c>
      <c r="K1080" s="918">
        <f t="shared" si="156"/>
        <v>0</v>
      </c>
      <c r="L1080" s="918">
        <f t="shared" si="157"/>
        <v>0</v>
      </c>
      <c r="M1080" s="918">
        <f t="shared" si="158"/>
        <v>0</v>
      </c>
      <c r="N1080" s="3719">
        <f t="shared" si="159"/>
        <v>0</v>
      </c>
      <c r="O1080" s="3719"/>
      <c r="P1080" s="490">
        <f t="shared" si="161"/>
        <v>0</v>
      </c>
      <c r="S1080" s="32">
        <f>'2 REPAIR ESTIMATOR'!AD1141</f>
        <v>0</v>
      </c>
      <c r="T1080" s="32">
        <f>'2 REPAIR ESTIMATOR'!AM1141</f>
        <v>0</v>
      </c>
      <c r="U1080" s="32">
        <f t="shared" si="160"/>
        <v>0</v>
      </c>
      <c r="V1080" s="32">
        <f>'2 REPAIR ESTIMATOR'!AG1141</f>
        <v>0</v>
      </c>
      <c r="W1080" s="32">
        <f>'2 REPAIR ESTIMATOR'!AJ1141</f>
        <v>0</v>
      </c>
    </row>
    <row r="1081" spans="3:23" ht="18" hidden="1">
      <c r="C1081" s="3720" t="str">
        <f>T('2 REPAIR ESTIMATOR'!D1142:O1142)</f>
        <v/>
      </c>
      <c r="D1081" s="3721"/>
      <c r="E1081" s="3721"/>
      <c r="F1081" s="3721"/>
      <c r="G1081" s="3721"/>
      <c r="H1081" s="3721"/>
      <c r="I1081" s="916">
        <f>'2 REPAIR ESTIMATOR'!P1142</f>
        <v>0</v>
      </c>
      <c r="J1081" s="917">
        <f>'2 REPAIR ESTIMATOR'!S1142</f>
        <v>0</v>
      </c>
      <c r="K1081" s="918">
        <f t="shared" si="156"/>
        <v>0</v>
      </c>
      <c r="L1081" s="918">
        <f t="shared" si="157"/>
        <v>0</v>
      </c>
      <c r="M1081" s="918">
        <f t="shared" si="158"/>
        <v>0</v>
      </c>
      <c r="N1081" s="3719">
        <f t="shared" si="159"/>
        <v>0</v>
      </c>
      <c r="O1081" s="3719"/>
      <c r="P1081" s="490">
        <f t="shared" si="161"/>
        <v>0</v>
      </c>
      <c r="S1081" s="32">
        <f>'2 REPAIR ESTIMATOR'!AD1142</f>
        <v>0</v>
      </c>
      <c r="T1081" s="32">
        <f>'2 REPAIR ESTIMATOR'!AM1142</f>
        <v>0</v>
      </c>
      <c r="U1081" s="32">
        <f t="shared" si="160"/>
        <v>0</v>
      </c>
      <c r="V1081" s="32">
        <f>'2 REPAIR ESTIMATOR'!AG1142</f>
        <v>0</v>
      </c>
      <c r="W1081" s="32">
        <f>'2 REPAIR ESTIMATOR'!AJ1142</f>
        <v>0</v>
      </c>
    </row>
    <row r="1082" spans="3:23" ht="18" hidden="1">
      <c r="C1082" s="3720" t="str">
        <f>T('2 REPAIR ESTIMATOR'!D1143:O1143)</f>
        <v/>
      </c>
      <c r="D1082" s="3721"/>
      <c r="E1082" s="3721"/>
      <c r="F1082" s="3721"/>
      <c r="G1082" s="3721"/>
      <c r="H1082" s="3721"/>
      <c r="I1082" s="916">
        <f>'2 REPAIR ESTIMATOR'!P1143</f>
        <v>0</v>
      </c>
      <c r="J1082" s="917">
        <f>'2 REPAIR ESTIMATOR'!S1143</f>
        <v>0</v>
      </c>
      <c r="K1082" s="918">
        <f t="shared" si="156"/>
        <v>0</v>
      </c>
      <c r="L1082" s="918">
        <f t="shared" si="157"/>
        <v>0</v>
      </c>
      <c r="M1082" s="918">
        <f t="shared" si="158"/>
        <v>0</v>
      </c>
      <c r="N1082" s="3719">
        <f t="shared" si="159"/>
        <v>0</v>
      </c>
      <c r="O1082" s="3719"/>
      <c r="P1082" s="490">
        <f t="shared" si="161"/>
        <v>0</v>
      </c>
      <c r="S1082" s="32">
        <f>'2 REPAIR ESTIMATOR'!AD1143</f>
        <v>0</v>
      </c>
      <c r="T1082" s="32">
        <f>'2 REPAIR ESTIMATOR'!AM1143</f>
        <v>0</v>
      </c>
      <c r="U1082" s="32">
        <f t="shared" si="160"/>
        <v>0</v>
      </c>
      <c r="V1082" s="32">
        <f>'2 REPAIR ESTIMATOR'!AG1143</f>
        <v>0</v>
      </c>
      <c r="W1082" s="32">
        <f>'2 REPAIR ESTIMATOR'!AJ1143</f>
        <v>0</v>
      </c>
    </row>
    <row r="1083" spans="3:23" ht="18" hidden="1">
      <c r="C1083" s="3720" t="str">
        <f>T('2 REPAIR ESTIMATOR'!D1144:O1144)</f>
        <v/>
      </c>
      <c r="D1083" s="3721"/>
      <c r="E1083" s="3721"/>
      <c r="F1083" s="3721"/>
      <c r="G1083" s="3721"/>
      <c r="H1083" s="3721"/>
      <c r="I1083" s="916">
        <f>'2 REPAIR ESTIMATOR'!P1144</f>
        <v>0</v>
      </c>
      <c r="J1083" s="917">
        <f>'2 REPAIR ESTIMATOR'!S1144</f>
        <v>0</v>
      </c>
      <c r="K1083" s="918">
        <f t="shared" si="156"/>
        <v>0</v>
      </c>
      <c r="L1083" s="918">
        <f t="shared" si="157"/>
        <v>0</v>
      </c>
      <c r="M1083" s="918">
        <f t="shared" si="158"/>
        <v>0</v>
      </c>
      <c r="N1083" s="3719">
        <f t="shared" si="159"/>
        <v>0</v>
      </c>
      <c r="O1083" s="3719"/>
      <c r="P1083" s="490">
        <f t="shared" si="161"/>
        <v>0</v>
      </c>
      <c r="S1083" s="32">
        <f>'2 REPAIR ESTIMATOR'!AD1144</f>
        <v>0</v>
      </c>
      <c r="T1083" s="32">
        <f>'2 REPAIR ESTIMATOR'!AM1144</f>
        <v>0</v>
      </c>
      <c r="U1083" s="32">
        <f t="shared" si="160"/>
        <v>0</v>
      </c>
      <c r="V1083" s="32">
        <f>'2 REPAIR ESTIMATOR'!AG1144</f>
        <v>0</v>
      </c>
      <c r="W1083" s="32">
        <f>'2 REPAIR ESTIMATOR'!AJ1144</f>
        <v>0</v>
      </c>
    </row>
    <row r="1084" spans="3:23" ht="18" hidden="1">
      <c r="C1084" s="3720" t="str">
        <f>T('2 REPAIR ESTIMATOR'!D1145:O1145)</f>
        <v/>
      </c>
      <c r="D1084" s="3721"/>
      <c r="E1084" s="3721"/>
      <c r="F1084" s="3721"/>
      <c r="G1084" s="3721"/>
      <c r="H1084" s="3721"/>
      <c r="I1084" s="916">
        <f>'2 REPAIR ESTIMATOR'!P1145</f>
        <v>0</v>
      </c>
      <c r="J1084" s="917">
        <f>'2 REPAIR ESTIMATOR'!S1145</f>
        <v>0</v>
      </c>
      <c r="K1084" s="918">
        <f t="shared" si="156"/>
        <v>0</v>
      </c>
      <c r="L1084" s="918">
        <f t="shared" si="157"/>
        <v>0</v>
      </c>
      <c r="M1084" s="918">
        <f t="shared" si="158"/>
        <v>0</v>
      </c>
      <c r="N1084" s="3719">
        <f t="shared" si="159"/>
        <v>0</v>
      </c>
      <c r="O1084" s="3719"/>
      <c r="P1084" s="490">
        <f t="shared" si="161"/>
        <v>0</v>
      </c>
      <c r="S1084" s="32">
        <f>'2 REPAIR ESTIMATOR'!AD1145</f>
        <v>0</v>
      </c>
      <c r="T1084" s="32">
        <f>'2 REPAIR ESTIMATOR'!AM1145</f>
        <v>0</v>
      </c>
      <c r="U1084" s="32">
        <f t="shared" si="160"/>
        <v>0</v>
      </c>
      <c r="V1084" s="32">
        <f>'2 REPAIR ESTIMATOR'!AG1145</f>
        <v>0</v>
      </c>
      <c r="W1084" s="32">
        <f>'2 REPAIR ESTIMATOR'!AJ1145</f>
        <v>0</v>
      </c>
    </row>
    <row r="1085" spans="3:23" ht="18" hidden="1">
      <c r="C1085" s="3720" t="str">
        <f>T('2 REPAIR ESTIMATOR'!D1146:O1146)</f>
        <v/>
      </c>
      <c r="D1085" s="3721"/>
      <c r="E1085" s="3721"/>
      <c r="F1085" s="3721"/>
      <c r="G1085" s="3721"/>
      <c r="H1085" s="3721"/>
      <c r="I1085" s="916">
        <f>'2 REPAIR ESTIMATOR'!P1146</f>
        <v>0</v>
      </c>
      <c r="J1085" s="917">
        <f>'2 REPAIR ESTIMATOR'!S1146</f>
        <v>0</v>
      </c>
      <c r="K1085" s="918">
        <f t="shared" si="156"/>
        <v>0</v>
      </c>
      <c r="L1085" s="918">
        <f t="shared" si="157"/>
        <v>0</v>
      </c>
      <c r="M1085" s="918">
        <f t="shared" si="158"/>
        <v>0</v>
      </c>
      <c r="N1085" s="3719">
        <f t="shared" si="159"/>
        <v>0</v>
      </c>
      <c r="O1085" s="3719"/>
      <c r="P1085" s="490">
        <f t="shared" si="161"/>
        <v>0</v>
      </c>
      <c r="S1085" s="32">
        <f>'2 REPAIR ESTIMATOR'!AD1146</f>
        <v>0</v>
      </c>
      <c r="T1085" s="32">
        <f>'2 REPAIR ESTIMATOR'!AM1146</f>
        <v>0</v>
      </c>
      <c r="U1085" s="32">
        <f t="shared" si="160"/>
        <v>0</v>
      </c>
      <c r="V1085" s="32">
        <f>'2 REPAIR ESTIMATOR'!AG1146</f>
        <v>0</v>
      </c>
      <c r="W1085" s="32">
        <f>'2 REPAIR ESTIMATOR'!AJ1146</f>
        <v>0</v>
      </c>
    </row>
    <row r="1086" spans="3:23" ht="18" hidden="1">
      <c r="C1086" s="3720" t="str">
        <f>T('2 REPAIR ESTIMATOR'!D1147:O1147)</f>
        <v/>
      </c>
      <c r="D1086" s="3721"/>
      <c r="E1086" s="3721"/>
      <c r="F1086" s="3721"/>
      <c r="G1086" s="3721"/>
      <c r="H1086" s="3721"/>
      <c r="I1086" s="916">
        <f>'2 REPAIR ESTIMATOR'!P1147</f>
        <v>0</v>
      </c>
      <c r="J1086" s="917">
        <f>'2 REPAIR ESTIMATOR'!S1147</f>
        <v>0</v>
      </c>
      <c r="K1086" s="918">
        <f t="shared" si="156"/>
        <v>0</v>
      </c>
      <c r="L1086" s="918">
        <f t="shared" si="157"/>
        <v>0</v>
      </c>
      <c r="M1086" s="918">
        <f t="shared" si="158"/>
        <v>0</v>
      </c>
      <c r="N1086" s="3719">
        <f t="shared" si="159"/>
        <v>0</v>
      </c>
      <c r="O1086" s="3719"/>
      <c r="P1086" s="490">
        <f t="shared" si="161"/>
        <v>0</v>
      </c>
      <c r="S1086" s="32">
        <f>'2 REPAIR ESTIMATOR'!AD1147</f>
        <v>0</v>
      </c>
      <c r="T1086" s="32">
        <f>'2 REPAIR ESTIMATOR'!AM1147</f>
        <v>0</v>
      </c>
      <c r="U1086" s="32">
        <f t="shared" si="160"/>
        <v>0</v>
      </c>
      <c r="V1086" s="32">
        <f>'2 REPAIR ESTIMATOR'!AG1147</f>
        <v>0</v>
      </c>
      <c r="W1086" s="32">
        <f>'2 REPAIR ESTIMATOR'!AJ1147</f>
        <v>0</v>
      </c>
    </row>
    <row r="1087" spans="3:23" ht="18" hidden="1">
      <c r="C1087" s="3720" t="str">
        <f>T('2 REPAIR ESTIMATOR'!D1148:O1148)</f>
        <v/>
      </c>
      <c r="D1087" s="3721"/>
      <c r="E1087" s="3721"/>
      <c r="F1087" s="3721"/>
      <c r="G1087" s="3721"/>
      <c r="H1087" s="3721"/>
      <c r="I1087" s="916">
        <f>'2 REPAIR ESTIMATOR'!P1148</f>
        <v>0</v>
      </c>
      <c r="J1087" s="917">
        <f>'2 REPAIR ESTIMATOR'!S1148</f>
        <v>0</v>
      </c>
      <c r="K1087" s="918">
        <f t="shared" si="156"/>
        <v>0</v>
      </c>
      <c r="L1087" s="918">
        <f t="shared" si="157"/>
        <v>0</v>
      </c>
      <c r="M1087" s="918">
        <f t="shared" si="158"/>
        <v>0</v>
      </c>
      <c r="N1087" s="3719">
        <f t="shared" si="159"/>
        <v>0</v>
      </c>
      <c r="O1087" s="3719"/>
      <c r="P1087" s="490">
        <f t="shared" si="161"/>
        <v>0</v>
      </c>
      <c r="S1087" s="32">
        <f>'2 REPAIR ESTIMATOR'!AD1148</f>
        <v>0</v>
      </c>
      <c r="T1087" s="32">
        <f>'2 REPAIR ESTIMATOR'!AM1148</f>
        <v>0</v>
      </c>
      <c r="U1087" s="32">
        <f t="shared" si="160"/>
        <v>0</v>
      </c>
      <c r="V1087" s="32">
        <f>'2 REPAIR ESTIMATOR'!AG1148</f>
        <v>0</v>
      </c>
      <c r="W1087" s="32">
        <f>'2 REPAIR ESTIMATOR'!AJ1148</f>
        <v>0</v>
      </c>
    </row>
    <row r="1088" spans="3:23" ht="18" hidden="1">
      <c r="C1088" s="3720" t="str">
        <f>T('2 REPAIR ESTIMATOR'!D1149:O1149)</f>
        <v/>
      </c>
      <c r="D1088" s="3721"/>
      <c r="E1088" s="3721"/>
      <c r="F1088" s="3721"/>
      <c r="G1088" s="3721"/>
      <c r="H1088" s="3721"/>
      <c r="I1088" s="916">
        <f>'2 REPAIR ESTIMATOR'!P1149</f>
        <v>0</v>
      </c>
      <c r="J1088" s="917">
        <f>'2 REPAIR ESTIMATOR'!S1149</f>
        <v>0</v>
      </c>
      <c r="K1088" s="918">
        <f t="shared" si="156"/>
        <v>0</v>
      </c>
      <c r="L1088" s="918">
        <f t="shared" si="157"/>
        <v>0</v>
      </c>
      <c r="M1088" s="918">
        <f t="shared" si="158"/>
        <v>0</v>
      </c>
      <c r="N1088" s="3719">
        <f t="shared" si="159"/>
        <v>0</v>
      </c>
      <c r="O1088" s="3719"/>
      <c r="P1088" s="490">
        <f t="shared" si="161"/>
        <v>0</v>
      </c>
      <c r="S1088" s="32">
        <f>'2 REPAIR ESTIMATOR'!AD1149</f>
        <v>0</v>
      </c>
      <c r="T1088" s="32">
        <f>'2 REPAIR ESTIMATOR'!AM1149</f>
        <v>0</v>
      </c>
      <c r="U1088" s="32">
        <f t="shared" si="160"/>
        <v>0</v>
      </c>
      <c r="V1088" s="32">
        <f>'2 REPAIR ESTIMATOR'!AG1149</f>
        <v>0</v>
      </c>
      <c r="W1088" s="32">
        <f>'2 REPAIR ESTIMATOR'!AJ1149</f>
        <v>0</v>
      </c>
    </row>
    <row r="1089" spans="3:23" ht="18" hidden="1">
      <c r="C1089" s="3720" t="str">
        <f>T('2 REPAIR ESTIMATOR'!D1150:O1150)</f>
        <v/>
      </c>
      <c r="D1089" s="3721"/>
      <c r="E1089" s="3721"/>
      <c r="F1089" s="3721"/>
      <c r="G1089" s="3721"/>
      <c r="H1089" s="3721"/>
      <c r="I1089" s="916">
        <f>'2 REPAIR ESTIMATOR'!P1150</f>
        <v>0</v>
      </c>
      <c r="J1089" s="917">
        <f>'2 REPAIR ESTIMATOR'!S1150</f>
        <v>0</v>
      </c>
      <c r="K1089" s="918">
        <f t="shared" si="156"/>
        <v>0</v>
      </c>
      <c r="L1089" s="918">
        <f t="shared" si="157"/>
        <v>0</v>
      </c>
      <c r="M1089" s="918">
        <f t="shared" si="158"/>
        <v>0</v>
      </c>
      <c r="N1089" s="3719">
        <f t="shared" si="159"/>
        <v>0</v>
      </c>
      <c r="O1089" s="3719"/>
      <c r="P1089" s="490">
        <f t="shared" si="161"/>
        <v>0</v>
      </c>
      <c r="S1089" s="32">
        <f>'2 REPAIR ESTIMATOR'!AD1150</f>
        <v>0</v>
      </c>
      <c r="T1089" s="32">
        <f>'2 REPAIR ESTIMATOR'!AM1150</f>
        <v>0</v>
      </c>
      <c r="U1089" s="32">
        <f t="shared" si="160"/>
        <v>0</v>
      </c>
      <c r="V1089" s="32">
        <f>'2 REPAIR ESTIMATOR'!AG1150</f>
        <v>0</v>
      </c>
      <c r="W1089" s="32">
        <f>'2 REPAIR ESTIMATOR'!AJ1150</f>
        <v>0</v>
      </c>
    </row>
    <row r="1090" spans="3:23" ht="18" hidden="1">
      <c r="C1090" s="3720" t="str">
        <f>T('2 REPAIR ESTIMATOR'!D1151:O1151)</f>
        <v/>
      </c>
      <c r="D1090" s="3721"/>
      <c r="E1090" s="3721"/>
      <c r="F1090" s="3721"/>
      <c r="G1090" s="3721"/>
      <c r="H1090" s="3721"/>
      <c r="I1090" s="916">
        <f>'2 REPAIR ESTIMATOR'!P1151</f>
        <v>0</v>
      </c>
      <c r="J1090" s="917">
        <f>'2 REPAIR ESTIMATOR'!S1151</f>
        <v>0</v>
      </c>
      <c r="K1090" s="918">
        <f t="shared" si="156"/>
        <v>0</v>
      </c>
      <c r="L1090" s="918">
        <f t="shared" si="157"/>
        <v>0</v>
      </c>
      <c r="M1090" s="918">
        <f t="shared" si="158"/>
        <v>0</v>
      </c>
      <c r="N1090" s="3719">
        <f t="shared" si="159"/>
        <v>0</v>
      </c>
      <c r="O1090" s="3719"/>
      <c r="P1090" s="490">
        <f t="shared" si="161"/>
        <v>0</v>
      </c>
      <c r="S1090" s="32">
        <f>'2 REPAIR ESTIMATOR'!AD1151</f>
        <v>0</v>
      </c>
      <c r="T1090" s="32">
        <f>'2 REPAIR ESTIMATOR'!AM1151</f>
        <v>0</v>
      </c>
      <c r="U1090" s="32">
        <f t="shared" si="160"/>
        <v>0</v>
      </c>
      <c r="V1090" s="32">
        <f>'2 REPAIR ESTIMATOR'!AG1151</f>
        <v>0</v>
      </c>
      <c r="W1090" s="32">
        <f>'2 REPAIR ESTIMATOR'!AJ1151</f>
        <v>0</v>
      </c>
    </row>
    <row r="1091" spans="3:23" ht="18" hidden="1">
      <c r="C1091" s="3720" t="str">
        <f>T('2 REPAIR ESTIMATOR'!D1152:O1152)</f>
        <v/>
      </c>
      <c r="D1091" s="3721"/>
      <c r="E1091" s="3721"/>
      <c r="F1091" s="3721"/>
      <c r="G1091" s="3721"/>
      <c r="H1091" s="3721"/>
      <c r="I1091" s="916">
        <f>'2 REPAIR ESTIMATOR'!P1152</f>
        <v>0</v>
      </c>
      <c r="J1091" s="917">
        <f>'2 REPAIR ESTIMATOR'!S1152</f>
        <v>0</v>
      </c>
      <c r="K1091" s="918">
        <f t="shared" si="156"/>
        <v>0</v>
      </c>
      <c r="L1091" s="918">
        <f t="shared" si="157"/>
        <v>0</v>
      </c>
      <c r="M1091" s="918">
        <f t="shared" si="158"/>
        <v>0</v>
      </c>
      <c r="N1091" s="3719">
        <f t="shared" si="159"/>
        <v>0</v>
      </c>
      <c r="O1091" s="3719"/>
      <c r="P1091" s="490">
        <f t="shared" si="161"/>
        <v>0</v>
      </c>
      <c r="S1091" s="32">
        <f>'2 REPAIR ESTIMATOR'!AD1152</f>
        <v>0</v>
      </c>
      <c r="T1091" s="32">
        <f>'2 REPAIR ESTIMATOR'!AM1152</f>
        <v>0</v>
      </c>
      <c r="U1091" s="32">
        <f t="shared" si="160"/>
        <v>0</v>
      </c>
      <c r="V1091" s="32">
        <f>'2 REPAIR ESTIMATOR'!AG1152</f>
        <v>0</v>
      </c>
      <c r="W1091" s="32">
        <f>'2 REPAIR ESTIMATOR'!AJ1152</f>
        <v>0</v>
      </c>
    </row>
    <row r="1092" spans="3:23" ht="18" hidden="1">
      <c r="C1092" s="3720" t="str">
        <f>T('2 REPAIR ESTIMATOR'!D1153:O1153)</f>
        <v/>
      </c>
      <c r="D1092" s="3721"/>
      <c r="E1092" s="3721"/>
      <c r="F1092" s="3721"/>
      <c r="G1092" s="3721"/>
      <c r="H1092" s="3721"/>
      <c r="I1092" s="916">
        <f>'2 REPAIR ESTIMATOR'!P1153</f>
        <v>0</v>
      </c>
      <c r="J1092" s="917">
        <f>'2 REPAIR ESTIMATOR'!S1153</f>
        <v>0</v>
      </c>
      <c r="K1092" s="918">
        <f t="shared" si="156"/>
        <v>0</v>
      </c>
      <c r="L1092" s="918">
        <f t="shared" si="157"/>
        <v>0</v>
      </c>
      <c r="M1092" s="918">
        <f t="shared" si="158"/>
        <v>0</v>
      </c>
      <c r="N1092" s="3719">
        <f t="shared" si="159"/>
        <v>0</v>
      </c>
      <c r="O1092" s="3719"/>
      <c r="P1092" s="490">
        <f t="shared" si="161"/>
        <v>0</v>
      </c>
      <c r="S1092" s="32">
        <f>'2 REPAIR ESTIMATOR'!AD1153</f>
        <v>0</v>
      </c>
      <c r="T1092" s="32">
        <f>'2 REPAIR ESTIMATOR'!AM1153</f>
        <v>0</v>
      </c>
      <c r="U1092" s="32">
        <f t="shared" si="160"/>
        <v>0</v>
      </c>
      <c r="V1092" s="32">
        <f>'2 REPAIR ESTIMATOR'!AG1153</f>
        <v>0</v>
      </c>
      <c r="W1092" s="32">
        <f>'2 REPAIR ESTIMATOR'!AJ1153</f>
        <v>0</v>
      </c>
    </row>
    <row r="1093" spans="3:23" ht="18" hidden="1">
      <c r="C1093" s="3720" t="str">
        <f>T('2 REPAIR ESTIMATOR'!D1154:O1154)</f>
        <v/>
      </c>
      <c r="D1093" s="3721"/>
      <c r="E1093" s="3721"/>
      <c r="F1093" s="3721"/>
      <c r="G1093" s="3721"/>
      <c r="H1093" s="3721"/>
      <c r="I1093" s="916">
        <f>'2 REPAIR ESTIMATOR'!P1154</f>
        <v>0</v>
      </c>
      <c r="J1093" s="917">
        <f>'2 REPAIR ESTIMATOR'!S1154</f>
        <v>0</v>
      </c>
      <c r="K1093" s="918">
        <f t="shared" si="156"/>
        <v>0</v>
      </c>
      <c r="L1093" s="918">
        <f t="shared" si="157"/>
        <v>0</v>
      </c>
      <c r="M1093" s="918">
        <f t="shared" si="158"/>
        <v>0</v>
      </c>
      <c r="N1093" s="3719">
        <f t="shared" si="159"/>
        <v>0</v>
      </c>
      <c r="O1093" s="3719"/>
      <c r="P1093" s="490">
        <f t="shared" si="161"/>
        <v>0</v>
      </c>
      <c r="S1093" s="32">
        <f>'2 REPAIR ESTIMATOR'!AD1154</f>
        <v>0</v>
      </c>
      <c r="T1093" s="32">
        <f>'2 REPAIR ESTIMATOR'!AM1154</f>
        <v>0</v>
      </c>
      <c r="U1093" s="32">
        <f t="shared" si="160"/>
        <v>0</v>
      </c>
      <c r="V1093" s="32">
        <f>'2 REPAIR ESTIMATOR'!AG1154</f>
        <v>0</v>
      </c>
      <c r="W1093" s="32">
        <f>'2 REPAIR ESTIMATOR'!AJ1154</f>
        <v>0</v>
      </c>
    </row>
    <row r="1094" spans="3:23" ht="18" hidden="1">
      <c r="C1094" s="3720" t="str">
        <f>T('2 REPAIR ESTIMATOR'!D1155:O1155)</f>
        <v/>
      </c>
      <c r="D1094" s="3721"/>
      <c r="E1094" s="3721"/>
      <c r="F1094" s="3721"/>
      <c r="G1094" s="3721"/>
      <c r="H1094" s="3721"/>
      <c r="I1094" s="916">
        <f>'2 REPAIR ESTIMATOR'!P1155</f>
        <v>0</v>
      </c>
      <c r="J1094" s="917">
        <f>'2 REPAIR ESTIMATOR'!S1155</f>
        <v>0</v>
      </c>
      <c r="K1094" s="918">
        <f t="shared" si="156"/>
        <v>0</v>
      </c>
      <c r="L1094" s="918">
        <f t="shared" si="157"/>
        <v>0</v>
      </c>
      <c r="M1094" s="918">
        <f t="shared" si="158"/>
        <v>0</v>
      </c>
      <c r="N1094" s="3719">
        <f t="shared" si="159"/>
        <v>0</v>
      </c>
      <c r="O1094" s="3719"/>
      <c r="P1094" s="490">
        <f t="shared" si="161"/>
        <v>0</v>
      </c>
      <c r="S1094" s="32">
        <f>'2 REPAIR ESTIMATOR'!AD1155</f>
        <v>0</v>
      </c>
      <c r="T1094" s="32">
        <f>'2 REPAIR ESTIMATOR'!AM1155</f>
        <v>0</v>
      </c>
      <c r="U1094" s="32">
        <f t="shared" si="160"/>
        <v>0</v>
      </c>
      <c r="V1094" s="32">
        <f>'2 REPAIR ESTIMATOR'!AG1155</f>
        <v>0</v>
      </c>
      <c r="W1094" s="32">
        <f>'2 REPAIR ESTIMATOR'!AJ1155</f>
        <v>0</v>
      </c>
    </row>
    <row r="1095" spans="3:23" ht="18" hidden="1">
      <c r="C1095" s="3720" t="str">
        <f>T('2 REPAIR ESTIMATOR'!D1156:O1156)</f>
        <v/>
      </c>
      <c r="D1095" s="3721"/>
      <c r="E1095" s="3721"/>
      <c r="F1095" s="3721"/>
      <c r="G1095" s="3721"/>
      <c r="H1095" s="3721"/>
      <c r="I1095" s="916">
        <f>'2 REPAIR ESTIMATOR'!P1156</f>
        <v>0</v>
      </c>
      <c r="J1095" s="917">
        <f>'2 REPAIR ESTIMATOR'!S1156</f>
        <v>0</v>
      </c>
      <c r="K1095" s="918">
        <f t="shared" si="156"/>
        <v>0</v>
      </c>
      <c r="L1095" s="918">
        <f t="shared" si="157"/>
        <v>0</v>
      </c>
      <c r="M1095" s="918">
        <f t="shared" si="158"/>
        <v>0</v>
      </c>
      <c r="N1095" s="3719">
        <f t="shared" si="159"/>
        <v>0</v>
      </c>
      <c r="O1095" s="3719"/>
      <c r="P1095" s="490">
        <f t="shared" ref="P1095:P1101" si="162">I1095</f>
        <v>0</v>
      </c>
      <c r="S1095" s="32">
        <f>'2 REPAIR ESTIMATOR'!AD1156</f>
        <v>0</v>
      </c>
      <c r="T1095" s="32">
        <f>'2 REPAIR ESTIMATOR'!AM1156</f>
        <v>0</v>
      </c>
      <c r="U1095" s="32">
        <f t="shared" si="160"/>
        <v>0</v>
      </c>
      <c r="V1095" s="32">
        <f>'2 REPAIR ESTIMATOR'!AG1156</f>
        <v>0</v>
      </c>
      <c r="W1095" s="32">
        <f>'2 REPAIR ESTIMATOR'!AJ1156</f>
        <v>0</v>
      </c>
    </row>
    <row r="1096" spans="3:23" ht="18" hidden="1">
      <c r="C1096" s="3720" t="str">
        <f>T('2 REPAIR ESTIMATOR'!D1157:O1157)</f>
        <v/>
      </c>
      <c r="D1096" s="3721"/>
      <c r="E1096" s="3721"/>
      <c r="F1096" s="3721"/>
      <c r="G1096" s="3721"/>
      <c r="H1096" s="3721"/>
      <c r="I1096" s="916">
        <f>'2 REPAIR ESTIMATOR'!P1157</f>
        <v>0</v>
      </c>
      <c r="J1096" s="917">
        <f>'2 REPAIR ESTIMATOR'!S1157</f>
        <v>0</v>
      </c>
      <c r="K1096" s="918">
        <f t="shared" si="156"/>
        <v>0</v>
      </c>
      <c r="L1096" s="918">
        <f t="shared" si="157"/>
        <v>0</v>
      </c>
      <c r="M1096" s="918">
        <f t="shared" si="158"/>
        <v>0</v>
      </c>
      <c r="N1096" s="3719">
        <f t="shared" si="159"/>
        <v>0</v>
      </c>
      <c r="O1096" s="3719"/>
      <c r="P1096" s="490">
        <f t="shared" si="162"/>
        <v>0</v>
      </c>
      <c r="S1096" s="32">
        <f>'2 REPAIR ESTIMATOR'!AD1157</f>
        <v>0</v>
      </c>
      <c r="T1096" s="32">
        <f>'2 REPAIR ESTIMATOR'!AM1157</f>
        <v>0</v>
      </c>
      <c r="U1096" s="32">
        <f t="shared" si="160"/>
        <v>0</v>
      </c>
      <c r="V1096" s="32">
        <f>'2 REPAIR ESTIMATOR'!AG1157</f>
        <v>0</v>
      </c>
      <c r="W1096" s="32">
        <f>'2 REPAIR ESTIMATOR'!AJ1157</f>
        <v>0</v>
      </c>
    </row>
    <row r="1097" spans="3:23" ht="18" hidden="1">
      <c r="C1097" s="3720" t="str">
        <f>T('2 REPAIR ESTIMATOR'!D1158:O1158)</f>
        <v/>
      </c>
      <c r="D1097" s="3721"/>
      <c r="E1097" s="3721"/>
      <c r="F1097" s="3721"/>
      <c r="G1097" s="3721"/>
      <c r="H1097" s="3721"/>
      <c r="I1097" s="916">
        <f>'2 REPAIR ESTIMATOR'!P1158</f>
        <v>0</v>
      </c>
      <c r="J1097" s="917">
        <f>'2 REPAIR ESTIMATOR'!S1158</f>
        <v>0</v>
      </c>
      <c r="K1097" s="918">
        <f t="shared" si="156"/>
        <v>0</v>
      </c>
      <c r="L1097" s="918">
        <f t="shared" si="157"/>
        <v>0</v>
      </c>
      <c r="M1097" s="918">
        <f t="shared" si="158"/>
        <v>0</v>
      </c>
      <c r="N1097" s="3719">
        <f t="shared" si="159"/>
        <v>0</v>
      </c>
      <c r="O1097" s="3719"/>
      <c r="P1097" s="490">
        <f t="shared" si="162"/>
        <v>0</v>
      </c>
      <c r="S1097" s="32">
        <f>'2 REPAIR ESTIMATOR'!AD1158</f>
        <v>0</v>
      </c>
      <c r="T1097" s="32">
        <f>'2 REPAIR ESTIMATOR'!AM1158</f>
        <v>0</v>
      </c>
      <c r="U1097" s="32">
        <f t="shared" si="160"/>
        <v>0</v>
      </c>
      <c r="V1097" s="32">
        <f>'2 REPAIR ESTIMATOR'!AG1158</f>
        <v>0</v>
      </c>
      <c r="W1097" s="32">
        <f>'2 REPAIR ESTIMATOR'!AJ1158</f>
        <v>0</v>
      </c>
    </row>
    <row r="1098" spans="3:23" ht="18" hidden="1">
      <c r="C1098" s="3720" t="str">
        <f>T('2 REPAIR ESTIMATOR'!D1159:O1159)</f>
        <v/>
      </c>
      <c r="D1098" s="3721"/>
      <c r="E1098" s="3721"/>
      <c r="F1098" s="3721"/>
      <c r="G1098" s="3721"/>
      <c r="H1098" s="3721"/>
      <c r="I1098" s="916">
        <f>'2 REPAIR ESTIMATOR'!P1159</f>
        <v>0</v>
      </c>
      <c r="J1098" s="917">
        <f>'2 REPAIR ESTIMATOR'!S1159</f>
        <v>0</v>
      </c>
      <c r="K1098" s="918">
        <f t="shared" si="156"/>
        <v>0</v>
      </c>
      <c r="L1098" s="918">
        <f t="shared" si="157"/>
        <v>0</v>
      </c>
      <c r="M1098" s="918">
        <f t="shared" si="158"/>
        <v>0</v>
      </c>
      <c r="N1098" s="3719">
        <f t="shared" si="159"/>
        <v>0</v>
      </c>
      <c r="O1098" s="3719"/>
      <c r="P1098" s="490">
        <f t="shared" si="162"/>
        <v>0</v>
      </c>
      <c r="S1098" s="32">
        <f>'2 REPAIR ESTIMATOR'!AD1159</f>
        <v>0</v>
      </c>
      <c r="T1098" s="32">
        <f>'2 REPAIR ESTIMATOR'!AM1159</f>
        <v>0</v>
      </c>
      <c r="U1098" s="32">
        <f t="shared" si="160"/>
        <v>0</v>
      </c>
      <c r="V1098" s="32">
        <f>'2 REPAIR ESTIMATOR'!AG1159</f>
        <v>0</v>
      </c>
      <c r="W1098" s="32">
        <f>'2 REPAIR ESTIMATOR'!AJ1159</f>
        <v>0</v>
      </c>
    </row>
    <row r="1099" spans="3:23" ht="18" hidden="1">
      <c r="C1099" s="3720" t="str">
        <f>T('2 REPAIR ESTIMATOR'!D1160:O1160)</f>
        <v/>
      </c>
      <c r="D1099" s="3721"/>
      <c r="E1099" s="3721"/>
      <c r="F1099" s="3721"/>
      <c r="G1099" s="3721"/>
      <c r="H1099" s="3721"/>
      <c r="I1099" s="916">
        <f>'2 REPAIR ESTIMATOR'!P1160</f>
        <v>0</v>
      </c>
      <c r="J1099" s="917">
        <f>'2 REPAIR ESTIMATOR'!S1160</f>
        <v>0</v>
      </c>
      <c r="K1099" s="918">
        <f t="shared" si="156"/>
        <v>0</v>
      </c>
      <c r="L1099" s="918">
        <f t="shared" si="157"/>
        <v>0</v>
      </c>
      <c r="M1099" s="918">
        <f t="shared" si="158"/>
        <v>0</v>
      </c>
      <c r="N1099" s="3719">
        <f t="shared" si="159"/>
        <v>0</v>
      </c>
      <c r="O1099" s="3719"/>
      <c r="P1099" s="490">
        <f t="shared" si="162"/>
        <v>0</v>
      </c>
      <c r="S1099" s="32">
        <f>'2 REPAIR ESTIMATOR'!AD1160</f>
        <v>0</v>
      </c>
      <c r="T1099" s="32">
        <f>'2 REPAIR ESTIMATOR'!AM1160</f>
        <v>0</v>
      </c>
      <c r="U1099" s="32">
        <f t="shared" si="160"/>
        <v>0</v>
      </c>
      <c r="V1099" s="32">
        <f>'2 REPAIR ESTIMATOR'!AG1160</f>
        <v>0</v>
      </c>
      <c r="W1099" s="32">
        <f>'2 REPAIR ESTIMATOR'!AJ1160</f>
        <v>0</v>
      </c>
    </row>
    <row r="1100" spans="3:23" ht="18" hidden="1">
      <c r="C1100" s="3720" t="str">
        <f>T('2 REPAIR ESTIMATOR'!D1161:O1161)</f>
        <v/>
      </c>
      <c r="D1100" s="3721"/>
      <c r="E1100" s="3721"/>
      <c r="F1100" s="3721"/>
      <c r="G1100" s="3721"/>
      <c r="H1100" s="3721"/>
      <c r="I1100" s="916">
        <f>'2 REPAIR ESTIMATOR'!P1161</f>
        <v>0</v>
      </c>
      <c r="J1100" s="917">
        <f>'2 REPAIR ESTIMATOR'!S1161</f>
        <v>0</v>
      </c>
      <c r="K1100" s="918">
        <f t="shared" si="156"/>
        <v>0</v>
      </c>
      <c r="L1100" s="918">
        <f t="shared" si="157"/>
        <v>0</v>
      </c>
      <c r="M1100" s="918">
        <f t="shared" si="158"/>
        <v>0</v>
      </c>
      <c r="N1100" s="3719">
        <f t="shared" si="159"/>
        <v>0</v>
      </c>
      <c r="O1100" s="3719"/>
      <c r="P1100" s="490">
        <f t="shared" si="162"/>
        <v>0</v>
      </c>
      <c r="S1100" s="32">
        <f>'2 REPAIR ESTIMATOR'!AD1161</f>
        <v>0</v>
      </c>
      <c r="T1100" s="32">
        <f>'2 REPAIR ESTIMATOR'!AM1161</f>
        <v>0</v>
      </c>
      <c r="U1100" s="32">
        <f t="shared" si="160"/>
        <v>0</v>
      </c>
      <c r="V1100" s="32">
        <f>'2 REPAIR ESTIMATOR'!AG1161</f>
        <v>0</v>
      </c>
      <c r="W1100" s="32">
        <f>'2 REPAIR ESTIMATOR'!AJ1161</f>
        <v>0</v>
      </c>
    </row>
    <row r="1101" spans="3:23" ht="18.350000000000001" hidden="1" thickBot="1">
      <c r="C1101" s="3779" t="str">
        <f>T('2 REPAIR ESTIMATOR'!D1162:O1162)</f>
        <v/>
      </c>
      <c r="D1101" s="3780"/>
      <c r="E1101" s="3780"/>
      <c r="F1101" s="3780"/>
      <c r="G1101" s="3780"/>
      <c r="H1101" s="3780"/>
      <c r="I1101" s="919">
        <f>'2 REPAIR ESTIMATOR'!P1162</f>
        <v>0</v>
      </c>
      <c r="J1101" s="920">
        <f>'2 REPAIR ESTIMATOR'!S1162</f>
        <v>0</v>
      </c>
      <c r="K1101" s="921">
        <f t="shared" si="156"/>
        <v>0</v>
      </c>
      <c r="L1101" s="921">
        <f t="shared" si="157"/>
        <v>0</v>
      </c>
      <c r="M1101" s="921">
        <f t="shared" si="158"/>
        <v>0</v>
      </c>
      <c r="N1101" s="3781">
        <f t="shared" si="159"/>
        <v>0</v>
      </c>
      <c r="O1101" s="3781"/>
      <c r="P1101" s="490">
        <f t="shared" si="162"/>
        <v>0</v>
      </c>
      <c r="S1101" s="32">
        <f>'2 REPAIR ESTIMATOR'!AD1162</f>
        <v>0</v>
      </c>
      <c r="T1101" s="32">
        <f>'2 REPAIR ESTIMATOR'!AM1162</f>
        <v>0</v>
      </c>
      <c r="U1101" s="32">
        <f t="shared" si="160"/>
        <v>0</v>
      </c>
      <c r="V1101" s="32">
        <f>'2 REPAIR ESTIMATOR'!AG1162</f>
        <v>0</v>
      </c>
      <c r="W1101" s="32">
        <f>'2 REPAIR ESTIMATOR'!AJ1162</f>
        <v>0</v>
      </c>
    </row>
    <row r="1102" spans="3:23" ht="18.350000000000001" hidden="1" thickBot="1">
      <c r="C1102" s="3723" t="str">
        <f>T('2 REPAIR ESTIMATOR'!AC1164)</f>
        <v>MISCELLANEOUS TOTAL</v>
      </c>
      <c r="D1102" s="3724"/>
      <c r="E1102" s="3724"/>
      <c r="F1102" s="3724"/>
      <c r="G1102" s="3724"/>
      <c r="H1102" s="3724"/>
      <c r="I1102" s="3724"/>
      <c r="J1102" s="3724"/>
      <c r="K1102" s="922">
        <f>SUM(K1062:K1101)</f>
        <v>0</v>
      </c>
      <c r="L1102" s="922">
        <f>SUM(L1062:L1101)</f>
        <v>0</v>
      </c>
      <c r="M1102" s="922">
        <f>SUM(M1062:M1101)</f>
        <v>0</v>
      </c>
      <c r="N1102" s="3789">
        <f>SUM(N1062:O1101)</f>
        <v>0</v>
      </c>
      <c r="O1102" s="3789"/>
      <c r="P1102" s="489">
        <f>SUM(P1061:P1068)</f>
        <v>0</v>
      </c>
      <c r="S1102" s="33">
        <f>SUM(S1062:S1101)</f>
        <v>0</v>
      </c>
      <c r="T1102" s="33">
        <f>SUM(T1062:T1101)</f>
        <v>0</v>
      </c>
      <c r="U1102" s="33">
        <f>SUM(U1062:U1101)</f>
        <v>0</v>
      </c>
      <c r="V1102" s="33">
        <f>SUM(V1062:V1101)</f>
        <v>0</v>
      </c>
      <c r="W1102" s="33">
        <f>SUM(W1062:W1101)</f>
        <v>0</v>
      </c>
    </row>
    <row r="1103" spans="3:23" ht="8.85" hidden="1" customHeight="1" thickBot="1">
      <c r="C1103" s="841"/>
      <c r="D1103" s="841"/>
      <c r="E1103" s="841"/>
      <c r="F1103" s="841"/>
      <c r="G1103" s="841"/>
      <c r="H1103" s="841"/>
      <c r="I1103" s="842"/>
      <c r="J1103" s="842"/>
      <c r="K1103" s="842"/>
      <c r="L1103" s="842"/>
      <c r="M1103" s="842"/>
      <c r="N1103" s="843"/>
      <c r="O1103" s="798"/>
      <c r="P1103" s="489">
        <f>P1102</f>
        <v>0</v>
      </c>
    </row>
    <row r="1104" spans="3:23" ht="18.350000000000001" hidden="1" thickBot="1">
      <c r="C1104" s="3762" t="s">
        <v>1157</v>
      </c>
      <c r="D1104" s="3763"/>
      <c r="E1104" s="3763"/>
      <c r="F1104" s="3763"/>
      <c r="G1104" s="3763"/>
      <c r="H1104" s="3763"/>
      <c r="I1104" s="3763"/>
      <c r="J1104" s="3763"/>
      <c r="K1104" s="923">
        <f>SUM(K113+K156+K199+K242+K285+K328+K371+K414+K457+K500+K543+K586+K629+K672+K715+K801+K758+K844+K887+K930+K973+K1016+K1059+K1102)</f>
        <v>0</v>
      </c>
      <c r="L1104" s="923">
        <f>SUM(L113+L156+L199+L242+L285+L328+L371+L414+L457+L500+L543+L586+L629+L672+L715+L801+L758+L844+L887+L930+L973+L1016+L1059+L1102)</f>
        <v>0</v>
      </c>
      <c r="M1104" s="923">
        <f>SUM(M113+M156+M199+M242+M285+M328+M371+M414+M457+M500+M543+M586+M629+M672+M715+M801+M758+M844+M887+M930+M973+M1016+M1059+M1102)</f>
        <v>0</v>
      </c>
      <c r="N1104" s="3761">
        <f>SUM(N113+N156+N199+N242+N285+N328+N371+N414+N457+N500+N543+N586+N629+N672+N715+N801+N758+N844+N887+N930+N973+N1016+N1059+N1102)</f>
        <v>0</v>
      </c>
      <c r="O1104" s="3761">
        <f>SUM(O113+O156+O199+O242+O285+O328+O371+O414+O457+O500+O543+O586+O629+O672+O715+O801+O758+O844+O887+O930+O973+O1016+O1059+O1102)</f>
        <v>0</v>
      </c>
      <c r="P1104" s="489">
        <f>N1104</f>
        <v>0</v>
      </c>
      <c r="S1104" s="31">
        <f>SUM(S113+S156+S199+S242+S285+S328+S371+S414+S457+S500+S543+S586+S629+S672+S715+S801+S758+S844+S887+S930+S973+S1016+S1059+S1102)</f>
        <v>0</v>
      </c>
      <c r="T1104" s="31">
        <f>SUM(T113+T156+T199+T242+T285+T328+T371+T414+T457+T500+T543+T586+T629+T672+T715+T801+T758+T844+T887+T930+T973+T1016+T1059+T1102)</f>
        <v>0</v>
      </c>
      <c r="U1104" s="31">
        <f>SUM(U113+U156+U199+U242+U285+U328+U371+U414+U457+U500+U543+U586+U629+U672+U715+U801+U758+U844+U887+U930+U973+U1016+U1059+U1102)</f>
        <v>0</v>
      </c>
      <c r="V1104" s="31">
        <f>SUM(V113+V156+V199+V242+V285+V328+V371+V414+V457+V500+V543+V586+V629+V672+V715+V801+V758+V844+V887+V930+V973+V1016+V1059+V1102)</f>
        <v>0</v>
      </c>
      <c r="W1104" s="31">
        <f>SUM(W113+W156+W199+W242+W285+W328+W371+W414+W457+W500+W543+W586+W629+W672+W715+W801+W758+W844+W887+W930+W973+W1016+W1059+W1102)</f>
        <v>0</v>
      </c>
    </row>
    <row r="1105" spans="2:16" ht="14.45" customHeight="1">
      <c r="C1105" s="816"/>
      <c r="D1105" s="816"/>
      <c r="E1105" s="816"/>
      <c r="F1105" s="816"/>
      <c r="G1105" s="816"/>
      <c r="H1105" s="816"/>
      <c r="I1105" s="844"/>
      <c r="J1105" s="833"/>
      <c r="K1105" s="845"/>
      <c r="L1105" s="845"/>
      <c r="M1105" s="845"/>
      <c r="N1105" s="817"/>
      <c r="O1105" s="817"/>
      <c r="P1105" s="480">
        <v>1</v>
      </c>
    </row>
    <row r="1106" spans="2:16" ht="21.75" hidden="1" customHeight="1">
      <c r="C1106" s="3748" t="s">
        <v>1155</v>
      </c>
      <c r="D1106" s="3749"/>
      <c r="E1106" s="3749"/>
      <c r="F1106" s="3749"/>
      <c r="G1106" s="3749"/>
      <c r="H1106" s="3750">
        <f>N1104</f>
        <v>0</v>
      </c>
      <c r="I1106" s="3750"/>
      <c r="J1106" s="849">
        <f>IFERROR(H1106/Square_Feet,0)</f>
        <v>0</v>
      </c>
      <c r="K1106" s="846">
        <f>IFERROR(H1106/$H$1115,0)</f>
        <v>0</v>
      </c>
      <c r="L1106" s="847"/>
      <c r="M1106" s="847"/>
      <c r="N1106" s="847"/>
      <c r="O1106" s="847"/>
      <c r="P1106" s="489">
        <f>IF(H1106&gt;0,1,0)</f>
        <v>0</v>
      </c>
    </row>
    <row r="1107" spans="2:16" ht="21.75" hidden="1" customHeight="1">
      <c r="C1107" s="582"/>
      <c r="D1107" s="582"/>
      <c r="E1107" s="582"/>
      <c r="F1107" s="582"/>
      <c r="G1107" s="582"/>
      <c r="H1107" s="581"/>
      <c r="I1107" s="581"/>
      <c r="J1107" s="516"/>
      <c r="K1107" s="517"/>
      <c r="L1107" s="512"/>
      <c r="M1107" s="512"/>
      <c r="N1107" s="512"/>
      <c r="O1107" s="512"/>
      <c r="P1107" s="480" t="b">
        <f t="shared" ref="P1107:P1113" si="163">IF($H$58&gt;0,1)</f>
        <v>0</v>
      </c>
    </row>
    <row r="1108" spans="2:16" ht="21.75" hidden="1" customHeight="1">
      <c r="C1108" s="3729" t="s">
        <v>1128</v>
      </c>
      <c r="D1108" s="3729"/>
      <c r="E1108" s="3729"/>
      <c r="F1108" s="3729"/>
      <c r="G1108" s="3729"/>
      <c r="H1108" s="3751" t="s">
        <v>1160</v>
      </c>
      <c r="I1108" s="3751"/>
      <c r="J1108" s="518" t="s">
        <v>335</v>
      </c>
      <c r="K1108" s="518" t="s">
        <v>934</v>
      </c>
      <c r="L1108" s="512"/>
      <c r="M1108" s="512"/>
      <c r="N1108" s="512"/>
      <c r="O1108" s="512"/>
      <c r="P1108" s="480" t="b">
        <f t="shared" si="163"/>
        <v>0</v>
      </c>
    </row>
    <row r="1109" spans="2:16" ht="21.75" hidden="1" customHeight="1">
      <c r="C1109" s="3752" t="str">
        <f>CONCATENATE("Location Multiplier of ",TEXT(Location_Mutiplier,"0.00"))</f>
        <v>Location Multiplier of 0.00</v>
      </c>
      <c r="D1109" s="3753"/>
      <c r="E1109" s="3753"/>
      <c r="F1109" s="3753"/>
      <c r="G1109" s="3753"/>
      <c r="H1109" s="3730">
        <f>Location_Mutiplier_Amount</f>
        <v>0</v>
      </c>
      <c r="I1109" s="3730"/>
      <c r="J1109" s="585">
        <f>IFERROR(H1109/Square_Feet,0)</f>
        <v>0</v>
      </c>
      <c r="K1109" s="588">
        <f>IFERROR(H1109/$H$1115,0)</f>
        <v>0</v>
      </c>
      <c r="L1109" s="3733" t="s">
        <v>1298</v>
      </c>
      <c r="M1109" s="3734"/>
      <c r="N1109" s="3734"/>
      <c r="O1109" s="3735"/>
      <c r="P1109" s="480" t="b">
        <f t="shared" si="163"/>
        <v>0</v>
      </c>
    </row>
    <row r="1110" spans="2:16" ht="21.75" hidden="1" customHeight="1">
      <c r="C1110" s="3754" t="str">
        <f>CONCATENATE("Building Permit Costs (",TEXT(Permit_Percentage,"0.0%"),")")</f>
        <v>Building Permit Costs (0.0%)</v>
      </c>
      <c r="D1110" s="3755"/>
      <c r="E1110" s="3755"/>
      <c r="F1110" s="3755"/>
      <c r="G1110" s="3755"/>
      <c r="H1110" s="3756">
        <f>Permit_Amount</f>
        <v>0</v>
      </c>
      <c r="I1110" s="3756"/>
      <c r="J1110" s="586">
        <f>IFERROR(H1110/Square_Feet,0)</f>
        <v>0</v>
      </c>
      <c r="K1110" s="589">
        <f>IFERROR(H1110/$H$1115,0)</f>
        <v>0</v>
      </c>
      <c r="L1110" s="3736"/>
      <c r="M1110" s="3737"/>
      <c r="N1110" s="3737"/>
      <c r="O1110" s="3738"/>
      <c r="P1110" s="480" t="b">
        <f t="shared" si="163"/>
        <v>0</v>
      </c>
    </row>
    <row r="1111" spans="2:16" ht="21.75" hidden="1" customHeight="1">
      <c r="C1111" s="3754" t="str">
        <f>CONCATENATE("Contractors Overhead and Profit (",TEXT(Contractos_Overhead_Percentage,"0.0%"),")")</f>
        <v>Contractors Overhead and Profit (0.0%)</v>
      </c>
      <c r="D1111" s="3755"/>
      <c r="E1111" s="3755"/>
      <c r="F1111" s="3755"/>
      <c r="G1111" s="3755"/>
      <c r="H1111" s="3756">
        <f>Contractors_Overhead_Profit_Amount</f>
        <v>0</v>
      </c>
      <c r="I1111" s="3756"/>
      <c r="J1111" s="586">
        <f>IFERROR(H1111/Square_Feet,0)</f>
        <v>0</v>
      </c>
      <c r="K1111" s="589">
        <f>IFERROR(H1111/$H$1115,0)</f>
        <v>0</v>
      </c>
      <c r="L1111" s="3736"/>
      <c r="M1111" s="3737"/>
      <c r="N1111" s="3737"/>
      <c r="O1111" s="3738"/>
      <c r="P1111" s="480" t="b">
        <f t="shared" si="163"/>
        <v>0</v>
      </c>
    </row>
    <row r="1112" spans="2:16" ht="21.75" hidden="1" customHeight="1">
      <c r="C1112" s="3757" t="str">
        <f>CONCATENATE("Estimate Contingency  (",TEXT(Contingency_Percentage,"0.0%"),")")</f>
        <v>Estimate Contingency  (0.0%)</v>
      </c>
      <c r="D1112" s="3758"/>
      <c r="E1112" s="3758"/>
      <c r="F1112" s="3758"/>
      <c r="G1112" s="3758"/>
      <c r="H1112" s="3759">
        <f>Contingency_Amount</f>
        <v>0</v>
      </c>
      <c r="I1112" s="3759"/>
      <c r="J1112" s="587">
        <f>IFERROR(H1112/Square_Feet,0)</f>
        <v>0</v>
      </c>
      <c r="K1112" s="590">
        <f>IFERROR(H1112/$H$1115,0)</f>
        <v>0</v>
      </c>
      <c r="L1112" s="3739"/>
      <c r="M1112" s="3740"/>
      <c r="N1112" s="3740"/>
      <c r="O1112" s="3741"/>
      <c r="P1112" s="480" t="b">
        <f t="shared" si="163"/>
        <v>0</v>
      </c>
    </row>
    <row r="1113" spans="2:16" ht="21.75" hidden="1" customHeight="1">
      <c r="C1113" s="3729" t="s">
        <v>1158</v>
      </c>
      <c r="D1113" s="3729"/>
      <c r="E1113" s="3729"/>
      <c r="F1113" s="3729"/>
      <c r="G1113" s="3729"/>
      <c r="H1113" s="3760">
        <f>TOTAL_ADDERS</f>
        <v>0</v>
      </c>
      <c r="I1113" s="3760"/>
      <c r="J1113" s="516">
        <f>IFERROR(H1113/Square_Feet,0)</f>
        <v>0</v>
      </c>
      <c r="K1113" s="513">
        <f>IFERROR(H1113/$H$1115,0)</f>
        <v>0</v>
      </c>
      <c r="L1113" s="512"/>
      <c r="M1113" s="512"/>
      <c r="N1113" s="512"/>
      <c r="O1113" s="512"/>
      <c r="P1113" s="480" t="b">
        <f t="shared" si="163"/>
        <v>0</v>
      </c>
    </row>
    <row r="1114" spans="2:16" ht="21.75" hidden="1" customHeight="1">
      <c r="C1114" s="445"/>
      <c r="D1114" s="445"/>
      <c r="E1114" s="445"/>
      <c r="F1114" s="445"/>
      <c r="G1114" s="445"/>
      <c r="H1114" s="445"/>
      <c r="I1114" s="445"/>
      <c r="J1114" s="445"/>
      <c r="K1114" s="445"/>
      <c r="L1114" s="512"/>
      <c r="M1114" s="512"/>
      <c r="N1114" s="512"/>
      <c r="O1114" s="512"/>
      <c r="P1114" s="480" t="b">
        <f>IF($H$60&gt;0,1)</f>
        <v>0</v>
      </c>
    </row>
    <row r="1115" spans="2:16" ht="21.75" hidden="1" customHeight="1">
      <c r="C1115" s="3748" t="s">
        <v>1156</v>
      </c>
      <c r="D1115" s="3749"/>
      <c r="E1115" s="3749"/>
      <c r="F1115" s="3749"/>
      <c r="G1115" s="3749"/>
      <c r="H1115" s="3750">
        <f>IF(S69="Allocate Adders",H1106,H1106+H1113)</f>
        <v>0</v>
      </c>
      <c r="I1115" s="3750"/>
      <c r="J1115" s="849">
        <f>J1106+J1113</f>
        <v>0</v>
      </c>
      <c r="K1115" s="846">
        <f>IFERROR(H1115/$H$1115,0)</f>
        <v>0</v>
      </c>
      <c r="L1115" s="847"/>
      <c r="M1115" s="847"/>
      <c r="N1115" s="847"/>
      <c r="O1115" s="848"/>
      <c r="P1115" s="480" t="b">
        <f>IF($H$60&gt;0,1)</f>
        <v>0</v>
      </c>
    </row>
    <row r="1116" spans="2:16" ht="14.45" customHeight="1">
      <c r="C1116" s="440"/>
      <c r="D1116" s="440"/>
      <c r="E1116" s="440"/>
      <c r="F1116" s="440"/>
      <c r="G1116" s="440"/>
      <c r="H1116" s="440"/>
      <c r="I1116" s="441"/>
      <c r="J1116" s="442"/>
      <c r="K1116" s="443"/>
      <c r="L1116" s="443"/>
      <c r="M1116" s="443"/>
      <c r="N1116" s="444"/>
      <c r="O1116" s="444"/>
      <c r="P1116" s="480">
        <v>1</v>
      </c>
    </row>
    <row r="1117" spans="2:16" ht="15" hidden="1" customHeight="1">
      <c r="C1117" s="3433" t="s">
        <v>1607</v>
      </c>
      <c r="D1117" s="3433"/>
      <c r="E1117" s="3433"/>
      <c r="F1117" s="3433"/>
      <c r="G1117" s="3433"/>
      <c r="H1117" s="3433"/>
      <c r="I1117" s="3433"/>
      <c r="J1117" s="3433"/>
      <c r="K1117" s="3433"/>
      <c r="L1117" s="3433"/>
      <c r="M1117" s="3433"/>
      <c r="N1117" s="3433"/>
      <c r="O1117" s="3433"/>
      <c r="P1117" s="3433"/>
    </row>
    <row r="1118" spans="2:16" hidden="1">
      <c r="C1118" s="3742"/>
      <c r="D1118" s="3742"/>
      <c r="E1118" s="3742"/>
      <c r="F1118" s="3742"/>
      <c r="G1118" s="3742"/>
      <c r="H1118" s="3742"/>
      <c r="I1118" s="3743"/>
      <c r="J1118" s="3744"/>
      <c r="K1118" s="3745"/>
      <c r="L1118" s="3745"/>
      <c r="M1118" s="3745"/>
      <c r="N1118" s="3746"/>
      <c r="O1118" s="3746"/>
      <c r="P1118" s="3747"/>
    </row>
    <row r="1119" spans="2:16">
      <c r="B1119" s="133"/>
    </row>
    <row r="1142" spans="3:15">
      <c r="C1142" s="3742"/>
      <c r="D1142" s="3742"/>
      <c r="E1142" s="3742"/>
      <c r="F1142" s="3742"/>
      <c r="G1142" s="3742"/>
      <c r="H1142" s="3742"/>
      <c r="I1142" s="3743"/>
      <c r="J1142" s="3744"/>
      <c r="K1142" s="3745"/>
      <c r="L1142" s="3745"/>
      <c r="M1142" s="3745"/>
      <c r="N1142" s="3746"/>
      <c r="O1142" s="3746"/>
    </row>
  </sheetData>
  <sheetProtection formatCells="0" formatColumns="0" formatRows="0" insertColumns="0" insertHyperlinks="0" deleteColumns="0" deleteRows="0" sort="0" autoFilter="0"/>
  <autoFilter ref="C71:P1118" xr:uid="{00000000-0009-0000-0000-000020000000}">
    <filterColumn colId="0" showButton="0"/>
    <filterColumn colId="1" showButton="0"/>
    <filterColumn colId="2" showButton="0"/>
    <filterColumn colId="3" showButton="0"/>
    <filterColumn colId="4" showButton="0"/>
    <filterColumn colId="11" showButton="0"/>
    <filterColumn colId="13">
      <customFilters>
        <customFilter operator="greaterThan" val="0"/>
      </customFilters>
    </filterColumn>
  </autoFilter>
  <mergeCells count="2155">
    <mergeCell ref="C13:O13"/>
    <mergeCell ref="C65:O65"/>
    <mergeCell ref="B2:B4"/>
    <mergeCell ref="AD3:AD4"/>
    <mergeCell ref="C1142:O1142"/>
    <mergeCell ref="C51:G51"/>
    <mergeCell ref="H64:I64"/>
    <mergeCell ref="J64:L64"/>
    <mergeCell ref="C64:G64"/>
    <mergeCell ref="H42:I42"/>
    <mergeCell ref="H43:I43"/>
    <mergeCell ref="H44:I44"/>
    <mergeCell ref="H45:I45"/>
    <mergeCell ref="H46:I46"/>
    <mergeCell ref="H47:I47"/>
    <mergeCell ref="H48:I48"/>
    <mergeCell ref="H49:I49"/>
    <mergeCell ref="H50:I50"/>
    <mergeCell ref="H51:I51"/>
    <mergeCell ref="AC3:AC4"/>
    <mergeCell ref="H27:I27"/>
    <mergeCell ref="H28:I28"/>
    <mergeCell ref="H29:I29"/>
    <mergeCell ref="H30:I30"/>
    <mergeCell ref="H31:I31"/>
    <mergeCell ref="H32:I32"/>
    <mergeCell ref="H33:I33"/>
    <mergeCell ref="H34:I34"/>
    <mergeCell ref="H35:I35"/>
    <mergeCell ref="H36:I36"/>
    <mergeCell ref="H37:I37"/>
    <mergeCell ref="H38:I38"/>
    <mergeCell ref="H39:I39"/>
    <mergeCell ref="C1102:J1102"/>
    <mergeCell ref="N1102:O1102"/>
    <mergeCell ref="C1079:H1079"/>
    <mergeCell ref="N1079:O1079"/>
    <mergeCell ref="C1080:H1080"/>
    <mergeCell ref="N1080:O1080"/>
    <mergeCell ref="C1081:H1081"/>
    <mergeCell ref="N1081:O1081"/>
    <mergeCell ref="C1076:H1076"/>
    <mergeCell ref="N1076:O1076"/>
    <mergeCell ref="C1077:H1077"/>
    <mergeCell ref="N1077:O1077"/>
    <mergeCell ref="C1078:H1078"/>
    <mergeCell ref="N1078:O1078"/>
    <mergeCell ref="C1084:H1084"/>
    <mergeCell ref="N1084:O1084"/>
    <mergeCell ref="C1085:H1085"/>
    <mergeCell ref="N1085:O1085"/>
    <mergeCell ref="C1086:H1086"/>
    <mergeCell ref="C1100:H1100"/>
    <mergeCell ref="N1100:O1100"/>
    <mergeCell ref="C1101:H1101"/>
    <mergeCell ref="N1101:O1101"/>
    <mergeCell ref="N1091:O1091"/>
    <mergeCell ref="C1092:H1092"/>
    <mergeCell ref="N1092:O1092"/>
    <mergeCell ref="C1093:H1093"/>
    <mergeCell ref="N1093:O1093"/>
    <mergeCell ref="C1094:H1094"/>
    <mergeCell ref="C1074:H1074"/>
    <mergeCell ref="C1049:H1049"/>
    <mergeCell ref="C36:G36"/>
    <mergeCell ref="C37:G37"/>
    <mergeCell ref="C38:G38"/>
    <mergeCell ref="C39:G39"/>
    <mergeCell ref="C40:G40"/>
    <mergeCell ref="C41:G41"/>
    <mergeCell ref="N1028:O1028"/>
    <mergeCell ref="C1029:H1029"/>
    <mergeCell ref="N1029:O1029"/>
    <mergeCell ref="C1030:H1030"/>
    <mergeCell ref="N1030:O1030"/>
    <mergeCell ref="C1064:H1064"/>
    <mergeCell ref="N1064:O1064"/>
    <mergeCell ref="C1065:H1065"/>
    <mergeCell ref="N1065:O1065"/>
    <mergeCell ref="C1061:H1061"/>
    <mergeCell ref="N1061:O1061"/>
    <mergeCell ref="C1062:H1062"/>
    <mergeCell ref="N1062:O1062"/>
    <mergeCell ref="C1063:H1063"/>
    <mergeCell ref="N1063:O1063"/>
    <mergeCell ref="C1037:H1037"/>
    <mergeCell ref="H40:I40"/>
    <mergeCell ref="C42:G42"/>
    <mergeCell ref="C43:G43"/>
    <mergeCell ref="N1037:O1037"/>
    <mergeCell ref="C1038:H1038"/>
    <mergeCell ref="N1038:O1038"/>
    <mergeCell ref="C1059:J1059"/>
    <mergeCell ref="N1059:O1059"/>
    <mergeCell ref="C1045:H1045"/>
    <mergeCell ref="N1045:O1045"/>
    <mergeCell ref="N1074:O1074"/>
    <mergeCell ref="C1075:H1075"/>
    <mergeCell ref="N1075:O1075"/>
    <mergeCell ref="C1070:H1070"/>
    <mergeCell ref="N1070:O1070"/>
    <mergeCell ref="C1071:H1071"/>
    <mergeCell ref="N1071:O1071"/>
    <mergeCell ref="C1072:H1072"/>
    <mergeCell ref="N1072:O1072"/>
    <mergeCell ref="C1067:H1067"/>
    <mergeCell ref="N1067:O1067"/>
    <mergeCell ref="C1069:H1069"/>
    <mergeCell ref="N1069:O1069"/>
    <mergeCell ref="C1073:H1073"/>
    <mergeCell ref="N1073:O1073"/>
    <mergeCell ref="C1066:H1066"/>
    <mergeCell ref="N1066:O1066"/>
    <mergeCell ref="C1068:H1068"/>
    <mergeCell ref="N1068:O1068"/>
    <mergeCell ref="C1046:H1046"/>
    <mergeCell ref="N1046:O1046"/>
    <mergeCell ref="C1047:H1047"/>
    <mergeCell ref="N1047:O1047"/>
    <mergeCell ref="C1051:H1051"/>
    <mergeCell ref="N1051:O1051"/>
    <mergeCell ref="N1052:O1052"/>
    <mergeCell ref="C1053:H1053"/>
    <mergeCell ref="N1053:O1053"/>
    <mergeCell ref="C1054:H1054"/>
    <mergeCell ref="N1054:O1054"/>
    <mergeCell ref="C1052:H1052"/>
    <mergeCell ref="N1027:O1027"/>
    <mergeCell ref="C1022:H1022"/>
    <mergeCell ref="N1022:O1022"/>
    <mergeCell ref="C1023:H1023"/>
    <mergeCell ref="N1023:O1023"/>
    <mergeCell ref="C1024:H1024"/>
    <mergeCell ref="N1024:O1024"/>
    <mergeCell ref="C1025:H1025"/>
    <mergeCell ref="N1025:O1025"/>
    <mergeCell ref="C1026:H1026"/>
    <mergeCell ref="N1026:O1026"/>
    <mergeCell ref="C1048:H1048"/>
    <mergeCell ref="N1048:O1048"/>
    <mergeCell ref="N1049:O1049"/>
    <mergeCell ref="C1050:H1050"/>
    <mergeCell ref="N1050:O1050"/>
    <mergeCell ref="C1039:H1039"/>
    <mergeCell ref="N1039:O1039"/>
    <mergeCell ref="C1040:H1040"/>
    <mergeCell ref="N1040:O1040"/>
    <mergeCell ref="C1044:H1044"/>
    <mergeCell ref="N1044:O1044"/>
    <mergeCell ref="C1033:H1033"/>
    <mergeCell ref="N1033:O1033"/>
    <mergeCell ref="C1028:H1028"/>
    <mergeCell ref="N1019:O1019"/>
    <mergeCell ref="C1020:H1020"/>
    <mergeCell ref="N1020:O1020"/>
    <mergeCell ref="C1021:H1021"/>
    <mergeCell ref="N1021:O1021"/>
    <mergeCell ref="C988:H988"/>
    <mergeCell ref="N988:O988"/>
    <mergeCell ref="C983:H983"/>
    <mergeCell ref="N983:O983"/>
    <mergeCell ref="C984:H984"/>
    <mergeCell ref="N984:O984"/>
    <mergeCell ref="C985:H985"/>
    <mergeCell ref="N985:O985"/>
    <mergeCell ref="C1015:H1015"/>
    <mergeCell ref="N1015:O1015"/>
    <mergeCell ref="C1016:J1016"/>
    <mergeCell ref="N1016:O1016"/>
    <mergeCell ref="C1018:H1018"/>
    <mergeCell ref="C1013:H1013"/>
    <mergeCell ref="N1013:O1013"/>
    <mergeCell ref="C1041:H1041"/>
    <mergeCell ref="N1041:O1041"/>
    <mergeCell ref="C1042:H1042"/>
    <mergeCell ref="N1042:O1042"/>
    <mergeCell ref="C1043:H1043"/>
    <mergeCell ref="N1043:O1043"/>
    <mergeCell ref="C980:H980"/>
    <mergeCell ref="N980:O980"/>
    <mergeCell ref="C981:H981"/>
    <mergeCell ref="N981:O981"/>
    <mergeCell ref="C982:H982"/>
    <mergeCell ref="N982:O982"/>
    <mergeCell ref="C1011:H1011"/>
    <mergeCell ref="N1011:O1011"/>
    <mergeCell ref="C1012:H1012"/>
    <mergeCell ref="N1012:O1012"/>
    <mergeCell ref="C998:H998"/>
    <mergeCell ref="N998:O998"/>
    <mergeCell ref="C999:H999"/>
    <mergeCell ref="N999:O999"/>
    <mergeCell ref="C996:H996"/>
    <mergeCell ref="N996:O996"/>
    <mergeCell ref="C1000:H1000"/>
    <mergeCell ref="N1000:O1000"/>
    <mergeCell ref="C1001:H1001"/>
    <mergeCell ref="N1001:O1001"/>
    <mergeCell ref="C1002:H1002"/>
    <mergeCell ref="N1002:O1002"/>
    <mergeCell ref="C1003:H1003"/>
    <mergeCell ref="N1003:O1003"/>
    <mergeCell ref="C972:H972"/>
    <mergeCell ref="N972:O972"/>
    <mergeCell ref="C977:H977"/>
    <mergeCell ref="N977:O977"/>
    <mergeCell ref="C978:H978"/>
    <mergeCell ref="N978:O978"/>
    <mergeCell ref="C979:H979"/>
    <mergeCell ref="N979:O979"/>
    <mergeCell ref="C973:J973"/>
    <mergeCell ref="N973:O973"/>
    <mergeCell ref="C975:H975"/>
    <mergeCell ref="N975:O975"/>
    <mergeCell ref="C961:H961"/>
    <mergeCell ref="N961:O961"/>
    <mergeCell ref="C962:H962"/>
    <mergeCell ref="N962:O962"/>
    <mergeCell ref="C963:H963"/>
    <mergeCell ref="N963:O963"/>
    <mergeCell ref="N966:O966"/>
    <mergeCell ref="C967:H967"/>
    <mergeCell ref="N967:O967"/>
    <mergeCell ref="C968:H968"/>
    <mergeCell ref="N968:O968"/>
    <mergeCell ref="C969:H969"/>
    <mergeCell ref="N969:O969"/>
    <mergeCell ref="C970:H970"/>
    <mergeCell ref="N970:O970"/>
    <mergeCell ref="C971:H971"/>
    <mergeCell ref="N971:O971"/>
    <mergeCell ref="C953:H953"/>
    <mergeCell ref="N953:O953"/>
    <mergeCell ref="C954:H954"/>
    <mergeCell ref="N954:O954"/>
    <mergeCell ref="C955:H955"/>
    <mergeCell ref="N955:O955"/>
    <mergeCell ref="C956:H956"/>
    <mergeCell ref="N956:O956"/>
    <mergeCell ref="C957:H957"/>
    <mergeCell ref="N957:O957"/>
    <mergeCell ref="C964:H964"/>
    <mergeCell ref="N964:O964"/>
    <mergeCell ref="N946:O946"/>
    <mergeCell ref="C941:H941"/>
    <mergeCell ref="N941:O941"/>
    <mergeCell ref="C948:H948"/>
    <mergeCell ref="N948:O948"/>
    <mergeCell ref="C949:H949"/>
    <mergeCell ref="N949:O949"/>
    <mergeCell ref="C944:H944"/>
    <mergeCell ref="N944:O944"/>
    <mergeCell ref="C945:H945"/>
    <mergeCell ref="N945:O945"/>
    <mergeCell ref="C958:H958"/>
    <mergeCell ref="N958:O958"/>
    <mergeCell ref="C959:H959"/>
    <mergeCell ref="N959:O959"/>
    <mergeCell ref="C960:H960"/>
    <mergeCell ref="N960:O960"/>
    <mergeCell ref="C914:H914"/>
    <mergeCell ref="N914:O914"/>
    <mergeCell ref="C915:H915"/>
    <mergeCell ref="N915:O915"/>
    <mergeCell ref="C916:H916"/>
    <mergeCell ref="N916:O916"/>
    <mergeCell ref="C921:H921"/>
    <mergeCell ref="N921:O921"/>
    <mergeCell ref="C922:H922"/>
    <mergeCell ref="N922:O922"/>
    <mergeCell ref="C942:H942"/>
    <mergeCell ref="N942:O942"/>
    <mergeCell ref="C923:H923"/>
    <mergeCell ref="N923:O923"/>
    <mergeCell ref="C924:H924"/>
    <mergeCell ref="N924:O924"/>
    <mergeCell ref="C925:H925"/>
    <mergeCell ref="N925:O925"/>
    <mergeCell ref="C926:H926"/>
    <mergeCell ref="N926:O926"/>
    <mergeCell ref="C927:H927"/>
    <mergeCell ref="N927:O927"/>
    <mergeCell ref="C928:H928"/>
    <mergeCell ref="N928:O928"/>
    <mergeCell ref="C929:H929"/>
    <mergeCell ref="N929:O929"/>
    <mergeCell ref="C938:H938"/>
    <mergeCell ref="N938:O938"/>
    <mergeCell ref="C939:H939"/>
    <mergeCell ref="N939:O939"/>
    <mergeCell ref="C940:H940"/>
    <mergeCell ref="N940:O940"/>
    <mergeCell ref="C878:H878"/>
    <mergeCell ref="N878:O878"/>
    <mergeCell ref="C879:H879"/>
    <mergeCell ref="N879:O879"/>
    <mergeCell ref="C880:H880"/>
    <mergeCell ref="N880:O880"/>
    <mergeCell ref="C881:H881"/>
    <mergeCell ref="N881:O881"/>
    <mergeCell ref="C882:H882"/>
    <mergeCell ref="N882:O882"/>
    <mergeCell ref="C883:H883"/>
    <mergeCell ref="N883:O883"/>
    <mergeCell ref="C911:H911"/>
    <mergeCell ref="N911:O911"/>
    <mergeCell ref="C912:H912"/>
    <mergeCell ref="N912:O912"/>
    <mergeCell ref="C913:H913"/>
    <mergeCell ref="N913:O913"/>
    <mergeCell ref="C899:H899"/>
    <mergeCell ref="N899:O899"/>
    <mergeCell ref="C900:H900"/>
    <mergeCell ref="N900:O900"/>
    <mergeCell ref="C901:H901"/>
    <mergeCell ref="N901:O901"/>
    <mergeCell ref="C896:H896"/>
    <mergeCell ref="N896:O896"/>
    <mergeCell ref="C897:H897"/>
    <mergeCell ref="N897:O897"/>
    <mergeCell ref="C898:H898"/>
    <mergeCell ref="N898:O898"/>
    <mergeCell ref="C893:H893"/>
    <mergeCell ref="N893:O893"/>
    <mergeCell ref="C894:H894"/>
    <mergeCell ref="N894:O894"/>
    <mergeCell ref="C895:H895"/>
    <mergeCell ref="N895:O895"/>
    <mergeCell ref="C890:H890"/>
    <mergeCell ref="N890:O890"/>
    <mergeCell ref="C891:H891"/>
    <mergeCell ref="N891:O891"/>
    <mergeCell ref="C892:H892"/>
    <mergeCell ref="N892:O892"/>
    <mergeCell ref="C866:H866"/>
    <mergeCell ref="N866:O866"/>
    <mergeCell ref="C887:J887"/>
    <mergeCell ref="N887:O887"/>
    <mergeCell ref="C889:H889"/>
    <mergeCell ref="N889:O889"/>
    <mergeCell ref="C863:H863"/>
    <mergeCell ref="N863:O863"/>
    <mergeCell ref="C864:H864"/>
    <mergeCell ref="N864:O864"/>
    <mergeCell ref="C865:H865"/>
    <mergeCell ref="N865:O865"/>
    <mergeCell ref="C871:H871"/>
    <mergeCell ref="N871:O871"/>
    <mergeCell ref="C872:H872"/>
    <mergeCell ref="N872:O872"/>
    <mergeCell ref="C873:H873"/>
    <mergeCell ref="N873:O873"/>
    <mergeCell ref="C874:H874"/>
    <mergeCell ref="N874:O874"/>
    <mergeCell ref="C875:H875"/>
    <mergeCell ref="N875:O875"/>
    <mergeCell ref="C765:H765"/>
    <mergeCell ref="N765:O765"/>
    <mergeCell ref="C762:H762"/>
    <mergeCell ref="N762:O762"/>
    <mergeCell ref="C763:H763"/>
    <mergeCell ref="N763:O763"/>
    <mergeCell ref="C808:H808"/>
    <mergeCell ref="N808:O808"/>
    <mergeCell ref="C801:J801"/>
    <mergeCell ref="N801:O801"/>
    <mergeCell ref="C876:H876"/>
    <mergeCell ref="N876:O876"/>
    <mergeCell ref="C877:H877"/>
    <mergeCell ref="N877:O877"/>
    <mergeCell ref="C818:H818"/>
    <mergeCell ref="N818:O818"/>
    <mergeCell ref="C819:H819"/>
    <mergeCell ref="N819:O819"/>
    <mergeCell ref="C820:H820"/>
    <mergeCell ref="N820:O820"/>
    <mergeCell ref="C815:H815"/>
    <mergeCell ref="N815:O815"/>
    <mergeCell ref="C816:H816"/>
    <mergeCell ref="N816:O816"/>
    <mergeCell ref="C817:H817"/>
    <mergeCell ref="N817:O817"/>
    <mergeCell ref="C851:H851"/>
    <mergeCell ref="N851:O851"/>
    <mergeCell ref="C852:H852"/>
    <mergeCell ref="N852:O852"/>
    <mergeCell ref="C848:H848"/>
    <mergeCell ref="N848:O848"/>
    <mergeCell ref="C773:H773"/>
    <mergeCell ref="N773:O773"/>
    <mergeCell ref="C774:H774"/>
    <mergeCell ref="N774:O774"/>
    <mergeCell ref="C775:H775"/>
    <mergeCell ref="N775:O775"/>
    <mergeCell ref="C770:H770"/>
    <mergeCell ref="N770:O770"/>
    <mergeCell ref="C771:H771"/>
    <mergeCell ref="N771:O771"/>
    <mergeCell ref="C772:H772"/>
    <mergeCell ref="N772:O772"/>
    <mergeCell ref="C767:H767"/>
    <mergeCell ref="N767:O767"/>
    <mergeCell ref="C768:H768"/>
    <mergeCell ref="N768:O768"/>
    <mergeCell ref="C769:H769"/>
    <mergeCell ref="N769:O769"/>
    <mergeCell ref="C706:H706"/>
    <mergeCell ref="N706:O706"/>
    <mergeCell ref="C732:H732"/>
    <mergeCell ref="N732:O732"/>
    <mergeCell ref="C733:H733"/>
    <mergeCell ref="N733:O733"/>
    <mergeCell ref="C728:H728"/>
    <mergeCell ref="N728:O728"/>
    <mergeCell ref="C729:H729"/>
    <mergeCell ref="N729:O729"/>
    <mergeCell ref="C730:H730"/>
    <mergeCell ref="N730:O730"/>
    <mergeCell ref="C764:H764"/>
    <mergeCell ref="N764:O764"/>
    <mergeCell ref="C707:H707"/>
    <mergeCell ref="N707:O707"/>
    <mergeCell ref="C708:H708"/>
    <mergeCell ref="N708:O708"/>
    <mergeCell ref="C709:H709"/>
    <mergeCell ref="N709:O709"/>
    <mergeCell ref="C710:H710"/>
    <mergeCell ref="N710:O710"/>
    <mergeCell ref="C711:H711"/>
    <mergeCell ref="N711:O711"/>
    <mergeCell ref="C712:H712"/>
    <mergeCell ref="N712:O712"/>
    <mergeCell ref="C713:H713"/>
    <mergeCell ref="N713:O713"/>
    <mergeCell ref="C745:H745"/>
    <mergeCell ref="N745:O745"/>
    <mergeCell ref="C761:H761"/>
    <mergeCell ref="N761:O761"/>
    <mergeCell ref="C758:J758"/>
    <mergeCell ref="N758:O758"/>
    <mergeCell ref="C760:H760"/>
    <mergeCell ref="N760:O760"/>
    <mergeCell ref="C743:H743"/>
    <mergeCell ref="N743:O743"/>
    <mergeCell ref="C744:H744"/>
    <mergeCell ref="N744:O744"/>
    <mergeCell ref="C752:H752"/>
    <mergeCell ref="N752:O752"/>
    <mergeCell ref="C753:H753"/>
    <mergeCell ref="N753:O753"/>
    <mergeCell ref="C754:H754"/>
    <mergeCell ref="N754:O754"/>
    <mergeCell ref="C755:H755"/>
    <mergeCell ref="N755:O755"/>
    <mergeCell ref="C756:H756"/>
    <mergeCell ref="N756:O756"/>
    <mergeCell ref="C757:H757"/>
    <mergeCell ref="N757:O757"/>
    <mergeCell ref="C750:H750"/>
    <mergeCell ref="N750:O750"/>
    <mergeCell ref="C746:H746"/>
    <mergeCell ref="N746:O746"/>
    <mergeCell ref="C747:H747"/>
    <mergeCell ref="N747:O747"/>
    <mergeCell ref="C748:H748"/>
    <mergeCell ref="N748:O748"/>
    <mergeCell ref="C749:H749"/>
    <mergeCell ref="N749:O749"/>
    <mergeCell ref="C751:H751"/>
    <mergeCell ref="N751:O751"/>
    <mergeCell ref="C697:H697"/>
    <mergeCell ref="N697:O697"/>
    <mergeCell ref="C698:H698"/>
    <mergeCell ref="N698:O698"/>
    <mergeCell ref="C699:H699"/>
    <mergeCell ref="N699:O699"/>
    <mergeCell ref="C700:H700"/>
    <mergeCell ref="N700:O700"/>
    <mergeCell ref="C701:H701"/>
    <mergeCell ref="N701:O701"/>
    <mergeCell ref="C725:H725"/>
    <mergeCell ref="N725:O725"/>
    <mergeCell ref="C726:H726"/>
    <mergeCell ref="N726:O726"/>
    <mergeCell ref="C727:H727"/>
    <mergeCell ref="N727:O727"/>
    <mergeCell ref="C722:H722"/>
    <mergeCell ref="N722:O722"/>
    <mergeCell ref="C723:H723"/>
    <mergeCell ref="N723:O723"/>
    <mergeCell ref="C724:H724"/>
    <mergeCell ref="N724:O724"/>
    <mergeCell ref="C719:H719"/>
    <mergeCell ref="N719:O719"/>
    <mergeCell ref="C720:H720"/>
    <mergeCell ref="N720:O720"/>
    <mergeCell ref="C721:H721"/>
    <mergeCell ref="N721:O721"/>
    <mergeCell ref="C704:H704"/>
    <mergeCell ref="N704:O704"/>
    <mergeCell ref="C705:H705"/>
    <mergeCell ref="N705:O705"/>
    <mergeCell ref="C659:H659"/>
    <mergeCell ref="N659:O659"/>
    <mergeCell ref="C660:H660"/>
    <mergeCell ref="N660:O660"/>
    <mergeCell ref="C661:H661"/>
    <mergeCell ref="N661:O661"/>
    <mergeCell ref="C662:H662"/>
    <mergeCell ref="N662:O662"/>
    <mergeCell ref="C686:H686"/>
    <mergeCell ref="N686:O686"/>
    <mergeCell ref="C687:H687"/>
    <mergeCell ref="N687:O687"/>
    <mergeCell ref="C688:H688"/>
    <mergeCell ref="N688:O688"/>
    <mergeCell ref="C683:H683"/>
    <mergeCell ref="N683:O683"/>
    <mergeCell ref="C684:H684"/>
    <mergeCell ref="N684:O684"/>
    <mergeCell ref="C685:H685"/>
    <mergeCell ref="N685:O685"/>
    <mergeCell ref="C680:H680"/>
    <mergeCell ref="N680:O680"/>
    <mergeCell ref="C681:H681"/>
    <mergeCell ref="N681:O681"/>
    <mergeCell ref="C682:H682"/>
    <mergeCell ref="N682:O682"/>
    <mergeCell ref="C663:H663"/>
    <mergeCell ref="N663:O663"/>
    <mergeCell ref="C664:H664"/>
    <mergeCell ref="N664:O664"/>
    <mergeCell ref="C665:H665"/>
    <mergeCell ref="N665:O665"/>
    <mergeCell ref="C646:H646"/>
    <mergeCell ref="N646:O646"/>
    <mergeCell ref="C641:H641"/>
    <mergeCell ref="N641:O641"/>
    <mergeCell ref="C642:H642"/>
    <mergeCell ref="N642:O642"/>
    <mergeCell ref="C643:H643"/>
    <mergeCell ref="N643:O643"/>
    <mergeCell ref="C677:H677"/>
    <mergeCell ref="N677:O677"/>
    <mergeCell ref="C678:H678"/>
    <mergeCell ref="N678:O678"/>
    <mergeCell ref="C679:H679"/>
    <mergeCell ref="N679:O679"/>
    <mergeCell ref="C674:H674"/>
    <mergeCell ref="N674:O674"/>
    <mergeCell ref="C675:H675"/>
    <mergeCell ref="N675:O675"/>
    <mergeCell ref="C676:H676"/>
    <mergeCell ref="N676:O676"/>
    <mergeCell ref="C650:H650"/>
    <mergeCell ref="N650:O650"/>
    <mergeCell ref="C651:H651"/>
    <mergeCell ref="N651:O651"/>
    <mergeCell ref="C672:J672"/>
    <mergeCell ref="N672:O672"/>
    <mergeCell ref="C656:H656"/>
    <mergeCell ref="N656:O656"/>
    <mergeCell ref="C657:H657"/>
    <mergeCell ref="N657:O657"/>
    <mergeCell ref="C658:H658"/>
    <mergeCell ref="N658:O658"/>
    <mergeCell ref="C617:H617"/>
    <mergeCell ref="N617:O617"/>
    <mergeCell ref="C618:H618"/>
    <mergeCell ref="N618:O618"/>
    <mergeCell ref="C619:H619"/>
    <mergeCell ref="N619:O619"/>
    <mergeCell ref="C620:H620"/>
    <mergeCell ref="N620:O620"/>
    <mergeCell ref="C621:H621"/>
    <mergeCell ref="N621:O621"/>
    <mergeCell ref="C622:H622"/>
    <mergeCell ref="N622:O622"/>
    <mergeCell ref="C623:H623"/>
    <mergeCell ref="N623:O623"/>
    <mergeCell ref="C638:H638"/>
    <mergeCell ref="N638:O638"/>
    <mergeCell ref="C639:H639"/>
    <mergeCell ref="N639:O639"/>
    <mergeCell ref="C635:H635"/>
    <mergeCell ref="N635:O635"/>
    <mergeCell ref="C636:H636"/>
    <mergeCell ref="N636:O636"/>
    <mergeCell ref="C637:H637"/>
    <mergeCell ref="N637:O637"/>
    <mergeCell ref="C632:H632"/>
    <mergeCell ref="N632:O632"/>
    <mergeCell ref="C633:H633"/>
    <mergeCell ref="N633:O633"/>
    <mergeCell ref="C634:H634"/>
    <mergeCell ref="N634:O634"/>
    <mergeCell ref="C624:H624"/>
    <mergeCell ref="N624:O624"/>
    <mergeCell ref="C574:H574"/>
    <mergeCell ref="N574:O574"/>
    <mergeCell ref="C575:H575"/>
    <mergeCell ref="N575:O575"/>
    <mergeCell ref="C599:H599"/>
    <mergeCell ref="N599:O599"/>
    <mergeCell ref="C600:H600"/>
    <mergeCell ref="N600:O600"/>
    <mergeCell ref="C601:H601"/>
    <mergeCell ref="N601:O601"/>
    <mergeCell ref="C596:H596"/>
    <mergeCell ref="N596:O596"/>
    <mergeCell ref="C597:H597"/>
    <mergeCell ref="N597:O597"/>
    <mergeCell ref="C598:H598"/>
    <mergeCell ref="N598:O598"/>
    <mergeCell ref="C593:H593"/>
    <mergeCell ref="N593:O593"/>
    <mergeCell ref="C594:H594"/>
    <mergeCell ref="N594:O594"/>
    <mergeCell ref="C595:H595"/>
    <mergeCell ref="N595:O595"/>
    <mergeCell ref="C576:H576"/>
    <mergeCell ref="N576:O576"/>
    <mergeCell ref="C577:H577"/>
    <mergeCell ref="N577:O577"/>
    <mergeCell ref="C578:H578"/>
    <mergeCell ref="N578:O578"/>
    <mergeCell ref="C579:H579"/>
    <mergeCell ref="N579:O579"/>
    <mergeCell ref="C580:H580"/>
    <mergeCell ref="N580:O580"/>
    <mergeCell ref="C555:H555"/>
    <mergeCell ref="N555:O555"/>
    <mergeCell ref="C556:H556"/>
    <mergeCell ref="N556:O556"/>
    <mergeCell ref="C590:H590"/>
    <mergeCell ref="N590:O590"/>
    <mergeCell ref="C591:H591"/>
    <mergeCell ref="N591:O591"/>
    <mergeCell ref="C592:H592"/>
    <mergeCell ref="N592:O592"/>
    <mergeCell ref="C586:J586"/>
    <mergeCell ref="N586:O586"/>
    <mergeCell ref="C588:H588"/>
    <mergeCell ref="N588:O588"/>
    <mergeCell ref="C589:H589"/>
    <mergeCell ref="N589:O589"/>
    <mergeCell ref="C563:H563"/>
    <mergeCell ref="N563:O563"/>
    <mergeCell ref="C564:H564"/>
    <mergeCell ref="N564:O564"/>
    <mergeCell ref="C565:H565"/>
    <mergeCell ref="N565:O565"/>
    <mergeCell ref="C569:H569"/>
    <mergeCell ref="N569:O569"/>
    <mergeCell ref="C570:H570"/>
    <mergeCell ref="N570:O570"/>
    <mergeCell ref="C571:H571"/>
    <mergeCell ref="N571:O571"/>
    <mergeCell ref="C572:H572"/>
    <mergeCell ref="N572:O572"/>
    <mergeCell ref="C573:H573"/>
    <mergeCell ref="N573:O573"/>
    <mergeCell ref="C545:H545"/>
    <mergeCell ref="N545:O545"/>
    <mergeCell ref="C546:H546"/>
    <mergeCell ref="N546:O546"/>
    <mergeCell ref="C547:H547"/>
    <mergeCell ref="N547:O547"/>
    <mergeCell ref="C537:H537"/>
    <mergeCell ref="N537:O537"/>
    <mergeCell ref="C538:H538"/>
    <mergeCell ref="N538:O538"/>
    <mergeCell ref="C554:H554"/>
    <mergeCell ref="N554:O554"/>
    <mergeCell ref="C540:H540"/>
    <mergeCell ref="N540:O540"/>
    <mergeCell ref="C541:H541"/>
    <mergeCell ref="N541:O541"/>
    <mergeCell ref="C542:H542"/>
    <mergeCell ref="N542:O542"/>
    <mergeCell ref="C490:H490"/>
    <mergeCell ref="N490:O490"/>
    <mergeCell ref="C491:H491"/>
    <mergeCell ref="N491:O491"/>
    <mergeCell ref="C492:H492"/>
    <mergeCell ref="N492:O492"/>
    <mergeCell ref="C530:H530"/>
    <mergeCell ref="N530:O530"/>
    <mergeCell ref="C531:H531"/>
    <mergeCell ref="N531:O531"/>
    <mergeCell ref="C532:H532"/>
    <mergeCell ref="N532:O532"/>
    <mergeCell ref="C533:H533"/>
    <mergeCell ref="N533:O533"/>
    <mergeCell ref="C534:H534"/>
    <mergeCell ref="N534:O534"/>
    <mergeCell ref="C535:H535"/>
    <mergeCell ref="N535:O535"/>
    <mergeCell ref="C498:H498"/>
    <mergeCell ref="N498:O498"/>
    <mergeCell ref="C499:H499"/>
    <mergeCell ref="N499:O499"/>
    <mergeCell ref="C523:H523"/>
    <mergeCell ref="N523:O523"/>
    <mergeCell ref="C524:H524"/>
    <mergeCell ref="N524:O524"/>
    <mergeCell ref="C515:H515"/>
    <mergeCell ref="N515:O515"/>
    <mergeCell ref="C516:H516"/>
    <mergeCell ref="N516:O516"/>
    <mergeCell ref="C517:H517"/>
    <mergeCell ref="N517:O517"/>
    <mergeCell ref="C482:H482"/>
    <mergeCell ref="N482:O482"/>
    <mergeCell ref="C483:H483"/>
    <mergeCell ref="N483:O483"/>
    <mergeCell ref="C484:H484"/>
    <mergeCell ref="N484:O484"/>
    <mergeCell ref="C485:H485"/>
    <mergeCell ref="N485:O485"/>
    <mergeCell ref="C486:H486"/>
    <mergeCell ref="N486:O486"/>
    <mergeCell ref="C487:H487"/>
    <mergeCell ref="N487:O487"/>
    <mergeCell ref="C488:H488"/>
    <mergeCell ref="N488:O488"/>
    <mergeCell ref="C512:H512"/>
    <mergeCell ref="N512:O512"/>
    <mergeCell ref="C513:H513"/>
    <mergeCell ref="N513:O513"/>
    <mergeCell ref="C509:H509"/>
    <mergeCell ref="N509:O509"/>
    <mergeCell ref="C510:H510"/>
    <mergeCell ref="N510:O510"/>
    <mergeCell ref="C511:H511"/>
    <mergeCell ref="N511:O511"/>
    <mergeCell ref="C506:H506"/>
    <mergeCell ref="N506:O506"/>
    <mergeCell ref="C507:H507"/>
    <mergeCell ref="N507:O507"/>
    <mergeCell ref="C508:H508"/>
    <mergeCell ref="N508:O508"/>
    <mergeCell ref="C489:H489"/>
    <mergeCell ref="N489:O489"/>
    <mergeCell ref="C444:H444"/>
    <mergeCell ref="N444:O444"/>
    <mergeCell ref="C445:H445"/>
    <mergeCell ref="N445:O445"/>
    <mergeCell ref="C446:H446"/>
    <mergeCell ref="N446:O446"/>
    <mergeCell ref="C447:H447"/>
    <mergeCell ref="N447:O447"/>
    <mergeCell ref="C448:H448"/>
    <mergeCell ref="N448:O448"/>
    <mergeCell ref="C449:H449"/>
    <mergeCell ref="N449:O449"/>
    <mergeCell ref="C450:H450"/>
    <mergeCell ref="N450:O450"/>
    <mergeCell ref="C451:H451"/>
    <mergeCell ref="N451:O451"/>
    <mergeCell ref="C452:H452"/>
    <mergeCell ref="N452:O452"/>
    <mergeCell ref="C402:H402"/>
    <mergeCell ref="N402:O402"/>
    <mergeCell ref="C403:H403"/>
    <mergeCell ref="N403:O403"/>
    <mergeCell ref="C404:H404"/>
    <mergeCell ref="N404:O404"/>
    <mergeCell ref="C405:H405"/>
    <mergeCell ref="N405:O405"/>
    <mergeCell ref="C406:H406"/>
    <mergeCell ref="N406:O406"/>
    <mergeCell ref="C407:H407"/>
    <mergeCell ref="N407:O407"/>
    <mergeCell ref="C408:H408"/>
    <mergeCell ref="N408:O408"/>
    <mergeCell ref="C425:H425"/>
    <mergeCell ref="N425:O425"/>
    <mergeCell ref="C426:H426"/>
    <mergeCell ref="N426:O426"/>
    <mergeCell ref="C422:H422"/>
    <mergeCell ref="N422:O422"/>
    <mergeCell ref="C423:H423"/>
    <mergeCell ref="N423:O423"/>
    <mergeCell ref="C424:H424"/>
    <mergeCell ref="N424:O424"/>
    <mergeCell ref="C419:H419"/>
    <mergeCell ref="N419:O419"/>
    <mergeCell ref="C420:H420"/>
    <mergeCell ref="N420:O420"/>
    <mergeCell ref="C421:H421"/>
    <mergeCell ref="N421:O421"/>
    <mergeCell ref="C416:H416"/>
    <mergeCell ref="N416:O416"/>
    <mergeCell ref="C386:H386"/>
    <mergeCell ref="N386:O386"/>
    <mergeCell ref="C387:H387"/>
    <mergeCell ref="N387:O387"/>
    <mergeCell ref="C388:H388"/>
    <mergeCell ref="N388:O388"/>
    <mergeCell ref="C383:H383"/>
    <mergeCell ref="N383:O383"/>
    <mergeCell ref="C384:H384"/>
    <mergeCell ref="N384:O384"/>
    <mergeCell ref="C385:H385"/>
    <mergeCell ref="N385:O385"/>
    <mergeCell ref="C380:H380"/>
    <mergeCell ref="N380:O380"/>
    <mergeCell ref="C381:H381"/>
    <mergeCell ref="N381:O381"/>
    <mergeCell ref="C382:H382"/>
    <mergeCell ref="N382:O382"/>
    <mergeCell ref="C375:H375"/>
    <mergeCell ref="N375:O375"/>
    <mergeCell ref="C376:H376"/>
    <mergeCell ref="N376:O376"/>
    <mergeCell ref="C350:H350"/>
    <mergeCell ref="N350:O350"/>
    <mergeCell ref="C371:J371"/>
    <mergeCell ref="N371:O371"/>
    <mergeCell ref="C373:H373"/>
    <mergeCell ref="N373:O373"/>
    <mergeCell ref="C354:H354"/>
    <mergeCell ref="N354:O354"/>
    <mergeCell ref="C355:H355"/>
    <mergeCell ref="N355:O355"/>
    <mergeCell ref="C356:H356"/>
    <mergeCell ref="N356:O356"/>
    <mergeCell ref="C357:H357"/>
    <mergeCell ref="N357:O357"/>
    <mergeCell ref="C358:H358"/>
    <mergeCell ref="N358:O358"/>
    <mergeCell ref="C359:H359"/>
    <mergeCell ref="N359:O359"/>
    <mergeCell ref="C360:H360"/>
    <mergeCell ref="N360:O360"/>
    <mergeCell ref="C361:H361"/>
    <mergeCell ref="N361:O361"/>
    <mergeCell ref="C351:H351"/>
    <mergeCell ref="N351:O351"/>
    <mergeCell ref="C352:H352"/>
    <mergeCell ref="N352:O352"/>
    <mergeCell ref="C353:H353"/>
    <mergeCell ref="N353:O353"/>
    <mergeCell ref="C275:H275"/>
    <mergeCell ref="N275:O275"/>
    <mergeCell ref="C319:H319"/>
    <mergeCell ref="N319:O319"/>
    <mergeCell ref="C320:H320"/>
    <mergeCell ref="N320:O320"/>
    <mergeCell ref="C321:H321"/>
    <mergeCell ref="N321:O321"/>
    <mergeCell ref="C338:H338"/>
    <mergeCell ref="N338:O338"/>
    <mergeCell ref="C339:H339"/>
    <mergeCell ref="N339:O339"/>
    <mergeCell ref="C335:H335"/>
    <mergeCell ref="N335:O335"/>
    <mergeCell ref="C336:H336"/>
    <mergeCell ref="N336:O336"/>
    <mergeCell ref="C337:H337"/>
    <mergeCell ref="N337:O337"/>
    <mergeCell ref="C332:H332"/>
    <mergeCell ref="N332:O332"/>
    <mergeCell ref="C333:H333"/>
    <mergeCell ref="N333:O333"/>
    <mergeCell ref="C334:H334"/>
    <mergeCell ref="N334:O334"/>
    <mergeCell ref="C322:H322"/>
    <mergeCell ref="N322:O322"/>
    <mergeCell ref="C323:H323"/>
    <mergeCell ref="N323:O323"/>
    <mergeCell ref="C324:H324"/>
    <mergeCell ref="N324:O324"/>
    <mergeCell ref="C325:H325"/>
    <mergeCell ref="N325:O325"/>
    <mergeCell ref="C299:H299"/>
    <mergeCell ref="N299:O299"/>
    <mergeCell ref="C300:H300"/>
    <mergeCell ref="N300:O300"/>
    <mergeCell ref="C301:H301"/>
    <mergeCell ref="N301:O301"/>
    <mergeCell ref="C296:H296"/>
    <mergeCell ref="N296:O296"/>
    <mergeCell ref="C297:H297"/>
    <mergeCell ref="N297:O297"/>
    <mergeCell ref="C298:H298"/>
    <mergeCell ref="N298:O298"/>
    <mergeCell ref="C293:H293"/>
    <mergeCell ref="N293:O293"/>
    <mergeCell ref="C294:H294"/>
    <mergeCell ref="N294:O294"/>
    <mergeCell ref="C295:H295"/>
    <mergeCell ref="N295:O295"/>
    <mergeCell ref="C291:H291"/>
    <mergeCell ref="N291:O291"/>
    <mergeCell ref="C292:H292"/>
    <mergeCell ref="N292:O292"/>
    <mergeCell ref="C287:H287"/>
    <mergeCell ref="N287:O287"/>
    <mergeCell ref="C288:H288"/>
    <mergeCell ref="N288:O288"/>
    <mergeCell ref="C289:H289"/>
    <mergeCell ref="N289:O289"/>
    <mergeCell ref="C263:H263"/>
    <mergeCell ref="N263:O263"/>
    <mergeCell ref="C264:H264"/>
    <mergeCell ref="N264:O264"/>
    <mergeCell ref="C285:J285"/>
    <mergeCell ref="N285:O285"/>
    <mergeCell ref="C267:H267"/>
    <mergeCell ref="N267:O267"/>
    <mergeCell ref="C268:H268"/>
    <mergeCell ref="N268:O268"/>
    <mergeCell ref="C269:H269"/>
    <mergeCell ref="N269:O269"/>
    <mergeCell ref="C270:H270"/>
    <mergeCell ref="N270:O270"/>
    <mergeCell ref="C271:H271"/>
    <mergeCell ref="N271:O271"/>
    <mergeCell ref="C272:H272"/>
    <mergeCell ref="N272:O272"/>
    <mergeCell ref="C273:H273"/>
    <mergeCell ref="N273:O273"/>
    <mergeCell ref="C274:H274"/>
    <mergeCell ref="N274:O274"/>
    <mergeCell ref="C232:H232"/>
    <mergeCell ref="N232:O232"/>
    <mergeCell ref="C233:H233"/>
    <mergeCell ref="N233:O233"/>
    <mergeCell ref="C234:H234"/>
    <mergeCell ref="N234:O234"/>
    <mergeCell ref="C251:H251"/>
    <mergeCell ref="N251:O251"/>
    <mergeCell ref="C252:H252"/>
    <mergeCell ref="N252:O252"/>
    <mergeCell ref="C248:H248"/>
    <mergeCell ref="N248:O248"/>
    <mergeCell ref="C249:H249"/>
    <mergeCell ref="N249:O249"/>
    <mergeCell ref="C250:H250"/>
    <mergeCell ref="N250:O250"/>
    <mergeCell ref="C245:H245"/>
    <mergeCell ref="N245:O245"/>
    <mergeCell ref="C246:H246"/>
    <mergeCell ref="N246:O246"/>
    <mergeCell ref="C247:H247"/>
    <mergeCell ref="N247:O247"/>
    <mergeCell ref="C235:H235"/>
    <mergeCell ref="N235:O235"/>
    <mergeCell ref="C236:H236"/>
    <mergeCell ref="N236:O236"/>
    <mergeCell ref="C237:H237"/>
    <mergeCell ref="N237:O237"/>
    <mergeCell ref="C238:H238"/>
    <mergeCell ref="N238:O238"/>
    <mergeCell ref="C239:H239"/>
    <mergeCell ref="N239:O239"/>
    <mergeCell ref="C188:H188"/>
    <mergeCell ref="N188:O188"/>
    <mergeCell ref="C189:H189"/>
    <mergeCell ref="N189:O189"/>
    <mergeCell ref="C190:H190"/>
    <mergeCell ref="N190:O190"/>
    <mergeCell ref="C191:H191"/>
    <mergeCell ref="N191:O191"/>
    <mergeCell ref="C192:H192"/>
    <mergeCell ref="N192:O192"/>
    <mergeCell ref="C228:H228"/>
    <mergeCell ref="N228:O228"/>
    <mergeCell ref="C229:H229"/>
    <mergeCell ref="N229:O229"/>
    <mergeCell ref="C230:H230"/>
    <mergeCell ref="N230:O230"/>
    <mergeCell ref="C231:H231"/>
    <mergeCell ref="N231:O231"/>
    <mergeCell ref="C193:H193"/>
    <mergeCell ref="N193:O193"/>
    <mergeCell ref="C194:H194"/>
    <mergeCell ref="N194:O194"/>
    <mergeCell ref="C195:H195"/>
    <mergeCell ref="N195:O195"/>
    <mergeCell ref="C196:H196"/>
    <mergeCell ref="N196:O196"/>
    <mergeCell ref="C197:H197"/>
    <mergeCell ref="N197:O197"/>
    <mergeCell ref="C198:H198"/>
    <mergeCell ref="N198:O198"/>
    <mergeCell ref="C222:H222"/>
    <mergeCell ref="N222:O222"/>
    <mergeCell ref="C180:H180"/>
    <mergeCell ref="N180:O180"/>
    <mergeCell ref="C181:H181"/>
    <mergeCell ref="N181:O181"/>
    <mergeCell ref="C182:H182"/>
    <mergeCell ref="N182:O182"/>
    <mergeCell ref="C183:H183"/>
    <mergeCell ref="N183:O183"/>
    <mergeCell ref="C184:H184"/>
    <mergeCell ref="N184:O184"/>
    <mergeCell ref="C185:H185"/>
    <mergeCell ref="N185:O185"/>
    <mergeCell ref="C186:H186"/>
    <mergeCell ref="N186:O186"/>
    <mergeCell ref="C212:H212"/>
    <mergeCell ref="N212:O212"/>
    <mergeCell ref="C213:H213"/>
    <mergeCell ref="N213:O213"/>
    <mergeCell ref="C209:H209"/>
    <mergeCell ref="N209:O209"/>
    <mergeCell ref="C210:H210"/>
    <mergeCell ref="N210:O210"/>
    <mergeCell ref="C211:H211"/>
    <mergeCell ref="N211:O211"/>
    <mergeCell ref="C206:H206"/>
    <mergeCell ref="N206:O206"/>
    <mergeCell ref="C207:H207"/>
    <mergeCell ref="N207:O207"/>
    <mergeCell ref="C208:H208"/>
    <mergeCell ref="N208:O208"/>
    <mergeCell ref="C187:H187"/>
    <mergeCell ref="N187:O187"/>
    <mergeCell ref="C146:H146"/>
    <mergeCell ref="N146:O146"/>
    <mergeCell ref="C147:H147"/>
    <mergeCell ref="N147:O147"/>
    <mergeCell ref="C164:H164"/>
    <mergeCell ref="N164:O164"/>
    <mergeCell ref="C165:H165"/>
    <mergeCell ref="N165:O165"/>
    <mergeCell ref="C166:H166"/>
    <mergeCell ref="N166:O166"/>
    <mergeCell ref="C161:H161"/>
    <mergeCell ref="N161:O161"/>
    <mergeCell ref="C162:H162"/>
    <mergeCell ref="N162:O162"/>
    <mergeCell ref="C163:H163"/>
    <mergeCell ref="N163:O163"/>
    <mergeCell ref="C158:H158"/>
    <mergeCell ref="N158:O158"/>
    <mergeCell ref="C159:H159"/>
    <mergeCell ref="N159:O159"/>
    <mergeCell ref="C160:H160"/>
    <mergeCell ref="N160:O160"/>
    <mergeCell ref="C148:H148"/>
    <mergeCell ref="N148:O148"/>
    <mergeCell ref="C149:H149"/>
    <mergeCell ref="N149:O149"/>
    <mergeCell ref="C150:H150"/>
    <mergeCell ref="N150:O150"/>
    <mergeCell ref="C151:H151"/>
    <mergeCell ref="N151:O151"/>
    <mergeCell ref="C152:H152"/>
    <mergeCell ref="N152:O152"/>
    <mergeCell ref="C120:H120"/>
    <mergeCell ref="N120:O120"/>
    <mergeCell ref="C121:H121"/>
    <mergeCell ref="N121:O121"/>
    <mergeCell ref="C134:H134"/>
    <mergeCell ref="N134:O134"/>
    <mergeCell ref="C135:H135"/>
    <mergeCell ref="N135:O135"/>
    <mergeCell ref="C156:J156"/>
    <mergeCell ref="N156:O156"/>
    <mergeCell ref="C131:H131"/>
    <mergeCell ref="N131:O131"/>
    <mergeCell ref="C132:H132"/>
    <mergeCell ref="N132:O132"/>
    <mergeCell ref="C133:H133"/>
    <mergeCell ref="N133:O133"/>
    <mergeCell ref="C128:H128"/>
    <mergeCell ref="N128:O128"/>
    <mergeCell ref="C129:H129"/>
    <mergeCell ref="N129:O129"/>
    <mergeCell ref="C130:H130"/>
    <mergeCell ref="N130:O130"/>
    <mergeCell ref="C141:H141"/>
    <mergeCell ref="N141:O141"/>
    <mergeCell ref="C142:H142"/>
    <mergeCell ref="N142:O142"/>
    <mergeCell ref="C143:H143"/>
    <mergeCell ref="N143:O143"/>
    <mergeCell ref="C144:H144"/>
    <mergeCell ref="N144:O144"/>
    <mergeCell ref="C145:H145"/>
    <mergeCell ref="N145:O145"/>
    <mergeCell ref="C92:H92"/>
    <mergeCell ref="N92:O92"/>
    <mergeCell ref="C113:J113"/>
    <mergeCell ref="N113:O113"/>
    <mergeCell ref="C115:H115"/>
    <mergeCell ref="N115:O115"/>
    <mergeCell ref="C89:H89"/>
    <mergeCell ref="N89:O89"/>
    <mergeCell ref="C90:H90"/>
    <mergeCell ref="N90:O90"/>
    <mergeCell ref="C91:H91"/>
    <mergeCell ref="N91:O91"/>
    <mergeCell ref="C93:H93"/>
    <mergeCell ref="N93:O93"/>
    <mergeCell ref="C94:H94"/>
    <mergeCell ref="N94:O94"/>
    <mergeCell ref="C95:H95"/>
    <mergeCell ref="N95:O95"/>
    <mergeCell ref="C96:H96"/>
    <mergeCell ref="N96:O96"/>
    <mergeCell ref="C97:H97"/>
    <mergeCell ref="N97:O97"/>
    <mergeCell ref="C98:H98"/>
    <mergeCell ref="N98:O98"/>
    <mergeCell ref="C99:H99"/>
    <mergeCell ref="N99:O99"/>
    <mergeCell ref="C100:H100"/>
    <mergeCell ref="N100:O100"/>
    <mergeCell ref="C101:H101"/>
    <mergeCell ref="N101:O101"/>
    <mergeCell ref="C102:H102"/>
    <mergeCell ref="N102:O102"/>
    <mergeCell ref="C31:G31"/>
    <mergeCell ref="C32:G32"/>
    <mergeCell ref="C33:G33"/>
    <mergeCell ref="C72:H72"/>
    <mergeCell ref="N72:O72"/>
    <mergeCell ref="C73:H73"/>
    <mergeCell ref="N73:O73"/>
    <mergeCell ref="C86:H86"/>
    <mergeCell ref="N86:O86"/>
    <mergeCell ref="C87:H87"/>
    <mergeCell ref="N87:O87"/>
    <mergeCell ref="C88:H88"/>
    <mergeCell ref="N88:O88"/>
    <mergeCell ref="C83:H83"/>
    <mergeCell ref="N83:O83"/>
    <mergeCell ref="C84:H84"/>
    <mergeCell ref="N84:O84"/>
    <mergeCell ref="C85:H85"/>
    <mergeCell ref="N85:O85"/>
    <mergeCell ref="C80:H80"/>
    <mergeCell ref="N80:O80"/>
    <mergeCell ref="C81:H81"/>
    <mergeCell ref="N81:O81"/>
    <mergeCell ref="C82:H82"/>
    <mergeCell ref="N82:O82"/>
    <mergeCell ref="C44:G44"/>
    <mergeCell ref="C45:G45"/>
    <mergeCell ref="C46:G46"/>
    <mergeCell ref="C47:G47"/>
    <mergeCell ref="H41:I41"/>
    <mergeCell ref="C35:G35"/>
    <mergeCell ref="C58:G58"/>
    <mergeCell ref="C111:H111"/>
    <mergeCell ref="N111:O111"/>
    <mergeCell ref="C77:H77"/>
    <mergeCell ref="N77:O77"/>
    <mergeCell ref="C78:H78"/>
    <mergeCell ref="N78:O78"/>
    <mergeCell ref="C79:H79"/>
    <mergeCell ref="N79:O79"/>
    <mergeCell ref="C74:H74"/>
    <mergeCell ref="N74:O74"/>
    <mergeCell ref="C75:H75"/>
    <mergeCell ref="N75:O75"/>
    <mergeCell ref="C76:H76"/>
    <mergeCell ref="N76:O76"/>
    <mergeCell ref="C71:H71"/>
    <mergeCell ref="N71:O71"/>
    <mergeCell ref="N2:O2"/>
    <mergeCell ref="N3:O3"/>
    <mergeCell ref="C66:H67"/>
    <mergeCell ref="L66:O67"/>
    <mergeCell ref="K69:M69"/>
    <mergeCell ref="L14:O15"/>
    <mergeCell ref="C16:G17"/>
    <mergeCell ref="C19:O24"/>
    <mergeCell ref="C14:I15"/>
    <mergeCell ref="C26:G26"/>
    <mergeCell ref="H26:I26"/>
    <mergeCell ref="C27:G27"/>
    <mergeCell ref="C28:G28"/>
    <mergeCell ref="C29:G29"/>
    <mergeCell ref="C30:G30"/>
    <mergeCell ref="L26:O26"/>
    <mergeCell ref="C118:H118"/>
    <mergeCell ref="N118:O118"/>
    <mergeCell ref="C125:H125"/>
    <mergeCell ref="N125:O125"/>
    <mergeCell ref="C126:H126"/>
    <mergeCell ref="N126:O126"/>
    <mergeCell ref="C127:H127"/>
    <mergeCell ref="N127:O127"/>
    <mergeCell ref="C122:H122"/>
    <mergeCell ref="N122:O122"/>
    <mergeCell ref="C123:H123"/>
    <mergeCell ref="N123:O123"/>
    <mergeCell ref="C124:H124"/>
    <mergeCell ref="N124:O124"/>
    <mergeCell ref="C119:H119"/>
    <mergeCell ref="N119:O119"/>
    <mergeCell ref="C103:H103"/>
    <mergeCell ref="N103:O103"/>
    <mergeCell ref="C104:H104"/>
    <mergeCell ref="N104:O104"/>
    <mergeCell ref="C105:H105"/>
    <mergeCell ref="N105:O105"/>
    <mergeCell ref="C106:H106"/>
    <mergeCell ref="N106:O106"/>
    <mergeCell ref="C107:H107"/>
    <mergeCell ref="N107:O107"/>
    <mergeCell ref="C108:H108"/>
    <mergeCell ref="N108:O108"/>
    <mergeCell ref="C109:H109"/>
    <mergeCell ref="N109:O109"/>
    <mergeCell ref="C110:H110"/>
    <mergeCell ref="N110:O110"/>
    <mergeCell ref="C171:H171"/>
    <mergeCell ref="N171:O171"/>
    <mergeCell ref="C172:H172"/>
    <mergeCell ref="N172:O172"/>
    <mergeCell ref="C167:H167"/>
    <mergeCell ref="N167:O167"/>
    <mergeCell ref="C168:H168"/>
    <mergeCell ref="N168:O168"/>
    <mergeCell ref="C169:H169"/>
    <mergeCell ref="N169:O169"/>
    <mergeCell ref="C176:H176"/>
    <mergeCell ref="N176:O176"/>
    <mergeCell ref="C177:H177"/>
    <mergeCell ref="N177:O177"/>
    <mergeCell ref="C178:H178"/>
    <mergeCell ref="N178:O178"/>
    <mergeCell ref="C112:H112"/>
    <mergeCell ref="N112:O112"/>
    <mergeCell ref="C136:H136"/>
    <mergeCell ref="N136:O136"/>
    <mergeCell ref="C137:H137"/>
    <mergeCell ref="N137:O137"/>
    <mergeCell ref="C138:H138"/>
    <mergeCell ref="N138:O138"/>
    <mergeCell ref="C139:H139"/>
    <mergeCell ref="N139:O139"/>
    <mergeCell ref="C140:H140"/>
    <mergeCell ref="N140:O140"/>
    <mergeCell ref="C116:H116"/>
    <mergeCell ref="N116:O116"/>
    <mergeCell ref="C117:H117"/>
    <mergeCell ref="N117:O117"/>
    <mergeCell ref="C203:H203"/>
    <mergeCell ref="N203:O203"/>
    <mergeCell ref="C204:H204"/>
    <mergeCell ref="N204:O204"/>
    <mergeCell ref="C205:H205"/>
    <mergeCell ref="N205:O205"/>
    <mergeCell ref="C199:J199"/>
    <mergeCell ref="N199:O199"/>
    <mergeCell ref="C201:H201"/>
    <mergeCell ref="N201:O201"/>
    <mergeCell ref="C202:H202"/>
    <mergeCell ref="N202:O202"/>
    <mergeCell ref="C214:H214"/>
    <mergeCell ref="N214:O214"/>
    <mergeCell ref="C224:H224"/>
    <mergeCell ref="N224:O224"/>
    <mergeCell ref="C153:H153"/>
    <mergeCell ref="N153:O153"/>
    <mergeCell ref="C154:H154"/>
    <mergeCell ref="N154:O154"/>
    <mergeCell ref="C155:H155"/>
    <mergeCell ref="N155:O155"/>
    <mergeCell ref="C179:H179"/>
    <mergeCell ref="N179:O179"/>
    <mergeCell ref="C173:H173"/>
    <mergeCell ref="N173:O173"/>
    <mergeCell ref="C174:H174"/>
    <mergeCell ref="N174:O174"/>
    <mergeCell ref="C175:H175"/>
    <mergeCell ref="N175:O175"/>
    <mergeCell ref="C170:H170"/>
    <mergeCell ref="N170:O170"/>
    <mergeCell ref="C225:H225"/>
    <mergeCell ref="N225:O225"/>
    <mergeCell ref="C226:H226"/>
    <mergeCell ref="N226:O226"/>
    <mergeCell ref="C227:H227"/>
    <mergeCell ref="N227:O227"/>
    <mergeCell ref="C221:H221"/>
    <mergeCell ref="N221:O221"/>
    <mergeCell ref="C218:H218"/>
    <mergeCell ref="N218:O218"/>
    <mergeCell ref="C219:H219"/>
    <mergeCell ref="N219:O219"/>
    <mergeCell ref="C220:H220"/>
    <mergeCell ref="N220:O220"/>
    <mergeCell ref="C215:H215"/>
    <mergeCell ref="N215:O215"/>
    <mergeCell ref="C216:H216"/>
    <mergeCell ref="N216:O216"/>
    <mergeCell ref="C217:H217"/>
    <mergeCell ref="N217:O217"/>
    <mergeCell ref="C223:H223"/>
    <mergeCell ref="N223:O223"/>
    <mergeCell ref="C240:H240"/>
    <mergeCell ref="N240:O240"/>
    <mergeCell ref="C241:H241"/>
    <mergeCell ref="N241:O241"/>
    <mergeCell ref="C265:H265"/>
    <mergeCell ref="N265:O265"/>
    <mergeCell ref="C266:H266"/>
    <mergeCell ref="N266:O266"/>
    <mergeCell ref="C242:J242"/>
    <mergeCell ref="N242:O242"/>
    <mergeCell ref="C244:H244"/>
    <mergeCell ref="N244:O244"/>
    <mergeCell ref="C253:H253"/>
    <mergeCell ref="N253:O253"/>
    <mergeCell ref="C260:H260"/>
    <mergeCell ref="N260:O260"/>
    <mergeCell ref="C261:H261"/>
    <mergeCell ref="N261:O261"/>
    <mergeCell ref="C262:H262"/>
    <mergeCell ref="N262:O262"/>
    <mergeCell ref="C257:H257"/>
    <mergeCell ref="N257:O257"/>
    <mergeCell ref="C258:H258"/>
    <mergeCell ref="N258:O258"/>
    <mergeCell ref="C259:H259"/>
    <mergeCell ref="N259:O259"/>
    <mergeCell ref="C254:H254"/>
    <mergeCell ref="N254:O254"/>
    <mergeCell ref="C255:H255"/>
    <mergeCell ref="N255:O255"/>
    <mergeCell ref="C256:H256"/>
    <mergeCell ref="N256:O256"/>
    <mergeCell ref="C305:H305"/>
    <mergeCell ref="N305:O305"/>
    <mergeCell ref="C306:H306"/>
    <mergeCell ref="N306:O306"/>
    <mergeCell ref="C307:H307"/>
    <mergeCell ref="N307:O307"/>
    <mergeCell ref="C276:H276"/>
    <mergeCell ref="N276:O276"/>
    <mergeCell ref="C277:H277"/>
    <mergeCell ref="N277:O277"/>
    <mergeCell ref="C278:H278"/>
    <mergeCell ref="N278:O278"/>
    <mergeCell ref="C279:H279"/>
    <mergeCell ref="N279:O279"/>
    <mergeCell ref="C280:H280"/>
    <mergeCell ref="N280:O280"/>
    <mergeCell ref="C281:H281"/>
    <mergeCell ref="N281:O281"/>
    <mergeCell ref="C282:H282"/>
    <mergeCell ref="N282:O282"/>
    <mergeCell ref="C283:H283"/>
    <mergeCell ref="N283:O283"/>
    <mergeCell ref="C284:H284"/>
    <mergeCell ref="N284:O284"/>
    <mergeCell ref="C302:H302"/>
    <mergeCell ref="N302:O302"/>
    <mergeCell ref="C303:H303"/>
    <mergeCell ref="N303:O303"/>
    <mergeCell ref="C304:H304"/>
    <mergeCell ref="N304:O304"/>
    <mergeCell ref="C290:H290"/>
    <mergeCell ref="N290:O290"/>
    <mergeCell ref="C327:H327"/>
    <mergeCell ref="N327:O327"/>
    <mergeCell ref="C308:H308"/>
    <mergeCell ref="N308:O308"/>
    <mergeCell ref="C309:H309"/>
    <mergeCell ref="N309:O309"/>
    <mergeCell ref="C310:H310"/>
    <mergeCell ref="N310:O310"/>
    <mergeCell ref="C311:H311"/>
    <mergeCell ref="N311:O311"/>
    <mergeCell ref="C312:H312"/>
    <mergeCell ref="N312:O312"/>
    <mergeCell ref="C313:H313"/>
    <mergeCell ref="N313:O313"/>
    <mergeCell ref="C314:H314"/>
    <mergeCell ref="N314:O314"/>
    <mergeCell ref="C315:H315"/>
    <mergeCell ref="N315:O315"/>
    <mergeCell ref="C316:H316"/>
    <mergeCell ref="N316:O316"/>
    <mergeCell ref="C317:H317"/>
    <mergeCell ref="N317:O317"/>
    <mergeCell ref="C318:H318"/>
    <mergeCell ref="N318:O318"/>
    <mergeCell ref="C326:H326"/>
    <mergeCell ref="N326:O326"/>
    <mergeCell ref="C328:J328"/>
    <mergeCell ref="N328:O328"/>
    <mergeCell ref="C330:H330"/>
    <mergeCell ref="N330:O330"/>
    <mergeCell ref="C331:H331"/>
    <mergeCell ref="N331:O331"/>
    <mergeCell ref="C340:H340"/>
    <mergeCell ref="N340:O340"/>
    <mergeCell ref="C347:H347"/>
    <mergeCell ref="N347:O347"/>
    <mergeCell ref="C348:H348"/>
    <mergeCell ref="N348:O348"/>
    <mergeCell ref="C349:H349"/>
    <mergeCell ref="N349:O349"/>
    <mergeCell ref="C344:H344"/>
    <mergeCell ref="N344:O344"/>
    <mergeCell ref="C345:H345"/>
    <mergeCell ref="N345:O345"/>
    <mergeCell ref="C346:H346"/>
    <mergeCell ref="N346:O346"/>
    <mergeCell ref="C341:H341"/>
    <mergeCell ref="N341:O341"/>
    <mergeCell ref="C342:H342"/>
    <mergeCell ref="N342:O342"/>
    <mergeCell ref="C343:H343"/>
    <mergeCell ref="N343:O343"/>
    <mergeCell ref="C401:H401"/>
    <mergeCell ref="N401:O401"/>
    <mergeCell ref="C392:H392"/>
    <mergeCell ref="N392:O392"/>
    <mergeCell ref="C393:H393"/>
    <mergeCell ref="N393:O393"/>
    <mergeCell ref="C362:H362"/>
    <mergeCell ref="N362:O362"/>
    <mergeCell ref="C363:H363"/>
    <mergeCell ref="N363:O363"/>
    <mergeCell ref="C364:H364"/>
    <mergeCell ref="N364:O364"/>
    <mergeCell ref="C365:H365"/>
    <mergeCell ref="N365:O365"/>
    <mergeCell ref="C366:H366"/>
    <mergeCell ref="N366:O366"/>
    <mergeCell ref="C367:H367"/>
    <mergeCell ref="N367:O367"/>
    <mergeCell ref="C368:H368"/>
    <mergeCell ref="N368:O368"/>
    <mergeCell ref="C369:H369"/>
    <mergeCell ref="N369:O369"/>
    <mergeCell ref="C370:H370"/>
    <mergeCell ref="N370:O370"/>
    <mergeCell ref="C377:H377"/>
    <mergeCell ref="N377:O377"/>
    <mergeCell ref="C378:H378"/>
    <mergeCell ref="N378:O378"/>
    <mergeCell ref="C379:H379"/>
    <mergeCell ref="N379:O379"/>
    <mergeCell ref="C374:H374"/>
    <mergeCell ref="N374:O374"/>
    <mergeCell ref="C389:H389"/>
    <mergeCell ref="N389:O389"/>
    <mergeCell ref="C390:H390"/>
    <mergeCell ref="N390:O390"/>
    <mergeCell ref="C391:H391"/>
    <mergeCell ref="N391:O391"/>
    <mergeCell ref="C409:H409"/>
    <mergeCell ref="N409:O409"/>
    <mergeCell ref="C410:H410"/>
    <mergeCell ref="N410:O410"/>
    <mergeCell ref="C411:H411"/>
    <mergeCell ref="N411:O411"/>
    <mergeCell ref="C412:H412"/>
    <mergeCell ref="N412:O412"/>
    <mergeCell ref="C413:H413"/>
    <mergeCell ref="N413:O413"/>
    <mergeCell ref="C437:H437"/>
    <mergeCell ref="N437:O437"/>
    <mergeCell ref="C394:H394"/>
    <mergeCell ref="N394:O394"/>
    <mergeCell ref="C395:H395"/>
    <mergeCell ref="N395:O395"/>
    <mergeCell ref="C396:H396"/>
    <mergeCell ref="N396:O396"/>
    <mergeCell ref="C397:H397"/>
    <mergeCell ref="N397:O397"/>
    <mergeCell ref="C398:H398"/>
    <mergeCell ref="N398:O398"/>
    <mergeCell ref="C399:H399"/>
    <mergeCell ref="N399:O399"/>
    <mergeCell ref="C400:H400"/>
    <mergeCell ref="N400:O400"/>
    <mergeCell ref="C414:J414"/>
    <mergeCell ref="N414:O414"/>
    <mergeCell ref="C427:H427"/>
    <mergeCell ref="N427:O427"/>
    <mergeCell ref="C434:H434"/>
    <mergeCell ref="N434:O434"/>
    <mergeCell ref="C435:H435"/>
    <mergeCell ref="N435:O435"/>
    <mergeCell ref="C436:H436"/>
    <mergeCell ref="N436:O436"/>
    <mergeCell ref="C431:H431"/>
    <mergeCell ref="N431:O431"/>
    <mergeCell ref="C432:H432"/>
    <mergeCell ref="N432:O432"/>
    <mergeCell ref="C433:H433"/>
    <mergeCell ref="N433:O433"/>
    <mergeCell ref="C428:H428"/>
    <mergeCell ref="N428:O428"/>
    <mergeCell ref="C429:H429"/>
    <mergeCell ref="N429:O429"/>
    <mergeCell ref="C430:H430"/>
    <mergeCell ref="N430:O430"/>
    <mergeCell ref="C467:H467"/>
    <mergeCell ref="N467:O467"/>
    <mergeCell ref="C468:H468"/>
    <mergeCell ref="N468:O468"/>
    <mergeCell ref="C469:H469"/>
    <mergeCell ref="N469:O469"/>
    <mergeCell ref="C479:H479"/>
    <mergeCell ref="N479:O479"/>
    <mergeCell ref="C476:H476"/>
    <mergeCell ref="N476:O476"/>
    <mergeCell ref="C477:H477"/>
    <mergeCell ref="N477:O477"/>
    <mergeCell ref="C478:H478"/>
    <mergeCell ref="N478:O478"/>
    <mergeCell ref="C417:H417"/>
    <mergeCell ref="N417:O417"/>
    <mergeCell ref="C418:H418"/>
    <mergeCell ref="N418:O418"/>
    <mergeCell ref="C460:H460"/>
    <mergeCell ref="N460:O460"/>
    <mergeCell ref="C438:H438"/>
    <mergeCell ref="N438:O438"/>
    <mergeCell ref="C439:H439"/>
    <mergeCell ref="N439:O439"/>
    <mergeCell ref="C440:H440"/>
    <mergeCell ref="N440:O440"/>
    <mergeCell ref="C441:H441"/>
    <mergeCell ref="N441:O441"/>
    <mergeCell ref="C442:H442"/>
    <mergeCell ref="N442:O442"/>
    <mergeCell ref="C443:H443"/>
    <mergeCell ref="N443:O443"/>
    <mergeCell ref="C453:H453"/>
    <mergeCell ref="N453:O453"/>
    <mergeCell ref="C454:H454"/>
    <mergeCell ref="N454:O454"/>
    <mergeCell ref="C455:H455"/>
    <mergeCell ref="N455:O455"/>
    <mergeCell ref="C456:H456"/>
    <mergeCell ref="N456:O456"/>
    <mergeCell ref="C464:H464"/>
    <mergeCell ref="N464:O464"/>
    <mergeCell ref="C457:J457"/>
    <mergeCell ref="N457:O457"/>
    <mergeCell ref="C459:H459"/>
    <mergeCell ref="N459:O459"/>
    <mergeCell ref="C503:H503"/>
    <mergeCell ref="N503:O503"/>
    <mergeCell ref="C504:H504"/>
    <mergeCell ref="N504:O504"/>
    <mergeCell ref="C480:H480"/>
    <mergeCell ref="N480:O480"/>
    <mergeCell ref="C481:H481"/>
    <mergeCell ref="N481:O481"/>
    <mergeCell ref="C466:H466"/>
    <mergeCell ref="N466:O466"/>
    <mergeCell ref="C473:H473"/>
    <mergeCell ref="N473:O473"/>
    <mergeCell ref="C474:H474"/>
    <mergeCell ref="N474:O474"/>
    <mergeCell ref="C475:H475"/>
    <mergeCell ref="N475:O475"/>
    <mergeCell ref="C470:H470"/>
    <mergeCell ref="N470:O470"/>
    <mergeCell ref="C505:H505"/>
    <mergeCell ref="N505:O505"/>
    <mergeCell ref="C500:J500"/>
    <mergeCell ref="N500:O500"/>
    <mergeCell ref="C502:H502"/>
    <mergeCell ref="N502:O502"/>
    <mergeCell ref="C514:H514"/>
    <mergeCell ref="N514:O514"/>
    <mergeCell ref="C528:H528"/>
    <mergeCell ref="N528:O528"/>
    <mergeCell ref="C465:H465"/>
    <mergeCell ref="N465:O465"/>
    <mergeCell ref="C461:H461"/>
    <mergeCell ref="N461:O461"/>
    <mergeCell ref="C462:H462"/>
    <mergeCell ref="N462:O462"/>
    <mergeCell ref="C463:H463"/>
    <mergeCell ref="N463:O463"/>
    <mergeCell ref="C493:H493"/>
    <mergeCell ref="N493:O493"/>
    <mergeCell ref="C494:H494"/>
    <mergeCell ref="N494:O494"/>
    <mergeCell ref="C495:H495"/>
    <mergeCell ref="N495:O495"/>
    <mergeCell ref="C496:H496"/>
    <mergeCell ref="N496:O496"/>
    <mergeCell ref="C497:H497"/>
    <mergeCell ref="N497:O497"/>
    <mergeCell ref="C471:H471"/>
    <mergeCell ref="N471:O471"/>
    <mergeCell ref="C472:H472"/>
    <mergeCell ref="N472:O472"/>
    <mergeCell ref="C529:H529"/>
    <mergeCell ref="N529:O529"/>
    <mergeCell ref="C521:H521"/>
    <mergeCell ref="N521:O521"/>
    <mergeCell ref="C522:H522"/>
    <mergeCell ref="N522:O522"/>
    <mergeCell ref="C518:H518"/>
    <mergeCell ref="N518:O518"/>
    <mergeCell ref="C519:H519"/>
    <mergeCell ref="N519:O519"/>
    <mergeCell ref="C520:H520"/>
    <mergeCell ref="N520:O520"/>
    <mergeCell ref="C525:H525"/>
    <mergeCell ref="N525:O525"/>
    <mergeCell ref="C539:H539"/>
    <mergeCell ref="N539:O539"/>
    <mergeCell ref="C536:H536"/>
    <mergeCell ref="N536:O536"/>
    <mergeCell ref="C526:H526"/>
    <mergeCell ref="N526:O526"/>
    <mergeCell ref="C527:H527"/>
    <mergeCell ref="N527:O527"/>
    <mergeCell ref="C566:H566"/>
    <mergeCell ref="N566:O566"/>
    <mergeCell ref="C567:H567"/>
    <mergeCell ref="N567:O567"/>
    <mergeCell ref="C568:H568"/>
    <mergeCell ref="N568:O568"/>
    <mergeCell ref="C543:J543"/>
    <mergeCell ref="N543:O543"/>
    <mergeCell ref="C552:H552"/>
    <mergeCell ref="N552:O552"/>
    <mergeCell ref="C553:H553"/>
    <mergeCell ref="N553:O553"/>
    <mergeCell ref="C560:H560"/>
    <mergeCell ref="N560:O560"/>
    <mergeCell ref="C561:H561"/>
    <mergeCell ref="N561:O561"/>
    <mergeCell ref="C562:H562"/>
    <mergeCell ref="N562:O562"/>
    <mergeCell ref="C557:H557"/>
    <mergeCell ref="N557:O557"/>
    <mergeCell ref="C558:H558"/>
    <mergeCell ref="N558:O558"/>
    <mergeCell ref="C559:H559"/>
    <mergeCell ref="N559:O559"/>
    <mergeCell ref="C551:H551"/>
    <mergeCell ref="N551:O551"/>
    <mergeCell ref="C548:H548"/>
    <mergeCell ref="N548:O548"/>
    <mergeCell ref="C549:H549"/>
    <mergeCell ref="N549:O549"/>
    <mergeCell ref="C550:H550"/>
    <mergeCell ref="N550:O550"/>
    <mergeCell ref="C581:H581"/>
    <mergeCell ref="N581:O581"/>
    <mergeCell ref="C582:H582"/>
    <mergeCell ref="N582:O582"/>
    <mergeCell ref="C583:H583"/>
    <mergeCell ref="N583:O583"/>
    <mergeCell ref="C584:H584"/>
    <mergeCell ref="N584:O584"/>
    <mergeCell ref="C585:H585"/>
    <mergeCell ref="N585:O585"/>
    <mergeCell ref="C609:H609"/>
    <mergeCell ref="N609:O609"/>
    <mergeCell ref="C602:H602"/>
    <mergeCell ref="N602:O602"/>
    <mergeCell ref="C603:H603"/>
    <mergeCell ref="N603:O603"/>
    <mergeCell ref="C604:H604"/>
    <mergeCell ref="N604:O604"/>
    <mergeCell ref="C610:H610"/>
    <mergeCell ref="N610:O610"/>
    <mergeCell ref="C611:H611"/>
    <mergeCell ref="N611:O611"/>
    <mergeCell ref="C612:H612"/>
    <mergeCell ref="N612:O612"/>
    <mergeCell ref="C613:H613"/>
    <mergeCell ref="N613:O613"/>
    <mergeCell ref="C614:H614"/>
    <mergeCell ref="N614:O614"/>
    <mergeCell ref="C615:H615"/>
    <mergeCell ref="N615:O615"/>
    <mergeCell ref="C616:H616"/>
    <mergeCell ref="N616:O616"/>
    <mergeCell ref="C608:H608"/>
    <mergeCell ref="N608:O608"/>
    <mergeCell ref="C605:H605"/>
    <mergeCell ref="N605:O605"/>
    <mergeCell ref="C606:H606"/>
    <mergeCell ref="N606:O606"/>
    <mergeCell ref="C607:H607"/>
    <mergeCell ref="N607:O607"/>
    <mergeCell ref="C625:H625"/>
    <mergeCell ref="N625:O625"/>
    <mergeCell ref="C626:H626"/>
    <mergeCell ref="N626:O626"/>
    <mergeCell ref="C627:H627"/>
    <mergeCell ref="N627:O627"/>
    <mergeCell ref="C628:H628"/>
    <mergeCell ref="N628:O628"/>
    <mergeCell ref="C652:H652"/>
    <mergeCell ref="N652:O652"/>
    <mergeCell ref="C653:H653"/>
    <mergeCell ref="N653:O653"/>
    <mergeCell ref="C654:H654"/>
    <mergeCell ref="N654:O654"/>
    <mergeCell ref="C655:H655"/>
    <mergeCell ref="N655:O655"/>
    <mergeCell ref="C629:J629"/>
    <mergeCell ref="N629:O629"/>
    <mergeCell ref="C631:H631"/>
    <mergeCell ref="N631:O631"/>
    <mergeCell ref="C640:H640"/>
    <mergeCell ref="N640:O640"/>
    <mergeCell ref="C647:H647"/>
    <mergeCell ref="N647:O647"/>
    <mergeCell ref="C648:H648"/>
    <mergeCell ref="N648:O648"/>
    <mergeCell ref="C649:H649"/>
    <mergeCell ref="N649:O649"/>
    <mergeCell ref="C644:H644"/>
    <mergeCell ref="N644:O644"/>
    <mergeCell ref="C645:H645"/>
    <mergeCell ref="N645:O645"/>
    <mergeCell ref="C666:H666"/>
    <mergeCell ref="N666:O666"/>
    <mergeCell ref="C667:H667"/>
    <mergeCell ref="N667:O667"/>
    <mergeCell ref="C668:H668"/>
    <mergeCell ref="N668:O668"/>
    <mergeCell ref="C669:H669"/>
    <mergeCell ref="N669:O669"/>
    <mergeCell ref="C670:H670"/>
    <mergeCell ref="N670:O670"/>
    <mergeCell ref="C671:H671"/>
    <mergeCell ref="N671:O671"/>
    <mergeCell ref="C702:H702"/>
    <mergeCell ref="N702:O702"/>
    <mergeCell ref="C703:H703"/>
    <mergeCell ref="N703:O703"/>
    <mergeCell ref="C692:H692"/>
    <mergeCell ref="N692:O692"/>
    <mergeCell ref="C693:H693"/>
    <mergeCell ref="N693:O693"/>
    <mergeCell ref="C694:H694"/>
    <mergeCell ref="N694:O694"/>
    <mergeCell ref="C689:H689"/>
    <mergeCell ref="N689:O689"/>
    <mergeCell ref="C690:H690"/>
    <mergeCell ref="N690:O690"/>
    <mergeCell ref="C691:H691"/>
    <mergeCell ref="N691:O691"/>
    <mergeCell ref="C695:H695"/>
    <mergeCell ref="N695:O695"/>
    <mergeCell ref="C696:H696"/>
    <mergeCell ref="N696:O696"/>
    <mergeCell ref="C714:H714"/>
    <mergeCell ref="N714:O714"/>
    <mergeCell ref="C738:H738"/>
    <mergeCell ref="N738:O738"/>
    <mergeCell ref="C739:H739"/>
    <mergeCell ref="N739:O739"/>
    <mergeCell ref="C740:H740"/>
    <mergeCell ref="N740:O740"/>
    <mergeCell ref="C741:H741"/>
    <mergeCell ref="N741:O741"/>
    <mergeCell ref="C742:H742"/>
    <mergeCell ref="N742:O742"/>
    <mergeCell ref="C715:J715"/>
    <mergeCell ref="N715:O715"/>
    <mergeCell ref="C717:H717"/>
    <mergeCell ref="N717:O717"/>
    <mergeCell ref="C718:H718"/>
    <mergeCell ref="N718:O718"/>
    <mergeCell ref="C734:H734"/>
    <mergeCell ref="N734:O734"/>
    <mergeCell ref="C735:H735"/>
    <mergeCell ref="N735:O735"/>
    <mergeCell ref="C736:H736"/>
    <mergeCell ref="N736:O736"/>
    <mergeCell ref="C731:H731"/>
    <mergeCell ref="N731:O731"/>
    <mergeCell ref="C737:H737"/>
    <mergeCell ref="N737:O737"/>
    <mergeCell ref="C779:H779"/>
    <mergeCell ref="N779:O779"/>
    <mergeCell ref="C780:H780"/>
    <mergeCell ref="N780:O780"/>
    <mergeCell ref="C776:H776"/>
    <mergeCell ref="N776:O776"/>
    <mergeCell ref="C777:H777"/>
    <mergeCell ref="N777:O777"/>
    <mergeCell ref="C778:H778"/>
    <mergeCell ref="N778:O778"/>
    <mergeCell ref="C766:H766"/>
    <mergeCell ref="N766:O766"/>
    <mergeCell ref="C791:H791"/>
    <mergeCell ref="N791:O791"/>
    <mergeCell ref="C792:H792"/>
    <mergeCell ref="N792:O792"/>
    <mergeCell ref="C789:H789"/>
    <mergeCell ref="N789:O789"/>
    <mergeCell ref="C790:H790"/>
    <mergeCell ref="N790:O790"/>
    <mergeCell ref="C782:H782"/>
    <mergeCell ref="N782:O782"/>
    <mergeCell ref="C783:H783"/>
    <mergeCell ref="N783:O783"/>
    <mergeCell ref="C784:H784"/>
    <mergeCell ref="N784:O784"/>
    <mergeCell ref="C785:H785"/>
    <mergeCell ref="N785:O785"/>
    <mergeCell ref="C786:H786"/>
    <mergeCell ref="N786:O786"/>
    <mergeCell ref="C787:H787"/>
    <mergeCell ref="N787:O787"/>
    <mergeCell ref="C793:H793"/>
    <mergeCell ref="N793:O793"/>
    <mergeCell ref="C794:H794"/>
    <mergeCell ref="N794:O794"/>
    <mergeCell ref="C795:H795"/>
    <mergeCell ref="N795:O795"/>
    <mergeCell ref="C796:H796"/>
    <mergeCell ref="N796:O796"/>
    <mergeCell ref="C797:H797"/>
    <mergeCell ref="N797:O797"/>
    <mergeCell ref="C798:H798"/>
    <mergeCell ref="N798:O798"/>
    <mergeCell ref="C799:H799"/>
    <mergeCell ref="N799:O799"/>
    <mergeCell ref="C800:H800"/>
    <mergeCell ref="N800:O800"/>
    <mergeCell ref="C781:H781"/>
    <mergeCell ref="N781:O781"/>
    <mergeCell ref="C788:H788"/>
    <mergeCell ref="N788:O788"/>
    <mergeCell ref="C830:H830"/>
    <mergeCell ref="N830:O830"/>
    <mergeCell ref="C831:H831"/>
    <mergeCell ref="N831:O831"/>
    <mergeCell ref="C832:H832"/>
    <mergeCell ref="N832:O832"/>
    <mergeCell ref="C833:H833"/>
    <mergeCell ref="N833:O833"/>
    <mergeCell ref="C834:H834"/>
    <mergeCell ref="N834:O834"/>
    <mergeCell ref="C835:H835"/>
    <mergeCell ref="N835:O835"/>
    <mergeCell ref="C814:H814"/>
    <mergeCell ref="N814:O814"/>
    <mergeCell ref="C821:H821"/>
    <mergeCell ref="N821:O821"/>
    <mergeCell ref="C822:H822"/>
    <mergeCell ref="N822:O822"/>
    <mergeCell ref="C823:H823"/>
    <mergeCell ref="N823:O823"/>
    <mergeCell ref="C825:H825"/>
    <mergeCell ref="N825:O825"/>
    <mergeCell ref="C826:H826"/>
    <mergeCell ref="N826:O826"/>
    <mergeCell ref="C827:H827"/>
    <mergeCell ref="N827:O827"/>
    <mergeCell ref="C828:H828"/>
    <mergeCell ref="N828:O828"/>
    <mergeCell ref="C829:H829"/>
    <mergeCell ref="N829:O829"/>
    <mergeCell ref="C803:H803"/>
    <mergeCell ref="N803:O803"/>
    <mergeCell ref="C804:H804"/>
    <mergeCell ref="N804:O804"/>
    <mergeCell ref="C805:H805"/>
    <mergeCell ref="N805:O805"/>
    <mergeCell ref="C824:H824"/>
    <mergeCell ref="N824:O824"/>
    <mergeCell ref="C813:H813"/>
    <mergeCell ref="N813:O813"/>
    <mergeCell ref="C812:H812"/>
    <mergeCell ref="N812:O812"/>
    <mergeCell ref="C809:H809"/>
    <mergeCell ref="N809:O809"/>
    <mergeCell ref="C810:H810"/>
    <mergeCell ref="N810:O810"/>
    <mergeCell ref="C811:H811"/>
    <mergeCell ref="N811:O811"/>
    <mergeCell ref="C806:H806"/>
    <mergeCell ref="N806:O806"/>
    <mergeCell ref="C807:H807"/>
    <mergeCell ref="N807:O807"/>
    <mergeCell ref="C836:H836"/>
    <mergeCell ref="N836:O836"/>
    <mergeCell ref="C837:H837"/>
    <mergeCell ref="N837:O837"/>
    <mergeCell ref="C838:H838"/>
    <mergeCell ref="N838:O838"/>
    <mergeCell ref="C839:H839"/>
    <mergeCell ref="N839:O839"/>
    <mergeCell ref="C840:H840"/>
    <mergeCell ref="N840:O840"/>
    <mergeCell ref="C841:H841"/>
    <mergeCell ref="N841:O841"/>
    <mergeCell ref="C842:H842"/>
    <mergeCell ref="N842:O842"/>
    <mergeCell ref="C843:H843"/>
    <mergeCell ref="N843:O843"/>
    <mergeCell ref="C867:H867"/>
    <mergeCell ref="N867:O867"/>
    <mergeCell ref="C856:H856"/>
    <mergeCell ref="N856:O856"/>
    <mergeCell ref="C846:H846"/>
    <mergeCell ref="N846:O846"/>
    <mergeCell ref="C847:H847"/>
    <mergeCell ref="N847:O847"/>
    <mergeCell ref="C849:H849"/>
    <mergeCell ref="N849:O849"/>
    <mergeCell ref="C850:H850"/>
    <mergeCell ref="N850:O850"/>
    <mergeCell ref="C844:J844"/>
    <mergeCell ref="N844:O844"/>
    <mergeCell ref="C868:H868"/>
    <mergeCell ref="N868:O868"/>
    <mergeCell ref="C869:H869"/>
    <mergeCell ref="N869:O869"/>
    <mergeCell ref="C870:H870"/>
    <mergeCell ref="N870:O870"/>
    <mergeCell ref="C853:H853"/>
    <mergeCell ref="N853:O853"/>
    <mergeCell ref="C860:H860"/>
    <mergeCell ref="N860:O860"/>
    <mergeCell ref="C861:H861"/>
    <mergeCell ref="N861:O861"/>
    <mergeCell ref="C862:H862"/>
    <mergeCell ref="N862:O862"/>
    <mergeCell ref="C857:H857"/>
    <mergeCell ref="N857:O857"/>
    <mergeCell ref="C858:H858"/>
    <mergeCell ref="N858:O858"/>
    <mergeCell ref="C859:H859"/>
    <mergeCell ref="N859:O859"/>
    <mergeCell ref="C854:H854"/>
    <mergeCell ref="N854:O854"/>
    <mergeCell ref="C855:H855"/>
    <mergeCell ref="N855:O855"/>
    <mergeCell ref="C884:H884"/>
    <mergeCell ref="N884:O884"/>
    <mergeCell ref="C885:H885"/>
    <mergeCell ref="N885:O885"/>
    <mergeCell ref="C886:H886"/>
    <mergeCell ref="N886:O886"/>
    <mergeCell ref="C917:H917"/>
    <mergeCell ref="N917:O917"/>
    <mergeCell ref="C918:H918"/>
    <mergeCell ref="N918:O918"/>
    <mergeCell ref="C919:H919"/>
    <mergeCell ref="N919:O919"/>
    <mergeCell ref="C920:H920"/>
    <mergeCell ref="N920:O920"/>
    <mergeCell ref="C908:H908"/>
    <mergeCell ref="N908:O908"/>
    <mergeCell ref="C909:H909"/>
    <mergeCell ref="N909:O909"/>
    <mergeCell ref="C905:H905"/>
    <mergeCell ref="N905:O905"/>
    <mergeCell ref="C906:H906"/>
    <mergeCell ref="N906:O906"/>
    <mergeCell ref="C907:H907"/>
    <mergeCell ref="N907:O907"/>
    <mergeCell ref="C902:H902"/>
    <mergeCell ref="N902:O902"/>
    <mergeCell ref="C903:H903"/>
    <mergeCell ref="N903:O903"/>
    <mergeCell ref="C904:H904"/>
    <mergeCell ref="N904:O904"/>
    <mergeCell ref="C910:H910"/>
    <mergeCell ref="N910:O910"/>
    <mergeCell ref="C933:H933"/>
    <mergeCell ref="N933:O933"/>
    <mergeCell ref="C934:H934"/>
    <mergeCell ref="N934:O934"/>
    <mergeCell ref="C947:H947"/>
    <mergeCell ref="N947:O947"/>
    <mergeCell ref="C943:H943"/>
    <mergeCell ref="N943:O943"/>
    <mergeCell ref="C935:H935"/>
    <mergeCell ref="N935:O935"/>
    <mergeCell ref="C936:H936"/>
    <mergeCell ref="N936:O936"/>
    <mergeCell ref="C950:H950"/>
    <mergeCell ref="N950:O950"/>
    <mergeCell ref="C951:H951"/>
    <mergeCell ref="N951:O951"/>
    <mergeCell ref="C952:H952"/>
    <mergeCell ref="N952:O952"/>
    <mergeCell ref="C937:H937"/>
    <mergeCell ref="N937:O937"/>
    <mergeCell ref="C946:H946"/>
    <mergeCell ref="H58:I58"/>
    <mergeCell ref="C60:G60"/>
    <mergeCell ref="H60:I60"/>
    <mergeCell ref="N1018:O1018"/>
    <mergeCell ref="C1034:H1034"/>
    <mergeCell ref="N1034:O1034"/>
    <mergeCell ref="C1035:H1035"/>
    <mergeCell ref="N1035:O1035"/>
    <mergeCell ref="C1036:H1036"/>
    <mergeCell ref="N1036:O1036"/>
    <mergeCell ref="C1031:H1031"/>
    <mergeCell ref="N1031:O1031"/>
    <mergeCell ref="C1032:H1032"/>
    <mergeCell ref="N1032:O1032"/>
    <mergeCell ref="C1027:H1027"/>
    <mergeCell ref="C1005:H1005"/>
    <mergeCell ref="N1005:O1005"/>
    <mergeCell ref="C1006:H1006"/>
    <mergeCell ref="N1006:O1006"/>
    <mergeCell ref="C1007:H1007"/>
    <mergeCell ref="N1007:O1007"/>
    <mergeCell ref="C1008:H1008"/>
    <mergeCell ref="N1008:O1008"/>
    <mergeCell ref="C1009:H1009"/>
    <mergeCell ref="N1009:O1009"/>
    <mergeCell ref="C1010:H1010"/>
    <mergeCell ref="N1010:O1010"/>
    <mergeCell ref="C992:H992"/>
    <mergeCell ref="N992:O992"/>
    <mergeCell ref="C993:H993"/>
    <mergeCell ref="N930:O930"/>
    <mergeCell ref="C965:H965"/>
    <mergeCell ref="H55:I55"/>
    <mergeCell ref="H56:I56"/>
    <mergeCell ref="H57:I57"/>
    <mergeCell ref="C56:G56"/>
    <mergeCell ref="C55:G55"/>
    <mergeCell ref="C54:G54"/>
    <mergeCell ref="C57:G57"/>
    <mergeCell ref="M64:O64"/>
    <mergeCell ref="H53:I53"/>
    <mergeCell ref="N1099:O1099"/>
    <mergeCell ref="C1055:H1055"/>
    <mergeCell ref="N1055:O1055"/>
    <mergeCell ref="C1056:H1056"/>
    <mergeCell ref="N1056:O1056"/>
    <mergeCell ref="C1057:H1057"/>
    <mergeCell ref="N1057:O1057"/>
    <mergeCell ref="C1058:H1058"/>
    <mergeCell ref="N1058:O1058"/>
    <mergeCell ref="N1094:O1094"/>
    <mergeCell ref="C1095:H1095"/>
    <mergeCell ref="N1095:O1095"/>
    <mergeCell ref="C1096:H1096"/>
    <mergeCell ref="N1096:O1096"/>
    <mergeCell ref="C1097:H1097"/>
    <mergeCell ref="N1097:O1097"/>
    <mergeCell ref="C1098:H1098"/>
    <mergeCell ref="C1088:H1088"/>
    <mergeCell ref="C997:H997"/>
    <mergeCell ref="N997:O997"/>
    <mergeCell ref="C932:H932"/>
    <mergeCell ref="N965:O965"/>
    <mergeCell ref="C966:H966"/>
    <mergeCell ref="C1083:H1083"/>
    <mergeCell ref="N1098:O1098"/>
    <mergeCell ref="C1099:H1099"/>
    <mergeCell ref="N1086:O1086"/>
    <mergeCell ref="C1087:H1087"/>
    <mergeCell ref="N1087:O1087"/>
    <mergeCell ref="C1019:H1019"/>
    <mergeCell ref="N1083:O1083"/>
    <mergeCell ref="C976:H976"/>
    <mergeCell ref="N976:O976"/>
    <mergeCell ref="C995:H995"/>
    <mergeCell ref="N995:O995"/>
    <mergeCell ref="C1004:H1004"/>
    <mergeCell ref="N1004:O1004"/>
    <mergeCell ref="N1088:O1088"/>
    <mergeCell ref="C1089:H1089"/>
    <mergeCell ref="N1089:O1089"/>
    <mergeCell ref="C1090:H1090"/>
    <mergeCell ref="N1090:O1090"/>
    <mergeCell ref="C1091:H1091"/>
    <mergeCell ref="N993:O993"/>
    <mergeCell ref="C994:H994"/>
    <mergeCell ref="N994:O994"/>
    <mergeCell ref="C989:H989"/>
    <mergeCell ref="N989:O989"/>
    <mergeCell ref="C990:H990"/>
    <mergeCell ref="C986:H986"/>
    <mergeCell ref="N986:O986"/>
    <mergeCell ref="C987:H987"/>
    <mergeCell ref="N987:O987"/>
    <mergeCell ref="C1014:H1014"/>
    <mergeCell ref="N1014:O1014"/>
    <mergeCell ref="H1115:I1115"/>
    <mergeCell ref="N1104:O1104"/>
    <mergeCell ref="C1104:J1104"/>
    <mergeCell ref="C69:H70"/>
    <mergeCell ref="I69:I70"/>
    <mergeCell ref="J69:J70"/>
    <mergeCell ref="L44:O44"/>
    <mergeCell ref="L45:O45"/>
    <mergeCell ref="L46:O46"/>
    <mergeCell ref="L47:O47"/>
    <mergeCell ref="L48:O48"/>
    <mergeCell ref="L49:O49"/>
    <mergeCell ref="L50:O50"/>
    <mergeCell ref="L27:O27"/>
    <mergeCell ref="L28:O28"/>
    <mergeCell ref="L29:O29"/>
    <mergeCell ref="L30:O30"/>
    <mergeCell ref="L31:O31"/>
    <mergeCell ref="L32:O32"/>
    <mergeCell ref="L33:O33"/>
    <mergeCell ref="L34:O34"/>
    <mergeCell ref="L35:O35"/>
    <mergeCell ref="L36:O36"/>
    <mergeCell ref="L37:O37"/>
    <mergeCell ref="L38:O38"/>
    <mergeCell ref="L39:O39"/>
    <mergeCell ref="L40:O40"/>
    <mergeCell ref="L41:O41"/>
    <mergeCell ref="L42:O42"/>
    <mergeCell ref="L43:O43"/>
    <mergeCell ref="C1082:H1082"/>
    <mergeCell ref="N1082:O1082"/>
    <mergeCell ref="N69:O70"/>
    <mergeCell ref="N990:O990"/>
    <mergeCell ref="C991:H991"/>
    <mergeCell ref="N991:O991"/>
    <mergeCell ref="N932:O932"/>
    <mergeCell ref="C930:J930"/>
    <mergeCell ref="C34:G34"/>
    <mergeCell ref="C48:G48"/>
    <mergeCell ref="C49:G49"/>
    <mergeCell ref="C50:G50"/>
    <mergeCell ref="C53:G53"/>
    <mergeCell ref="H54:I54"/>
    <mergeCell ref="D6:N9"/>
    <mergeCell ref="J10:N11"/>
    <mergeCell ref="L54:O57"/>
    <mergeCell ref="C1117:P1118"/>
    <mergeCell ref="C1106:G1106"/>
    <mergeCell ref="H1106:I1106"/>
    <mergeCell ref="C1108:G1108"/>
    <mergeCell ref="H1108:I1108"/>
    <mergeCell ref="C1109:G1109"/>
    <mergeCell ref="H1109:I1109"/>
    <mergeCell ref="L1109:O1112"/>
    <mergeCell ref="C1110:G1110"/>
    <mergeCell ref="H1110:I1110"/>
    <mergeCell ref="C1111:G1111"/>
    <mergeCell ref="H1111:I1111"/>
    <mergeCell ref="C1112:G1112"/>
    <mergeCell ref="H1112:I1112"/>
    <mergeCell ref="C1113:G1113"/>
    <mergeCell ref="H1113:I1113"/>
    <mergeCell ref="C1115:G1115"/>
  </mergeCells>
  <conditionalFormatting sqref="C1108:O1113">
    <cfRule type="expression" dxfId="106" priority="2">
      <formula>Estimate_Report_Adders_Selection="Allocate Adders"</formula>
    </cfRule>
  </conditionalFormatting>
  <conditionalFormatting sqref="C53:O61">
    <cfRule type="expression" dxfId="105" priority="1">
      <formula>Estimate_Report_Adders_Selection="Allocate Adders"</formula>
    </cfRule>
  </conditionalFormatting>
  <dataValidations count="1">
    <dataValidation type="list" allowBlank="1" showInputMessage="1" showErrorMessage="1" sqref="N3:O3" xr:uid="{00000000-0002-0000-2000-000000000000}">
      <formula1>"SUBBED,DIYED"</formula1>
    </dataValidation>
  </dataValidations>
  <pageMargins left="0.7" right="0.7" top="0.75" bottom="0.75" header="0.3" footer="0.3"/>
  <pageSetup scale="68" fitToHeight="0" orientation="portrait" r:id="rId1"/>
  <headerFooter scaleWithDoc="0" alignWithMargins="0"/>
  <rowBreaks count="1" manualBreakCount="1">
    <brk id="65" min="2" max="14" man="1"/>
  </rowBreaks>
  <ignoredErrors>
    <ignoredError sqref="C18:O26 C67:O67 C27:J27 L27:O27 C28:J29 L28:O50 C31:J50 C30:G30 I30:J30 C69:O1105 C51:G51 J51:O51 C1107:O1108 C1106:I1106 L1106:O1106 C1114:O1114 C1109:J1109 L1109:O1109 C1110:J1112 L1110:O1112 C1113:J1113 L1113:O1113 C1116:O1116 C1115:J1115 L1115:O1115 H16:O17 C52:O64 C68:O68 D66:O66" unlockedFormula="1"/>
  </ignoredError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wsPROJECT_COST_REPORT" filterMode="1">
    <tabColor theme="4" tint="0.79998168889431442"/>
    <pageSetUpPr fitToPage="1"/>
  </sheetPr>
  <dimension ref="A1:R1121"/>
  <sheetViews>
    <sheetView showGridLines="0" showRowColHeaders="0" zoomScaleNormal="100" workbookViewId="0">
      <pane ySplit="4" topLeftCell="A5" activePane="bottomLeft" state="frozen"/>
      <selection pane="bottomLeft" activeCell="G19" sqref="G19:H19"/>
    </sheetView>
  </sheetViews>
  <sheetFormatPr defaultColWidth="8.8984375" defaultRowHeight="15"/>
  <cols>
    <col min="1" max="1" width="25.19921875" style="12" customWidth="1"/>
    <col min="2" max="2" width="23" style="12" customWidth="1"/>
    <col min="3" max="6" width="10.09765625" style="194" customWidth="1"/>
    <col min="7" max="14" width="9.09765625" style="213" customWidth="1"/>
    <col min="15" max="15" width="8.44921875" style="13" hidden="1" customWidth="1"/>
    <col min="16" max="16" width="5.44921875" style="12" customWidth="1"/>
    <col min="17" max="18" width="8.8984375" style="12" customWidth="1"/>
    <col min="19" max="16384" width="8.8984375" style="12"/>
  </cols>
  <sheetData>
    <row r="1" spans="2:15" s="109" customFormat="1" ht="45" customHeight="1">
      <c r="C1" s="193"/>
      <c r="D1" s="193"/>
      <c r="E1" s="193"/>
      <c r="F1" s="193"/>
      <c r="G1" s="193"/>
      <c r="H1" s="193"/>
      <c r="I1" s="193"/>
      <c r="J1" s="193"/>
      <c r="K1" s="193"/>
      <c r="L1" s="193"/>
      <c r="M1" s="193"/>
      <c r="N1" s="193"/>
    </row>
    <row r="2" spans="2:15" s="110" customFormat="1" ht="15.75" customHeight="1">
      <c r="B2" s="3654" t="s">
        <v>1543</v>
      </c>
      <c r="C2" s="207"/>
      <c r="D2" s="208"/>
      <c r="E2" s="208"/>
      <c r="F2" s="208"/>
      <c r="O2" s="119"/>
    </row>
    <row r="3" spans="2:15" s="110" customFormat="1" ht="22.5" customHeight="1">
      <c r="B3" s="3654"/>
      <c r="C3" s="207"/>
      <c r="D3" s="208"/>
      <c r="E3" s="208"/>
      <c r="F3" s="208"/>
      <c r="O3" s="119"/>
    </row>
    <row r="4" spans="2:15" s="116" customFormat="1" ht="7.5" customHeight="1">
      <c r="B4" s="3655"/>
      <c r="C4" s="233"/>
      <c r="D4" s="234"/>
      <c r="E4" s="234"/>
      <c r="F4" s="234"/>
      <c r="G4" s="237"/>
      <c r="H4" s="237"/>
      <c r="I4" s="237"/>
      <c r="J4" s="237"/>
      <c r="K4" s="237"/>
      <c r="L4" s="237"/>
      <c r="M4" s="237"/>
      <c r="N4" s="237"/>
      <c r="O4" s="239"/>
    </row>
    <row r="5" spans="2:15" ht="15" customHeight="1">
      <c r="G5" s="194"/>
      <c r="H5" s="194"/>
      <c r="I5" s="194"/>
      <c r="J5" s="194"/>
      <c r="K5" s="194"/>
      <c r="L5" s="194"/>
      <c r="M5" s="194"/>
      <c r="N5" s="194"/>
      <c r="O5" s="194"/>
    </row>
    <row r="6" spans="2:15" ht="18.600000000000001" customHeight="1">
      <c r="D6" s="3731" t="s">
        <v>1906</v>
      </c>
      <c r="E6" s="3731"/>
      <c r="F6" s="3731"/>
      <c r="G6" s="3731"/>
      <c r="H6" s="3731"/>
      <c r="I6" s="3731"/>
      <c r="J6" s="3731"/>
      <c r="K6" s="3731"/>
      <c r="L6" s="3731"/>
      <c r="M6" s="3731"/>
      <c r="N6" s="194"/>
      <c r="O6" s="194"/>
    </row>
    <row r="7" spans="2:15" ht="18.600000000000001" customHeight="1">
      <c r="D7" s="3731"/>
      <c r="E7" s="3731"/>
      <c r="F7" s="3731"/>
      <c r="G7" s="3731"/>
      <c r="H7" s="3731"/>
      <c r="I7" s="3731"/>
      <c r="J7" s="3731"/>
      <c r="K7" s="3731"/>
      <c r="L7" s="3731"/>
      <c r="M7" s="3731"/>
      <c r="N7" s="194"/>
      <c r="O7" s="194"/>
    </row>
    <row r="8" spans="2:15" ht="18.600000000000001" customHeight="1">
      <c r="D8" s="3731"/>
      <c r="E8" s="3731"/>
      <c r="F8" s="3731"/>
      <c r="G8" s="3731"/>
      <c r="H8" s="3731"/>
      <c r="I8" s="3731"/>
      <c r="J8" s="3731"/>
      <c r="K8" s="3731"/>
      <c r="L8" s="3731"/>
      <c r="M8" s="3731"/>
      <c r="N8" s="194"/>
      <c r="O8" s="194"/>
    </row>
    <row r="9" spans="2:15" ht="18.600000000000001" customHeight="1">
      <c r="D9" s="3731"/>
      <c r="E9" s="3731"/>
      <c r="F9" s="3731"/>
      <c r="G9" s="3731"/>
      <c r="H9" s="3731"/>
      <c r="I9" s="3731"/>
      <c r="J9" s="3731"/>
      <c r="K9" s="3731"/>
      <c r="L9" s="3731"/>
      <c r="M9" s="3731"/>
      <c r="N9" s="194"/>
      <c r="O9" s="194"/>
    </row>
    <row r="10" spans="2:15" ht="18.600000000000001" customHeight="1">
      <c r="D10" s="3731"/>
      <c r="E10" s="3731"/>
      <c r="F10" s="3731"/>
      <c r="G10" s="3731"/>
      <c r="H10" s="3731"/>
      <c r="I10" s="3731"/>
      <c r="J10" s="3731"/>
      <c r="K10" s="3731"/>
      <c r="L10" s="3731"/>
      <c r="M10" s="3731"/>
      <c r="N10" s="194"/>
      <c r="O10" s="194"/>
    </row>
    <row r="11" spans="2:15" ht="15" customHeight="1">
      <c r="G11" s="194"/>
      <c r="H11" s="194"/>
      <c r="I11" s="194"/>
      <c r="J11" s="194"/>
      <c r="K11" s="194"/>
      <c r="L11" s="194"/>
      <c r="M11" s="194"/>
      <c r="N11" s="194"/>
      <c r="O11" s="194"/>
    </row>
    <row r="12" spans="2:15" ht="30.7">
      <c r="C12" s="815" t="s">
        <v>1543</v>
      </c>
      <c r="D12" s="815"/>
      <c r="E12" s="815"/>
      <c r="F12" s="815"/>
      <c r="G12" s="488"/>
      <c r="H12" s="488"/>
      <c r="I12" s="804"/>
      <c r="J12" s="804"/>
      <c r="K12" s="804"/>
      <c r="L12" s="804"/>
      <c r="M12" s="804"/>
      <c r="N12" s="804"/>
      <c r="O12" s="479"/>
    </row>
    <row r="13" spans="2:15" ht="15" customHeight="1">
      <c r="C13" s="3802" t="str">
        <f>T(Street_Address)</f>
        <v/>
      </c>
      <c r="D13" s="3802"/>
      <c r="E13" s="3802"/>
      <c r="F13" s="3802"/>
      <c r="G13" s="218"/>
      <c r="H13" s="218"/>
      <c r="I13" s="218"/>
      <c r="J13" s="218"/>
      <c r="K13" s="218"/>
      <c r="L13" s="218"/>
      <c r="M13" s="218"/>
      <c r="N13" s="218"/>
      <c r="O13" s="479"/>
    </row>
    <row r="14" spans="2:15" ht="15" customHeight="1">
      <c r="C14" s="3802"/>
      <c r="D14" s="3802"/>
      <c r="E14" s="3802"/>
      <c r="F14" s="3802"/>
      <c r="G14" s="222"/>
      <c r="H14" s="222"/>
      <c r="I14" s="222"/>
      <c r="J14" s="222"/>
      <c r="K14" s="222"/>
      <c r="L14" s="222"/>
      <c r="M14" s="222"/>
      <c r="N14" s="222"/>
      <c r="O14" s="479"/>
    </row>
    <row r="15" spans="2:15" ht="20.7">
      <c r="B15" s="16"/>
      <c r="C15" s="3857" t="str">
        <f>T(City_State_Zip)</f>
        <v/>
      </c>
      <c r="D15" s="3857"/>
      <c r="E15" s="3857"/>
      <c r="F15" s="3857"/>
      <c r="G15" s="222"/>
      <c r="H15" s="222"/>
      <c r="I15" s="222"/>
      <c r="J15" s="222"/>
      <c r="K15" s="222"/>
      <c r="L15" s="222"/>
      <c r="M15" s="222"/>
      <c r="N15" s="222"/>
      <c r="O15" s="479"/>
    </row>
    <row r="16" spans="2:15" ht="20.7">
      <c r="B16" s="16"/>
      <c r="C16" s="802"/>
      <c r="D16" s="802"/>
      <c r="E16" s="802"/>
      <c r="F16" s="802"/>
      <c r="G16" s="222"/>
      <c r="H16" s="222"/>
      <c r="I16" s="222"/>
      <c r="J16" s="222"/>
      <c r="K16" s="222"/>
      <c r="L16" s="222"/>
      <c r="M16" s="222"/>
      <c r="N16" s="222"/>
      <c r="O16" s="479"/>
    </row>
    <row r="17" spans="3:15" ht="27.75" customHeight="1">
      <c r="C17" s="3853" t="s">
        <v>1544</v>
      </c>
      <c r="D17" s="3853"/>
      <c r="E17" s="3853"/>
      <c r="F17" s="3853"/>
      <c r="G17" s="3854" t="s">
        <v>81</v>
      </c>
      <c r="H17" s="3854"/>
      <c r="I17" s="806" t="s">
        <v>1169</v>
      </c>
      <c r="J17" s="806" t="s">
        <v>934</v>
      </c>
      <c r="K17" s="3854" t="s">
        <v>313</v>
      </c>
      <c r="L17" s="3854"/>
      <c r="M17" s="3854"/>
      <c r="N17" s="3854"/>
      <c r="O17" s="834"/>
    </row>
    <row r="18" spans="3:15" ht="5.85" customHeight="1">
      <c r="C18" s="3855"/>
      <c r="D18" s="3855"/>
      <c r="E18" s="3855"/>
      <c r="F18" s="3855"/>
      <c r="G18" s="3856"/>
      <c r="H18" s="3856"/>
      <c r="I18" s="807"/>
      <c r="J18" s="807"/>
      <c r="K18" s="3850"/>
      <c r="L18" s="3851"/>
      <c r="M18" s="3851"/>
      <c r="N18" s="3852"/>
      <c r="O18" s="835"/>
    </row>
    <row r="19" spans="3:15" ht="22.5" hidden="1" customHeight="1">
      <c r="C19" s="3840" t="s">
        <v>611</v>
      </c>
      <c r="D19" s="3840"/>
      <c r="E19" s="3840"/>
      <c r="F19" s="3841"/>
      <c r="G19" s="3842">
        <f>Purchase_Price_Result</f>
        <v>0</v>
      </c>
      <c r="H19" s="3843"/>
      <c r="I19" s="830">
        <f>SUM(I12:I18)</f>
        <v>0</v>
      </c>
      <c r="J19" s="832">
        <f>SUM(J12:J18)</f>
        <v>0</v>
      </c>
      <c r="K19" s="3844"/>
      <c r="L19" s="3844"/>
      <c r="M19" s="3844"/>
      <c r="N19" s="3845"/>
      <c r="O19" s="820">
        <f>IF(G19&gt;0,1,0)</f>
        <v>0</v>
      </c>
    </row>
    <row r="20" spans="3:15" ht="8.85" hidden="1" customHeight="1">
      <c r="C20" s="836"/>
      <c r="D20" s="836"/>
      <c r="E20" s="836"/>
      <c r="F20" s="836"/>
      <c r="G20" s="837"/>
      <c r="H20" s="837"/>
      <c r="I20" s="837"/>
      <c r="J20" s="837"/>
      <c r="K20" s="837"/>
      <c r="L20" s="837"/>
      <c r="M20" s="837"/>
      <c r="N20" s="837"/>
      <c r="O20" s="822">
        <f>O19</f>
        <v>0</v>
      </c>
    </row>
    <row r="21" spans="3:15" ht="22.5" hidden="1" customHeight="1">
      <c r="C21" s="3840" t="s">
        <v>347</v>
      </c>
      <c r="D21" s="3840"/>
      <c r="E21" s="3840"/>
      <c r="F21" s="3841"/>
      <c r="G21" s="3845"/>
      <c r="H21" s="3846"/>
      <c r="I21" s="831"/>
      <c r="J21" s="831"/>
      <c r="K21" s="3844"/>
      <c r="L21" s="3844"/>
      <c r="M21" s="3844"/>
      <c r="N21" s="3845"/>
      <c r="O21" s="820">
        <f>SUM(O22:O28)</f>
        <v>0</v>
      </c>
    </row>
    <row r="22" spans="3:15" ht="15.75" hidden="1" customHeight="1">
      <c r="C22" s="3830" t="str">
        <f>PROPER('1 REHAB ANALYZER'!C21)</f>
        <v>Brokerage Fee ($300 Avg.)</v>
      </c>
      <c r="D22" s="3830"/>
      <c r="E22" s="3830"/>
      <c r="F22" s="3830"/>
      <c r="G22" s="3831">
        <f>'1 REHAB ANALYZER'!AA21</f>
        <v>0</v>
      </c>
      <c r="H22" s="3831"/>
      <c r="I22" s="810">
        <f t="shared" ref="I22:I28" si="0">IFERROR(G22/Property_Size,0)</f>
        <v>0</v>
      </c>
      <c r="J22" s="811">
        <f t="shared" ref="J22:J28" si="1">IFERROR(G22/Total_Project_Costs_Result,0)</f>
        <v>0</v>
      </c>
      <c r="K22" s="3832"/>
      <c r="L22" s="3833"/>
      <c r="M22" s="3833"/>
      <c r="N22" s="3834"/>
      <c r="O22" s="820">
        <f>IF(G22&gt;0,1,0)</f>
        <v>0</v>
      </c>
    </row>
    <row r="23" spans="3:15" ht="18" hidden="1">
      <c r="C23" s="3830" t="str">
        <f>PROPER('1 REHAB ANALYZER'!C23)</f>
        <v>Inspection Costs ($400 Avg.)</v>
      </c>
      <c r="D23" s="3830"/>
      <c r="E23" s="3830"/>
      <c r="F23" s="3830"/>
      <c r="G23" s="3831">
        <f>'1 REHAB ANALYZER'!AA23</f>
        <v>0</v>
      </c>
      <c r="H23" s="3831"/>
      <c r="I23" s="810">
        <f t="shared" si="0"/>
        <v>0</v>
      </c>
      <c r="J23" s="811">
        <f t="shared" si="1"/>
        <v>0</v>
      </c>
      <c r="K23" s="3832"/>
      <c r="L23" s="3833"/>
      <c r="M23" s="3833"/>
      <c r="N23" s="3834"/>
      <c r="O23" s="820">
        <f t="shared" ref="O23:O28" si="2">IF(G23&gt;0,1,0)</f>
        <v>0</v>
      </c>
    </row>
    <row r="24" spans="3:15" ht="18" hidden="1">
      <c r="C24" s="3830" t="str">
        <f>PROPER('1 REHAB ANALYZER'!C25)</f>
        <v>Appraisal Fee ($500 Avg.)</v>
      </c>
      <c r="D24" s="3830"/>
      <c r="E24" s="3830"/>
      <c r="F24" s="3830"/>
      <c r="G24" s="3831">
        <f>'1 REHAB ANALYZER'!AA25</f>
        <v>0</v>
      </c>
      <c r="H24" s="3831"/>
      <c r="I24" s="810">
        <f t="shared" si="0"/>
        <v>0</v>
      </c>
      <c r="J24" s="811">
        <f t="shared" si="1"/>
        <v>0</v>
      </c>
      <c r="K24" s="3832"/>
      <c r="L24" s="3833"/>
      <c r="M24" s="3833"/>
      <c r="N24" s="3834"/>
      <c r="O24" s="820">
        <f t="shared" si="2"/>
        <v>0</v>
      </c>
    </row>
    <row r="25" spans="3:15" ht="15.75" hidden="1" customHeight="1">
      <c r="C25" s="3830" t="str">
        <f>PROPER('1 REHAB ANALYZER'!C27)</f>
        <v>Title Search ($300 Avg.)</v>
      </c>
      <c r="D25" s="3830"/>
      <c r="E25" s="3830"/>
      <c r="F25" s="3830"/>
      <c r="G25" s="3831">
        <f>'1 REHAB ANALYZER'!AA27</f>
        <v>0</v>
      </c>
      <c r="H25" s="3831"/>
      <c r="I25" s="810">
        <f t="shared" si="0"/>
        <v>0</v>
      </c>
      <c r="J25" s="811">
        <f t="shared" si="1"/>
        <v>0</v>
      </c>
      <c r="K25" s="3832"/>
      <c r="L25" s="3833"/>
      <c r="M25" s="3833"/>
      <c r="N25" s="3834"/>
      <c r="O25" s="820">
        <f t="shared" si="2"/>
        <v>0</v>
      </c>
    </row>
    <row r="26" spans="3:15" ht="18" hidden="1">
      <c r="C26" s="3830" t="str">
        <f>PROPER('1 REHAB ANALYZER'!C29)</f>
        <v>Title Insurance ($150 Avg.)</v>
      </c>
      <c r="D26" s="3830"/>
      <c r="E26" s="3830"/>
      <c r="F26" s="3830"/>
      <c r="G26" s="3831">
        <f>'1 REHAB ANALYZER'!AA29</f>
        <v>0</v>
      </c>
      <c r="H26" s="3831"/>
      <c r="I26" s="810">
        <f t="shared" si="0"/>
        <v>0</v>
      </c>
      <c r="J26" s="811">
        <f t="shared" si="1"/>
        <v>0</v>
      </c>
      <c r="K26" s="3832"/>
      <c r="L26" s="3833"/>
      <c r="M26" s="3833"/>
      <c r="N26" s="3834"/>
      <c r="O26" s="820">
        <f t="shared" si="2"/>
        <v>0</v>
      </c>
    </row>
    <row r="27" spans="3:15" ht="18" hidden="1">
      <c r="C27" s="3830" t="str">
        <f>PROPER('1 REHAB ANALYZER'!C75)</f>
        <v>Closing Costs &amp; Points</v>
      </c>
      <c r="D27" s="3830"/>
      <c r="E27" s="3830"/>
      <c r="F27" s="3830"/>
      <c r="G27" s="3831">
        <f>'1 REHAB ANALYZER'!AA75</f>
        <v>0</v>
      </c>
      <c r="H27" s="3831"/>
      <c r="I27" s="810">
        <f t="shared" si="0"/>
        <v>0</v>
      </c>
      <c r="J27" s="811">
        <f t="shared" si="1"/>
        <v>0</v>
      </c>
      <c r="K27" s="3832"/>
      <c r="L27" s="3833"/>
      <c r="M27" s="3833"/>
      <c r="N27" s="3834"/>
      <c r="O27" s="820">
        <f t="shared" si="2"/>
        <v>0</v>
      </c>
    </row>
    <row r="28" spans="3:15" ht="18.350000000000001" hidden="1" thickBot="1">
      <c r="C28" s="3835" t="str">
        <f>PROPER('1 REHAB ANALYZER'!C31)</f>
        <v>Other</v>
      </c>
      <c r="D28" s="3835"/>
      <c r="E28" s="3835"/>
      <c r="F28" s="3835"/>
      <c r="G28" s="3836">
        <f>'1 REHAB ANALYZER'!AA31</f>
        <v>0</v>
      </c>
      <c r="H28" s="3836"/>
      <c r="I28" s="813">
        <f t="shared" si="0"/>
        <v>0</v>
      </c>
      <c r="J28" s="814">
        <f t="shared" si="1"/>
        <v>0</v>
      </c>
      <c r="K28" s="3837"/>
      <c r="L28" s="3838"/>
      <c r="M28" s="3838"/>
      <c r="N28" s="3839"/>
      <c r="O28" s="823">
        <f t="shared" si="2"/>
        <v>0</v>
      </c>
    </row>
    <row r="29" spans="3:15" ht="18.350000000000001" hidden="1" thickTop="1">
      <c r="C29" s="3825" t="str">
        <f>CONCATENATE(C21," TOTAL")</f>
        <v>BUYING COSTS TOTAL</v>
      </c>
      <c r="D29" s="3825"/>
      <c r="E29" s="3825"/>
      <c r="F29" s="3825"/>
      <c r="G29" s="3826">
        <f>SUM(G22:H28)</f>
        <v>0</v>
      </c>
      <c r="H29" s="3826"/>
      <c r="I29" s="818">
        <f>SUM(I22:I28)</f>
        <v>0</v>
      </c>
      <c r="J29" s="819">
        <f>SUM(J22:J28)</f>
        <v>0</v>
      </c>
      <c r="K29" s="3827"/>
      <c r="L29" s="3828"/>
      <c r="M29" s="3828"/>
      <c r="N29" s="3829"/>
      <c r="O29" s="821">
        <f>SUM(O22:O28)</f>
        <v>0</v>
      </c>
    </row>
    <row r="30" spans="3:15" ht="8.85" hidden="1" customHeight="1">
      <c r="C30" s="836"/>
      <c r="D30" s="836"/>
      <c r="E30" s="836"/>
      <c r="F30" s="836"/>
      <c r="G30" s="837"/>
      <c r="H30" s="837"/>
      <c r="I30" s="837"/>
      <c r="J30" s="837"/>
      <c r="K30" s="837"/>
      <c r="L30" s="837"/>
      <c r="M30" s="837"/>
      <c r="N30" s="837"/>
      <c r="O30" s="822">
        <f>O29</f>
        <v>0</v>
      </c>
    </row>
    <row r="31" spans="3:15" ht="22.5" hidden="1" customHeight="1">
      <c r="C31" s="3840" t="s">
        <v>348</v>
      </c>
      <c r="D31" s="3840"/>
      <c r="E31" s="3840"/>
      <c r="F31" s="3841"/>
      <c r="G31" s="3845"/>
      <c r="H31" s="3846"/>
      <c r="I31" s="831"/>
      <c r="J31" s="831"/>
      <c r="K31" s="3844"/>
      <c r="L31" s="3844"/>
      <c r="M31" s="3844"/>
      <c r="N31" s="3845"/>
      <c r="O31" s="820">
        <f>SUM(O32:O38)</f>
        <v>0</v>
      </c>
    </row>
    <row r="32" spans="3:15" ht="15.75" hidden="1" customHeight="1">
      <c r="C32" s="3830" t="str">
        <f>PROPER('1 REHAB ANALYZER'!C77)</f>
        <v>Loan Payment</v>
      </c>
      <c r="D32" s="3830"/>
      <c r="E32" s="3830"/>
      <c r="F32" s="3830"/>
      <c r="G32" s="3831">
        <f>'1 REHAB ANALYZER'!AA77</f>
        <v>0</v>
      </c>
      <c r="H32" s="3831"/>
      <c r="I32" s="810">
        <f t="shared" ref="I32:I38" si="3">IFERROR(G32/Property_Size,0)</f>
        <v>0</v>
      </c>
      <c r="J32" s="811">
        <f t="shared" ref="J32:J38" si="4">IFERROR(G32/Total_Project_Costs_Result,0)</f>
        <v>0</v>
      </c>
      <c r="K32" s="3832"/>
      <c r="L32" s="3833"/>
      <c r="M32" s="3833"/>
      <c r="N32" s="3834"/>
      <c r="O32" s="820">
        <f>IF(G32&gt;0,1,0)</f>
        <v>0</v>
      </c>
    </row>
    <row r="33" spans="3:15" ht="18" hidden="1">
      <c r="C33" s="3830" t="str">
        <f>PROPER('1 REHAB ANALYZER'!C39)</f>
        <v>Property Taxes</v>
      </c>
      <c r="D33" s="3830"/>
      <c r="E33" s="3830"/>
      <c r="F33" s="3830"/>
      <c r="G33" s="3831">
        <f>'1 REHAB ANALYZER'!AA39</f>
        <v>0</v>
      </c>
      <c r="H33" s="3831"/>
      <c r="I33" s="810">
        <f t="shared" si="3"/>
        <v>0</v>
      </c>
      <c r="J33" s="811">
        <f t="shared" si="4"/>
        <v>0</v>
      </c>
      <c r="K33" s="3832"/>
      <c r="L33" s="3833"/>
      <c r="M33" s="3833"/>
      <c r="N33" s="3834"/>
      <c r="O33" s="820">
        <f t="shared" ref="O33:O38" si="5">IF(G33&gt;0,1,0)</f>
        <v>0</v>
      </c>
    </row>
    <row r="34" spans="3:15" ht="18" hidden="1">
      <c r="C34" s="3830" t="str">
        <f>PROPER('1 REHAB ANALYZER'!C41)</f>
        <v>Utilities</v>
      </c>
      <c r="D34" s="3830"/>
      <c r="E34" s="3830"/>
      <c r="F34" s="3830"/>
      <c r="G34" s="3831">
        <f>'1 REHAB ANALYZER'!AA41</f>
        <v>0</v>
      </c>
      <c r="H34" s="3831"/>
      <c r="I34" s="810">
        <f t="shared" si="3"/>
        <v>0</v>
      </c>
      <c r="J34" s="811">
        <f t="shared" si="4"/>
        <v>0</v>
      </c>
      <c r="K34" s="3832"/>
      <c r="L34" s="3833"/>
      <c r="M34" s="3833"/>
      <c r="N34" s="3834"/>
      <c r="O34" s="820">
        <f t="shared" si="5"/>
        <v>0</v>
      </c>
    </row>
    <row r="35" spans="3:15" ht="15.75" hidden="1" customHeight="1">
      <c r="C35" s="3830" t="str">
        <f>PROPER('1 REHAB ANALYZER'!C43)</f>
        <v>Insurance</v>
      </c>
      <c r="D35" s="3830"/>
      <c r="E35" s="3830"/>
      <c r="F35" s="3830"/>
      <c r="G35" s="3831">
        <f>'1 REHAB ANALYZER'!AA43</f>
        <v>0</v>
      </c>
      <c r="H35" s="3831"/>
      <c r="I35" s="810">
        <f t="shared" si="3"/>
        <v>0</v>
      </c>
      <c r="J35" s="811">
        <f t="shared" si="4"/>
        <v>0</v>
      </c>
      <c r="K35" s="3832"/>
      <c r="L35" s="3833"/>
      <c r="M35" s="3833"/>
      <c r="N35" s="3834"/>
      <c r="O35" s="820">
        <f t="shared" si="5"/>
        <v>0</v>
      </c>
    </row>
    <row r="36" spans="3:15" ht="18" hidden="1">
      <c r="C36" s="3830" t="str">
        <f>PROPER('1 REHAB ANALYZER'!C45)</f>
        <v>Hoa Dues</v>
      </c>
      <c r="D36" s="3830"/>
      <c r="E36" s="3830"/>
      <c r="F36" s="3830"/>
      <c r="G36" s="3831">
        <f>'1 REHAB ANALYZER'!AA45</f>
        <v>0</v>
      </c>
      <c r="H36" s="3831"/>
      <c r="I36" s="810">
        <f t="shared" si="3"/>
        <v>0</v>
      </c>
      <c r="J36" s="811">
        <f t="shared" si="4"/>
        <v>0</v>
      </c>
      <c r="K36" s="3832"/>
      <c r="L36" s="3833"/>
      <c r="M36" s="3833"/>
      <c r="N36" s="3834"/>
      <c r="O36" s="820">
        <f t="shared" si="5"/>
        <v>0</v>
      </c>
    </row>
    <row r="37" spans="3:15" ht="18" hidden="1">
      <c r="C37" s="3830" t="str">
        <f>PROPER('1 REHAB ANALYZER'!C47)</f>
        <v>Maintenance</v>
      </c>
      <c r="D37" s="3830"/>
      <c r="E37" s="3830"/>
      <c r="F37" s="3830"/>
      <c r="G37" s="3831">
        <f>'1 REHAB ANALYZER'!AA47</f>
        <v>0</v>
      </c>
      <c r="H37" s="3831"/>
      <c r="I37" s="810">
        <f t="shared" si="3"/>
        <v>0</v>
      </c>
      <c r="J37" s="811">
        <f t="shared" si="4"/>
        <v>0</v>
      </c>
      <c r="K37" s="3832"/>
      <c r="L37" s="3833"/>
      <c r="M37" s="3833"/>
      <c r="N37" s="3834"/>
      <c r="O37" s="820">
        <f t="shared" si="5"/>
        <v>0</v>
      </c>
    </row>
    <row r="38" spans="3:15" ht="18.350000000000001" hidden="1" thickBot="1">
      <c r="C38" s="3835" t="str">
        <f>PROPER('1 REHAB ANALYZER'!C49)</f>
        <v>Other</v>
      </c>
      <c r="D38" s="3835"/>
      <c r="E38" s="3835"/>
      <c r="F38" s="3835"/>
      <c r="G38" s="3836">
        <f>'1 REHAB ANALYZER'!AA49</f>
        <v>0</v>
      </c>
      <c r="H38" s="3836"/>
      <c r="I38" s="813">
        <f t="shared" si="3"/>
        <v>0</v>
      </c>
      <c r="J38" s="814">
        <f t="shared" si="4"/>
        <v>0</v>
      </c>
      <c r="K38" s="3837"/>
      <c r="L38" s="3838"/>
      <c r="M38" s="3838"/>
      <c r="N38" s="3839"/>
      <c r="O38" s="823">
        <f t="shared" si="5"/>
        <v>0</v>
      </c>
    </row>
    <row r="39" spans="3:15" ht="18.350000000000001" hidden="1" thickTop="1">
      <c r="C39" s="3825" t="str">
        <f>CONCATENATE(C31," TOTAL")</f>
        <v>HOLDING COSTS TOTAL</v>
      </c>
      <c r="D39" s="3825"/>
      <c r="E39" s="3825"/>
      <c r="F39" s="3825"/>
      <c r="G39" s="3826">
        <f>SUM(G32:H38)</f>
        <v>0</v>
      </c>
      <c r="H39" s="3826"/>
      <c r="I39" s="818">
        <f>SUM(I32:I38)</f>
        <v>0</v>
      </c>
      <c r="J39" s="819">
        <f>SUM(J32:J38)</f>
        <v>0</v>
      </c>
      <c r="K39" s="3827"/>
      <c r="L39" s="3828"/>
      <c r="M39" s="3828"/>
      <c r="N39" s="3829"/>
      <c r="O39" s="821">
        <f>SUM(O32:O38)</f>
        <v>0</v>
      </c>
    </row>
    <row r="40" spans="3:15" ht="8.85" hidden="1" customHeight="1">
      <c r="C40" s="836"/>
      <c r="D40" s="836"/>
      <c r="E40" s="836"/>
      <c r="F40" s="836"/>
      <c r="G40" s="837"/>
      <c r="H40" s="837"/>
      <c r="I40" s="837"/>
      <c r="J40" s="837"/>
      <c r="K40" s="837"/>
      <c r="L40" s="837"/>
      <c r="M40" s="837"/>
      <c r="N40" s="837"/>
      <c r="O40" s="822">
        <f>O39</f>
        <v>0</v>
      </c>
    </row>
    <row r="41" spans="3:15" ht="22.5" hidden="1" customHeight="1">
      <c r="C41" s="3840" t="s">
        <v>349</v>
      </c>
      <c r="D41" s="3840"/>
      <c r="E41" s="3840"/>
      <c r="F41" s="3841"/>
      <c r="G41" s="3845"/>
      <c r="H41" s="3846"/>
      <c r="I41" s="831"/>
      <c r="J41" s="831"/>
      <c r="K41" s="3844"/>
      <c r="L41" s="3844"/>
      <c r="M41" s="3844"/>
      <c r="N41" s="3845"/>
      <c r="O41" s="820">
        <f>SUM(O42:O48)</f>
        <v>0</v>
      </c>
    </row>
    <row r="42" spans="3:15" ht="15.75" hidden="1" customHeight="1">
      <c r="C42" s="3830" t="str">
        <f>PROPER('1 REHAB ANALYZER'!C57)</f>
        <v>Commissions</v>
      </c>
      <c r="D42" s="3830"/>
      <c r="E42" s="3830"/>
      <c r="F42" s="3830"/>
      <c r="G42" s="3831">
        <f>'1 REHAB ANALYZER'!AA57</f>
        <v>0</v>
      </c>
      <c r="H42" s="3831"/>
      <c r="I42" s="810">
        <f t="shared" ref="I42:I48" si="6">IFERROR(G42/Property_Size,0)</f>
        <v>0</v>
      </c>
      <c r="J42" s="811">
        <f t="shared" ref="J42:J48" si="7">IFERROR(G42/Total_Project_Costs_Result,0)</f>
        <v>0</v>
      </c>
      <c r="K42" s="3832"/>
      <c r="L42" s="3833"/>
      <c r="M42" s="3833"/>
      <c r="N42" s="3834"/>
      <c r="O42" s="820">
        <f>IF(G42&gt;0,1,0)</f>
        <v>0</v>
      </c>
    </row>
    <row r="43" spans="3:15" ht="18" hidden="1">
      <c r="C43" s="3830" t="str">
        <f>PROPER('1 REHAB ANALYZER'!C59)</f>
        <v>Seller Assisted Closing Costs</v>
      </c>
      <c r="D43" s="3830"/>
      <c r="E43" s="3830"/>
      <c r="F43" s="3830"/>
      <c r="G43" s="3831">
        <f>'1 REHAB ANALYZER'!AA59</f>
        <v>0</v>
      </c>
      <c r="H43" s="3831"/>
      <c r="I43" s="810">
        <f t="shared" si="6"/>
        <v>0</v>
      </c>
      <c r="J43" s="811">
        <f t="shared" si="7"/>
        <v>0</v>
      </c>
      <c r="K43" s="3832"/>
      <c r="L43" s="3833"/>
      <c r="M43" s="3833"/>
      <c r="N43" s="3834"/>
      <c r="O43" s="820">
        <f t="shared" ref="O43:O48" si="8">IF(G43&gt;0,1,0)</f>
        <v>0</v>
      </c>
    </row>
    <row r="44" spans="3:15" ht="18" hidden="1">
      <c r="C44" s="3830" t="str">
        <f>PROPER('1 REHAB ANALYZER'!C61)</f>
        <v>Brokerage Fee ($300 Avg.)</v>
      </c>
      <c r="D44" s="3830"/>
      <c r="E44" s="3830"/>
      <c r="F44" s="3830"/>
      <c r="G44" s="3831">
        <f>'1 REHAB ANALYZER'!AA61</f>
        <v>0</v>
      </c>
      <c r="H44" s="3831"/>
      <c r="I44" s="810">
        <f t="shared" si="6"/>
        <v>0</v>
      </c>
      <c r="J44" s="811">
        <f t="shared" si="7"/>
        <v>0</v>
      </c>
      <c r="K44" s="3832"/>
      <c r="L44" s="3833"/>
      <c r="M44" s="3833"/>
      <c r="N44" s="3834"/>
      <c r="O44" s="820">
        <f t="shared" si="8"/>
        <v>0</v>
      </c>
    </row>
    <row r="45" spans="3:15" ht="15.75" hidden="1" customHeight="1">
      <c r="C45" s="3830" t="str">
        <f>PROPER('1 REHAB ANALYZER'!C63)</f>
        <v>Home Warranty ($450 Avg.)</v>
      </c>
      <c r="D45" s="3830"/>
      <c r="E45" s="3830"/>
      <c r="F45" s="3830"/>
      <c r="G45" s="3831">
        <f>'1 REHAB ANALYZER'!AA63</f>
        <v>0</v>
      </c>
      <c r="H45" s="3831"/>
      <c r="I45" s="810">
        <f t="shared" si="6"/>
        <v>0</v>
      </c>
      <c r="J45" s="811">
        <f t="shared" si="7"/>
        <v>0</v>
      </c>
      <c r="K45" s="3832"/>
      <c r="L45" s="3833"/>
      <c r="M45" s="3833"/>
      <c r="N45" s="3834"/>
      <c r="O45" s="820">
        <f t="shared" si="8"/>
        <v>0</v>
      </c>
    </row>
    <row r="46" spans="3:15" ht="18" hidden="1">
      <c r="C46" s="3830" t="str">
        <f>PROPER('1 REHAB ANALYZER'!C65)</f>
        <v>Title Insurance ($150 Avg.)</v>
      </c>
      <c r="D46" s="3830"/>
      <c r="E46" s="3830"/>
      <c r="F46" s="3830"/>
      <c r="G46" s="3831">
        <f>'1 REHAB ANALYZER'!AA65</f>
        <v>0</v>
      </c>
      <c r="H46" s="3831"/>
      <c r="I46" s="810">
        <f t="shared" si="6"/>
        <v>0</v>
      </c>
      <c r="J46" s="811">
        <f t="shared" si="7"/>
        <v>0</v>
      </c>
      <c r="K46" s="3832"/>
      <c r="L46" s="3833"/>
      <c r="M46" s="3833"/>
      <c r="N46" s="3834"/>
      <c r="O46" s="820">
        <f t="shared" si="8"/>
        <v>0</v>
      </c>
    </row>
    <row r="47" spans="3:15" ht="18" hidden="1">
      <c r="C47" s="3830" t="str">
        <f>PROPER('1 REHAB ANALYZER'!C67)</f>
        <v>2Nd Appraisal ($500 Avg.)</v>
      </c>
      <c r="D47" s="3830"/>
      <c r="E47" s="3830"/>
      <c r="F47" s="3830"/>
      <c r="G47" s="3831">
        <f>'1 REHAB ANALYZER'!AA67</f>
        <v>0</v>
      </c>
      <c r="H47" s="3831"/>
      <c r="I47" s="810">
        <f t="shared" si="6"/>
        <v>0</v>
      </c>
      <c r="J47" s="811">
        <f t="shared" si="7"/>
        <v>0</v>
      </c>
      <c r="K47" s="3832"/>
      <c r="L47" s="3833"/>
      <c r="M47" s="3833"/>
      <c r="N47" s="3834"/>
      <c r="O47" s="820">
        <f t="shared" si="8"/>
        <v>0</v>
      </c>
    </row>
    <row r="48" spans="3:15" ht="18.350000000000001" hidden="1" thickBot="1">
      <c r="C48" s="3835" t="str">
        <f>PROPER('1 REHAB ANALYZER'!C69)</f>
        <v>Other</v>
      </c>
      <c r="D48" s="3835"/>
      <c r="E48" s="3835"/>
      <c r="F48" s="3835"/>
      <c r="G48" s="3836">
        <f>'1 REHAB ANALYZER'!AA69</f>
        <v>0</v>
      </c>
      <c r="H48" s="3836"/>
      <c r="I48" s="813">
        <f t="shared" si="6"/>
        <v>0</v>
      </c>
      <c r="J48" s="814">
        <f t="shared" si="7"/>
        <v>0</v>
      </c>
      <c r="K48" s="3837"/>
      <c r="L48" s="3838"/>
      <c r="M48" s="3838"/>
      <c r="N48" s="3839"/>
      <c r="O48" s="823">
        <f t="shared" si="8"/>
        <v>0</v>
      </c>
    </row>
    <row r="49" spans="3:15" ht="18.350000000000001" hidden="1" thickTop="1">
      <c r="C49" s="3825" t="str">
        <f>CONCATENATE(C41," TOTAL")</f>
        <v>SELLING COSTS TOTAL</v>
      </c>
      <c r="D49" s="3825"/>
      <c r="E49" s="3825"/>
      <c r="F49" s="3825"/>
      <c r="G49" s="3826">
        <f>SUM(G42:H48)</f>
        <v>0</v>
      </c>
      <c r="H49" s="3826"/>
      <c r="I49" s="818">
        <f>SUM(I42:I48)</f>
        <v>0</v>
      </c>
      <c r="J49" s="819">
        <f>SUM(J42:J48)</f>
        <v>0</v>
      </c>
      <c r="K49" s="3827"/>
      <c r="L49" s="3828"/>
      <c r="M49" s="3828"/>
      <c r="N49" s="3829"/>
      <c r="O49" s="821">
        <f>SUM(O42:O48)</f>
        <v>0</v>
      </c>
    </row>
    <row r="50" spans="3:15" ht="8.85" hidden="1" customHeight="1">
      <c r="C50" s="836"/>
      <c r="D50" s="836"/>
      <c r="E50" s="836"/>
      <c r="F50" s="836"/>
      <c r="G50" s="837"/>
      <c r="H50" s="837"/>
      <c r="I50" s="837"/>
      <c r="J50" s="837"/>
      <c r="K50" s="837"/>
      <c r="L50" s="837"/>
      <c r="M50" s="837"/>
      <c r="N50" s="837"/>
      <c r="O50" s="822">
        <f>O49</f>
        <v>0</v>
      </c>
    </row>
    <row r="51" spans="3:15" ht="22.5" customHeight="1">
      <c r="C51" s="3840" t="str">
        <f>T('2 REPAIR ESTIMATOR'!D87:O87)</f>
        <v>GENERAL CONDITIONS</v>
      </c>
      <c r="D51" s="3840"/>
      <c r="E51" s="3840"/>
      <c r="F51" s="3841"/>
      <c r="G51" s="3845"/>
      <c r="H51" s="3846"/>
      <c r="I51" s="831"/>
      <c r="J51" s="831"/>
      <c r="K51" s="3844"/>
      <c r="L51" s="3844"/>
      <c r="M51" s="3844"/>
      <c r="N51" s="3845"/>
      <c r="O51" s="820">
        <f>SUM(O52:O91)</f>
        <v>1</v>
      </c>
    </row>
    <row r="52" spans="3:15" ht="20.25" customHeight="1" thickBot="1">
      <c r="C52" s="3830" t="str">
        <f>T('2 REPAIR ESTIMATOR'!D88:O88)</f>
        <v>Dumpster rental-40 yard</v>
      </c>
      <c r="D52" s="3830"/>
      <c r="E52" s="3830"/>
      <c r="F52" s="3830"/>
      <c r="G52" s="3831">
        <f>'2 REPAIR ESTIMATOR'!AQ88</f>
        <v>0</v>
      </c>
      <c r="H52" s="3831"/>
      <c r="I52" s="810">
        <f t="shared" ref="I52:I91" si="9">IFERROR(G52/Property_Size,0)</f>
        <v>0</v>
      </c>
      <c r="J52" s="811">
        <f t="shared" ref="J52:J91" si="10">IFERROR(G52/Total_Project_Costs_Result,0)</f>
        <v>0</v>
      </c>
      <c r="K52" s="3832"/>
      <c r="L52" s="3833"/>
      <c r="M52" s="3833"/>
      <c r="N52" s="3834"/>
      <c r="O52" s="820">
        <f>IF(G52="",0,1)</f>
        <v>1</v>
      </c>
    </row>
    <row r="53" spans="3:15" ht="20.25" hidden="1" customHeight="1">
      <c r="C53" s="3830" t="str">
        <f>T('2 REPAIR ESTIMATOR'!D89:O89)</f>
        <v>Storage Container</v>
      </c>
      <c r="D53" s="3830"/>
      <c r="E53" s="3830"/>
      <c r="F53" s="3830"/>
      <c r="G53" s="3831">
        <f>'2 REPAIR ESTIMATOR'!AQ89</f>
        <v>0</v>
      </c>
      <c r="H53" s="3831"/>
      <c r="I53" s="810">
        <f t="shared" si="9"/>
        <v>0</v>
      </c>
      <c r="J53" s="811">
        <f t="shared" si="10"/>
        <v>0</v>
      </c>
      <c r="K53" s="3832"/>
      <c r="L53" s="3833"/>
      <c r="M53" s="3833"/>
      <c r="N53" s="3834"/>
      <c r="O53" s="820">
        <f t="shared" ref="O53:O91" si="11">IF(G53&gt;0,1,0)</f>
        <v>0</v>
      </c>
    </row>
    <row r="54" spans="3:15" ht="20.25" hidden="1" customHeight="1">
      <c r="C54" s="3830" t="str">
        <f>T('2 REPAIR ESTIMATOR'!D90:O90)</f>
        <v>Chemical Toilet</v>
      </c>
      <c r="D54" s="3830"/>
      <c r="E54" s="3830"/>
      <c r="F54" s="3830"/>
      <c r="G54" s="3831">
        <f>'2 REPAIR ESTIMATOR'!AQ90</f>
        <v>0</v>
      </c>
      <c r="H54" s="3831"/>
      <c r="I54" s="810">
        <f t="shared" si="9"/>
        <v>0</v>
      </c>
      <c r="J54" s="811">
        <f t="shared" si="10"/>
        <v>0</v>
      </c>
      <c r="K54" s="3832"/>
      <c r="L54" s="3833"/>
      <c r="M54" s="3833"/>
      <c r="N54" s="3834"/>
      <c r="O54" s="820">
        <f t="shared" si="11"/>
        <v>0</v>
      </c>
    </row>
    <row r="55" spans="3:15" ht="20.25" hidden="1" customHeight="1">
      <c r="C55" s="3830" t="str">
        <f>T('2 REPAIR ESTIMATOR'!D91:O91)</f>
        <v>Misc. Tools &amp; Materials</v>
      </c>
      <c r="D55" s="3830"/>
      <c r="E55" s="3830"/>
      <c r="F55" s="3830"/>
      <c r="G55" s="3831">
        <f>'2 REPAIR ESTIMATOR'!AQ91</f>
        <v>0</v>
      </c>
      <c r="H55" s="3831"/>
      <c r="I55" s="810">
        <f t="shared" si="9"/>
        <v>0</v>
      </c>
      <c r="J55" s="811">
        <f t="shared" si="10"/>
        <v>0</v>
      </c>
      <c r="K55" s="3832"/>
      <c r="L55" s="3833"/>
      <c r="M55" s="3833"/>
      <c r="N55" s="3834"/>
      <c r="O55" s="820">
        <f t="shared" si="11"/>
        <v>0</v>
      </c>
    </row>
    <row r="56" spans="3:15" ht="20.25" hidden="1" customHeight="1">
      <c r="C56" s="3830" t="str">
        <f>T('2 REPAIR ESTIMATOR'!D92:O92)</f>
        <v>Rekey/lock box</v>
      </c>
      <c r="D56" s="3830"/>
      <c r="E56" s="3830"/>
      <c r="F56" s="3830"/>
      <c r="G56" s="3831">
        <f>'2 REPAIR ESTIMATOR'!AQ92</f>
        <v>0</v>
      </c>
      <c r="H56" s="3831"/>
      <c r="I56" s="810">
        <f t="shared" si="9"/>
        <v>0</v>
      </c>
      <c r="J56" s="811">
        <f t="shared" si="10"/>
        <v>0</v>
      </c>
      <c r="K56" s="3832"/>
      <c r="L56" s="3833"/>
      <c r="M56" s="3833"/>
      <c r="N56" s="3834"/>
      <c r="O56" s="820">
        <f t="shared" si="11"/>
        <v>0</v>
      </c>
    </row>
    <row r="57" spans="3:15" ht="20.25" hidden="1" customHeight="1">
      <c r="C57" s="3830" t="str">
        <f>T('2 REPAIR ESTIMATOR'!D93:O93)</f>
        <v>Turn on utilities</v>
      </c>
      <c r="D57" s="3830"/>
      <c r="E57" s="3830"/>
      <c r="F57" s="3830"/>
      <c r="G57" s="3831">
        <f>'2 REPAIR ESTIMATOR'!AQ93</f>
        <v>0</v>
      </c>
      <c r="H57" s="3831"/>
      <c r="I57" s="810">
        <f t="shared" si="9"/>
        <v>0</v>
      </c>
      <c r="J57" s="811">
        <f t="shared" si="10"/>
        <v>0</v>
      </c>
      <c r="K57" s="3832"/>
      <c r="L57" s="3833"/>
      <c r="M57" s="3833"/>
      <c r="N57" s="3834"/>
      <c r="O57" s="820">
        <f t="shared" si="11"/>
        <v>0</v>
      </c>
    </row>
    <row r="58" spans="3:15" ht="20.25" hidden="1" customHeight="1">
      <c r="C58" s="3830" t="str">
        <f>T('2 REPAIR ESTIMATOR'!D94:O94)</f>
        <v>Truck expense/car payment</v>
      </c>
      <c r="D58" s="3830"/>
      <c r="E58" s="3830"/>
      <c r="F58" s="3830"/>
      <c r="G58" s="3831">
        <f>'2 REPAIR ESTIMATOR'!AQ94</f>
        <v>0</v>
      </c>
      <c r="H58" s="3831"/>
      <c r="I58" s="810">
        <f t="shared" si="9"/>
        <v>0</v>
      </c>
      <c r="J58" s="811">
        <f t="shared" si="10"/>
        <v>0</v>
      </c>
      <c r="K58" s="3832"/>
      <c r="L58" s="3833"/>
      <c r="M58" s="3833"/>
      <c r="N58" s="3834"/>
      <c r="O58" s="820">
        <f t="shared" si="11"/>
        <v>0</v>
      </c>
    </row>
    <row r="59" spans="3:15" ht="20.25" hidden="1" customHeight="1">
      <c r="C59" s="3830" t="str">
        <f>T('2 REPAIR ESTIMATOR'!D95:O95)</f>
        <v>Fuel/gas expense</v>
      </c>
      <c r="D59" s="3830"/>
      <c r="E59" s="3830"/>
      <c r="F59" s="3830"/>
      <c r="G59" s="3831">
        <f>'2 REPAIR ESTIMATOR'!AQ95</f>
        <v>0</v>
      </c>
      <c r="H59" s="3831"/>
      <c r="I59" s="810">
        <f t="shared" si="9"/>
        <v>0</v>
      </c>
      <c r="J59" s="811">
        <f t="shared" si="10"/>
        <v>0</v>
      </c>
      <c r="K59" s="3832"/>
      <c r="L59" s="3833"/>
      <c r="M59" s="3833"/>
      <c r="N59" s="3834"/>
      <c r="O59" s="820">
        <f t="shared" si="11"/>
        <v>0</v>
      </c>
    </row>
    <row r="60" spans="3:15" ht="20.25" hidden="1" customHeight="1">
      <c r="C60" s="3830" t="str">
        <f>T('2 REPAIR ESTIMATOR'!D96:O96)</f>
        <v>Project management</v>
      </c>
      <c r="D60" s="3830"/>
      <c r="E60" s="3830"/>
      <c r="F60" s="3830"/>
      <c r="G60" s="3831">
        <f>'2 REPAIR ESTIMATOR'!AQ96</f>
        <v>0</v>
      </c>
      <c r="H60" s="3831"/>
      <c r="I60" s="810">
        <f t="shared" si="9"/>
        <v>0</v>
      </c>
      <c r="J60" s="811">
        <f t="shared" si="10"/>
        <v>0</v>
      </c>
      <c r="K60" s="3832"/>
      <c r="L60" s="3833"/>
      <c r="M60" s="3833"/>
      <c r="N60" s="3834"/>
      <c r="O60" s="820">
        <f t="shared" si="11"/>
        <v>0</v>
      </c>
    </row>
    <row r="61" spans="3:15" ht="20.25" hidden="1" customHeight="1">
      <c r="C61" s="3830" t="str">
        <f>T('2 REPAIR ESTIMATOR'!D97:O97)</f>
        <v>Architectural Fees</v>
      </c>
      <c r="D61" s="3830"/>
      <c r="E61" s="3830"/>
      <c r="F61" s="3830"/>
      <c r="G61" s="3831">
        <f>'2 REPAIR ESTIMATOR'!AQ97</f>
        <v>0</v>
      </c>
      <c r="H61" s="3831"/>
      <c r="I61" s="810">
        <f t="shared" si="9"/>
        <v>0</v>
      </c>
      <c r="J61" s="811">
        <f t="shared" si="10"/>
        <v>0</v>
      </c>
      <c r="K61" s="3832"/>
      <c r="L61" s="3833"/>
      <c r="M61" s="3833"/>
      <c r="N61" s="3834"/>
      <c r="O61" s="820">
        <f t="shared" si="11"/>
        <v>0</v>
      </c>
    </row>
    <row r="62" spans="3:15" ht="20.25" hidden="1" customHeight="1">
      <c r="C62" s="3830" t="str">
        <f>T('2 REPAIR ESTIMATOR'!D98:O98)</f>
        <v>Engineering Fees</v>
      </c>
      <c r="D62" s="3830"/>
      <c r="E62" s="3830"/>
      <c r="F62" s="3830"/>
      <c r="G62" s="3831">
        <f>'2 REPAIR ESTIMATOR'!AQ98</f>
        <v>0</v>
      </c>
      <c r="H62" s="3831"/>
      <c r="I62" s="810">
        <f t="shared" si="9"/>
        <v>0</v>
      </c>
      <c r="J62" s="811">
        <f t="shared" si="10"/>
        <v>0</v>
      </c>
      <c r="K62" s="3832"/>
      <c r="L62" s="3833"/>
      <c r="M62" s="3833"/>
      <c r="N62" s="3834"/>
      <c r="O62" s="820">
        <f t="shared" si="11"/>
        <v>0</v>
      </c>
    </row>
    <row r="63" spans="3:15" ht="20.25" hidden="1" customHeight="1">
      <c r="C63" s="3830" t="str">
        <f>T('2 REPAIR ESTIMATOR'!D99:O99)</f>
        <v>Professional Photography</v>
      </c>
      <c r="D63" s="3830"/>
      <c r="E63" s="3830"/>
      <c r="F63" s="3830"/>
      <c r="G63" s="3831">
        <f>'2 REPAIR ESTIMATOR'!AQ99</f>
        <v>0</v>
      </c>
      <c r="H63" s="3831"/>
      <c r="I63" s="810">
        <f t="shared" si="9"/>
        <v>0</v>
      </c>
      <c r="J63" s="811">
        <f t="shared" si="10"/>
        <v>0</v>
      </c>
      <c r="K63" s="3832"/>
      <c r="L63" s="3833"/>
      <c r="M63" s="3833"/>
      <c r="N63" s="3834"/>
      <c r="O63" s="820">
        <f t="shared" si="11"/>
        <v>0</v>
      </c>
    </row>
    <row r="64" spans="3:15" ht="20.25" hidden="1" customHeight="1">
      <c r="C64" s="3830" t="str">
        <f>T('2 REPAIR ESTIMATOR'!D100:O100)</f>
        <v>Material Deliveries</v>
      </c>
      <c r="D64" s="3830"/>
      <c r="E64" s="3830"/>
      <c r="F64" s="3830"/>
      <c r="G64" s="3831">
        <f>'2 REPAIR ESTIMATOR'!AQ100</f>
        <v>0</v>
      </c>
      <c r="H64" s="3831"/>
      <c r="I64" s="810">
        <f t="shared" si="9"/>
        <v>0</v>
      </c>
      <c r="J64" s="811">
        <f t="shared" si="10"/>
        <v>0</v>
      </c>
      <c r="K64" s="3832"/>
      <c r="L64" s="3833"/>
      <c r="M64" s="3833"/>
      <c r="N64" s="3834"/>
      <c r="O64" s="820">
        <f t="shared" si="11"/>
        <v>0</v>
      </c>
    </row>
    <row r="65" spans="3:15" ht="18.350000000000001" hidden="1" thickBot="1">
      <c r="C65" s="3830" t="str">
        <f>T('2 REPAIR ESTIMATOR'!D101:O101)</f>
        <v>Final cleaning</v>
      </c>
      <c r="D65" s="3830"/>
      <c r="E65" s="3830"/>
      <c r="F65" s="3830"/>
      <c r="G65" s="3831">
        <f>'2 REPAIR ESTIMATOR'!AQ101</f>
        <v>0</v>
      </c>
      <c r="H65" s="3831"/>
      <c r="I65" s="810">
        <f t="shared" si="9"/>
        <v>0</v>
      </c>
      <c r="J65" s="811">
        <f t="shared" si="10"/>
        <v>0</v>
      </c>
      <c r="K65" s="3832"/>
      <c r="L65" s="3833"/>
      <c r="M65" s="3833"/>
      <c r="N65" s="3834"/>
      <c r="O65" s="820">
        <f t="shared" si="11"/>
        <v>0</v>
      </c>
    </row>
    <row r="66" spans="3:15" ht="18.350000000000001" hidden="1" thickBot="1">
      <c r="C66" s="3830" t="str">
        <f>T('2 REPAIR ESTIMATOR'!D102:O102)</f>
        <v/>
      </c>
      <c r="D66" s="3830"/>
      <c r="E66" s="3830"/>
      <c r="F66" s="3830"/>
      <c r="G66" s="3831">
        <f>'2 REPAIR ESTIMATOR'!AQ102</f>
        <v>0</v>
      </c>
      <c r="H66" s="3831"/>
      <c r="I66" s="810">
        <f t="shared" si="9"/>
        <v>0</v>
      </c>
      <c r="J66" s="811">
        <f t="shared" si="10"/>
        <v>0</v>
      </c>
      <c r="K66" s="3832"/>
      <c r="L66" s="3833"/>
      <c r="M66" s="3833"/>
      <c r="N66" s="3834"/>
      <c r="O66" s="820">
        <f t="shared" si="11"/>
        <v>0</v>
      </c>
    </row>
    <row r="67" spans="3:15" ht="18.350000000000001" hidden="1" thickBot="1">
      <c r="C67" s="3830" t="str">
        <f>T('2 REPAIR ESTIMATOR'!D103:O103)</f>
        <v/>
      </c>
      <c r="D67" s="3830"/>
      <c r="E67" s="3830"/>
      <c r="F67" s="3830"/>
      <c r="G67" s="3831">
        <f>'2 REPAIR ESTIMATOR'!AQ103</f>
        <v>0</v>
      </c>
      <c r="H67" s="3831"/>
      <c r="I67" s="810">
        <f t="shared" si="9"/>
        <v>0</v>
      </c>
      <c r="J67" s="811">
        <f t="shared" si="10"/>
        <v>0</v>
      </c>
      <c r="K67" s="3832"/>
      <c r="L67" s="3833"/>
      <c r="M67" s="3833"/>
      <c r="N67" s="3834"/>
      <c r="O67" s="820">
        <f t="shared" si="11"/>
        <v>0</v>
      </c>
    </row>
    <row r="68" spans="3:15" ht="18.350000000000001" hidden="1" thickBot="1">
      <c r="C68" s="3830" t="str">
        <f>T('2 REPAIR ESTIMATOR'!D104:O104)</f>
        <v/>
      </c>
      <c r="D68" s="3830"/>
      <c r="E68" s="3830"/>
      <c r="F68" s="3830"/>
      <c r="G68" s="3831">
        <f>'2 REPAIR ESTIMATOR'!AQ104</f>
        <v>0</v>
      </c>
      <c r="H68" s="3831"/>
      <c r="I68" s="810">
        <f t="shared" si="9"/>
        <v>0</v>
      </c>
      <c r="J68" s="811">
        <f t="shared" si="10"/>
        <v>0</v>
      </c>
      <c r="K68" s="3832"/>
      <c r="L68" s="3833"/>
      <c r="M68" s="3833"/>
      <c r="N68" s="3834"/>
      <c r="O68" s="820">
        <f t="shared" si="11"/>
        <v>0</v>
      </c>
    </row>
    <row r="69" spans="3:15" ht="18.350000000000001" hidden="1" thickBot="1">
      <c r="C69" s="3830" t="str">
        <f>T('2 REPAIR ESTIMATOR'!D105:O105)</f>
        <v/>
      </c>
      <c r="D69" s="3830"/>
      <c r="E69" s="3830"/>
      <c r="F69" s="3830"/>
      <c r="G69" s="3831">
        <f>'2 REPAIR ESTIMATOR'!AQ105</f>
        <v>0</v>
      </c>
      <c r="H69" s="3831"/>
      <c r="I69" s="810">
        <f t="shared" si="9"/>
        <v>0</v>
      </c>
      <c r="J69" s="811">
        <f t="shared" si="10"/>
        <v>0</v>
      </c>
      <c r="K69" s="3832"/>
      <c r="L69" s="3833"/>
      <c r="M69" s="3833"/>
      <c r="N69" s="3834"/>
      <c r="O69" s="820">
        <f t="shared" si="11"/>
        <v>0</v>
      </c>
    </row>
    <row r="70" spans="3:15" ht="18.350000000000001" hidden="1" thickBot="1">
      <c r="C70" s="3830" t="str">
        <f>T('2 REPAIR ESTIMATOR'!D106:O106)</f>
        <v/>
      </c>
      <c r="D70" s="3830"/>
      <c r="E70" s="3830"/>
      <c r="F70" s="3830"/>
      <c r="G70" s="3831">
        <f>'2 REPAIR ESTIMATOR'!AQ106</f>
        <v>0</v>
      </c>
      <c r="H70" s="3831"/>
      <c r="I70" s="810">
        <f t="shared" si="9"/>
        <v>0</v>
      </c>
      <c r="J70" s="811">
        <f t="shared" si="10"/>
        <v>0</v>
      </c>
      <c r="K70" s="3832"/>
      <c r="L70" s="3833"/>
      <c r="M70" s="3833"/>
      <c r="N70" s="3834"/>
      <c r="O70" s="820">
        <f t="shared" si="11"/>
        <v>0</v>
      </c>
    </row>
    <row r="71" spans="3:15" ht="18.350000000000001" hidden="1" thickBot="1">
      <c r="C71" s="3830" t="str">
        <f>T('2 REPAIR ESTIMATOR'!D107:O107)</f>
        <v/>
      </c>
      <c r="D71" s="3830"/>
      <c r="E71" s="3830"/>
      <c r="F71" s="3830"/>
      <c r="G71" s="3831">
        <f>'2 REPAIR ESTIMATOR'!AQ107</f>
        <v>0</v>
      </c>
      <c r="H71" s="3831"/>
      <c r="I71" s="810">
        <f t="shared" si="9"/>
        <v>0</v>
      </c>
      <c r="J71" s="811">
        <f t="shared" si="10"/>
        <v>0</v>
      </c>
      <c r="K71" s="3832"/>
      <c r="L71" s="3833"/>
      <c r="M71" s="3833"/>
      <c r="N71" s="3834"/>
      <c r="O71" s="820">
        <f t="shared" si="11"/>
        <v>0</v>
      </c>
    </row>
    <row r="72" spans="3:15" ht="15.75" hidden="1" customHeight="1">
      <c r="C72" s="3830" t="str">
        <f>T('2 REPAIR ESTIMATOR'!D108:O108)</f>
        <v/>
      </c>
      <c r="D72" s="3830"/>
      <c r="E72" s="3830"/>
      <c r="F72" s="3830"/>
      <c r="G72" s="3831">
        <f>'2 REPAIR ESTIMATOR'!AQ108</f>
        <v>0</v>
      </c>
      <c r="H72" s="3831"/>
      <c r="I72" s="810">
        <f t="shared" si="9"/>
        <v>0</v>
      </c>
      <c r="J72" s="811">
        <f t="shared" si="10"/>
        <v>0</v>
      </c>
      <c r="K72" s="3832"/>
      <c r="L72" s="3833"/>
      <c r="M72" s="3833"/>
      <c r="N72" s="3834"/>
      <c r="O72" s="820">
        <f t="shared" si="11"/>
        <v>0</v>
      </c>
    </row>
    <row r="73" spans="3:15" ht="16.5" hidden="1" customHeight="1">
      <c r="C73" s="3830" t="str">
        <f>T('2 REPAIR ESTIMATOR'!D109:O109)</f>
        <v/>
      </c>
      <c r="D73" s="3830"/>
      <c r="E73" s="3830"/>
      <c r="F73" s="3830"/>
      <c r="G73" s="3831">
        <f>'2 REPAIR ESTIMATOR'!AQ109</f>
        <v>0</v>
      </c>
      <c r="H73" s="3831"/>
      <c r="I73" s="810">
        <f t="shared" si="9"/>
        <v>0</v>
      </c>
      <c r="J73" s="811">
        <f t="shared" si="10"/>
        <v>0</v>
      </c>
      <c r="K73" s="3832"/>
      <c r="L73" s="3833"/>
      <c r="M73" s="3833"/>
      <c r="N73" s="3834"/>
      <c r="O73" s="820">
        <f t="shared" si="11"/>
        <v>0</v>
      </c>
    </row>
    <row r="74" spans="3:15" ht="18.350000000000001" hidden="1" thickBot="1">
      <c r="C74" s="3830" t="str">
        <f>T('2 REPAIR ESTIMATOR'!D110:O110)</f>
        <v/>
      </c>
      <c r="D74" s="3830"/>
      <c r="E74" s="3830"/>
      <c r="F74" s="3830"/>
      <c r="G74" s="3831">
        <f>'2 REPAIR ESTIMATOR'!AQ110</f>
        <v>0</v>
      </c>
      <c r="H74" s="3831"/>
      <c r="I74" s="810">
        <f t="shared" si="9"/>
        <v>0</v>
      </c>
      <c r="J74" s="811">
        <f t="shared" si="10"/>
        <v>0</v>
      </c>
      <c r="K74" s="3832"/>
      <c r="L74" s="3833"/>
      <c r="M74" s="3833"/>
      <c r="N74" s="3834"/>
      <c r="O74" s="820">
        <f t="shared" si="11"/>
        <v>0</v>
      </c>
    </row>
    <row r="75" spans="3:15" ht="18.350000000000001" hidden="1" thickBot="1">
      <c r="C75" s="3830" t="str">
        <f>T('2 REPAIR ESTIMATOR'!D111:O111)</f>
        <v/>
      </c>
      <c r="D75" s="3830"/>
      <c r="E75" s="3830"/>
      <c r="F75" s="3830"/>
      <c r="G75" s="3831">
        <f>'2 REPAIR ESTIMATOR'!AQ111</f>
        <v>0</v>
      </c>
      <c r="H75" s="3831"/>
      <c r="I75" s="810">
        <f t="shared" si="9"/>
        <v>0</v>
      </c>
      <c r="J75" s="811">
        <f t="shared" si="10"/>
        <v>0</v>
      </c>
      <c r="K75" s="3832"/>
      <c r="L75" s="3833"/>
      <c r="M75" s="3833"/>
      <c r="N75" s="3834"/>
      <c r="O75" s="820">
        <f t="shared" si="11"/>
        <v>0</v>
      </c>
    </row>
    <row r="76" spans="3:15" ht="18.350000000000001" hidden="1" thickBot="1">
      <c r="C76" s="3830" t="str">
        <f>T('2 REPAIR ESTIMATOR'!D112:O112)</f>
        <v/>
      </c>
      <c r="D76" s="3830"/>
      <c r="E76" s="3830"/>
      <c r="F76" s="3830"/>
      <c r="G76" s="3831">
        <f>'2 REPAIR ESTIMATOR'!AQ112</f>
        <v>0</v>
      </c>
      <c r="H76" s="3831"/>
      <c r="I76" s="810">
        <f t="shared" si="9"/>
        <v>0</v>
      </c>
      <c r="J76" s="811">
        <f t="shared" si="10"/>
        <v>0</v>
      </c>
      <c r="K76" s="3832"/>
      <c r="L76" s="3833"/>
      <c r="M76" s="3833"/>
      <c r="N76" s="3834"/>
      <c r="O76" s="820">
        <f t="shared" si="11"/>
        <v>0</v>
      </c>
    </row>
    <row r="77" spans="3:15" ht="18.350000000000001" hidden="1" thickBot="1">
      <c r="C77" s="3830" t="str">
        <f>T('2 REPAIR ESTIMATOR'!D113:O113)</f>
        <v/>
      </c>
      <c r="D77" s="3830"/>
      <c r="E77" s="3830"/>
      <c r="F77" s="3830"/>
      <c r="G77" s="3831">
        <f>'2 REPAIR ESTIMATOR'!AQ113</f>
        <v>0</v>
      </c>
      <c r="H77" s="3831"/>
      <c r="I77" s="810">
        <f t="shared" si="9"/>
        <v>0</v>
      </c>
      <c r="J77" s="811">
        <f t="shared" si="10"/>
        <v>0</v>
      </c>
      <c r="K77" s="3832"/>
      <c r="L77" s="3833"/>
      <c r="M77" s="3833"/>
      <c r="N77" s="3834"/>
      <c r="O77" s="820">
        <f t="shared" si="11"/>
        <v>0</v>
      </c>
    </row>
    <row r="78" spans="3:15" ht="18.350000000000001" hidden="1" thickBot="1">
      <c r="C78" s="3830" t="str">
        <f>T('2 REPAIR ESTIMATOR'!D114:O114)</f>
        <v/>
      </c>
      <c r="D78" s="3830"/>
      <c r="E78" s="3830"/>
      <c r="F78" s="3830"/>
      <c r="G78" s="3831">
        <f>'2 REPAIR ESTIMATOR'!AQ114</f>
        <v>0</v>
      </c>
      <c r="H78" s="3831"/>
      <c r="I78" s="810">
        <f t="shared" si="9"/>
        <v>0</v>
      </c>
      <c r="J78" s="811">
        <f t="shared" si="10"/>
        <v>0</v>
      </c>
      <c r="K78" s="3832"/>
      <c r="L78" s="3833"/>
      <c r="M78" s="3833"/>
      <c r="N78" s="3834"/>
      <c r="O78" s="820">
        <f t="shared" si="11"/>
        <v>0</v>
      </c>
    </row>
    <row r="79" spans="3:15" ht="18.350000000000001" hidden="1" thickBot="1">
      <c r="C79" s="3830" t="str">
        <f>T('2 REPAIR ESTIMATOR'!D115:O115)</f>
        <v/>
      </c>
      <c r="D79" s="3830"/>
      <c r="E79" s="3830"/>
      <c r="F79" s="3830"/>
      <c r="G79" s="3831">
        <f>'2 REPAIR ESTIMATOR'!AQ115</f>
        <v>0</v>
      </c>
      <c r="H79" s="3831"/>
      <c r="I79" s="810">
        <f t="shared" si="9"/>
        <v>0</v>
      </c>
      <c r="J79" s="811">
        <f t="shared" si="10"/>
        <v>0</v>
      </c>
      <c r="K79" s="3832"/>
      <c r="L79" s="3833"/>
      <c r="M79" s="3833"/>
      <c r="N79" s="3834"/>
      <c r="O79" s="820">
        <f t="shared" si="11"/>
        <v>0</v>
      </c>
    </row>
    <row r="80" spans="3:15" ht="18.350000000000001" hidden="1" thickBot="1">
      <c r="C80" s="3830" t="str">
        <f>T('2 REPAIR ESTIMATOR'!D116:O116)</f>
        <v/>
      </c>
      <c r="D80" s="3830"/>
      <c r="E80" s="3830"/>
      <c r="F80" s="3830"/>
      <c r="G80" s="3831">
        <f>'2 REPAIR ESTIMATOR'!AQ116</f>
        <v>0</v>
      </c>
      <c r="H80" s="3831"/>
      <c r="I80" s="810">
        <f t="shared" si="9"/>
        <v>0</v>
      </c>
      <c r="J80" s="811">
        <f t="shared" si="10"/>
        <v>0</v>
      </c>
      <c r="K80" s="3832"/>
      <c r="L80" s="3833"/>
      <c r="M80" s="3833"/>
      <c r="N80" s="3834"/>
      <c r="O80" s="820">
        <f t="shared" si="11"/>
        <v>0</v>
      </c>
    </row>
    <row r="81" spans="3:15" ht="18.350000000000001" hidden="1" thickBot="1">
      <c r="C81" s="3830" t="str">
        <f>T('2 REPAIR ESTIMATOR'!D117:O117)</f>
        <v/>
      </c>
      <c r="D81" s="3830"/>
      <c r="E81" s="3830"/>
      <c r="F81" s="3830"/>
      <c r="G81" s="3831">
        <f>'2 REPAIR ESTIMATOR'!AQ117</f>
        <v>0</v>
      </c>
      <c r="H81" s="3831"/>
      <c r="I81" s="810">
        <f t="shared" si="9"/>
        <v>0</v>
      </c>
      <c r="J81" s="811">
        <f t="shared" si="10"/>
        <v>0</v>
      </c>
      <c r="K81" s="3832"/>
      <c r="L81" s="3833"/>
      <c r="M81" s="3833"/>
      <c r="N81" s="3834"/>
      <c r="O81" s="820">
        <f t="shared" si="11"/>
        <v>0</v>
      </c>
    </row>
    <row r="82" spans="3:15" ht="18.350000000000001" hidden="1" thickBot="1">
      <c r="C82" s="3830" t="str">
        <f>T('2 REPAIR ESTIMATOR'!D118:O118)</f>
        <v/>
      </c>
      <c r="D82" s="3830"/>
      <c r="E82" s="3830"/>
      <c r="F82" s="3830"/>
      <c r="G82" s="3831">
        <f>'2 REPAIR ESTIMATOR'!AQ118</f>
        <v>0</v>
      </c>
      <c r="H82" s="3831"/>
      <c r="I82" s="810">
        <f t="shared" si="9"/>
        <v>0</v>
      </c>
      <c r="J82" s="811">
        <f t="shared" si="10"/>
        <v>0</v>
      </c>
      <c r="K82" s="3832"/>
      <c r="L82" s="3833"/>
      <c r="M82" s="3833"/>
      <c r="N82" s="3834"/>
      <c r="O82" s="820">
        <f t="shared" si="11"/>
        <v>0</v>
      </c>
    </row>
    <row r="83" spans="3:15" ht="18.350000000000001" hidden="1" thickBot="1">
      <c r="C83" s="3830" t="str">
        <f>T('2 REPAIR ESTIMATOR'!D119:O119)</f>
        <v/>
      </c>
      <c r="D83" s="3830"/>
      <c r="E83" s="3830"/>
      <c r="F83" s="3830"/>
      <c r="G83" s="3831">
        <f>'2 REPAIR ESTIMATOR'!AQ119</f>
        <v>0</v>
      </c>
      <c r="H83" s="3831"/>
      <c r="I83" s="810">
        <f t="shared" si="9"/>
        <v>0</v>
      </c>
      <c r="J83" s="811">
        <f t="shared" si="10"/>
        <v>0</v>
      </c>
      <c r="K83" s="3832"/>
      <c r="L83" s="3833"/>
      <c r="M83" s="3833"/>
      <c r="N83" s="3834"/>
      <c r="O83" s="820">
        <f t="shared" si="11"/>
        <v>0</v>
      </c>
    </row>
    <row r="84" spans="3:15" ht="18.350000000000001" hidden="1" thickBot="1">
      <c r="C84" s="3830" t="str">
        <f>T('2 REPAIR ESTIMATOR'!D120:O120)</f>
        <v/>
      </c>
      <c r="D84" s="3830"/>
      <c r="E84" s="3830"/>
      <c r="F84" s="3830"/>
      <c r="G84" s="3831">
        <f>'2 REPAIR ESTIMATOR'!AQ120</f>
        <v>0</v>
      </c>
      <c r="H84" s="3831"/>
      <c r="I84" s="810">
        <f t="shared" si="9"/>
        <v>0</v>
      </c>
      <c r="J84" s="811">
        <f t="shared" si="10"/>
        <v>0</v>
      </c>
      <c r="K84" s="3832"/>
      <c r="L84" s="3833"/>
      <c r="M84" s="3833"/>
      <c r="N84" s="3834"/>
      <c r="O84" s="820">
        <f t="shared" si="11"/>
        <v>0</v>
      </c>
    </row>
    <row r="85" spans="3:15" ht="18.350000000000001" hidden="1" thickBot="1">
      <c r="C85" s="3830" t="str">
        <f>T('2 REPAIR ESTIMATOR'!D121:O121)</f>
        <v/>
      </c>
      <c r="D85" s="3830"/>
      <c r="E85" s="3830"/>
      <c r="F85" s="3830"/>
      <c r="G85" s="3831">
        <f>'2 REPAIR ESTIMATOR'!AQ121</f>
        <v>0</v>
      </c>
      <c r="H85" s="3831"/>
      <c r="I85" s="810">
        <f t="shared" si="9"/>
        <v>0</v>
      </c>
      <c r="J85" s="811">
        <f t="shared" si="10"/>
        <v>0</v>
      </c>
      <c r="K85" s="3832"/>
      <c r="L85" s="3833"/>
      <c r="M85" s="3833"/>
      <c r="N85" s="3834"/>
      <c r="O85" s="820">
        <f t="shared" si="11"/>
        <v>0</v>
      </c>
    </row>
    <row r="86" spans="3:15" ht="18.350000000000001" hidden="1" thickBot="1">
      <c r="C86" s="3830" t="str">
        <f>T('2 REPAIR ESTIMATOR'!D122:O122)</f>
        <v/>
      </c>
      <c r="D86" s="3830"/>
      <c r="E86" s="3830"/>
      <c r="F86" s="3830"/>
      <c r="G86" s="3831">
        <f>'2 REPAIR ESTIMATOR'!AQ122</f>
        <v>0</v>
      </c>
      <c r="H86" s="3831"/>
      <c r="I86" s="810">
        <f t="shared" si="9"/>
        <v>0</v>
      </c>
      <c r="J86" s="811">
        <f t="shared" si="10"/>
        <v>0</v>
      </c>
      <c r="K86" s="3832"/>
      <c r="L86" s="3833"/>
      <c r="M86" s="3833"/>
      <c r="N86" s="3834"/>
      <c r="O86" s="820">
        <f t="shared" si="11"/>
        <v>0</v>
      </c>
    </row>
    <row r="87" spans="3:15" ht="18.350000000000001" hidden="1" thickBot="1">
      <c r="C87" s="3830" t="str">
        <f>T('2 REPAIR ESTIMATOR'!D123:O123)</f>
        <v/>
      </c>
      <c r="D87" s="3830"/>
      <c r="E87" s="3830"/>
      <c r="F87" s="3830"/>
      <c r="G87" s="3831">
        <f>'2 REPAIR ESTIMATOR'!AQ123</f>
        <v>0</v>
      </c>
      <c r="H87" s="3831"/>
      <c r="I87" s="810">
        <f t="shared" si="9"/>
        <v>0</v>
      </c>
      <c r="J87" s="811">
        <f t="shared" si="10"/>
        <v>0</v>
      </c>
      <c r="K87" s="3832"/>
      <c r="L87" s="3833"/>
      <c r="M87" s="3833"/>
      <c r="N87" s="3834"/>
      <c r="O87" s="820">
        <f t="shared" si="11"/>
        <v>0</v>
      </c>
    </row>
    <row r="88" spans="3:15" ht="18.350000000000001" hidden="1" thickBot="1">
      <c r="C88" s="3830" t="str">
        <f>T('2 REPAIR ESTIMATOR'!D124:O124)</f>
        <v/>
      </c>
      <c r="D88" s="3830"/>
      <c r="E88" s="3830"/>
      <c r="F88" s="3830"/>
      <c r="G88" s="3831">
        <f>'2 REPAIR ESTIMATOR'!AQ124</f>
        <v>0</v>
      </c>
      <c r="H88" s="3831"/>
      <c r="I88" s="810">
        <f t="shared" si="9"/>
        <v>0</v>
      </c>
      <c r="J88" s="811">
        <f t="shared" si="10"/>
        <v>0</v>
      </c>
      <c r="K88" s="3832"/>
      <c r="L88" s="3833"/>
      <c r="M88" s="3833"/>
      <c r="N88" s="3834"/>
      <c r="O88" s="820">
        <f t="shared" si="11"/>
        <v>0</v>
      </c>
    </row>
    <row r="89" spans="3:15" ht="18.350000000000001" hidden="1" thickBot="1">
      <c r="C89" s="3830" t="str">
        <f>T('2 REPAIR ESTIMATOR'!D125:O125)</f>
        <v/>
      </c>
      <c r="D89" s="3830"/>
      <c r="E89" s="3830"/>
      <c r="F89" s="3830"/>
      <c r="G89" s="3831">
        <f>'2 REPAIR ESTIMATOR'!AQ125</f>
        <v>0</v>
      </c>
      <c r="H89" s="3831"/>
      <c r="I89" s="810">
        <f t="shared" si="9"/>
        <v>0</v>
      </c>
      <c r="J89" s="811">
        <f t="shared" si="10"/>
        <v>0</v>
      </c>
      <c r="K89" s="3832"/>
      <c r="L89" s="3833"/>
      <c r="M89" s="3833"/>
      <c r="N89" s="3834"/>
      <c r="O89" s="820">
        <f t="shared" si="11"/>
        <v>0</v>
      </c>
    </row>
    <row r="90" spans="3:15" ht="18.350000000000001" hidden="1" thickBot="1">
      <c r="C90" s="3830" t="str">
        <f>T('2 REPAIR ESTIMATOR'!D126:O126)</f>
        <v/>
      </c>
      <c r="D90" s="3830"/>
      <c r="E90" s="3830"/>
      <c r="F90" s="3830"/>
      <c r="G90" s="3831">
        <f>'2 REPAIR ESTIMATOR'!AQ126</f>
        <v>0</v>
      </c>
      <c r="H90" s="3831"/>
      <c r="I90" s="810">
        <f t="shared" si="9"/>
        <v>0</v>
      </c>
      <c r="J90" s="811">
        <f t="shared" si="10"/>
        <v>0</v>
      </c>
      <c r="K90" s="3832"/>
      <c r="L90" s="3833"/>
      <c r="M90" s="3833"/>
      <c r="N90" s="3834"/>
      <c r="O90" s="820">
        <f t="shared" si="11"/>
        <v>0</v>
      </c>
    </row>
    <row r="91" spans="3:15" ht="18.350000000000001" hidden="1" thickBot="1">
      <c r="C91" s="3835" t="str">
        <f>T('2 REPAIR ESTIMATOR'!D127:O127)</f>
        <v/>
      </c>
      <c r="D91" s="3835"/>
      <c r="E91" s="3835"/>
      <c r="F91" s="3835"/>
      <c r="G91" s="3836">
        <f>'2 REPAIR ESTIMATOR'!AQ127</f>
        <v>0</v>
      </c>
      <c r="H91" s="3836"/>
      <c r="I91" s="813">
        <f t="shared" si="9"/>
        <v>0</v>
      </c>
      <c r="J91" s="814">
        <f t="shared" si="10"/>
        <v>0</v>
      </c>
      <c r="K91" s="3837"/>
      <c r="L91" s="3838"/>
      <c r="M91" s="3838"/>
      <c r="N91" s="3839"/>
      <c r="O91" s="823">
        <f t="shared" si="11"/>
        <v>0</v>
      </c>
    </row>
    <row r="92" spans="3:15" ht="18.350000000000001" thickTop="1">
      <c r="C92" s="3825" t="str">
        <f>T('2 REPAIR ESTIMATOR'!AC129)</f>
        <v>GENERAL CONDITIONS TOTAL</v>
      </c>
      <c r="D92" s="3825"/>
      <c r="E92" s="3825"/>
      <c r="F92" s="3825"/>
      <c r="G92" s="3826">
        <f>SUM(G52:H91)</f>
        <v>0</v>
      </c>
      <c r="H92" s="3826"/>
      <c r="I92" s="818">
        <f>SUM(I52:I91)</f>
        <v>0</v>
      </c>
      <c r="J92" s="819">
        <f>SUM(J52:J91)</f>
        <v>0</v>
      </c>
      <c r="K92" s="3827"/>
      <c r="L92" s="3828"/>
      <c r="M92" s="3828"/>
      <c r="N92" s="3829"/>
      <c r="O92" s="821">
        <f>SUM(O52:O91)</f>
        <v>1</v>
      </c>
    </row>
    <row r="93" spans="3:15" ht="8.85" customHeight="1">
      <c r="C93" s="836"/>
      <c r="D93" s="836"/>
      <c r="E93" s="836"/>
      <c r="F93" s="836"/>
      <c r="G93" s="837"/>
      <c r="H93" s="837"/>
      <c r="I93" s="837"/>
      <c r="J93" s="837"/>
      <c r="K93" s="837"/>
      <c r="L93" s="837"/>
      <c r="M93" s="837"/>
      <c r="N93" s="837"/>
      <c r="O93" s="822">
        <f>O92</f>
        <v>1</v>
      </c>
    </row>
    <row r="94" spans="3:15" ht="22.5" hidden="1" customHeight="1">
      <c r="C94" s="3840" t="str">
        <f>T('2 REPAIR ESTIMATOR'!D132:O132)</f>
        <v>DEMOLITION</v>
      </c>
      <c r="D94" s="3840"/>
      <c r="E94" s="3840"/>
      <c r="F94" s="3841"/>
      <c r="G94" s="3845"/>
      <c r="H94" s="3846"/>
      <c r="I94" s="831"/>
      <c r="J94" s="831"/>
      <c r="K94" s="3844"/>
      <c r="L94" s="3844"/>
      <c r="M94" s="3844"/>
      <c r="N94" s="3845"/>
      <c r="O94" s="820">
        <f>SUM(O95:O134)</f>
        <v>0</v>
      </c>
    </row>
    <row r="95" spans="3:15" ht="18" hidden="1">
      <c r="C95" s="3858" t="str">
        <f>T('2 REPAIR ESTIMATOR'!D133:O133)</f>
        <v>Demolition</v>
      </c>
      <c r="D95" s="3858"/>
      <c r="E95" s="3858"/>
      <c r="F95" s="3858"/>
      <c r="G95" s="3831">
        <f>'2 REPAIR ESTIMATOR'!AQ133</f>
        <v>0</v>
      </c>
      <c r="H95" s="3831"/>
      <c r="I95" s="810">
        <f t="shared" ref="I95:I134" si="12">IFERROR(G95/Property_Size,0)</f>
        <v>0</v>
      </c>
      <c r="J95" s="811">
        <f t="shared" ref="J95:J134" si="13">IFERROR(G95/Total_Project_Costs_Result,0)</f>
        <v>0</v>
      </c>
      <c r="K95" s="3832"/>
      <c r="L95" s="3833"/>
      <c r="M95" s="3833"/>
      <c r="N95" s="3834"/>
      <c r="O95" s="820">
        <f>IF(G95&gt;0,1,0)</f>
        <v>0</v>
      </c>
    </row>
    <row r="96" spans="3:15" ht="18" hidden="1">
      <c r="C96" s="3859" t="str">
        <f>T('2 REPAIR ESTIMATOR'!D134:O134)</f>
        <v>Demo bid/allowance</v>
      </c>
      <c r="D96" s="3859"/>
      <c r="E96" s="3859"/>
      <c r="F96" s="3859"/>
      <c r="G96" s="3831">
        <f>'2 REPAIR ESTIMATOR'!AQ134</f>
        <v>0</v>
      </c>
      <c r="H96" s="3831"/>
      <c r="I96" s="810">
        <f t="shared" si="12"/>
        <v>0</v>
      </c>
      <c r="J96" s="811">
        <f t="shared" si="13"/>
        <v>0</v>
      </c>
      <c r="K96" s="3832"/>
      <c r="L96" s="3833"/>
      <c r="M96" s="3833"/>
      <c r="N96" s="3834"/>
      <c r="O96" s="820">
        <f t="shared" ref="O96:O134" si="14">IF(G96&gt;0,1,0)</f>
        <v>0</v>
      </c>
    </row>
    <row r="97" spans="3:15" ht="18" hidden="1">
      <c r="C97" s="3859" t="str">
        <f>T('2 REPAIR ESTIMATOR'!D135:O135)</f>
        <v>Demolition work per hour</v>
      </c>
      <c r="D97" s="3859"/>
      <c r="E97" s="3859"/>
      <c r="F97" s="3859"/>
      <c r="G97" s="3831">
        <f>'2 REPAIR ESTIMATOR'!AQ135</f>
        <v>0</v>
      </c>
      <c r="H97" s="3831"/>
      <c r="I97" s="810">
        <f t="shared" si="12"/>
        <v>0</v>
      </c>
      <c r="J97" s="811">
        <f t="shared" si="13"/>
        <v>0</v>
      </c>
      <c r="K97" s="3832"/>
      <c r="L97" s="3833"/>
      <c r="M97" s="3833"/>
      <c r="N97" s="3834"/>
      <c r="O97" s="820">
        <f t="shared" si="14"/>
        <v>0</v>
      </c>
    </row>
    <row r="98" spans="3:15" ht="18" hidden="1">
      <c r="C98" s="3859" t="str">
        <f>T('2 REPAIR ESTIMATOR'!D136:O136)</f>
        <v>Room demolition, typical room</v>
      </c>
      <c r="D98" s="3859"/>
      <c r="E98" s="3859"/>
      <c r="F98" s="3859"/>
      <c r="G98" s="3831">
        <f>'2 REPAIR ESTIMATOR'!AQ136</f>
        <v>0</v>
      </c>
      <c r="H98" s="3831"/>
      <c r="I98" s="810">
        <f t="shared" si="12"/>
        <v>0</v>
      </c>
      <c r="J98" s="811">
        <f t="shared" si="13"/>
        <v>0</v>
      </c>
      <c r="K98" s="3832"/>
      <c r="L98" s="3833"/>
      <c r="M98" s="3833"/>
      <c r="N98" s="3834"/>
      <c r="O98" s="820">
        <f t="shared" si="14"/>
        <v>0</v>
      </c>
    </row>
    <row r="99" spans="3:15" ht="18" hidden="1">
      <c r="C99" s="3859" t="str">
        <f>T('2 REPAIR ESTIMATOR'!D137:O137)</f>
        <v>Room demolition, bathroom</v>
      </c>
      <c r="D99" s="3859"/>
      <c r="E99" s="3859"/>
      <c r="F99" s="3859"/>
      <c r="G99" s="3831">
        <f>'2 REPAIR ESTIMATOR'!AQ137</f>
        <v>0</v>
      </c>
      <c r="H99" s="3831"/>
      <c r="I99" s="810">
        <f t="shared" si="12"/>
        <v>0</v>
      </c>
      <c r="J99" s="811">
        <f t="shared" si="13"/>
        <v>0</v>
      </c>
      <c r="K99" s="3832"/>
      <c r="L99" s="3833"/>
      <c r="M99" s="3833"/>
      <c r="N99" s="3834"/>
      <c r="O99" s="820">
        <f t="shared" si="14"/>
        <v>0</v>
      </c>
    </row>
    <row r="100" spans="3:15" ht="18" hidden="1">
      <c r="C100" s="3859" t="str">
        <f>T('2 REPAIR ESTIMATOR'!D138:O138)</f>
        <v>Room demolition, kitchen</v>
      </c>
      <c r="D100" s="3859"/>
      <c r="E100" s="3859"/>
      <c r="F100" s="3859"/>
      <c r="G100" s="3831">
        <f>'2 REPAIR ESTIMATOR'!AQ138</f>
        <v>0</v>
      </c>
      <c r="H100" s="3831"/>
      <c r="I100" s="810">
        <f t="shared" si="12"/>
        <v>0</v>
      </c>
      <c r="J100" s="811">
        <f t="shared" si="13"/>
        <v>0</v>
      </c>
      <c r="K100" s="3832"/>
      <c r="L100" s="3833"/>
      <c r="M100" s="3833"/>
      <c r="N100" s="3834"/>
      <c r="O100" s="820">
        <f t="shared" si="14"/>
        <v>0</v>
      </c>
    </row>
    <row r="101" spans="3:15" ht="18" hidden="1">
      <c r="C101" s="3859" t="str">
        <f>T('2 REPAIR ESTIMATOR'!D139:O139)</f>
        <v>Building demolition, 1-story wood-framed</v>
      </c>
      <c r="D101" s="3859"/>
      <c r="E101" s="3859"/>
      <c r="F101" s="3859"/>
      <c r="G101" s="3831">
        <f>'2 REPAIR ESTIMATOR'!AQ139</f>
        <v>0</v>
      </c>
      <c r="H101" s="3831"/>
      <c r="I101" s="810">
        <f t="shared" si="12"/>
        <v>0</v>
      </c>
      <c r="J101" s="811">
        <f t="shared" si="13"/>
        <v>0</v>
      </c>
      <c r="K101" s="3832"/>
      <c r="L101" s="3833"/>
      <c r="M101" s="3833"/>
      <c r="N101" s="3834"/>
      <c r="O101" s="820">
        <f t="shared" si="14"/>
        <v>0</v>
      </c>
    </row>
    <row r="102" spans="3:15" ht="18" hidden="1">
      <c r="C102" s="3859" t="str">
        <f>T('2 REPAIR ESTIMATOR'!D140:O140)</f>
        <v>Building demolition, 2-story wood framed</v>
      </c>
      <c r="D102" s="3859"/>
      <c r="E102" s="3859"/>
      <c r="F102" s="3859"/>
      <c r="G102" s="3831">
        <f>'2 REPAIR ESTIMATOR'!AQ140</f>
        <v>0</v>
      </c>
      <c r="H102" s="3831"/>
      <c r="I102" s="810">
        <f t="shared" si="12"/>
        <v>0</v>
      </c>
      <c r="J102" s="811">
        <f t="shared" si="13"/>
        <v>0</v>
      </c>
      <c r="K102" s="3832"/>
      <c r="L102" s="3833"/>
      <c r="M102" s="3833"/>
      <c r="N102" s="3834"/>
      <c r="O102" s="820">
        <f t="shared" si="14"/>
        <v>0</v>
      </c>
    </row>
    <row r="103" spans="3:15" ht="18" hidden="1">
      <c r="C103" s="3859" t="str">
        <f>T('2 REPAIR ESTIMATOR'!D141:O141)</f>
        <v>Building demolition, masonry</v>
      </c>
      <c r="D103" s="3859"/>
      <c r="E103" s="3859"/>
      <c r="F103" s="3859"/>
      <c r="G103" s="3831">
        <f>'2 REPAIR ESTIMATOR'!AQ141</f>
        <v>0</v>
      </c>
      <c r="H103" s="3831"/>
      <c r="I103" s="810">
        <f t="shared" si="12"/>
        <v>0</v>
      </c>
      <c r="J103" s="811">
        <f t="shared" si="13"/>
        <v>0</v>
      </c>
      <c r="K103" s="3832"/>
      <c r="L103" s="3833"/>
      <c r="M103" s="3833"/>
      <c r="N103" s="3834"/>
      <c r="O103" s="820">
        <f t="shared" si="14"/>
        <v>0</v>
      </c>
    </row>
    <row r="104" spans="3:15" ht="18" hidden="1">
      <c r="C104" s="3859" t="str">
        <f>T('2 REPAIR ESTIMATOR'!D142:O142)</f>
        <v>Building demolition, steel/concrete</v>
      </c>
      <c r="D104" s="3859"/>
      <c r="E104" s="3859"/>
      <c r="F104" s="3859"/>
      <c r="G104" s="3831">
        <f>'2 REPAIR ESTIMATOR'!AQ142</f>
        <v>0</v>
      </c>
      <c r="H104" s="3831"/>
      <c r="I104" s="810">
        <f t="shared" si="12"/>
        <v>0</v>
      </c>
      <c r="J104" s="811">
        <f t="shared" si="13"/>
        <v>0</v>
      </c>
      <c r="K104" s="3832"/>
      <c r="L104" s="3833"/>
      <c r="M104" s="3833"/>
      <c r="N104" s="3834"/>
      <c r="O104" s="820">
        <f t="shared" si="14"/>
        <v>0</v>
      </c>
    </row>
    <row r="105" spans="3:15" ht="18" hidden="1">
      <c r="C105" s="3859" t="str">
        <f>T('2 REPAIR ESTIMATOR'!D143:O143)</f>
        <v>Concrete slab demolition, 4"-6"</v>
      </c>
      <c r="D105" s="3859"/>
      <c r="E105" s="3859"/>
      <c r="F105" s="3859"/>
      <c r="G105" s="3831">
        <f>'2 REPAIR ESTIMATOR'!AQ143</f>
        <v>0</v>
      </c>
      <c r="H105" s="3831"/>
      <c r="I105" s="810">
        <f t="shared" si="12"/>
        <v>0</v>
      </c>
      <c r="J105" s="811">
        <f t="shared" si="13"/>
        <v>0</v>
      </c>
      <c r="K105" s="3832"/>
      <c r="L105" s="3833"/>
      <c r="M105" s="3833"/>
      <c r="N105" s="3834"/>
      <c r="O105" s="820">
        <f t="shared" si="14"/>
        <v>0</v>
      </c>
    </row>
    <row r="106" spans="3:15" ht="18" hidden="1">
      <c r="C106" s="3859" t="str">
        <f>T('2 REPAIR ESTIMATOR'!D144:O144)</f>
        <v/>
      </c>
      <c r="D106" s="3859"/>
      <c r="E106" s="3859"/>
      <c r="F106" s="3859"/>
      <c r="G106" s="3831">
        <f>'2 REPAIR ESTIMATOR'!AQ144</f>
        <v>0</v>
      </c>
      <c r="H106" s="3831"/>
      <c r="I106" s="810">
        <f t="shared" si="12"/>
        <v>0</v>
      </c>
      <c r="J106" s="811">
        <f t="shared" si="13"/>
        <v>0</v>
      </c>
      <c r="K106" s="3832"/>
      <c r="L106" s="3833"/>
      <c r="M106" s="3833"/>
      <c r="N106" s="3834"/>
      <c r="O106" s="820">
        <f t="shared" si="14"/>
        <v>0</v>
      </c>
    </row>
    <row r="107" spans="3:15" ht="18" hidden="1">
      <c r="C107" s="3859" t="str">
        <f>T('2 REPAIR ESTIMATOR'!D145:O145)</f>
        <v/>
      </c>
      <c r="D107" s="3859"/>
      <c r="E107" s="3859"/>
      <c r="F107" s="3859"/>
      <c r="G107" s="3831">
        <f>'2 REPAIR ESTIMATOR'!AQ145</f>
        <v>0</v>
      </c>
      <c r="H107" s="3831"/>
      <c r="I107" s="810">
        <f t="shared" si="12"/>
        <v>0</v>
      </c>
      <c r="J107" s="811">
        <f t="shared" si="13"/>
        <v>0</v>
      </c>
      <c r="K107" s="3832"/>
      <c r="L107" s="3833"/>
      <c r="M107" s="3833"/>
      <c r="N107" s="3834"/>
      <c r="O107" s="820">
        <f t="shared" si="14"/>
        <v>0</v>
      </c>
    </row>
    <row r="108" spans="3:15" ht="18" hidden="1">
      <c r="C108" s="3858" t="str">
        <f>T('2 REPAIR ESTIMATOR'!D146:O146)</f>
        <v>Abatement</v>
      </c>
      <c r="D108" s="3858"/>
      <c r="E108" s="3858"/>
      <c r="F108" s="3858"/>
      <c r="G108" s="3831">
        <f>'2 REPAIR ESTIMATOR'!AQ146</f>
        <v>0</v>
      </c>
      <c r="H108" s="3831"/>
      <c r="I108" s="810">
        <f t="shared" si="12"/>
        <v>0</v>
      </c>
      <c r="J108" s="811">
        <f t="shared" si="13"/>
        <v>0</v>
      </c>
      <c r="K108" s="3832"/>
      <c r="L108" s="3833"/>
      <c r="M108" s="3833"/>
      <c r="N108" s="3834"/>
      <c r="O108" s="820">
        <f t="shared" si="14"/>
        <v>0</v>
      </c>
    </row>
    <row r="109" spans="3:15" ht="18" hidden="1">
      <c r="C109" s="3859" t="str">
        <f>T('2 REPAIR ESTIMATOR'!D147:O147)</f>
        <v>Asbestos bid/allowance</v>
      </c>
      <c r="D109" s="3859"/>
      <c r="E109" s="3859"/>
      <c r="F109" s="3859"/>
      <c r="G109" s="3831">
        <f>'2 REPAIR ESTIMATOR'!AQ147</f>
        <v>0</v>
      </c>
      <c r="H109" s="3831"/>
      <c r="I109" s="810">
        <f t="shared" si="12"/>
        <v>0</v>
      </c>
      <c r="J109" s="811">
        <f t="shared" si="13"/>
        <v>0</v>
      </c>
      <c r="K109" s="3832"/>
      <c r="L109" s="3833"/>
      <c r="M109" s="3833"/>
      <c r="N109" s="3834"/>
      <c r="O109" s="820">
        <f t="shared" si="14"/>
        <v>0</v>
      </c>
    </row>
    <row r="110" spans="3:15" ht="18" hidden="1">
      <c r="C110" s="3859" t="str">
        <f>T('2 REPAIR ESTIMATOR'!D148:O148)</f>
        <v>Asbestos testing</v>
      </c>
      <c r="D110" s="3859"/>
      <c r="E110" s="3859"/>
      <c r="F110" s="3859"/>
      <c r="G110" s="3831">
        <f>'2 REPAIR ESTIMATOR'!AQ148</f>
        <v>0</v>
      </c>
      <c r="H110" s="3831"/>
      <c r="I110" s="810">
        <f t="shared" si="12"/>
        <v>0</v>
      </c>
      <c r="J110" s="811">
        <f t="shared" si="13"/>
        <v>0</v>
      </c>
      <c r="K110" s="3832"/>
      <c r="L110" s="3833"/>
      <c r="M110" s="3833"/>
      <c r="N110" s="3834"/>
      <c r="O110" s="820">
        <f t="shared" si="14"/>
        <v>0</v>
      </c>
    </row>
    <row r="111" spans="3:15" ht="18" hidden="1">
      <c r="C111" s="3859" t="str">
        <f>T('2 REPAIR ESTIMATOR'!D149:O149)</f>
        <v>Asbestos abatement, minimum charge</v>
      </c>
      <c r="D111" s="3859"/>
      <c r="E111" s="3859"/>
      <c r="F111" s="3859"/>
      <c r="G111" s="3831">
        <f>'2 REPAIR ESTIMATOR'!AQ149</f>
        <v>0</v>
      </c>
      <c r="H111" s="3831"/>
      <c r="I111" s="810">
        <f t="shared" si="12"/>
        <v>0</v>
      </c>
      <c r="J111" s="811">
        <f t="shared" si="13"/>
        <v>0</v>
      </c>
      <c r="K111" s="3832"/>
      <c r="L111" s="3833"/>
      <c r="M111" s="3833"/>
      <c r="N111" s="3834"/>
      <c r="O111" s="820">
        <f t="shared" si="14"/>
        <v>0</v>
      </c>
    </row>
    <row r="112" spans="3:15" ht="18" hidden="1">
      <c r="C112" s="3859" t="str">
        <f>T('2 REPAIR ESTIMATOR'!D150:O150)</f>
        <v>Mold, minimum charge</v>
      </c>
      <c r="D112" s="3859"/>
      <c r="E112" s="3859"/>
      <c r="F112" s="3859"/>
      <c r="G112" s="3831">
        <f>'2 REPAIR ESTIMATOR'!AQ150</f>
        <v>0</v>
      </c>
      <c r="H112" s="3831"/>
      <c r="I112" s="810">
        <f t="shared" si="12"/>
        <v>0</v>
      </c>
      <c r="J112" s="811">
        <f t="shared" si="13"/>
        <v>0</v>
      </c>
      <c r="K112" s="3832"/>
      <c r="L112" s="3833"/>
      <c r="M112" s="3833"/>
      <c r="N112" s="3834"/>
      <c r="O112" s="820">
        <f t="shared" si="14"/>
        <v>0</v>
      </c>
    </row>
    <row r="113" spans="3:15" ht="18" hidden="1">
      <c r="C113" s="3859" t="str">
        <f>T('2 REPAIR ESTIMATOR'!D151:O151)</f>
        <v/>
      </c>
      <c r="D113" s="3859"/>
      <c r="E113" s="3859"/>
      <c r="F113" s="3859"/>
      <c r="G113" s="3831">
        <f>'2 REPAIR ESTIMATOR'!AQ151</f>
        <v>0</v>
      </c>
      <c r="H113" s="3831"/>
      <c r="I113" s="810">
        <f t="shared" si="12"/>
        <v>0</v>
      </c>
      <c r="J113" s="811">
        <f t="shared" si="13"/>
        <v>0</v>
      </c>
      <c r="K113" s="3832"/>
      <c r="L113" s="3833"/>
      <c r="M113" s="3833"/>
      <c r="N113" s="3834"/>
      <c r="O113" s="820">
        <f t="shared" si="14"/>
        <v>0</v>
      </c>
    </row>
    <row r="114" spans="3:15" ht="18" hidden="1">
      <c r="C114" s="3859" t="str">
        <f>T('2 REPAIR ESTIMATOR'!D152:O152)</f>
        <v/>
      </c>
      <c r="D114" s="3859"/>
      <c r="E114" s="3859"/>
      <c r="F114" s="3859"/>
      <c r="G114" s="3831">
        <f>'2 REPAIR ESTIMATOR'!AQ152</f>
        <v>0</v>
      </c>
      <c r="H114" s="3831"/>
      <c r="I114" s="810">
        <f t="shared" si="12"/>
        <v>0</v>
      </c>
      <c r="J114" s="811">
        <f t="shared" si="13"/>
        <v>0</v>
      </c>
      <c r="K114" s="3832"/>
      <c r="L114" s="3833"/>
      <c r="M114" s="3833"/>
      <c r="N114" s="3834"/>
      <c r="O114" s="820">
        <f t="shared" si="14"/>
        <v>0</v>
      </c>
    </row>
    <row r="115" spans="3:15" ht="18" hidden="1">
      <c r="C115" s="3859" t="str">
        <f>T('2 REPAIR ESTIMATOR'!D153:O153)</f>
        <v/>
      </c>
      <c r="D115" s="3859"/>
      <c r="E115" s="3859"/>
      <c r="F115" s="3859"/>
      <c r="G115" s="3831">
        <f>'2 REPAIR ESTIMATOR'!AQ153</f>
        <v>0</v>
      </c>
      <c r="H115" s="3831"/>
      <c r="I115" s="810">
        <f t="shared" si="12"/>
        <v>0</v>
      </c>
      <c r="J115" s="811">
        <f t="shared" si="13"/>
        <v>0</v>
      </c>
      <c r="K115" s="3832"/>
      <c r="L115" s="3833"/>
      <c r="M115" s="3833"/>
      <c r="N115" s="3834"/>
      <c r="O115" s="820">
        <f t="shared" si="14"/>
        <v>0</v>
      </c>
    </row>
    <row r="116" spans="3:15" ht="18" hidden="1">
      <c r="C116" s="3859" t="str">
        <f>T('2 REPAIR ESTIMATOR'!D154:O154)</f>
        <v/>
      </c>
      <c r="D116" s="3859"/>
      <c r="E116" s="3859"/>
      <c r="F116" s="3859"/>
      <c r="G116" s="3831">
        <f>'2 REPAIR ESTIMATOR'!AQ154</f>
        <v>0</v>
      </c>
      <c r="H116" s="3831"/>
      <c r="I116" s="810">
        <f t="shared" si="12"/>
        <v>0</v>
      </c>
      <c r="J116" s="811">
        <f t="shared" si="13"/>
        <v>0</v>
      </c>
      <c r="K116" s="3832"/>
      <c r="L116" s="3833"/>
      <c r="M116" s="3833"/>
      <c r="N116" s="3834"/>
      <c r="O116" s="820">
        <f t="shared" si="14"/>
        <v>0</v>
      </c>
    </row>
    <row r="117" spans="3:15" ht="18" hidden="1">
      <c r="C117" s="3859" t="str">
        <f>T('2 REPAIR ESTIMATOR'!D155:O155)</f>
        <v/>
      </c>
      <c r="D117" s="3859"/>
      <c r="E117" s="3859"/>
      <c r="F117" s="3859"/>
      <c r="G117" s="3831">
        <f>'2 REPAIR ESTIMATOR'!AQ155</f>
        <v>0</v>
      </c>
      <c r="H117" s="3831"/>
      <c r="I117" s="810">
        <f t="shared" si="12"/>
        <v>0</v>
      </c>
      <c r="J117" s="811">
        <f t="shared" si="13"/>
        <v>0</v>
      </c>
      <c r="K117" s="3832"/>
      <c r="L117" s="3833"/>
      <c r="M117" s="3833"/>
      <c r="N117" s="3834"/>
      <c r="O117" s="820">
        <f t="shared" si="14"/>
        <v>0</v>
      </c>
    </row>
    <row r="118" spans="3:15" ht="18" hidden="1">
      <c r="C118" s="3859" t="str">
        <f>T('2 REPAIR ESTIMATOR'!D156:O156)</f>
        <v/>
      </c>
      <c r="D118" s="3859"/>
      <c r="E118" s="3859"/>
      <c r="F118" s="3859"/>
      <c r="G118" s="3831">
        <f>'2 REPAIR ESTIMATOR'!AQ156</f>
        <v>0</v>
      </c>
      <c r="H118" s="3831"/>
      <c r="I118" s="810">
        <f t="shared" si="12"/>
        <v>0</v>
      </c>
      <c r="J118" s="811">
        <f t="shared" si="13"/>
        <v>0</v>
      </c>
      <c r="K118" s="3832"/>
      <c r="L118" s="3833"/>
      <c r="M118" s="3833"/>
      <c r="N118" s="3834"/>
      <c r="O118" s="820">
        <f t="shared" si="14"/>
        <v>0</v>
      </c>
    </row>
    <row r="119" spans="3:15" ht="18" hidden="1">
      <c r="C119" s="3859" t="str">
        <f>T('2 REPAIR ESTIMATOR'!D157:O157)</f>
        <v/>
      </c>
      <c r="D119" s="3859"/>
      <c r="E119" s="3859"/>
      <c r="F119" s="3859"/>
      <c r="G119" s="3831">
        <f>'2 REPAIR ESTIMATOR'!AQ157</f>
        <v>0</v>
      </c>
      <c r="H119" s="3831"/>
      <c r="I119" s="810">
        <f t="shared" si="12"/>
        <v>0</v>
      </c>
      <c r="J119" s="811">
        <f t="shared" si="13"/>
        <v>0</v>
      </c>
      <c r="K119" s="3832"/>
      <c r="L119" s="3833"/>
      <c r="M119" s="3833"/>
      <c r="N119" s="3834"/>
      <c r="O119" s="820">
        <f t="shared" si="14"/>
        <v>0</v>
      </c>
    </row>
    <row r="120" spans="3:15" ht="18" hidden="1">
      <c r="C120" s="3859" t="str">
        <f>T('2 REPAIR ESTIMATOR'!D158:O158)</f>
        <v/>
      </c>
      <c r="D120" s="3859"/>
      <c r="E120" s="3859"/>
      <c r="F120" s="3859"/>
      <c r="G120" s="3831">
        <f>'2 REPAIR ESTIMATOR'!AQ158</f>
        <v>0</v>
      </c>
      <c r="H120" s="3831"/>
      <c r="I120" s="810">
        <f t="shared" si="12"/>
        <v>0</v>
      </c>
      <c r="J120" s="811">
        <f t="shared" si="13"/>
        <v>0</v>
      </c>
      <c r="K120" s="3832"/>
      <c r="L120" s="3833"/>
      <c r="M120" s="3833"/>
      <c r="N120" s="3834"/>
      <c r="O120" s="820">
        <f t="shared" si="14"/>
        <v>0</v>
      </c>
    </row>
    <row r="121" spans="3:15" ht="18" hidden="1">
      <c r="C121" s="3859" t="str">
        <f>T('2 REPAIR ESTIMATOR'!D159:O159)</f>
        <v/>
      </c>
      <c r="D121" s="3859"/>
      <c r="E121" s="3859"/>
      <c r="F121" s="3859"/>
      <c r="G121" s="3831">
        <f>'2 REPAIR ESTIMATOR'!AQ159</f>
        <v>0</v>
      </c>
      <c r="H121" s="3831"/>
      <c r="I121" s="810">
        <f t="shared" si="12"/>
        <v>0</v>
      </c>
      <c r="J121" s="811">
        <f t="shared" si="13"/>
        <v>0</v>
      </c>
      <c r="K121" s="3832"/>
      <c r="L121" s="3833"/>
      <c r="M121" s="3833"/>
      <c r="N121" s="3834"/>
      <c r="O121" s="820">
        <f t="shared" si="14"/>
        <v>0</v>
      </c>
    </row>
    <row r="122" spans="3:15" ht="18" hidden="1">
      <c r="C122" s="3859" t="str">
        <f>T('2 REPAIR ESTIMATOR'!D160:O160)</f>
        <v/>
      </c>
      <c r="D122" s="3859"/>
      <c r="E122" s="3859"/>
      <c r="F122" s="3859"/>
      <c r="G122" s="3831">
        <f>'2 REPAIR ESTIMATOR'!AQ160</f>
        <v>0</v>
      </c>
      <c r="H122" s="3831"/>
      <c r="I122" s="810">
        <f t="shared" si="12"/>
        <v>0</v>
      </c>
      <c r="J122" s="811">
        <f t="shared" si="13"/>
        <v>0</v>
      </c>
      <c r="K122" s="3832"/>
      <c r="L122" s="3833"/>
      <c r="M122" s="3833"/>
      <c r="N122" s="3834"/>
      <c r="O122" s="820">
        <f t="shared" si="14"/>
        <v>0</v>
      </c>
    </row>
    <row r="123" spans="3:15" ht="18" hidden="1">
      <c r="C123" s="3859" t="str">
        <f>T('2 REPAIR ESTIMATOR'!D161:O161)</f>
        <v/>
      </c>
      <c r="D123" s="3859"/>
      <c r="E123" s="3859"/>
      <c r="F123" s="3859"/>
      <c r="G123" s="3831">
        <f>'2 REPAIR ESTIMATOR'!AQ161</f>
        <v>0</v>
      </c>
      <c r="H123" s="3831"/>
      <c r="I123" s="810">
        <f t="shared" si="12"/>
        <v>0</v>
      </c>
      <c r="J123" s="811">
        <f t="shared" si="13"/>
        <v>0</v>
      </c>
      <c r="K123" s="3832"/>
      <c r="L123" s="3833"/>
      <c r="M123" s="3833"/>
      <c r="N123" s="3834"/>
      <c r="O123" s="820">
        <f t="shared" si="14"/>
        <v>0</v>
      </c>
    </row>
    <row r="124" spans="3:15" ht="18" hidden="1">
      <c r="C124" s="3859" t="str">
        <f>T('2 REPAIR ESTIMATOR'!D162:O162)</f>
        <v/>
      </c>
      <c r="D124" s="3859"/>
      <c r="E124" s="3859"/>
      <c r="F124" s="3859"/>
      <c r="G124" s="3831">
        <f>'2 REPAIR ESTIMATOR'!AQ162</f>
        <v>0</v>
      </c>
      <c r="H124" s="3831"/>
      <c r="I124" s="810">
        <f t="shared" si="12"/>
        <v>0</v>
      </c>
      <c r="J124" s="811">
        <f t="shared" si="13"/>
        <v>0</v>
      </c>
      <c r="K124" s="3832"/>
      <c r="L124" s="3833"/>
      <c r="M124" s="3833"/>
      <c r="N124" s="3834"/>
      <c r="O124" s="820">
        <f t="shared" si="14"/>
        <v>0</v>
      </c>
    </row>
    <row r="125" spans="3:15" ht="18" hidden="1">
      <c r="C125" s="3859" t="str">
        <f>T('2 REPAIR ESTIMATOR'!D163:O163)</f>
        <v/>
      </c>
      <c r="D125" s="3859"/>
      <c r="E125" s="3859"/>
      <c r="F125" s="3859"/>
      <c r="G125" s="3831">
        <f>'2 REPAIR ESTIMATOR'!AQ163</f>
        <v>0</v>
      </c>
      <c r="H125" s="3831"/>
      <c r="I125" s="810">
        <f t="shared" si="12"/>
        <v>0</v>
      </c>
      <c r="J125" s="811">
        <f t="shared" si="13"/>
        <v>0</v>
      </c>
      <c r="K125" s="3832"/>
      <c r="L125" s="3833"/>
      <c r="M125" s="3833"/>
      <c r="N125" s="3834"/>
      <c r="O125" s="820">
        <f t="shared" si="14"/>
        <v>0</v>
      </c>
    </row>
    <row r="126" spans="3:15" ht="18" hidden="1">
      <c r="C126" s="3859" t="str">
        <f>T('2 REPAIR ESTIMATOR'!D164:O164)</f>
        <v/>
      </c>
      <c r="D126" s="3859"/>
      <c r="E126" s="3859"/>
      <c r="F126" s="3859"/>
      <c r="G126" s="3831">
        <f>'2 REPAIR ESTIMATOR'!AQ164</f>
        <v>0</v>
      </c>
      <c r="H126" s="3831"/>
      <c r="I126" s="810">
        <f t="shared" si="12"/>
        <v>0</v>
      </c>
      <c r="J126" s="811">
        <f t="shared" si="13"/>
        <v>0</v>
      </c>
      <c r="K126" s="3832"/>
      <c r="L126" s="3833"/>
      <c r="M126" s="3833"/>
      <c r="N126" s="3834"/>
      <c r="O126" s="820">
        <f t="shared" si="14"/>
        <v>0</v>
      </c>
    </row>
    <row r="127" spans="3:15" ht="18" hidden="1">
      <c r="C127" s="3859" t="str">
        <f>T('2 REPAIR ESTIMATOR'!D165:O165)</f>
        <v/>
      </c>
      <c r="D127" s="3859"/>
      <c r="E127" s="3859"/>
      <c r="F127" s="3859"/>
      <c r="G127" s="3831">
        <f>'2 REPAIR ESTIMATOR'!AQ165</f>
        <v>0</v>
      </c>
      <c r="H127" s="3831"/>
      <c r="I127" s="810">
        <f t="shared" si="12"/>
        <v>0</v>
      </c>
      <c r="J127" s="811">
        <f t="shared" si="13"/>
        <v>0</v>
      </c>
      <c r="K127" s="3832"/>
      <c r="L127" s="3833"/>
      <c r="M127" s="3833"/>
      <c r="N127" s="3834"/>
      <c r="O127" s="820">
        <f t="shared" si="14"/>
        <v>0</v>
      </c>
    </row>
    <row r="128" spans="3:15" ht="18" hidden="1">
      <c r="C128" s="3859" t="str">
        <f>T('2 REPAIR ESTIMATOR'!D166:O166)</f>
        <v/>
      </c>
      <c r="D128" s="3859"/>
      <c r="E128" s="3859"/>
      <c r="F128" s="3859"/>
      <c r="G128" s="3831">
        <f>'2 REPAIR ESTIMATOR'!AQ166</f>
        <v>0</v>
      </c>
      <c r="H128" s="3831"/>
      <c r="I128" s="810">
        <f t="shared" si="12"/>
        <v>0</v>
      </c>
      <c r="J128" s="811">
        <f t="shared" si="13"/>
        <v>0</v>
      </c>
      <c r="K128" s="3832"/>
      <c r="L128" s="3833"/>
      <c r="M128" s="3833"/>
      <c r="N128" s="3834"/>
      <c r="O128" s="820">
        <f t="shared" si="14"/>
        <v>0</v>
      </c>
    </row>
    <row r="129" spans="3:15" ht="18" hidden="1">
      <c r="C129" s="3859" t="str">
        <f>T('2 REPAIR ESTIMATOR'!D167:O167)</f>
        <v/>
      </c>
      <c r="D129" s="3859"/>
      <c r="E129" s="3859"/>
      <c r="F129" s="3859"/>
      <c r="G129" s="3831">
        <f>'2 REPAIR ESTIMATOR'!AQ167</f>
        <v>0</v>
      </c>
      <c r="H129" s="3831"/>
      <c r="I129" s="810">
        <f t="shared" si="12"/>
        <v>0</v>
      </c>
      <c r="J129" s="811">
        <f t="shared" si="13"/>
        <v>0</v>
      </c>
      <c r="K129" s="3832"/>
      <c r="L129" s="3833"/>
      <c r="M129" s="3833"/>
      <c r="N129" s="3834"/>
      <c r="O129" s="820">
        <f t="shared" si="14"/>
        <v>0</v>
      </c>
    </row>
    <row r="130" spans="3:15" ht="18" hidden="1">
      <c r="C130" s="3859" t="str">
        <f>T('2 REPAIR ESTIMATOR'!D168:O168)</f>
        <v/>
      </c>
      <c r="D130" s="3859"/>
      <c r="E130" s="3859"/>
      <c r="F130" s="3859"/>
      <c r="G130" s="3831">
        <f>'2 REPAIR ESTIMATOR'!AQ168</f>
        <v>0</v>
      </c>
      <c r="H130" s="3831"/>
      <c r="I130" s="810">
        <f t="shared" si="12"/>
        <v>0</v>
      </c>
      <c r="J130" s="811">
        <f t="shared" si="13"/>
        <v>0</v>
      </c>
      <c r="K130" s="3832"/>
      <c r="L130" s="3833"/>
      <c r="M130" s="3833"/>
      <c r="N130" s="3834"/>
      <c r="O130" s="820">
        <f t="shared" si="14"/>
        <v>0</v>
      </c>
    </row>
    <row r="131" spans="3:15" ht="18" hidden="1">
      <c r="C131" s="3859" t="str">
        <f>T('2 REPAIR ESTIMATOR'!D169:O169)</f>
        <v/>
      </c>
      <c r="D131" s="3859"/>
      <c r="E131" s="3859"/>
      <c r="F131" s="3859"/>
      <c r="G131" s="3831">
        <f>'2 REPAIR ESTIMATOR'!AQ169</f>
        <v>0</v>
      </c>
      <c r="H131" s="3831"/>
      <c r="I131" s="810">
        <f t="shared" si="12"/>
        <v>0</v>
      </c>
      <c r="J131" s="811">
        <f t="shared" si="13"/>
        <v>0</v>
      </c>
      <c r="K131" s="3832"/>
      <c r="L131" s="3833"/>
      <c r="M131" s="3833"/>
      <c r="N131" s="3834"/>
      <c r="O131" s="820">
        <f t="shared" si="14"/>
        <v>0</v>
      </c>
    </row>
    <row r="132" spans="3:15" ht="18" hidden="1">
      <c r="C132" s="3859" t="str">
        <f>T('2 REPAIR ESTIMATOR'!D170:O170)</f>
        <v/>
      </c>
      <c r="D132" s="3859"/>
      <c r="E132" s="3859"/>
      <c r="F132" s="3859"/>
      <c r="G132" s="3831">
        <f>'2 REPAIR ESTIMATOR'!AQ170</f>
        <v>0</v>
      </c>
      <c r="H132" s="3831"/>
      <c r="I132" s="810">
        <f t="shared" si="12"/>
        <v>0</v>
      </c>
      <c r="J132" s="811">
        <f t="shared" si="13"/>
        <v>0</v>
      </c>
      <c r="K132" s="3832"/>
      <c r="L132" s="3833"/>
      <c r="M132" s="3833"/>
      <c r="N132" s="3834"/>
      <c r="O132" s="820">
        <f t="shared" si="14"/>
        <v>0</v>
      </c>
    </row>
    <row r="133" spans="3:15" ht="18" hidden="1">
      <c r="C133" s="3859" t="str">
        <f>T('2 REPAIR ESTIMATOR'!D171:O171)</f>
        <v/>
      </c>
      <c r="D133" s="3859"/>
      <c r="E133" s="3859"/>
      <c r="F133" s="3859"/>
      <c r="G133" s="3831">
        <f>'2 REPAIR ESTIMATOR'!AQ171</f>
        <v>0</v>
      </c>
      <c r="H133" s="3831"/>
      <c r="I133" s="810">
        <f t="shared" si="12"/>
        <v>0</v>
      </c>
      <c r="J133" s="811">
        <f t="shared" si="13"/>
        <v>0</v>
      </c>
      <c r="K133" s="3832"/>
      <c r="L133" s="3833"/>
      <c r="M133" s="3833"/>
      <c r="N133" s="3834"/>
      <c r="O133" s="820">
        <f t="shared" si="14"/>
        <v>0</v>
      </c>
    </row>
    <row r="134" spans="3:15" ht="18.350000000000001" hidden="1" thickBot="1">
      <c r="C134" s="3835" t="str">
        <f>T('2 REPAIR ESTIMATOR'!D172:O172)</f>
        <v/>
      </c>
      <c r="D134" s="3835"/>
      <c r="E134" s="3835"/>
      <c r="F134" s="3835"/>
      <c r="G134" s="3836">
        <f>'2 REPAIR ESTIMATOR'!AQ172</f>
        <v>0</v>
      </c>
      <c r="H134" s="3836"/>
      <c r="I134" s="813">
        <f t="shared" si="12"/>
        <v>0</v>
      </c>
      <c r="J134" s="814">
        <f t="shared" si="13"/>
        <v>0</v>
      </c>
      <c r="K134" s="3837"/>
      <c r="L134" s="3838"/>
      <c r="M134" s="3838"/>
      <c r="N134" s="3839"/>
      <c r="O134" s="823">
        <f t="shared" si="14"/>
        <v>0</v>
      </c>
    </row>
    <row r="135" spans="3:15" ht="18.350000000000001" hidden="1" thickTop="1">
      <c r="C135" s="3825" t="str">
        <f>T('2 REPAIR ESTIMATOR'!AC174)</f>
        <v>DEMOLITION TOTAL</v>
      </c>
      <c r="D135" s="3825"/>
      <c r="E135" s="3825"/>
      <c r="F135" s="3825"/>
      <c r="G135" s="3826">
        <f>SUM(G95:H134)</f>
        <v>0</v>
      </c>
      <c r="H135" s="3826"/>
      <c r="I135" s="818">
        <f>SUM(I95:I134)</f>
        <v>0</v>
      </c>
      <c r="J135" s="819">
        <f>SUM(J95:J134)</f>
        <v>0</v>
      </c>
      <c r="K135" s="3827"/>
      <c r="L135" s="3828"/>
      <c r="M135" s="3828"/>
      <c r="N135" s="3829"/>
      <c r="O135" s="821">
        <f>SUM(O95:O134)</f>
        <v>0</v>
      </c>
    </row>
    <row r="136" spans="3:15" ht="8.85" hidden="1" customHeight="1">
      <c r="C136" s="836"/>
      <c r="D136" s="836"/>
      <c r="E136" s="836"/>
      <c r="F136" s="836"/>
      <c r="G136" s="837"/>
      <c r="H136" s="837"/>
      <c r="I136" s="837"/>
      <c r="J136" s="837"/>
      <c r="K136" s="837"/>
      <c r="L136" s="837"/>
      <c r="M136" s="837"/>
      <c r="N136" s="837"/>
      <c r="O136" s="822">
        <f>O135</f>
        <v>0</v>
      </c>
    </row>
    <row r="137" spans="3:15" ht="22.5" hidden="1" customHeight="1">
      <c r="C137" s="3840" t="str">
        <f>T('2 REPAIR ESTIMATOR'!D177:O177)</f>
        <v>STRUCTURAL CONCRETE</v>
      </c>
      <c r="D137" s="3840"/>
      <c r="E137" s="3840"/>
      <c r="F137" s="3841"/>
      <c r="G137" s="3845"/>
      <c r="H137" s="3846"/>
      <c r="I137" s="831"/>
      <c r="J137" s="831"/>
      <c r="K137" s="3844"/>
      <c r="L137" s="3844"/>
      <c r="M137" s="3844"/>
      <c r="N137" s="3845"/>
      <c r="O137" s="820">
        <f>SUM(O138:O177)</f>
        <v>0</v>
      </c>
    </row>
    <row r="138" spans="3:15" ht="18" hidden="1">
      <c r="C138" s="3858" t="str">
        <f>T('2 REPAIR ESTIMATOR'!D178:O178)</f>
        <v>Excavation</v>
      </c>
      <c r="D138" s="3858"/>
      <c r="E138" s="3858"/>
      <c r="F138" s="3858"/>
      <c r="G138" s="3831">
        <f>'2 REPAIR ESTIMATOR'!AQ178</f>
        <v>0</v>
      </c>
      <c r="H138" s="3831"/>
      <c r="I138" s="810">
        <f t="shared" ref="I138:I177" si="15">IFERROR(G138/Property_Size,0)</f>
        <v>0</v>
      </c>
      <c r="J138" s="811">
        <f t="shared" ref="J138:J177" si="16">IFERROR(G138/Total_Project_Costs_Result,0)</f>
        <v>0</v>
      </c>
      <c r="K138" s="3832"/>
      <c r="L138" s="3833"/>
      <c r="M138" s="3833"/>
      <c r="N138" s="3834"/>
      <c r="O138" s="820">
        <f>IF(G138&gt;0,1,0)</f>
        <v>0</v>
      </c>
    </row>
    <row r="139" spans="3:15" ht="18" hidden="1">
      <c r="C139" s="3859" t="str">
        <f>T('2 REPAIR ESTIMATOR'!D179:O179)</f>
        <v>Excavation bid/allowance</v>
      </c>
      <c r="D139" s="3859"/>
      <c r="E139" s="3859"/>
      <c r="F139" s="3859"/>
      <c r="G139" s="3831">
        <f>'2 REPAIR ESTIMATOR'!AQ179</f>
        <v>0</v>
      </c>
      <c r="H139" s="3831"/>
      <c r="I139" s="810">
        <f t="shared" si="15"/>
        <v>0</v>
      </c>
      <c r="J139" s="811">
        <f t="shared" si="16"/>
        <v>0</v>
      </c>
      <c r="K139" s="3832"/>
      <c r="L139" s="3833"/>
      <c r="M139" s="3833"/>
      <c r="N139" s="3834"/>
      <c r="O139" s="820">
        <f t="shared" ref="O139:O177" si="17">IF(G139&gt;0,1,0)</f>
        <v>0</v>
      </c>
    </row>
    <row r="140" spans="3:15" ht="18" hidden="1">
      <c r="C140" s="3859" t="str">
        <f>T('2 REPAIR ESTIMATOR'!D180:O180)</f>
        <v>Footing trenching</v>
      </c>
      <c r="D140" s="3859"/>
      <c r="E140" s="3859"/>
      <c r="F140" s="3859"/>
      <c r="G140" s="3831">
        <f>'2 REPAIR ESTIMATOR'!AQ180</f>
        <v>0</v>
      </c>
      <c r="H140" s="3831"/>
      <c r="I140" s="810">
        <f t="shared" si="15"/>
        <v>0</v>
      </c>
      <c r="J140" s="811">
        <f t="shared" si="16"/>
        <v>0</v>
      </c>
      <c r="K140" s="3832"/>
      <c r="L140" s="3833"/>
      <c r="M140" s="3833"/>
      <c r="N140" s="3834"/>
      <c r="O140" s="820">
        <f t="shared" si="17"/>
        <v>0</v>
      </c>
    </row>
    <row r="141" spans="3:15" ht="18" hidden="1">
      <c r="C141" s="3859" t="str">
        <f>T('2 REPAIR ESTIMATOR'!D181:O181)</f>
        <v xml:space="preserve">Backfill of trenches </v>
      </c>
      <c r="D141" s="3859"/>
      <c r="E141" s="3859"/>
      <c r="F141" s="3859"/>
      <c r="G141" s="3831">
        <f>'2 REPAIR ESTIMATOR'!AQ181</f>
        <v>0</v>
      </c>
      <c r="H141" s="3831"/>
      <c r="I141" s="810">
        <f t="shared" si="15"/>
        <v>0</v>
      </c>
      <c r="J141" s="811">
        <f t="shared" si="16"/>
        <v>0</v>
      </c>
      <c r="K141" s="3832"/>
      <c r="L141" s="3833"/>
      <c r="M141" s="3833"/>
      <c r="N141" s="3834"/>
      <c r="O141" s="820">
        <f t="shared" si="17"/>
        <v>0</v>
      </c>
    </row>
    <row r="142" spans="3:15" ht="18" hidden="1">
      <c r="C142" s="3859" t="str">
        <f>T('2 REPAIR ESTIMATOR'!D182:O182)</f>
        <v/>
      </c>
      <c r="D142" s="3859"/>
      <c r="E142" s="3859"/>
      <c r="F142" s="3859"/>
      <c r="G142" s="3831">
        <f>'2 REPAIR ESTIMATOR'!AQ182</f>
        <v>0</v>
      </c>
      <c r="H142" s="3831"/>
      <c r="I142" s="810">
        <f t="shared" si="15"/>
        <v>0</v>
      </c>
      <c r="J142" s="811">
        <f t="shared" si="16"/>
        <v>0</v>
      </c>
      <c r="K142" s="3832"/>
      <c r="L142" s="3833"/>
      <c r="M142" s="3833"/>
      <c r="N142" s="3834"/>
      <c r="O142" s="820">
        <f t="shared" si="17"/>
        <v>0</v>
      </c>
    </row>
    <row r="143" spans="3:15" ht="18" hidden="1">
      <c r="C143" s="3859" t="str">
        <f>T('2 REPAIR ESTIMATOR'!D183:O183)</f>
        <v/>
      </c>
      <c r="D143" s="3859"/>
      <c r="E143" s="3859"/>
      <c r="F143" s="3859"/>
      <c r="G143" s="3831">
        <f>'2 REPAIR ESTIMATOR'!AQ183</f>
        <v>0</v>
      </c>
      <c r="H143" s="3831"/>
      <c r="I143" s="810">
        <f t="shared" si="15"/>
        <v>0</v>
      </c>
      <c r="J143" s="811">
        <f t="shared" si="16"/>
        <v>0</v>
      </c>
      <c r="K143" s="3832"/>
      <c r="L143" s="3833"/>
      <c r="M143" s="3833"/>
      <c r="N143" s="3834"/>
      <c r="O143" s="820">
        <f t="shared" si="17"/>
        <v>0</v>
      </c>
    </row>
    <row r="144" spans="3:15" ht="18" hidden="1">
      <c r="C144" s="3858" t="str">
        <f>T('2 REPAIR ESTIMATOR'!D184:O184)</f>
        <v>Foundation</v>
      </c>
      <c r="D144" s="3858"/>
      <c r="E144" s="3858"/>
      <c r="F144" s="3858"/>
      <c r="G144" s="3831">
        <f>'2 REPAIR ESTIMATOR'!AQ184</f>
        <v>0</v>
      </c>
      <c r="H144" s="3831"/>
      <c r="I144" s="810">
        <f t="shared" si="15"/>
        <v>0</v>
      </c>
      <c r="J144" s="811">
        <f t="shared" si="16"/>
        <v>0</v>
      </c>
      <c r="K144" s="3832"/>
      <c r="L144" s="3833"/>
      <c r="M144" s="3833"/>
      <c r="N144" s="3834"/>
      <c r="O144" s="820">
        <f t="shared" si="17"/>
        <v>0</v>
      </c>
    </row>
    <row r="145" spans="3:15" ht="18" hidden="1">
      <c r="C145" s="3859" t="str">
        <f>T('2 REPAIR ESTIMATOR'!D185:O185)</f>
        <v>Foundation bid/allowance</v>
      </c>
      <c r="D145" s="3859"/>
      <c r="E145" s="3859"/>
      <c r="F145" s="3859"/>
      <c r="G145" s="3831">
        <f>'2 REPAIR ESTIMATOR'!AQ185</f>
        <v>0</v>
      </c>
      <c r="H145" s="3831"/>
      <c r="I145" s="810">
        <f t="shared" si="15"/>
        <v>0</v>
      </c>
      <c r="J145" s="811">
        <f t="shared" si="16"/>
        <v>0</v>
      </c>
      <c r="K145" s="3832"/>
      <c r="L145" s="3833"/>
      <c r="M145" s="3833"/>
      <c r="N145" s="3834"/>
      <c r="O145" s="820">
        <f t="shared" si="17"/>
        <v>0</v>
      </c>
    </row>
    <row r="146" spans="3:15" ht="18" hidden="1">
      <c r="C146" s="3859" t="str">
        <f>T('2 REPAIR ESTIMATOR'!D186:O186)</f>
        <v>Concrete slab on grade, 4" thick</v>
      </c>
      <c r="D146" s="3859"/>
      <c r="E146" s="3859"/>
      <c r="F146" s="3859"/>
      <c r="G146" s="3831">
        <f>'2 REPAIR ESTIMATOR'!AQ186</f>
        <v>0</v>
      </c>
      <c r="H146" s="3831"/>
      <c r="I146" s="810">
        <f t="shared" si="15"/>
        <v>0</v>
      </c>
      <c r="J146" s="811">
        <f t="shared" si="16"/>
        <v>0</v>
      </c>
      <c r="K146" s="3832"/>
      <c r="L146" s="3833"/>
      <c r="M146" s="3833"/>
      <c r="N146" s="3834"/>
      <c r="O146" s="820">
        <f t="shared" si="17"/>
        <v>0</v>
      </c>
    </row>
    <row r="147" spans="3:15" ht="18" hidden="1">
      <c r="C147" s="3859" t="str">
        <f>T('2 REPAIR ESTIMATOR'!D187:O187)</f>
        <v xml:space="preserve">Concrete footing, 12" wide </v>
      </c>
      <c r="D147" s="3859"/>
      <c r="E147" s="3859"/>
      <c r="F147" s="3859"/>
      <c r="G147" s="3831">
        <f>'2 REPAIR ESTIMATOR'!AQ187</f>
        <v>0</v>
      </c>
      <c r="H147" s="3831"/>
      <c r="I147" s="810">
        <f t="shared" si="15"/>
        <v>0</v>
      </c>
      <c r="J147" s="811">
        <f t="shared" si="16"/>
        <v>0</v>
      </c>
      <c r="K147" s="3832"/>
      <c r="L147" s="3833"/>
      <c r="M147" s="3833"/>
      <c r="N147" s="3834"/>
      <c r="O147" s="820">
        <f t="shared" si="17"/>
        <v>0</v>
      </c>
    </row>
    <row r="148" spans="3:15" ht="18" hidden="1">
      <c r="C148" s="3859" t="str">
        <f>T('2 REPAIR ESTIMATOR'!D188:O188)</f>
        <v>Stem wall, single story</v>
      </c>
      <c r="D148" s="3859"/>
      <c r="E148" s="3859"/>
      <c r="F148" s="3859"/>
      <c r="G148" s="3831">
        <f>'2 REPAIR ESTIMATOR'!AQ188</f>
        <v>0</v>
      </c>
      <c r="H148" s="3831"/>
      <c r="I148" s="810">
        <f t="shared" si="15"/>
        <v>0</v>
      </c>
      <c r="J148" s="811">
        <f t="shared" si="16"/>
        <v>0</v>
      </c>
      <c r="K148" s="3832"/>
      <c r="L148" s="3833"/>
      <c r="M148" s="3833"/>
      <c r="N148" s="3834"/>
      <c r="O148" s="820">
        <f t="shared" si="17"/>
        <v>0</v>
      </c>
    </row>
    <row r="149" spans="3:15" ht="18" hidden="1">
      <c r="C149" s="3859" t="str">
        <f>T('2 REPAIR ESTIMATOR'!D189:O189)</f>
        <v/>
      </c>
      <c r="D149" s="3859"/>
      <c r="E149" s="3859"/>
      <c r="F149" s="3859"/>
      <c r="G149" s="3831">
        <f>'2 REPAIR ESTIMATOR'!AQ189</f>
        <v>0</v>
      </c>
      <c r="H149" s="3831"/>
      <c r="I149" s="810">
        <f t="shared" si="15"/>
        <v>0</v>
      </c>
      <c r="J149" s="811">
        <f t="shared" si="16"/>
        <v>0</v>
      </c>
      <c r="K149" s="3832"/>
      <c r="L149" s="3833"/>
      <c r="M149" s="3833"/>
      <c r="N149" s="3834"/>
      <c r="O149" s="820">
        <f t="shared" si="17"/>
        <v>0</v>
      </c>
    </row>
    <row r="150" spans="3:15" ht="18" hidden="1">
      <c r="C150" s="3859" t="str">
        <f>T('2 REPAIR ESTIMATOR'!D190:O190)</f>
        <v/>
      </c>
      <c r="D150" s="3859"/>
      <c r="E150" s="3859"/>
      <c r="F150" s="3859"/>
      <c r="G150" s="3831">
        <f>'2 REPAIR ESTIMATOR'!AQ190</f>
        <v>0</v>
      </c>
      <c r="H150" s="3831"/>
      <c r="I150" s="810">
        <f t="shared" si="15"/>
        <v>0</v>
      </c>
      <c r="J150" s="811">
        <f t="shared" si="16"/>
        <v>0</v>
      </c>
      <c r="K150" s="3832"/>
      <c r="L150" s="3833"/>
      <c r="M150" s="3833"/>
      <c r="N150" s="3834"/>
      <c r="O150" s="820">
        <f t="shared" si="17"/>
        <v>0</v>
      </c>
    </row>
    <row r="151" spans="3:15" ht="18" hidden="1">
      <c r="C151" s="3858" t="str">
        <f>T('2 REPAIR ESTIMATOR'!D191:O191)</f>
        <v>Structural Repairs</v>
      </c>
      <c r="D151" s="3858"/>
      <c r="E151" s="3858"/>
      <c r="F151" s="3858"/>
      <c r="G151" s="3831">
        <f>'2 REPAIR ESTIMATOR'!AQ191</f>
        <v>0</v>
      </c>
      <c r="H151" s="3831"/>
      <c r="I151" s="810">
        <f t="shared" si="15"/>
        <v>0</v>
      </c>
      <c r="J151" s="811">
        <f t="shared" si="16"/>
        <v>0</v>
      </c>
      <c r="K151" s="3832"/>
      <c r="L151" s="3833"/>
      <c r="M151" s="3833"/>
      <c r="N151" s="3834"/>
      <c r="O151" s="820">
        <f t="shared" si="17"/>
        <v>0</v>
      </c>
    </row>
    <row r="152" spans="3:15" ht="18" hidden="1">
      <c r="C152" s="3859" t="str">
        <f>T('2 REPAIR ESTIMATOR'!D192:O192)</f>
        <v>Structural Repairs bid/allowance</v>
      </c>
      <c r="D152" s="3859"/>
      <c r="E152" s="3859"/>
      <c r="F152" s="3859"/>
      <c r="G152" s="3831">
        <f>'2 REPAIR ESTIMATOR'!AQ192</f>
        <v>0</v>
      </c>
      <c r="H152" s="3831"/>
      <c r="I152" s="810">
        <f t="shared" si="15"/>
        <v>0</v>
      </c>
      <c r="J152" s="811">
        <f t="shared" si="16"/>
        <v>0</v>
      </c>
      <c r="K152" s="3832"/>
      <c r="L152" s="3833"/>
      <c r="M152" s="3833"/>
      <c r="N152" s="3834"/>
      <c r="O152" s="820">
        <f t="shared" si="17"/>
        <v>0</v>
      </c>
    </row>
    <row r="153" spans="3:15" ht="18" hidden="1">
      <c r="C153" s="3859" t="str">
        <f>T('2 REPAIR ESTIMATOR'!D193:O193)</f>
        <v>Stair mud jacking, case by case</v>
      </c>
      <c r="D153" s="3859"/>
      <c r="E153" s="3859"/>
      <c r="F153" s="3859"/>
      <c r="G153" s="3831">
        <f>'2 REPAIR ESTIMATOR'!AQ193</f>
        <v>0</v>
      </c>
      <c r="H153" s="3831"/>
      <c r="I153" s="810">
        <f t="shared" si="15"/>
        <v>0</v>
      </c>
      <c r="J153" s="811">
        <f t="shared" si="16"/>
        <v>0</v>
      </c>
      <c r="K153" s="3832"/>
      <c r="L153" s="3833"/>
      <c r="M153" s="3833"/>
      <c r="N153" s="3834"/>
      <c r="O153" s="820">
        <f t="shared" si="17"/>
        <v>0</v>
      </c>
    </row>
    <row r="154" spans="3:15" ht="18" hidden="1">
      <c r="C154" s="3859" t="str">
        <f>T('2 REPAIR ESTIMATOR'!D194:O194)</f>
        <v>Bowing foundation walls, vertical I-Beams</v>
      </c>
      <c r="D154" s="3859"/>
      <c r="E154" s="3859"/>
      <c r="F154" s="3859"/>
      <c r="G154" s="3831">
        <f>'2 REPAIR ESTIMATOR'!AQ194</f>
        <v>0</v>
      </c>
      <c r="H154" s="3831"/>
      <c r="I154" s="810">
        <f t="shared" si="15"/>
        <v>0</v>
      </c>
      <c r="J154" s="811">
        <f t="shared" si="16"/>
        <v>0</v>
      </c>
      <c r="K154" s="3832"/>
      <c r="L154" s="3833"/>
      <c r="M154" s="3833"/>
      <c r="N154" s="3834"/>
      <c r="O154" s="820">
        <f t="shared" si="17"/>
        <v>0</v>
      </c>
    </row>
    <row r="155" spans="3:15" ht="18" hidden="1">
      <c r="C155" s="3859" t="str">
        <f>T('2 REPAIR ESTIMATOR'!D195:O195)</f>
        <v>Settled foundation walls, concrete piers/underpinning</v>
      </c>
      <c r="D155" s="3859"/>
      <c r="E155" s="3859"/>
      <c r="F155" s="3859"/>
      <c r="G155" s="3831">
        <f>'2 REPAIR ESTIMATOR'!AQ195</f>
        <v>0</v>
      </c>
      <c r="H155" s="3831"/>
      <c r="I155" s="810">
        <f t="shared" si="15"/>
        <v>0</v>
      </c>
      <c r="J155" s="811">
        <f t="shared" si="16"/>
        <v>0</v>
      </c>
      <c r="K155" s="3832"/>
      <c r="L155" s="3833"/>
      <c r="M155" s="3833"/>
      <c r="N155" s="3834"/>
      <c r="O155" s="820">
        <f t="shared" si="17"/>
        <v>0</v>
      </c>
    </row>
    <row r="156" spans="3:15" ht="18" hidden="1">
      <c r="C156" s="3859" t="str">
        <f>T('2 REPAIR ESTIMATOR'!D196:O196)</f>
        <v>Foundation waterproofing &amp; drain tile, single story</v>
      </c>
      <c r="D156" s="3859"/>
      <c r="E156" s="3859"/>
      <c r="F156" s="3859"/>
      <c r="G156" s="3831">
        <f>'2 REPAIR ESTIMATOR'!AQ196</f>
        <v>0</v>
      </c>
      <c r="H156" s="3831"/>
      <c r="I156" s="810">
        <f t="shared" si="15"/>
        <v>0</v>
      </c>
      <c r="J156" s="811">
        <f t="shared" si="16"/>
        <v>0</v>
      </c>
      <c r="K156" s="3832"/>
      <c r="L156" s="3833"/>
      <c r="M156" s="3833"/>
      <c r="N156" s="3834"/>
      <c r="O156" s="820">
        <f t="shared" si="17"/>
        <v>0</v>
      </c>
    </row>
    <row r="157" spans="3:15" ht="18" hidden="1">
      <c r="C157" s="3859" t="str">
        <f>T('2 REPAIR ESTIMATOR'!D197:O197)</f>
        <v>Epoxy crack injection</v>
      </c>
      <c r="D157" s="3859"/>
      <c r="E157" s="3859"/>
      <c r="F157" s="3859"/>
      <c r="G157" s="3831">
        <f>'2 REPAIR ESTIMATOR'!AQ197</f>
        <v>0</v>
      </c>
      <c r="H157" s="3831"/>
      <c r="I157" s="810">
        <f t="shared" si="15"/>
        <v>0</v>
      </c>
      <c r="J157" s="811">
        <f t="shared" si="16"/>
        <v>0</v>
      </c>
      <c r="K157" s="3832"/>
      <c r="L157" s="3833"/>
      <c r="M157" s="3833"/>
      <c r="N157" s="3834"/>
      <c r="O157" s="820">
        <f t="shared" si="17"/>
        <v>0</v>
      </c>
    </row>
    <row r="158" spans="3:15" ht="18" hidden="1">
      <c r="C158" s="3859" t="str">
        <f>T('2 REPAIR ESTIMATOR'!D198:O198)</f>
        <v/>
      </c>
      <c r="D158" s="3859"/>
      <c r="E158" s="3859"/>
      <c r="F158" s="3859"/>
      <c r="G158" s="3831">
        <f>'2 REPAIR ESTIMATOR'!AQ198</f>
        <v>0</v>
      </c>
      <c r="H158" s="3831"/>
      <c r="I158" s="810">
        <f t="shared" si="15"/>
        <v>0</v>
      </c>
      <c r="J158" s="811">
        <f t="shared" si="16"/>
        <v>0</v>
      </c>
      <c r="K158" s="3832"/>
      <c r="L158" s="3833"/>
      <c r="M158" s="3833"/>
      <c r="N158" s="3834"/>
      <c r="O158" s="820">
        <f t="shared" si="17"/>
        <v>0</v>
      </c>
    </row>
    <row r="159" spans="3:15" ht="18" hidden="1">
      <c r="C159" s="3859" t="str">
        <f>T('2 REPAIR ESTIMATOR'!D199:O199)</f>
        <v/>
      </c>
      <c r="D159" s="3859"/>
      <c r="E159" s="3859"/>
      <c r="F159" s="3859"/>
      <c r="G159" s="3831">
        <f>'2 REPAIR ESTIMATOR'!AQ199</f>
        <v>0</v>
      </c>
      <c r="H159" s="3831"/>
      <c r="I159" s="810">
        <f t="shared" si="15"/>
        <v>0</v>
      </c>
      <c r="J159" s="811">
        <f t="shared" si="16"/>
        <v>0</v>
      </c>
      <c r="K159" s="3832"/>
      <c r="L159" s="3833"/>
      <c r="M159" s="3833"/>
      <c r="N159" s="3834"/>
      <c r="O159" s="820">
        <f t="shared" si="17"/>
        <v>0</v>
      </c>
    </row>
    <row r="160" spans="3:15" ht="18" hidden="1">
      <c r="C160" s="3859" t="str">
        <f>T('2 REPAIR ESTIMATOR'!D200:O200)</f>
        <v/>
      </c>
      <c r="D160" s="3859"/>
      <c r="E160" s="3859"/>
      <c r="F160" s="3859"/>
      <c r="G160" s="3831">
        <f>'2 REPAIR ESTIMATOR'!AQ200</f>
        <v>0</v>
      </c>
      <c r="H160" s="3831"/>
      <c r="I160" s="810">
        <f t="shared" si="15"/>
        <v>0</v>
      </c>
      <c r="J160" s="811">
        <f t="shared" si="16"/>
        <v>0</v>
      </c>
      <c r="K160" s="3832"/>
      <c r="L160" s="3833"/>
      <c r="M160" s="3833"/>
      <c r="N160" s="3834"/>
      <c r="O160" s="820">
        <f t="shared" si="17"/>
        <v>0</v>
      </c>
    </row>
    <row r="161" spans="3:15" ht="18" hidden="1">
      <c r="C161" s="3859" t="str">
        <f>T('2 REPAIR ESTIMATOR'!D201:O201)</f>
        <v/>
      </c>
      <c r="D161" s="3859"/>
      <c r="E161" s="3859"/>
      <c r="F161" s="3859"/>
      <c r="G161" s="3831">
        <f>'2 REPAIR ESTIMATOR'!AQ201</f>
        <v>0</v>
      </c>
      <c r="H161" s="3831"/>
      <c r="I161" s="810">
        <f t="shared" si="15"/>
        <v>0</v>
      </c>
      <c r="J161" s="811">
        <f t="shared" si="16"/>
        <v>0</v>
      </c>
      <c r="K161" s="3832"/>
      <c r="L161" s="3833"/>
      <c r="M161" s="3833"/>
      <c r="N161" s="3834"/>
      <c r="O161" s="820">
        <f t="shared" si="17"/>
        <v>0</v>
      </c>
    </row>
    <row r="162" spans="3:15" ht="18" hidden="1">
      <c r="C162" s="3859" t="str">
        <f>T('2 REPAIR ESTIMATOR'!D202:O202)</f>
        <v/>
      </c>
      <c r="D162" s="3859"/>
      <c r="E162" s="3859"/>
      <c r="F162" s="3859"/>
      <c r="G162" s="3831">
        <f>'2 REPAIR ESTIMATOR'!AQ202</f>
        <v>0</v>
      </c>
      <c r="H162" s="3831"/>
      <c r="I162" s="810">
        <f t="shared" si="15"/>
        <v>0</v>
      </c>
      <c r="J162" s="811">
        <f t="shared" si="16"/>
        <v>0</v>
      </c>
      <c r="K162" s="3832"/>
      <c r="L162" s="3833"/>
      <c r="M162" s="3833"/>
      <c r="N162" s="3834"/>
      <c r="O162" s="820">
        <f t="shared" si="17"/>
        <v>0</v>
      </c>
    </row>
    <row r="163" spans="3:15" ht="18" hidden="1">
      <c r="C163" s="3859" t="str">
        <f>T('2 REPAIR ESTIMATOR'!D203:O203)</f>
        <v/>
      </c>
      <c r="D163" s="3859"/>
      <c r="E163" s="3859"/>
      <c r="F163" s="3859"/>
      <c r="G163" s="3831">
        <f>'2 REPAIR ESTIMATOR'!AQ203</f>
        <v>0</v>
      </c>
      <c r="H163" s="3831"/>
      <c r="I163" s="810">
        <f t="shared" si="15"/>
        <v>0</v>
      </c>
      <c r="J163" s="811">
        <f t="shared" si="16"/>
        <v>0</v>
      </c>
      <c r="K163" s="3832"/>
      <c r="L163" s="3833"/>
      <c r="M163" s="3833"/>
      <c r="N163" s="3834"/>
      <c r="O163" s="820">
        <f t="shared" si="17"/>
        <v>0</v>
      </c>
    </row>
    <row r="164" spans="3:15" ht="18" hidden="1">
      <c r="C164" s="3859" t="str">
        <f>T('2 REPAIR ESTIMATOR'!D204:O204)</f>
        <v/>
      </c>
      <c r="D164" s="3859"/>
      <c r="E164" s="3859"/>
      <c r="F164" s="3859"/>
      <c r="G164" s="3831">
        <f>'2 REPAIR ESTIMATOR'!AQ204</f>
        <v>0</v>
      </c>
      <c r="H164" s="3831"/>
      <c r="I164" s="810">
        <f t="shared" si="15"/>
        <v>0</v>
      </c>
      <c r="J164" s="811">
        <f t="shared" si="16"/>
        <v>0</v>
      </c>
      <c r="K164" s="3832"/>
      <c r="L164" s="3833"/>
      <c r="M164" s="3833"/>
      <c r="N164" s="3834"/>
      <c r="O164" s="820">
        <f t="shared" si="17"/>
        <v>0</v>
      </c>
    </row>
    <row r="165" spans="3:15" ht="18" hidden="1">
      <c r="C165" s="3859" t="str">
        <f>T('2 REPAIR ESTIMATOR'!D205:O205)</f>
        <v/>
      </c>
      <c r="D165" s="3859"/>
      <c r="E165" s="3859"/>
      <c r="F165" s="3859"/>
      <c r="G165" s="3831">
        <f>'2 REPAIR ESTIMATOR'!AQ205</f>
        <v>0</v>
      </c>
      <c r="H165" s="3831"/>
      <c r="I165" s="810">
        <f t="shared" si="15"/>
        <v>0</v>
      </c>
      <c r="J165" s="811">
        <f t="shared" si="16"/>
        <v>0</v>
      </c>
      <c r="K165" s="3832"/>
      <c r="L165" s="3833"/>
      <c r="M165" s="3833"/>
      <c r="N165" s="3834"/>
      <c r="O165" s="820">
        <f t="shared" si="17"/>
        <v>0</v>
      </c>
    </row>
    <row r="166" spans="3:15" ht="18" hidden="1">
      <c r="C166" s="3859" t="str">
        <f>T('2 REPAIR ESTIMATOR'!D206:O206)</f>
        <v/>
      </c>
      <c r="D166" s="3859"/>
      <c r="E166" s="3859"/>
      <c r="F166" s="3859"/>
      <c r="G166" s="3831">
        <f>'2 REPAIR ESTIMATOR'!AQ206</f>
        <v>0</v>
      </c>
      <c r="H166" s="3831"/>
      <c r="I166" s="810">
        <f t="shared" si="15"/>
        <v>0</v>
      </c>
      <c r="J166" s="811">
        <f t="shared" si="16"/>
        <v>0</v>
      </c>
      <c r="K166" s="3832"/>
      <c r="L166" s="3833"/>
      <c r="M166" s="3833"/>
      <c r="N166" s="3834"/>
      <c r="O166" s="820">
        <f t="shared" si="17"/>
        <v>0</v>
      </c>
    </row>
    <row r="167" spans="3:15" ht="18" hidden="1">
      <c r="C167" s="3859" t="str">
        <f>T('2 REPAIR ESTIMATOR'!D207:O207)</f>
        <v/>
      </c>
      <c r="D167" s="3859"/>
      <c r="E167" s="3859"/>
      <c r="F167" s="3859"/>
      <c r="G167" s="3831">
        <f>'2 REPAIR ESTIMATOR'!AQ207</f>
        <v>0</v>
      </c>
      <c r="H167" s="3831"/>
      <c r="I167" s="810">
        <f t="shared" si="15"/>
        <v>0</v>
      </c>
      <c r="J167" s="811">
        <f t="shared" si="16"/>
        <v>0</v>
      </c>
      <c r="K167" s="3832"/>
      <c r="L167" s="3833"/>
      <c r="M167" s="3833"/>
      <c r="N167" s="3834"/>
      <c r="O167" s="820">
        <f t="shared" si="17"/>
        <v>0</v>
      </c>
    </row>
    <row r="168" spans="3:15" ht="18" hidden="1">
      <c r="C168" s="3859" t="str">
        <f>T('2 REPAIR ESTIMATOR'!D208:O208)</f>
        <v/>
      </c>
      <c r="D168" s="3859"/>
      <c r="E168" s="3859"/>
      <c r="F168" s="3859"/>
      <c r="G168" s="3831">
        <f>'2 REPAIR ESTIMATOR'!AQ208</f>
        <v>0</v>
      </c>
      <c r="H168" s="3831"/>
      <c r="I168" s="810">
        <f t="shared" si="15"/>
        <v>0</v>
      </c>
      <c r="J168" s="811">
        <f t="shared" si="16"/>
        <v>0</v>
      </c>
      <c r="K168" s="3832"/>
      <c r="L168" s="3833"/>
      <c r="M168" s="3833"/>
      <c r="N168" s="3834"/>
      <c r="O168" s="820">
        <f t="shared" si="17"/>
        <v>0</v>
      </c>
    </row>
    <row r="169" spans="3:15" ht="18" hidden="1">
      <c r="C169" s="3859" t="str">
        <f>T('2 REPAIR ESTIMATOR'!D209:O209)</f>
        <v/>
      </c>
      <c r="D169" s="3859"/>
      <c r="E169" s="3859"/>
      <c r="F169" s="3859"/>
      <c r="G169" s="3831">
        <f>'2 REPAIR ESTIMATOR'!AQ209</f>
        <v>0</v>
      </c>
      <c r="H169" s="3831"/>
      <c r="I169" s="810">
        <f t="shared" si="15"/>
        <v>0</v>
      </c>
      <c r="J169" s="811">
        <f t="shared" si="16"/>
        <v>0</v>
      </c>
      <c r="K169" s="3832"/>
      <c r="L169" s="3833"/>
      <c r="M169" s="3833"/>
      <c r="N169" s="3834"/>
      <c r="O169" s="820">
        <f t="shared" si="17"/>
        <v>0</v>
      </c>
    </row>
    <row r="170" spans="3:15" ht="18" hidden="1">
      <c r="C170" s="3859" t="str">
        <f>T('2 REPAIR ESTIMATOR'!D210:O210)</f>
        <v/>
      </c>
      <c r="D170" s="3859"/>
      <c r="E170" s="3859"/>
      <c r="F170" s="3859"/>
      <c r="G170" s="3831">
        <f>'2 REPAIR ESTIMATOR'!AQ210</f>
        <v>0</v>
      </c>
      <c r="H170" s="3831"/>
      <c r="I170" s="810">
        <f t="shared" si="15"/>
        <v>0</v>
      </c>
      <c r="J170" s="811">
        <f t="shared" si="16"/>
        <v>0</v>
      </c>
      <c r="K170" s="3832"/>
      <c r="L170" s="3833"/>
      <c r="M170" s="3833"/>
      <c r="N170" s="3834"/>
      <c r="O170" s="820">
        <f t="shared" si="17"/>
        <v>0</v>
      </c>
    </row>
    <row r="171" spans="3:15" ht="18" hidden="1">
      <c r="C171" s="3859" t="str">
        <f>T('2 REPAIR ESTIMATOR'!D211:O211)</f>
        <v/>
      </c>
      <c r="D171" s="3859"/>
      <c r="E171" s="3859"/>
      <c r="F171" s="3859"/>
      <c r="G171" s="3831">
        <f>'2 REPAIR ESTIMATOR'!AQ211</f>
        <v>0</v>
      </c>
      <c r="H171" s="3831"/>
      <c r="I171" s="810">
        <f t="shared" si="15"/>
        <v>0</v>
      </c>
      <c r="J171" s="811">
        <f t="shared" si="16"/>
        <v>0</v>
      </c>
      <c r="K171" s="3832"/>
      <c r="L171" s="3833"/>
      <c r="M171" s="3833"/>
      <c r="N171" s="3834"/>
      <c r="O171" s="820">
        <f t="shared" si="17"/>
        <v>0</v>
      </c>
    </row>
    <row r="172" spans="3:15" ht="18" hidden="1">
      <c r="C172" s="3859" t="str">
        <f>T('2 REPAIR ESTIMATOR'!D212:O212)</f>
        <v/>
      </c>
      <c r="D172" s="3859"/>
      <c r="E172" s="3859"/>
      <c r="F172" s="3859"/>
      <c r="G172" s="3831">
        <f>'2 REPAIR ESTIMATOR'!AQ212</f>
        <v>0</v>
      </c>
      <c r="H172" s="3831"/>
      <c r="I172" s="810">
        <f t="shared" si="15"/>
        <v>0</v>
      </c>
      <c r="J172" s="811">
        <f t="shared" si="16"/>
        <v>0</v>
      </c>
      <c r="K172" s="3832"/>
      <c r="L172" s="3833"/>
      <c r="M172" s="3833"/>
      <c r="N172" s="3834"/>
      <c r="O172" s="820">
        <f t="shared" si="17"/>
        <v>0</v>
      </c>
    </row>
    <row r="173" spans="3:15" ht="18" hidden="1">
      <c r="C173" s="3859" t="str">
        <f>T('2 REPAIR ESTIMATOR'!D213:O213)</f>
        <v/>
      </c>
      <c r="D173" s="3859"/>
      <c r="E173" s="3859"/>
      <c r="F173" s="3859"/>
      <c r="G173" s="3831">
        <f>'2 REPAIR ESTIMATOR'!AQ213</f>
        <v>0</v>
      </c>
      <c r="H173" s="3831"/>
      <c r="I173" s="810">
        <f t="shared" si="15"/>
        <v>0</v>
      </c>
      <c r="J173" s="811">
        <f t="shared" si="16"/>
        <v>0</v>
      </c>
      <c r="K173" s="3832"/>
      <c r="L173" s="3833"/>
      <c r="M173" s="3833"/>
      <c r="N173" s="3834"/>
      <c r="O173" s="820">
        <f t="shared" si="17"/>
        <v>0</v>
      </c>
    </row>
    <row r="174" spans="3:15" ht="18" hidden="1">
      <c r="C174" s="3859" t="str">
        <f>T('2 REPAIR ESTIMATOR'!D214:O214)</f>
        <v/>
      </c>
      <c r="D174" s="3859"/>
      <c r="E174" s="3859"/>
      <c r="F174" s="3859"/>
      <c r="G174" s="3831">
        <f>'2 REPAIR ESTIMATOR'!AQ214</f>
        <v>0</v>
      </c>
      <c r="H174" s="3831"/>
      <c r="I174" s="810">
        <f t="shared" si="15"/>
        <v>0</v>
      </c>
      <c r="J174" s="811">
        <f t="shared" si="16"/>
        <v>0</v>
      </c>
      <c r="K174" s="3832"/>
      <c r="L174" s="3833"/>
      <c r="M174" s="3833"/>
      <c r="N174" s="3834"/>
      <c r="O174" s="820">
        <f t="shared" si="17"/>
        <v>0</v>
      </c>
    </row>
    <row r="175" spans="3:15" ht="18" hidden="1">
      <c r="C175" s="3859" t="str">
        <f>T('2 REPAIR ESTIMATOR'!D215:O215)</f>
        <v/>
      </c>
      <c r="D175" s="3859"/>
      <c r="E175" s="3859"/>
      <c r="F175" s="3859"/>
      <c r="G175" s="3831">
        <f>'2 REPAIR ESTIMATOR'!AQ215</f>
        <v>0</v>
      </c>
      <c r="H175" s="3831"/>
      <c r="I175" s="810">
        <f t="shared" si="15"/>
        <v>0</v>
      </c>
      <c r="J175" s="811">
        <f t="shared" si="16"/>
        <v>0</v>
      </c>
      <c r="K175" s="3832"/>
      <c r="L175" s="3833"/>
      <c r="M175" s="3833"/>
      <c r="N175" s="3834"/>
      <c r="O175" s="820">
        <f t="shared" si="17"/>
        <v>0</v>
      </c>
    </row>
    <row r="176" spans="3:15" ht="18" hidden="1">
      <c r="C176" s="3859" t="str">
        <f>T('2 REPAIR ESTIMATOR'!D216:O216)</f>
        <v/>
      </c>
      <c r="D176" s="3859"/>
      <c r="E176" s="3859"/>
      <c r="F176" s="3859"/>
      <c r="G176" s="3831">
        <f>'2 REPAIR ESTIMATOR'!AQ216</f>
        <v>0</v>
      </c>
      <c r="H176" s="3831"/>
      <c r="I176" s="810">
        <f t="shared" si="15"/>
        <v>0</v>
      </c>
      <c r="J176" s="811">
        <f t="shared" si="16"/>
        <v>0</v>
      </c>
      <c r="K176" s="3832"/>
      <c r="L176" s="3833"/>
      <c r="M176" s="3833"/>
      <c r="N176" s="3834"/>
      <c r="O176" s="820">
        <f t="shared" si="17"/>
        <v>0</v>
      </c>
    </row>
    <row r="177" spans="3:15" ht="18.350000000000001" hidden="1" thickBot="1">
      <c r="C177" s="3835" t="str">
        <f>T('2 REPAIR ESTIMATOR'!D217:O217)</f>
        <v/>
      </c>
      <c r="D177" s="3835"/>
      <c r="E177" s="3835"/>
      <c r="F177" s="3835"/>
      <c r="G177" s="3836">
        <f>'2 REPAIR ESTIMATOR'!AQ217</f>
        <v>0</v>
      </c>
      <c r="H177" s="3836"/>
      <c r="I177" s="813">
        <f t="shared" si="15"/>
        <v>0</v>
      </c>
      <c r="J177" s="814">
        <f t="shared" si="16"/>
        <v>0</v>
      </c>
      <c r="K177" s="3837"/>
      <c r="L177" s="3838"/>
      <c r="M177" s="3838"/>
      <c r="N177" s="3839"/>
      <c r="O177" s="823">
        <f t="shared" si="17"/>
        <v>0</v>
      </c>
    </row>
    <row r="178" spans="3:15" ht="18.350000000000001" hidden="1" thickTop="1">
      <c r="C178" s="3825" t="str">
        <f>T('2 REPAIR ESTIMATOR'!AC219)</f>
        <v>STRUCTURAL CONCRETE TOTAL</v>
      </c>
      <c r="D178" s="3825"/>
      <c r="E178" s="3825"/>
      <c r="F178" s="3825"/>
      <c r="G178" s="3826">
        <f>SUM(G138:H177)</f>
        <v>0</v>
      </c>
      <c r="H178" s="3826"/>
      <c r="I178" s="818">
        <f>SUM(I138:I177)</f>
        <v>0</v>
      </c>
      <c r="J178" s="819">
        <f>SUM(J138:J177)</f>
        <v>0</v>
      </c>
      <c r="K178" s="3827"/>
      <c r="L178" s="3828"/>
      <c r="M178" s="3828"/>
      <c r="N178" s="3829"/>
      <c r="O178" s="821">
        <f>SUM(O138:O177)</f>
        <v>0</v>
      </c>
    </row>
    <row r="179" spans="3:15" ht="8.85" hidden="1" customHeight="1">
      <c r="C179" s="836"/>
      <c r="D179" s="836"/>
      <c r="E179" s="836"/>
      <c r="F179" s="836"/>
      <c r="G179" s="837"/>
      <c r="H179" s="837"/>
      <c r="I179" s="837"/>
      <c r="J179" s="837"/>
      <c r="K179" s="837"/>
      <c r="L179" s="837"/>
      <c r="M179" s="837"/>
      <c r="N179" s="837"/>
      <c r="O179" s="822">
        <f>O178</f>
        <v>0</v>
      </c>
    </row>
    <row r="180" spans="3:15" ht="22.5" hidden="1" customHeight="1">
      <c r="C180" s="3840" t="str">
        <f>T('2 REPAIR ESTIMATOR'!D222:O222)</f>
        <v>CONCRETE &amp; FLATWORK</v>
      </c>
      <c r="D180" s="3840"/>
      <c r="E180" s="3840"/>
      <c r="F180" s="3841"/>
      <c r="G180" s="3845"/>
      <c r="H180" s="3846"/>
      <c r="I180" s="831"/>
      <c r="J180" s="831"/>
      <c r="K180" s="3844"/>
      <c r="L180" s="3844"/>
      <c r="M180" s="3844"/>
      <c r="N180" s="3845"/>
      <c r="O180" s="820">
        <f>SUM(O181:O220)</f>
        <v>0</v>
      </c>
    </row>
    <row r="181" spans="3:15" ht="18" hidden="1">
      <c r="C181" s="3858" t="str">
        <f>T('2 REPAIR ESTIMATOR'!D223:O223)</f>
        <v>Concrete</v>
      </c>
      <c r="D181" s="3858"/>
      <c r="E181" s="3858"/>
      <c r="F181" s="3858"/>
      <c r="G181" s="3831">
        <f>'2 REPAIR ESTIMATOR'!AQ223</f>
        <v>0</v>
      </c>
      <c r="H181" s="3831"/>
      <c r="I181" s="810">
        <f t="shared" ref="I181:I220" si="18">IFERROR(G181/Property_Size,0)</f>
        <v>0</v>
      </c>
      <c r="J181" s="811">
        <f t="shared" ref="J181:J220" si="19">IFERROR(G181/Total_Project_Costs_Result,0)</f>
        <v>0</v>
      </c>
      <c r="K181" s="3832"/>
      <c r="L181" s="3833"/>
      <c r="M181" s="3833"/>
      <c r="N181" s="3834"/>
      <c r="O181" s="820">
        <f>IF(G181&gt;0,1,0)</f>
        <v>0</v>
      </c>
    </row>
    <row r="182" spans="3:15" ht="18" hidden="1">
      <c r="C182" s="3859" t="str">
        <f>T('2 REPAIR ESTIMATOR'!D224:O224)</f>
        <v>Concrete bid/allowance</v>
      </c>
      <c r="D182" s="3859"/>
      <c r="E182" s="3859"/>
      <c r="F182" s="3859"/>
      <c r="G182" s="3831">
        <f>'2 REPAIR ESTIMATOR'!AQ224</f>
        <v>0</v>
      </c>
      <c r="H182" s="3831"/>
      <c r="I182" s="810">
        <f t="shared" si="18"/>
        <v>0</v>
      </c>
      <c r="J182" s="811">
        <f t="shared" si="19"/>
        <v>0</v>
      </c>
      <c r="K182" s="3832"/>
      <c r="L182" s="3833"/>
      <c r="M182" s="3833"/>
      <c r="N182" s="3834"/>
      <c r="O182" s="820">
        <f t="shared" ref="O182:O220" si="20">IF(G182&gt;0,1,0)</f>
        <v>0</v>
      </c>
    </row>
    <row r="183" spans="3:15" ht="18" hidden="1">
      <c r="C183" s="3859" t="str">
        <f>T('2 REPAIR ESTIMATOR'!D225:O225)</f>
        <v>Concrete flatwork demo</v>
      </c>
      <c r="D183" s="3859"/>
      <c r="E183" s="3859"/>
      <c r="F183" s="3859"/>
      <c r="G183" s="3831">
        <f>'2 REPAIR ESTIMATOR'!AQ225</f>
        <v>0</v>
      </c>
      <c r="H183" s="3831"/>
      <c r="I183" s="810">
        <f t="shared" si="18"/>
        <v>0</v>
      </c>
      <c r="J183" s="811">
        <f t="shared" si="19"/>
        <v>0</v>
      </c>
      <c r="K183" s="3832"/>
      <c r="L183" s="3833"/>
      <c r="M183" s="3833"/>
      <c r="N183" s="3834"/>
      <c r="O183" s="820">
        <f t="shared" si="20"/>
        <v>0</v>
      </c>
    </row>
    <row r="184" spans="3:15" ht="18" hidden="1">
      <c r="C184" s="3859" t="str">
        <f>T('2 REPAIR ESTIMATOR'!D226:O226)</f>
        <v>Concrete driveway/patio, 6" thick</v>
      </c>
      <c r="D184" s="3859"/>
      <c r="E184" s="3859"/>
      <c r="F184" s="3859"/>
      <c r="G184" s="3831">
        <f>'2 REPAIR ESTIMATOR'!AQ226</f>
        <v>0</v>
      </c>
      <c r="H184" s="3831"/>
      <c r="I184" s="810">
        <f t="shared" si="18"/>
        <v>0</v>
      </c>
      <c r="J184" s="811">
        <f t="shared" si="19"/>
        <v>0</v>
      </c>
      <c r="K184" s="3832"/>
      <c r="L184" s="3833"/>
      <c r="M184" s="3833"/>
      <c r="N184" s="3834"/>
      <c r="O184" s="820">
        <f t="shared" si="20"/>
        <v>0</v>
      </c>
    </row>
    <row r="185" spans="3:15" ht="18" hidden="1">
      <c r="C185" s="3859" t="str">
        <f>T('2 REPAIR ESTIMATOR'!D227:O227)</f>
        <v>Concrete sidewalk, 4" thick</v>
      </c>
      <c r="D185" s="3859"/>
      <c r="E185" s="3859"/>
      <c r="F185" s="3859"/>
      <c r="G185" s="3831">
        <f>'2 REPAIR ESTIMATOR'!AQ227</f>
        <v>0</v>
      </c>
      <c r="H185" s="3831"/>
      <c r="I185" s="810">
        <f t="shared" si="18"/>
        <v>0</v>
      </c>
      <c r="J185" s="811">
        <f t="shared" si="19"/>
        <v>0</v>
      </c>
      <c r="K185" s="3832"/>
      <c r="L185" s="3833"/>
      <c r="M185" s="3833"/>
      <c r="N185" s="3834"/>
      <c r="O185" s="820">
        <f t="shared" si="20"/>
        <v>0</v>
      </c>
    </row>
    <row r="186" spans="3:15" ht="18" hidden="1">
      <c r="C186" s="3859" t="str">
        <f>T('2 REPAIR ESTIMATOR'!D228:O228)</f>
        <v>Add for 4" base rock below concrete pavement</v>
      </c>
      <c r="D186" s="3859"/>
      <c r="E186" s="3859"/>
      <c r="F186" s="3859"/>
      <c r="G186" s="3831">
        <f>'2 REPAIR ESTIMATOR'!AQ228</f>
        <v>0</v>
      </c>
      <c r="H186" s="3831"/>
      <c r="I186" s="810">
        <f t="shared" si="18"/>
        <v>0</v>
      </c>
      <c r="J186" s="811">
        <f t="shared" si="19"/>
        <v>0</v>
      </c>
      <c r="K186" s="3832"/>
      <c r="L186" s="3833"/>
      <c r="M186" s="3833"/>
      <c r="N186" s="3834"/>
      <c r="O186" s="820">
        <f t="shared" si="20"/>
        <v>0</v>
      </c>
    </row>
    <row r="187" spans="3:15" ht="18" hidden="1">
      <c r="C187" s="3859" t="str">
        <f>T('2 REPAIR ESTIMATOR'!D229:O229)</f>
        <v/>
      </c>
      <c r="D187" s="3859"/>
      <c r="E187" s="3859"/>
      <c r="F187" s="3859"/>
      <c r="G187" s="3831">
        <f>'2 REPAIR ESTIMATOR'!AQ229</f>
        <v>0</v>
      </c>
      <c r="H187" s="3831"/>
      <c r="I187" s="810">
        <f t="shared" si="18"/>
        <v>0</v>
      </c>
      <c r="J187" s="811">
        <f t="shared" si="19"/>
        <v>0</v>
      </c>
      <c r="K187" s="3832"/>
      <c r="L187" s="3833"/>
      <c r="M187" s="3833"/>
      <c r="N187" s="3834"/>
      <c r="O187" s="820">
        <f t="shared" si="20"/>
        <v>0</v>
      </c>
    </row>
    <row r="188" spans="3:15" ht="18" hidden="1">
      <c r="C188" s="3858" t="str">
        <f>T('2 REPAIR ESTIMATOR'!D230:O230)</f>
        <v>Asphalt</v>
      </c>
      <c r="D188" s="3858"/>
      <c r="E188" s="3858"/>
      <c r="F188" s="3858"/>
      <c r="G188" s="3831">
        <f>'2 REPAIR ESTIMATOR'!AQ230</f>
        <v>0</v>
      </c>
      <c r="H188" s="3831"/>
      <c r="I188" s="810">
        <f t="shared" si="18"/>
        <v>0</v>
      </c>
      <c r="J188" s="811">
        <f t="shared" si="19"/>
        <v>0</v>
      </c>
      <c r="K188" s="3832"/>
      <c r="L188" s="3833"/>
      <c r="M188" s="3833"/>
      <c r="N188" s="3834"/>
      <c r="O188" s="820">
        <f t="shared" si="20"/>
        <v>0</v>
      </c>
    </row>
    <row r="189" spans="3:15" ht="18" hidden="1">
      <c r="C189" s="3859" t="str">
        <f>T('2 REPAIR ESTIMATOR'!D231:O231)</f>
        <v>Asphalt bid/allowance</v>
      </c>
      <c r="D189" s="3859"/>
      <c r="E189" s="3859"/>
      <c r="F189" s="3859"/>
      <c r="G189" s="3831">
        <f>'2 REPAIR ESTIMATOR'!AQ231</f>
        <v>0</v>
      </c>
      <c r="H189" s="3831"/>
      <c r="I189" s="810">
        <f t="shared" si="18"/>
        <v>0</v>
      </c>
      <c r="J189" s="811">
        <f t="shared" si="19"/>
        <v>0</v>
      </c>
      <c r="K189" s="3832"/>
      <c r="L189" s="3833"/>
      <c r="M189" s="3833"/>
      <c r="N189" s="3834"/>
      <c r="O189" s="820">
        <f t="shared" si="20"/>
        <v>0</v>
      </c>
    </row>
    <row r="190" spans="3:15" ht="18" hidden="1">
      <c r="C190" s="3859" t="str">
        <f>T('2 REPAIR ESTIMATOR'!D232:O232)</f>
        <v>Asphalt pavement, 5" thick</v>
      </c>
      <c r="D190" s="3859"/>
      <c r="E190" s="3859"/>
      <c r="F190" s="3859"/>
      <c r="G190" s="3831">
        <f>'2 REPAIR ESTIMATOR'!AQ232</f>
        <v>0</v>
      </c>
      <c r="H190" s="3831"/>
      <c r="I190" s="810">
        <f t="shared" si="18"/>
        <v>0</v>
      </c>
      <c r="J190" s="811">
        <f t="shared" si="19"/>
        <v>0</v>
      </c>
      <c r="K190" s="3832"/>
      <c r="L190" s="3833"/>
      <c r="M190" s="3833"/>
      <c r="N190" s="3834"/>
      <c r="O190" s="820">
        <f t="shared" si="20"/>
        <v>0</v>
      </c>
    </row>
    <row r="191" spans="3:15" ht="18" hidden="1">
      <c r="C191" s="3859" t="str">
        <f>T('2 REPAIR ESTIMATOR'!D233:O233)</f>
        <v>Asphalt pavement, 7" thick</v>
      </c>
      <c r="D191" s="3859"/>
      <c r="E191" s="3859"/>
      <c r="F191" s="3859"/>
      <c r="G191" s="3831">
        <f>'2 REPAIR ESTIMATOR'!AQ233</f>
        <v>0</v>
      </c>
      <c r="H191" s="3831"/>
      <c r="I191" s="810">
        <f t="shared" si="18"/>
        <v>0</v>
      </c>
      <c r="J191" s="811">
        <f t="shared" si="19"/>
        <v>0</v>
      </c>
      <c r="K191" s="3832"/>
      <c r="L191" s="3833"/>
      <c r="M191" s="3833"/>
      <c r="N191" s="3834"/>
      <c r="O191" s="820">
        <f t="shared" si="20"/>
        <v>0</v>
      </c>
    </row>
    <row r="192" spans="3:15" ht="18" hidden="1">
      <c r="C192" s="3859" t="str">
        <f>T('2 REPAIR ESTIMATOR'!D234:O234)</f>
        <v>Asphalt pavement, wearing course, 1" thick only</v>
      </c>
      <c r="D192" s="3859"/>
      <c r="E192" s="3859"/>
      <c r="F192" s="3859"/>
      <c r="G192" s="3831">
        <f>'2 REPAIR ESTIMATOR'!AQ234</f>
        <v>0</v>
      </c>
      <c r="H192" s="3831"/>
      <c r="I192" s="810">
        <f t="shared" si="18"/>
        <v>0</v>
      </c>
      <c r="J192" s="811">
        <f t="shared" si="19"/>
        <v>0</v>
      </c>
      <c r="K192" s="3832"/>
      <c r="L192" s="3833"/>
      <c r="M192" s="3833"/>
      <c r="N192" s="3834"/>
      <c r="O192" s="820">
        <f t="shared" si="20"/>
        <v>0</v>
      </c>
    </row>
    <row r="193" spans="3:15" ht="18" hidden="1">
      <c r="C193" s="3859" t="str">
        <f>T('2 REPAIR ESTIMATOR'!D235:O235)</f>
        <v>Asphalt seal coat</v>
      </c>
      <c r="D193" s="3859"/>
      <c r="E193" s="3859"/>
      <c r="F193" s="3859"/>
      <c r="G193" s="3831">
        <f>'2 REPAIR ESTIMATOR'!AQ235</f>
        <v>0</v>
      </c>
      <c r="H193" s="3831"/>
      <c r="I193" s="810">
        <f t="shared" si="18"/>
        <v>0</v>
      </c>
      <c r="J193" s="811">
        <f t="shared" si="19"/>
        <v>0</v>
      </c>
      <c r="K193" s="3832"/>
      <c r="L193" s="3833"/>
      <c r="M193" s="3833"/>
      <c r="N193" s="3834"/>
      <c r="O193" s="820">
        <f t="shared" si="20"/>
        <v>0</v>
      </c>
    </row>
    <row r="194" spans="3:15" ht="18" hidden="1">
      <c r="C194" s="3859" t="str">
        <f>T('2 REPAIR ESTIMATOR'!D236:O236)</f>
        <v>Add for 4" base rock below asphalt pavement</v>
      </c>
      <c r="D194" s="3859"/>
      <c r="E194" s="3859"/>
      <c r="F194" s="3859"/>
      <c r="G194" s="3831">
        <f>'2 REPAIR ESTIMATOR'!AQ236</f>
        <v>0</v>
      </c>
      <c r="H194" s="3831"/>
      <c r="I194" s="810">
        <f t="shared" si="18"/>
        <v>0</v>
      </c>
      <c r="J194" s="811">
        <f t="shared" si="19"/>
        <v>0</v>
      </c>
      <c r="K194" s="3832"/>
      <c r="L194" s="3833"/>
      <c r="M194" s="3833"/>
      <c r="N194" s="3834"/>
      <c r="O194" s="820">
        <f t="shared" si="20"/>
        <v>0</v>
      </c>
    </row>
    <row r="195" spans="3:15" ht="18" hidden="1">
      <c r="C195" s="3859" t="str">
        <f>T('2 REPAIR ESTIMATOR'!D237:O237)</f>
        <v/>
      </c>
      <c r="D195" s="3859"/>
      <c r="E195" s="3859"/>
      <c r="F195" s="3859"/>
      <c r="G195" s="3831">
        <f>'2 REPAIR ESTIMATOR'!AQ237</f>
        <v>0</v>
      </c>
      <c r="H195" s="3831"/>
      <c r="I195" s="810">
        <f t="shared" si="18"/>
        <v>0</v>
      </c>
      <c r="J195" s="811">
        <f t="shared" si="19"/>
        <v>0</v>
      </c>
      <c r="K195" s="3832"/>
      <c r="L195" s="3833"/>
      <c r="M195" s="3833"/>
      <c r="N195" s="3834"/>
      <c r="O195" s="820">
        <f t="shared" si="20"/>
        <v>0</v>
      </c>
    </row>
    <row r="196" spans="3:15" ht="18" hidden="1">
      <c r="C196" s="3858" t="str">
        <f>T('2 REPAIR ESTIMATOR'!D238:O238)</f>
        <v>Pavers</v>
      </c>
      <c r="D196" s="3858"/>
      <c r="E196" s="3858"/>
      <c r="F196" s="3858"/>
      <c r="G196" s="3831">
        <f>'2 REPAIR ESTIMATOR'!AQ238</f>
        <v>0</v>
      </c>
      <c r="H196" s="3831"/>
      <c r="I196" s="810">
        <f t="shared" si="18"/>
        <v>0</v>
      </c>
      <c r="J196" s="811">
        <f t="shared" si="19"/>
        <v>0</v>
      </c>
      <c r="K196" s="3832"/>
      <c r="L196" s="3833"/>
      <c r="M196" s="3833"/>
      <c r="N196" s="3834"/>
      <c r="O196" s="820">
        <f t="shared" si="20"/>
        <v>0</v>
      </c>
    </row>
    <row r="197" spans="3:15" ht="18" hidden="1">
      <c r="C197" s="3859" t="str">
        <f>T('2 REPAIR ESTIMATOR'!D239:O239)</f>
        <v>Pavers bid/allowance</v>
      </c>
      <c r="D197" s="3859"/>
      <c r="E197" s="3859"/>
      <c r="F197" s="3859"/>
      <c r="G197" s="3831">
        <f>'2 REPAIR ESTIMATOR'!AQ239</f>
        <v>0</v>
      </c>
      <c r="H197" s="3831"/>
      <c r="I197" s="810">
        <f t="shared" si="18"/>
        <v>0</v>
      </c>
      <c r="J197" s="811">
        <f t="shared" si="19"/>
        <v>0</v>
      </c>
      <c r="K197" s="3832"/>
      <c r="L197" s="3833"/>
      <c r="M197" s="3833"/>
      <c r="N197" s="3834"/>
      <c r="O197" s="820">
        <f t="shared" si="20"/>
        <v>0</v>
      </c>
    </row>
    <row r="198" spans="3:15" ht="18" hidden="1">
      <c r="C198" s="3859" t="str">
        <f>T('2 REPAIR ESTIMATOR'!D240:O240)</f>
        <v>Brick pavers, sand base</v>
      </c>
      <c r="D198" s="3859"/>
      <c r="E198" s="3859"/>
      <c r="F198" s="3859"/>
      <c r="G198" s="3831">
        <f>'2 REPAIR ESTIMATOR'!AQ240</f>
        <v>0</v>
      </c>
      <c r="H198" s="3831"/>
      <c r="I198" s="810">
        <f t="shared" si="18"/>
        <v>0</v>
      </c>
      <c r="J198" s="811">
        <f t="shared" si="19"/>
        <v>0</v>
      </c>
      <c r="K198" s="3832"/>
      <c r="L198" s="3833"/>
      <c r="M198" s="3833"/>
      <c r="N198" s="3834"/>
      <c r="O198" s="820">
        <f t="shared" si="20"/>
        <v>0</v>
      </c>
    </row>
    <row r="199" spans="3:15" ht="18" hidden="1">
      <c r="C199" s="3859" t="str">
        <f>T('2 REPAIR ESTIMATOR'!D241:O241)</f>
        <v>Brick pavers, mortar base</v>
      </c>
      <c r="D199" s="3859"/>
      <c r="E199" s="3859"/>
      <c r="F199" s="3859"/>
      <c r="G199" s="3831">
        <f>'2 REPAIR ESTIMATOR'!AQ241</f>
        <v>0</v>
      </c>
      <c r="H199" s="3831"/>
      <c r="I199" s="810">
        <f t="shared" si="18"/>
        <v>0</v>
      </c>
      <c r="J199" s="811">
        <f t="shared" si="19"/>
        <v>0</v>
      </c>
      <c r="K199" s="3832"/>
      <c r="L199" s="3833"/>
      <c r="M199" s="3833"/>
      <c r="N199" s="3834"/>
      <c r="O199" s="820">
        <f t="shared" si="20"/>
        <v>0</v>
      </c>
    </row>
    <row r="200" spans="3:15" ht="18" hidden="1">
      <c r="C200" s="3859" t="str">
        <f>T('2 REPAIR ESTIMATOR'!D242:O242)</f>
        <v/>
      </c>
      <c r="D200" s="3859"/>
      <c r="E200" s="3859"/>
      <c r="F200" s="3859"/>
      <c r="G200" s="3831">
        <f>'2 REPAIR ESTIMATOR'!AQ242</f>
        <v>0</v>
      </c>
      <c r="H200" s="3831"/>
      <c r="I200" s="810">
        <f t="shared" si="18"/>
        <v>0</v>
      </c>
      <c r="J200" s="811">
        <f t="shared" si="19"/>
        <v>0</v>
      </c>
      <c r="K200" s="3832"/>
      <c r="L200" s="3833"/>
      <c r="M200" s="3833"/>
      <c r="N200" s="3834"/>
      <c r="O200" s="820">
        <f t="shared" si="20"/>
        <v>0</v>
      </c>
    </row>
    <row r="201" spans="3:15" ht="18" hidden="1">
      <c r="C201" s="3859" t="str">
        <f>T('2 REPAIR ESTIMATOR'!D243:O243)</f>
        <v/>
      </c>
      <c r="D201" s="3859"/>
      <c r="E201" s="3859"/>
      <c r="F201" s="3859"/>
      <c r="G201" s="3831">
        <f>'2 REPAIR ESTIMATOR'!AQ243</f>
        <v>0</v>
      </c>
      <c r="H201" s="3831"/>
      <c r="I201" s="810">
        <f t="shared" si="18"/>
        <v>0</v>
      </c>
      <c r="J201" s="811">
        <f t="shared" si="19"/>
        <v>0</v>
      </c>
      <c r="K201" s="3832"/>
      <c r="L201" s="3833"/>
      <c r="M201" s="3833"/>
      <c r="N201" s="3834"/>
      <c r="O201" s="820">
        <f t="shared" si="20"/>
        <v>0</v>
      </c>
    </row>
    <row r="202" spans="3:15" ht="18" hidden="1">
      <c r="C202" s="3859" t="str">
        <f>T('2 REPAIR ESTIMATOR'!D244:O244)</f>
        <v/>
      </c>
      <c r="D202" s="3859"/>
      <c r="E202" s="3859"/>
      <c r="F202" s="3859"/>
      <c r="G202" s="3831">
        <f>'2 REPAIR ESTIMATOR'!AQ244</f>
        <v>0</v>
      </c>
      <c r="H202" s="3831"/>
      <c r="I202" s="810">
        <f t="shared" si="18"/>
        <v>0</v>
      </c>
      <c r="J202" s="811">
        <f t="shared" si="19"/>
        <v>0</v>
      </c>
      <c r="K202" s="3832"/>
      <c r="L202" s="3833"/>
      <c r="M202" s="3833"/>
      <c r="N202" s="3834"/>
      <c r="O202" s="820">
        <f t="shared" si="20"/>
        <v>0</v>
      </c>
    </row>
    <row r="203" spans="3:15" ht="18" hidden="1">
      <c r="C203" s="3859" t="str">
        <f>T('2 REPAIR ESTIMATOR'!D245:O245)</f>
        <v/>
      </c>
      <c r="D203" s="3859"/>
      <c r="E203" s="3859"/>
      <c r="F203" s="3859"/>
      <c r="G203" s="3831">
        <f>'2 REPAIR ESTIMATOR'!AQ245</f>
        <v>0</v>
      </c>
      <c r="H203" s="3831"/>
      <c r="I203" s="810">
        <f t="shared" si="18"/>
        <v>0</v>
      </c>
      <c r="J203" s="811">
        <f t="shared" si="19"/>
        <v>0</v>
      </c>
      <c r="K203" s="3832"/>
      <c r="L203" s="3833"/>
      <c r="M203" s="3833"/>
      <c r="N203" s="3834"/>
      <c r="O203" s="820">
        <f t="shared" si="20"/>
        <v>0</v>
      </c>
    </row>
    <row r="204" spans="3:15" ht="18" hidden="1">
      <c r="C204" s="3859" t="str">
        <f>T('2 REPAIR ESTIMATOR'!D246:O246)</f>
        <v/>
      </c>
      <c r="D204" s="3859"/>
      <c r="E204" s="3859"/>
      <c r="F204" s="3859"/>
      <c r="G204" s="3831">
        <f>'2 REPAIR ESTIMATOR'!AQ246</f>
        <v>0</v>
      </c>
      <c r="H204" s="3831"/>
      <c r="I204" s="810">
        <f t="shared" si="18"/>
        <v>0</v>
      </c>
      <c r="J204" s="811">
        <f t="shared" si="19"/>
        <v>0</v>
      </c>
      <c r="K204" s="3832"/>
      <c r="L204" s="3833"/>
      <c r="M204" s="3833"/>
      <c r="N204" s="3834"/>
      <c r="O204" s="820">
        <f t="shared" si="20"/>
        <v>0</v>
      </c>
    </row>
    <row r="205" spans="3:15" ht="18" hidden="1">
      <c r="C205" s="3859" t="str">
        <f>T('2 REPAIR ESTIMATOR'!D247:O247)</f>
        <v/>
      </c>
      <c r="D205" s="3859"/>
      <c r="E205" s="3859"/>
      <c r="F205" s="3859"/>
      <c r="G205" s="3831">
        <f>'2 REPAIR ESTIMATOR'!AQ247</f>
        <v>0</v>
      </c>
      <c r="H205" s="3831"/>
      <c r="I205" s="810">
        <f t="shared" si="18"/>
        <v>0</v>
      </c>
      <c r="J205" s="811">
        <f t="shared" si="19"/>
        <v>0</v>
      </c>
      <c r="K205" s="3832"/>
      <c r="L205" s="3833"/>
      <c r="M205" s="3833"/>
      <c r="N205" s="3834"/>
      <c r="O205" s="820">
        <f t="shared" si="20"/>
        <v>0</v>
      </c>
    </row>
    <row r="206" spans="3:15" ht="18" hidden="1">
      <c r="C206" s="3859" t="str">
        <f>T('2 REPAIR ESTIMATOR'!D248:O248)</f>
        <v/>
      </c>
      <c r="D206" s="3859"/>
      <c r="E206" s="3859"/>
      <c r="F206" s="3859"/>
      <c r="G206" s="3831">
        <f>'2 REPAIR ESTIMATOR'!AQ248</f>
        <v>0</v>
      </c>
      <c r="H206" s="3831"/>
      <c r="I206" s="810">
        <f t="shared" si="18"/>
        <v>0</v>
      </c>
      <c r="J206" s="811">
        <f t="shared" si="19"/>
        <v>0</v>
      </c>
      <c r="K206" s="3832"/>
      <c r="L206" s="3833"/>
      <c r="M206" s="3833"/>
      <c r="N206" s="3834"/>
      <c r="O206" s="820">
        <f t="shared" si="20"/>
        <v>0</v>
      </c>
    </row>
    <row r="207" spans="3:15" ht="18" hidden="1">
      <c r="C207" s="3859" t="str">
        <f>T('2 REPAIR ESTIMATOR'!D249:O249)</f>
        <v/>
      </c>
      <c r="D207" s="3859"/>
      <c r="E207" s="3859"/>
      <c r="F207" s="3859"/>
      <c r="G207" s="3831">
        <f>'2 REPAIR ESTIMATOR'!AQ249</f>
        <v>0</v>
      </c>
      <c r="H207" s="3831"/>
      <c r="I207" s="810">
        <f t="shared" si="18"/>
        <v>0</v>
      </c>
      <c r="J207" s="811">
        <f t="shared" si="19"/>
        <v>0</v>
      </c>
      <c r="K207" s="3832"/>
      <c r="L207" s="3833"/>
      <c r="M207" s="3833"/>
      <c r="N207" s="3834"/>
      <c r="O207" s="820">
        <f t="shared" si="20"/>
        <v>0</v>
      </c>
    </row>
    <row r="208" spans="3:15" ht="18" hidden="1">
      <c r="C208" s="3859" t="str">
        <f>T('2 REPAIR ESTIMATOR'!D250:O250)</f>
        <v/>
      </c>
      <c r="D208" s="3859"/>
      <c r="E208" s="3859"/>
      <c r="F208" s="3859"/>
      <c r="G208" s="3831">
        <f>'2 REPAIR ESTIMATOR'!AQ250</f>
        <v>0</v>
      </c>
      <c r="H208" s="3831"/>
      <c r="I208" s="810">
        <f t="shared" si="18"/>
        <v>0</v>
      </c>
      <c r="J208" s="811">
        <f t="shared" si="19"/>
        <v>0</v>
      </c>
      <c r="K208" s="3832"/>
      <c r="L208" s="3833"/>
      <c r="M208" s="3833"/>
      <c r="N208" s="3834"/>
      <c r="O208" s="820">
        <f t="shared" si="20"/>
        <v>0</v>
      </c>
    </row>
    <row r="209" spans="3:15" ht="18" hidden="1">
      <c r="C209" s="3859" t="str">
        <f>T('2 REPAIR ESTIMATOR'!D251:O251)</f>
        <v/>
      </c>
      <c r="D209" s="3859"/>
      <c r="E209" s="3859"/>
      <c r="F209" s="3859"/>
      <c r="G209" s="3831">
        <f>'2 REPAIR ESTIMATOR'!AQ251</f>
        <v>0</v>
      </c>
      <c r="H209" s="3831"/>
      <c r="I209" s="810">
        <f t="shared" si="18"/>
        <v>0</v>
      </c>
      <c r="J209" s="811">
        <f t="shared" si="19"/>
        <v>0</v>
      </c>
      <c r="K209" s="3832"/>
      <c r="L209" s="3833"/>
      <c r="M209" s="3833"/>
      <c r="N209" s="3834"/>
      <c r="O209" s="820">
        <f t="shared" si="20"/>
        <v>0</v>
      </c>
    </row>
    <row r="210" spans="3:15" ht="18" hidden="1">
      <c r="C210" s="3859" t="str">
        <f>T('2 REPAIR ESTIMATOR'!D252:O252)</f>
        <v/>
      </c>
      <c r="D210" s="3859"/>
      <c r="E210" s="3859"/>
      <c r="F210" s="3859"/>
      <c r="G210" s="3831">
        <f>'2 REPAIR ESTIMATOR'!AQ252</f>
        <v>0</v>
      </c>
      <c r="H210" s="3831"/>
      <c r="I210" s="810">
        <f t="shared" si="18"/>
        <v>0</v>
      </c>
      <c r="J210" s="811">
        <f t="shared" si="19"/>
        <v>0</v>
      </c>
      <c r="K210" s="3832"/>
      <c r="L210" s="3833"/>
      <c r="M210" s="3833"/>
      <c r="N210" s="3834"/>
      <c r="O210" s="820">
        <f t="shared" si="20"/>
        <v>0</v>
      </c>
    </row>
    <row r="211" spans="3:15" ht="18" hidden="1">
      <c r="C211" s="3859" t="str">
        <f>T('2 REPAIR ESTIMATOR'!D253:O253)</f>
        <v/>
      </c>
      <c r="D211" s="3859"/>
      <c r="E211" s="3859"/>
      <c r="F211" s="3859"/>
      <c r="G211" s="3831">
        <f>'2 REPAIR ESTIMATOR'!AQ253</f>
        <v>0</v>
      </c>
      <c r="H211" s="3831"/>
      <c r="I211" s="810">
        <f t="shared" si="18"/>
        <v>0</v>
      </c>
      <c r="J211" s="811">
        <f t="shared" si="19"/>
        <v>0</v>
      </c>
      <c r="K211" s="3832"/>
      <c r="L211" s="3833"/>
      <c r="M211" s="3833"/>
      <c r="N211" s="3834"/>
      <c r="O211" s="820">
        <f t="shared" si="20"/>
        <v>0</v>
      </c>
    </row>
    <row r="212" spans="3:15" ht="18" hidden="1">
      <c r="C212" s="3859" t="str">
        <f>T('2 REPAIR ESTIMATOR'!D254:O254)</f>
        <v/>
      </c>
      <c r="D212" s="3859"/>
      <c r="E212" s="3859"/>
      <c r="F212" s="3859"/>
      <c r="G212" s="3831">
        <f>'2 REPAIR ESTIMATOR'!AQ254</f>
        <v>0</v>
      </c>
      <c r="H212" s="3831"/>
      <c r="I212" s="810">
        <f t="shared" si="18"/>
        <v>0</v>
      </c>
      <c r="J212" s="811">
        <f t="shared" si="19"/>
        <v>0</v>
      </c>
      <c r="K212" s="3832"/>
      <c r="L212" s="3833"/>
      <c r="M212" s="3833"/>
      <c r="N212" s="3834"/>
      <c r="O212" s="820">
        <f t="shared" si="20"/>
        <v>0</v>
      </c>
    </row>
    <row r="213" spans="3:15" ht="18" hidden="1">
      <c r="C213" s="3859" t="str">
        <f>T('2 REPAIR ESTIMATOR'!D255:O255)</f>
        <v/>
      </c>
      <c r="D213" s="3859"/>
      <c r="E213" s="3859"/>
      <c r="F213" s="3859"/>
      <c r="G213" s="3831">
        <f>'2 REPAIR ESTIMATOR'!AQ255</f>
        <v>0</v>
      </c>
      <c r="H213" s="3831"/>
      <c r="I213" s="810">
        <f t="shared" si="18"/>
        <v>0</v>
      </c>
      <c r="J213" s="811">
        <f t="shared" si="19"/>
        <v>0</v>
      </c>
      <c r="K213" s="3832"/>
      <c r="L213" s="3833"/>
      <c r="M213" s="3833"/>
      <c r="N213" s="3834"/>
      <c r="O213" s="820">
        <f t="shared" si="20"/>
        <v>0</v>
      </c>
    </row>
    <row r="214" spans="3:15" ht="18" hidden="1">
      <c r="C214" s="3859" t="str">
        <f>T('2 REPAIR ESTIMATOR'!D256:O256)</f>
        <v/>
      </c>
      <c r="D214" s="3859"/>
      <c r="E214" s="3859"/>
      <c r="F214" s="3859"/>
      <c r="G214" s="3831">
        <f>'2 REPAIR ESTIMATOR'!AQ256</f>
        <v>0</v>
      </c>
      <c r="H214" s="3831"/>
      <c r="I214" s="810">
        <f t="shared" si="18"/>
        <v>0</v>
      </c>
      <c r="J214" s="811">
        <f t="shared" si="19"/>
        <v>0</v>
      </c>
      <c r="K214" s="3832"/>
      <c r="L214" s="3833"/>
      <c r="M214" s="3833"/>
      <c r="N214" s="3834"/>
      <c r="O214" s="820">
        <f t="shared" si="20"/>
        <v>0</v>
      </c>
    </row>
    <row r="215" spans="3:15" ht="18" hidden="1">
      <c r="C215" s="3859" t="str">
        <f>T('2 REPAIR ESTIMATOR'!D257:O257)</f>
        <v/>
      </c>
      <c r="D215" s="3859"/>
      <c r="E215" s="3859"/>
      <c r="F215" s="3859"/>
      <c r="G215" s="3831">
        <f>'2 REPAIR ESTIMATOR'!AQ257</f>
        <v>0</v>
      </c>
      <c r="H215" s="3831"/>
      <c r="I215" s="810">
        <f t="shared" si="18"/>
        <v>0</v>
      </c>
      <c r="J215" s="811">
        <f t="shared" si="19"/>
        <v>0</v>
      </c>
      <c r="K215" s="3832"/>
      <c r="L215" s="3833"/>
      <c r="M215" s="3833"/>
      <c r="N215" s="3834"/>
      <c r="O215" s="820">
        <f t="shared" si="20"/>
        <v>0</v>
      </c>
    </row>
    <row r="216" spans="3:15" ht="18" hidden="1">
      <c r="C216" s="3859" t="str">
        <f>T('2 REPAIR ESTIMATOR'!D258:O258)</f>
        <v/>
      </c>
      <c r="D216" s="3859"/>
      <c r="E216" s="3859"/>
      <c r="F216" s="3859"/>
      <c r="G216" s="3831">
        <f>'2 REPAIR ESTIMATOR'!AQ258</f>
        <v>0</v>
      </c>
      <c r="H216" s="3831"/>
      <c r="I216" s="810">
        <f t="shared" si="18"/>
        <v>0</v>
      </c>
      <c r="J216" s="811">
        <f t="shared" si="19"/>
        <v>0</v>
      </c>
      <c r="K216" s="3832"/>
      <c r="L216" s="3833"/>
      <c r="M216" s="3833"/>
      <c r="N216" s="3834"/>
      <c r="O216" s="820">
        <f t="shared" si="20"/>
        <v>0</v>
      </c>
    </row>
    <row r="217" spans="3:15" ht="18" hidden="1">
      <c r="C217" s="3859" t="str">
        <f>T('2 REPAIR ESTIMATOR'!D259:O259)</f>
        <v/>
      </c>
      <c r="D217" s="3859"/>
      <c r="E217" s="3859"/>
      <c r="F217" s="3859"/>
      <c r="G217" s="3831">
        <f>'2 REPAIR ESTIMATOR'!AQ259</f>
        <v>0</v>
      </c>
      <c r="H217" s="3831"/>
      <c r="I217" s="810">
        <f t="shared" si="18"/>
        <v>0</v>
      </c>
      <c r="J217" s="811">
        <f t="shared" si="19"/>
        <v>0</v>
      </c>
      <c r="K217" s="3832"/>
      <c r="L217" s="3833"/>
      <c r="M217" s="3833"/>
      <c r="N217" s="3834"/>
      <c r="O217" s="820">
        <f t="shared" si="20"/>
        <v>0</v>
      </c>
    </row>
    <row r="218" spans="3:15" ht="18" hidden="1">
      <c r="C218" s="3859" t="str">
        <f>T('2 REPAIR ESTIMATOR'!D260:O260)</f>
        <v/>
      </c>
      <c r="D218" s="3859"/>
      <c r="E218" s="3859"/>
      <c r="F218" s="3859"/>
      <c r="G218" s="3831">
        <f>'2 REPAIR ESTIMATOR'!AQ260</f>
        <v>0</v>
      </c>
      <c r="H218" s="3831"/>
      <c r="I218" s="810">
        <f t="shared" si="18"/>
        <v>0</v>
      </c>
      <c r="J218" s="811">
        <f t="shared" si="19"/>
        <v>0</v>
      </c>
      <c r="K218" s="3832"/>
      <c r="L218" s="3833"/>
      <c r="M218" s="3833"/>
      <c r="N218" s="3834"/>
      <c r="O218" s="820">
        <f t="shared" si="20"/>
        <v>0</v>
      </c>
    </row>
    <row r="219" spans="3:15" ht="18" hidden="1">
      <c r="C219" s="3859" t="str">
        <f>T('2 REPAIR ESTIMATOR'!D261:O261)</f>
        <v/>
      </c>
      <c r="D219" s="3859"/>
      <c r="E219" s="3859"/>
      <c r="F219" s="3859"/>
      <c r="G219" s="3831">
        <f>'2 REPAIR ESTIMATOR'!AQ261</f>
        <v>0</v>
      </c>
      <c r="H219" s="3831"/>
      <c r="I219" s="810">
        <f t="shared" si="18"/>
        <v>0</v>
      </c>
      <c r="J219" s="811">
        <f t="shared" si="19"/>
        <v>0</v>
      </c>
      <c r="K219" s="3832"/>
      <c r="L219" s="3833"/>
      <c r="M219" s="3833"/>
      <c r="N219" s="3834"/>
      <c r="O219" s="820">
        <f t="shared" si="20"/>
        <v>0</v>
      </c>
    </row>
    <row r="220" spans="3:15" ht="18.350000000000001" hidden="1" thickBot="1">
      <c r="C220" s="3835" t="str">
        <f>T('2 REPAIR ESTIMATOR'!D262:O262)</f>
        <v/>
      </c>
      <c r="D220" s="3835"/>
      <c r="E220" s="3835"/>
      <c r="F220" s="3835"/>
      <c r="G220" s="3836">
        <f>'2 REPAIR ESTIMATOR'!AQ262</f>
        <v>0</v>
      </c>
      <c r="H220" s="3836"/>
      <c r="I220" s="813">
        <f t="shared" si="18"/>
        <v>0</v>
      </c>
      <c r="J220" s="814">
        <f t="shared" si="19"/>
        <v>0</v>
      </c>
      <c r="K220" s="3837"/>
      <c r="L220" s="3838"/>
      <c r="M220" s="3838"/>
      <c r="N220" s="3839"/>
      <c r="O220" s="823">
        <f t="shared" si="20"/>
        <v>0</v>
      </c>
    </row>
    <row r="221" spans="3:15" ht="18.350000000000001" hidden="1" thickTop="1">
      <c r="C221" s="3825" t="str">
        <f>T('2 REPAIR ESTIMATOR'!AC264)</f>
        <v>CONCRETE &amp; FLATWORK TOTAL</v>
      </c>
      <c r="D221" s="3825"/>
      <c r="E221" s="3825"/>
      <c r="F221" s="3825"/>
      <c r="G221" s="3826">
        <f>SUM(G181:H220)</f>
        <v>0</v>
      </c>
      <c r="H221" s="3826"/>
      <c r="I221" s="818">
        <f>SUM(I181:I220)</f>
        <v>0</v>
      </c>
      <c r="J221" s="819">
        <f>SUM(J181:J220)</f>
        <v>0</v>
      </c>
      <c r="K221" s="3827"/>
      <c r="L221" s="3828"/>
      <c r="M221" s="3828"/>
      <c r="N221" s="3829"/>
      <c r="O221" s="821">
        <f>SUM(O181:O220)</f>
        <v>0</v>
      </c>
    </row>
    <row r="222" spans="3:15" ht="8.85" hidden="1" customHeight="1">
      <c r="C222" s="836"/>
      <c r="D222" s="836"/>
      <c r="E222" s="836"/>
      <c r="F222" s="836"/>
      <c r="G222" s="837"/>
      <c r="H222" s="837"/>
      <c r="I222" s="837"/>
      <c r="J222" s="837"/>
      <c r="K222" s="837"/>
      <c r="L222" s="837"/>
      <c r="M222" s="837"/>
      <c r="N222" s="837"/>
      <c r="O222" s="822">
        <f>O221</f>
        <v>0</v>
      </c>
    </row>
    <row r="223" spans="3:15" ht="22.5" hidden="1" customHeight="1">
      <c r="C223" s="3840" t="str">
        <f>T('2 REPAIR ESTIMATOR'!D267:O267)</f>
        <v>MASONRY</v>
      </c>
      <c r="D223" s="3840"/>
      <c r="E223" s="3840"/>
      <c r="F223" s="3841"/>
      <c r="G223" s="3845"/>
      <c r="H223" s="3846"/>
      <c r="I223" s="831"/>
      <c r="J223" s="831"/>
      <c r="K223" s="3844"/>
      <c r="L223" s="3844"/>
      <c r="M223" s="3844"/>
      <c r="N223" s="3845"/>
      <c r="O223" s="820">
        <f>SUM(O224:O263)</f>
        <v>0</v>
      </c>
    </row>
    <row r="224" spans="3:15" ht="18" hidden="1">
      <c r="C224" s="3859" t="str">
        <f>T('2 REPAIR ESTIMATOR'!D268:O268)</f>
        <v>Masonry bid/allowance</v>
      </c>
      <c r="D224" s="3859"/>
      <c r="E224" s="3859"/>
      <c r="F224" s="3859"/>
      <c r="G224" s="3831">
        <f>'2 REPAIR ESTIMATOR'!AQ268</f>
        <v>0</v>
      </c>
      <c r="H224" s="3831"/>
      <c r="I224" s="810">
        <f t="shared" ref="I224:I263" si="21">IFERROR(G224/Property_Size,0)</f>
        <v>0</v>
      </c>
      <c r="J224" s="811">
        <f t="shared" ref="J224:J263" si="22">IFERROR(G224/Total_Project_Costs_Result,0)</f>
        <v>0</v>
      </c>
      <c r="K224" s="3832"/>
      <c r="L224" s="3833"/>
      <c r="M224" s="3833"/>
      <c r="N224" s="3834"/>
      <c r="O224" s="820">
        <f>IF(G224&gt;0,1,0)</f>
        <v>0</v>
      </c>
    </row>
    <row r="225" spans="3:15" ht="18" hidden="1">
      <c r="C225" s="3859" t="str">
        <f>T('2 REPAIR ESTIMATOR'!D269:O269)</f>
        <v>CMU, 4x8</v>
      </c>
      <c r="D225" s="3859"/>
      <c r="E225" s="3859"/>
      <c r="F225" s="3859"/>
      <c r="G225" s="3831">
        <f>'2 REPAIR ESTIMATOR'!AQ269</f>
        <v>0</v>
      </c>
      <c r="H225" s="3831"/>
      <c r="I225" s="810">
        <f t="shared" si="21"/>
        <v>0</v>
      </c>
      <c r="J225" s="811">
        <f t="shared" si="22"/>
        <v>0</v>
      </c>
      <c r="K225" s="3832"/>
      <c r="L225" s="3833"/>
      <c r="M225" s="3833"/>
      <c r="N225" s="3834"/>
      <c r="O225" s="820">
        <f t="shared" ref="O225:O263" si="23">IF(G225&gt;0,1,0)</f>
        <v>0</v>
      </c>
    </row>
    <row r="226" spans="3:15" ht="18" hidden="1">
      <c r="C226" s="3859" t="str">
        <f>T('2 REPAIR ESTIMATOR'!D270:O270)</f>
        <v>CMU, 8x8</v>
      </c>
      <c r="D226" s="3859"/>
      <c r="E226" s="3859"/>
      <c r="F226" s="3859"/>
      <c r="G226" s="3831">
        <f>'2 REPAIR ESTIMATOR'!AQ270</f>
        <v>0</v>
      </c>
      <c r="H226" s="3831"/>
      <c r="I226" s="810">
        <f t="shared" si="21"/>
        <v>0</v>
      </c>
      <c r="J226" s="811">
        <f t="shared" si="22"/>
        <v>0</v>
      </c>
      <c r="K226" s="3832"/>
      <c r="L226" s="3833"/>
      <c r="M226" s="3833"/>
      <c r="N226" s="3834"/>
      <c r="O226" s="820">
        <f t="shared" si="23"/>
        <v>0</v>
      </c>
    </row>
    <row r="227" spans="3:15" ht="18" hidden="1">
      <c r="C227" s="3859" t="str">
        <f>T('2 REPAIR ESTIMATOR'!D271:O271)</f>
        <v>Brick veneer</v>
      </c>
      <c r="D227" s="3859"/>
      <c r="E227" s="3859"/>
      <c r="F227" s="3859"/>
      <c r="G227" s="3831">
        <f>'2 REPAIR ESTIMATOR'!AQ271</f>
        <v>0</v>
      </c>
      <c r="H227" s="3831"/>
      <c r="I227" s="810">
        <f t="shared" si="21"/>
        <v>0</v>
      </c>
      <c r="J227" s="811">
        <f t="shared" si="22"/>
        <v>0</v>
      </c>
      <c r="K227" s="3832"/>
      <c r="L227" s="3833"/>
      <c r="M227" s="3833"/>
      <c r="N227" s="3834"/>
      <c r="O227" s="820">
        <f t="shared" si="23"/>
        <v>0</v>
      </c>
    </row>
    <row r="228" spans="3:15" ht="18" hidden="1">
      <c r="C228" s="3859" t="str">
        <f>T('2 REPAIR ESTIMATOR'!D272:O272)</f>
        <v>Natural stone</v>
      </c>
      <c r="D228" s="3859"/>
      <c r="E228" s="3859"/>
      <c r="F228" s="3859"/>
      <c r="G228" s="3831">
        <f>'2 REPAIR ESTIMATOR'!AQ272</f>
        <v>0</v>
      </c>
      <c r="H228" s="3831"/>
      <c r="I228" s="810">
        <f t="shared" si="21"/>
        <v>0</v>
      </c>
      <c r="J228" s="811">
        <f t="shared" si="22"/>
        <v>0</v>
      </c>
      <c r="K228" s="3832"/>
      <c r="L228" s="3833"/>
      <c r="M228" s="3833"/>
      <c r="N228" s="3834"/>
      <c r="O228" s="820">
        <f t="shared" si="23"/>
        <v>0</v>
      </c>
    </row>
    <row r="229" spans="3:15" ht="18" hidden="1">
      <c r="C229" s="3859" t="str">
        <f>T('2 REPAIR ESTIMATOR'!D273:O273)</f>
        <v>Masonry waterproofing</v>
      </c>
      <c r="D229" s="3859"/>
      <c r="E229" s="3859"/>
      <c r="F229" s="3859"/>
      <c r="G229" s="3831">
        <f>'2 REPAIR ESTIMATOR'!AQ273</f>
        <v>0</v>
      </c>
      <c r="H229" s="3831"/>
      <c r="I229" s="810">
        <f t="shared" si="21"/>
        <v>0</v>
      </c>
      <c r="J229" s="811">
        <f t="shared" si="22"/>
        <v>0</v>
      </c>
      <c r="K229" s="3832"/>
      <c r="L229" s="3833"/>
      <c r="M229" s="3833"/>
      <c r="N229" s="3834"/>
      <c r="O229" s="820">
        <f t="shared" si="23"/>
        <v>0</v>
      </c>
    </row>
    <row r="230" spans="3:15" ht="18" hidden="1">
      <c r="C230" s="3859" t="str">
        <f>T('2 REPAIR ESTIMATOR'!D274:O274)</f>
        <v>Tuck-point masonry</v>
      </c>
      <c r="D230" s="3859"/>
      <c r="E230" s="3859"/>
      <c r="F230" s="3859"/>
      <c r="G230" s="3831">
        <f>'2 REPAIR ESTIMATOR'!AQ274</f>
        <v>0</v>
      </c>
      <c r="H230" s="3831"/>
      <c r="I230" s="810">
        <f t="shared" si="21"/>
        <v>0</v>
      </c>
      <c r="J230" s="811">
        <f t="shared" si="22"/>
        <v>0</v>
      </c>
      <c r="K230" s="3832"/>
      <c r="L230" s="3833"/>
      <c r="M230" s="3833"/>
      <c r="N230" s="3834"/>
      <c r="O230" s="820">
        <f t="shared" si="23"/>
        <v>0</v>
      </c>
    </row>
    <row r="231" spans="3:15" ht="18" hidden="1">
      <c r="C231" s="3859" t="str">
        <f>T('2 REPAIR ESTIMATOR'!D275:O275)</f>
        <v>Power wash masonry</v>
      </c>
      <c r="D231" s="3859"/>
      <c r="E231" s="3859"/>
      <c r="F231" s="3859"/>
      <c r="G231" s="3831">
        <f>'2 REPAIR ESTIMATOR'!AQ275</f>
        <v>0</v>
      </c>
      <c r="H231" s="3831"/>
      <c r="I231" s="810">
        <f t="shared" si="21"/>
        <v>0</v>
      </c>
      <c r="J231" s="811">
        <f t="shared" si="22"/>
        <v>0</v>
      </c>
      <c r="K231" s="3832"/>
      <c r="L231" s="3833"/>
      <c r="M231" s="3833"/>
      <c r="N231" s="3834"/>
      <c r="O231" s="820">
        <f t="shared" si="23"/>
        <v>0</v>
      </c>
    </row>
    <row r="232" spans="3:15" ht="18" hidden="1">
      <c r="C232" s="3859" t="str">
        <f>T('2 REPAIR ESTIMATOR'!D276:O276)</f>
        <v xml:space="preserve">Chimney, brick </v>
      </c>
      <c r="D232" s="3859"/>
      <c r="E232" s="3859"/>
      <c r="F232" s="3859"/>
      <c r="G232" s="3831">
        <f>'2 REPAIR ESTIMATOR'!AQ276</f>
        <v>0</v>
      </c>
      <c r="H232" s="3831"/>
      <c r="I232" s="810">
        <f t="shared" si="21"/>
        <v>0</v>
      </c>
      <c r="J232" s="811">
        <f t="shared" si="22"/>
        <v>0</v>
      </c>
      <c r="K232" s="3832"/>
      <c r="L232" s="3833"/>
      <c r="M232" s="3833"/>
      <c r="N232" s="3834"/>
      <c r="O232" s="820">
        <f t="shared" si="23"/>
        <v>0</v>
      </c>
    </row>
    <row r="233" spans="3:15" ht="18" hidden="1">
      <c r="C233" s="3859" t="str">
        <f>T('2 REPAIR ESTIMATOR'!D277:O277)</f>
        <v>Chimney, stone</v>
      </c>
      <c r="D233" s="3859"/>
      <c r="E233" s="3859"/>
      <c r="F233" s="3859"/>
      <c r="G233" s="3831">
        <f>'2 REPAIR ESTIMATOR'!AQ277</f>
        <v>0</v>
      </c>
      <c r="H233" s="3831"/>
      <c r="I233" s="810">
        <f t="shared" si="21"/>
        <v>0</v>
      </c>
      <c r="J233" s="811">
        <f t="shared" si="22"/>
        <v>0</v>
      </c>
      <c r="K233" s="3832"/>
      <c r="L233" s="3833"/>
      <c r="M233" s="3833"/>
      <c r="N233" s="3834"/>
      <c r="O233" s="820">
        <f t="shared" si="23"/>
        <v>0</v>
      </c>
    </row>
    <row r="234" spans="3:15" ht="18" hidden="1">
      <c r="C234" s="3859" t="str">
        <f>T('2 REPAIR ESTIMATOR'!D278:O278)</f>
        <v>Add to above for chimney cap</v>
      </c>
      <c r="D234" s="3859"/>
      <c r="E234" s="3859"/>
      <c r="F234" s="3859"/>
      <c r="G234" s="3831">
        <f>'2 REPAIR ESTIMATOR'!AQ278</f>
        <v>0</v>
      </c>
      <c r="H234" s="3831"/>
      <c r="I234" s="810">
        <f t="shared" si="21"/>
        <v>0</v>
      </c>
      <c r="J234" s="811">
        <f t="shared" si="22"/>
        <v>0</v>
      </c>
      <c r="K234" s="3832"/>
      <c r="L234" s="3833"/>
      <c r="M234" s="3833"/>
      <c r="N234" s="3834"/>
      <c r="O234" s="820">
        <f t="shared" si="23"/>
        <v>0</v>
      </c>
    </row>
    <row r="235" spans="3:15" ht="18" hidden="1">
      <c r="C235" s="3859" t="str">
        <f>T('2 REPAIR ESTIMATOR'!D279:O279)</f>
        <v>Fireplace complete, brick, 3ft-4ft wide w/ chimney</v>
      </c>
      <c r="D235" s="3859"/>
      <c r="E235" s="3859"/>
      <c r="F235" s="3859"/>
      <c r="G235" s="3831">
        <f>'2 REPAIR ESTIMATOR'!AQ279</f>
        <v>0</v>
      </c>
      <c r="H235" s="3831"/>
      <c r="I235" s="810">
        <f t="shared" si="21"/>
        <v>0</v>
      </c>
      <c r="J235" s="811">
        <f t="shared" si="22"/>
        <v>0</v>
      </c>
      <c r="K235" s="3832"/>
      <c r="L235" s="3833"/>
      <c r="M235" s="3833"/>
      <c r="N235" s="3834"/>
      <c r="O235" s="820">
        <f t="shared" si="23"/>
        <v>0</v>
      </c>
    </row>
    <row r="236" spans="3:15" ht="18" hidden="1">
      <c r="C236" s="3859" t="str">
        <f>T('2 REPAIR ESTIMATOR'!D280:O280)</f>
        <v/>
      </c>
      <c r="D236" s="3859"/>
      <c r="E236" s="3859"/>
      <c r="F236" s="3859"/>
      <c r="G236" s="3831">
        <f>'2 REPAIR ESTIMATOR'!AQ280</f>
        <v>0</v>
      </c>
      <c r="H236" s="3831"/>
      <c r="I236" s="810">
        <f t="shared" si="21"/>
        <v>0</v>
      </c>
      <c r="J236" s="811">
        <f t="shared" si="22"/>
        <v>0</v>
      </c>
      <c r="K236" s="3832"/>
      <c r="L236" s="3833"/>
      <c r="M236" s="3833"/>
      <c r="N236" s="3834"/>
      <c r="O236" s="820">
        <f t="shared" si="23"/>
        <v>0</v>
      </c>
    </row>
    <row r="237" spans="3:15" ht="18" hidden="1">
      <c r="C237" s="3859" t="str">
        <f>T('2 REPAIR ESTIMATOR'!D281:O281)</f>
        <v/>
      </c>
      <c r="D237" s="3859"/>
      <c r="E237" s="3859"/>
      <c r="F237" s="3859"/>
      <c r="G237" s="3831">
        <f>'2 REPAIR ESTIMATOR'!AQ281</f>
        <v>0</v>
      </c>
      <c r="H237" s="3831"/>
      <c r="I237" s="810">
        <f t="shared" si="21"/>
        <v>0</v>
      </c>
      <c r="J237" s="811">
        <f t="shared" si="22"/>
        <v>0</v>
      </c>
      <c r="K237" s="3832"/>
      <c r="L237" s="3833"/>
      <c r="M237" s="3833"/>
      <c r="N237" s="3834"/>
      <c r="O237" s="820">
        <f t="shared" si="23"/>
        <v>0</v>
      </c>
    </row>
    <row r="238" spans="3:15" ht="18" hidden="1">
      <c r="C238" s="3859" t="str">
        <f>T('2 REPAIR ESTIMATOR'!D282:O282)</f>
        <v/>
      </c>
      <c r="D238" s="3859"/>
      <c r="E238" s="3859"/>
      <c r="F238" s="3859"/>
      <c r="G238" s="3831">
        <f>'2 REPAIR ESTIMATOR'!AQ282</f>
        <v>0</v>
      </c>
      <c r="H238" s="3831"/>
      <c r="I238" s="810">
        <f t="shared" si="21"/>
        <v>0</v>
      </c>
      <c r="J238" s="811">
        <f t="shared" si="22"/>
        <v>0</v>
      </c>
      <c r="K238" s="3832"/>
      <c r="L238" s="3833"/>
      <c r="M238" s="3833"/>
      <c r="N238" s="3834"/>
      <c r="O238" s="820">
        <f t="shared" si="23"/>
        <v>0</v>
      </c>
    </row>
    <row r="239" spans="3:15" ht="18" hidden="1">
      <c r="C239" s="3859" t="str">
        <f>T('2 REPAIR ESTIMATOR'!D283:O283)</f>
        <v/>
      </c>
      <c r="D239" s="3859"/>
      <c r="E239" s="3859"/>
      <c r="F239" s="3859"/>
      <c r="G239" s="3831">
        <f>'2 REPAIR ESTIMATOR'!AQ283</f>
        <v>0</v>
      </c>
      <c r="H239" s="3831"/>
      <c r="I239" s="810">
        <f t="shared" si="21"/>
        <v>0</v>
      </c>
      <c r="J239" s="811">
        <f t="shared" si="22"/>
        <v>0</v>
      </c>
      <c r="K239" s="3832"/>
      <c r="L239" s="3833"/>
      <c r="M239" s="3833"/>
      <c r="N239" s="3834"/>
      <c r="O239" s="820">
        <f t="shared" si="23"/>
        <v>0</v>
      </c>
    </row>
    <row r="240" spans="3:15" ht="18" hidden="1">
      <c r="C240" s="3859" t="str">
        <f>T('2 REPAIR ESTIMATOR'!D284:O284)</f>
        <v/>
      </c>
      <c r="D240" s="3859"/>
      <c r="E240" s="3859"/>
      <c r="F240" s="3859"/>
      <c r="G240" s="3831">
        <f>'2 REPAIR ESTIMATOR'!AQ284</f>
        <v>0</v>
      </c>
      <c r="H240" s="3831"/>
      <c r="I240" s="810">
        <f t="shared" si="21"/>
        <v>0</v>
      </c>
      <c r="J240" s="811">
        <f t="shared" si="22"/>
        <v>0</v>
      </c>
      <c r="K240" s="3832"/>
      <c r="L240" s="3833"/>
      <c r="M240" s="3833"/>
      <c r="N240" s="3834"/>
      <c r="O240" s="820">
        <f t="shared" si="23"/>
        <v>0</v>
      </c>
    </row>
    <row r="241" spans="3:15" ht="18" hidden="1">
      <c r="C241" s="3859" t="str">
        <f>T('2 REPAIR ESTIMATOR'!D285:O285)</f>
        <v/>
      </c>
      <c r="D241" s="3859"/>
      <c r="E241" s="3859"/>
      <c r="F241" s="3859"/>
      <c r="G241" s="3831">
        <f>'2 REPAIR ESTIMATOR'!AQ285</f>
        <v>0</v>
      </c>
      <c r="H241" s="3831"/>
      <c r="I241" s="810">
        <f t="shared" si="21"/>
        <v>0</v>
      </c>
      <c r="J241" s="811">
        <f t="shared" si="22"/>
        <v>0</v>
      </c>
      <c r="K241" s="3832"/>
      <c r="L241" s="3833"/>
      <c r="M241" s="3833"/>
      <c r="N241" s="3834"/>
      <c r="O241" s="820">
        <f t="shared" si="23"/>
        <v>0</v>
      </c>
    </row>
    <row r="242" spans="3:15" ht="18" hidden="1">
      <c r="C242" s="3859" t="str">
        <f>T('2 REPAIR ESTIMATOR'!D286:O286)</f>
        <v/>
      </c>
      <c r="D242" s="3859"/>
      <c r="E242" s="3859"/>
      <c r="F242" s="3859"/>
      <c r="G242" s="3831">
        <f>'2 REPAIR ESTIMATOR'!AQ286</f>
        <v>0</v>
      </c>
      <c r="H242" s="3831"/>
      <c r="I242" s="810">
        <f t="shared" si="21"/>
        <v>0</v>
      </c>
      <c r="J242" s="811">
        <f t="shared" si="22"/>
        <v>0</v>
      </c>
      <c r="K242" s="3832"/>
      <c r="L242" s="3833"/>
      <c r="M242" s="3833"/>
      <c r="N242" s="3834"/>
      <c r="O242" s="820">
        <f t="shared" si="23"/>
        <v>0</v>
      </c>
    </row>
    <row r="243" spans="3:15" ht="18" hidden="1">
      <c r="C243" s="3859" t="str">
        <f>T('2 REPAIR ESTIMATOR'!D287:O287)</f>
        <v/>
      </c>
      <c r="D243" s="3859"/>
      <c r="E243" s="3859"/>
      <c r="F243" s="3859"/>
      <c r="G243" s="3831">
        <f>'2 REPAIR ESTIMATOR'!AQ287</f>
        <v>0</v>
      </c>
      <c r="H243" s="3831"/>
      <c r="I243" s="810">
        <f t="shared" si="21"/>
        <v>0</v>
      </c>
      <c r="J243" s="811">
        <f t="shared" si="22"/>
        <v>0</v>
      </c>
      <c r="K243" s="3832"/>
      <c r="L243" s="3833"/>
      <c r="M243" s="3833"/>
      <c r="N243" s="3834"/>
      <c r="O243" s="820">
        <f t="shared" si="23"/>
        <v>0</v>
      </c>
    </row>
    <row r="244" spans="3:15" ht="18" hidden="1">
      <c r="C244" s="3859" t="str">
        <f>T('2 REPAIR ESTIMATOR'!D288:O288)</f>
        <v/>
      </c>
      <c r="D244" s="3859"/>
      <c r="E244" s="3859"/>
      <c r="F244" s="3859"/>
      <c r="G244" s="3831">
        <f>'2 REPAIR ESTIMATOR'!AQ288</f>
        <v>0</v>
      </c>
      <c r="H244" s="3831"/>
      <c r="I244" s="810">
        <f t="shared" si="21"/>
        <v>0</v>
      </c>
      <c r="J244" s="811">
        <f t="shared" si="22"/>
        <v>0</v>
      </c>
      <c r="K244" s="3832"/>
      <c r="L244" s="3833"/>
      <c r="M244" s="3833"/>
      <c r="N244" s="3834"/>
      <c r="O244" s="820">
        <f t="shared" si="23"/>
        <v>0</v>
      </c>
    </row>
    <row r="245" spans="3:15" ht="18" hidden="1">
      <c r="C245" s="3859" t="str">
        <f>T('2 REPAIR ESTIMATOR'!D289:O289)</f>
        <v/>
      </c>
      <c r="D245" s="3859"/>
      <c r="E245" s="3859"/>
      <c r="F245" s="3859"/>
      <c r="G245" s="3831">
        <f>'2 REPAIR ESTIMATOR'!AQ289</f>
        <v>0</v>
      </c>
      <c r="H245" s="3831"/>
      <c r="I245" s="810">
        <f t="shared" si="21"/>
        <v>0</v>
      </c>
      <c r="J245" s="811">
        <f t="shared" si="22"/>
        <v>0</v>
      </c>
      <c r="K245" s="3832"/>
      <c r="L245" s="3833"/>
      <c r="M245" s="3833"/>
      <c r="N245" s="3834"/>
      <c r="O245" s="820">
        <f t="shared" si="23"/>
        <v>0</v>
      </c>
    </row>
    <row r="246" spans="3:15" ht="18" hidden="1">
      <c r="C246" s="3859" t="str">
        <f>T('2 REPAIR ESTIMATOR'!D290:O290)</f>
        <v/>
      </c>
      <c r="D246" s="3859"/>
      <c r="E246" s="3859"/>
      <c r="F246" s="3859"/>
      <c r="G246" s="3831">
        <f>'2 REPAIR ESTIMATOR'!AQ290</f>
        <v>0</v>
      </c>
      <c r="H246" s="3831"/>
      <c r="I246" s="810">
        <f t="shared" si="21"/>
        <v>0</v>
      </c>
      <c r="J246" s="811">
        <f t="shared" si="22"/>
        <v>0</v>
      </c>
      <c r="K246" s="3832"/>
      <c r="L246" s="3833"/>
      <c r="M246" s="3833"/>
      <c r="N246" s="3834"/>
      <c r="O246" s="820">
        <f t="shared" si="23"/>
        <v>0</v>
      </c>
    </row>
    <row r="247" spans="3:15" ht="18" hidden="1">
      <c r="C247" s="3859" t="str">
        <f>T('2 REPAIR ESTIMATOR'!D291:O291)</f>
        <v/>
      </c>
      <c r="D247" s="3859"/>
      <c r="E247" s="3859"/>
      <c r="F247" s="3859"/>
      <c r="G247" s="3831">
        <f>'2 REPAIR ESTIMATOR'!AQ291</f>
        <v>0</v>
      </c>
      <c r="H247" s="3831"/>
      <c r="I247" s="810">
        <f t="shared" si="21"/>
        <v>0</v>
      </c>
      <c r="J247" s="811">
        <f t="shared" si="22"/>
        <v>0</v>
      </c>
      <c r="K247" s="3832"/>
      <c r="L247" s="3833"/>
      <c r="M247" s="3833"/>
      <c r="N247" s="3834"/>
      <c r="O247" s="820">
        <f t="shared" si="23"/>
        <v>0</v>
      </c>
    </row>
    <row r="248" spans="3:15" ht="18" hidden="1">
      <c r="C248" s="3859" t="str">
        <f>T('2 REPAIR ESTIMATOR'!D292:O292)</f>
        <v/>
      </c>
      <c r="D248" s="3859"/>
      <c r="E248" s="3859"/>
      <c r="F248" s="3859"/>
      <c r="G248" s="3831">
        <f>'2 REPAIR ESTIMATOR'!AQ292</f>
        <v>0</v>
      </c>
      <c r="H248" s="3831"/>
      <c r="I248" s="810">
        <f t="shared" si="21"/>
        <v>0</v>
      </c>
      <c r="J248" s="811">
        <f t="shared" si="22"/>
        <v>0</v>
      </c>
      <c r="K248" s="3832"/>
      <c r="L248" s="3833"/>
      <c r="M248" s="3833"/>
      <c r="N248" s="3834"/>
      <c r="O248" s="820">
        <f t="shared" si="23"/>
        <v>0</v>
      </c>
    </row>
    <row r="249" spans="3:15" ht="18" hidden="1">
      <c r="C249" s="3859" t="str">
        <f>T('2 REPAIR ESTIMATOR'!D293:O293)</f>
        <v/>
      </c>
      <c r="D249" s="3859"/>
      <c r="E249" s="3859"/>
      <c r="F249" s="3859"/>
      <c r="G249" s="3831">
        <f>'2 REPAIR ESTIMATOR'!AQ293</f>
        <v>0</v>
      </c>
      <c r="H249" s="3831"/>
      <c r="I249" s="810">
        <f t="shared" si="21"/>
        <v>0</v>
      </c>
      <c r="J249" s="811">
        <f t="shared" si="22"/>
        <v>0</v>
      </c>
      <c r="K249" s="3832"/>
      <c r="L249" s="3833"/>
      <c r="M249" s="3833"/>
      <c r="N249" s="3834"/>
      <c r="O249" s="820">
        <f t="shared" si="23"/>
        <v>0</v>
      </c>
    </row>
    <row r="250" spans="3:15" ht="18" hidden="1">
      <c r="C250" s="3859" t="str">
        <f>T('2 REPAIR ESTIMATOR'!D294:O294)</f>
        <v/>
      </c>
      <c r="D250" s="3859"/>
      <c r="E250" s="3859"/>
      <c r="F250" s="3859"/>
      <c r="G250" s="3831">
        <f>'2 REPAIR ESTIMATOR'!AQ294</f>
        <v>0</v>
      </c>
      <c r="H250" s="3831"/>
      <c r="I250" s="810">
        <f t="shared" si="21"/>
        <v>0</v>
      </c>
      <c r="J250" s="811">
        <f t="shared" si="22"/>
        <v>0</v>
      </c>
      <c r="K250" s="3832"/>
      <c r="L250" s="3833"/>
      <c r="M250" s="3833"/>
      <c r="N250" s="3834"/>
      <c r="O250" s="820">
        <f t="shared" si="23"/>
        <v>0</v>
      </c>
    </row>
    <row r="251" spans="3:15" ht="18" hidden="1">
      <c r="C251" s="3859" t="str">
        <f>T('2 REPAIR ESTIMATOR'!D295:O295)</f>
        <v/>
      </c>
      <c r="D251" s="3859"/>
      <c r="E251" s="3859"/>
      <c r="F251" s="3859"/>
      <c r="G251" s="3831">
        <f>'2 REPAIR ESTIMATOR'!AQ295</f>
        <v>0</v>
      </c>
      <c r="H251" s="3831"/>
      <c r="I251" s="810">
        <f t="shared" si="21"/>
        <v>0</v>
      </c>
      <c r="J251" s="811">
        <f t="shared" si="22"/>
        <v>0</v>
      </c>
      <c r="K251" s="3832"/>
      <c r="L251" s="3833"/>
      <c r="M251" s="3833"/>
      <c r="N251" s="3834"/>
      <c r="O251" s="820">
        <f t="shared" si="23"/>
        <v>0</v>
      </c>
    </row>
    <row r="252" spans="3:15" ht="18" hidden="1">
      <c r="C252" s="3859" t="str">
        <f>T('2 REPAIR ESTIMATOR'!D296:O296)</f>
        <v/>
      </c>
      <c r="D252" s="3859"/>
      <c r="E252" s="3859"/>
      <c r="F252" s="3859"/>
      <c r="G252" s="3831">
        <f>'2 REPAIR ESTIMATOR'!AQ296</f>
        <v>0</v>
      </c>
      <c r="H252" s="3831"/>
      <c r="I252" s="810">
        <f t="shared" si="21"/>
        <v>0</v>
      </c>
      <c r="J252" s="811">
        <f t="shared" si="22"/>
        <v>0</v>
      </c>
      <c r="K252" s="3832"/>
      <c r="L252" s="3833"/>
      <c r="M252" s="3833"/>
      <c r="N252" s="3834"/>
      <c r="O252" s="820">
        <f t="shared" si="23"/>
        <v>0</v>
      </c>
    </row>
    <row r="253" spans="3:15" ht="18" hidden="1">
      <c r="C253" s="3859" t="str">
        <f>T('2 REPAIR ESTIMATOR'!D297:O297)</f>
        <v/>
      </c>
      <c r="D253" s="3859"/>
      <c r="E253" s="3859"/>
      <c r="F253" s="3859"/>
      <c r="G253" s="3831">
        <f>'2 REPAIR ESTIMATOR'!AQ297</f>
        <v>0</v>
      </c>
      <c r="H253" s="3831"/>
      <c r="I253" s="810">
        <f t="shared" si="21"/>
        <v>0</v>
      </c>
      <c r="J253" s="811">
        <f t="shared" si="22"/>
        <v>0</v>
      </c>
      <c r="K253" s="3832"/>
      <c r="L253" s="3833"/>
      <c r="M253" s="3833"/>
      <c r="N253" s="3834"/>
      <c r="O253" s="820">
        <f t="shared" si="23"/>
        <v>0</v>
      </c>
    </row>
    <row r="254" spans="3:15" ht="18" hidden="1">
      <c r="C254" s="3859" t="str">
        <f>T('2 REPAIR ESTIMATOR'!D298:O298)</f>
        <v/>
      </c>
      <c r="D254" s="3859"/>
      <c r="E254" s="3859"/>
      <c r="F254" s="3859"/>
      <c r="G254" s="3831">
        <f>'2 REPAIR ESTIMATOR'!AQ298</f>
        <v>0</v>
      </c>
      <c r="H254" s="3831"/>
      <c r="I254" s="810">
        <f t="shared" si="21"/>
        <v>0</v>
      </c>
      <c r="J254" s="811">
        <f t="shared" si="22"/>
        <v>0</v>
      </c>
      <c r="K254" s="3832"/>
      <c r="L254" s="3833"/>
      <c r="M254" s="3833"/>
      <c r="N254" s="3834"/>
      <c r="O254" s="820">
        <f t="shared" si="23"/>
        <v>0</v>
      </c>
    </row>
    <row r="255" spans="3:15" ht="18" hidden="1">
      <c r="C255" s="3859" t="str">
        <f>T('2 REPAIR ESTIMATOR'!D299:O299)</f>
        <v/>
      </c>
      <c r="D255" s="3859"/>
      <c r="E255" s="3859"/>
      <c r="F255" s="3859"/>
      <c r="G255" s="3831">
        <f>'2 REPAIR ESTIMATOR'!AQ299</f>
        <v>0</v>
      </c>
      <c r="H255" s="3831"/>
      <c r="I255" s="810">
        <f t="shared" si="21"/>
        <v>0</v>
      </c>
      <c r="J255" s="811">
        <f t="shared" si="22"/>
        <v>0</v>
      </c>
      <c r="K255" s="3832"/>
      <c r="L255" s="3833"/>
      <c r="M255" s="3833"/>
      <c r="N255" s="3834"/>
      <c r="O255" s="820">
        <f t="shared" si="23"/>
        <v>0</v>
      </c>
    </row>
    <row r="256" spans="3:15" ht="18" hidden="1">
      <c r="C256" s="3859" t="str">
        <f>T('2 REPAIR ESTIMATOR'!D300:O300)</f>
        <v/>
      </c>
      <c r="D256" s="3859"/>
      <c r="E256" s="3859"/>
      <c r="F256" s="3859"/>
      <c r="G256" s="3831">
        <f>'2 REPAIR ESTIMATOR'!AQ300</f>
        <v>0</v>
      </c>
      <c r="H256" s="3831"/>
      <c r="I256" s="810">
        <f t="shared" si="21"/>
        <v>0</v>
      </c>
      <c r="J256" s="811">
        <f t="shared" si="22"/>
        <v>0</v>
      </c>
      <c r="K256" s="3832"/>
      <c r="L256" s="3833"/>
      <c r="M256" s="3833"/>
      <c r="N256" s="3834"/>
      <c r="O256" s="820">
        <f t="shared" si="23"/>
        <v>0</v>
      </c>
    </row>
    <row r="257" spans="3:15" ht="18" hidden="1">
      <c r="C257" s="3859" t="str">
        <f>T('2 REPAIR ESTIMATOR'!D301:O301)</f>
        <v/>
      </c>
      <c r="D257" s="3859"/>
      <c r="E257" s="3859"/>
      <c r="F257" s="3859"/>
      <c r="G257" s="3831">
        <f>'2 REPAIR ESTIMATOR'!AQ301</f>
        <v>0</v>
      </c>
      <c r="H257" s="3831"/>
      <c r="I257" s="810">
        <f t="shared" si="21"/>
        <v>0</v>
      </c>
      <c r="J257" s="811">
        <f t="shared" si="22"/>
        <v>0</v>
      </c>
      <c r="K257" s="3832"/>
      <c r="L257" s="3833"/>
      <c r="M257" s="3833"/>
      <c r="N257" s="3834"/>
      <c r="O257" s="820">
        <f t="shared" si="23"/>
        <v>0</v>
      </c>
    </row>
    <row r="258" spans="3:15" ht="18" hidden="1">
      <c r="C258" s="3859" t="str">
        <f>T('2 REPAIR ESTIMATOR'!D302:O302)</f>
        <v/>
      </c>
      <c r="D258" s="3859"/>
      <c r="E258" s="3859"/>
      <c r="F258" s="3859"/>
      <c r="G258" s="3831">
        <f>'2 REPAIR ESTIMATOR'!AQ302</f>
        <v>0</v>
      </c>
      <c r="H258" s="3831"/>
      <c r="I258" s="810">
        <f t="shared" si="21"/>
        <v>0</v>
      </c>
      <c r="J258" s="811">
        <f t="shared" si="22"/>
        <v>0</v>
      </c>
      <c r="K258" s="3832"/>
      <c r="L258" s="3833"/>
      <c r="M258" s="3833"/>
      <c r="N258" s="3834"/>
      <c r="O258" s="820">
        <f t="shared" si="23"/>
        <v>0</v>
      </c>
    </row>
    <row r="259" spans="3:15" ht="18" hidden="1">
      <c r="C259" s="3859" t="str">
        <f>T('2 REPAIR ESTIMATOR'!D303:O303)</f>
        <v/>
      </c>
      <c r="D259" s="3859"/>
      <c r="E259" s="3859"/>
      <c r="F259" s="3859"/>
      <c r="G259" s="3831">
        <f>'2 REPAIR ESTIMATOR'!AQ303</f>
        <v>0</v>
      </c>
      <c r="H259" s="3831"/>
      <c r="I259" s="810">
        <f t="shared" si="21"/>
        <v>0</v>
      </c>
      <c r="J259" s="811">
        <f t="shared" si="22"/>
        <v>0</v>
      </c>
      <c r="K259" s="3832"/>
      <c r="L259" s="3833"/>
      <c r="M259" s="3833"/>
      <c r="N259" s="3834"/>
      <c r="O259" s="820">
        <f t="shared" si="23"/>
        <v>0</v>
      </c>
    </row>
    <row r="260" spans="3:15" ht="18" hidden="1">
      <c r="C260" s="3859" t="str">
        <f>T('2 REPAIR ESTIMATOR'!D304:O304)</f>
        <v/>
      </c>
      <c r="D260" s="3859"/>
      <c r="E260" s="3859"/>
      <c r="F260" s="3859"/>
      <c r="G260" s="3831">
        <f>'2 REPAIR ESTIMATOR'!AQ304</f>
        <v>0</v>
      </c>
      <c r="H260" s="3831"/>
      <c r="I260" s="810">
        <f t="shared" si="21"/>
        <v>0</v>
      </c>
      <c r="J260" s="811">
        <f t="shared" si="22"/>
        <v>0</v>
      </c>
      <c r="K260" s="3832"/>
      <c r="L260" s="3833"/>
      <c r="M260" s="3833"/>
      <c r="N260" s="3834"/>
      <c r="O260" s="820">
        <f t="shared" si="23"/>
        <v>0</v>
      </c>
    </row>
    <row r="261" spans="3:15" ht="18" hidden="1">
      <c r="C261" s="3859" t="str">
        <f>T('2 REPAIR ESTIMATOR'!D305:O305)</f>
        <v/>
      </c>
      <c r="D261" s="3859"/>
      <c r="E261" s="3859"/>
      <c r="F261" s="3859"/>
      <c r="G261" s="3831">
        <f>'2 REPAIR ESTIMATOR'!AQ305</f>
        <v>0</v>
      </c>
      <c r="H261" s="3831"/>
      <c r="I261" s="810">
        <f t="shared" si="21"/>
        <v>0</v>
      </c>
      <c r="J261" s="811">
        <f t="shared" si="22"/>
        <v>0</v>
      </c>
      <c r="K261" s="3832"/>
      <c r="L261" s="3833"/>
      <c r="M261" s="3833"/>
      <c r="N261" s="3834"/>
      <c r="O261" s="820">
        <f t="shared" si="23"/>
        <v>0</v>
      </c>
    </row>
    <row r="262" spans="3:15" ht="18" hidden="1">
      <c r="C262" s="3859" t="str">
        <f>T('2 REPAIR ESTIMATOR'!D306:O306)</f>
        <v/>
      </c>
      <c r="D262" s="3859"/>
      <c r="E262" s="3859"/>
      <c r="F262" s="3859"/>
      <c r="G262" s="3831">
        <f>'2 REPAIR ESTIMATOR'!AQ306</f>
        <v>0</v>
      </c>
      <c r="H262" s="3831"/>
      <c r="I262" s="810">
        <f t="shared" si="21"/>
        <v>0</v>
      </c>
      <c r="J262" s="811">
        <f t="shared" si="22"/>
        <v>0</v>
      </c>
      <c r="K262" s="3832"/>
      <c r="L262" s="3833"/>
      <c r="M262" s="3833"/>
      <c r="N262" s="3834"/>
      <c r="O262" s="820">
        <f t="shared" si="23"/>
        <v>0</v>
      </c>
    </row>
    <row r="263" spans="3:15" ht="18.350000000000001" hidden="1" thickBot="1">
      <c r="C263" s="3835" t="str">
        <f>T('2 REPAIR ESTIMATOR'!D307:O307)</f>
        <v/>
      </c>
      <c r="D263" s="3835"/>
      <c r="E263" s="3835"/>
      <c r="F263" s="3835"/>
      <c r="G263" s="3836">
        <f>'2 REPAIR ESTIMATOR'!AQ307</f>
        <v>0</v>
      </c>
      <c r="H263" s="3836"/>
      <c r="I263" s="813">
        <f t="shared" si="21"/>
        <v>0</v>
      </c>
      <c r="J263" s="814">
        <f t="shared" si="22"/>
        <v>0</v>
      </c>
      <c r="K263" s="3837"/>
      <c r="L263" s="3838"/>
      <c r="M263" s="3838"/>
      <c r="N263" s="3839"/>
      <c r="O263" s="823">
        <f t="shared" si="23"/>
        <v>0</v>
      </c>
    </row>
    <row r="264" spans="3:15" ht="18.350000000000001" hidden="1" thickTop="1">
      <c r="C264" s="3825" t="str">
        <f>T('2 REPAIR ESTIMATOR'!AC309)</f>
        <v>MASONRY TOTAL</v>
      </c>
      <c r="D264" s="3825"/>
      <c r="E264" s="3825"/>
      <c r="F264" s="3825"/>
      <c r="G264" s="3826">
        <f>SUM(G224:H263)</f>
        <v>0</v>
      </c>
      <c r="H264" s="3826"/>
      <c r="I264" s="818">
        <f>SUM(I224:I263)</f>
        <v>0</v>
      </c>
      <c r="J264" s="819">
        <f>SUM(J224:J263)</f>
        <v>0</v>
      </c>
      <c r="K264" s="3827"/>
      <c r="L264" s="3828"/>
      <c r="M264" s="3828"/>
      <c r="N264" s="3829"/>
      <c r="O264" s="821">
        <f>SUM(O224:O263)</f>
        <v>0</v>
      </c>
    </row>
    <row r="265" spans="3:15" ht="8.85" hidden="1" customHeight="1">
      <c r="C265" s="836"/>
      <c r="D265" s="836"/>
      <c r="E265" s="836"/>
      <c r="F265" s="836"/>
      <c r="G265" s="837"/>
      <c r="H265" s="837"/>
      <c r="I265" s="837"/>
      <c r="J265" s="837"/>
      <c r="K265" s="837"/>
      <c r="L265" s="837"/>
      <c r="M265" s="837"/>
      <c r="N265" s="837"/>
      <c r="O265" s="822">
        <f>O264</f>
        <v>0</v>
      </c>
    </row>
    <row r="266" spans="3:15" ht="22.5" hidden="1" customHeight="1">
      <c r="C266" s="3840" t="str">
        <f>T('2 REPAIR ESTIMATOR'!D312:O312)</f>
        <v>SIDING</v>
      </c>
      <c r="D266" s="3840"/>
      <c r="E266" s="3840"/>
      <c r="F266" s="3841"/>
      <c r="G266" s="3845"/>
      <c r="H266" s="3846"/>
      <c r="I266" s="831"/>
      <c r="J266" s="831"/>
      <c r="K266" s="3844"/>
      <c r="L266" s="3844"/>
      <c r="M266" s="3844"/>
      <c r="N266" s="3845"/>
      <c r="O266" s="820">
        <f>SUM(O267:O306)</f>
        <v>0</v>
      </c>
    </row>
    <row r="267" spans="3:15" ht="18" hidden="1">
      <c r="C267" s="3859" t="str">
        <f>T('2 REPAIR ESTIMATOR'!D313:O313)</f>
        <v>Siding bid/allowance</v>
      </c>
      <c r="D267" s="3859"/>
      <c r="E267" s="3859"/>
      <c r="F267" s="3859"/>
      <c r="G267" s="3831">
        <f>'2 REPAIR ESTIMATOR'!AQ313</f>
        <v>0</v>
      </c>
      <c r="H267" s="3831"/>
      <c r="I267" s="810">
        <f t="shared" ref="I267:I306" si="24">IFERROR(G267/Property_Size,0)</f>
        <v>0</v>
      </c>
      <c r="J267" s="811">
        <f t="shared" ref="J267:J306" si="25">IFERROR(G267/Total_Project_Costs_Result,0)</f>
        <v>0</v>
      </c>
      <c r="K267" s="3832"/>
      <c r="L267" s="3833"/>
      <c r="M267" s="3833"/>
      <c r="N267" s="3834"/>
      <c r="O267" s="820">
        <f>IF(G267&gt;0,1,0)</f>
        <v>0</v>
      </c>
    </row>
    <row r="268" spans="3:15" ht="18" hidden="1">
      <c r="C268" s="3859" t="str">
        <f>T('2 REPAIR ESTIMATOR'!D314:O314)</f>
        <v>Demo existing siding</v>
      </c>
      <c r="D268" s="3859"/>
      <c r="E268" s="3859"/>
      <c r="F268" s="3859"/>
      <c r="G268" s="3831">
        <f>'2 REPAIR ESTIMATOR'!AQ314</f>
        <v>0</v>
      </c>
      <c r="H268" s="3831"/>
      <c r="I268" s="810">
        <f t="shared" si="24"/>
        <v>0</v>
      </c>
      <c r="J268" s="811">
        <f t="shared" si="25"/>
        <v>0</v>
      </c>
      <c r="K268" s="3832"/>
      <c r="L268" s="3833"/>
      <c r="M268" s="3833"/>
      <c r="N268" s="3834"/>
      <c r="O268" s="820">
        <f t="shared" ref="O268:O306" si="26">IF(G268&gt;0,1,0)</f>
        <v>0</v>
      </c>
    </row>
    <row r="269" spans="3:15" ht="18" hidden="1">
      <c r="C269" s="3859" t="str">
        <f>T('2 REPAIR ESTIMATOR'!D315:O315)</f>
        <v>Plywood panel, douglas fir</v>
      </c>
      <c r="D269" s="3859"/>
      <c r="E269" s="3859"/>
      <c r="F269" s="3859"/>
      <c r="G269" s="3831">
        <f>'2 REPAIR ESTIMATOR'!AQ315</f>
        <v>0</v>
      </c>
      <c r="H269" s="3831"/>
      <c r="I269" s="810">
        <f t="shared" si="24"/>
        <v>0</v>
      </c>
      <c r="J269" s="811">
        <f t="shared" si="25"/>
        <v>0</v>
      </c>
      <c r="K269" s="3832"/>
      <c r="L269" s="3833"/>
      <c r="M269" s="3833"/>
      <c r="N269" s="3834"/>
      <c r="O269" s="820">
        <f t="shared" si="26"/>
        <v>0</v>
      </c>
    </row>
    <row r="270" spans="3:15" ht="18" hidden="1">
      <c r="C270" s="3859" t="str">
        <f>T('2 REPAIR ESTIMATOR'!D316:O316)</f>
        <v>Plywood panel, cedar</v>
      </c>
      <c r="D270" s="3859"/>
      <c r="E270" s="3859"/>
      <c r="F270" s="3859"/>
      <c r="G270" s="3831">
        <f>'2 REPAIR ESTIMATOR'!AQ316</f>
        <v>0</v>
      </c>
      <c r="H270" s="3831"/>
      <c r="I270" s="810">
        <f t="shared" si="24"/>
        <v>0</v>
      </c>
      <c r="J270" s="811">
        <f t="shared" si="25"/>
        <v>0</v>
      </c>
      <c r="K270" s="3832"/>
      <c r="L270" s="3833"/>
      <c r="M270" s="3833"/>
      <c r="N270" s="3834"/>
      <c r="O270" s="820">
        <f t="shared" si="26"/>
        <v>0</v>
      </c>
    </row>
    <row r="271" spans="3:15" ht="18" hidden="1">
      <c r="C271" s="3859" t="str">
        <f>T('2 REPAIR ESTIMATOR'!D317:O317)</f>
        <v>Tongue and groove, douglas fir</v>
      </c>
      <c r="D271" s="3859"/>
      <c r="E271" s="3859"/>
      <c r="F271" s="3859"/>
      <c r="G271" s="3831">
        <f>'2 REPAIR ESTIMATOR'!AQ317</f>
        <v>0</v>
      </c>
      <c r="H271" s="3831"/>
      <c r="I271" s="810">
        <f t="shared" si="24"/>
        <v>0</v>
      </c>
      <c r="J271" s="811">
        <f t="shared" si="25"/>
        <v>0</v>
      </c>
      <c r="K271" s="3832"/>
      <c r="L271" s="3833"/>
      <c r="M271" s="3833"/>
      <c r="N271" s="3834"/>
      <c r="O271" s="820">
        <f t="shared" si="26"/>
        <v>0</v>
      </c>
    </row>
    <row r="272" spans="3:15" ht="18" hidden="1">
      <c r="C272" s="3859" t="str">
        <f>T('2 REPAIR ESTIMATOR'!D318:O318)</f>
        <v>Tongue and groove, cedar</v>
      </c>
      <c r="D272" s="3859"/>
      <c r="E272" s="3859"/>
      <c r="F272" s="3859"/>
      <c r="G272" s="3831">
        <f>'2 REPAIR ESTIMATOR'!AQ318</f>
        <v>0</v>
      </c>
      <c r="H272" s="3831"/>
      <c r="I272" s="810">
        <f t="shared" si="24"/>
        <v>0</v>
      </c>
      <c r="J272" s="811">
        <f t="shared" si="25"/>
        <v>0</v>
      </c>
      <c r="K272" s="3832"/>
      <c r="L272" s="3833"/>
      <c r="M272" s="3833"/>
      <c r="N272" s="3834"/>
      <c r="O272" s="820">
        <f t="shared" si="26"/>
        <v>0</v>
      </c>
    </row>
    <row r="273" spans="3:15" ht="18" hidden="1">
      <c r="C273" s="3859" t="str">
        <f>T('2 REPAIR ESTIMATOR'!D319:O319)</f>
        <v>Board and batten, douglas fir</v>
      </c>
      <c r="D273" s="3859"/>
      <c r="E273" s="3859"/>
      <c r="F273" s="3859"/>
      <c r="G273" s="3831">
        <f>'2 REPAIR ESTIMATOR'!AQ319</f>
        <v>0</v>
      </c>
      <c r="H273" s="3831"/>
      <c r="I273" s="810">
        <f t="shared" si="24"/>
        <v>0</v>
      </c>
      <c r="J273" s="811">
        <f t="shared" si="25"/>
        <v>0</v>
      </c>
      <c r="K273" s="3832"/>
      <c r="L273" s="3833"/>
      <c r="M273" s="3833"/>
      <c r="N273" s="3834"/>
      <c r="O273" s="820">
        <f t="shared" si="26"/>
        <v>0</v>
      </c>
    </row>
    <row r="274" spans="3:15" ht="18" hidden="1">
      <c r="C274" s="3859" t="str">
        <f>T('2 REPAIR ESTIMATOR'!D320:O320)</f>
        <v>Board and batten, cedar</v>
      </c>
      <c r="D274" s="3859"/>
      <c r="E274" s="3859"/>
      <c r="F274" s="3859"/>
      <c r="G274" s="3831">
        <f>'2 REPAIR ESTIMATOR'!AQ320</f>
        <v>0</v>
      </c>
      <c r="H274" s="3831"/>
      <c r="I274" s="810">
        <f t="shared" si="24"/>
        <v>0</v>
      </c>
      <c r="J274" s="811">
        <f t="shared" si="25"/>
        <v>0</v>
      </c>
      <c r="K274" s="3832"/>
      <c r="L274" s="3833"/>
      <c r="M274" s="3833"/>
      <c r="N274" s="3834"/>
      <c r="O274" s="820">
        <f t="shared" si="26"/>
        <v>0</v>
      </c>
    </row>
    <row r="275" spans="3:15" ht="18" hidden="1">
      <c r="C275" s="3859" t="str">
        <f>T('2 REPAIR ESTIMATOR'!D321:O321)</f>
        <v>Wood shingle/shake</v>
      </c>
      <c r="D275" s="3859"/>
      <c r="E275" s="3859"/>
      <c r="F275" s="3859"/>
      <c r="G275" s="3831">
        <f>'2 REPAIR ESTIMATOR'!AQ321</f>
        <v>0</v>
      </c>
      <c r="H275" s="3831"/>
      <c r="I275" s="810">
        <f t="shared" si="24"/>
        <v>0</v>
      </c>
      <c r="J275" s="811">
        <f t="shared" si="25"/>
        <v>0</v>
      </c>
      <c r="K275" s="3832"/>
      <c r="L275" s="3833"/>
      <c r="M275" s="3833"/>
      <c r="N275" s="3834"/>
      <c r="O275" s="820">
        <f t="shared" si="26"/>
        <v>0</v>
      </c>
    </row>
    <row r="276" spans="3:15" ht="18" hidden="1">
      <c r="C276" s="3859" t="str">
        <f>T('2 REPAIR ESTIMATOR'!D322:O322)</f>
        <v>Fiber cement siding, 4x8 panels</v>
      </c>
      <c r="D276" s="3859"/>
      <c r="E276" s="3859"/>
      <c r="F276" s="3859"/>
      <c r="G276" s="3831">
        <f>'2 REPAIR ESTIMATOR'!AQ322</f>
        <v>0</v>
      </c>
      <c r="H276" s="3831"/>
      <c r="I276" s="810">
        <f t="shared" si="24"/>
        <v>0</v>
      </c>
      <c r="J276" s="811">
        <f t="shared" si="25"/>
        <v>0</v>
      </c>
      <c r="K276" s="3832"/>
      <c r="L276" s="3833"/>
      <c r="M276" s="3833"/>
      <c r="N276" s="3834"/>
      <c r="O276" s="820">
        <f t="shared" si="26"/>
        <v>0</v>
      </c>
    </row>
    <row r="277" spans="3:15" ht="18" hidden="1">
      <c r="C277" s="3859" t="str">
        <f>T('2 REPAIR ESTIMATOR'!D323:O323)</f>
        <v>Fiber cement siding, lap</v>
      </c>
      <c r="D277" s="3859"/>
      <c r="E277" s="3859"/>
      <c r="F277" s="3859"/>
      <c r="G277" s="3831">
        <f>'2 REPAIR ESTIMATOR'!AQ323</f>
        <v>0</v>
      </c>
      <c r="H277" s="3831"/>
      <c r="I277" s="810">
        <f t="shared" si="24"/>
        <v>0</v>
      </c>
      <c r="J277" s="811">
        <f t="shared" si="25"/>
        <v>0</v>
      </c>
      <c r="K277" s="3832"/>
      <c r="L277" s="3833"/>
      <c r="M277" s="3833"/>
      <c r="N277" s="3834"/>
      <c r="O277" s="820">
        <f t="shared" si="26"/>
        <v>0</v>
      </c>
    </row>
    <row r="278" spans="3:15" ht="18" hidden="1">
      <c r="C278" s="3859" t="str">
        <f>T('2 REPAIR ESTIMATOR'!D324:O324)</f>
        <v>Vinyl siding, non-insulated</v>
      </c>
      <c r="D278" s="3859"/>
      <c r="E278" s="3859"/>
      <c r="F278" s="3859"/>
      <c r="G278" s="3831">
        <f>'2 REPAIR ESTIMATOR'!AQ324</f>
        <v>0</v>
      </c>
      <c r="H278" s="3831"/>
      <c r="I278" s="810">
        <f t="shared" si="24"/>
        <v>0</v>
      </c>
      <c r="J278" s="811">
        <f t="shared" si="25"/>
        <v>0</v>
      </c>
      <c r="K278" s="3832"/>
      <c r="L278" s="3833"/>
      <c r="M278" s="3833"/>
      <c r="N278" s="3834"/>
      <c r="O278" s="820">
        <f t="shared" si="26"/>
        <v>0</v>
      </c>
    </row>
    <row r="279" spans="3:15" ht="18" hidden="1">
      <c r="C279" s="3859" t="str">
        <f>T('2 REPAIR ESTIMATOR'!D325:O325)</f>
        <v>Vinyl siding, insulated</v>
      </c>
      <c r="D279" s="3859"/>
      <c r="E279" s="3859"/>
      <c r="F279" s="3859"/>
      <c r="G279" s="3831">
        <f>'2 REPAIR ESTIMATOR'!AQ325</f>
        <v>0</v>
      </c>
      <c r="H279" s="3831"/>
      <c r="I279" s="810">
        <f t="shared" si="24"/>
        <v>0</v>
      </c>
      <c r="J279" s="811">
        <f t="shared" si="25"/>
        <v>0</v>
      </c>
      <c r="K279" s="3832"/>
      <c r="L279" s="3833"/>
      <c r="M279" s="3833"/>
      <c r="N279" s="3834"/>
      <c r="O279" s="820">
        <f t="shared" si="26"/>
        <v>0</v>
      </c>
    </row>
    <row r="280" spans="3:15" ht="18" hidden="1">
      <c r="C280" s="3859" t="str">
        <f>T('2 REPAIR ESTIMATOR'!D326:O326)</f>
        <v>Trim, 1"x3", pine</v>
      </c>
      <c r="D280" s="3859"/>
      <c r="E280" s="3859"/>
      <c r="F280" s="3859"/>
      <c r="G280" s="3831">
        <f>'2 REPAIR ESTIMATOR'!AQ326</f>
        <v>0</v>
      </c>
      <c r="H280" s="3831"/>
      <c r="I280" s="810">
        <f t="shared" si="24"/>
        <v>0</v>
      </c>
      <c r="J280" s="811">
        <f t="shared" si="25"/>
        <v>0</v>
      </c>
      <c r="K280" s="3832"/>
      <c r="L280" s="3833"/>
      <c r="M280" s="3833"/>
      <c r="N280" s="3834"/>
      <c r="O280" s="820">
        <f t="shared" si="26"/>
        <v>0</v>
      </c>
    </row>
    <row r="281" spans="3:15" ht="18" hidden="1">
      <c r="C281" s="3859" t="str">
        <f>T('2 REPAIR ESTIMATOR'!D327:O327)</f>
        <v>Trim, 1"x4", pine</v>
      </c>
      <c r="D281" s="3859"/>
      <c r="E281" s="3859"/>
      <c r="F281" s="3859"/>
      <c r="G281" s="3831">
        <f>'2 REPAIR ESTIMATOR'!AQ327</f>
        <v>0</v>
      </c>
      <c r="H281" s="3831"/>
      <c r="I281" s="810">
        <f t="shared" si="24"/>
        <v>0</v>
      </c>
      <c r="J281" s="811">
        <f t="shared" si="25"/>
        <v>0</v>
      </c>
      <c r="K281" s="3832"/>
      <c r="L281" s="3833"/>
      <c r="M281" s="3833"/>
      <c r="N281" s="3834"/>
      <c r="O281" s="820">
        <f t="shared" si="26"/>
        <v>0</v>
      </c>
    </row>
    <row r="282" spans="3:15" ht="18" hidden="1">
      <c r="C282" s="3859" t="str">
        <f>T('2 REPAIR ESTIMATOR'!D328:O328)</f>
        <v>Trim, 1"x6", pine</v>
      </c>
      <c r="D282" s="3859"/>
      <c r="E282" s="3859"/>
      <c r="F282" s="3859"/>
      <c r="G282" s="3831">
        <f>'2 REPAIR ESTIMATOR'!AQ328</f>
        <v>0</v>
      </c>
      <c r="H282" s="3831"/>
      <c r="I282" s="810">
        <f t="shared" si="24"/>
        <v>0</v>
      </c>
      <c r="J282" s="811">
        <f t="shared" si="25"/>
        <v>0</v>
      </c>
      <c r="K282" s="3832"/>
      <c r="L282" s="3833"/>
      <c r="M282" s="3833"/>
      <c r="N282" s="3834"/>
      <c r="O282" s="820">
        <f t="shared" si="26"/>
        <v>0</v>
      </c>
    </row>
    <row r="283" spans="3:15" ht="18" hidden="1">
      <c r="C283" s="3859" t="str">
        <f>T('2 REPAIR ESTIMATOR'!D329:O329)</f>
        <v>Siding patch, window/door, siding, insulation</v>
      </c>
      <c r="D283" s="3859"/>
      <c r="E283" s="3859"/>
      <c r="F283" s="3859"/>
      <c r="G283" s="3831">
        <f>'2 REPAIR ESTIMATOR'!AQ329</f>
        <v>0</v>
      </c>
      <c r="H283" s="3831"/>
      <c r="I283" s="810">
        <f t="shared" si="24"/>
        <v>0</v>
      </c>
      <c r="J283" s="811">
        <f t="shared" si="25"/>
        <v>0</v>
      </c>
      <c r="K283" s="3832"/>
      <c r="L283" s="3833"/>
      <c r="M283" s="3833"/>
      <c r="N283" s="3834"/>
      <c r="O283" s="820">
        <f t="shared" si="26"/>
        <v>0</v>
      </c>
    </row>
    <row r="284" spans="3:15" ht="18" hidden="1">
      <c r="C284" s="3859" t="str">
        <f>T('2 REPAIR ESTIMATOR'!D330:O330)</f>
        <v>Stucco</v>
      </c>
      <c r="D284" s="3859"/>
      <c r="E284" s="3859"/>
      <c r="F284" s="3859"/>
      <c r="G284" s="3831">
        <f>'2 REPAIR ESTIMATOR'!AQ330</f>
        <v>0</v>
      </c>
      <c r="H284" s="3831"/>
      <c r="I284" s="810">
        <f t="shared" si="24"/>
        <v>0</v>
      </c>
      <c r="J284" s="811">
        <f t="shared" si="25"/>
        <v>0</v>
      </c>
      <c r="K284" s="3832"/>
      <c r="L284" s="3833"/>
      <c r="M284" s="3833"/>
      <c r="N284" s="3834"/>
      <c r="O284" s="820">
        <f t="shared" si="26"/>
        <v>0</v>
      </c>
    </row>
    <row r="285" spans="3:15" ht="18" hidden="1">
      <c r="C285" s="3859" t="str">
        <f>T('2 REPAIR ESTIMATOR'!D331:O331)</f>
        <v/>
      </c>
      <c r="D285" s="3859"/>
      <c r="E285" s="3859"/>
      <c r="F285" s="3859"/>
      <c r="G285" s="3831">
        <f>'2 REPAIR ESTIMATOR'!AQ331</f>
        <v>0</v>
      </c>
      <c r="H285" s="3831"/>
      <c r="I285" s="810">
        <f t="shared" si="24"/>
        <v>0</v>
      </c>
      <c r="J285" s="811">
        <f t="shared" si="25"/>
        <v>0</v>
      </c>
      <c r="K285" s="3832"/>
      <c r="L285" s="3833"/>
      <c r="M285" s="3833"/>
      <c r="N285" s="3834"/>
      <c r="O285" s="820">
        <f t="shared" si="26"/>
        <v>0</v>
      </c>
    </row>
    <row r="286" spans="3:15" ht="18" hidden="1">
      <c r="C286" s="3859" t="str">
        <f>T('2 REPAIR ESTIMATOR'!D332:O332)</f>
        <v/>
      </c>
      <c r="D286" s="3859"/>
      <c r="E286" s="3859"/>
      <c r="F286" s="3859"/>
      <c r="G286" s="3831">
        <f>'2 REPAIR ESTIMATOR'!AQ332</f>
        <v>0</v>
      </c>
      <c r="H286" s="3831"/>
      <c r="I286" s="810">
        <f t="shared" si="24"/>
        <v>0</v>
      </c>
      <c r="J286" s="811">
        <f t="shared" si="25"/>
        <v>0</v>
      </c>
      <c r="K286" s="3832"/>
      <c r="L286" s="3833"/>
      <c r="M286" s="3833"/>
      <c r="N286" s="3834"/>
      <c r="O286" s="820">
        <f t="shared" si="26"/>
        <v>0</v>
      </c>
    </row>
    <row r="287" spans="3:15" ht="18" hidden="1">
      <c r="C287" s="3859" t="str">
        <f>T('2 REPAIR ESTIMATOR'!D333:O333)</f>
        <v/>
      </c>
      <c r="D287" s="3859"/>
      <c r="E287" s="3859"/>
      <c r="F287" s="3859"/>
      <c r="G287" s="3831">
        <f>'2 REPAIR ESTIMATOR'!AQ333</f>
        <v>0</v>
      </c>
      <c r="H287" s="3831"/>
      <c r="I287" s="810">
        <f t="shared" si="24"/>
        <v>0</v>
      </c>
      <c r="J287" s="811">
        <f t="shared" si="25"/>
        <v>0</v>
      </c>
      <c r="K287" s="3832"/>
      <c r="L287" s="3833"/>
      <c r="M287" s="3833"/>
      <c r="N287" s="3834"/>
      <c r="O287" s="820">
        <f t="shared" si="26"/>
        <v>0</v>
      </c>
    </row>
    <row r="288" spans="3:15" ht="18" hidden="1">
      <c r="C288" s="3859" t="str">
        <f>T('2 REPAIR ESTIMATOR'!D334:O334)</f>
        <v/>
      </c>
      <c r="D288" s="3859"/>
      <c r="E288" s="3859"/>
      <c r="F288" s="3859"/>
      <c r="G288" s="3831">
        <f>'2 REPAIR ESTIMATOR'!AQ334</f>
        <v>0</v>
      </c>
      <c r="H288" s="3831"/>
      <c r="I288" s="810">
        <f t="shared" si="24"/>
        <v>0</v>
      </c>
      <c r="J288" s="811">
        <f t="shared" si="25"/>
        <v>0</v>
      </c>
      <c r="K288" s="3832"/>
      <c r="L288" s="3833"/>
      <c r="M288" s="3833"/>
      <c r="N288" s="3834"/>
      <c r="O288" s="820">
        <f t="shared" si="26"/>
        <v>0</v>
      </c>
    </row>
    <row r="289" spans="3:15" ht="18" hidden="1">
      <c r="C289" s="3859" t="str">
        <f>T('2 REPAIR ESTIMATOR'!D335:O335)</f>
        <v/>
      </c>
      <c r="D289" s="3859"/>
      <c r="E289" s="3859"/>
      <c r="F289" s="3859"/>
      <c r="G289" s="3831">
        <f>'2 REPAIR ESTIMATOR'!AQ335</f>
        <v>0</v>
      </c>
      <c r="H289" s="3831"/>
      <c r="I289" s="810">
        <f t="shared" si="24"/>
        <v>0</v>
      </c>
      <c r="J289" s="811">
        <f t="shared" si="25"/>
        <v>0</v>
      </c>
      <c r="K289" s="3832"/>
      <c r="L289" s="3833"/>
      <c r="M289" s="3833"/>
      <c r="N289" s="3834"/>
      <c r="O289" s="820">
        <f t="shared" si="26"/>
        <v>0</v>
      </c>
    </row>
    <row r="290" spans="3:15" ht="18" hidden="1">
      <c r="C290" s="3859" t="str">
        <f>T('2 REPAIR ESTIMATOR'!D336:O336)</f>
        <v/>
      </c>
      <c r="D290" s="3859"/>
      <c r="E290" s="3859"/>
      <c r="F290" s="3859"/>
      <c r="G290" s="3831">
        <f>'2 REPAIR ESTIMATOR'!AQ336</f>
        <v>0</v>
      </c>
      <c r="H290" s="3831"/>
      <c r="I290" s="810">
        <f t="shared" si="24"/>
        <v>0</v>
      </c>
      <c r="J290" s="811">
        <f t="shared" si="25"/>
        <v>0</v>
      </c>
      <c r="K290" s="3832"/>
      <c r="L290" s="3833"/>
      <c r="M290" s="3833"/>
      <c r="N290" s="3834"/>
      <c r="O290" s="820">
        <f t="shared" si="26"/>
        <v>0</v>
      </c>
    </row>
    <row r="291" spans="3:15" ht="18" hidden="1">
      <c r="C291" s="3859" t="str">
        <f>T('2 REPAIR ESTIMATOR'!D337:O337)</f>
        <v/>
      </c>
      <c r="D291" s="3859"/>
      <c r="E291" s="3859"/>
      <c r="F291" s="3859"/>
      <c r="G291" s="3831">
        <f>'2 REPAIR ESTIMATOR'!AQ337</f>
        <v>0</v>
      </c>
      <c r="H291" s="3831"/>
      <c r="I291" s="810">
        <f t="shared" si="24"/>
        <v>0</v>
      </c>
      <c r="J291" s="811">
        <f t="shared" si="25"/>
        <v>0</v>
      </c>
      <c r="K291" s="3832"/>
      <c r="L291" s="3833"/>
      <c r="M291" s="3833"/>
      <c r="N291" s="3834"/>
      <c r="O291" s="820">
        <f t="shared" si="26"/>
        <v>0</v>
      </c>
    </row>
    <row r="292" spans="3:15" ht="18" hidden="1">
      <c r="C292" s="3859" t="str">
        <f>T('2 REPAIR ESTIMATOR'!D338:O338)</f>
        <v/>
      </c>
      <c r="D292" s="3859"/>
      <c r="E292" s="3859"/>
      <c r="F292" s="3859"/>
      <c r="G292" s="3831">
        <f>'2 REPAIR ESTIMATOR'!AQ338</f>
        <v>0</v>
      </c>
      <c r="H292" s="3831"/>
      <c r="I292" s="810">
        <f t="shared" si="24"/>
        <v>0</v>
      </c>
      <c r="J292" s="811">
        <f t="shared" si="25"/>
        <v>0</v>
      </c>
      <c r="K292" s="3832"/>
      <c r="L292" s="3833"/>
      <c r="M292" s="3833"/>
      <c r="N292" s="3834"/>
      <c r="O292" s="820">
        <f t="shared" si="26"/>
        <v>0</v>
      </c>
    </row>
    <row r="293" spans="3:15" ht="18" hidden="1">
      <c r="C293" s="3859" t="str">
        <f>T('2 REPAIR ESTIMATOR'!D339:O339)</f>
        <v/>
      </c>
      <c r="D293" s="3859"/>
      <c r="E293" s="3859"/>
      <c r="F293" s="3859"/>
      <c r="G293" s="3831">
        <f>'2 REPAIR ESTIMATOR'!AQ339</f>
        <v>0</v>
      </c>
      <c r="H293" s="3831"/>
      <c r="I293" s="810">
        <f t="shared" si="24"/>
        <v>0</v>
      </c>
      <c r="J293" s="811">
        <f t="shared" si="25"/>
        <v>0</v>
      </c>
      <c r="K293" s="3832"/>
      <c r="L293" s="3833"/>
      <c r="M293" s="3833"/>
      <c r="N293" s="3834"/>
      <c r="O293" s="820">
        <f t="shared" si="26"/>
        <v>0</v>
      </c>
    </row>
    <row r="294" spans="3:15" ht="18" hidden="1">
      <c r="C294" s="3859" t="str">
        <f>T('2 REPAIR ESTIMATOR'!D340:O340)</f>
        <v/>
      </c>
      <c r="D294" s="3859"/>
      <c r="E294" s="3859"/>
      <c r="F294" s="3859"/>
      <c r="G294" s="3831">
        <f>'2 REPAIR ESTIMATOR'!AQ340</f>
        <v>0</v>
      </c>
      <c r="H294" s="3831"/>
      <c r="I294" s="810">
        <f t="shared" si="24"/>
        <v>0</v>
      </c>
      <c r="J294" s="811">
        <f t="shared" si="25"/>
        <v>0</v>
      </c>
      <c r="K294" s="3832"/>
      <c r="L294" s="3833"/>
      <c r="M294" s="3833"/>
      <c r="N294" s="3834"/>
      <c r="O294" s="820">
        <f t="shared" si="26"/>
        <v>0</v>
      </c>
    </row>
    <row r="295" spans="3:15" ht="18" hidden="1">
      <c r="C295" s="3859" t="str">
        <f>T('2 REPAIR ESTIMATOR'!D341:O341)</f>
        <v/>
      </c>
      <c r="D295" s="3859"/>
      <c r="E295" s="3859"/>
      <c r="F295" s="3859"/>
      <c r="G295" s="3831">
        <f>'2 REPAIR ESTIMATOR'!AQ341</f>
        <v>0</v>
      </c>
      <c r="H295" s="3831"/>
      <c r="I295" s="810">
        <f t="shared" si="24"/>
        <v>0</v>
      </c>
      <c r="J295" s="811">
        <f t="shared" si="25"/>
        <v>0</v>
      </c>
      <c r="K295" s="3832"/>
      <c r="L295" s="3833"/>
      <c r="M295" s="3833"/>
      <c r="N295" s="3834"/>
      <c r="O295" s="820">
        <f t="shared" si="26"/>
        <v>0</v>
      </c>
    </row>
    <row r="296" spans="3:15" ht="18" hidden="1">
      <c r="C296" s="3859" t="str">
        <f>T('2 REPAIR ESTIMATOR'!D342:O342)</f>
        <v/>
      </c>
      <c r="D296" s="3859"/>
      <c r="E296" s="3859"/>
      <c r="F296" s="3859"/>
      <c r="G296" s="3831">
        <f>'2 REPAIR ESTIMATOR'!AQ342</f>
        <v>0</v>
      </c>
      <c r="H296" s="3831"/>
      <c r="I296" s="810">
        <f t="shared" si="24"/>
        <v>0</v>
      </c>
      <c r="J296" s="811">
        <f t="shared" si="25"/>
        <v>0</v>
      </c>
      <c r="K296" s="3832"/>
      <c r="L296" s="3833"/>
      <c r="M296" s="3833"/>
      <c r="N296" s="3834"/>
      <c r="O296" s="820">
        <f t="shared" si="26"/>
        <v>0</v>
      </c>
    </row>
    <row r="297" spans="3:15" ht="18" hidden="1">
      <c r="C297" s="3859" t="str">
        <f>T('2 REPAIR ESTIMATOR'!D343:O343)</f>
        <v/>
      </c>
      <c r="D297" s="3859"/>
      <c r="E297" s="3859"/>
      <c r="F297" s="3859"/>
      <c r="G297" s="3831">
        <f>'2 REPAIR ESTIMATOR'!AQ343</f>
        <v>0</v>
      </c>
      <c r="H297" s="3831"/>
      <c r="I297" s="810">
        <f t="shared" si="24"/>
        <v>0</v>
      </c>
      <c r="J297" s="811">
        <f t="shared" si="25"/>
        <v>0</v>
      </c>
      <c r="K297" s="3832"/>
      <c r="L297" s="3833"/>
      <c r="M297" s="3833"/>
      <c r="N297" s="3834"/>
      <c r="O297" s="820">
        <f t="shared" si="26"/>
        <v>0</v>
      </c>
    </row>
    <row r="298" spans="3:15" ht="18" hidden="1">
      <c r="C298" s="3859" t="str">
        <f>T('2 REPAIR ESTIMATOR'!D344:O344)</f>
        <v/>
      </c>
      <c r="D298" s="3859"/>
      <c r="E298" s="3859"/>
      <c r="F298" s="3859"/>
      <c r="G298" s="3831">
        <f>'2 REPAIR ESTIMATOR'!AQ344</f>
        <v>0</v>
      </c>
      <c r="H298" s="3831"/>
      <c r="I298" s="810">
        <f t="shared" si="24"/>
        <v>0</v>
      </c>
      <c r="J298" s="811">
        <f t="shared" si="25"/>
        <v>0</v>
      </c>
      <c r="K298" s="3832"/>
      <c r="L298" s="3833"/>
      <c r="M298" s="3833"/>
      <c r="N298" s="3834"/>
      <c r="O298" s="820">
        <f t="shared" si="26"/>
        <v>0</v>
      </c>
    </row>
    <row r="299" spans="3:15" ht="18" hidden="1">
      <c r="C299" s="3859" t="str">
        <f>T('2 REPAIR ESTIMATOR'!D345:O345)</f>
        <v/>
      </c>
      <c r="D299" s="3859"/>
      <c r="E299" s="3859"/>
      <c r="F299" s="3859"/>
      <c r="G299" s="3831">
        <f>'2 REPAIR ESTIMATOR'!AQ345</f>
        <v>0</v>
      </c>
      <c r="H299" s="3831"/>
      <c r="I299" s="810">
        <f t="shared" si="24"/>
        <v>0</v>
      </c>
      <c r="J299" s="811">
        <f t="shared" si="25"/>
        <v>0</v>
      </c>
      <c r="K299" s="3832"/>
      <c r="L299" s="3833"/>
      <c r="M299" s="3833"/>
      <c r="N299" s="3834"/>
      <c r="O299" s="820">
        <f t="shared" si="26"/>
        <v>0</v>
      </c>
    </row>
    <row r="300" spans="3:15" ht="18" hidden="1">
      <c r="C300" s="3859" t="str">
        <f>T('2 REPAIR ESTIMATOR'!D346:O346)</f>
        <v/>
      </c>
      <c r="D300" s="3859"/>
      <c r="E300" s="3859"/>
      <c r="F300" s="3859"/>
      <c r="G300" s="3831">
        <f>'2 REPAIR ESTIMATOR'!AQ346</f>
        <v>0</v>
      </c>
      <c r="H300" s="3831"/>
      <c r="I300" s="810">
        <f t="shared" si="24"/>
        <v>0</v>
      </c>
      <c r="J300" s="811">
        <f t="shared" si="25"/>
        <v>0</v>
      </c>
      <c r="K300" s="3832"/>
      <c r="L300" s="3833"/>
      <c r="M300" s="3833"/>
      <c r="N300" s="3834"/>
      <c r="O300" s="820">
        <f t="shared" si="26"/>
        <v>0</v>
      </c>
    </row>
    <row r="301" spans="3:15" ht="18" hidden="1">
      <c r="C301" s="3859" t="str">
        <f>T('2 REPAIR ESTIMATOR'!D347:O347)</f>
        <v/>
      </c>
      <c r="D301" s="3859"/>
      <c r="E301" s="3859"/>
      <c r="F301" s="3859"/>
      <c r="G301" s="3831">
        <f>'2 REPAIR ESTIMATOR'!AQ347</f>
        <v>0</v>
      </c>
      <c r="H301" s="3831"/>
      <c r="I301" s="810">
        <f t="shared" si="24"/>
        <v>0</v>
      </c>
      <c r="J301" s="811">
        <f t="shared" si="25"/>
        <v>0</v>
      </c>
      <c r="K301" s="3832"/>
      <c r="L301" s="3833"/>
      <c r="M301" s="3833"/>
      <c r="N301" s="3834"/>
      <c r="O301" s="820">
        <f t="shared" si="26"/>
        <v>0</v>
      </c>
    </row>
    <row r="302" spans="3:15" ht="18" hidden="1">
      <c r="C302" s="3859" t="str">
        <f>T('2 REPAIR ESTIMATOR'!D348:O348)</f>
        <v/>
      </c>
      <c r="D302" s="3859"/>
      <c r="E302" s="3859"/>
      <c r="F302" s="3859"/>
      <c r="G302" s="3831">
        <f>'2 REPAIR ESTIMATOR'!AQ348</f>
        <v>0</v>
      </c>
      <c r="H302" s="3831"/>
      <c r="I302" s="810">
        <f t="shared" si="24"/>
        <v>0</v>
      </c>
      <c r="J302" s="811">
        <f t="shared" si="25"/>
        <v>0</v>
      </c>
      <c r="K302" s="3832"/>
      <c r="L302" s="3833"/>
      <c r="M302" s="3833"/>
      <c r="N302" s="3834"/>
      <c r="O302" s="820">
        <f t="shared" si="26"/>
        <v>0</v>
      </c>
    </row>
    <row r="303" spans="3:15" ht="18" hidden="1">
      <c r="C303" s="3859" t="str">
        <f>T('2 REPAIR ESTIMATOR'!D349:O349)</f>
        <v/>
      </c>
      <c r="D303" s="3859"/>
      <c r="E303" s="3859"/>
      <c r="F303" s="3859"/>
      <c r="G303" s="3831">
        <f>'2 REPAIR ESTIMATOR'!AQ349</f>
        <v>0</v>
      </c>
      <c r="H303" s="3831"/>
      <c r="I303" s="810">
        <f t="shared" si="24"/>
        <v>0</v>
      </c>
      <c r="J303" s="811">
        <f t="shared" si="25"/>
        <v>0</v>
      </c>
      <c r="K303" s="3832"/>
      <c r="L303" s="3833"/>
      <c r="M303" s="3833"/>
      <c r="N303" s="3834"/>
      <c r="O303" s="820">
        <f t="shared" si="26"/>
        <v>0</v>
      </c>
    </row>
    <row r="304" spans="3:15" ht="18" hidden="1">
      <c r="C304" s="3859" t="str">
        <f>T('2 REPAIR ESTIMATOR'!D350:O350)</f>
        <v/>
      </c>
      <c r="D304" s="3859"/>
      <c r="E304" s="3859"/>
      <c r="F304" s="3859"/>
      <c r="G304" s="3831">
        <f>'2 REPAIR ESTIMATOR'!AQ350</f>
        <v>0</v>
      </c>
      <c r="H304" s="3831"/>
      <c r="I304" s="810">
        <f t="shared" si="24"/>
        <v>0</v>
      </c>
      <c r="J304" s="811">
        <f t="shared" si="25"/>
        <v>0</v>
      </c>
      <c r="K304" s="3832"/>
      <c r="L304" s="3833"/>
      <c r="M304" s="3833"/>
      <c r="N304" s="3834"/>
      <c r="O304" s="820">
        <f t="shared" si="26"/>
        <v>0</v>
      </c>
    </row>
    <row r="305" spans="3:15" ht="18" hidden="1">
      <c r="C305" s="3859" t="str">
        <f>T('2 REPAIR ESTIMATOR'!D351:O351)</f>
        <v/>
      </c>
      <c r="D305" s="3859"/>
      <c r="E305" s="3859"/>
      <c r="F305" s="3859"/>
      <c r="G305" s="3831">
        <f>'2 REPAIR ESTIMATOR'!AQ351</f>
        <v>0</v>
      </c>
      <c r="H305" s="3831"/>
      <c r="I305" s="810">
        <f t="shared" si="24"/>
        <v>0</v>
      </c>
      <c r="J305" s="811">
        <f t="shared" si="25"/>
        <v>0</v>
      </c>
      <c r="K305" s="3832"/>
      <c r="L305" s="3833"/>
      <c r="M305" s="3833"/>
      <c r="N305" s="3834"/>
      <c r="O305" s="820">
        <f t="shared" si="26"/>
        <v>0</v>
      </c>
    </row>
    <row r="306" spans="3:15" ht="18.350000000000001" hidden="1" thickBot="1">
      <c r="C306" s="3835" t="str">
        <f>T('2 REPAIR ESTIMATOR'!D352:O352)</f>
        <v/>
      </c>
      <c r="D306" s="3835"/>
      <c r="E306" s="3835"/>
      <c r="F306" s="3835"/>
      <c r="G306" s="3836">
        <f>'2 REPAIR ESTIMATOR'!AQ352</f>
        <v>0</v>
      </c>
      <c r="H306" s="3836"/>
      <c r="I306" s="813">
        <f t="shared" si="24"/>
        <v>0</v>
      </c>
      <c r="J306" s="814">
        <f t="shared" si="25"/>
        <v>0</v>
      </c>
      <c r="K306" s="3837"/>
      <c r="L306" s="3838"/>
      <c r="M306" s="3838"/>
      <c r="N306" s="3839"/>
      <c r="O306" s="823">
        <f t="shared" si="26"/>
        <v>0</v>
      </c>
    </row>
    <row r="307" spans="3:15" ht="18.350000000000001" hidden="1" thickTop="1">
      <c r="C307" s="3825" t="str">
        <f>T('2 REPAIR ESTIMATOR'!AC354)</f>
        <v>SIDING TOTAL</v>
      </c>
      <c r="D307" s="3825"/>
      <c r="E307" s="3825"/>
      <c r="F307" s="3825"/>
      <c r="G307" s="3826">
        <f>SUM(G267:H306)</f>
        <v>0</v>
      </c>
      <c r="H307" s="3826"/>
      <c r="I307" s="818">
        <f>SUM(I267:I306)</f>
        <v>0</v>
      </c>
      <c r="J307" s="819">
        <f>SUM(J267:J306)</f>
        <v>0</v>
      </c>
      <c r="K307" s="3827"/>
      <c r="L307" s="3828"/>
      <c r="M307" s="3828"/>
      <c r="N307" s="3829"/>
      <c r="O307" s="821">
        <f>SUM(O267:O306)</f>
        <v>0</v>
      </c>
    </row>
    <row r="308" spans="3:15" ht="8.85" hidden="1" customHeight="1">
      <c r="C308" s="836"/>
      <c r="D308" s="836"/>
      <c r="E308" s="836"/>
      <c r="F308" s="836"/>
      <c r="G308" s="837"/>
      <c r="H308" s="837"/>
      <c r="I308" s="837"/>
      <c r="J308" s="837"/>
      <c r="K308" s="837"/>
      <c r="L308" s="837"/>
      <c r="M308" s="837"/>
      <c r="N308" s="837"/>
      <c r="O308" s="822">
        <f>O307</f>
        <v>0</v>
      </c>
    </row>
    <row r="309" spans="3:15" ht="22.5" hidden="1" customHeight="1">
      <c r="C309" s="3840" t="str">
        <f>T('2 REPAIR ESTIMATOR'!D357:O357)</f>
        <v>DECKING AND PATIOS</v>
      </c>
      <c r="D309" s="3840"/>
      <c r="E309" s="3840"/>
      <c r="F309" s="3841"/>
      <c r="G309" s="3845"/>
      <c r="H309" s="3846"/>
      <c r="I309" s="831"/>
      <c r="J309" s="831"/>
      <c r="K309" s="3844"/>
      <c r="L309" s="3844"/>
      <c r="M309" s="3844"/>
      <c r="N309" s="3845"/>
      <c r="O309" s="820">
        <f>SUM(O310:O349)</f>
        <v>0</v>
      </c>
    </row>
    <row r="310" spans="3:15" ht="18" hidden="1">
      <c r="C310" s="3858" t="str">
        <f>T('2 REPAIR ESTIMATOR'!D358:O358)</f>
        <v>Decking</v>
      </c>
      <c r="D310" s="3858"/>
      <c r="E310" s="3858"/>
      <c r="F310" s="3858"/>
      <c r="G310" s="3831">
        <f>'2 REPAIR ESTIMATOR'!AQ358</f>
        <v>0</v>
      </c>
      <c r="H310" s="3831"/>
      <c r="I310" s="810">
        <f t="shared" ref="I310:I349" si="27">IFERROR(G310/Property_Size,0)</f>
        <v>0</v>
      </c>
      <c r="J310" s="811">
        <f t="shared" ref="J310:J349" si="28">IFERROR(G310/Total_Project_Costs_Result,0)</f>
        <v>0</v>
      </c>
      <c r="K310" s="3832"/>
      <c r="L310" s="3833"/>
      <c r="M310" s="3833"/>
      <c r="N310" s="3834"/>
      <c r="O310" s="820">
        <f>IF(G310&gt;0,1,0)</f>
        <v>0</v>
      </c>
    </row>
    <row r="311" spans="3:15" ht="18" hidden="1">
      <c r="C311" s="3859" t="str">
        <f>T('2 REPAIR ESTIMATOR'!D359:O359)</f>
        <v>Deck bid/allowance</v>
      </c>
      <c r="D311" s="3859"/>
      <c r="E311" s="3859"/>
      <c r="F311" s="3859"/>
      <c r="G311" s="3831">
        <f>'2 REPAIR ESTIMATOR'!AQ359</f>
        <v>0</v>
      </c>
      <c r="H311" s="3831"/>
      <c r="I311" s="810">
        <f t="shared" si="27"/>
        <v>0</v>
      </c>
      <c r="J311" s="811">
        <f t="shared" si="28"/>
        <v>0</v>
      </c>
      <c r="K311" s="3832"/>
      <c r="L311" s="3833"/>
      <c r="M311" s="3833"/>
      <c r="N311" s="3834"/>
      <c r="O311" s="820">
        <f t="shared" ref="O311:O349" si="29">IF(G311&gt;0,1,0)</f>
        <v>0</v>
      </c>
    </row>
    <row r="312" spans="3:15" ht="18" hidden="1">
      <c r="C312" s="3859" t="str">
        <f>T('2 REPAIR ESTIMATOR'!D360:O360)</f>
        <v>New deck, columns, joists, railing-treated lumber</v>
      </c>
      <c r="D312" s="3859"/>
      <c r="E312" s="3859"/>
      <c r="F312" s="3859"/>
      <c r="G312" s="3831">
        <f>'2 REPAIR ESTIMATOR'!AQ360</f>
        <v>0</v>
      </c>
      <c r="H312" s="3831"/>
      <c r="I312" s="810">
        <f t="shared" si="27"/>
        <v>0</v>
      </c>
      <c r="J312" s="811">
        <f t="shared" si="28"/>
        <v>0</v>
      </c>
      <c r="K312" s="3832"/>
      <c r="L312" s="3833"/>
      <c r="M312" s="3833"/>
      <c r="N312" s="3834"/>
      <c r="O312" s="820">
        <f t="shared" si="29"/>
        <v>0</v>
      </c>
    </row>
    <row r="313" spans="3:15" ht="18" hidden="1">
      <c r="C313" s="3859" t="str">
        <f>T('2 REPAIR ESTIMATOR'!D361:O361)</f>
        <v>New deck, columns, joists, railing-cedar</v>
      </c>
      <c r="D313" s="3859"/>
      <c r="E313" s="3859"/>
      <c r="F313" s="3859"/>
      <c r="G313" s="3831">
        <f>'2 REPAIR ESTIMATOR'!AQ361</f>
        <v>0</v>
      </c>
      <c r="H313" s="3831"/>
      <c r="I313" s="810">
        <f t="shared" si="27"/>
        <v>0</v>
      </c>
      <c r="J313" s="811">
        <f t="shared" si="28"/>
        <v>0</v>
      </c>
      <c r="K313" s="3832"/>
      <c r="L313" s="3833"/>
      <c r="M313" s="3833"/>
      <c r="N313" s="3834"/>
      <c r="O313" s="820">
        <f t="shared" si="29"/>
        <v>0</v>
      </c>
    </row>
    <row r="314" spans="3:15" ht="18" hidden="1">
      <c r="C314" s="3859" t="str">
        <f>T('2 REPAIR ESTIMATOR'!D362:O362)</f>
        <v>Existing deck, replace decking</v>
      </c>
      <c r="D314" s="3859"/>
      <c r="E314" s="3859"/>
      <c r="F314" s="3859"/>
      <c r="G314" s="3831">
        <f>'2 REPAIR ESTIMATOR'!AQ362</f>
        <v>0</v>
      </c>
      <c r="H314" s="3831"/>
      <c r="I314" s="810">
        <f t="shared" si="27"/>
        <v>0</v>
      </c>
      <c r="J314" s="811">
        <f t="shared" si="28"/>
        <v>0</v>
      </c>
      <c r="K314" s="3832"/>
      <c r="L314" s="3833"/>
      <c r="M314" s="3833"/>
      <c r="N314" s="3834"/>
      <c r="O314" s="820">
        <f t="shared" si="29"/>
        <v>0</v>
      </c>
    </row>
    <row r="315" spans="3:15" ht="18" hidden="1">
      <c r="C315" s="3859" t="str">
        <f>T('2 REPAIR ESTIMATOR'!D363:O363)</f>
        <v>Install railing w/ wood balusters only</v>
      </c>
      <c r="D315" s="3859"/>
      <c r="E315" s="3859"/>
      <c r="F315" s="3859"/>
      <c r="G315" s="3831">
        <f>'2 REPAIR ESTIMATOR'!AQ363</f>
        <v>0</v>
      </c>
      <c r="H315" s="3831"/>
      <c r="I315" s="810">
        <f t="shared" si="27"/>
        <v>0</v>
      </c>
      <c r="J315" s="811">
        <f t="shared" si="28"/>
        <v>0</v>
      </c>
      <c r="K315" s="3832"/>
      <c r="L315" s="3833"/>
      <c r="M315" s="3833"/>
      <c r="N315" s="3834"/>
      <c r="O315" s="820">
        <f t="shared" si="29"/>
        <v>0</v>
      </c>
    </row>
    <row r="316" spans="3:15" ht="18" hidden="1">
      <c r="C316" s="3859" t="str">
        <f>T('2 REPAIR ESTIMATOR'!D364:O364)</f>
        <v>Install railing w/ metal balusters only</v>
      </c>
      <c r="D316" s="3859"/>
      <c r="E316" s="3859"/>
      <c r="F316" s="3859"/>
      <c r="G316" s="3831">
        <f>'2 REPAIR ESTIMATOR'!AQ364</f>
        <v>0</v>
      </c>
      <c r="H316" s="3831"/>
      <c r="I316" s="810">
        <f t="shared" si="27"/>
        <v>0</v>
      </c>
      <c r="J316" s="811">
        <f t="shared" si="28"/>
        <v>0</v>
      </c>
      <c r="K316" s="3832"/>
      <c r="L316" s="3833"/>
      <c r="M316" s="3833"/>
      <c r="N316" s="3834"/>
      <c r="O316" s="820">
        <f t="shared" si="29"/>
        <v>0</v>
      </c>
    </row>
    <row r="317" spans="3:15" ht="18" hidden="1">
      <c r="C317" s="3859" t="str">
        <f>T('2 REPAIR ESTIMATOR'!D365:O365)</f>
        <v>Stairs, 5 to 7 risers</v>
      </c>
      <c r="D317" s="3859"/>
      <c r="E317" s="3859"/>
      <c r="F317" s="3859"/>
      <c r="G317" s="3831">
        <f>'2 REPAIR ESTIMATOR'!AQ365</f>
        <v>0</v>
      </c>
      <c r="H317" s="3831"/>
      <c r="I317" s="810">
        <f t="shared" si="27"/>
        <v>0</v>
      </c>
      <c r="J317" s="811">
        <f t="shared" si="28"/>
        <v>0</v>
      </c>
      <c r="K317" s="3832"/>
      <c r="L317" s="3833"/>
      <c r="M317" s="3833"/>
      <c r="N317" s="3834"/>
      <c r="O317" s="820">
        <f t="shared" si="29"/>
        <v>0</v>
      </c>
    </row>
    <row r="318" spans="3:15" ht="18" hidden="1">
      <c r="C318" s="3859" t="str">
        <f>T('2 REPAIR ESTIMATOR'!D366:O366)</f>
        <v/>
      </c>
      <c r="D318" s="3859"/>
      <c r="E318" s="3859"/>
      <c r="F318" s="3859"/>
      <c r="G318" s="3831">
        <f>'2 REPAIR ESTIMATOR'!AQ366</f>
        <v>0</v>
      </c>
      <c r="H318" s="3831"/>
      <c r="I318" s="810">
        <f t="shared" si="27"/>
        <v>0</v>
      </c>
      <c r="J318" s="811">
        <f t="shared" si="28"/>
        <v>0</v>
      </c>
      <c r="K318" s="3832"/>
      <c r="L318" s="3833"/>
      <c r="M318" s="3833"/>
      <c r="N318" s="3834"/>
      <c r="O318" s="820">
        <f t="shared" si="29"/>
        <v>0</v>
      </c>
    </row>
    <row r="319" spans="3:15" ht="18" hidden="1">
      <c r="C319" s="3859" t="str">
        <f>T('2 REPAIR ESTIMATOR'!D367:O367)</f>
        <v/>
      </c>
      <c r="D319" s="3859"/>
      <c r="E319" s="3859"/>
      <c r="F319" s="3859"/>
      <c r="G319" s="3831">
        <f>'2 REPAIR ESTIMATOR'!AQ367</f>
        <v>0</v>
      </c>
      <c r="H319" s="3831"/>
      <c r="I319" s="810">
        <f t="shared" si="27"/>
        <v>0</v>
      </c>
      <c r="J319" s="811">
        <f t="shared" si="28"/>
        <v>0</v>
      </c>
      <c r="K319" s="3832"/>
      <c r="L319" s="3833"/>
      <c r="M319" s="3833"/>
      <c r="N319" s="3834"/>
      <c r="O319" s="820">
        <f t="shared" si="29"/>
        <v>0</v>
      </c>
    </row>
    <row r="320" spans="3:15" ht="18" hidden="1">
      <c r="C320" s="3858" t="str">
        <f>T('2 REPAIR ESTIMATOR'!D368:O368)</f>
        <v>Covered Patio</v>
      </c>
      <c r="D320" s="3858"/>
      <c r="E320" s="3858"/>
      <c r="F320" s="3858"/>
      <c r="G320" s="3831">
        <f>'2 REPAIR ESTIMATOR'!AQ368</f>
        <v>0</v>
      </c>
      <c r="H320" s="3831"/>
      <c r="I320" s="810">
        <f t="shared" si="27"/>
        <v>0</v>
      </c>
      <c r="J320" s="811">
        <f t="shared" si="28"/>
        <v>0</v>
      </c>
      <c r="K320" s="3832"/>
      <c r="L320" s="3833"/>
      <c r="M320" s="3833"/>
      <c r="N320" s="3834"/>
      <c r="O320" s="820">
        <f t="shared" si="29"/>
        <v>0</v>
      </c>
    </row>
    <row r="321" spans="3:15" ht="18" hidden="1">
      <c r="C321" s="3859" t="str">
        <f>T('2 REPAIR ESTIMATOR'!D369:O369)</f>
        <v>Covered Patio bid/allowance</v>
      </c>
      <c r="D321" s="3859"/>
      <c r="E321" s="3859"/>
      <c r="F321" s="3859"/>
      <c r="G321" s="3831">
        <f>'2 REPAIR ESTIMATOR'!AQ369</f>
        <v>0</v>
      </c>
      <c r="H321" s="3831"/>
      <c r="I321" s="810">
        <f t="shared" si="27"/>
        <v>0</v>
      </c>
      <c r="J321" s="811">
        <f t="shared" si="28"/>
        <v>0</v>
      </c>
      <c r="K321" s="3832"/>
      <c r="L321" s="3833"/>
      <c r="M321" s="3833"/>
      <c r="N321" s="3834"/>
      <c r="O321" s="820">
        <f t="shared" si="29"/>
        <v>0</v>
      </c>
    </row>
    <row r="322" spans="3:15" ht="18" hidden="1">
      <c r="C322" s="3859" t="str">
        <f>T('2 REPAIR ESTIMATOR'!D370:O370)</f>
        <v>Covered patio, floor, roof frame, decking, treated</v>
      </c>
      <c r="D322" s="3859"/>
      <c r="E322" s="3859"/>
      <c r="F322" s="3859"/>
      <c r="G322" s="3831">
        <f>'2 REPAIR ESTIMATOR'!AQ370</f>
        <v>0</v>
      </c>
      <c r="H322" s="3831"/>
      <c r="I322" s="810">
        <f t="shared" si="27"/>
        <v>0</v>
      </c>
      <c r="J322" s="811">
        <f t="shared" si="28"/>
        <v>0</v>
      </c>
      <c r="K322" s="3832"/>
      <c r="L322" s="3833"/>
      <c r="M322" s="3833"/>
      <c r="N322" s="3834"/>
      <c r="O322" s="820">
        <f t="shared" si="29"/>
        <v>0</v>
      </c>
    </row>
    <row r="323" spans="3:15" ht="18" hidden="1">
      <c r="C323" s="3859" t="str">
        <f>T('2 REPAIR ESTIMATOR'!D371:O371)</f>
        <v>Install railing w/ wood balusters only</v>
      </c>
      <c r="D323" s="3859"/>
      <c r="E323" s="3859"/>
      <c r="F323" s="3859"/>
      <c r="G323" s="3831">
        <f>'2 REPAIR ESTIMATOR'!AQ371</f>
        <v>0</v>
      </c>
      <c r="H323" s="3831"/>
      <c r="I323" s="810">
        <f t="shared" si="27"/>
        <v>0</v>
      </c>
      <c r="J323" s="811">
        <f t="shared" si="28"/>
        <v>0</v>
      </c>
      <c r="K323" s="3832"/>
      <c r="L323" s="3833"/>
      <c r="M323" s="3833"/>
      <c r="N323" s="3834"/>
      <c r="O323" s="820">
        <f t="shared" si="29"/>
        <v>0</v>
      </c>
    </row>
    <row r="324" spans="3:15" ht="18" hidden="1">
      <c r="C324" s="3859" t="str">
        <f>T('2 REPAIR ESTIMATOR'!D372:O372)</f>
        <v>Install railing w/ metal balusters only</v>
      </c>
      <c r="D324" s="3859"/>
      <c r="E324" s="3859"/>
      <c r="F324" s="3859"/>
      <c r="G324" s="3831">
        <f>'2 REPAIR ESTIMATOR'!AQ372</f>
        <v>0</v>
      </c>
      <c r="H324" s="3831"/>
      <c r="I324" s="810">
        <f t="shared" si="27"/>
        <v>0</v>
      </c>
      <c r="J324" s="811">
        <f t="shared" si="28"/>
        <v>0</v>
      </c>
      <c r="K324" s="3832"/>
      <c r="L324" s="3833"/>
      <c r="M324" s="3833"/>
      <c r="N324" s="3834"/>
      <c r="O324" s="820">
        <f t="shared" si="29"/>
        <v>0</v>
      </c>
    </row>
    <row r="325" spans="3:15" ht="18" hidden="1">
      <c r="C325" s="3859" t="str">
        <f>T('2 REPAIR ESTIMATOR'!D373:O373)</f>
        <v>Stairs, 5 to 7 risers</v>
      </c>
      <c r="D325" s="3859"/>
      <c r="E325" s="3859"/>
      <c r="F325" s="3859"/>
      <c r="G325" s="3831">
        <f>'2 REPAIR ESTIMATOR'!AQ373</f>
        <v>0</v>
      </c>
      <c r="H325" s="3831"/>
      <c r="I325" s="810">
        <f t="shared" si="27"/>
        <v>0</v>
      </c>
      <c r="J325" s="811">
        <f t="shared" si="28"/>
        <v>0</v>
      </c>
      <c r="K325" s="3832"/>
      <c r="L325" s="3833"/>
      <c r="M325" s="3833"/>
      <c r="N325" s="3834"/>
      <c r="O325" s="820">
        <f t="shared" si="29"/>
        <v>0</v>
      </c>
    </row>
    <row r="326" spans="3:15" ht="18" hidden="1">
      <c r="C326" s="3859" t="str">
        <f>T('2 REPAIR ESTIMATOR'!D374:O374)</f>
        <v>Wood board ceiling, tongue and groove</v>
      </c>
      <c r="D326" s="3859"/>
      <c r="E326" s="3859"/>
      <c r="F326" s="3859"/>
      <c r="G326" s="3831">
        <f>'2 REPAIR ESTIMATOR'!AQ374</f>
        <v>0</v>
      </c>
      <c r="H326" s="3831"/>
      <c r="I326" s="810">
        <f t="shared" si="27"/>
        <v>0</v>
      </c>
      <c r="J326" s="811">
        <f t="shared" si="28"/>
        <v>0</v>
      </c>
      <c r="K326" s="3832"/>
      <c r="L326" s="3833"/>
      <c r="M326" s="3833"/>
      <c r="N326" s="3834"/>
      <c r="O326" s="820">
        <f t="shared" si="29"/>
        <v>0</v>
      </c>
    </row>
    <row r="327" spans="3:15" ht="18" hidden="1">
      <c r="C327" s="3859" t="str">
        <f>T('2 REPAIR ESTIMATOR'!D375:O375)</f>
        <v>Insect screening</v>
      </c>
      <c r="D327" s="3859"/>
      <c r="E327" s="3859"/>
      <c r="F327" s="3859"/>
      <c r="G327" s="3831">
        <f>'2 REPAIR ESTIMATOR'!AQ375</f>
        <v>0</v>
      </c>
      <c r="H327" s="3831"/>
      <c r="I327" s="810">
        <f t="shared" si="27"/>
        <v>0</v>
      </c>
      <c r="J327" s="811">
        <f t="shared" si="28"/>
        <v>0</v>
      </c>
      <c r="K327" s="3832"/>
      <c r="L327" s="3833"/>
      <c r="M327" s="3833"/>
      <c r="N327" s="3834"/>
      <c r="O327" s="820">
        <f t="shared" si="29"/>
        <v>0</v>
      </c>
    </row>
    <row r="328" spans="3:15" ht="18" hidden="1">
      <c r="C328" s="3859" t="str">
        <f>T('2 REPAIR ESTIMATOR'!D376:O376)</f>
        <v/>
      </c>
      <c r="D328" s="3859"/>
      <c r="E328" s="3859"/>
      <c r="F328" s="3859"/>
      <c r="G328" s="3831">
        <f>'2 REPAIR ESTIMATOR'!AQ376</f>
        <v>0</v>
      </c>
      <c r="H328" s="3831"/>
      <c r="I328" s="810">
        <f t="shared" si="27"/>
        <v>0</v>
      </c>
      <c r="J328" s="811">
        <f t="shared" si="28"/>
        <v>0</v>
      </c>
      <c r="K328" s="3832"/>
      <c r="L328" s="3833"/>
      <c r="M328" s="3833"/>
      <c r="N328" s="3834"/>
      <c r="O328" s="820">
        <f t="shared" si="29"/>
        <v>0</v>
      </c>
    </row>
    <row r="329" spans="3:15" ht="18" hidden="1">
      <c r="C329" s="3859" t="str">
        <f>T('2 REPAIR ESTIMATOR'!D377:O377)</f>
        <v/>
      </c>
      <c r="D329" s="3859"/>
      <c r="E329" s="3859"/>
      <c r="F329" s="3859"/>
      <c r="G329" s="3831">
        <f>'2 REPAIR ESTIMATOR'!AQ377</f>
        <v>0</v>
      </c>
      <c r="H329" s="3831"/>
      <c r="I329" s="810">
        <f t="shared" si="27"/>
        <v>0</v>
      </c>
      <c r="J329" s="811">
        <f t="shared" si="28"/>
        <v>0</v>
      </c>
      <c r="K329" s="3832"/>
      <c r="L329" s="3833"/>
      <c r="M329" s="3833"/>
      <c r="N329" s="3834"/>
      <c r="O329" s="820">
        <f t="shared" si="29"/>
        <v>0</v>
      </c>
    </row>
    <row r="330" spans="3:15" ht="18" hidden="1">
      <c r="C330" s="3859" t="str">
        <f>T('2 REPAIR ESTIMATOR'!D378:O378)</f>
        <v/>
      </c>
      <c r="D330" s="3859"/>
      <c r="E330" s="3859"/>
      <c r="F330" s="3859"/>
      <c r="G330" s="3831">
        <f>'2 REPAIR ESTIMATOR'!AQ378</f>
        <v>0</v>
      </c>
      <c r="H330" s="3831"/>
      <c r="I330" s="810">
        <f t="shared" si="27"/>
        <v>0</v>
      </c>
      <c r="J330" s="811">
        <f t="shared" si="28"/>
        <v>0</v>
      </c>
      <c r="K330" s="3832"/>
      <c r="L330" s="3833"/>
      <c r="M330" s="3833"/>
      <c r="N330" s="3834"/>
      <c r="O330" s="820">
        <f t="shared" si="29"/>
        <v>0</v>
      </c>
    </row>
    <row r="331" spans="3:15" ht="18" hidden="1">
      <c r="C331" s="3859" t="str">
        <f>T('2 REPAIR ESTIMATOR'!D379:O379)</f>
        <v/>
      </c>
      <c r="D331" s="3859"/>
      <c r="E331" s="3859"/>
      <c r="F331" s="3859"/>
      <c r="G331" s="3831">
        <f>'2 REPAIR ESTIMATOR'!AQ379</f>
        <v>0</v>
      </c>
      <c r="H331" s="3831"/>
      <c r="I331" s="810">
        <f t="shared" si="27"/>
        <v>0</v>
      </c>
      <c r="J331" s="811">
        <f t="shared" si="28"/>
        <v>0</v>
      </c>
      <c r="K331" s="3832"/>
      <c r="L331" s="3833"/>
      <c r="M331" s="3833"/>
      <c r="N331" s="3834"/>
      <c r="O331" s="820">
        <f t="shared" si="29"/>
        <v>0</v>
      </c>
    </row>
    <row r="332" spans="3:15" ht="18" hidden="1">
      <c r="C332" s="3859" t="str">
        <f>T('2 REPAIR ESTIMATOR'!D380:O380)</f>
        <v/>
      </c>
      <c r="D332" s="3859"/>
      <c r="E332" s="3859"/>
      <c r="F332" s="3859"/>
      <c r="G332" s="3831">
        <f>'2 REPAIR ESTIMATOR'!AQ380</f>
        <v>0</v>
      </c>
      <c r="H332" s="3831"/>
      <c r="I332" s="810">
        <f t="shared" si="27"/>
        <v>0</v>
      </c>
      <c r="J332" s="811">
        <f t="shared" si="28"/>
        <v>0</v>
      </c>
      <c r="K332" s="3832"/>
      <c r="L332" s="3833"/>
      <c r="M332" s="3833"/>
      <c r="N332" s="3834"/>
      <c r="O332" s="820">
        <f t="shared" si="29"/>
        <v>0</v>
      </c>
    </row>
    <row r="333" spans="3:15" ht="18" hidden="1">
      <c r="C333" s="3859" t="str">
        <f>T('2 REPAIR ESTIMATOR'!D381:O381)</f>
        <v/>
      </c>
      <c r="D333" s="3859"/>
      <c r="E333" s="3859"/>
      <c r="F333" s="3859"/>
      <c r="G333" s="3831">
        <f>'2 REPAIR ESTIMATOR'!AQ381</f>
        <v>0</v>
      </c>
      <c r="H333" s="3831"/>
      <c r="I333" s="810">
        <f t="shared" si="27"/>
        <v>0</v>
      </c>
      <c r="J333" s="811">
        <f t="shared" si="28"/>
        <v>0</v>
      </c>
      <c r="K333" s="3832"/>
      <c r="L333" s="3833"/>
      <c r="M333" s="3833"/>
      <c r="N333" s="3834"/>
      <c r="O333" s="820">
        <f t="shared" si="29"/>
        <v>0</v>
      </c>
    </row>
    <row r="334" spans="3:15" ht="18" hidden="1">
      <c r="C334" s="3859" t="str">
        <f>T('2 REPAIR ESTIMATOR'!D382:O382)</f>
        <v/>
      </c>
      <c r="D334" s="3859"/>
      <c r="E334" s="3859"/>
      <c r="F334" s="3859"/>
      <c r="G334" s="3831">
        <f>'2 REPAIR ESTIMATOR'!AQ382</f>
        <v>0</v>
      </c>
      <c r="H334" s="3831"/>
      <c r="I334" s="810">
        <f t="shared" si="27"/>
        <v>0</v>
      </c>
      <c r="J334" s="811">
        <f t="shared" si="28"/>
        <v>0</v>
      </c>
      <c r="K334" s="3832"/>
      <c r="L334" s="3833"/>
      <c r="M334" s="3833"/>
      <c r="N334" s="3834"/>
      <c r="O334" s="820">
        <f t="shared" si="29"/>
        <v>0</v>
      </c>
    </row>
    <row r="335" spans="3:15" ht="18" hidden="1">
      <c r="C335" s="3859" t="str">
        <f>T('2 REPAIR ESTIMATOR'!D383:O383)</f>
        <v/>
      </c>
      <c r="D335" s="3859"/>
      <c r="E335" s="3859"/>
      <c r="F335" s="3859"/>
      <c r="G335" s="3831">
        <f>'2 REPAIR ESTIMATOR'!AQ383</f>
        <v>0</v>
      </c>
      <c r="H335" s="3831"/>
      <c r="I335" s="810">
        <f t="shared" si="27"/>
        <v>0</v>
      </c>
      <c r="J335" s="811">
        <f t="shared" si="28"/>
        <v>0</v>
      </c>
      <c r="K335" s="3832"/>
      <c r="L335" s="3833"/>
      <c r="M335" s="3833"/>
      <c r="N335" s="3834"/>
      <c r="O335" s="820">
        <f t="shared" si="29"/>
        <v>0</v>
      </c>
    </row>
    <row r="336" spans="3:15" ht="18" hidden="1">
      <c r="C336" s="3859" t="str">
        <f>T('2 REPAIR ESTIMATOR'!D384:O384)</f>
        <v/>
      </c>
      <c r="D336" s="3859"/>
      <c r="E336" s="3859"/>
      <c r="F336" s="3859"/>
      <c r="G336" s="3831">
        <f>'2 REPAIR ESTIMATOR'!AQ384</f>
        <v>0</v>
      </c>
      <c r="H336" s="3831"/>
      <c r="I336" s="810">
        <f t="shared" si="27"/>
        <v>0</v>
      </c>
      <c r="J336" s="811">
        <f t="shared" si="28"/>
        <v>0</v>
      </c>
      <c r="K336" s="3832"/>
      <c r="L336" s="3833"/>
      <c r="M336" s="3833"/>
      <c r="N336" s="3834"/>
      <c r="O336" s="820">
        <f t="shared" si="29"/>
        <v>0</v>
      </c>
    </row>
    <row r="337" spans="3:15" ht="18" hidden="1">
      <c r="C337" s="3859" t="str">
        <f>T('2 REPAIR ESTIMATOR'!D385:O385)</f>
        <v/>
      </c>
      <c r="D337" s="3859"/>
      <c r="E337" s="3859"/>
      <c r="F337" s="3859"/>
      <c r="G337" s="3831">
        <f>'2 REPAIR ESTIMATOR'!AQ385</f>
        <v>0</v>
      </c>
      <c r="H337" s="3831"/>
      <c r="I337" s="810">
        <f t="shared" si="27"/>
        <v>0</v>
      </c>
      <c r="J337" s="811">
        <f t="shared" si="28"/>
        <v>0</v>
      </c>
      <c r="K337" s="3832"/>
      <c r="L337" s="3833"/>
      <c r="M337" s="3833"/>
      <c r="N337" s="3834"/>
      <c r="O337" s="820">
        <f t="shared" si="29"/>
        <v>0</v>
      </c>
    </row>
    <row r="338" spans="3:15" ht="18" hidden="1">
      <c r="C338" s="3859" t="str">
        <f>T('2 REPAIR ESTIMATOR'!D386:O386)</f>
        <v/>
      </c>
      <c r="D338" s="3859"/>
      <c r="E338" s="3859"/>
      <c r="F338" s="3859"/>
      <c r="G338" s="3831">
        <f>'2 REPAIR ESTIMATOR'!AQ386</f>
        <v>0</v>
      </c>
      <c r="H338" s="3831"/>
      <c r="I338" s="810">
        <f t="shared" si="27"/>
        <v>0</v>
      </c>
      <c r="J338" s="811">
        <f t="shared" si="28"/>
        <v>0</v>
      </c>
      <c r="K338" s="3832"/>
      <c r="L338" s="3833"/>
      <c r="M338" s="3833"/>
      <c r="N338" s="3834"/>
      <c r="O338" s="820">
        <f t="shared" si="29"/>
        <v>0</v>
      </c>
    </row>
    <row r="339" spans="3:15" ht="18" hidden="1">
      <c r="C339" s="3859" t="str">
        <f>T('2 REPAIR ESTIMATOR'!D387:O387)</f>
        <v/>
      </c>
      <c r="D339" s="3859"/>
      <c r="E339" s="3859"/>
      <c r="F339" s="3859"/>
      <c r="G339" s="3831">
        <f>'2 REPAIR ESTIMATOR'!AQ387</f>
        <v>0</v>
      </c>
      <c r="H339" s="3831"/>
      <c r="I339" s="810">
        <f t="shared" si="27"/>
        <v>0</v>
      </c>
      <c r="J339" s="811">
        <f t="shared" si="28"/>
        <v>0</v>
      </c>
      <c r="K339" s="3832"/>
      <c r="L339" s="3833"/>
      <c r="M339" s="3833"/>
      <c r="N339" s="3834"/>
      <c r="O339" s="820">
        <f t="shared" si="29"/>
        <v>0</v>
      </c>
    </row>
    <row r="340" spans="3:15" ht="18" hidden="1">
      <c r="C340" s="3859" t="str">
        <f>T('2 REPAIR ESTIMATOR'!D388:O388)</f>
        <v/>
      </c>
      <c r="D340" s="3859"/>
      <c r="E340" s="3859"/>
      <c r="F340" s="3859"/>
      <c r="G340" s="3831">
        <f>'2 REPAIR ESTIMATOR'!AQ388</f>
        <v>0</v>
      </c>
      <c r="H340" s="3831"/>
      <c r="I340" s="810">
        <f t="shared" si="27"/>
        <v>0</v>
      </c>
      <c r="J340" s="811">
        <f t="shared" si="28"/>
        <v>0</v>
      </c>
      <c r="K340" s="3832"/>
      <c r="L340" s="3833"/>
      <c r="M340" s="3833"/>
      <c r="N340" s="3834"/>
      <c r="O340" s="820">
        <f t="shared" si="29"/>
        <v>0</v>
      </c>
    </row>
    <row r="341" spans="3:15" ht="18" hidden="1">
      <c r="C341" s="3859" t="str">
        <f>T('2 REPAIR ESTIMATOR'!D389:O389)</f>
        <v/>
      </c>
      <c r="D341" s="3859"/>
      <c r="E341" s="3859"/>
      <c r="F341" s="3859"/>
      <c r="G341" s="3831">
        <f>'2 REPAIR ESTIMATOR'!AQ389</f>
        <v>0</v>
      </c>
      <c r="H341" s="3831"/>
      <c r="I341" s="810">
        <f t="shared" si="27"/>
        <v>0</v>
      </c>
      <c r="J341" s="811">
        <f t="shared" si="28"/>
        <v>0</v>
      </c>
      <c r="K341" s="3832"/>
      <c r="L341" s="3833"/>
      <c r="M341" s="3833"/>
      <c r="N341" s="3834"/>
      <c r="O341" s="820">
        <f t="shared" si="29"/>
        <v>0</v>
      </c>
    </row>
    <row r="342" spans="3:15" ht="18" hidden="1">
      <c r="C342" s="3859" t="str">
        <f>T('2 REPAIR ESTIMATOR'!D390:O390)</f>
        <v/>
      </c>
      <c r="D342" s="3859"/>
      <c r="E342" s="3859"/>
      <c r="F342" s="3859"/>
      <c r="G342" s="3831">
        <f>'2 REPAIR ESTIMATOR'!AQ390</f>
        <v>0</v>
      </c>
      <c r="H342" s="3831"/>
      <c r="I342" s="810">
        <f t="shared" si="27"/>
        <v>0</v>
      </c>
      <c r="J342" s="811">
        <f t="shared" si="28"/>
        <v>0</v>
      </c>
      <c r="K342" s="3832"/>
      <c r="L342" s="3833"/>
      <c r="M342" s="3833"/>
      <c r="N342" s="3834"/>
      <c r="O342" s="820">
        <f t="shared" si="29"/>
        <v>0</v>
      </c>
    </row>
    <row r="343" spans="3:15" ht="18" hidden="1">
      <c r="C343" s="3859" t="str">
        <f>T('2 REPAIR ESTIMATOR'!D391:O391)</f>
        <v/>
      </c>
      <c r="D343" s="3859"/>
      <c r="E343" s="3859"/>
      <c r="F343" s="3859"/>
      <c r="G343" s="3831">
        <f>'2 REPAIR ESTIMATOR'!AQ391</f>
        <v>0</v>
      </c>
      <c r="H343" s="3831"/>
      <c r="I343" s="810">
        <f t="shared" si="27"/>
        <v>0</v>
      </c>
      <c r="J343" s="811">
        <f t="shared" si="28"/>
        <v>0</v>
      </c>
      <c r="K343" s="3832"/>
      <c r="L343" s="3833"/>
      <c r="M343" s="3833"/>
      <c r="N343" s="3834"/>
      <c r="O343" s="820">
        <f t="shared" si="29"/>
        <v>0</v>
      </c>
    </row>
    <row r="344" spans="3:15" ht="18" hidden="1">
      <c r="C344" s="3859" t="str">
        <f>T('2 REPAIR ESTIMATOR'!D392:O392)</f>
        <v/>
      </c>
      <c r="D344" s="3859"/>
      <c r="E344" s="3859"/>
      <c r="F344" s="3859"/>
      <c r="G344" s="3831">
        <f>'2 REPAIR ESTIMATOR'!AQ392</f>
        <v>0</v>
      </c>
      <c r="H344" s="3831"/>
      <c r="I344" s="810">
        <f t="shared" si="27"/>
        <v>0</v>
      </c>
      <c r="J344" s="811">
        <f t="shared" si="28"/>
        <v>0</v>
      </c>
      <c r="K344" s="3832"/>
      <c r="L344" s="3833"/>
      <c r="M344" s="3833"/>
      <c r="N344" s="3834"/>
      <c r="O344" s="820">
        <f t="shared" si="29"/>
        <v>0</v>
      </c>
    </row>
    <row r="345" spans="3:15" ht="18" hidden="1">
      <c r="C345" s="3859" t="str">
        <f>T('2 REPAIR ESTIMATOR'!D393:O393)</f>
        <v/>
      </c>
      <c r="D345" s="3859"/>
      <c r="E345" s="3859"/>
      <c r="F345" s="3859"/>
      <c r="G345" s="3831">
        <f>'2 REPAIR ESTIMATOR'!AQ393</f>
        <v>0</v>
      </c>
      <c r="H345" s="3831"/>
      <c r="I345" s="810">
        <f t="shared" si="27"/>
        <v>0</v>
      </c>
      <c r="J345" s="811">
        <f t="shared" si="28"/>
        <v>0</v>
      </c>
      <c r="K345" s="3832"/>
      <c r="L345" s="3833"/>
      <c r="M345" s="3833"/>
      <c r="N345" s="3834"/>
      <c r="O345" s="820">
        <f t="shared" si="29"/>
        <v>0</v>
      </c>
    </row>
    <row r="346" spans="3:15" ht="18" hidden="1">
      <c r="C346" s="3859" t="str">
        <f>T('2 REPAIR ESTIMATOR'!D394:O394)</f>
        <v/>
      </c>
      <c r="D346" s="3859"/>
      <c r="E346" s="3859"/>
      <c r="F346" s="3859"/>
      <c r="G346" s="3831">
        <f>'2 REPAIR ESTIMATOR'!AQ394</f>
        <v>0</v>
      </c>
      <c r="H346" s="3831"/>
      <c r="I346" s="810">
        <f t="shared" si="27"/>
        <v>0</v>
      </c>
      <c r="J346" s="811">
        <f t="shared" si="28"/>
        <v>0</v>
      </c>
      <c r="K346" s="3832"/>
      <c r="L346" s="3833"/>
      <c r="M346" s="3833"/>
      <c r="N346" s="3834"/>
      <c r="O346" s="820">
        <f t="shared" si="29"/>
        <v>0</v>
      </c>
    </row>
    <row r="347" spans="3:15" ht="18" hidden="1">
      <c r="C347" s="3859" t="str">
        <f>T('2 REPAIR ESTIMATOR'!D395:O395)</f>
        <v/>
      </c>
      <c r="D347" s="3859"/>
      <c r="E347" s="3859"/>
      <c r="F347" s="3859"/>
      <c r="G347" s="3831">
        <f>'2 REPAIR ESTIMATOR'!AQ395</f>
        <v>0</v>
      </c>
      <c r="H347" s="3831"/>
      <c r="I347" s="810">
        <f t="shared" si="27"/>
        <v>0</v>
      </c>
      <c r="J347" s="811">
        <f t="shared" si="28"/>
        <v>0</v>
      </c>
      <c r="K347" s="3832"/>
      <c r="L347" s="3833"/>
      <c r="M347" s="3833"/>
      <c r="N347" s="3834"/>
      <c r="O347" s="820">
        <f t="shared" si="29"/>
        <v>0</v>
      </c>
    </row>
    <row r="348" spans="3:15" ht="18" hidden="1">
      <c r="C348" s="3859" t="str">
        <f>T('2 REPAIR ESTIMATOR'!D396:O396)</f>
        <v/>
      </c>
      <c r="D348" s="3859"/>
      <c r="E348" s="3859"/>
      <c r="F348" s="3859"/>
      <c r="G348" s="3831">
        <f>'2 REPAIR ESTIMATOR'!AQ396</f>
        <v>0</v>
      </c>
      <c r="H348" s="3831"/>
      <c r="I348" s="810">
        <f t="shared" si="27"/>
        <v>0</v>
      </c>
      <c r="J348" s="811">
        <f t="shared" si="28"/>
        <v>0</v>
      </c>
      <c r="K348" s="3832"/>
      <c r="L348" s="3833"/>
      <c r="M348" s="3833"/>
      <c r="N348" s="3834"/>
      <c r="O348" s="820">
        <f t="shared" si="29"/>
        <v>0</v>
      </c>
    </row>
    <row r="349" spans="3:15" ht="18.350000000000001" hidden="1" thickBot="1">
      <c r="C349" s="3835" t="str">
        <f>T('2 REPAIR ESTIMATOR'!D397:O397)</f>
        <v/>
      </c>
      <c r="D349" s="3835"/>
      <c r="E349" s="3835"/>
      <c r="F349" s="3835"/>
      <c r="G349" s="3836">
        <f>'2 REPAIR ESTIMATOR'!AQ397</f>
        <v>0</v>
      </c>
      <c r="H349" s="3836"/>
      <c r="I349" s="813">
        <f t="shared" si="27"/>
        <v>0</v>
      </c>
      <c r="J349" s="814">
        <f t="shared" si="28"/>
        <v>0</v>
      </c>
      <c r="K349" s="3837"/>
      <c r="L349" s="3838"/>
      <c r="M349" s="3838"/>
      <c r="N349" s="3839"/>
      <c r="O349" s="823">
        <f t="shared" si="29"/>
        <v>0</v>
      </c>
    </row>
    <row r="350" spans="3:15" ht="18.350000000000001" hidden="1" thickTop="1">
      <c r="C350" s="3825" t="str">
        <f>T('2 REPAIR ESTIMATOR'!AC399)</f>
        <v>DECKING AND PATIOS TOTAL</v>
      </c>
      <c r="D350" s="3825"/>
      <c r="E350" s="3825"/>
      <c r="F350" s="3825"/>
      <c r="G350" s="3826">
        <f>SUM(G310:H349)</f>
        <v>0</v>
      </c>
      <c r="H350" s="3826"/>
      <c r="I350" s="818">
        <f>SUM(I310:I349)</f>
        <v>0</v>
      </c>
      <c r="J350" s="819">
        <f>SUM(J310:J349)</f>
        <v>0</v>
      </c>
      <c r="K350" s="3827"/>
      <c r="L350" s="3828"/>
      <c r="M350" s="3828"/>
      <c r="N350" s="3829"/>
      <c r="O350" s="821">
        <f>SUM(O310:O349)</f>
        <v>0</v>
      </c>
    </row>
    <row r="351" spans="3:15" ht="8.85" hidden="1" customHeight="1">
      <c r="C351" s="836"/>
      <c r="D351" s="836"/>
      <c r="E351" s="836"/>
      <c r="F351" s="836"/>
      <c r="G351" s="837"/>
      <c r="H351" s="837"/>
      <c r="I351" s="837"/>
      <c r="J351" s="837"/>
      <c r="K351" s="837"/>
      <c r="L351" s="837"/>
      <c r="M351" s="837"/>
      <c r="N351" s="837"/>
      <c r="O351" s="822">
        <f>O350</f>
        <v>0</v>
      </c>
    </row>
    <row r="352" spans="3:15" ht="22.5" hidden="1" customHeight="1">
      <c r="C352" s="3840" t="str">
        <f>T('2 REPAIR ESTIMATOR'!D402:O402)</f>
        <v>ROOFING</v>
      </c>
      <c r="D352" s="3840"/>
      <c r="E352" s="3840"/>
      <c r="F352" s="3841"/>
      <c r="G352" s="3845"/>
      <c r="H352" s="3846"/>
      <c r="I352" s="831"/>
      <c r="J352" s="831"/>
      <c r="K352" s="3844"/>
      <c r="L352" s="3844"/>
      <c r="M352" s="3844"/>
      <c r="N352" s="3845"/>
      <c r="O352" s="820">
        <f>SUM(O353:O392)</f>
        <v>0</v>
      </c>
    </row>
    <row r="353" spans="3:15" ht="18" hidden="1">
      <c r="C353" s="3859" t="str">
        <f>T('2 REPAIR ESTIMATOR'!D403:O403)</f>
        <v>Roofing bid/allowance</v>
      </c>
      <c r="D353" s="3859"/>
      <c r="E353" s="3859"/>
      <c r="F353" s="3859"/>
      <c r="G353" s="3831">
        <f>'2 REPAIR ESTIMATOR'!AQ403</f>
        <v>0</v>
      </c>
      <c r="H353" s="3831"/>
      <c r="I353" s="810">
        <f t="shared" ref="I353:I392" si="30">IFERROR(G353/Property_Size,0)</f>
        <v>0</v>
      </c>
      <c r="J353" s="811">
        <f t="shared" ref="J353:J392" si="31">IFERROR(G353/Total_Project_Costs_Result,0)</f>
        <v>0</v>
      </c>
      <c r="K353" s="3832"/>
      <c r="L353" s="3833"/>
      <c r="M353" s="3833"/>
      <c r="N353" s="3834"/>
      <c r="O353" s="820">
        <f>IF(G353&gt;0,1,0)</f>
        <v>0</v>
      </c>
    </row>
    <row r="354" spans="3:15" ht="18" hidden="1">
      <c r="C354" s="3858" t="str">
        <f>T('2 REPAIR ESTIMATOR'!D404:O404)</f>
        <v>Asphalt shingle roof</v>
      </c>
      <c r="D354" s="3858"/>
      <c r="E354" s="3858"/>
      <c r="F354" s="3858"/>
      <c r="G354" s="3831">
        <f>'2 REPAIR ESTIMATOR'!AQ404</f>
        <v>0</v>
      </c>
      <c r="H354" s="3831"/>
      <c r="I354" s="810">
        <f t="shared" si="30"/>
        <v>0</v>
      </c>
      <c r="J354" s="811">
        <f t="shared" si="31"/>
        <v>0</v>
      </c>
      <c r="K354" s="3832"/>
      <c r="L354" s="3833"/>
      <c r="M354" s="3833"/>
      <c r="N354" s="3834"/>
      <c r="O354" s="820">
        <f t="shared" ref="O354:O392" si="32">IF(G354&gt;0,1,0)</f>
        <v>0</v>
      </c>
    </row>
    <row r="355" spans="3:15" ht="18" hidden="1">
      <c r="C355" s="3860" t="str">
        <f>T('2 REPAIR ESTIMATOR'!D405:O405)</f>
        <v>Roof repair/patch, asphalt</v>
      </c>
      <c r="D355" s="3861"/>
      <c r="E355" s="3861"/>
      <c r="F355" s="3862"/>
      <c r="G355" s="3831">
        <f>'2 REPAIR ESTIMATOR'!AQ405</f>
        <v>0</v>
      </c>
      <c r="H355" s="3831"/>
      <c r="I355" s="810">
        <f t="shared" si="30"/>
        <v>0</v>
      </c>
      <c r="J355" s="811">
        <f t="shared" si="31"/>
        <v>0</v>
      </c>
      <c r="K355" s="3832"/>
      <c r="L355" s="3833"/>
      <c r="M355" s="3833"/>
      <c r="N355" s="3834"/>
      <c r="O355" s="820">
        <f t="shared" si="32"/>
        <v>0</v>
      </c>
    </row>
    <row r="356" spans="3:15" ht="18" hidden="1">
      <c r="C356" s="3859" t="str">
        <f>T('2 REPAIR ESTIMATOR'!D406:O406)</f>
        <v>Roof replacement-demo &amp; replace, 3-tab</v>
      </c>
      <c r="D356" s="3859"/>
      <c r="E356" s="3859"/>
      <c r="F356" s="3859"/>
      <c r="G356" s="3831">
        <f>'2 REPAIR ESTIMATOR'!AQ406</f>
        <v>0</v>
      </c>
      <c r="H356" s="3831"/>
      <c r="I356" s="810">
        <f t="shared" si="30"/>
        <v>0</v>
      </c>
      <c r="J356" s="811">
        <f t="shared" si="31"/>
        <v>0</v>
      </c>
      <c r="K356" s="3832"/>
      <c r="L356" s="3833"/>
      <c r="M356" s="3833"/>
      <c r="N356" s="3834"/>
      <c r="O356" s="820">
        <f t="shared" si="32"/>
        <v>0</v>
      </c>
    </row>
    <row r="357" spans="3:15" ht="18" hidden="1">
      <c r="C357" s="3859" t="str">
        <f>T('2 REPAIR ESTIMATOR'!D407:O407)</f>
        <v>Roof replacement-demo &amp; replace, architectural</v>
      </c>
      <c r="D357" s="3859"/>
      <c r="E357" s="3859"/>
      <c r="F357" s="3859"/>
      <c r="G357" s="3831">
        <f>'2 REPAIR ESTIMATOR'!AQ407</f>
        <v>0</v>
      </c>
      <c r="H357" s="3831"/>
      <c r="I357" s="810">
        <f t="shared" si="30"/>
        <v>0</v>
      </c>
      <c r="J357" s="811">
        <f t="shared" si="31"/>
        <v>0</v>
      </c>
      <c r="K357" s="3832"/>
      <c r="L357" s="3833"/>
      <c r="M357" s="3833"/>
      <c r="N357" s="3834"/>
      <c r="O357" s="820">
        <f t="shared" si="32"/>
        <v>0</v>
      </c>
    </row>
    <row r="358" spans="3:15" ht="18" hidden="1">
      <c r="C358" s="3859" t="str">
        <f>T('2 REPAIR ESTIMATOR'!D408:O408)</f>
        <v>Premium for 3 layer tear off</v>
      </c>
      <c r="D358" s="3859"/>
      <c r="E358" s="3859"/>
      <c r="F358" s="3859"/>
      <c r="G358" s="3831">
        <f>'2 REPAIR ESTIMATOR'!AQ408</f>
        <v>0</v>
      </c>
      <c r="H358" s="3831"/>
      <c r="I358" s="810">
        <f t="shared" si="30"/>
        <v>0</v>
      </c>
      <c r="J358" s="811">
        <f t="shared" si="31"/>
        <v>0</v>
      </c>
      <c r="K358" s="3832"/>
      <c r="L358" s="3833"/>
      <c r="M358" s="3833"/>
      <c r="N358" s="3834"/>
      <c r="O358" s="820">
        <f t="shared" si="32"/>
        <v>0</v>
      </c>
    </row>
    <row r="359" spans="3:15" ht="18" hidden="1">
      <c r="C359" s="3859" t="str">
        <f>T('2 REPAIR ESTIMATOR'!D409:O409)</f>
        <v>Premium for steep pitch roof</v>
      </c>
      <c r="D359" s="3859"/>
      <c r="E359" s="3859"/>
      <c r="F359" s="3859"/>
      <c r="G359" s="3831">
        <f>'2 REPAIR ESTIMATOR'!AQ409</f>
        <v>0</v>
      </c>
      <c r="H359" s="3831"/>
      <c r="I359" s="810">
        <f t="shared" si="30"/>
        <v>0</v>
      </c>
      <c r="J359" s="811">
        <f t="shared" si="31"/>
        <v>0</v>
      </c>
      <c r="K359" s="3832"/>
      <c r="L359" s="3833"/>
      <c r="M359" s="3833"/>
      <c r="N359" s="3834"/>
      <c r="O359" s="820">
        <f t="shared" si="32"/>
        <v>0</v>
      </c>
    </row>
    <row r="360" spans="3:15" ht="18" hidden="1">
      <c r="C360" s="3859" t="str">
        <f>T('2 REPAIR ESTIMATOR'!D410:O410)</f>
        <v/>
      </c>
      <c r="D360" s="3859"/>
      <c r="E360" s="3859"/>
      <c r="F360" s="3859"/>
      <c r="G360" s="3831">
        <f>'2 REPAIR ESTIMATOR'!AQ410</f>
        <v>0</v>
      </c>
      <c r="H360" s="3831"/>
      <c r="I360" s="810">
        <f t="shared" si="30"/>
        <v>0</v>
      </c>
      <c r="J360" s="811">
        <f t="shared" si="31"/>
        <v>0</v>
      </c>
      <c r="K360" s="3832"/>
      <c r="L360" s="3833"/>
      <c r="M360" s="3833"/>
      <c r="N360" s="3834"/>
      <c r="O360" s="820">
        <f t="shared" si="32"/>
        <v>0</v>
      </c>
    </row>
    <row r="361" spans="3:15" ht="18" hidden="1">
      <c r="C361" s="3858" t="str">
        <f>T('2 REPAIR ESTIMATOR'!D411:O411)</f>
        <v>Wood Shingle Roof</v>
      </c>
      <c r="D361" s="3858"/>
      <c r="E361" s="3858"/>
      <c r="F361" s="3858"/>
      <c r="G361" s="3831">
        <f>'2 REPAIR ESTIMATOR'!AQ411</f>
        <v>0</v>
      </c>
      <c r="H361" s="3831"/>
      <c r="I361" s="810">
        <f t="shared" si="30"/>
        <v>0</v>
      </c>
      <c r="J361" s="811">
        <f t="shared" si="31"/>
        <v>0</v>
      </c>
      <c r="K361" s="3832"/>
      <c r="L361" s="3833"/>
      <c r="M361" s="3833"/>
      <c r="N361" s="3834"/>
      <c r="O361" s="820">
        <f t="shared" si="32"/>
        <v>0</v>
      </c>
    </row>
    <row r="362" spans="3:15" ht="18" hidden="1">
      <c r="C362" s="3859" t="str">
        <f>T('2 REPAIR ESTIMATOR'!D412:O412)</f>
        <v>Roof repair/patch, wood</v>
      </c>
      <c r="D362" s="3859"/>
      <c r="E362" s="3859"/>
      <c r="F362" s="3859"/>
      <c r="G362" s="3831">
        <f>'2 REPAIR ESTIMATOR'!AQ412</f>
        <v>0</v>
      </c>
      <c r="H362" s="3831"/>
      <c r="I362" s="810">
        <f t="shared" si="30"/>
        <v>0</v>
      </c>
      <c r="J362" s="811">
        <f t="shared" si="31"/>
        <v>0</v>
      </c>
      <c r="K362" s="3832"/>
      <c r="L362" s="3833"/>
      <c r="M362" s="3833"/>
      <c r="N362" s="3834"/>
      <c r="O362" s="820">
        <f t="shared" si="32"/>
        <v>0</v>
      </c>
    </row>
    <row r="363" spans="3:15" ht="18" hidden="1">
      <c r="C363" s="3859" t="str">
        <f>T('2 REPAIR ESTIMATOR'!D413:O413)</f>
        <v>Roof replacement-demo &amp; replace, 3-tab</v>
      </c>
      <c r="D363" s="3859"/>
      <c r="E363" s="3859"/>
      <c r="F363" s="3859"/>
      <c r="G363" s="3831">
        <f>'2 REPAIR ESTIMATOR'!AQ413</f>
        <v>0</v>
      </c>
      <c r="H363" s="3831"/>
      <c r="I363" s="810">
        <f t="shared" si="30"/>
        <v>0</v>
      </c>
      <c r="J363" s="811">
        <f t="shared" si="31"/>
        <v>0</v>
      </c>
      <c r="K363" s="3832"/>
      <c r="L363" s="3833"/>
      <c r="M363" s="3833"/>
      <c r="N363" s="3834"/>
      <c r="O363" s="820">
        <f t="shared" si="32"/>
        <v>0</v>
      </c>
    </row>
    <row r="364" spans="3:15" ht="18" hidden="1">
      <c r="C364" s="3859" t="str">
        <f>T('2 REPAIR ESTIMATOR'!D414:O414)</f>
        <v>Wood shingle, low end</v>
      </c>
      <c r="D364" s="3859"/>
      <c r="E364" s="3859"/>
      <c r="F364" s="3859"/>
      <c r="G364" s="3831">
        <f>'2 REPAIR ESTIMATOR'!AQ414</f>
        <v>0</v>
      </c>
      <c r="H364" s="3831"/>
      <c r="I364" s="810">
        <f t="shared" si="30"/>
        <v>0</v>
      </c>
      <c r="J364" s="811">
        <f t="shared" si="31"/>
        <v>0</v>
      </c>
      <c r="K364" s="3832"/>
      <c r="L364" s="3833"/>
      <c r="M364" s="3833"/>
      <c r="N364" s="3834"/>
      <c r="O364" s="820">
        <f t="shared" si="32"/>
        <v>0</v>
      </c>
    </row>
    <row r="365" spans="3:15" ht="18" hidden="1">
      <c r="C365" s="3859" t="str">
        <f>T('2 REPAIR ESTIMATOR'!D415:O415)</f>
        <v>Wood shingle, high end</v>
      </c>
      <c r="D365" s="3859"/>
      <c r="E365" s="3859"/>
      <c r="F365" s="3859"/>
      <c r="G365" s="3831">
        <f>'2 REPAIR ESTIMATOR'!AQ415</f>
        <v>0</v>
      </c>
      <c r="H365" s="3831"/>
      <c r="I365" s="810">
        <f t="shared" si="30"/>
        <v>0</v>
      </c>
      <c r="J365" s="811">
        <f t="shared" si="31"/>
        <v>0</v>
      </c>
      <c r="K365" s="3832"/>
      <c r="L365" s="3833"/>
      <c r="M365" s="3833"/>
      <c r="N365" s="3834"/>
      <c r="O365" s="820">
        <f t="shared" si="32"/>
        <v>0</v>
      </c>
    </row>
    <row r="366" spans="3:15" ht="18" hidden="1">
      <c r="C366" s="3859" t="str">
        <f>T('2 REPAIR ESTIMATOR'!D416:O416)</f>
        <v>Roof sheathing, plywood 1/2", remove &amp; install</v>
      </c>
      <c r="D366" s="3859"/>
      <c r="E366" s="3859"/>
      <c r="F366" s="3859"/>
      <c r="G366" s="3831">
        <f>'2 REPAIR ESTIMATOR'!AQ416</f>
        <v>0</v>
      </c>
      <c r="H366" s="3831"/>
      <c r="I366" s="810">
        <f t="shared" si="30"/>
        <v>0</v>
      </c>
      <c r="J366" s="811">
        <f t="shared" si="31"/>
        <v>0</v>
      </c>
      <c r="K366" s="3832"/>
      <c r="L366" s="3833"/>
      <c r="M366" s="3833"/>
      <c r="N366" s="3834"/>
      <c r="O366" s="820">
        <f t="shared" si="32"/>
        <v>0</v>
      </c>
    </row>
    <row r="367" spans="3:15" ht="18" hidden="1">
      <c r="C367" s="3859" t="str">
        <f>T('2 REPAIR ESTIMATOR'!D417:O417)</f>
        <v/>
      </c>
      <c r="D367" s="3859"/>
      <c r="E367" s="3859"/>
      <c r="F367" s="3859"/>
      <c r="G367" s="3831">
        <f>'2 REPAIR ESTIMATOR'!AQ417</f>
        <v>0</v>
      </c>
      <c r="H367" s="3831"/>
      <c r="I367" s="810">
        <f t="shared" si="30"/>
        <v>0</v>
      </c>
      <c r="J367" s="811">
        <f t="shared" si="31"/>
        <v>0</v>
      </c>
      <c r="K367" s="3832"/>
      <c r="L367" s="3833"/>
      <c r="M367" s="3833"/>
      <c r="N367" s="3834"/>
      <c r="O367" s="820">
        <f t="shared" si="32"/>
        <v>0</v>
      </c>
    </row>
    <row r="368" spans="3:15" ht="18" hidden="1">
      <c r="C368" s="3858" t="str">
        <f>T('2 REPAIR ESTIMATOR'!D418:O418)</f>
        <v>Slate/Clay Tile</v>
      </c>
      <c r="D368" s="3858"/>
      <c r="E368" s="3858"/>
      <c r="F368" s="3858"/>
      <c r="G368" s="3831">
        <f>'2 REPAIR ESTIMATOR'!AQ418</f>
        <v>0</v>
      </c>
      <c r="H368" s="3831"/>
      <c r="I368" s="810">
        <f t="shared" si="30"/>
        <v>0</v>
      </c>
      <c r="J368" s="811">
        <f t="shared" si="31"/>
        <v>0</v>
      </c>
      <c r="K368" s="3832"/>
      <c r="L368" s="3833"/>
      <c r="M368" s="3833"/>
      <c r="N368" s="3834"/>
      <c r="O368" s="820">
        <f t="shared" si="32"/>
        <v>0</v>
      </c>
    </row>
    <row r="369" spans="3:15" ht="18" hidden="1">
      <c r="C369" s="3859" t="str">
        <f>T('2 REPAIR ESTIMATOR'!D419:O419)</f>
        <v>Roof replacement-demo &amp; replace, slate</v>
      </c>
      <c r="D369" s="3859"/>
      <c r="E369" s="3859"/>
      <c r="F369" s="3859"/>
      <c r="G369" s="3831">
        <f>'2 REPAIR ESTIMATOR'!AQ419</f>
        <v>0</v>
      </c>
      <c r="H369" s="3831"/>
      <c r="I369" s="810">
        <f t="shared" si="30"/>
        <v>0</v>
      </c>
      <c r="J369" s="811">
        <f t="shared" si="31"/>
        <v>0</v>
      </c>
      <c r="K369" s="3832"/>
      <c r="L369" s="3833"/>
      <c r="M369" s="3833"/>
      <c r="N369" s="3834"/>
      <c r="O369" s="820">
        <f t="shared" si="32"/>
        <v>0</v>
      </c>
    </row>
    <row r="370" spans="3:15" ht="18" hidden="1">
      <c r="C370" s="3859" t="str">
        <f>T('2 REPAIR ESTIMATOR'!D420:O420)</f>
        <v/>
      </c>
      <c r="D370" s="3859"/>
      <c r="E370" s="3859"/>
      <c r="F370" s="3859"/>
      <c r="G370" s="3831">
        <f>'2 REPAIR ESTIMATOR'!AQ420</f>
        <v>0</v>
      </c>
      <c r="H370" s="3831"/>
      <c r="I370" s="810">
        <f t="shared" si="30"/>
        <v>0</v>
      </c>
      <c r="J370" s="811">
        <f t="shared" si="31"/>
        <v>0</v>
      </c>
      <c r="K370" s="3832"/>
      <c r="L370" s="3833"/>
      <c r="M370" s="3833"/>
      <c r="N370" s="3834"/>
      <c r="O370" s="820">
        <f t="shared" si="32"/>
        <v>0</v>
      </c>
    </row>
    <row r="371" spans="3:15" ht="18" hidden="1">
      <c r="C371" s="3859" t="str">
        <f>T('2 REPAIR ESTIMATOR'!D421:O421)</f>
        <v>Gutters &amp; downspouts, aluminum</v>
      </c>
      <c r="D371" s="3859"/>
      <c r="E371" s="3859"/>
      <c r="F371" s="3859"/>
      <c r="G371" s="3831">
        <f>'2 REPAIR ESTIMATOR'!AQ421</f>
        <v>0</v>
      </c>
      <c r="H371" s="3831"/>
      <c r="I371" s="810">
        <f t="shared" si="30"/>
        <v>0</v>
      </c>
      <c r="J371" s="811">
        <f t="shared" si="31"/>
        <v>0</v>
      </c>
      <c r="K371" s="3832"/>
      <c r="L371" s="3833"/>
      <c r="M371" s="3833"/>
      <c r="N371" s="3834"/>
      <c r="O371" s="820">
        <f t="shared" si="32"/>
        <v>0</v>
      </c>
    </row>
    <row r="372" spans="3:15" ht="18" hidden="1">
      <c r="C372" s="3859" t="str">
        <f>T('2 REPAIR ESTIMATOR'!D422:O422)</f>
        <v>Clean gutters &amp; downspouts</v>
      </c>
      <c r="D372" s="3859"/>
      <c r="E372" s="3859"/>
      <c r="F372" s="3859"/>
      <c r="G372" s="3831">
        <f>'2 REPAIR ESTIMATOR'!AQ422</f>
        <v>0</v>
      </c>
      <c r="H372" s="3831"/>
      <c r="I372" s="810">
        <f t="shared" si="30"/>
        <v>0</v>
      </c>
      <c r="J372" s="811">
        <f t="shared" si="31"/>
        <v>0</v>
      </c>
      <c r="K372" s="3832"/>
      <c r="L372" s="3833"/>
      <c r="M372" s="3833"/>
      <c r="N372" s="3834"/>
      <c r="O372" s="820">
        <f t="shared" si="32"/>
        <v>0</v>
      </c>
    </row>
    <row r="373" spans="3:15" ht="18" hidden="1">
      <c r="C373" s="3859" t="str">
        <f>T('2 REPAIR ESTIMATOR'!D423:O423)</f>
        <v/>
      </c>
      <c r="D373" s="3859"/>
      <c r="E373" s="3859"/>
      <c r="F373" s="3859"/>
      <c r="G373" s="3831">
        <f>'2 REPAIR ESTIMATOR'!AQ423</f>
        <v>0</v>
      </c>
      <c r="H373" s="3831"/>
      <c r="I373" s="810">
        <f t="shared" si="30"/>
        <v>0</v>
      </c>
      <c r="J373" s="811">
        <f t="shared" si="31"/>
        <v>0</v>
      </c>
      <c r="K373" s="3832"/>
      <c r="L373" s="3833"/>
      <c r="M373" s="3833"/>
      <c r="N373" s="3834"/>
      <c r="O373" s="820">
        <f t="shared" si="32"/>
        <v>0</v>
      </c>
    </row>
    <row r="374" spans="3:15" ht="18" hidden="1">
      <c r="C374" s="3859" t="str">
        <f>T('2 REPAIR ESTIMATOR'!D424:O424)</f>
        <v/>
      </c>
      <c r="D374" s="3859"/>
      <c r="E374" s="3859"/>
      <c r="F374" s="3859"/>
      <c r="G374" s="3831">
        <f>'2 REPAIR ESTIMATOR'!AQ424</f>
        <v>0</v>
      </c>
      <c r="H374" s="3831"/>
      <c r="I374" s="810">
        <f t="shared" si="30"/>
        <v>0</v>
      </c>
      <c r="J374" s="811">
        <f t="shared" si="31"/>
        <v>0</v>
      </c>
      <c r="K374" s="3832"/>
      <c r="L374" s="3833"/>
      <c r="M374" s="3833"/>
      <c r="N374" s="3834"/>
      <c r="O374" s="820">
        <f t="shared" si="32"/>
        <v>0</v>
      </c>
    </row>
    <row r="375" spans="3:15" ht="18" hidden="1">
      <c r="C375" s="3859" t="str">
        <f>T('2 REPAIR ESTIMATOR'!D425:O425)</f>
        <v/>
      </c>
      <c r="D375" s="3859"/>
      <c r="E375" s="3859"/>
      <c r="F375" s="3859"/>
      <c r="G375" s="3831">
        <f>'2 REPAIR ESTIMATOR'!AQ425</f>
        <v>0</v>
      </c>
      <c r="H375" s="3831"/>
      <c r="I375" s="810">
        <f t="shared" si="30"/>
        <v>0</v>
      </c>
      <c r="J375" s="811">
        <f t="shared" si="31"/>
        <v>0</v>
      </c>
      <c r="K375" s="3832"/>
      <c r="L375" s="3833"/>
      <c r="M375" s="3833"/>
      <c r="N375" s="3834"/>
      <c r="O375" s="820">
        <f t="shared" si="32"/>
        <v>0</v>
      </c>
    </row>
    <row r="376" spans="3:15" ht="18" hidden="1">
      <c r="C376" s="3859" t="str">
        <f>T('2 REPAIR ESTIMATOR'!D426:O426)</f>
        <v/>
      </c>
      <c r="D376" s="3859"/>
      <c r="E376" s="3859"/>
      <c r="F376" s="3859"/>
      <c r="G376" s="3831">
        <f>'2 REPAIR ESTIMATOR'!AQ426</f>
        <v>0</v>
      </c>
      <c r="H376" s="3831"/>
      <c r="I376" s="810">
        <f t="shared" si="30"/>
        <v>0</v>
      </c>
      <c r="J376" s="811">
        <f t="shared" si="31"/>
        <v>0</v>
      </c>
      <c r="K376" s="3832"/>
      <c r="L376" s="3833"/>
      <c r="M376" s="3833"/>
      <c r="N376" s="3834"/>
      <c r="O376" s="820">
        <f t="shared" si="32"/>
        <v>0</v>
      </c>
    </row>
    <row r="377" spans="3:15" ht="18" hidden="1">
      <c r="C377" s="3859" t="str">
        <f>T('2 REPAIR ESTIMATOR'!D427:O427)</f>
        <v/>
      </c>
      <c r="D377" s="3859"/>
      <c r="E377" s="3859"/>
      <c r="F377" s="3859"/>
      <c r="G377" s="3831">
        <f>'2 REPAIR ESTIMATOR'!AQ427</f>
        <v>0</v>
      </c>
      <c r="H377" s="3831"/>
      <c r="I377" s="810">
        <f t="shared" si="30"/>
        <v>0</v>
      </c>
      <c r="J377" s="811">
        <f t="shared" si="31"/>
        <v>0</v>
      </c>
      <c r="K377" s="3832"/>
      <c r="L377" s="3833"/>
      <c r="M377" s="3833"/>
      <c r="N377" s="3834"/>
      <c r="O377" s="820">
        <f t="shared" si="32"/>
        <v>0</v>
      </c>
    </row>
    <row r="378" spans="3:15" ht="18" hidden="1">
      <c r="C378" s="3859" t="str">
        <f>T('2 REPAIR ESTIMATOR'!D428:O428)</f>
        <v/>
      </c>
      <c r="D378" s="3859"/>
      <c r="E378" s="3859"/>
      <c r="F378" s="3859"/>
      <c r="G378" s="3831">
        <f>'2 REPAIR ESTIMATOR'!AQ428</f>
        <v>0</v>
      </c>
      <c r="H378" s="3831"/>
      <c r="I378" s="810">
        <f t="shared" si="30"/>
        <v>0</v>
      </c>
      <c r="J378" s="811">
        <f t="shared" si="31"/>
        <v>0</v>
      </c>
      <c r="K378" s="3832"/>
      <c r="L378" s="3833"/>
      <c r="M378" s="3833"/>
      <c r="N378" s="3834"/>
      <c r="O378" s="820">
        <f t="shared" si="32"/>
        <v>0</v>
      </c>
    </row>
    <row r="379" spans="3:15" ht="18" hidden="1">
      <c r="C379" s="3859" t="str">
        <f>T('2 REPAIR ESTIMATOR'!D429:O429)</f>
        <v/>
      </c>
      <c r="D379" s="3859"/>
      <c r="E379" s="3859"/>
      <c r="F379" s="3859"/>
      <c r="G379" s="3831">
        <f>'2 REPAIR ESTIMATOR'!AQ429</f>
        <v>0</v>
      </c>
      <c r="H379" s="3831"/>
      <c r="I379" s="810">
        <f t="shared" si="30"/>
        <v>0</v>
      </c>
      <c r="J379" s="811">
        <f t="shared" si="31"/>
        <v>0</v>
      </c>
      <c r="K379" s="3832"/>
      <c r="L379" s="3833"/>
      <c r="M379" s="3833"/>
      <c r="N379" s="3834"/>
      <c r="O379" s="820">
        <f t="shared" si="32"/>
        <v>0</v>
      </c>
    </row>
    <row r="380" spans="3:15" ht="18" hidden="1">
      <c r="C380" s="3859" t="str">
        <f>T('2 REPAIR ESTIMATOR'!D430:O430)</f>
        <v/>
      </c>
      <c r="D380" s="3859"/>
      <c r="E380" s="3859"/>
      <c r="F380" s="3859"/>
      <c r="G380" s="3831">
        <f>'2 REPAIR ESTIMATOR'!AQ430</f>
        <v>0</v>
      </c>
      <c r="H380" s="3831"/>
      <c r="I380" s="810">
        <f t="shared" si="30"/>
        <v>0</v>
      </c>
      <c r="J380" s="811">
        <f t="shared" si="31"/>
        <v>0</v>
      </c>
      <c r="K380" s="3832"/>
      <c r="L380" s="3833"/>
      <c r="M380" s="3833"/>
      <c r="N380" s="3834"/>
      <c r="O380" s="820">
        <f t="shared" si="32"/>
        <v>0</v>
      </c>
    </row>
    <row r="381" spans="3:15" ht="18" hidden="1">
      <c r="C381" s="3859" t="str">
        <f>T('2 REPAIR ESTIMATOR'!D431:O431)</f>
        <v/>
      </c>
      <c r="D381" s="3859"/>
      <c r="E381" s="3859"/>
      <c r="F381" s="3859"/>
      <c r="G381" s="3831">
        <f>'2 REPAIR ESTIMATOR'!AQ431</f>
        <v>0</v>
      </c>
      <c r="H381" s="3831"/>
      <c r="I381" s="810">
        <f t="shared" si="30"/>
        <v>0</v>
      </c>
      <c r="J381" s="811">
        <f t="shared" si="31"/>
        <v>0</v>
      </c>
      <c r="K381" s="3832"/>
      <c r="L381" s="3833"/>
      <c r="M381" s="3833"/>
      <c r="N381" s="3834"/>
      <c r="O381" s="820">
        <f t="shared" si="32"/>
        <v>0</v>
      </c>
    </row>
    <row r="382" spans="3:15" ht="18" hidden="1">
      <c r="C382" s="3859" t="str">
        <f>T('2 REPAIR ESTIMATOR'!D432:O432)</f>
        <v/>
      </c>
      <c r="D382" s="3859"/>
      <c r="E382" s="3859"/>
      <c r="F382" s="3859"/>
      <c r="G382" s="3831">
        <f>'2 REPAIR ESTIMATOR'!AQ432</f>
        <v>0</v>
      </c>
      <c r="H382" s="3831"/>
      <c r="I382" s="810">
        <f t="shared" si="30"/>
        <v>0</v>
      </c>
      <c r="J382" s="811">
        <f t="shared" si="31"/>
        <v>0</v>
      </c>
      <c r="K382" s="3832"/>
      <c r="L382" s="3833"/>
      <c r="M382" s="3833"/>
      <c r="N382" s="3834"/>
      <c r="O382" s="820">
        <f t="shared" si="32"/>
        <v>0</v>
      </c>
    </row>
    <row r="383" spans="3:15" ht="18" hidden="1">
      <c r="C383" s="3859" t="str">
        <f>T('2 REPAIR ESTIMATOR'!D433:O433)</f>
        <v/>
      </c>
      <c r="D383" s="3859"/>
      <c r="E383" s="3859"/>
      <c r="F383" s="3859"/>
      <c r="G383" s="3831">
        <f>'2 REPAIR ESTIMATOR'!AQ433</f>
        <v>0</v>
      </c>
      <c r="H383" s="3831"/>
      <c r="I383" s="810">
        <f t="shared" si="30"/>
        <v>0</v>
      </c>
      <c r="J383" s="811">
        <f t="shared" si="31"/>
        <v>0</v>
      </c>
      <c r="K383" s="3832"/>
      <c r="L383" s="3833"/>
      <c r="M383" s="3833"/>
      <c r="N383" s="3834"/>
      <c r="O383" s="820">
        <f t="shared" si="32"/>
        <v>0</v>
      </c>
    </row>
    <row r="384" spans="3:15" ht="18" hidden="1">
      <c r="C384" s="3859" t="str">
        <f>T('2 REPAIR ESTIMATOR'!D434:O434)</f>
        <v/>
      </c>
      <c r="D384" s="3859"/>
      <c r="E384" s="3859"/>
      <c r="F384" s="3859"/>
      <c r="G384" s="3831">
        <f>'2 REPAIR ESTIMATOR'!AQ434</f>
        <v>0</v>
      </c>
      <c r="H384" s="3831"/>
      <c r="I384" s="810">
        <f t="shared" si="30"/>
        <v>0</v>
      </c>
      <c r="J384" s="811">
        <f t="shared" si="31"/>
        <v>0</v>
      </c>
      <c r="K384" s="3832"/>
      <c r="L384" s="3833"/>
      <c r="M384" s="3833"/>
      <c r="N384" s="3834"/>
      <c r="O384" s="820">
        <f t="shared" si="32"/>
        <v>0</v>
      </c>
    </row>
    <row r="385" spans="3:15" ht="18" hidden="1">
      <c r="C385" s="3859" t="str">
        <f>T('2 REPAIR ESTIMATOR'!D435:O435)</f>
        <v/>
      </c>
      <c r="D385" s="3859"/>
      <c r="E385" s="3859"/>
      <c r="F385" s="3859"/>
      <c r="G385" s="3831">
        <f>'2 REPAIR ESTIMATOR'!AQ435</f>
        <v>0</v>
      </c>
      <c r="H385" s="3831"/>
      <c r="I385" s="810">
        <f t="shared" si="30"/>
        <v>0</v>
      </c>
      <c r="J385" s="811">
        <f t="shared" si="31"/>
        <v>0</v>
      </c>
      <c r="K385" s="3832"/>
      <c r="L385" s="3833"/>
      <c r="M385" s="3833"/>
      <c r="N385" s="3834"/>
      <c r="O385" s="820">
        <f t="shared" si="32"/>
        <v>0</v>
      </c>
    </row>
    <row r="386" spans="3:15" ht="18" hidden="1">
      <c r="C386" s="3859" t="str">
        <f>T('2 REPAIR ESTIMATOR'!D436:O436)</f>
        <v/>
      </c>
      <c r="D386" s="3859"/>
      <c r="E386" s="3859"/>
      <c r="F386" s="3859"/>
      <c r="G386" s="3831">
        <f>'2 REPAIR ESTIMATOR'!AQ436</f>
        <v>0</v>
      </c>
      <c r="H386" s="3831"/>
      <c r="I386" s="810">
        <f t="shared" si="30"/>
        <v>0</v>
      </c>
      <c r="J386" s="811">
        <f t="shared" si="31"/>
        <v>0</v>
      </c>
      <c r="K386" s="3832"/>
      <c r="L386" s="3833"/>
      <c r="M386" s="3833"/>
      <c r="N386" s="3834"/>
      <c r="O386" s="820">
        <f t="shared" si="32"/>
        <v>0</v>
      </c>
    </row>
    <row r="387" spans="3:15" ht="18" hidden="1">
      <c r="C387" s="3859" t="str">
        <f>T('2 REPAIR ESTIMATOR'!D437:O437)</f>
        <v/>
      </c>
      <c r="D387" s="3859"/>
      <c r="E387" s="3859"/>
      <c r="F387" s="3859"/>
      <c r="G387" s="3831">
        <f>'2 REPAIR ESTIMATOR'!AQ437</f>
        <v>0</v>
      </c>
      <c r="H387" s="3831"/>
      <c r="I387" s="810">
        <f t="shared" si="30"/>
        <v>0</v>
      </c>
      <c r="J387" s="811">
        <f t="shared" si="31"/>
        <v>0</v>
      </c>
      <c r="K387" s="3832"/>
      <c r="L387" s="3833"/>
      <c r="M387" s="3833"/>
      <c r="N387" s="3834"/>
      <c r="O387" s="820">
        <f t="shared" si="32"/>
        <v>0</v>
      </c>
    </row>
    <row r="388" spans="3:15" ht="18" hidden="1">
      <c r="C388" s="3859" t="str">
        <f>T('2 REPAIR ESTIMATOR'!D438:O438)</f>
        <v/>
      </c>
      <c r="D388" s="3859"/>
      <c r="E388" s="3859"/>
      <c r="F388" s="3859"/>
      <c r="G388" s="3831">
        <f>'2 REPAIR ESTIMATOR'!AQ438</f>
        <v>0</v>
      </c>
      <c r="H388" s="3831"/>
      <c r="I388" s="810">
        <f t="shared" si="30"/>
        <v>0</v>
      </c>
      <c r="J388" s="811">
        <f t="shared" si="31"/>
        <v>0</v>
      </c>
      <c r="K388" s="3832"/>
      <c r="L388" s="3833"/>
      <c r="M388" s="3833"/>
      <c r="N388" s="3834"/>
      <c r="O388" s="820">
        <f t="shared" si="32"/>
        <v>0</v>
      </c>
    </row>
    <row r="389" spans="3:15" ht="18" hidden="1">
      <c r="C389" s="3859" t="str">
        <f>T('2 REPAIR ESTIMATOR'!D439:O439)</f>
        <v/>
      </c>
      <c r="D389" s="3859"/>
      <c r="E389" s="3859"/>
      <c r="F389" s="3859"/>
      <c r="G389" s="3831">
        <f>'2 REPAIR ESTIMATOR'!AQ439</f>
        <v>0</v>
      </c>
      <c r="H389" s="3831"/>
      <c r="I389" s="810">
        <f t="shared" si="30"/>
        <v>0</v>
      </c>
      <c r="J389" s="811">
        <f t="shared" si="31"/>
        <v>0</v>
      </c>
      <c r="K389" s="3832"/>
      <c r="L389" s="3833"/>
      <c r="M389" s="3833"/>
      <c r="N389" s="3834"/>
      <c r="O389" s="820">
        <f t="shared" si="32"/>
        <v>0</v>
      </c>
    </row>
    <row r="390" spans="3:15" ht="18" hidden="1">
      <c r="C390" s="3859" t="str">
        <f>T('2 REPAIR ESTIMATOR'!D440:O440)</f>
        <v/>
      </c>
      <c r="D390" s="3859"/>
      <c r="E390" s="3859"/>
      <c r="F390" s="3859"/>
      <c r="G390" s="3831">
        <f>'2 REPAIR ESTIMATOR'!AQ440</f>
        <v>0</v>
      </c>
      <c r="H390" s="3831"/>
      <c r="I390" s="810">
        <f t="shared" si="30"/>
        <v>0</v>
      </c>
      <c r="J390" s="811">
        <f t="shared" si="31"/>
        <v>0</v>
      </c>
      <c r="K390" s="3832"/>
      <c r="L390" s="3833"/>
      <c r="M390" s="3833"/>
      <c r="N390" s="3834"/>
      <c r="O390" s="820">
        <f t="shared" si="32"/>
        <v>0</v>
      </c>
    </row>
    <row r="391" spans="3:15" ht="18" hidden="1">
      <c r="C391" s="3859" t="str">
        <f>T('2 REPAIR ESTIMATOR'!D441:O441)</f>
        <v/>
      </c>
      <c r="D391" s="3859"/>
      <c r="E391" s="3859"/>
      <c r="F391" s="3859"/>
      <c r="G391" s="3831">
        <f>'2 REPAIR ESTIMATOR'!AQ441</f>
        <v>0</v>
      </c>
      <c r="H391" s="3831"/>
      <c r="I391" s="810">
        <f t="shared" si="30"/>
        <v>0</v>
      </c>
      <c r="J391" s="811">
        <f t="shared" si="31"/>
        <v>0</v>
      </c>
      <c r="K391" s="3832"/>
      <c r="L391" s="3833"/>
      <c r="M391" s="3833"/>
      <c r="N391" s="3834"/>
      <c r="O391" s="820">
        <f t="shared" si="32"/>
        <v>0</v>
      </c>
    </row>
    <row r="392" spans="3:15" ht="18.350000000000001" hidden="1" thickBot="1">
      <c r="C392" s="3835" t="str">
        <f>T('2 REPAIR ESTIMATOR'!D442:O442)</f>
        <v/>
      </c>
      <c r="D392" s="3835"/>
      <c r="E392" s="3835"/>
      <c r="F392" s="3835"/>
      <c r="G392" s="3836">
        <f>'2 REPAIR ESTIMATOR'!AQ442</f>
        <v>0</v>
      </c>
      <c r="H392" s="3836"/>
      <c r="I392" s="813">
        <f t="shared" si="30"/>
        <v>0</v>
      </c>
      <c r="J392" s="814">
        <f t="shared" si="31"/>
        <v>0</v>
      </c>
      <c r="K392" s="3837"/>
      <c r="L392" s="3838"/>
      <c r="M392" s="3838"/>
      <c r="N392" s="3839"/>
      <c r="O392" s="823">
        <f t="shared" si="32"/>
        <v>0</v>
      </c>
    </row>
    <row r="393" spans="3:15" ht="18.350000000000001" hidden="1" thickTop="1">
      <c r="C393" s="3825" t="str">
        <f>T('2 REPAIR ESTIMATOR'!AC444)</f>
        <v>ROOFING TOTAL</v>
      </c>
      <c r="D393" s="3825"/>
      <c r="E393" s="3825"/>
      <c r="F393" s="3825"/>
      <c r="G393" s="3826">
        <f>SUM(G353:H392)</f>
        <v>0</v>
      </c>
      <c r="H393" s="3826"/>
      <c r="I393" s="818">
        <f>SUM(I353:I392)</f>
        <v>0</v>
      </c>
      <c r="J393" s="819">
        <f>SUM(J353:J392)</f>
        <v>0</v>
      </c>
      <c r="K393" s="3827"/>
      <c r="L393" s="3828"/>
      <c r="M393" s="3828"/>
      <c r="N393" s="3829"/>
      <c r="O393" s="821">
        <f>SUM(O353:O392)</f>
        <v>0</v>
      </c>
    </row>
    <row r="394" spans="3:15" ht="8.85" hidden="1" customHeight="1">
      <c r="C394" s="836"/>
      <c r="D394" s="836"/>
      <c r="E394" s="836"/>
      <c r="F394" s="836"/>
      <c r="G394" s="837"/>
      <c r="H394" s="837"/>
      <c r="I394" s="837"/>
      <c r="J394" s="837"/>
      <c r="K394" s="837"/>
      <c r="L394" s="837"/>
      <c r="M394" s="837"/>
      <c r="N394" s="837"/>
      <c r="O394" s="822">
        <f>O393</f>
        <v>0</v>
      </c>
    </row>
    <row r="395" spans="3:15" ht="22.5" hidden="1" customHeight="1">
      <c r="C395" s="3840" t="str">
        <f>T('2 REPAIR ESTIMATOR'!D447:O447)</f>
        <v>EXTERIOR DOORS &amp; WINDOWS</v>
      </c>
      <c r="D395" s="3840"/>
      <c r="E395" s="3840"/>
      <c r="F395" s="3841"/>
      <c r="G395" s="3845"/>
      <c r="H395" s="3846"/>
      <c r="I395" s="831"/>
      <c r="J395" s="831"/>
      <c r="K395" s="3844"/>
      <c r="L395" s="3844"/>
      <c r="M395" s="3844"/>
      <c r="N395" s="3845"/>
      <c r="O395" s="820">
        <f>SUM(O396:O435)</f>
        <v>0</v>
      </c>
    </row>
    <row r="396" spans="3:15" ht="18" hidden="1">
      <c r="C396" s="3858" t="str">
        <f>T('2 REPAIR ESTIMATOR'!D448:O448)</f>
        <v>Exterior Doors</v>
      </c>
      <c r="D396" s="3858"/>
      <c r="E396" s="3858"/>
      <c r="F396" s="3858"/>
      <c r="G396" s="3831">
        <f>'2 REPAIR ESTIMATOR'!AQ448</f>
        <v>0</v>
      </c>
      <c r="H396" s="3831"/>
      <c r="I396" s="810">
        <f t="shared" ref="I396:I435" si="33">IFERROR(G396/Property_Size,0)</f>
        <v>0</v>
      </c>
      <c r="J396" s="811">
        <f t="shared" ref="J396:J435" si="34">IFERROR(G396/Total_Project_Costs_Result,0)</f>
        <v>0</v>
      </c>
      <c r="K396" s="3832"/>
      <c r="L396" s="3833"/>
      <c r="M396" s="3833"/>
      <c r="N396" s="3834"/>
      <c r="O396" s="820">
        <f>IF(G396&gt;0,1,0)</f>
        <v>0</v>
      </c>
    </row>
    <row r="397" spans="3:15" ht="18" hidden="1">
      <c r="C397" s="3859" t="str">
        <f>T('2 REPAIR ESTIMATOR'!D449:O449)</f>
        <v>Exterior doors bid/allowance</v>
      </c>
      <c r="D397" s="3859"/>
      <c r="E397" s="3859"/>
      <c r="F397" s="3859"/>
      <c r="G397" s="3831">
        <f>'2 REPAIR ESTIMATOR'!AQ449</f>
        <v>0</v>
      </c>
      <c r="H397" s="3831"/>
      <c r="I397" s="810">
        <f t="shared" si="33"/>
        <v>0</v>
      </c>
      <c r="J397" s="811">
        <f t="shared" si="34"/>
        <v>0</v>
      </c>
      <c r="K397" s="3832"/>
      <c r="L397" s="3833"/>
      <c r="M397" s="3833"/>
      <c r="N397" s="3834"/>
      <c r="O397" s="820">
        <f t="shared" ref="O397:O435" si="35">IF(G397&gt;0,1,0)</f>
        <v>0</v>
      </c>
    </row>
    <row r="398" spans="3:15" ht="18" hidden="1">
      <c r="C398" s="3859" t="str">
        <f>T('2 REPAIR ESTIMATOR'!D450:O450)</f>
        <v>Steel entry door,  single</v>
      </c>
      <c r="D398" s="3859"/>
      <c r="E398" s="3859"/>
      <c r="F398" s="3859"/>
      <c r="G398" s="3831">
        <f>'2 REPAIR ESTIMATOR'!AQ450</f>
        <v>0</v>
      </c>
      <c r="H398" s="3831"/>
      <c r="I398" s="810">
        <f t="shared" si="33"/>
        <v>0</v>
      </c>
      <c r="J398" s="811">
        <f t="shared" si="34"/>
        <v>0</v>
      </c>
      <c r="K398" s="3832"/>
      <c r="L398" s="3833"/>
      <c r="M398" s="3833"/>
      <c r="N398" s="3834"/>
      <c r="O398" s="820">
        <f t="shared" si="35"/>
        <v>0</v>
      </c>
    </row>
    <row r="399" spans="3:15" ht="18" hidden="1">
      <c r="C399" s="3859" t="str">
        <f>T('2 REPAIR ESTIMATOR'!D451:O451)</f>
        <v>French patio door, pair</v>
      </c>
      <c r="D399" s="3859"/>
      <c r="E399" s="3859"/>
      <c r="F399" s="3859"/>
      <c r="G399" s="3831">
        <f>'2 REPAIR ESTIMATOR'!AQ451</f>
        <v>0</v>
      </c>
      <c r="H399" s="3831"/>
      <c r="I399" s="810">
        <f t="shared" si="33"/>
        <v>0</v>
      </c>
      <c r="J399" s="811">
        <f t="shared" si="34"/>
        <v>0</v>
      </c>
      <c r="K399" s="3832"/>
      <c r="L399" s="3833"/>
      <c r="M399" s="3833"/>
      <c r="N399" s="3834"/>
      <c r="O399" s="820">
        <f t="shared" si="35"/>
        <v>0</v>
      </c>
    </row>
    <row r="400" spans="3:15" ht="18" hidden="1">
      <c r="C400" s="3859" t="str">
        <f>T('2 REPAIR ESTIMATOR'!D452:O452)</f>
        <v xml:space="preserve">Exterior door hardware w/ dead bolt </v>
      </c>
      <c r="D400" s="3859"/>
      <c r="E400" s="3859"/>
      <c r="F400" s="3859"/>
      <c r="G400" s="3831">
        <f>'2 REPAIR ESTIMATOR'!AQ452</f>
        <v>0</v>
      </c>
      <c r="H400" s="3831"/>
      <c r="I400" s="810">
        <f t="shared" si="33"/>
        <v>0</v>
      </c>
      <c r="J400" s="811">
        <f t="shared" si="34"/>
        <v>0</v>
      </c>
      <c r="K400" s="3832"/>
      <c r="L400" s="3833"/>
      <c r="M400" s="3833"/>
      <c r="N400" s="3834"/>
      <c r="O400" s="820">
        <f t="shared" si="35"/>
        <v>0</v>
      </c>
    </row>
    <row r="401" spans="3:15" ht="18" hidden="1">
      <c r="C401" s="3859" t="str">
        <f>T('2 REPAIR ESTIMATOR'!D453:O453)</f>
        <v>Glass storm door, single</v>
      </c>
      <c r="D401" s="3859"/>
      <c r="E401" s="3859"/>
      <c r="F401" s="3859"/>
      <c r="G401" s="3831">
        <f>'2 REPAIR ESTIMATOR'!AQ453</f>
        <v>0</v>
      </c>
      <c r="H401" s="3831"/>
      <c r="I401" s="810">
        <f t="shared" si="33"/>
        <v>0</v>
      </c>
      <c r="J401" s="811">
        <f t="shared" si="34"/>
        <v>0</v>
      </c>
      <c r="K401" s="3832"/>
      <c r="L401" s="3833"/>
      <c r="M401" s="3833"/>
      <c r="N401" s="3834"/>
      <c r="O401" s="820">
        <f t="shared" si="35"/>
        <v>0</v>
      </c>
    </row>
    <row r="402" spans="3:15" ht="18" hidden="1">
      <c r="C402" s="3859" t="str">
        <f>T('2 REPAIR ESTIMATOR'!D454:O454)</f>
        <v>Sliding glass door, vinyl, double</v>
      </c>
      <c r="D402" s="3859"/>
      <c r="E402" s="3859"/>
      <c r="F402" s="3859"/>
      <c r="G402" s="3831">
        <f>'2 REPAIR ESTIMATOR'!AQ454</f>
        <v>0</v>
      </c>
      <c r="H402" s="3831"/>
      <c r="I402" s="810">
        <f t="shared" si="33"/>
        <v>0</v>
      </c>
      <c r="J402" s="811">
        <f t="shared" si="34"/>
        <v>0</v>
      </c>
      <c r="K402" s="3832"/>
      <c r="L402" s="3833"/>
      <c r="M402" s="3833"/>
      <c r="N402" s="3834"/>
      <c r="O402" s="820">
        <f t="shared" si="35"/>
        <v>0</v>
      </c>
    </row>
    <row r="403" spans="3:15" ht="18" hidden="1">
      <c r="C403" s="3859" t="str">
        <f>T('2 REPAIR ESTIMATOR'!D455:O455)</f>
        <v/>
      </c>
      <c r="D403" s="3859"/>
      <c r="E403" s="3859"/>
      <c r="F403" s="3859"/>
      <c r="G403" s="3831">
        <f>'2 REPAIR ESTIMATOR'!AQ455</f>
        <v>0</v>
      </c>
      <c r="H403" s="3831"/>
      <c r="I403" s="810">
        <f t="shared" si="33"/>
        <v>0</v>
      </c>
      <c r="J403" s="811">
        <f t="shared" si="34"/>
        <v>0</v>
      </c>
      <c r="K403" s="3832"/>
      <c r="L403" s="3833"/>
      <c r="M403" s="3833"/>
      <c r="N403" s="3834"/>
      <c r="O403" s="820">
        <f t="shared" si="35"/>
        <v>0</v>
      </c>
    </row>
    <row r="404" spans="3:15" ht="18" hidden="1">
      <c r="C404" s="3859" t="str">
        <f>T('2 REPAIR ESTIMATOR'!D456:O456)</f>
        <v/>
      </c>
      <c r="D404" s="3859"/>
      <c r="E404" s="3859"/>
      <c r="F404" s="3859"/>
      <c r="G404" s="3831">
        <f>'2 REPAIR ESTIMATOR'!AQ456</f>
        <v>0</v>
      </c>
      <c r="H404" s="3831"/>
      <c r="I404" s="810">
        <f t="shared" si="33"/>
        <v>0</v>
      </c>
      <c r="J404" s="811">
        <f t="shared" si="34"/>
        <v>0</v>
      </c>
      <c r="K404" s="3832"/>
      <c r="L404" s="3833"/>
      <c r="M404" s="3833"/>
      <c r="N404" s="3834"/>
      <c r="O404" s="820">
        <f t="shared" si="35"/>
        <v>0</v>
      </c>
    </row>
    <row r="405" spans="3:15" ht="18" hidden="1">
      <c r="C405" s="3858" t="str">
        <f>T('2 REPAIR ESTIMATOR'!D457:O457)</f>
        <v>Windows</v>
      </c>
      <c r="D405" s="3858"/>
      <c r="E405" s="3858"/>
      <c r="F405" s="3858"/>
      <c r="G405" s="3831">
        <f>'2 REPAIR ESTIMATOR'!AQ457</f>
        <v>0</v>
      </c>
      <c r="H405" s="3831"/>
      <c r="I405" s="810">
        <f t="shared" si="33"/>
        <v>0</v>
      </c>
      <c r="J405" s="811">
        <f t="shared" si="34"/>
        <v>0</v>
      </c>
      <c r="K405" s="3832"/>
      <c r="L405" s="3833"/>
      <c r="M405" s="3833"/>
      <c r="N405" s="3834"/>
      <c r="O405" s="820">
        <f t="shared" si="35"/>
        <v>0</v>
      </c>
    </row>
    <row r="406" spans="3:15" ht="18" hidden="1">
      <c r="C406" s="3859" t="str">
        <f>T('2 REPAIR ESTIMATOR'!D458:O458)</f>
        <v>New windows, vinyl, average size</v>
      </c>
      <c r="D406" s="3859"/>
      <c r="E406" s="3859"/>
      <c r="F406" s="3859"/>
      <c r="G406" s="3831">
        <f>'2 REPAIR ESTIMATOR'!AQ458</f>
        <v>0</v>
      </c>
      <c r="H406" s="3831"/>
      <c r="I406" s="810">
        <f t="shared" si="33"/>
        <v>0</v>
      </c>
      <c r="J406" s="811">
        <f t="shared" si="34"/>
        <v>0</v>
      </c>
      <c r="K406" s="3832"/>
      <c r="L406" s="3833"/>
      <c r="M406" s="3833"/>
      <c r="N406" s="3834"/>
      <c r="O406" s="820">
        <f t="shared" si="35"/>
        <v>0</v>
      </c>
    </row>
    <row r="407" spans="3:15" ht="18" hidden="1">
      <c r="C407" s="3859" t="str">
        <f>T('2 REPAIR ESTIMATOR'!D459:O459)</f>
        <v>Replacement windows, vinyl, average size</v>
      </c>
      <c r="D407" s="3859"/>
      <c r="E407" s="3859"/>
      <c r="F407" s="3859"/>
      <c r="G407" s="3831">
        <f>'2 REPAIR ESTIMATOR'!AQ459</f>
        <v>0</v>
      </c>
      <c r="H407" s="3831"/>
      <c r="I407" s="810">
        <f t="shared" si="33"/>
        <v>0</v>
      </c>
      <c r="J407" s="811">
        <f t="shared" si="34"/>
        <v>0</v>
      </c>
      <c r="K407" s="3832"/>
      <c r="L407" s="3833"/>
      <c r="M407" s="3833"/>
      <c r="N407" s="3834"/>
      <c r="O407" s="820">
        <f t="shared" si="35"/>
        <v>0</v>
      </c>
    </row>
    <row r="408" spans="3:15" ht="18" hidden="1">
      <c r="C408" s="3859" t="str">
        <f>T('2 REPAIR ESTIMATOR'!D460:O460)</f>
        <v>Wood windows, average size</v>
      </c>
      <c r="D408" s="3859"/>
      <c r="E408" s="3859"/>
      <c r="F408" s="3859"/>
      <c r="G408" s="3831">
        <f>'2 REPAIR ESTIMATOR'!AQ460</f>
        <v>0</v>
      </c>
      <c r="H408" s="3831"/>
      <c r="I408" s="810">
        <f t="shared" si="33"/>
        <v>0</v>
      </c>
      <c r="J408" s="811">
        <f t="shared" si="34"/>
        <v>0</v>
      </c>
      <c r="K408" s="3832"/>
      <c r="L408" s="3833"/>
      <c r="M408" s="3833"/>
      <c r="N408" s="3834"/>
      <c r="O408" s="820">
        <f t="shared" si="35"/>
        <v>0</v>
      </c>
    </row>
    <row r="409" spans="3:15" ht="18" hidden="1">
      <c r="C409" s="3859" t="str">
        <f>T('2 REPAIR ESTIMATOR'!D461:O461)</f>
        <v>Replace broken window pane</v>
      </c>
      <c r="D409" s="3859"/>
      <c r="E409" s="3859"/>
      <c r="F409" s="3859"/>
      <c r="G409" s="3831">
        <f>'2 REPAIR ESTIMATOR'!AQ461</f>
        <v>0</v>
      </c>
      <c r="H409" s="3831"/>
      <c r="I409" s="810">
        <f t="shared" si="33"/>
        <v>0</v>
      </c>
      <c r="J409" s="811">
        <f t="shared" si="34"/>
        <v>0</v>
      </c>
      <c r="K409" s="3832"/>
      <c r="L409" s="3833"/>
      <c r="M409" s="3833"/>
      <c r="N409" s="3834"/>
      <c r="O409" s="820">
        <f t="shared" si="35"/>
        <v>0</v>
      </c>
    </row>
    <row r="410" spans="3:15" ht="18" hidden="1">
      <c r="C410" s="3859" t="str">
        <f>T('2 REPAIR ESTIMATOR'!D462:O462)</f>
        <v>Replace broken screens</v>
      </c>
      <c r="D410" s="3859"/>
      <c r="E410" s="3859"/>
      <c r="F410" s="3859"/>
      <c r="G410" s="3831">
        <f>'2 REPAIR ESTIMATOR'!AQ462</f>
        <v>0</v>
      </c>
      <c r="H410" s="3831"/>
      <c r="I410" s="810">
        <f t="shared" si="33"/>
        <v>0</v>
      </c>
      <c r="J410" s="811">
        <f t="shared" si="34"/>
        <v>0</v>
      </c>
      <c r="K410" s="3832"/>
      <c r="L410" s="3833"/>
      <c r="M410" s="3833"/>
      <c r="N410" s="3834"/>
      <c r="O410" s="820">
        <f t="shared" si="35"/>
        <v>0</v>
      </c>
    </row>
    <row r="411" spans="3:15" ht="18" hidden="1">
      <c r="C411" s="3859" t="str">
        <f>T('2 REPAIR ESTIMATOR'!D463:O463)</f>
        <v>Repair broken screens</v>
      </c>
      <c r="D411" s="3859"/>
      <c r="E411" s="3859"/>
      <c r="F411" s="3859"/>
      <c r="G411" s="3831">
        <f>'2 REPAIR ESTIMATOR'!AQ463</f>
        <v>0</v>
      </c>
      <c r="H411" s="3831"/>
      <c r="I411" s="810">
        <f t="shared" si="33"/>
        <v>0</v>
      </c>
      <c r="J411" s="811">
        <f t="shared" si="34"/>
        <v>0</v>
      </c>
      <c r="K411" s="3832"/>
      <c r="L411" s="3833"/>
      <c r="M411" s="3833"/>
      <c r="N411" s="3834"/>
      <c r="O411" s="820">
        <f t="shared" si="35"/>
        <v>0</v>
      </c>
    </row>
    <row r="412" spans="3:15" ht="18" hidden="1">
      <c r="C412" s="3859" t="str">
        <f>T('2 REPAIR ESTIMATOR'!D464:O464)</f>
        <v>Skylight, 3x3, fixed</v>
      </c>
      <c r="D412" s="3859"/>
      <c r="E412" s="3859"/>
      <c r="F412" s="3859"/>
      <c r="G412" s="3831">
        <f>'2 REPAIR ESTIMATOR'!AQ464</f>
        <v>0</v>
      </c>
      <c r="H412" s="3831"/>
      <c r="I412" s="810">
        <f t="shared" si="33"/>
        <v>0</v>
      </c>
      <c r="J412" s="811">
        <f t="shared" si="34"/>
        <v>0</v>
      </c>
      <c r="K412" s="3832"/>
      <c r="L412" s="3833"/>
      <c r="M412" s="3833"/>
      <c r="N412" s="3834"/>
      <c r="O412" s="820">
        <f t="shared" si="35"/>
        <v>0</v>
      </c>
    </row>
    <row r="413" spans="3:15" ht="18" hidden="1">
      <c r="C413" s="3859" t="str">
        <f>T('2 REPAIR ESTIMATOR'!D465:O465)</f>
        <v>Skylight, operable</v>
      </c>
      <c r="D413" s="3859"/>
      <c r="E413" s="3859"/>
      <c r="F413" s="3859"/>
      <c r="G413" s="3831">
        <f>'2 REPAIR ESTIMATOR'!AQ465</f>
        <v>0</v>
      </c>
      <c r="H413" s="3831"/>
      <c r="I413" s="810">
        <f t="shared" si="33"/>
        <v>0</v>
      </c>
      <c r="J413" s="811">
        <f t="shared" si="34"/>
        <v>0</v>
      </c>
      <c r="K413" s="3832"/>
      <c r="L413" s="3833"/>
      <c r="M413" s="3833"/>
      <c r="N413" s="3834"/>
      <c r="O413" s="820">
        <f t="shared" si="35"/>
        <v>0</v>
      </c>
    </row>
    <row r="414" spans="3:15" ht="18" hidden="1">
      <c r="C414" s="3859" t="str">
        <f>T('2 REPAIR ESTIMATOR'!D466:O466)</f>
        <v/>
      </c>
      <c r="D414" s="3859"/>
      <c r="E414" s="3859"/>
      <c r="F414" s="3859"/>
      <c r="G414" s="3831">
        <f>'2 REPAIR ESTIMATOR'!AQ466</f>
        <v>0</v>
      </c>
      <c r="H414" s="3831"/>
      <c r="I414" s="810">
        <f t="shared" si="33"/>
        <v>0</v>
      </c>
      <c r="J414" s="811">
        <f t="shared" si="34"/>
        <v>0</v>
      </c>
      <c r="K414" s="3832"/>
      <c r="L414" s="3833"/>
      <c r="M414" s="3833"/>
      <c r="N414" s="3834"/>
      <c r="O414" s="820">
        <f t="shared" si="35"/>
        <v>0</v>
      </c>
    </row>
    <row r="415" spans="3:15" ht="18" hidden="1">
      <c r="C415" s="3859" t="str">
        <f>T('2 REPAIR ESTIMATOR'!D467:O467)</f>
        <v/>
      </c>
      <c r="D415" s="3859"/>
      <c r="E415" s="3859"/>
      <c r="F415" s="3859"/>
      <c r="G415" s="3831">
        <f>'2 REPAIR ESTIMATOR'!AQ467</f>
        <v>0</v>
      </c>
      <c r="H415" s="3831"/>
      <c r="I415" s="810">
        <f t="shared" si="33"/>
        <v>0</v>
      </c>
      <c r="J415" s="811">
        <f t="shared" si="34"/>
        <v>0</v>
      </c>
      <c r="K415" s="3832"/>
      <c r="L415" s="3833"/>
      <c r="M415" s="3833"/>
      <c r="N415" s="3834"/>
      <c r="O415" s="820">
        <f t="shared" si="35"/>
        <v>0</v>
      </c>
    </row>
    <row r="416" spans="3:15" ht="18" hidden="1">
      <c r="C416" s="3859" t="str">
        <f>T('2 REPAIR ESTIMATOR'!D468:O468)</f>
        <v/>
      </c>
      <c r="D416" s="3859"/>
      <c r="E416" s="3859"/>
      <c r="F416" s="3859"/>
      <c r="G416" s="3831">
        <f>'2 REPAIR ESTIMATOR'!AQ468</f>
        <v>0</v>
      </c>
      <c r="H416" s="3831"/>
      <c r="I416" s="810">
        <f t="shared" si="33"/>
        <v>0</v>
      </c>
      <c r="J416" s="811">
        <f t="shared" si="34"/>
        <v>0</v>
      </c>
      <c r="K416" s="3832"/>
      <c r="L416" s="3833"/>
      <c r="M416" s="3833"/>
      <c r="N416" s="3834"/>
      <c r="O416" s="820">
        <f t="shared" si="35"/>
        <v>0</v>
      </c>
    </row>
    <row r="417" spans="3:15" ht="18" hidden="1">
      <c r="C417" s="3859" t="str">
        <f>T('2 REPAIR ESTIMATOR'!D469:O469)</f>
        <v/>
      </c>
      <c r="D417" s="3859"/>
      <c r="E417" s="3859"/>
      <c r="F417" s="3859"/>
      <c r="G417" s="3831">
        <f>'2 REPAIR ESTIMATOR'!AQ469</f>
        <v>0</v>
      </c>
      <c r="H417" s="3831"/>
      <c r="I417" s="810">
        <f t="shared" si="33"/>
        <v>0</v>
      </c>
      <c r="J417" s="811">
        <f t="shared" si="34"/>
        <v>0</v>
      </c>
      <c r="K417" s="3832"/>
      <c r="L417" s="3833"/>
      <c r="M417" s="3833"/>
      <c r="N417" s="3834"/>
      <c r="O417" s="820">
        <f t="shared" si="35"/>
        <v>0</v>
      </c>
    </row>
    <row r="418" spans="3:15" ht="18" hidden="1">
      <c r="C418" s="3859" t="str">
        <f>T('2 REPAIR ESTIMATOR'!D470:O470)</f>
        <v/>
      </c>
      <c r="D418" s="3859"/>
      <c r="E418" s="3859"/>
      <c r="F418" s="3859"/>
      <c r="G418" s="3831">
        <f>'2 REPAIR ESTIMATOR'!AQ470</f>
        <v>0</v>
      </c>
      <c r="H418" s="3831"/>
      <c r="I418" s="810">
        <f t="shared" si="33"/>
        <v>0</v>
      </c>
      <c r="J418" s="811">
        <f t="shared" si="34"/>
        <v>0</v>
      </c>
      <c r="K418" s="3832"/>
      <c r="L418" s="3833"/>
      <c r="M418" s="3833"/>
      <c r="N418" s="3834"/>
      <c r="O418" s="820">
        <f t="shared" si="35"/>
        <v>0</v>
      </c>
    </row>
    <row r="419" spans="3:15" ht="18" hidden="1">
      <c r="C419" s="3859" t="str">
        <f>T('2 REPAIR ESTIMATOR'!D471:O471)</f>
        <v/>
      </c>
      <c r="D419" s="3859"/>
      <c r="E419" s="3859"/>
      <c r="F419" s="3859"/>
      <c r="G419" s="3831">
        <f>'2 REPAIR ESTIMATOR'!AQ471</f>
        <v>0</v>
      </c>
      <c r="H419" s="3831"/>
      <c r="I419" s="810">
        <f t="shared" si="33"/>
        <v>0</v>
      </c>
      <c r="J419" s="811">
        <f t="shared" si="34"/>
        <v>0</v>
      </c>
      <c r="K419" s="3832"/>
      <c r="L419" s="3833"/>
      <c r="M419" s="3833"/>
      <c r="N419" s="3834"/>
      <c r="O419" s="820">
        <f t="shared" si="35"/>
        <v>0</v>
      </c>
    </row>
    <row r="420" spans="3:15" ht="18" hidden="1">
      <c r="C420" s="3859" t="str">
        <f>T('2 REPAIR ESTIMATOR'!D472:O472)</f>
        <v/>
      </c>
      <c r="D420" s="3859"/>
      <c r="E420" s="3859"/>
      <c r="F420" s="3859"/>
      <c r="G420" s="3831">
        <f>'2 REPAIR ESTIMATOR'!AQ472</f>
        <v>0</v>
      </c>
      <c r="H420" s="3831"/>
      <c r="I420" s="810">
        <f t="shared" si="33"/>
        <v>0</v>
      </c>
      <c r="J420" s="811">
        <f t="shared" si="34"/>
        <v>0</v>
      </c>
      <c r="K420" s="3832"/>
      <c r="L420" s="3833"/>
      <c r="M420" s="3833"/>
      <c r="N420" s="3834"/>
      <c r="O420" s="820">
        <f t="shared" si="35"/>
        <v>0</v>
      </c>
    </row>
    <row r="421" spans="3:15" ht="18" hidden="1">
      <c r="C421" s="3859" t="str">
        <f>T('2 REPAIR ESTIMATOR'!D473:O473)</f>
        <v/>
      </c>
      <c r="D421" s="3859"/>
      <c r="E421" s="3859"/>
      <c r="F421" s="3859"/>
      <c r="G421" s="3831">
        <f>'2 REPAIR ESTIMATOR'!AQ473</f>
        <v>0</v>
      </c>
      <c r="H421" s="3831"/>
      <c r="I421" s="810">
        <f t="shared" si="33"/>
        <v>0</v>
      </c>
      <c r="J421" s="811">
        <f t="shared" si="34"/>
        <v>0</v>
      </c>
      <c r="K421" s="3832"/>
      <c r="L421" s="3833"/>
      <c r="M421" s="3833"/>
      <c r="N421" s="3834"/>
      <c r="O421" s="820">
        <f t="shared" si="35"/>
        <v>0</v>
      </c>
    </row>
    <row r="422" spans="3:15" ht="18" hidden="1">
      <c r="C422" s="3859" t="str">
        <f>T('2 REPAIR ESTIMATOR'!D474:O474)</f>
        <v/>
      </c>
      <c r="D422" s="3859"/>
      <c r="E422" s="3859"/>
      <c r="F422" s="3859"/>
      <c r="G422" s="3831">
        <f>'2 REPAIR ESTIMATOR'!AQ474</f>
        <v>0</v>
      </c>
      <c r="H422" s="3831"/>
      <c r="I422" s="810">
        <f t="shared" si="33"/>
        <v>0</v>
      </c>
      <c r="J422" s="811">
        <f t="shared" si="34"/>
        <v>0</v>
      </c>
      <c r="K422" s="3832"/>
      <c r="L422" s="3833"/>
      <c r="M422" s="3833"/>
      <c r="N422" s="3834"/>
      <c r="O422" s="820">
        <f t="shared" si="35"/>
        <v>0</v>
      </c>
    </row>
    <row r="423" spans="3:15" ht="18" hidden="1">
      <c r="C423" s="3859" t="str">
        <f>T('2 REPAIR ESTIMATOR'!D475:O475)</f>
        <v/>
      </c>
      <c r="D423" s="3859"/>
      <c r="E423" s="3859"/>
      <c r="F423" s="3859"/>
      <c r="G423" s="3831">
        <f>'2 REPAIR ESTIMATOR'!AQ475</f>
        <v>0</v>
      </c>
      <c r="H423" s="3831"/>
      <c r="I423" s="810">
        <f t="shared" si="33"/>
        <v>0</v>
      </c>
      <c r="J423" s="811">
        <f t="shared" si="34"/>
        <v>0</v>
      </c>
      <c r="K423" s="3832"/>
      <c r="L423" s="3833"/>
      <c r="M423" s="3833"/>
      <c r="N423" s="3834"/>
      <c r="O423" s="820">
        <f t="shared" si="35"/>
        <v>0</v>
      </c>
    </row>
    <row r="424" spans="3:15" ht="18" hidden="1">
      <c r="C424" s="3859" t="str">
        <f>T('2 REPAIR ESTIMATOR'!D476:O476)</f>
        <v/>
      </c>
      <c r="D424" s="3859"/>
      <c r="E424" s="3859"/>
      <c r="F424" s="3859"/>
      <c r="G424" s="3831">
        <f>'2 REPAIR ESTIMATOR'!AQ476</f>
        <v>0</v>
      </c>
      <c r="H424" s="3831"/>
      <c r="I424" s="810">
        <f t="shared" si="33"/>
        <v>0</v>
      </c>
      <c r="J424" s="811">
        <f t="shared" si="34"/>
        <v>0</v>
      </c>
      <c r="K424" s="3832"/>
      <c r="L424" s="3833"/>
      <c r="M424" s="3833"/>
      <c r="N424" s="3834"/>
      <c r="O424" s="820">
        <f t="shared" si="35"/>
        <v>0</v>
      </c>
    </row>
    <row r="425" spans="3:15" ht="18" hidden="1">
      <c r="C425" s="3859" t="str">
        <f>T('2 REPAIR ESTIMATOR'!D477:O477)</f>
        <v/>
      </c>
      <c r="D425" s="3859"/>
      <c r="E425" s="3859"/>
      <c r="F425" s="3859"/>
      <c r="G425" s="3831">
        <f>'2 REPAIR ESTIMATOR'!AQ477</f>
        <v>0</v>
      </c>
      <c r="H425" s="3831"/>
      <c r="I425" s="810">
        <f t="shared" si="33"/>
        <v>0</v>
      </c>
      <c r="J425" s="811">
        <f t="shared" si="34"/>
        <v>0</v>
      </c>
      <c r="K425" s="3832"/>
      <c r="L425" s="3833"/>
      <c r="M425" s="3833"/>
      <c r="N425" s="3834"/>
      <c r="O425" s="820">
        <f t="shared" si="35"/>
        <v>0</v>
      </c>
    </row>
    <row r="426" spans="3:15" ht="18" hidden="1">
      <c r="C426" s="3859" t="str">
        <f>T('2 REPAIR ESTIMATOR'!D478:O478)</f>
        <v/>
      </c>
      <c r="D426" s="3859"/>
      <c r="E426" s="3859"/>
      <c r="F426" s="3859"/>
      <c r="G426" s="3831">
        <f>'2 REPAIR ESTIMATOR'!AQ478</f>
        <v>0</v>
      </c>
      <c r="H426" s="3831"/>
      <c r="I426" s="810">
        <f t="shared" si="33"/>
        <v>0</v>
      </c>
      <c r="J426" s="811">
        <f t="shared" si="34"/>
        <v>0</v>
      </c>
      <c r="K426" s="3832"/>
      <c r="L426" s="3833"/>
      <c r="M426" s="3833"/>
      <c r="N426" s="3834"/>
      <c r="O426" s="820">
        <f t="shared" si="35"/>
        <v>0</v>
      </c>
    </row>
    <row r="427" spans="3:15" ht="18" hidden="1">
      <c r="C427" s="3859" t="str">
        <f>T('2 REPAIR ESTIMATOR'!D479:O479)</f>
        <v/>
      </c>
      <c r="D427" s="3859"/>
      <c r="E427" s="3859"/>
      <c r="F427" s="3859"/>
      <c r="G427" s="3831">
        <f>'2 REPAIR ESTIMATOR'!AQ479</f>
        <v>0</v>
      </c>
      <c r="H427" s="3831"/>
      <c r="I427" s="810">
        <f t="shared" si="33"/>
        <v>0</v>
      </c>
      <c r="J427" s="811">
        <f t="shared" si="34"/>
        <v>0</v>
      </c>
      <c r="K427" s="3832"/>
      <c r="L427" s="3833"/>
      <c r="M427" s="3833"/>
      <c r="N427" s="3834"/>
      <c r="O427" s="820">
        <f t="shared" si="35"/>
        <v>0</v>
      </c>
    </row>
    <row r="428" spans="3:15" ht="18" hidden="1">
      <c r="C428" s="3859" t="str">
        <f>T('2 REPAIR ESTIMATOR'!D480:O480)</f>
        <v/>
      </c>
      <c r="D428" s="3859"/>
      <c r="E428" s="3859"/>
      <c r="F428" s="3859"/>
      <c r="G428" s="3831">
        <f>'2 REPAIR ESTIMATOR'!AQ480</f>
        <v>0</v>
      </c>
      <c r="H428" s="3831"/>
      <c r="I428" s="810">
        <f t="shared" si="33"/>
        <v>0</v>
      </c>
      <c r="J428" s="811">
        <f t="shared" si="34"/>
        <v>0</v>
      </c>
      <c r="K428" s="3832"/>
      <c r="L428" s="3833"/>
      <c r="M428" s="3833"/>
      <c r="N428" s="3834"/>
      <c r="O428" s="820">
        <f t="shared" si="35"/>
        <v>0</v>
      </c>
    </row>
    <row r="429" spans="3:15" ht="18" hidden="1">
      <c r="C429" s="3859" t="str">
        <f>T('2 REPAIR ESTIMATOR'!D481:O481)</f>
        <v/>
      </c>
      <c r="D429" s="3859"/>
      <c r="E429" s="3859"/>
      <c r="F429" s="3859"/>
      <c r="G429" s="3831">
        <f>'2 REPAIR ESTIMATOR'!AQ481</f>
        <v>0</v>
      </c>
      <c r="H429" s="3831"/>
      <c r="I429" s="810">
        <f t="shared" si="33"/>
        <v>0</v>
      </c>
      <c r="J429" s="811">
        <f t="shared" si="34"/>
        <v>0</v>
      </c>
      <c r="K429" s="3832"/>
      <c r="L429" s="3833"/>
      <c r="M429" s="3833"/>
      <c r="N429" s="3834"/>
      <c r="O429" s="820">
        <f t="shared" si="35"/>
        <v>0</v>
      </c>
    </row>
    <row r="430" spans="3:15" ht="18" hidden="1">
      <c r="C430" s="3859" t="str">
        <f>T('2 REPAIR ESTIMATOR'!D482:O482)</f>
        <v/>
      </c>
      <c r="D430" s="3859"/>
      <c r="E430" s="3859"/>
      <c r="F430" s="3859"/>
      <c r="G430" s="3831">
        <f>'2 REPAIR ESTIMATOR'!AQ482</f>
        <v>0</v>
      </c>
      <c r="H430" s="3831"/>
      <c r="I430" s="810">
        <f t="shared" si="33"/>
        <v>0</v>
      </c>
      <c r="J430" s="811">
        <f t="shared" si="34"/>
        <v>0</v>
      </c>
      <c r="K430" s="3832"/>
      <c r="L430" s="3833"/>
      <c r="M430" s="3833"/>
      <c r="N430" s="3834"/>
      <c r="O430" s="820">
        <f t="shared" si="35"/>
        <v>0</v>
      </c>
    </row>
    <row r="431" spans="3:15" ht="18" hidden="1">
      <c r="C431" s="3859" t="str">
        <f>T('2 REPAIR ESTIMATOR'!D483:O483)</f>
        <v/>
      </c>
      <c r="D431" s="3859"/>
      <c r="E431" s="3859"/>
      <c r="F431" s="3859"/>
      <c r="G431" s="3831">
        <f>'2 REPAIR ESTIMATOR'!AQ483</f>
        <v>0</v>
      </c>
      <c r="H431" s="3831"/>
      <c r="I431" s="810">
        <f t="shared" si="33"/>
        <v>0</v>
      </c>
      <c r="J431" s="811">
        <f t="shared" si="34"/>
        <v>0</v>
      </c>
      <c r="K431" s="3832"/>
      <c r="L431" s="3833"/>
      <c r="M431" s="3833"/>
      <c r="N431" s="3834"/>
      <c r="O431" s="820">
        <f t="shared" si="35"/>
        <v>0</v>
      </c>
    </row>
    <row r="432" spans="3:15" ht="18" hidden="1">
      <c r="C432" s="3859" t="str">
        <f>T('2 REPAIR ESTIMATOR'!D484:O484)</f>
        <v/>
      </c>
      <c r="D432" s="3859"/>
      <c r="E432" s="3859"/>
      <c r="F432" s="3859"/>
      <c r="G432" s="3831">
        <f>'2 REPAIR ESTIMATOR'!AQ484</f>
        <v>0</v>
      </c>
      <c r="H432" s="3831"/>
      <c r="I432" s="810">
        <f t="shared" si="33"/>
        <v>0</v>
      </c>
      <c r="J432" s="811">
        <f t="shared" si="34"/>
        <v>0</v>
      </c>
      <c r="K432" s="3832"/>
      <c r="L432" s="3833"/>
      <c r="M432" s="3833"/>
      <c r="N432" s="3834"/>
      <c r="O432" s="820">
        <f t="shared" si="35"/>
        <v>0</v>
      </c>
    </row>
    <row r="433" spans="3:15" ht="18" hidden="1">
      <c r="C433" s="3859" t="str">
        <f>T('2 REPAIR ESTIMATOR'!D485:O485)</f>
        <v/>
      </c>
      <c r="D433" s="3859"/>
      <c r="E433" s="3859"/>
      <c r="F433" s="3859"/>
      <c r="G433" s="3831">
        <f>'2 REPAIR ESTIMATOR'!AQ485</f>
        <v>0</v>
      </c>
      <c r="H433" s="3831"/>
      <c r="I433" s="810">
        <f t="shared" si="33"/>
        <v>0</v>
      </c>
      <c r="J433" s="811">
        <f t="shared" si="34"/>
        <v>0</v>
      </c>
      <c r="K433" s="3832"/>
      <c r="L433" s="3833"/>
      <c r="M433" s="3833"/>
      <c r="N433" s="3834"/>
      <c r="O433" s="820">
        <f t="shared" si="35"/>
        <v>0</v>
      </c>
    </row>
    <row r="434" spans="3:15" ht="18" hidden="1">
      <c r="C434" s="3859" t="str">
        <f>T('2 REPAIR ESTIMATOR'!D486:O486)</f>
        <v/>
      </c>
      <c r="D434" s="3859"/>
      <c r="E434" s="3859"/>
      <c r="F434" s="3859"/>
      <c r="G434" s="3831">
        <f>'2 REPAIR ESTIMATOR'!AQ486</f>
        <v>0</v>
      </c>
      <c r="H434" s="3831"/>
      <c r="I434" s="810">
        <f t="shared" si="33"/>
        <v>0</v>
      </c>
      <c r="J434" s="811">
        <f t="shared" si="34"/>
        <v>0</v>
      </c>
      <c r="K434" s="3832"/>
      <c r="L434" s="3833"/>
      <c r="M434" s="3833"/>
      <c r="N434" s="3834"/>
      <c r="O434" s="820">
        <f t="shared" si="35"/>
        <v>0</v>
      </c>
    </row>
    <row r="435" spans="3:15" ht="18.350000000000001" hidden="1" thickBot="1">
      <c r="C435" s="3835" t="str">
        <f>T('2 REPAIR ESTIMATOR'!D487:O487)</f>
        <v/>
      </c>
      <c r="D435" s="3835"/>
      <c r="E435" s="3835"/>
      <c r="F435" s="3835"/>
      <c r="G435" s="3836">
        <f>'2 REPAIR ESTIMATOR'!AQ487</f>
        <v>0</v>
      </c>
      <c r="H435" s="3836"/>
      <c r="I435" s="813">
        <f t="shared" si="33"/>
        <v>0</v>
      </c>
      <c r="J435" s="814">
        <f t="shared" si="34"/>
        <v>0</v>
      </c>
      <c r="K435" s="3837"/>
      <c r="L435" s="3838"/>
      <c r="M435" s="3838"/>
      <c r="N435" s="3839"/>
      <c r="O435" s="823">
        <f t="shared" si="35"/>
        <v>0</v>
      </c>
    </row>
    <row r="436" spans="3:15" ht="18.350000000000001" hidden="1" thickTop="1">
      <c r="C436" s="3825" t="str">
        <f>T('2 REPAIR ESTIMATOR'!AC489)</f>
        <v>EXTERIOR DOORS &amp; WINDOWS TOTAL</v>
      </c>
      <c r="D436" s="3825"/>
      <c r="E436" s="3825"/>
      <c r="F436" s="3825"/>
      <c r="G436" s="3826">
        <f>SUM(G396:H435)</f>
        <v>0</v>
      </c>
      <c r="H436" s="3826"/>
      <c r="I436" s="818">
        <f>SUM(I396:I435)</f>
        <v>0</v>
      </c>
      <c r="J436" s="819">
        <f>SUM(J396:J435)</f>
        <v>0</v>
      </c>
      <c r="K436" s="3827"/>
      <c r="L436" s="3828"/>
      <c r="M436" s="3828"/>
      <c r="N436" s="3829"/>
      <c r="O436" s="821">
        <f>SUM(O396:O435)</f>
        <v>0</v>
      </c>
    </row>
    <row r="437" spans="3:15" ht="8.85" hidden="1" customHeight="1">
      <c r="C437" s="836"/>
      <c r="D437" s="836"/>
      <c r="E437" s="836"/>
      <c r="F437" s="836"/>
      <c r="G437" s="837"/>
      <c r="H437" s="837"/>
      <c r="I437" s="837"/>
      <c r="J437" s="837"/>
      <c r="K437" s="837"/>
      <c r="L437" s="837"/>
      <c r="M437" s="837"/>
      <c r="N437" s="837"/>
      <c r="O437" s="822">
        <f>O436</f>
        <v>0</v>
      </c>
    </row>
    <row r="438" spans="3:15" ht="22.5" hidden="1" customHeight="1">
      <c r="C438" s="3840" t="str">
        <f>T('2 REPAIR ESTIMATOR'!D492:O492)</f>
        <v>GARAGE DOORS</v>
      </c>
      <c r="D438" s="3840"/>
      <c r="E438" s="3840"/>
      <c r="F438" s="3841"/>
      <c r="G438" s="3845"/>
      <c r="H438" s="3846"/>
      <c r="I438" s="831"/>
      <c r="J438" s="831"/>
      <c r="K438" s="3844"/>
      <c r="L438" s="3844"/>
      <c r="M438" s="3844"/>
      <c r="N438" s="3845"/>
      <c r="O438" s="820">
        <f>SUM(O439:O478)</f>
        <v>0</v>
      </c>
    </row>
    <row r="439" spans="3:15" ht="18" hidden="1">
      <c r="C439" s="3859" t="str">
        <f>T('2 REPAIR ESTIMATOR'!D493:O493)</f>
        <v>Garage Doors Bid/Allowance</v>
      </c>
      <c r="D439" s="3859"/>
      <c r="E439" s="3859"/>
      <c r="F439" s="3859"/>
      <c r="G439" s="3831">
        <f>'2 REPAIR ESTIMATOR'!AQ493</f>
        <v>0</v>
      </c>
      <c r="H439" s="3831"/>
      <c r="I439" s="810">
        <f t="shared" ref="I439:I478" si="36">IFERROR(G439/Property_Size,0)</f>
        <v>0</v>
      </c>
      <c r="J439" s="811">
        <f t="shared" ref="J439:J478" si="37">IFERROR(G439/Total_Project_Costs_Result,0)</f>
        <v>0</v>
      </c>
      <c r="K439" s="3832"/>
      <c r="L439" s="3833"/>
      <c r="M439" s="3833"/>
      <c r="N439" s="3834"/>
      <c r="O439" s="820">
        <f>IF(G439&gt;0,1,0)</f>
        <v>0</v>
      </c>
    </row>
    <row r="440" spans="3:15" ht="18" hidden="1">
      <c r="C440" s="3859" t="str">
        <f>T('2 REPAIR ESTIMATOR'!D494:O494)</f>
        <v>Garage Doors Only- 9'x7'  door, manual</v>
      </c>
      <c r="D440" s="3859"/>
      <c r="E440" s="3859"/>
      <c r="F440" s="3859"/>
      <c r="G440" s="3831">
        <f>'2 REPAIR ESTIMATOR'!AQ494</f>
        <v>0</v>
      </c>
      <c r="H440" s="3831"/>
      <c r="I440" s="810">
        <f t="shared" si="36"/>
        <v>0</v>
      </c>
      <c r="J440" s="811">
        <f t="shared" si="37"/>
        <v>0</v>
      </c>
      <c r="K440" s="3832"/>
      <c r="L440" s="3833"/>
      <c r="M440" s="3833"/>
      <c r="N440" s="3834"/>
      <c r="O440" s="820">
        <f t="shared" ref="O440:O478" si="38">IF(G440&gt;0,1,0)</f>
        <v>0</v>
      </c>
    </row>
    <row r="441" spans="3:15" ht="18" hidden="1">
      <c r="C441" s="3860" t="str">
        <f>T('2 REPAIR ESTIMATOR'!D495:O495)</f>
        <v>Garage Doors Only- 16' door, manual</v>
      </c>
      <c r="D441" s="3861"/>
      <c r="E441" s="3861"/>
      <c r="F441" s="3862"/>
      <c r="G441" s="3831">
        <f>'2 REPAIR ESTIMATOR'!AQ495</f>
        <v>0</v>
      </c>
      <c r="H441" s="3831"/>
      <c r="I441" s="810">
        <f t="shared" si="36"/>
        <v>0</v>
      </c>
      <c r="J441" s="811">
        <f t="shared" si="37"/>
        <v>0</v>
      </c>
      <c r="K441" s="3832"/>
      <c r="L441" s="3833"/>
      <c r="M441" s="3833"/>
      <c r="N441" s="3834"/>
      <c r="O441" s="820">
        <f t="shared" si="38"/>
        <v>0</v>
      </c>
    </row>
    <row r="442" spans="3:15" ht="18" hidden="1">
      <c r="C442" s="3859" t="str">
        <f>T('2 REPAIR ESTIMATOR'!D496:O496)</f>
        <v>Garage Door Operator only</v>
      </c>
      <c r="D442" s="3859"/>
      <c r="E442" s="3859"/>
      <c r="F442" s="3859"/>
      <c r="G442" s="3831">
        <f>'2 REPAIR ESTIMATOR'!AQ496</f>
        <v>0</v>
      </c>
      <c r="H442" s="3831"/>
      <c r="I442" s="810">
        <f t="shared" si="36"/>
        <v>0</v>
      </c>
      <c r="J442" s="811">
        <f t="shared" si="37"/>
        <v>0</v>
      </c>
      <c r="K442" s="3832"/>
      <c r="L442" s="3833"/>
      <c r="M442" s="3833"/>
      <c r="N442" s="3834"/>
      <c r="O442" s="820">
        <f t="shared" si="38"/>
        <v>0</v>
      </c>
    </row>
    <row r="443" spans="3:15" ht="18" hidden="1">
      <c r="C443" s="3859" t="str">
        <f>T('2 REPAIR ESTIMATOR'!D497:O497)</f>
        <v>Replace springs for garage door</v>
      </c>
      <c r="D443" s="3859"/>
      <c r="E443" s="3859"/>
      <c r="F443" s="3859"/>
      <c r="G443" s="3831">
        <f>'2 REPAIR ESTIMATOR'!AQ497</f>
        <v>0</v>
      </c>
      <c r="H443" s="3831"/>
      <c r="I443" s="810">
        <f t="shared" si="36"/>
        <v>0</v>
      </c>
      <c r="J443" s="811">
        <f t="shared" si="37"/>
        <v>0</v>
      </c>
      <c r="K443" s="3832"/>
      <c r="L443" s="3833"/>
      <c r="M443" s="3833"/>
      <c r="N443" s="3834"/>
      <c r="O443" s="820">
        <f t="shared" si="38"/>
        <v>0</v>
      </c>
    </row>
    <row r="444" spans="3:15" ht="18" hidden="1">
      <c r="C444" s="3859" t="str">
        <f>T('2 REPAIR ESTIMATOR'!D498:O498)</f>
        <v/>
      </c>
      <c r="D444" s="3859"/>
      <c r="E444" s="3859"/>
      <c r="F444" s="3859"/>
      <c r="G444" s="3831">
        <f>'2 REPAIR ESTIMATOR'!AQ498</f>
        <v>0</v>
      </c>
      <c r="H444" s="3831"/>
      <c r="I444" s="810">
        <f t="shared" si="36"/>
        <v>0</v>
      </c>
      <c r="J444" s="811">
        <f t="shared" si="37"/>
        <v>0</v>
      </c>
      <c r="K444" s="3832"/>
      <c r="L444" s="3833"/>
      <c r="M444" s="3833"/>
      <c r="N444" s="3834"/>
      <c r="O444" s="820">
        <f t="shared" si="38"/>
        <v>0</v>
      </c>
    </row>
    <row r="445" spans="3:15" ht="18" hidden="1">
      <c r="C445" s="3859" t="str">
        <f>T('2 REPAIR ESTIMATOR'!D499:O499)</f>
        <v/>
      </c>
      <c r="D445" s="3859"/>
      <c r="E445" s="3859"/>
      <c r="F445" s="3859"/>
      <c r="G445" s="3831">
        <f>'2 REPAIR ESTIMATOR'!AQ499</f>
        <v>0</v>
      </c>
      <c r="H445" s="3831"/>
      <c r="I445" s="810">
        <f t="shared" si="36"/>
        <v>0</v>
      </c>
      <c r="J445" s="811">
        <f t="shared" si="37"/>
        <v>0</v>
      </c>
      <c r="K445" s="3832"/>
      <c r="L445" s="3833"/>
      <c r="M445" s="3833"/>
      <c r="N445" s="3834"/>
      <c r="O445" s="820">
        <f t="shared" si="38"/>
        <v>0</v>
      </c>
    </row>
    <row r="446" spans="3:15" ht="18" hidden="1">
      <c r="C446" s="3859" t="str">
        <f>T('2 REPAIR ESTIMATOR'!D500:O500)</f>
        <v/>
      </c>
      <c r="D446" s="3859"/>
      <c r="E446" s="3859"/>
      <c r="F446" s="3859"/>
      <c r="G446" s="3831">
        <f>'2 REPAIR ESTIMATOR'!AQ500</f>
        <v>0</v>
      </c>
      <c r="H446" s="3831"/>
      <c r="I446" s="810">
        <f t="shared" si="36"/>
        <v>0</v>
      </c>
      <c r="J446" s="811">
        <f t="shared" si="37"/>
        <v>0</v>
      </c>
      <c r="K446" s="3832"/>
      <c r="L446" s="3833"/>
      <c r="M446" s="3833"/>
      <c r="N446" s="3834"/>
      <c r="O446" s="820">
        <f t="shared" si="38"/>
        <v>0</v>
      </c>
    </row>
    <row r="447" spans="3:15" ht="18" hidden="1">
      <c r="C447" s="3859" t="str">
        <f>T('2 REPAIR ESTIMATOR'!D501:O501)</f>
        <v/>
      </c>
      <c r="D447" s="3859"/>
      <c r="E447" s="3859"/>
      <c r="F447" s="3859"/>
      <c r="G447" s="3831">
        <f>'2 REPAIR ESTIMATOR'!AQ501</f>
        <v>0</v>
      </c>
      <c r="H447" s="3831"/>
      <c r="I447" s="810">
        <f t="shared" si="36"/>
        <v>0</v>
      </c>
      <c r="J447" s="811">
        <f t="shared" si="37"/>
        <v>0</v>
      </c>
      <c r="K447" s="3832"/>
      <c r="L447" s="3833"/>
      <c r="M447" s="3833"/>
      <c r="N447" s="3834"/>
      <c r="O447" s="820">
        <f t="shared" si="38"/>
        <v>0</v>
      </c>
    </row>
    <row r="448" spans="3:15" ht="18" hidden="1">
      <c r="C448" s="3859" t="str">
        <f>T('2 REPAIR ESTIMATOR'!D502:O502)</f>
        <v/>
      </c>
      <c r="D448" s="3859"/>
      <c r="E448" s="3859"/>
      <c r="F448" s="3859"/>
      <c r="G448" s="3831">
        <f>'2 REPAIR ESTIMATOR'!AQ502</f>
        <v>0</v>
      </c>
      <c r="H448" s="3831"/>
      <c r="I448" s="810">
        <f t="shared" si="36"/>
        <v>0</v>
      </c>
      <c r="J448" s="811">
        <f t="shared" si="37"/>
        <v>0</v>
      </c>
      <c r="K448" s="3832"/>
      <c r="L448" s="3833"/>
      <c r="M448" s="3833"/>
      <c r="N448" s="3834"/>
      <c r="O448" s="820">
        <f t="shared" si="38"/>
        <v>0</v>
      </c>
    </row>
    <row r="449" spans="3:15" ht="18" hidden="1">
      <c r="C449" s="3859" t="str">
        <f>T('2 REPAIR ESTIMATOR'!D503:O503)</f>
        <v/>
      </c>
      <c r="D449" s="3859"/>
      <c r="E449" s="3859"/>
      <c r="F449" s="3859"/>
      <c r="G449" s="3831">
        <f>'2 REPAIR ESTIMATOR'!AQ503</f>
        <v>0</v>
      </c>
      <c r="H449" s="3831"/>
      <c r="I449" s="810">
        <f t="shared" si="36"/>
        <v>0</v>
      </c>
      <c r="J449" s="811">
        <f t="shared" si="37"/>
        <v>0</v>
      </c>
      <c r="K449" s="3832"/>
      <c r="L449" s="3833"/>
      <c r="M449" s="3833"/>
      <c r="N449" s="3834"/>
      <c r="O449" s="820">
        <f t="shared" si="38"/>
        <v>0</v>
      </c>
    </row>
    <row r="450" spans="3:15" ht="18" hidden="1">
      <c r="C450" s="3859" t="str">
        <f>T('2 REPAIR ESTIMATOR'!D504:O504)</f>
        <v/>
      </c>
      <c r="D450" s="3859"/>
      <c r="E450" s="3859"/>
      <c r="F450" s="3859"/>
      <c r="G450" s="3831">
        <f>'2 REPAIR ESTIMATOR'!AQ504</f>
        <v>0</v>
      </c>
      <c r="H450" s="3831"/>
      <c r="I450" s="810">
        <f t="shared" si="36"/>
        <v>0</v>
      </c>
      <c r="J450" s="811">
        <f t="shared" si="37"/>
        <v>0</v>
      </c>
      <c r="K450" s="3832"/>
      <c r="L450" s="3833"/>
      <c r="M450" s="3833"/>
      <c r="N450" s="3834"/>
      <c r="O450" s="820">
        <f t="shared" si="38"/>
        <v>0</v>
      </c>
    </row>
    <row r="451" spans="3:15" ht="18" hidden="1">
      <c r="C451" s="3859" t="str">
        <f>T('2 REPAIR ESTIMATOR'!D505:O505)</f>
        <v/>
      </c>
      <c r="D451" s="3859"/>
      <c r="E451" s="3859"/>
      <c r="F451" s="3859"/>
      <c r="G451" s="3831">
        <f>'2 REPAIR ESTIMATOR'!AQ505</f>
        <v>0</v>
      </c>
      <c r="H451" s="3831"/>
      <c r="I451" s="810">
        <f t="shared" si="36"/>
        <v>0</v>
      </c>
      <c r="J451" s="811">
        <f t="shared" si="37"/>
        <v>0</v>
      </c>
      <c r="K451" s="3832"/>
      <c r="L451" s="3833"/>
      <c r="M451" s="3833"/>
      <c r="N451" s="3834"/>
      <c r="O451" s="820">
        <f t="shared" si="38"/>
        <v>0</v>
      </c>
    </row>
    <row r="452" spans="3:15" ht="18" hidden="1">
      <c r="C452" s="3859" t="str">
        <f>T('2 REPAIR ESTIMATOR'!D506:O506)</f>
        <v/>
      </c>
      <c r="D452" s="3859"/>
      <c r="E452" s="3859"/>
      <c r="F452" s="3859"/>
      <c r="G452" s="3831">
        <f>'2 REPAIR ESTIMATOR'!AQ506</f>
        <v>0</v>
      </c>
      <c r="H452" s="3831"/>
      <c r="I452" s="810">
        <f t="shared" si="36"/>
        <v>0</v>
      </c>
      <c r="J452" s="811">
        <f t="shared" si="37"/>
        <v>0</v>
      </c>
      <c r="K452" s="3832"/>
      <c r="L452" s="3833"/>
      <c r="M452" s="3833"/>
      <c r="N452" s="3834"/>
      <c r="O452" s="820">
        <f t="shared" si="38"/>
        <v>0</v>
      </c>
    </row>
    <row r="453" spans="3:15" ht="18" hidden="1">
      <c r="C453" s="3859" t="str">
        <f>T('2 REPAIR ESTIMATOR'!D507:O507)</f>
        <v/>
      </c>
      <c r="D453" s="3859"/>
      <c r="E453" s="3859"/>
      <c r="F453" s="3859"/>
      <c r="G453" s="3831">
        <f>'2 REPAIR ESTIMATOR'!AQ507</f>
        <v>0</v>
      </c>
      <c r="H453" s="3831"/>
      <c r="I453" s="810">
        <f t="shared" si="36"/>
        <v>0</v>
      </c>
      <c r="J453" s="811">
        <f t="shared" si="37"/>
        <v>0</v>
      </c>
      <c r="K453" s="3832"/>
      <c r="L453" s="3833"/>
      <c r="M453" s="3833"/>
      <c r="N453" s="3834"/>
      <c r="O453" s="820">
        <f t="shared" si="38"/>
        <v>0</v>
      </c>
    </row>
    <row r="454" spans="3:15" ht="18" hidden="1">
      <c r="C454" s="3859" t="str">
        <f>T('2 REPAIR ESTIMATOR'!D508:O508)</f>
        <v/>
      </c>
      <c r="D454" s="3859"/>
      <c r="E454" s="3859"/>
      <c r="F454" s="3859"/>
      <c r="G454" s="3831">
        <f>'2 REPAIR ESTIMATOR'!AQ508</f>
        <v>0</v>
      </c>
      <c r="H454" s="3831"/>
      <c r="I454" s="810">
        <f t="shared" si="36"/>
        <v>0</v>
      </c>
      <c r="J454" s="811">
        <f t="shared" si="37"/>
        <v>0</v>
      </c>
      <c r="K454" s="3832"/>
      <c r="L454" s="3833"/>
      <c r="M454" s="3833"/>
      <c r="N454" s="3834"/>
      <c r="O454" s="820">
        <f t="shared" si="38"/>
        <v>0</v>
      </c>
    </row>
    <row r="455" spans="3:15" ht="18" hidden="1">
      <c r="C455" s="3859" t="str">
        <f>T('2 REPAIR ESTIMATOR'!D509:O509)</f>
        <v/>
      </c>
      <c r="D455" s="3859"/>
      <c r="E455" s="3859"/>
      <c r="F455" s="3859"/>
      <c r="G455" s="3831">
        <f>'2 REPAIR ESTIMATOR'!AQ509</f>
        <v>0</v>
      </c>
      <c r="H455" s="3831"/>
      <c r="I455" s="810">
        <f t="shared" si="36"/>
        <v>0</v>
      </c>
      <c r="J455" s="811">
        <f t="shared" si="37"/>
        <v>0</v>
      </c>
      <c r="K455" s="3832"/>
      <c r="L455" s="3833"/>
      <c r="M455" s="3833"/>
      <c r="N455" s="3834"/>
      <c r="O455" s="820">
        <f t="shared" si="38"/>
        <v>0</v>
      </c>
    </row>
    <row r="456" spans="3:15" ht="18" hidden="1">
      <c r="C456" s="3859" t="str">
        <f>T('2 REPAIR ESTIMATOR'!D510:O510)</f>
        <v/>
      </c>
      <c r="D456" s="3859"/>
      <c r="E456" s="3859"/>
      <c r="F456" s="3859"/>
      <c r="G456" s="3831">
        <f>'2 REPAIR ESTIMATOR'!AQ510</f>
        <v>0</v>
      </c>
      <c r="H456" s="3831"/>
      <c r="I456" s="810">
        <f t="shared" si="36"/>
        <v>0</v>
      </c>
      <c r="J456" s="811">
        <f t="shared" si="37"/>
        <v>0</v>
      </c>
      <c r="K456" s="3832"/>
      <c r="L456" s="3833"/>
      <c r="M456" s="3833"/>
      <c r="N456" s="3834"/>
      <c r="O456" s="820">
        <f t="shared" si="38"/>
        <v>0</v>
      </c>
    </row>
    <row r="457" spans="3:15" ht="18" hidden="1">
      <c r="C457" s="3859" t="str">
        <f>T('2 REPAIR ESTIMATOR'!D511:O511)</f>
        <v/>
      </c>
      <c r="D457" s="3859"/>
      <c r="E457" s="3859"/>
      <c r="F457" s="3859"/>
      <c r="G457" s="3831">
        <f>'2 REPAIR ESTIMATOR'!AQ511</f>
        <v>0</v>
      </c>
      <c r="H457" s="3831"/>
      <c r="I457" s="810">
        <f t="shared" si="36"/>
        <v>0</v>
      </c>
      <c r="J457" s="811">
        <f t="shared" si="37"/>
        <v>0</v>
      </c>
      <c r="K457" s="3832"/>
      <c r="L457" s="3833"/>
      <c r="M457" s="3833"/>
      <c r="N457" s="3834"/>
      <c r="O457" s="820">
        <f t="shared" si="38"/>
        <v>0</v>
      </c>
    </row>
    <row r="458" spans="3:15" ht="18" hidden="1">
      <c r="C458" s="3859" t="str">
        <f>T('2 REPAIR ESTIMATOR'!D512:O512)</f>
        <v/>
      </c>
      <c r="D458" s="3859"/>
      <c r="E458" s="3859"/>
      <c r="F458" s="3859"/>
      <c r="G458" s="3831">
        <f>'2 REPAIR ESTIMATOR'!AQ512</f>
        <v>0</v>
      </c>
      <c r="H458" s="3831"/>
      <c r="I458" s="810">
        <f t="shared" si="36"/>
        <v>0</v>
      </c>
      <c r="J458" s="811">
        <f t="shared" si="37"/>
        <v>0</v>
      </c>
      <c r="K458" s="3832"/>
      <c r="L458" s="3833"/>
      <c r="M458" s="3833"/>
      <c r="N458" s="3834"/>
      <c r="O458" s="820">
        <f t="shared" si="38"/>
        <v>0</v>
      </c>
    </row>
    <row r="459" spans="3:15" ht="18" hidden="1">
      <c r="C459" s="3859" t="str">
        <f>T('2 REPAIR ESTIMATOR'!D513:O513)</f>
        <v/>
      </c>
      <c r="D459" s="3859"/>
      <c r="E459" s="3859"/>
      <c r="F459" s="3859"/>
      <c r="G459" s="3831">
        <f>'2 REPAIR ESTIMATOR'!AQ513</f>
        <v>0</v>
      </c>
      <c r="H459" s="3831"/>
      <c r="I459" s="810">
        <f t="shared" si="36"/>
        <v>0</v>
      </c>
      <c r="J459" s="811">
        <f t="shared" si="37"/>
        <v>0</v>
      </c>
      <c r="K459" s="3832"/>
      <c r="L459" s="3833"/>
      <c r="M459" s="3833"/>
      <c r="N459" s="3834"/>
      <c r="O459" s="820">
        <f t="shared" si="38"/>
        <v>0</v>
      </c>
    </row>
    <row r="460" spans="3:15" ht="18" hidden="1">
      <c r="C460" s="3859" t="str">
        <f>T('2 REPAIR ESTIMATOR'!D514:O514)</f>
        <v/>
      </c>
      <c r="D460" s="3859"/>
      <c r="E460" s="3859"/>
      <c r="F460" s="3859"/>
      <c r="G460" s="3831">
        <f>'2 REPAIR ESTIMATOR'!AQ514</f>
        <v>0</v>
      </c>
      <c r="H460" s="3831"/>
      <c r="I460" s="810">
        <f t="shared" si="36"/>
        <v>0</v>
      </c>
      <c r="J460" s="811">
        <f t="shared" si="37"/>
        <v>0</v>
      </c>
      <c r="K460" s="3832"/>
      <c r="L460" s="3833"/>
      <c r="M460" s="3833"/>
      <c r="N460" s="3834"/>
      <c r="O460" s="820">
        <f t="shared" si="38"/>
        <v>0</v>
      </c>
    </row>
    <row r="461" spans="3:15" ht="18" hidden="1">
      <c r="C461" s="3859" t="str">
        <f>T('2 REPAIR ESTIMATOR'!D515:O515)</f>
        <v/>
      </c>
      <c r="D461" s="3859"/>
      <c r="E461" s="3859"/>
      <c r="F461" s="3859"/>
      <c r="G461" s="3831">
        <f>'2 REPAIR ESTIMATOR'!AQ515</f>
        <v>0</v>
      </c>
      <c r="H461" s="3831"/>
      <c r="I461" s="810">
        <f t="shared" si="36"/>
        <v>0</v>
      </c>
      <c r="J461" s="811">
        <f t="shared" si="37"/>
        <v>0</v>
      </c>
      <c r="K461" s="3832"/>
      <c r="L461" s="3833"/>
      <c r="M461" s="3833"/>
      <c r="N461" s="3834"/>
      <c r="O461" s="820">
        <f t="shared" si="38"/>
        <v>0</v>
      </c>
    </row>
    <row r="462" spans="3:15" ht="18" hidden="1">
      <c r="C462" s="3859" t="str">
        <f>T('2 REPAIR ESTIMATOR'!D516:O516)</f>
        <v/>
      </c>
      <c r="D462" s="3859"/>
      <c r="E462" s="3859"/>
      <c r="F462" s="3859"/>
      <c r="G462" s="3831">
        <f>'2 REPAIR ESTIMATOR'!AQ516</f>
        <v>0</v>
      </c>
      <c r="H462" s="3831"/>
      <c r="I462" s="810">
        <f t="shared" si="36"/>
        <v>0</v>
      </c>
      <c r="J462" s="811">
        <f t="shared" si="37"/>
        <v>0</v>
      </c>
      <c r="K462" s="3832"/>
      <c r="L462" s="3833"/>
      <c r="M462" s="3833"/>
      <c r="N462" s="3834"/>
      <c r="O462" s="820">
        <f t="shared" si="38"/>
        <v>0</v>
      </c>
    </row>
    <row r="463" spans="3:15" ht="18" hidden="1">
      <c r="C463" s="3859" t="str">
        <f>T('2 REPAIR ESTIMATOR'!D517:O517)</f>
        <v/>
      </c>
      <c r="D463" s="3859"/>
      <c r="E463" s="3859"/>
      <c r="F463" s="3859"/>
      <c r="G463" s="3831">
        <f>'2 REPAIR ESTIMATOR'!AQ517</f>
        <v>0</v>
      </c>
      <c r="H463" s="3831"/>
      <c r="I463" s="810">
        <f t="shared" si="36"/>
        <v>0</v>
      </c>
      <c r="J463" s="811">
        <f t="shared" si="37"/>
        <v>0</v>
      </c>
      <c r="K463" s="3832"/>
      <c r="L463" s="3833"/>
      <c r="M463" s="3833"/>
      <c r="N463" s="3834"/>
      <c r="O463" s="820">
        <f t="shared" si="38"/>
        <v>0</v>
      </c>
    </row>
    <row r="464" spans="3:15" ht="18" hidden="1">
      <c r="C464" s="3859" t="str">
        <f>T('2 REPAIR ESTIMATOR'!D518:O518)</f>
        <v/>
      </c>
      <c r="D464" s="3859"/>
      <c r="E464" s="3859"/>
      <c r="F464" s="3859"/>
      <c r="G464" s="3831">
        <f>'2 REPAIR ESTIMATOR'!AQ518</f>
        <v>0</v>
      </c>
      <c r="H464" s="3831"/>
      <c r="I464" s="810">
        <f t="shared" si="36"/>
        <v>0</v>
      </c>
      <c r="J464" s="811">
        <f t="shared" si="37"/>
        <v>0</v>
      </c>
      <c r="K464" s="3832"/>
      <c r="L464" s="3833"/>
      <c r="M464" s="3833"/>
      <c r="N464" s="3834"/>
      <c r="O464" s="820">
        <f t="shared" si="38"/>
        <v>0</v>
      </c>
    </row>
    <row r="465" spans="3:15" ht="18" hidden="1">
      <c r="C465" s="3859" t="str">
        <f>T('2 REPAIR ESTIMATOR'!D519:O519)</f>
        <v/>
      </c>
      <c r="D465" s="3859"/>
      <c r="E465" s="3859"/>
      <c r="F465" s="3859"/>
      <c r="G465" s="3831">
        <f>'2 REPAIR ESTIMATOR'!AQ519</f>
        <v>0</v>
      </c>
      <c r="H465" s="3831"/>
      <c r="I465" s="810">
        <f t="shared" si="36"/>
        <v>0</v>
      </c>
      <c r="J465" s="811">
        <f t="shared" si="37"/>
        <v>0</v>
      </c>
      <c r="K465" s="3832"/>
      <c r="L465" s="3833"/>
      <c r="M465" s="3833"/>
      <c r="N465" s="3834"/>
      <c r="O465" s="820">
        <f t="shared" si="38"/>
        <v>0</v>
      </c>
    </row>
    <row r="466" spans="3:15" ht="18" hidden="1">
      <c r="C466" s="3859" t="str">
        <f>T('2 REPAIR ESTIMATOR'!D520:O520)</f>
        <v/>
      </c>
      <c r="D466" s="3859"/>
      <c r="E466" s="3859"/>
      <c r="F466" s="3859"/>
      <c r="G466" s="3831">
        <f>'2 REPAIR ESTIMATOR'!AQ520</f>
        <v>0</v>
      </c>
      <c r="H466" s="3831"/>
      <c r="I466" s="810">
        <f t="shared" si="36"/>
        <v>0</v>
      </c>
      <c r="J466" s="811">
        <f t="shared" si="37"/>
        <v>0</v>
      </c>
      <c r="K466" s="3832"/>
      <c r="L466" s="3833"/>
      <c r="M466" s="3833"/>
      <c r="N466" s="3834"/>
      <c r="O466" s="820">
        <f t="shared" si="38"/>
        <v>0</v>
      </c>
    </row>
    <row r="467" spans="3:15" ht="18" hidden="1">
      <c r="C467" s="3859" t="str">
        <f>T('2 REPAIR ESTIMATOR'!D521:O521)</f>
        <v/>
      </c>
      <c r="D467" s="3859"/>
      <c r="E467" s="3859"/>
      <c r="F467" s="3859"/>
      <c r="G467" s="3831">
        <f>'2 REPAIR ESTIMATOR'!AQ521</f>
        <v>0</v>
      </c>
      <c r="H467" s="3831"/>
      <c r="I467" s="810">
        <f t="shared" si="36"/>
        <v>0</v>
      </c>
      <c r="J467" s="811">
        <f t="shared" si="37"/>
        <v>0</v>
      </c>
      <c r="K467" s="3832"/>
      <c r="L467" s="3833"/>
      <c r="M467" s="3833"/>
      <c r="N467" s="3834"/>
      <c r="O467" s="820">
        <f t="shared" si="38"/>
        <v>0</v>
      </c>
    </row>
    <row r="468" spans="3:15" ht="18" hidden="1">
      <c r="C468" s="3859" t="str">
        <f>T('2 REPAIR ESTIMATOR'!D522:O522)</f>
        <v/>
      </c>
      <c r="D468" s="3859"/>
      <c r="E468" s="3859"/>
      <c r="F468" s="3859"/>
      <c r="G468" s="3831">
        <f>'2 REPAIR ESTIMATOR'!AQ522</f>
        <v>0</v>
      </c>
      <c r="H468" s="3831"/>
      <c r="I468" s="810">
        <f t="shared" si="36"/>
        <v>0</v>
      </c>
      <c r="J468" s="811">
        <f t="shared" si="37"/>
        <v>0</v>
      </c>
      <c r="K468" s="3832"/>
      <c r="L468" s="3833"/>
      <c r="M468" s="3833"/>
      <c r="N468" s="3834"/>
      <c r="O468" s="820">
        <f t="shared" si="38"/>
        <v>0</v>
      </c>
    </row>
    <row r="469" spans="3:15" ht="18" hidden="1">
      <c r="C469" s="3859" t="str">
        <f>T('2 REPAIR ESTIMATOR'!D523:O523)</f>
        <v/>
      </c>
      <c r="D469" s="3859"/>
      <c r="E469" s="3859"/>
      <c r="F469" s="3859"/>
      <c r="G469" s="3831">
        <f>'2 REPAIR ESTIMATOR'!AQ523</f>
        <v>0</v>
      </c>
      <c r="H469" s="3831"/>
      <c r="I469" s="810">
        <f t="shared" si="36"/>
        <v>0</v>
      </c>
      <c r="J469" s="811">
        <f t="shared" si="37"/>
        <v>0</v>
      </c>
      <c r="K469" s="3832"/>
      <c r="L469" s="3833"/>
      <c r="M469" s="3833"/>
      <c r="N469" s="3834"/>
      <c r="O469" s="820">
        <f t="shared" si="38"/>
        <v>0</v>
      </c>
    </row>
    <row r="470" spans="3:15" ht="18" hidden="1">
      <c r="C470" s="3859" t="str">
        <f>T('2 REPAIR ESTIMATOR'!D524:O524)</f>
        <v/>
      </c>
      <c r="D470" s="3859"/>
      <c r="E470" s="3859"/>
      <c r="F470" s="3859"/>
      <c r="G470" s="3831">
        <f>'2 REPAIR ESTIMATOR'!AQ524</f>
        <v>0</v>
      </c>
      <c r="H470" s="3831"/>
      <c r="I470" s="810">
        <f t="shared" si="36"/>
        <v>0</v>
      </c>
      <c r="J470" s="811">
        <f t="shared" si="37"/>
        <v>0</v>
      </c>
      <c r="K470" s="3832"/>
      <c r="L470" s="3833"/>
      <c r="M470" s="3833"/>
      <c r="N470" s="3834"/>
      <c r="O470" s="820">
        <f t="shared" si="38"/>
        <v>0</v>
      </c>
    </row>
    <row r="471" spans="3:15" ht="18" hidden="1">
      <c r="C471" s="3859" t="str">
        <f>T('2 REPAIR ESTIMATOR'!D525:O525)</f>
        <v/>
      </c>
      <c r="D471" s="3859"/>
      <c r="E471" s="3859"/>
      <c r="F471" s="3859"/>
      <c r="G471" s="3831">
        <f>'2 REPAIR ESTIMATOR'!AQ525</f>
        <v>0</v>
      </c>
      <c r="H471" s="3831"/>
      <c r="I471" s="810">
        <f t="shared" si="36"/>
        <v>0</v>
      </c>
      <c r="J471" s="811">
        <f t="shared" si="37"/>
        <v>0</v>
      </c>
      <c r="K471" s="3832"/>
      <c r="L471" s="3833"/>
      <c r="M471" s="3833"/>
      <c r="N471" s="3834"/>
      <c r="O471" s="820">
        <f t="shared" si="38"/>
        <v>0</v>
      </c>
    </row>
    <row r="472" spans="3:15" ht="18" hidden="1">
      <c r="C472" s="3859" t="str">
        <f>T('2 REPAIR ESTIMATOR'!D526:O526)</f>
        <v/>
      </c>
      <c r="D472" s="3859"/>
      <c r="E472" s="3859"/>
      <c r="F472" s="3859"/>
      <c r="G472" s="3831">
        <f>'2 REPAIR ESTIMATOR'!AQ526</f>
        <v>0</v>
      </c>
      <c r="H472" s="3831"/>
      <c r="I472" s="810">
        <f t="shared" si="36"/>
        <v>0</v>
      </c>
      <c r="J472" s="811">
        <f t="shared" si="37"/>
        <v>0</v>
      </c>
      <c r="K472" s="3832"/>
      <c r="L472" s="3833"/>
      <c r="M472" s="3833"/>
      <c r="N472" s="3834"/>
      <c r="O472" s="820">
        <f t="shared" si="38"/>
        <v>0</v>
      </c>
    </row>
    <row r="473" spans="3:15" ht="18" hidden="1">
      <c r="C473" s="3859" t="str">
        <f>T('2 REPAIR ESTIMATOR'!D527:O527)</f>
        <v/>
      </c>
      <c r="D473" s="3859"/>
      <c r="E473" s="3859"/>
      <c r="F473" s="3859"/>
      <c r="G473" s="3831">
        <f>'2 REPAIR ESTIMATOR'!AQ527</f>
        <v>0</v>
      </c>
      <c r="H473" s="3831"/>
      <c r="I473" s="810">
        <f t="shared" si="36"/>
        <v>0</v>
      </c>
      <c r="J473" s="811">
        <f t="shared" si="37"/>
        <v>0</v>
      </c>
      <c r="K473" s="3832"/>
      <c r="L473" s="3833"/>
      <c r="M473" s="3833"/>
      <c r="N473" s="3834"/>
      <c r="O473" s="820">
        <f t="shared" si="38"/>
        <v>0</v>
      </c>
    </row>
    <row r="474" spans="3:15" ht="18" hidden="1">
      <c r="C474" s="3859" t="str">
        <f>T('2 REPAIR ESTIMATOR'!D528:O528)</f>
        <v/>
      </c>
      <c r="D474" s="3859"/>
      <c r="E474" s="3859"/>
      <c r="F474" s="3859"/>
      <c r="G474" s="3831">
        <f>'2 REPAIR ESTIMATOR'!AQ528</f>
        <v>0</v>
      </c>
      <c r="H474" s="3831"/>
      <c r="I474" s="810">
        <f t="shared" si="36"/>
        <v>0</v>
      </c>
      <c r="J474" s="811">
        <f t="shared" si="37"/>
        <v>0</v>
      </c>
      <c r="K474" s="3832"/>
      <c r="L474" s="3833"/>
      <c r="M474" s="3833"/>
      <c r="N474" s="3834"/>
      <c r="O474" s="820">
        <f t="shared" si="38"/>
        <v>0</v>
      </c>
    </row>
    <row r="475" spans="3:15" ht="18" hidden="1">
      <c r="C475" s="3859" t="str">
        <f>T('2 REPAIR ESTIMATOR'!D529:O529)</f>
        <v/>
      </c>
      <c r="D475" s="3859"/>
      <c r="E475" s="3859"/>
      <c r="F475" s="3859"/>
      <c r="G475" s="3831">
        <f>'2 REPAIR ESTIMATOR'!AQ529</f>
        <v>0</v>
      </c>
      <c r="H475" s="3831"/>
      <c r="I475" s="810">
        <f t="shared" si="36"/>
        <v>0</v>
      </c>
      <c r="J475" s="811">
        <f t="shared" si="37"/>
        <v>0</v>
      </c>
      <c r="K475" s="3832"/>
      <c r="L475" s="3833"/>
      <c r="M475" s="3833"/>
      <c r="N475" s="3834"/>
      <c r="O475" s="820">
        <f t="shared" si="38"/>
        <v>0</v>
      </c>
    </row>
    <row r="476" spans="3:15" ht="18" hidden="1">
      <c r="C476" s="3859" t="str">
        <f>T('2 REPAIR ESTIMATOR'!D530:O530)</f>
        <v/>
      </c>
      <c r="D476" s="3859"/>
      <c r="E476" s="3859"/>
      <c r="F476" s="3859"/>
      <c r="G476" s="3831">
        <f>'2 REPAIR ESTIMATOR'!AQ530</f>
        <v>0</v>
      </c>
      <c r="H476" s="3831"/>
      <c r="I476" s="810">
        <f t="shared" si="36"/>
        <v>0</v>
      </c>
      <c r="J476" s="811">
        <f t="shared" si="37"/>
        <v>0</v>
      </c>
      <c r="K476" s="3832"/>
      <c r="L476" s="3833"/>
      <c r="M476" s="3833"/>
      <c r="N476" s="3834"/>
      <c r="O476" s="820">
        <f t="shared" si="38"/>
        <v>0</v>
      </c>
    </row>
    <row r="477" spans="3:15" ht="18" hidden="1">
      <c r="C477" s="3859" t="str">
        <f>T('2 REPAIR ESTIMATOR'!D531:O531)</f>
        <v/>
      </c>
      <c r="D477" s="3859"/>
      <c r="E477" s="3859"/>
      <c r="F477" s="3859"/>
      <c r="G477" s="3831">
        <f>'2 REPAIR ESTIMATOR'!AQ531</f>
        <v>0</v>
      </c>
      <c r="H477" s="3831"/>
      <c r="I477" s="810">
        <f t="shared" si="36"/>
        <v>0</v>
      </c>
      <c r="J477" s="811">
        <f t="shared" si="37"/>
        <v>0</v>
      </c>
      <c r="K477" s="3832"/>
      <c r="L477" s="3833"/>
      <c r="M477" s="3833"/>
      <c r="N477" s="3834"/>
      <c r="O477" s="820">
        <f t="shared" si="38"/>
        <v>0</v>
      </c>
    </row>
    <row r="478" spans="3:15" ht="18.350000000000001" hidden="1" thickBot="1">
      <c r="C478" s="3835" t="str">
        <f>T('2 REPAIR ESTIMATOR'!D532:O532)</f>
        <v/>
      </c>
      <c r="D478" s="3835"/>
      <c r="E478" s="3835"/>
      <c r="F478" s="3835"/>
      <c r="G478" s="3836">
        <f>'2 REPAIR ESTIMATOR'!AQ532</f>
        <v>0</v>
      </c>
      <c r="H478" s="3836"/>
      <c r="I478" s="813">
        <f t="shared" si="36"/>
        <v>0</v>
      </c>
      <c r="J478" s="814">
        <f t="shared" si="37"/>
        <v>0</v>
      </c>
      <c r="K478" s="3837"/>
      <c r="L478" s="3838"/>
      <c r="M478" s="3838"/>
      <c r="N478" s="3839"/>
      <c r="O478" s="823">
        <f t="shared" si="38"/>
        <v>0</v>
      </c>
    </row>
    <row r="479" spans="3:15" ht="18.350000000000001" hidden="1" thickTop="1">
      <c r="C479" s="3825" t="str">
        <f>T('2 REPAIR ESTIMATOR'!AC534)</f>
        <v>GARAGE DOORS TOTAL</v>
      </c>
      <c r="D479" s="3825"/>
      <c r="E479" s="3825"/>
      <c r="F479" s="3825"/>
      <c r="G479" s="3826">
        <f>SUM(G439:H478)</f>
        <v>0</v>
      </c>
      <c r="H479" s="3826"/>
      <c r="I479" s="818">
        <f>SUM(I439:I478)</f>
        <v>0</v>
      </c>
      <c r="J479" s="819">
        <f>SUM(J439:J478)</f>
        <v>0</v>
      </c>
      <c r="K479" s="3827"/>
      <c r="L479" s="3828"/>
      <c r="M479" s="3828"/>
      <c r="N479" s="3829"/>
      <c r="O479" s="821">
        <f>SUM(O439:O478)</f>
        <v>0</v>
      </c>
    </row>
    <row r="480" spans="3:15" ht="8.85" hidden="1" customHeight="1">
      <c r="C480" s="836"/>
      <c r="D480" s="836"/>
      <c r="E480" s="836"/>
      <c r="F480" s="836"/>
      <c r="G480" s="837"/>
      <c r="H480" s="837"/>
      <c r="I480" s="837"/>
      <c r="J480" s="837"/>
      <c r="K480" s="837"/>
      <c r="L480" s="837"/>
      <c r="M480" s="837"/>
      <c r="N480" s="837"/>
      <c r="O480" s="822">
        <f>O479</f>
        <v>0</v>
      </c>
    </row>
    <row r="481" spans="3:15" ht="22.5" hidden="1" customHeight="1">
      <c r="C481" s="3840" t="str">
        <f>T('2 REPAIR ESTIMATOR'!D537:O537)</f>
        <v>LANDSCAPING</v>
      </c>
      <c r="D481" s="3840"/>
      <c r="E481" s="3840"/>
      <c r="F481" s="3841"/>
      <c r="G481" s="3845"/>
      <c r="H481" s="3846"/>
      <c r="I481" s="831"/>
      <c r="J481" s="831"/>
      <c r="K481" s="3844"/>
      <c r="L481" s="3844"/>
      <c r="M481" s="3844"/>
      <c r="N481" s="3845"/>
      <c r="O481" s="820">
        <f>SUM(O482:O521)</f>
        <v>0</v>
      </c>
    </row>
    <row r="482" spans="3:15" ht="18" hidden="1">
      <c r="C482" s="3859" t="str">
        <f>T('2 REPAIR ESTIMATOR'!D538:O538)</f>
        <v>Landscaping bid/allowance, trees, bushes, flowers</v>
      </c>
      <c r="D482" s="3859"/>
      <c r="E482" s="3859"/>
      <c r="F482" s="3859"/>
      <c r="G482" s="3831">
        <f>'2 REPAIR ESTIMATOR'!AQ538</f>
        <v>0</v>
      </c>
      <c r="H482" s="3831"/>
      <c r="I482" s="810">
        <f t="shared" ref="I482:I521" si="39">IFERROR(G482/Property_Size,0)</f>
        <v>0</v>
      </c>
      <c r="J482" s="811">
        <f t="shared" ref="J482:J521" si="40">IFERROR(G482/Total_Project_Costs_Result,0)</f>
        <v>0</v>
      </c>
      <c r="K482" s="3832"/>
      <c r="L482" s="3833"/>
      <c r="M482" s="3833"/>
      <c r="N482" s="3834"/>
      <c r="O482" s="820">
        <f>IF(G482&gt;0,1,0)</f>
        <v>0</v>
      </c>
    </row>
    <row r="483" spans="3:15" ht="18" hidden="1">
      <c r="C483" s="3859" t="str">
        <f>T('2 REPAIR ESTIMATOR'!D539:O539)</f>
        <v>Sod</v>
      </c>
      <c r="D483" s="3859"/>
      <c r="E483" s="3859"/>
      <c r="F483" s="3859"/>
      <c r="G483" s="3831">
        <f>'2 REPAIR ESTIMATOR'!AQ539</f>
        <v>0</v>
      </c>
      <c r="H483" s="3831"/>
      <c r="I483" s="810">
        <f t="shared" si="39"/>
        <v>0</v>
      </c>
      <c r="J483" s="811">
        <f t="shared" si="40"/>
        <v>0</v>
      </c>
      <c r="K483" s="3832"/>
      <c r="L483" s="3833"/>
      <c r="M483" s="3833"/>
      <c r="N483" s="3834"/>
      <c r="O483" s="820">
        <f t="shared" ref="O483:O521" si="41">IF(G483&gt;0,1,0)</f>
        <v>0</v>
      </c>
    </row>
    <row r="484" spans="3:15" ht="18" hidden="1">
      <c r="C484" s="3859" t="str">
        <f>T('2 REPAIR ESTIMATOR'!D540:O540)</f>
        <v>Seeding</v>
      </c>
      <c r="D484" s="3859"/>
      <c r="E484" s="3859"/>
      <c r="F484" s="3859"/>
      <c r="G484" s="3831">
        <f>'2 REPAIR ESTIMATOR'!AQ540</f>
        <v>0</v>
      </c>
      <c r="H484" s="3831"/>
      <c r="I484" s="810">
        <f t="shared" si="39"/>
        <v>0</v>
      </c>
      <c r="J484" s="811">
        <f t="shared" si="40"/>
        <v>0</v>
      </c>
      <c r="K484" s="3832"/>
      <c r="L484" s="3833"/>
      <c r="M484" s="3833"/>
      <c r="N484" s="3834"/>
      <c r="O484" s="820">
        <f t="shared" si="41"/>
        <v>0</v>
      </c>
    </row>
    <row r="485" spans="3:15" ht="18" hidden="1">
      <c r="C485" s="3859" t="str">
        <f>T('2 REPAIR ESTIMATOR'!D541:O541)</f>
        <v>Shrubs/plantings, 1 gallon</v>
      </c>
      <c r="D485" s="3859"/>
      <c r="E485" s="3859"/>
      <c r="F485" s="3859"/>
      <c r="G485" s="3831">
        <f>'2 REPAIR ESTIMATOR'!AQ541</f>
        <v>0</v>
      </c>
      <c r="H485" s="3831"/>
      <c r="I485" s="810">
        <f t="shared" si="39"/>
        <v>0</v>
      </c>
      <c r="J485" s="811">
        <f t="shared" si="40"/>
        <v>0</v>
      </c>
      <c r="K485" s="3832"/>
      <c r="L485" s="3833"/>
      <c r="M485" s="3833"/>
      <c r="N485" s="3834"/>
      <c r="O485" s="820">
        <f t="shared" si="41"/>
        <v>0</v>
      </c>
    </row>
    <row r="486" spans="3:15" ht="18" hidden="1">
      <c r="C486" s="3859" t="str">
        <f>T('2 REPAIR ESTIMATOR'!D542:O542)</f>
        <v>Shrubs/plantings, 2 gallon</v>
      </c>
      <c r="D486" s="3859"/>
      <c r="E486" s="3859"/>
      <c r="F486" s="3859"/>
      <c r="G486" s="3831">
        <f>'2 REPAIR ESTIMATOR'!AQ542</f>
        <v>0</v>
      </c>
      <c r="H486" s="3831"/>
      <c r="I486" s="810">
        <f t="shared" si="39"/>
        <v>0</v>
      </c>
      <c r="J486" s="811">
        <f t="shared" si="40"/>
        <v>0</v>
      </c>
      <c r="K486" s="3832"/>
      <c r="L486" s="3833"/>
      <c r="M486" s="3833"/>
      <c r="N486" s="3834"/>
      <c r="O486" s="820">
        <f t="shared" si="41"/>
        <v>0</v>
      </c>
    </row>
    <row r="487" spans="3:15" ht="18" hidden="1">
      <c r="C487" s="3859" t="str">
        <f>T('2 REPAIR ESTIMATOR'!D543:O543)</f>
        <v>Shrubs/plantings, 5 gallon</v>
      </c>
      <c r="D487" s="3859"/>
      <c r="E487" s="3859"/>
      <c r="F487" s="3859"/>
      <c r="G487" s="3831">
        <f>'2 REPAIR ESTIMATOR'!AQ543</f>
        <v>0</v>
      </c>
      <c r="H487" s="3831"/>
      <c r="I487" s="810">
        <f t="shared" si="39"/>
        <v>0</v>
      </c>
      <c r="J487" s="811">
        <f t="shared" si="40"/>
        <v>0</v>
      </c>
      <c r="K487" s="3832"/>
      <c r="L487" s="3833"/>
      <c r="M487" s="3833"/>
      <c r="N487" s="3834"/>
      <c r="O487" s="820">
        <f t="shared" si="41"/>
        <v>0</v>
      </c>
    </row>
    <row r="488" spans="3:15" ht="18" hidden="1">
      <c r="C488" s="3859" t="str">
        <f>T('2 REPAIR ESTIMATOR'!D544:O544)</f>
        <v>Small trees, 1-2" caliper, 10 gallon</v>
      </c>
      <c r="D488" s="3859"/>
      <c r="E488" s="3859"/>
      <c r="F488" s="3859"/>
      <c r="G488" s="3831">
        <f>'2 REPAIR ESTIMATOR'!AQ544</f>
        <v>0</v>
      </c>
      <c r="H488" s="3831"/>
      <c r="I488" s="810">
        <f t="shared" si="39"/>
        <v>0</v>
      </c>
      <c r="J488" s="811">
        <f t="shared" si="40"/>
        <v>0</v>
      </c>
      <c r="K488" s="3832"/>
      <c r="L488" s="3833"/>
      <c r="M488" s="3833"/>
      <c r="N488" s="3834"/>
      <c r="O488" s="820">
        <f t="shared" si="41"/>
        <v>0</v>
      </c>
    </row>
    <row r="489" spans="3:15" ht="18" hidden="1">
      <c r="C489" s="3859" t="str">
        <f>T('2 REPAIR ESTIMATOR'!D545:O545)</f>
        <v>Small trees, 1-2" 15 gallon</v>
      </c>
      <c r="D489" s="3859"/>
      <c r="E489" s="3859"/>
      <c r="F489" s="3859"/>
      <c r="G489" s="3831">
        <f>'2 REPAIR ESTIMATOR'!AQ545</f>
        <v>0</v>
      </c>
      <c r="H489" s="3831"/>
      <c r="I489" s="810">
        <f t="shared" si="39"/>
        <v>0</v>
      </c>
      <c r="J489" s="811">
        <f t="shared" si="40"/>
        <v>0</v>
      </c>
      <c r="K489" s="3832"/>
      <c r="L489" s="3833"/>
      <c r="M489" s="3833"/>
      <c r="N489" s="3834"/>
      <c r="O489" s="820">
        <f t="shared" si="41"/>
        <v>0</v>
      </c>
    </row>
    <row r="490" spans="3:15" ht="18" hidden="1">
      <c r="C490" s="3859" t="str">
        <f>T('2 REPAIR ESTIMATOR'!D546:O546)</f>
        <v>36" box tree</v>
      </c>
      <c r="D490" s="3859"/>
      <c r="E490" s="3859"/>
      <c r="F490" s="3859"/>
      <c r="G490" s="3831">
        <f>'2 REPAIR ESTIMATOR'!AQ546</f>
        <v>0</v>
      </c>
      <c r="H490" s="3831"/>
      <c r="I490" s="810">
        <f t="shared" si="39"/>
        <v>0</v>
      </c>
      <c r="J490" s="811">
        <f t="shared" si="40"/>
        <v>0</v>
      </c>
      <c r="K490" s="3832"/>
      <c r="L490" s="3833"/>
      <c r="M490" s="3833"/>
      <c r="N490" s="3834"/>
      <c r="O490" s="820">
        <f t="shared" si="41"/>
        <v>0</v>
      </c>
    </row>
    <row r="491" spans="3:15" ht="18" hidden="1">
      <c r="C491" s="3859" t="str">
        <f>T('2 REPAIR ESTIMATOR'!D547:O547)</f>
        <v>Mulch, standard 3" thick</v>
      </c>
      <c r="D491" s="3859"/>
      <c r="E491" s="3859"/>
      <c r="F491" s="3859"/>
      <c r="G491" s="3831">
        <f>'2 REPAIR ESTIMATOR'!AQ547</f>
        <v>0</v>
      </c>
      <c r="H491" s="3831"/>
      <c r="I491" s="810">
        <f t="shared" si="39"/>
        <v>0</v>
      </c>
      <c r="J491" s="811">
        <f t="shared" si="40"/>
        <v>0</v>
      </c>
      <c r="K491" s="3832"/>
      <c r="L491" s="3833"/>
      <c r="M491" s="3833"/>
      <c r="N491" s="3834"/>
      <c r="O491" s="820">
        <f t="shared" si="41"/>
        <v>0</v>
      </c>
    </row>
    <row r="492" spans="3:15" ht="18" hidden="1">
      <c r="C492" s="3859" t="str">
        <f>T('2 REPAIR ESTIMATOR'!D548:O548)</f>
        <v>Landscape rock, 3/4"</v>
      </c>
      <c r="D492" s="3859"/>
      <c r="E492" s="3859"/>
      <c r="F492" s="3859"/>
      <c r="G492" s="3831">
        <f>'2 REPAIR ESTIMATOR'!AQ548</f>
        <v>0</v>
      </c>
      <c r="H492" s="3831"/>
      <c r="I492" s="810">
        <f t="shared" si="39"/>
        <v>0</v>
      </c>
      <c r="J492" s="811">
        <f t="shared" si="40"/>
        <v>0</v>
      </c>
      <c r="K492" s="3832"/>
      <c r="L492" s="3833"/>
      <c r="M492" s="3833"/>
      <c r="N492" s="3834"/>
      <c r="O492" s="820">
        <f t="shared" si="41"/>
        <v>0</v>
      </c>
    </row>
    <row r="493" spans="3:15" ht="18" hidden="1">
      <c r="C493" s="3859" t="str">
        <f>T('2 REPAIR ESTIMATOR'!D549:O549)</f>
        <v>Cobble stone rock</v>
      </c>
      <c r="D493" s="3859"/>
      <c r="E493" s="3859"/>
      <c r="F493" s="3859"/>
      <c r="G493" s="3831">
        <f>'2 REPAIR ESTIMATOR'!AQ549</f>
        <v>0</v>
      </c>
      <c r="H493" s="3831"/>
      <c r="I493" s="810">
        <f t="shared" si="39"/>
        <v>0</v>
      </c>
      <c r="J493" s="811">
        <f t="shared" si="40"/>
        <v>0</v>
      </c>
      <c r="K493" s="3832"/>
      <c r="L493" s="3833"/>
      <c r="M493" s="3833"/>
      <c r="N493" s="3834"/>
      <c r="O493" s="820">
        <f t="shared" si="41"/>
        <v>0</v>
      </c>
    </row>
    <row r="494" spans="3:15" ht="18" hidden="1">
      <c r="C494" s="3859" t="str">
        <f>T('2 REPAIR ESTIMATOR'!D550:O550)</f>
        <v>Tree removal, per tree</v>
      </c>
      <c r="D494" s="3859"/>
      <c r="E494" s="3859"/>
      <c r="F494" s="3859"/>
      <c r="G494" s="3831">
        <f>'2 REPAIR ESTIMATOR'!AQ550</f>
        <v>0</v>
      </c>
      <c r="H494" s="3831"/>
      <c r="I494" s="810">
        <f t="shared" si="39"/>
        <v>0</v>
      </c>
      <c r="J494" s="811">
        <f t="shared" si="40"/>
        <v>0</v>
      </c>
      <c r="K494" s="3832"/>
      <c r="L494" s="3833"/>
      <c r="M494" s="3833"/>
      <c r="N494" s="3834"/>
      <c r="O494" s="820">
        <f t="shared" si="41"/>
        <v>0</v>
      </c>
    </row>
    <row r="495" spans="3:15" ht="18" hidden="1">
      <c r="C495" s="3859" t="str">
        <f>T('2 REPAIR ESTIMATOR'!D551:O551)</f>
        <v>Stacked, retaining wall</v>
      </c>
      <c r="D495" s="3859"/>
      <c r="E495" s="3859"/>
      <c r="F495" s="3859"/>
      <c r="G495" s="3831">
        <f>'2 REPAIR ESTIMATOR'!AQ551</f>
        <v>0</v>
      </c>
      <c r="H495" s="3831"/>
      <c r="I495" s="810">
        <f t="shared" si="39"/>
        <v>0</v>
      </c>
      <c r="J495" s="811">
        <f t="shared" si="40"/>
        <v>0</v>
      </c>
      <c r="K495" s="3832"/>
      <c r="L495" s="3833"/>
      <c r="M495" s="3833"/>
      <c r="N495" s="3834"/>
      <c r="O495" s="820">
        <f t="shared" si="41"/>
        <v>0</v>
      </c>
    </row>
    <row r="496" spans="3:15" ht="18" hidden="1">
      <c r="C496" s="3859" t="str">
        <f>T('2 REPAIR ESTIMATOR'!D552:O552)</f>
        <v/>
      </c>
      <c r="D496" s="3859"/>
      <c r="E496" s="3859"/>
      <c r="F496" s="3859"/>
      <c r="G496" s="3831">
        <f>'2 REPAIR ESTIMATOR'!AQ552</f>
        <v>0</v>
      </c>
      <c r="H496" s="3831"/>
      <c r="I496" s="810">
        <f t="shared" si="39"/>
        <v>0</v>
      </c>
      <c r="J496" s="811">
        <f t="shared" si="40"/>
        <v>0</v>
      </c>
      <c r="K496" s="3832"/>
      <c r="L496" s="3833"/>
      <c r="M496" s="3833"/>
      <c r="N496" s="3834"/>
      <c r="O496" s="820">
        <f t="shared" si="41"/>
        <v>0</v>
      </c>
    </row>
    <row r="497" spans="3:15" ht="18" hidden="1">
      <c r="C497" s="3859" t="str">
        <f>T('2 REPAIR ESTIMATOR'!D553:O553)</f>
        <v/>
      </c>
      <c r="D497" s="3859"/>
      <c r="E497" s="3859"/>
      <c r="F497" s="3859"/>
      <c r="G497" s="3831">
        <f>'2 REPAIR ESTIMATOR'!AQ553</f>
        <v>0</v>
      </c>
      <c r="H497" s="3831"/>
      <c r="I497" s="810">
        <f t="shared" si="39"/>
        <v>0</v>
      </c>
      <c r="J497" s="811">
        <f t="shared" si="40"/>
        <v>0</v>
      </c>
      <c r="K497" s="3832"/>
      <c r="L497" s="3833"/>
      <c r="M497" s="3833"/>
      <c r="N497" s="3834"/>
      <c r="O497" s="820">
        <f t="shared" si="41"/>
        <v>0</v>
      </c>
    </row>
    <row r="498" spans="3:15" ht="18" hidden="1">
      <c r="C498" s="3859" t="str">
        <f>T('2 REPAIR ESTIMATOR'!D554:O554)</f>
        <v/>
      </c>
      <c r="D498" s="3859"/>
      <c r="E498" s="3859"/>
      <c r="F498" s="3859"/>
      <c r="G498" s="3831">
        <f>'2 REPAIR ESTIMATOR'!AQ554</f>
        <v>0</v>
      </c>
      <c r="H498" s="3831"/>
      <c r="I498" s="810">
        <f t="shared" si="39"/>
        <v>0</v>
      </c>
      <c r="J498" s="811">
        <f t="shared" si="40"/>
        <v>0</v>
      </c>
      <c r="K498" s="3832"/>
      <c r="L498" s="3833"/>
      <c r="M498" s="3833"/>
      <c r="N498" s="3834"/>
      <c r="O498" s="820">
        <f t="shared" si="41"/>
        <v>0</v>
      </c>
    </row>
    <row r="499" spans="3:15" ht="18" hidden="1">
      <c r="C499" s="3859" t="str">
        <f>T('2 REPAIR ESTIMATOR'!D555:O555)</f>
        <v/>
      </c>
      <c r="D499" s="3859"/>
      <c r="E499" s="3859"/>
      <c r="F499" s="3859"/>
      <c r="G499" s="3831">
        <f>'2 REPAIR ESTIMATOR'!AQ555</f>
        <v>0</v>
      </c>
      <c r="H499" s="3831"/>
      <c r="I499" s="810">
        <f t="shared" si="39"/>
        <v>0</v>
      </c>
      <c r="J499" s="811">
        <f t="shared" si="40"/>
        <v>0</v>
      </c>
      <c r="K499" s="3832"/>
      <c r="L499" s="3833"/>
      <c r="M499" s="3833"/>
      <c r="N499" s="3834"/>
      <c r="O499" s="820">
        <f t="shared" si="41"/>
        <v>0</v>
      </c>
    </row>
    <row r="500" spans="3:15" ht="18" hidden="1">
      <c r="C500" s="3859" t="str">
        <f>T('2 REPAIR ESTIMATOR'!D556:O556)</f>
        <v/>
      </c>
      <c r="D500" s="3859"/>
      <c r="E500" s="3859"/>
      <c r="F500" s="3859"/>
      <c r="G500" s="3831">
        <f>'2 REPAIR ESTIMATOR'!AQ556</f>
        <v>0</v>
      </c>
      <c r="H500" s="3831"/>
      <c r="I500" s="810">
        <f t="shared" si="39"/>
        <v>0</v>
      </c>
      <c r="J500" s="811">
        <f t="shared" si="40"/>
        <v>0</v>
      </c>
      <c r="K500" s="3832"/>
      <c r="L500" s="3833"/>
      <c r="M500" s="3833"/>
      <c r="N500" s="3834"/>
      <c r="O500" s="820">
        <f t="shared" si="41"/>
        <v>0</v>
      </c>
    </row>
    <row r="501" spans="3:15" ht="18" hidden="1">
      <c r="C501" s="3859" t="str">
        <f>T('2 REPAIR ESTIMATOR'!D557:O557)</f>
        <v/>
      </c>
      <c r="D501" s="3859"/>
      <c r="E501" s="3859"/>
      <c r="F501" s="3859"/>
      <c r="G501" s="3831">
        <f>'2 REPAIR ESTIMATOR'!AQ557</f>
        <v>0</v>
      </c>
      <c r="H501" s="3831"/>
      <c r="I501" s="810">
        <f t="shared" si="39"/>
        <v>0</v>
      </c>
      <c r="J501" s="811">
        <f t="shared" si="40"/>
        <v>0</v>
      </c>
      <c r="K501" s="3832"/>
      <c r="L501" s="3833"/>
      <c r="M501" s="3833"/>
      <c r="N501" s="3834"/>
      <c r="O501" s="820">
        <f t="shared" si="41"/>
        <v>0</v>
      </c>
    </row>
    <row r="502" spans="3:15" ht="18" hidden="1">
      <c r="C502" s="3859" t="str">
        <f>T('2 REPAIR ESTIMATOR'!D558:O558)</f>
        <v/>
      </c>
      <c r="D502" s="3859"/>
      <c r="E502" s="3859"/>
      <c r="F502" s="3859"/>
      <c r="G502" s="3831">
        <f>'2 REPAIR ESTIMATOR'!AQ558</f>
        <v>0</v>
      </c>
      <c r="H502" s="3831"/>
      <c r="I502" s="810">
        <f t="shared" si="39"/>
        <v>0</v>
      </c>
      <c r="J502" s="811">
        <f t="shared" si="40"/>
        <v>0</v>
      </c>
      <c r="K502" s="3832"/>
      <c r="L502" s="3833"/>
      <c r="M502" s="3833"/>
      <c r="N502" s="3834"/>
      <c r="O502" s="820">
        <f t="shared" si="41"/>
        <v>0</v>
      </c>
    </row>
    <row r="503" spans="3:15" ht="18" hidden="1">
      <c r="C503" s="3859" t="str">
        <f>T('2 REPAIR ESTIMATOR'!D559:O559)</f>
        <v/>
      </c>
      <c r="D503" s="3859"/>
      <c r="E503" s="3859"/>
      <c r="F503" s="3859"/>
      <c r="G503" s="3831">
        <f>'2 REPAIR ESTIMATOR'!AQ559</f>
        <v>0</v>
      </c>
      <c r="H503" s="3831"/>
      <c r="I503" s="810">
        <f t="shared" si="39"/>
        <v>0</v>
      </c>
      <c r="J503" s="811">
        <f t="shared" si="40"/>
        <v>0</v>
      </c>
      <c r="K503" s="3832"/>
      <c r="L503" s="3833"/>
      <c r="M503" s="3833"/>
      <c r="N503" s="3834"/>
      <c r="O503" s="820">
        <f t="shared" si="41"/>
        <v>0</v>
      </c>
    </row>
    <row r="504" spans="3:15" ht="18" hidden="1">
      <c r="C504" s="3859" t="str">
        <f>T('2 REPAIR ESTIMATOR'!D560:O560)</f>
        <v/>
      </c>
      <c r="D504" s="3859"/>
      <c r="E504" s="3859"/>
      <c r="F504" s="3859"/>
      <c r="G504" s="3831">
        <f>'2 REPAIR ESTIMATOR'!AQ560</f>
        <v>0</v>
      </c>
      <c r="H504" s="3831"/>
      <c r="I504" s="810">
        <f t="shared" si="39"/>
        <v>0</v>
      </c>
      <c r="J504" s="811">
        <f t="shared" si="40"/>
        <v>0</v>
      </c>
      <c r="K504" s="3832"/>
      <c r="L504" s="3833"/>
      <c r="M504" s="3833"/>
      <c r="N504" s="3834"/>
      <c r="O504" s="820">
        <f t="shared" si="41"/>
        <v>0</v>
      </c>
    </row>
    <row r="505" spans="3:15" ht="18" hidden="1">
      <c r="C505" s="3859" t="str">
        <f>T('2 REPAIR ESTIMATOR'!D561:O561)</f>
        <v/>
      </c>
      <c r="D505" s="3859"/>
      <c r="E505" s="3859"/>
      <c r="F505" s="3859"/>
      <c r="G505" s="3831">
        <f>'2 REPAIR ESTIMATOR'!AQ561</f>
        <v>0</v>
      </c>
      <c r="H505" s="3831"/>
      <c r="I505" s="810">
        <f t="shared" si="39"/>
        <v>0</v>
      </c>
      <c r="J505" s="811">
        <f t="shared" si="40"/>
        <v>0</v>
      </c>
      <c r="K505" s="3832"/>
      <c r="L505" s="3833"/>
      <c r="M505" s="3833"/>
      <c r="N505" s="3834"/>
      <c r="O505" s="820">
        <f t="shared" si="41"/>
        <v>0</v>
      </c>
    </row>
    <row r="506" spans="3:15" ht="18" hidden="1">
      <c r="C506" s="3859" t="str">
        <f>T('2 REPAIR ESTIMATOR'!D562:O562)</f>
        <v/>
      </c>
      <c r="D506" s="3859"/>
      <c r="E506" s="3859"/>
      <c r="F506" s="3859"/>
      <c r="G506" s="3831">
        <f>'2 REPAIR ESTIMATOR'!AQ562</f>
        <v>0</v>
      </c>
      <c r="H506" s="3831"/>
      <c r="I506" s="810">
        <f t="shared" si="39"/>
        <v>0</v>
      </c>
      <c r="J506" s="811">
        <f t="shared" si="40"/>
        <v>0</v>
      </c>
      <c r="K506" s="3832"/>
      <c r="L506" s="3833"/>
      <c r="M506" s="3833"/>
      <c r="N506" s="3834"/>
      <c r="O506" s="820">
        <f t="shared" si="41"/>
        <v>0</v>
      </c>
    </row>
    <row r="507" spans="3:15" ht="18" hidden="1">
      <c r="C507" s="3859" t="str">
        <f>T('2 REPAIR ESTIMATOR'!D563:O563)</f>
        <v/>
      </c>
      <c r="D507" s="3859"/>
      <c r="E507" s="3859"/>
      <c r="F507" s="3859"/>
      <c r="G507" s="3831">
        <f>'2 REPAIR ESTIMATOR'!AQ563</f>
        <v>0</v>
      </c>
      <c r="H507" s="3831"/>
      <c r="I507" s="810">
        <f t="shared" si="39"/>
        <v>0</v>
      </c>
      <c r="J507" s="811">
        <f t="shared" si="40"/>
        <v>0</v>
      </c>
      <c r="K507" s="3832"/>
      <c r="L507" s="3833"/>
      <c r="M507" s="3833"/>
      <c r="N507" s="3834"/>
      <c r="O507" s="820">
        <f t="shared" si="41"/>
        <v>0</v>
      </c>
    </row>
    <row r="508" spans="3:15" ht="18" hidden="1">
      <c r="C508" s="3859" t="str">
        <f>T('2 REPAIR ESTIMATOR'!D564:O564)</f>
        <v/>
      </c>
      <c r="D508" s="3859"/>
      <c r="E508" s="3859"/>
      <c r="F508" s="3859"/>
      <c r="G508" s="3831">
        <f>'2 REPAIR ESTIMATOR'!AQ564</f>
        <v>0</v>
      </c>
      <c r="H508" s="3831"/>
      <c r="I508" s="810">
        <f t="shared" si="39"/>
        <v>0</v>
      </c>
      <c r="J508" s="811">
        <f t="shared" si="40"/>
        <v>0</v>
      </c>
      <c r="K508" s="3832"/>
      <c r="L508" s="3833"/>
      <c r="M508" s="3833"/>
      <c r="N508" s="3834"/>
      <c r="O508" s="820">
        <f t="shared" si="41"/>
        <v>0</v>
      </c>
    </row>
    <row r="509" spans="3:15" ht="18" hidden="1">
      <c r="C509" s="3859" t="str">
        <f>T('2 REPAIR ESTIMATOR'!D565:O565)</f>
        <v/>
      </c>
      <c r="D509" s="3859"/>
      <c r="E509" s="3859"/>
      <c r="F509" s="3859"/>
      <c r="G509" s="3831">
        <f>'2 REPAIR ESTIMATOR'!AQ565</f>
        <v>0</v>
      </c>
      <c r="H509" s="3831"/>
      <c r="I509" s="810">
        <f t="shared" si="39"/>
        <v>0</v>
      </c>
      <c r="J509" s="811">
        <f t="shared" si="40"/>
        <v>0</v>
      </c>
      <c r="K509" s="3832"/>
      <c r="L509" s="3833"/>
      <c r="M509" s="3833"/>
      <c r="N509" s="3834"/>
      <c r="O509" s="820">
        <f t="shared" si="41"/>
        <v>0</v>
      </c>
    </row>
    <row r="510" spans="3:15" ht="18" hidden="1">
      <c r="C510" s="3859" t="str">
        <f>T('2 REPAIR ESTIMATOR'!D566:O566)</f>
        <v/>
      </c>
      <c r="D510" s="3859"/>
      <c r="E510" s="3859"/>
      <c r="F510" s="3859"/>
      <c r="G510" s="3831">
        <f>'2 REPAIR ESTIMATOR'!AQ566</f>
        <v>0</v>
      </c>
      <c r="H510" s="3831"/>
      <c r="I510" s="810">
        <f t="shared" si="39"/>
        <v>0</v>
      </c>
      <c r="J510" s="811">
        <f t="shared" si="40"/>
        <v>0</v>
      </c>
      <c r="K510" s="3832"/>
      <c r="L510" s="3833"/>
      <c r="M510" s="3833"/>
      <c r="N510" s="3834"/>
      <c r="O510" s="820">
        <f t="shared" si="41"/>
        <v>0</v>
      </c>
    </row>
    <row r="511" spans="3:15" ht="18" hidden="1">
      <c r="C511" s="3859" t="str">
        <f>T('2 REPAIR ESTIMATOR'!D567:O567)</f>
        <v/>
      </c>
      <c r="D511" s="3859"/>
      <c r="E511" s="3859"/>
      <c r="F511" s="3859"/>
      <c r="G511" s="3831">
        <f>'2 REPAIR ESTIMATOR'!AQ567</f>
        <v>0</v>
      </c>
      <c r="H511" s="3831"/>
      <c r="I511" s="810">
        <f t="shared" si="39"/>
        <v>0</v>
      </c>
      <c r="J511" s="811">
        <f t="shared" si="40"/>
        <v>0</v>
      </c>
      <c r="K511" s="3832"/>
      <c r="L511" s="3833"/>
      <c r="M511" s="3833"/>
      <c r="N511" s="3834"/>
      <c r="O511" s="820">
        <f t="shared" si="41"/>
        <v>0</v>
      </c>
    </row>
    <row r="512" spans="3:15" ht="18" hidden="1">
      <c r="C512" s="3859" t="str">
        <f>T('2 REPAIR ESTIMATOR'!D568:O568)</f>
        <v/>
      </c>
      <c r="D512" s="3859"/>
      <c r="E512" s="3859"/>
      <c r="F512" s="3859"/>
      <c r="G512" s="3831">
        <f>'2 REPAIR ESTIMATOR'!AQ568</f>
        <v>0</v>
      </c>
      <c r="H512" s="3831"/>
      <c r="I512" s="810">
        <f t="shared" si="39"/>
        <v>0</v>
      </c>
      <c r="J512" s="811">
        <f t="shared" si="40"/>
        <v>0</v>
      </c>
      <c r="K512" s="3832"/>
      <c r="L512" s="3833"/>
      <c r="M512" s="3833"/>
      <c r="N512" s="3834"/>
      <c r="O512" s="820">
        <f t="shared" si="41"/>
        <v>0</v>
      </c>
    </row>
    <row r="513" spans="3:15" ht="18" hidden="1">
      <c r="C513" s="3859" t="str">
        <f>T('2 REPAIR ESTIMATOR'!D569:O569)</f>
        <v/>
      </c>
      <c r="D513" s="3859"/>
      <c r="E513" s="3859"/>
      <c r="F513" s="3859"/>
      <c r="G513" s="3831">
        <f>'2 REPAIR ESTIMATOR'!AQ569</f>
        <v>0</v>
      </c>
      <c r="H513" s="3831"/>
      <c r="I513" s="810">
        <f t="shared" si="39"/>
        <v>0</v>
      </c>
      <c r="J513" s="811">
        <f t="shared" si="40"/>
        <v>0</v>
      </c>
      <c r="K513" s="3832"/>
      <c r="L513" s="3833"/>
      <c r="M513" s="3833"/>
      <c r="N513" s="3834"/>
      <c r="O513" s="820">
        <f t="shared" si="41"/>
        <v>0</v>
      </c>
    </row>
    <row r="514" spans="3:15" ht="18" hidden="1">
      <c r="C514" s="3859" t="str">
        <f>T('2 REPAIR ESTIMATOR'!D570:O570)</f>
        <v/>
      </c>
      <c r="D514" s="3859"/>
      <c r="E514" s="3859"/>
      <c r="F514" s="3859"/>
      <c r="G514" s="3831">
        <f>'2 REPAIR ESTIMATOR'!AQ570</f>
        <v>0</v>
      </c>
      <c r="H514" s="3831"/>
      <c r="I514" s="810">
        <f t="shared" si="39"/>
        <v>0</v>
      </c>
      <c r="J514" s="811">
        <f t="shared" si="40"/>
        <v>0</v>
      </c>
      <c r="K514" s="3832"/>
      <c r="L514" s="3833"/>
      <c r="M514" s="3833"/>
      <c r="N514" s="3834"/>
      <c r="O514" s="820">
        <f t="shared" si="41"/>
        <v>0</v>
      </c>
    </row>
    <row r="515" spans="3:15" ht="18" hidden="1">
      <c r="C515" s="3859" t="str">
        <f>T('2 REPAIR ESTIMATOR'!D571:O571)</f>
        <v/>
      </c>
      <c r="D515" s="3859"/>
      <c r="E515" s="3859"/>
      <c r="F515" s="3859"/>
      <c r="G515" s="3831">
        <f>'2 REPAIR ESTIMATOR'!AQ571</f>
        <v>0</v>
      </c>
      <c r="H515" s="3831"/>
      <c r="I515" s="810">
        <f t="shared" si="39"/>
        <v>0</v>
      </c>
      <c r="J515" s="811">
        <f t="shared" si="40"/>
        <v>0</v>
      </c>
      <c r="K515" s="3832"/>
      <c r="L515" s="3833"/>
      <c r="M515" s="3833"/>
      <c r="N515" s="3834"/>
      <c r="O515" s="820">
        <f t="shared" si="41"/>
        <v>0</v>
      </c>
    </row>
    <row r="516" spans="3:15" ht="18" hidden="1">
      <c r="C516" s="3859" t="str">
        <f>T('2 REPAIR ESTIMATOR'!D572:O572)</f>
        <v/>
      </c>
      <c r="D516" s="3859"/>
      <c r="E516" s="3859"/>
      <c r="F516" s="3859"/>
      <c r="G516" s="3831">
        <f>'2 REPAIR ESTIMATOR'!AQ572</f>
        <v>0</v>
      </c>
      <c r="H516" s="3831"/>
      <c r="I516" s="810">
        <f t="shared" si="39"/>
        <v>0</v>
      </c>
      <c r="J516" s="811">
        <f t="shared" si="40"/>
        <v>0</v>
      </c>
      <c r="K516" s="3832"/>
      <c r="L516" s="3833"/>
      <c r="M516" s="3833"/>
      <c r="N516" s="3834"/>
      <c r="O516" s="820">
        <f t="shared" si="41"/>
        <v>0</v>
      </c>
    </row>
    <row r="517" spans="3:15" ht="18" hidden="1">
      <c r="C517" s="3859" t="str">
        <f>T('2 REPAIR ESTIMATOR'!D573:O573)</f>
        <v/>
      </c>
      <c r="D517" s="3859"/>
      <c r="E517" s="3859"/>
      <c r="F517" s="3859"/>
      <c r="G517" s="3831">
        <f>'2 REPAIR ESTIMATOR'!AQ573</f>
        <v>0</v>
      </c>
      <c r="H517" s="3831"/>
      <c r="I517" s="810">
        <f t="shared" si="39"/>
        <v>0</v>
      </c>
      <c r="J517" s="811">
        <f t="shared" si="40"/>
        <v>0</v>
      </c>
      <c r="K517" s="3832"/>
      <c r="L517" s="3833"/>
      <c r="M517" s="3833"/>
      <c r="N517" s="3834"/>
      <c r="O517" s="820">
        <f t="shared" si="41"/>
        <v>0</v>
      </c>
    </row>
    <row r="518" spans="3:15" ht="18" hidden="1">
      <c r="C518" s="3859" t="str">
        <f>T('2 REPAIR ESTIMATOR'!D574:O574)</f>
        <v/>
      </c>
      <c r="D518" s="3859"/>
      <c r="E518" s="3859"/>
      <c r="F518" s="3859"/>
      <c r="G518" s="3831">
        <f>'2 REPAIR ESTIMATOR'!AQ574</f>
        <v>0</v>
      </c>
      <c r="H518" s="3831"/>
      <c r="I518" s="810">
        <f t="shared" si="39"/>
        <v>0</v>
      </c>
      <c r="J518" s="811">
        <f t="shared" si="40"/>
        <v>0</v>
      </c>
      <c r="K518" s="3832"/>
      <c r="L518" s="3833"/>
      <c r="M518" s="3833"/>
      <c r="N518" s="3834"/>
      <c r="O518" s="820">
        <f t="shared" si="41"/>
        <v>0</v>
      </c>
    </row>
    <row r="519" spans="3:15" ht="18" hidden="1">
      <c r="C519" s="3859" t="str">
        <f>T('2 REPAIR ESTIMATOR'!D575:O575)</f>
        <v/>
      </c>
      <c r="D519" s="3859"/>
      <c r="E519" s="3859"/>
      <c r="F519" s="3859"/>
      <c r="G519" s="3831">
        <f>'2 REPAIR ESTIMATOR'!AQ575</f>
        <v>0</v>
      </c>
      <c r="H519" s="3831"/>
      <c r="I519" s="810">
        <f t="shared" si="39"/>
        <v>0</v>
      </c>
      <c r="J519" s="811">
        <f t="shared" si="40"/>
        <v>0</v>
      </c>
      <c r="K519" s="3832"/>
      <c r="L519" s="3833"/>
      <c r="M519" s="3833"/>
      <c r="N519" s="3834"/>
      <c r="O519" s="820">
        <f t="shared" si="41"/>
        <v>0</v>
      </c>
    </row>
    <row r="520" spans="3:15" ht="18" hidden="1">
      <c r="C520" s="3830" t="str">
        <f>T('2 REPAIR ESTIMATOR'!D576:O576)</f>
        <v/>
      </c>
      <c r="D520" s="3830"/>
      <c r="E520" s="3830"/>
      <c r="F520" s="3830"/>
      <c r="G520" s="3831">
        <f>'2 REPAIR ESTIMATOR'!AQ576</f>
        <v>0</v>
      </c>
      <c r="H520" s="3831"/>
      <c r="I520" s="810">
        <f t="shared" si="39"/>
        <v>0</v>
      </c>
      <c r="J520" s="811">
        <f t="shared" si="40"/>
        <v>0</v>
      </c>
      <c r="K520" s="3832"/>
      <c r="L520" s="3833"/>
      <c r="M520" s="3833"/>
      <c r="N520" s="3834"/>
      <c r="O520" s="820">
        <f t="shared" si="41"/>
        <v>0</v>
      </c>
    </row>
    <row r="521" spans="3:15" ht="18.350000000000001" hidden="1" thickBot="1">
      <c r="C521" s="3835" t="str">
        <f>T('2 REPAIR ESTIMATOR'!D577:O577)</f>
        <v/>
      </c>
      <c r="D521" s="3835"/>
      <c r="E521" s="3835"/>
      <c r="F521" s="3835"/>
      <c r="G521" s="3836">
        <f>'2 REPAIR ESTIMATOR'!AQ577</f>
        <v>0</v>
      </c>
      <c r="H521" s="3836"/>
      <c r="I521" s="813">
        <f t="shared" si="39"/>
        <v>0</v>
      </c>
      <c r="J521" s="814">
        <f t="shared" si="40"/>
        <v>0</v>
      </c>
      <c r="K521" s="3837"/>
      <c r="L521" s="3838"/>
      <c r="M521" s="3838"/>
      <c r="N521" s="3839"/>
      <c r="O521" s="823">
        <f t="shared" si="41"/>
        <v>0</v>
      </c>
    </row>
    <row r="522" spans="3:15" ht="18.350000000000001" hidden="1" thickTop="1">
      <c r="C522" s="3825" t="str">
        <f>T('2 REPAIR ESTIMATOR'!AC579)</f>
        <v>LANDSCAPING TOTAL</v>
      </c>
      <c r="D522" s="3825"/>
      <c r="E522" s="3825"/>
      <c r="F522" s="3825"/>
      <c r="G522" s="3826">
        <f>SUM(G482:H521)</f>
        <v>0</v>
      </c>
      <c r="H522" s="3826"/>
      <c r="I522" s="818">
        <f>SUM(I482:I521)</f>
        <v>0</v>
      </c>
      <c r="J522" s="819">
        <f>SUM(J482:J521)</f>
        <v>0</v>
      </c>
      <c r="K522" s="3827"/>
      <c r="L522" s="3828"/>
      <c r="M522" s="3828"/>
      <c r="N522" s="3829"/>
      <c r="O522" s="821">
        <f>SUM(O482:O521)</f>
        <v>0</v>
      </c>
    </row>
    <row r="523" spans="3:15" ht="8.85" hidden="1" customHeight="1">
      <c r="C523" s="836"/>
      <c r="D523" s="836"/>
      <c r="E523" s="836"/>
      <c r="F523" s="836"/>
      <c r="G523" s="837"/>
      <c r="H523" s="837"/>
      <c r="I523" s="837"/>
      <c r="J523" s="837"/>
      <c r="K523" s="837"/>
      <c r="L523" s="837"/>
      <c r="M523" s="837"/>
      <c r="N523" s="837"/>
      <c r="O523" s="822">
        <f>O522</f>
        <v>0</v>
      </c>
    </row>
    <row r="524" spans="3:15" ht="22.5" hidden="1" customHeight="1">
      <c r="C524" s="3840" t="str">
        <f>T('2 REPAIR ESTIMATOR'!D582:O582)</f>
        <v>MISC. EXTERIOR ITEMS</v>
      </c>
      <c r="D524" s="3840"/>
      <c r="E524" s="3840"/>
      <c r="F524" s="3841"/>
      <c r="G524" s="3845"/>
      <c r="H524" s="3846"/>
      <c r="I524" s="831"/>
      <c r="J524" s="831"/>
      <c r="K524" s="3844"/>
      <c r="L524" s="3844"/>
      <c r="M524" s="3844"/>
      <c r="N524" s="3845"/>
      <c r="O524" s="820">
        <f>SUM(O525:O564)</f>
        <v>0</v>
      </c>
    </row>
    <row r="525" spans="3:15" ht="18" hidden="1">
      <c r="C525" s="3859" t="str">
        <f>T('2 REPAIR ESTIMATOR'!D583:O583)</f>
        <v>Misc. Ext Improvements bid/allowance</v>
      </c>
      <c r="D525" s="3859"/>
      <c r="E525" s="3859"/>
      <c r="F525" s="3859"/>
      <c r="G525" s="3831">
        <f>'2 REPAIR ESTIMATOR'!AQ583</f>
        <v>0</v>
      </c>
      <c r="H525" s="3831"/>
      <c r="I525" s="810">
        <f t="shared" ref="I525:I564" si="42">IFERROR(G525/Property_Size,0)</f>
        <v>0</v>
      </c>
      <c r="J525" s="811">
        <f t="shared" ref="J525:J564" si="43">IFERROR(G525/Total_Project_Costs_Result,0)</f>
        <v>0</v>
      </c>
      <c r="K525" s="3832"/>
      <c r="L525" s="3833"/>
      <c r="M525" s="3833"/>
      <c r="N525" s="3834"/>
      <c r="O525" s="820">
        <f>IF(G525&gt;0,1,0)</f>
        <v>0</v>
      </c>
    </row>
    <row r="526" spans="3:15" ht="18" hidden="1">
      <c r="C526" s="3858" t="str">
        <f>T('2 REPAIR ESTIMATOR'!D584:O584)</f>
        <v>Miscellaneous Improvements</v>
      </c>
      <c r="D526" s="3858"/>
      <c r="E526" s="3858"/>
      <c r="F526" s="3858"/>
      <c r="G526" s="3831">
        <f>'2 REPAIR ESTIMATOR'!AQ584</f>
        <v>0</v>
      </c>
      <c r="H526" s="3831"/>
      <c r="I526" s="810">
        <f t="shared" si="42"/>
        <v>0</v>
      </c>
      <c r="J526" s="811">
        <f t="shared" si="43"/>
        <v>0</v>
      </c>
      <c r="K526" s="3832"/>
      <c r="L526" s="3833"/>
      <c r="M526" s="3833"/>
      <c r="N526" s="3834"/>
      <c r="O526" s="820">
        <f t="shared" ref="O526:O564" si="44">IF(G526&gt;0,1,0)</f>
        <v>0</v>
      </c>
    </row>
    <row r="527" spans="3:15" ht="18" hidden="1">
      <c r="C527" s="3859" t="str">
        <f>T('2 REPAIR ESTIMATOR'!D585:O585)</f>
        <v>New mailbox</v>
      </c>
      <c r="D527" s="3859"/>
      <c r="E527" s="3859"/>
      <c r="F527" s="3859"/>
      <c r="G527" s="3831">
        <f>'2 REPAIR ESTIMATOR'!AQ585</f>
        <v>0</v>
      </c>
      <c r="H527" s="3831"/>
      <c r="I527" s="810">
        <f t="shared" si="42"/>
        <v>0</v>
      </c>
      <c r="J527" s="811">
        <f t="shared" si="43"/>
        <v>0</v>
      </c>
      <c r="K527" s="3832"/>
      <c r="L527" s="3833"/>
      <c r="M527" s="3833"/>
      <c r="N527" s="3834"/>
      <c r="O527" s="820">
        <f t="shared" si="44"/>
        <v>0</v>
      </c>
    </row>
    <row r="528" spans="3:15" ht="18" hidden="1">
      <c r="C528" s="3859" t="str">
        <f>T('2 REPAIR ESTIMATOR'!D586:O586)</f>
        <v>New address #</v>
      </c>
      <c r="D528" s="3859"/>
      <c r="E528" s="3859"/>
      <c r="F528" s="3859"/>
      <c r="G528" s="3831">
        <f>'2 REPAIR ESTIMATOR'!AQ586</f>
        <v>0</v>
      </c>
      <c r="H528" s="3831"/>
      <c r="I528" s="810">
        <f t="shared" si="42"/>
        <v>0</v>
      </c>
      <c r="J528" s="811">
        <f t="shared" si="43"/>
        <v>0</v>
      </c>
      <c r="K528" s="3832"/>
      <c r="L528" s="3833"/>
      <c r="M528" s="3833"/>
      <c r="N528" s="3834"/>
      <c r="O528" s="820">
        <f t="shared" si="44"/>
        <v>0</v>
      </c>
    </row>
    <row r="529" spans="3:15" ht="18" hidden="1">
      <c r="C529" s="3859" t="str">
        <f>T('2 REPAIR ESTIMATOR'!D587:O587)</f>
        <v>Shutters</v>
      </c>
      <c r="D529" s="3859"/>
      <c r="E529" s="3859"/>
      <c r="F529" s="3859"/>
      <c r="G529" s="3831">
        <f>'2 REPAIR ESTIMATOR'!AQ587</f>
        <v>0</v>
      </c>
      <c r="H529" s="3831"/>
      <c r="I529" s="810">
        <f t="shared" si="42"/>
        <v>0</v>
      </c>
      <c r="J529" s="811">
        <f t="shared" si="43"/>
        <v>0</v>
      </c>
      <c r="K529" s="3832"/>
      <c r="L529" s="3833"/>
      <c r="M529" s="3833"/>
      <c r="N529" s="3834"/>
      <c r="O529" s="820">
        <f t="shared" si="44"/>
        <v>0</v>
      </c>
    </row>
    <row r="530" spans="3:15" ht="18" hidden="1">
      <c r="C530" s="3859" t="str">
        <f>T('2 REPAIR ESTIMATOR'!D588:O588)</f>
        <v/>
      </c>
      <c r="D530" s="3859"/>
      <c r="E530" s="3859"/>
      <c r="F530" s="3859"/>
      <c r="G530" s="3831">
        <f>'2 REPAIR ESTIMATOR'!AQ588</f>
        <v>0</v>
      </c>
      <c r="H530" s="3831"/>
      <c r="I530" s="810">
        <f t="shared" si="42"/>
        <v>0</v>
      </c>
      <c r="J530" s="811">
        <f t="shared" si="43"/>
        <v>0</v>
      </c>
      <c r="K530" s="3832"/>
      <c r="L530" s="3833"/>
      <c r="M530" s="3833"/>
      <c r="N530" s="3834"/>
      <c r="O530" s="820">
        <f t="shared" si="44"/>
        <v>0</v>
      </c>
    </row>
    <row r="531" spans="3:15" ht="18" hidden="1">
      <c r="C531" s="3858" t="str">
        <f>T('2 REPAIR ESTIMATOR'!D589:O589)</f>
        <v>Fencing</v>
      </c>
      <c r="D531" s="3858"/>
      <c r="E531" s="3858"/>
      <c r="F531" s="3858"/>
      <c r="G531" s="3831">
        <f>'2 REPAIR ESTIMATOR'!AQ589</f>
        <v>0</v>
      </c>
      <c r="H531" s="3831"/>
      <c r="I531" s="810">
        <f t="shared" si="42"/>
        <v>0</v>
      </c>
      <c r="J531" s="811">
        <f t="shared" si="43"/>
        <v>0</v>
      </c>
      <c r="K531" s="3832"/>
      <c r="L531" s="3833"/>
      <c r="M531" s="3833"/>
      <c r="N531" s="3834"/>
      <c r="O531" s="820">
        <f t="shared" si="44"/>
        <v>0</v>
      </c>
    </row>
    <row r="532" spans="3:15" ht="18" hidden="1">
      <c r="C532" s="3859" t="str">
        <f>T('2 REPAIR ESTIMATOR'!D590:O590)</f>
        <v>Chain link fencing</v>
      </c>
      <c r="D532" s="3859"/>
      <c r="E532" s="3859"/>
      <c r="F532" s="3859"/>
      <c r="G532" s="3831">
        <f>'2 REPAIR ESTIMATOR'!AQ590</f>
        <v>0</v>
      </c>
      <c r="H532" s="3831"/>
      <c r="I532" s="810">
        <f t="shared" si="42"/>
        <v>0</v>
      </c>
      <c r="J532" s="811">
        <f t="shared" si="43"/>
        <v>0</v>
      </c>
      <c r="K532" s="3832"/>
      <c r="L532" s="3833"/>
      <c r="M532" s="3833"/>
      <c r="N532" s="3834"/>
      <c r="O532" s="820">
        <f t="shared" si="44"/>
        <v>0</v>
      </c>
    </row>
    <row r="533" spans="3:15" ht="18" hidden="1">
      <c r="C533" s="3859" t="str">
        <f>T('2 REPAIR ESTIMATOR'!D591:O591)</f>
        <v>Wood fencing</v>
      </c>
      <c r="D533" s="3859"/>
      <c r="E533" s="3859"/>
      <c r="F533" s="3859"/>
      <c r="G533" s="3831">
        <f>'2 REPAIR ESTIMATOR'!AQ591</f>
        <v>0</v>
      </c>
      <c r="H533" s="3831"/>
      <c r="I533" s="810">
        <f t="shared" si="42"/>
        <v>0</v>
      </c>
      <c r="J533" s="811">
        <f t="shared" si="43"/>
        <v>0</v>
      </c>
      <c r="K533" s="3832"/>
      <c r="L533" s="3833"/>
      <c r="M533" s="3833"/>
      <c r="N533" s="3834"/>
      <c r="O533" s="820">
        <f t="shared" si="44"/>
        <v>0</v>
      </c>
    </row>
    <row r="534" spans="3:15" ht="18" hidden="1">
      <c r="C534" s="3859" t="str">
        <f>T('2 REPAIR ESTIMATOR'!D592:O592)</f>
        <v/>
      </c>
      <c r="D534" s="3859"/>
      <c r="E534" s="3859"/>
      <c r="F534" s="3859"/>
      <c r="G534" s="3831">
        <f>'2 REPAIR ESTIMATOR'!AQ592</f>
        <v>0</v>
      </c>
      <c r="H534" s="3831"/>
      <c r="I534" s="810">
        <f t="shared" si="42"/>
        <v>0</v>
      </c>
      <c r="J534" s="811">
        <f t="shared" si="43"/>
        <v>0</v>
      </c>
      <c r="K534" s="3832"/>
      <c r="L534" s="3833"/>
      <c r="M534" s="3833"/>
      <c r="N534" s="3834"/>
      <c r="O534" s="820">
        <f t="shared" si="44"/>
        <v>0</v>
      </c>
    </row>
    <row r="535" spans="3:15" ht="18" hidden="1">
      <c r="C535" s="3858" t="str">
        <f>T('2 REPAIR ESTIMATOR'!D593:O593)</f>
        <v>Misc. Exterior Structures</v>
      </c>
      <c r="D535" s="3858"/>
      <c r="E535" s="3858"/>
      <c r="F535" s="3858"/>
      <c r="G535" s="3831">
        <f>'2 REPAIR ESTIMATOR'!AQ593</f>
        <v>0</v>
      </c>
      <c r="H535" s="3831"/>
      <c r="I535" s="810">
        <f t="shared" si="42"/>
        <v>0</v>
      </c>
      <c r="J535" s="811">
        <f t="shared" si="43"/>
        <v>0</v>
      </c>
      <c r="K535" s="3832"/>
      <c r="L535" s="3833"/>
      <c r="M535" s="3833"/>
      <c r="N535" s="3834"/>
      <c r="O535" s="820">
        <f t="shared" si="44"/>
        <v>0</v>
      </c>
    </row>
    <row r="536" spans="3:15" ht="18" hidden="1">
      <c r="C536" s="3859" t="str">
        <f>T('2 REPAIR ESTIMATOR'!D594:O594)</f>
        <v>Premanufactured carport</v>
      </c>
      <c r="D536" s="3859"/>
      <c r="E536" s="3859"/>
      <c r="F536" s="3859"/>
      <c r="G536" s="3831">
        <f>'2 REPAIR ESTIMATOR'!AQ594</f>
        <v>0</v>
      </c>
      <c r="H536" s="3831"/>
      <c r="I536" s="810">
        <f t="shared" si="42"/>
        <v>0</v>
      </c>
      <c r="J536" s="811">
        <f t="shared" si="43"/>
        <v>0</v>
      </c>
      <c r="K536" s="3832"/>
      <c r="L536" s="3833"/>
      <c r="M536" s="3833"/>
      <c r="N536" s="3834"/>
      <c r="O536" s="820">
        <f t="shared" si="44"/>
        <v>0</v>
      </c>
    </row>
    <row r="537" spans="3:15" ht="18" hidden="1">
      <c r="C537" s="3859" t="str">
        <f>T('2 REPAIR ESTIMATOR'!D595:O595)</f>
        <v>Storage shed, wood</v>
      </c>
      <c r="D537" s="3859"/>
      <c r="E537" s="3859"/>
      <c r="F537" s="3859"/>
      <c r="G537" s="3831">
        <f>'2 REPAIR ESTIMATOR'!AQ595</f>
        <v>0</v>
      </c>
      <c r="H537" s="3831"/>
      <c r="I537" s="810">
        <f t="shared" si="42"/>
        <v>0</v>
      </c>
      <c r="J537" s="811">
        <f t="shared" si="43"/>
        <v>0</v>
      </c>
      <c r="K537" s="3832"/>
      <c r="L537" s="3833"/>
      <c r="M537" s="3833"/>
      <c r="N537" s="3834"/>
      <c r="O537" s="820">
        <f t="shared" si="44"/>
        <v>0</v>
      </c>
    </row>
    <row r="538" spans="3:15" ht="18" hidden="1">
      <c r="C538" s="3859" t="str">
        <f>T('2 REPAIR ESTIMATOR'!D596:O596)</f>
        <v>Gazebo</v>
      </c>
      <c r="D538" s="3859"/>
      <c r="E538" s="3859"/>
      <c r="F538" s="3859"/>
      <c r="G538" s="3831">
        <f>'2 REPAIR ESTIMATOR'!AQ596</f>
        <v>0</v>
      </c>
      <c r="H538" s="3831"/>
      <c r="I538" s="810">
        <f t="shared" si="42"/>
        <v>0</v>
      </c>
      <c r="J538" s="811">
        <f t="shared" si="43"/>
        <v>0</v>
      </c>
      <c r="K538" s="3832"/>
      <c r="L538" s="3833"/>
      <c r="M538" s="3833"/>
      <c r="N538" s="3834"/>
      <c r="O538" s="820">
        <f t="shared" si="44"/>
        <v>0</v>
      </c>
    </row>
    <row r="539" spans="3:15" ht="18" hidden="1">
      <c r="C539" s="3859" t="str">
        <f>T('2 REPAIR ESTIMATOR'!D597:O597)</f>
        <v/>
      </c>
      <c r="D539" s="3859"/>
      <c r="E539" s="3859"/>
      <c r="F539" s="3859"/>
      <c r="G539" s="3831">
        <f>'2 REPAIR ESTIMATOR'!AQ597</f>
        <v>0</v>
      </c>
      <c r="H539" s="3831"/>
      <c r="I539" s="810">
        <f t="shared" si="42"/>
        <v>0</v>
      </c>
      <c r="J539" s="811">
        <f t="shared" si="43"/>
        <v>0</v>
      </c>
      <c r="K539" s="3832"/>
      <c r="L539" s="3833"/>
      <c r="M539" s="3833"/>
      <c r="N539" s="3834"/>
      <c r="O539" s="820">
        <f t="shared" si="44"/>
        <v>0</v>
      </c>
    </row>
    <row r="540" spans="3:15" ht="18" hidden="1">
      <c r="C540" s="3858" t="str">
        <f>T('2 REPAIR ESTIMATOR'!D598:O598)</f>
        <v>Pools</v>
      </c>
      <c r="D540" s="3858"/>
      <c r="E540" s="3858"/>
      <c r="F540" s="3858"/>
      <c r="G540" s="3831">
        <f>'2 REPAIR ESTIMATOR'!AQ598</f>
        <v>0</v>
      </c>
      <c r="H540" s="3831"/>
      <c r="I540" s="810">
        <f t="shared" si="42"/>
        <v>0</v>
      </c>
      <c r="J540" s="811">
        <f t="shared" si="43"/>
        <v>0</v>
      </c>
      <c r="K540" s="3832"/>
      <c r="L540" s="3833"/>
      <c r="M540" s="3833"/>
      <c r="N540" s="3834"/>
      <c r="O540" s="820">
        <f t="shared" si="44"/>
        <v>0</v>
      </c>
    </row>
    <row r="541" spans="3:15" ht="18" hidden="1">
      <c r="C541" s="3859" t="str">
        <f>T('2 REPAIR ESTIMATOR'!D599:O599)</f>
        <v>New Pool structure</v>
      </c>
      <c r="D541" s="3859"/>
      <c r="E541" s="3859"/>
      <c r="F541" s="3859"/>
      <c r="G541" s="3831">
        <f>'2 REPAIR ESTIMATOR'!AQ599</f>
        <v>0</v>
      </c>
      <c r="H541" s="3831"/>
      <c r="I541" s="810">
        <f t="shared" si="42"/>
        <v>0</v>
      </c>
      <c r="J541" s="811">
        <f t="shared" si="43"/>
        <v>0</v>
      </c>
      <c r="K541" s="3832"/>
      <c r="L541" s="3833"/>
      <c r="M541" s="3833"/>
      <c r="N541" s="3834"/>
      <c r="O541" s="820">
        <f t="shared" si="44"/>
        <v>0</v>
      </c>
    </row>
    <row r="542" spans="3:15" ht="18" hidden="1">
      <c r="C542" s="3859" t="str">
        <f>T('2 REPAIR ESTIMATOR'!D600:O600)</f>
        <v>Pool heater/motor</v>
      </c>
      <c r="D542" s="3859"/>
      <c r="E542" s="3859"/>
      <c r="F542" s="3859"/>
      <c r="G542" s="3831">
        <f>'2 REPAIR ESTIMATOR'!AQ600</f>
        <v>0</v>
      </c>
      <c r="H542" s="3831"/>
      <c r="I542" s="810">
        <f t="shared" si="42"/>
        <v>0</v>
      </c>
      <c r="J542" s="811">
        <f t="shared" si="43"/>
        <v>0</v>
      </c>
      <c r="K542" s="3832"/>
      <c r="L542" s="3833"/>
      <c r="M542" s="3833"/>
      <c r="N542" s="3834"/>
      <c r="O542" s="820">
        <f t="shared" si="44"/>
        <v>0</v>
      </c>
    </row>
    <row r="543" spans="3:15" ht="18" hidden="1">
      <c r="C543" s="3859" t="str">
        <f>T('2 REPAIR ESTIMATOR'!D601:O601)</f>
        <v>Pool filter system</v>
      </c>
      <c r="D543" s="3859"/>
      <c r="E543" s="3859"/>
      <c r="F543" s="3859"/>
      <c r="G543" s="3831">
        <f>'2 REPAIR ESTIMATOR'!AQ601</f>
        <v>0</v>
      </c>
      <c r="H543" s="3831"/>
      <c r="I543" s="810">
        <f t="shared" si="42"/>
        <v>0</v>
      </c>
      <c r="J543" s="811">
        <f t="shared" si="43"/>
        <v>0</v>
      </c>
      <c r="K543" s="3832"/>
      <c r="L543" s="3833"/>
      <c r="M543" s="3833"/>
      <c r="N543" s="3834"/>
      <c r="O543" s="820">
        <f t="shared" si="44"/>
        <v>0</v>
      </c>
    </row>
    <row r="544" spans="3:15" ht="18" hidden="1">
      <c r="C544" s="3859" t="str">
        <f>T('2 REPAIR ESTIMATOR'!D602:O602)</f>
        <v>Replaster existing pool wall</v>
      </c>
      <c r="D544" s="3859"/>
      <c r="E544" s="3859"/>
      <c r="F544" s="3859"/>
      <c r="G544" s="3831">
        <f>'2 REPAIR ESTIMATOR'!AQ602</f>
        <v>0</v>
      </c>
      <c r="H544" s="3831"/>
      <c r="I544" s="810">
        <f t="shared" si="42"/>
        <v>0</v>
      </c>
      <c r="J544" s="811">
        <f t="shared" si="43"/>
        <v>0</v>
      </c>
      <c r="K544" s="3832"/>
      <c r="L544" s="3833"/>
      <c r="M544" s="3833"/>
      <c r="N544" s="3834"/>
      <c r="O544" s="820">
        <f t="shared" si="44"/>
        <v>0</v>
      </c>
    </row>
    <row r="545" spans="3:15" ht="18" hidden="1">
      <c r="C545" s="3859" t="str">
        <f>T('2 REPAIR ESTIMATOR'!D603:O603)</f>
        <v/>
      </c>
      <c r="D545" s="3859"/>
      <c r="E545" s="3859"/>
      <c r="F545" s="3859"/>
      <c r="G545" s="3831">
        <f>'2 REPAIR ESTIMATOR'!AQ603</f>
        <v>0</v>
      </c>
      <c r="H545" s="3831"/>
      <c r="I545" s="810">
        <f t="shared" si="42"/>
        <v>0</v>
      </c>
      <c r="J545" s="811">
        <f t="shared" si="43"/>
        <v>0</v>
      </c>
      <c r="K545" s="3832"/>
      <c r="L545" s="3833"/>
      <c r="M545" s="3833"/>
      <c r="N545" s="3834"/>
      <c r="O545" s="820">
        <f t="shared" si="44"/>
        <v>0</v>
      </c>
    </row>
    <row r="546" spans="3:15" ht="18" hidden="1">
      <c r="C546" s="3859" t="str">
        <f>T('2 REPAIR ESTIMATOR'!D604:O604)</f>
        <v/>
      </c>
      <c r="D546" s="3859"/>
      <c r="E546" s="3859"/>
      <c r="F546" s="3859"/>
      <c r="G546" s="3831">
        <f>'2 REPAIR ESTIMATOR'!AQ604</f>
        <v>0</v>
      </c>
      <c r="H546" s="3831"/>
      <c r="I546" s="810">
        <f t="shared" si="42"/>
        <v>0</v>
      </c>
      <c r="J546" s="811">
        <f t="shared" si="43"/>
        <v>0</v>
      </c>
      <c r="K546" s="3832"/>
      <c r="L546" s="3833"/>
      <c r="M546" s="3833"/>
      <c r="N546" s="3834"/>
      <c r="O546" s="820">
        <f t="shared" si="44"/>
        <v>0</v>
      </c>
    </row>
    <row r="547" spans="3:15" ht="18" hidden="1">
      <c r="C547" s="3859" t="str">
        <f>T('2 REPAIR ESTIMATOR'!D605:O605)</f>
        <v/>
      </c>
      <c r="D547" s="3859"/>
      <c r="E547" s="3859"/>
      <c r="F547" s="3859"/>
      <c r="G547" s="3831">
        <f>'2 REPAIR ESTIMATOR'!AQ605</f>
        <v>0</v>
      </c>
      <c r="H547" s="3831"/>
      <c r="I547" s="810">
        <f t="shared" si="42"/>
        <v>0</v>
      </c>
      <c r="J547" s="811">
        <f t="shared" si="43"/>
        <v>0</v>
      </c>
      <c r="K547" s="3832"/>
      <c r="L547" s="3833"/>
      <c r="M547" s="3833"/>
      <c r="N547" s="3834"/>
      <c r="O547" s="820">
        <f t="shared" si="44"/>
        <v>0</v>
      </c>
    </row>
    <row r="548" spans="3:15" ht="18" hidden="1">
      <c r="C548" s="3859" t="str">
        <f>T('2 REPAIR ESTIMATOR'!D606:O606)</f>
        <v/>
      </c>
      <c r="D548" s="3859"/>
      <c r="E548" s="3859"/>
      <c r="F548" s="3859"/>
      <c r="G548" s="3831">
        <f>'2 REPAIR ESTIMATOR'!AQ606</f>
        <v>0</v>
      </c>
      <c r="H548" s="3831"/>
      <c r="I548" s="810">
        <f t="shared" si="42"/>
        <v>0</v>
      </c>
      <c r="J548" s="811">
        <f t="shared" si="43"/>
        <v>0</v>
      </c>
      <c r="K548" s="3832"/>
      <c r="L548" s="3833"/>
      <c r="M548" s="3833"/>
      <c r="N548" s="3834"/>
      <c r="O548" s="820">
        <f t="shared" si="44"/>
        <v>0</v>
      </c>
    </row>
    <row r="549" spans="3:15" ht="18" hidden="1">
      <c r="C549" s="3859" t="str">
        <f>T('2 REPAIR ESTIMATOR'!D607:O607)</f>
        <v/>
      </c>
      <c r="D549" s="3859"/>
      <c r="E549" s="3859"/>
      <c r="F549" s="3859"/>
      <c r="G549" s="3831">
        <f>'2 REPAIR ESTIMATOR'!AQ607</f>
        <v>0</v>
      </c>
      <c r="H549" s="3831"/>
      <c r="I549" s="810">
        <f t="shared" si="42"/>
        <v>0</v>
      </c>
      <c r="J549" s="811">
        <f t="shared" si="43"/>
        <v>0</v>
      </c>
      <c r="K549" s="3832"/>
      <c r="L549" s="3833"/>
      <c r="M549" s="3833"/>
      <c r="N549" s="3834"/>
      <c r="O549" s="820">
        <f t="shared" si="44"/>
        <v>0</v>
      </c>
    </row>
    <row r="550" spans="3:15" ht="18" hidden="1">
      <c r="C550" s="3859" t="str">
        <f>T('2 REPAIR ESTIMATOR'!D608:O608)</f>
        <v/>
      </c>
      <c r="D550" s="3859"/>
      <c r="E550" s="3859"/>
      <c r="F550" s="3859"/>
      <c r="G550" s="3831">
        <f>'2 REPAIR ESTIMATOR'!AQ608</f>
        <v>0</v>
      </c>
      <c r="H550" s="3831"/>
      <c r="I550" s="810">
        <f t="shared" si="42"/>
        <v>0</v>
      </c>
      <c r="J550" s="811">
        <f t="shared" si="43"/>
        <v>0</v>
      </c>
      <c r="K550" s="3832"/>
      <c r="L550" s="3833"/>
      <c r="M550" s="3833"/>
      <c r="N550" s="3834"/>
      <c r="O550" s="820">
        <f t="shared" si="44"/>
        <v>0</v>
      </c>
    </row>
    <row r="551" spans="3:15" ht="18" hidden="1">
      <c r="C551" s="3859" t="str">
        <f>T('2 REPAIR ESTIMATOR'!D609:O609)</f>
        <v/>
      </c>
      <c r="D551" s="3859"/>
      <c r="E551" s="3859"/>
      <c r="F551" s="3859"/>
      <c r="G551" s="3831">
        <f>'2 REPAIR ESTIMATOR'!AQ609</f>
        <v>0</v>
      </c>
      <c r="H551" s="3831"/>
      <c r="I551" s="810">
        <f t="shared" si="42"/>
        <v>0</v>
      </c>
      <c r="J551" s="811">
        <f t="shared" si="43"/>
        <v>0</v>
      </c>
      <c r="K551" s="3832"/>
      <c r="L551" s="3833"/>
      <c r="M551" s="3833"/>
      <c r="N551" s="3834"/>
      <c r="O551" s="820">
        <f t="shared" si="44"/>
        <v>0</v>
      </c>
    </row>
    <row r="552" spans="3:15" ht="18" hidden="1">
      <c r="C552" s="3859" t="str">
        <f>T('2 REPAIR ESTIMATOR'!D610:O610)</f>
        <v/>
      </c>
      <c r="D552" s="3859"/>
      <c r="E552" s="3859"/>
      <c r="F552" s="3859"/>
      <c r="G552" s="3831">
        <f>'2 REPAIR ESTIMATOR'!AQ610</f>
        <v>0</v>
      </c>
      <c r="H552" s="3831"/>
      <c r="I552" s="810">
        <f t="shared" si="42"/>
        <v>0</v>
      </c>
      <c r="J552" s="811">
        <f t="shared" si="43"/>
        <v>0</v>
      </c>
      <c r="K552" s="3832"/>
      <c r="L552" s="3833"/>
      <c r="M552" s="3833"/>
      <c r="N552" s="3834"/>
      <c r="O552" s="820">
        <f t="shared" si="44"/>
        <v>0</v>
      </c>
    </row>
    <row r="553" spans="3:15" ht="18" hidden="1">
      <c r="C553" s="3859" t="str">
        <f>T('2 REPAIR ESTIMATOR'!D611:O611)</f>
        <v/>
      </c>
      <c r="D553" s="3859"/>
      <c r="E553" s="3859"/>
      <c r="F553" s="3859"/>
      <c r="G553" s="3831">
        <f>'2 REPAIR ESTIMATOR'!AQ611</f>
        <v>0</v>
      </c>
      <c r="H553" s="3831"/>
      <c r="I553" s="810">
        <f t="shared" si="42"/>
        <v>0</v>
      </c>
      <c r="J553" s="811">
        <f t="shared" si="43"/>
        <v>0</v>
      </c>
      <c r="K553" s="3832"/>
      <c r="L553" s="3833"/>
      <c r="M553" s="3833"/>
      <c r="N553" s="3834"/>
      <c r="O553" s="820">
        <f t="shared" si="44"/>
        <v>0</v>
      </c>
    </row>
    <row r="554" spans="3:15" ht="18" hidden="1">
      <c r="C554" s="3859" t="str">
        <f>T('2 REPAIR ESTIMATOR'!D612:O612)</f>
        <v/>
      </c>
      <c r="D554" s="3859"/>
      <c r="E554" s="3859"/>
      <c r="F554" s="3859"/>
      <c r="G554" s="3831">
        <f>'2 REPAIR ESTIMATOR'!AQ612</f>
        <v>0</v>
      </c>
      <c r="H554" s="3831"/>
      <c r="I554" s="810">
        <f t="shared" si="42"/>
        <v>0</v>
      </c>
      <c r="J554" s="811">
        <f t="shared" si="43"/>
        <v>0</v>
      </c>
      <c r="K554" s="3832"/>
      <c r="L554" s="3833"/>
      <c r="M554" s="3833"/>
      <c r="N554" s="3834"/>
      <c r="O554" s="820">
        <f t="shared" si="44"/>
        <v>0</v>
      </c>
    </row>
    <row r="555" spans="3:15" ht="18" hidden="1">
      <c r="C555" s="3859" t="str">
        <f>T('2 REPAIR ESTIMATOR'!D613:O613)</f>
        <v/>
      </c>
      <c r="D555" s="3859"/>
      <c r="E555" s="3859"/>
      <c r="F555" s="3859"/>
      <c r="G555" s="3831">
        <f>'2 REPAIR ESTIMATOR'!AQ613</f>
        <v>0</v>
      </c>
      <c r="H555" s="3831"/>
      <c r="I555" s="810">
        <f t="shared" si="42"/>
        <v>0</v>
      </c>
      <c r="J555" s="811">
        <f t="shared" si="43"/>
        <v>0</v>
      </c>
      <c r="K555" s="3832"/>
      <c r="L555" s="3833"/>
      <c r="M555" s="3833"/>
      <c r="N555" s="3834"/>
      <c r="O555" s="820">
        <f t="shared" si="44"/>
        <v>0</v>
      </c>
    </row>
    <row r="556" spans="3:15" ht="18" hidden="1">
      <c r="C556" s="3859" t="str">
        <f>T('2 REPAIR ESTIMATOR'!D614:O614)</f>
        <v/>
      </c>
      <c r="D556" s="3859"/>
      <c r="E556" s="3859"/>
      <c r="F556" s="3859"/>
      <c r="G556" s="3831">
        <f>'2 REPAIR ESTIMATOR'!AQ614</f>
        <v>0</v>
      </c>
      <c r="H556" s="3831"/>
      <c r="I556" s="810">
        <f t="shared" si="42"/>
        <v>0</v>
      </c>
      <c r="J556" s="811">
        <f t="shared" si="43"/>
        <v>0</v>
      </c>
      <c r="K556" s="3832"/>
      <c r="L556" s="3833"/>
      <c r="M556" s="3833"/>
      <c r="N556" s="3834"/>
      <c r="O556" s="820">
        <f t="shared" si="44"/>
        <v>0</v>
      </c>
    </row>
    <row r="557" spans="3:15" ht="18" hidden="1">
      <c r="C557" s="3859" t="str">
        <f>T('2 REPAIR ESTIMATOR'!D615:O615)</f>
        <v/>
      </c>
      <c r="D557" s="3859"/>
      <c r="E557" s="3859"/>
      <c r="F557" s="3859"/>
      <c r="G557" s="3831">
        <f>'2 REPAIR ESTIMATOR'!AQ615</f>
        <v>0</v>
      </c>
      <c r="H557" s="3831"/>
      <c r="I557" s="810">
        <f t="shared" si="42"/>
        <v>0</v>
      </c>
      <c r="J557" s="811">
        <f t="shared" si="43"/>
        <v>0</v>
      </c>
      <c r="K557" s="3832"/>
      <c r="L557" s="3833"/>
      <c r="M557" s="3833"/>
      <c r="N557" s="3834"/>
      <c r="O557" s="820">
        <f t="shared" si="44"/>
        <v>0</v>
      </c>
    </row>
    <row r="558" spans="3:15" ht="18" hidden="1">
      <c r="C558" s="3859" t="str">
        <f>T('2 REPAIR ESTIMATOR'!D616:O616)</f>
        <v/>
      </c>
      <c r="D558" s="3859"/>
      <c r="E558" s="3859"/>
      <c r="F558" s="3859"/>
      <c r="G558" s="3831">
        <f>'2 REPAIR ESTIMATOR'!AQ616</f>
        <v>0</v>
      </c>
      <c r="H558" s="3831"/>
      <c r="I558" s="810">
        <f t="shared" si="42"/>
        <v>0</v>
      </c>
      <c r="J558" s="811">
        <f t="shared" si="43"/>
        <v>0</v>
      </c>
      <c r="K558" s="3832"/>
      <c r="L558" s="3833"/>
      <c r="M558" s="3833"/>
      <c r="N558" s="3834"/>
      <c r="O558" s="820">
        <f t="shared" si="44"/>
        <v>0</v>
      </c>
    </row>
    <row r="559" spans="3:15" ht="18" hidden="1">
      <c r="C559" s="3859" t="str">
        <f>T('2 REPAIR ESTIMATOR'!D617:O617)</f>
        <v/>
      </c>
      <c r="D559" s="3859"/>
      <c r="E559" s="3859"/>
      <c r="F559" s="3859"/>
      <c r="G559" s="3831">
        <f>'2 REPAIR ESTIMATOR'!AQ617</f>
        <v>0</v>
      </c>
      <c r="H559" s="3831"/>
      <c r="I559" s="810">
        <f t="shared" si="42"/>
        <v>0</v>
      </c>
      <c r="J559" s="811">
        <f t="shared" si="43"/>
        <v>0</v>
      </c>
      <c r="K559" s="3832"/>
      <c r="L559" s="3833"/>
      <c r="M559" s="3833"/>
      <c r="N559" s="3834"/>
      <c r="O559" s="820">
        <f t="shared" si="44"/>
        <v>0</v>
      </c>
    </row>
    <row r="560" spans="3:15" ht="18" hidden="1">
      <c r="C560" s="3859" t="str">
        <f>T('2 REPAIR ESTIMATOR'!D618:O618)</f>
        <v/>
      </c>
      <c r="D560" s="3859"/>
      <c r="E560" s="3859"/>
      <c r="F560" s="3859"/>
      <c r="G560" s="3831">
        <f>'2 REPAIR ESTIMATOR'!AQ618</f>
        <v>0</v>
      </c>
      <c r="H560" s="3831"/>
      <c r="I560" s="810">
        <f t="shared" si="42"/>
        <v>0</v>
      </c>
      <c r="J560" s="811">
        <f t="shared" si="43"/>
        <v>0</v>
      </c>
      <c r="K560" s="3832"/>
      <c r="L560" s="3833"/>
      <c r="M560" s="3833"/>
      <c r="N560" s="3834"/>
      <c r="O560" s="820">
        <f t="shared" si="44"/>
        <v>0</v>
      </c>
    </row>
    <row r="561" spans="3:15" ht="18" hidden="1">
      <c r="C561" s="3859" t="str">
        <f>T('2 REPAIR ESTIMATOR'!D619:O619)</f>
        <v/>
      </c>
      <c r="D561" s="3859"/>
      <c r="E561" s="3859"/>
      <c r="F561" s="3859"/>
      <c r="G561" s="3831">
        <f>'2 REPAIR ESTIMATOR'!AQ619</f>
        <v>0</v>
      </c>
      <c r="H561" s="3831"/>
      <c r="I561" s="810">
        <f t="shared" si="42"/>
        <v>0</v>
      </c>
      <c r="J561" s="811">
        <f t="shared" si="43"/>
        <v>0</v>
      </c>
      <c r="K561" s="3832"/>
      <c r="L561" s="3833"/>
      <c r="M561" s="3833"/>
      <c r="N561" s="3834"/>
      <c r="O561" s="820">
        <f t="shared" si="44"/>
        <v>0</v>
      </c>
    </row>
    <row r="562" spans="3:15" ht="18" hidden="1">
      <c r="C562" s="3859" t="str">
        <f>T('2 REPAIR ESTIMATOR'!D620:O620)</f>
        <v/>
      </c>
      <c r="D562" s="3859"/>
      <c r="E562" s="3859"/>
      <c r="F562" s="3859"/>
      <c r="G562" s="3831">
        <f>'2 REPAIR ESTIMATOR'!AQ620</f>
        <v>0</v>
      </c>
      <c r="H562" s="3831"/>
      <c r="I562" s="810">
        <f t="shared" si="42"/>
        <v>0</v>
      </c>
      <c r="J562" s="811">
        <f t="shared" si="43"/>
        <v>0</v>
      </c>
      <c r="K562" s="3832"/>
      <c r="L562" s="3833"/>
      <c r="M562" s="3833"/>
      <c r="N562" s="3834"/>
      <c r="O562" s="820">
        <f t="shared" si="44"/>
        <v>0</v>
      </c>
    </row>
    <row r="563" spans="3:15" ht="18" hidden="1">
      <c r="C563" s="3859" t="str">
        <f>T('2 REPAIR ESTIMATOR'!D621:O621)</f>
        <v/>
      </c>
      <c r="D563" s="3859"/>
      <c r="E563" s="3859"/>
      <c r="F563" s="3859"/>
      <c r="G563" s="3831">
        <f>'2 REPAIR ESTIMATOR'!AQ621</f>
        <v>0</v>
      </c>
      <c r="H563" s="3831"/>
      <c r="I563" s="810">
        <f t="shared" si="42"/>
        <v>0</v>
      </c>
      <c r="J563" s="811">
        <f t="shared" si="43"/>
        <v>0</v>
      </c>
      <c r="K563" s="3832"/>
      <c r="L563" s="3833"/>
      <c r="M563" s="3833"/>
      <c r="N563" s="3834"/>
      <c r="O563" s="820">
        <f t="shared" si="44"/>
        <v>0</v>
      </c>
    </row>
    <row r="564" spans="3:15" ht="18.350000000000001" hidden="1" thickBot="1">
      <c r="C564" s="3835" t="str">
        <f>T('2 REPAIR ESTIMATOR'!D622:O622)</f>
        <v/>
      </c>
      <c r="D564" s="3835"/>
      <c r="E564" s="3835"/>
      <c r="F564" s="3835"/>
      <c r="G564" s="3836">
        <f>'2 REPAIR ESTIMATOR'!AQ622</f>
        <v>0</v>
      </c>
      <c r="H564" s="3836"/>
      <c r="I564" s="813">
        <f t="shared" si="42"/>
        <v>0</v>
      </c>
      <c r="J564" s="814">
        <f t="shared" si="43"/>
        <v>0</v>
      </c>
      <c r="K564" s="3837"/>
      <c r="L564" s="3838"/>
      <c r="M564" s="3838"/>
      <c r="N564" s="3839"/>
      <c r="O564" s="823">
        <f t="shared" si="44"/>
        <v>0</v>
      </c>
    </row>
    <row r="565" spans="3:15" ht="18.350000000000001" hidden="1" thickTop="1">
      <c r="C565" s="3825" t="str">
        <f>T('2 REPAIR ESTIMATOR'!AC624)</f>
        <v>MISC. EXTERIOR ITEMS TOTAL</v>
      </c>
      <c r="D565" s="3825"/>
      <c r="E565" s="3825"/>
      <c r="F565" s="3825"/>
      <c r="G565" s="3826">
        <f>SUM(G525:H564)</f>
        <v>0</v>
      </c>
      <c r="H565" s="3826"/>
      <c r="I565" s="818">
        <f>SUM(I525:I564)</f>
        <v>0</v>
      </c>
      <c r="J565" s="819">
        <f>SUM(J525:J564)</f>
        <v>0</v>
      </c>
      <c r="K565" s="3827"/>
      <c r="L565" s="3828"/>
      <c r="M565" s="3828"/>
      <c r="N565" s="3829"/>
      <c r="O565" s="821">
        <f>SUM(O525:O564)</f>
        <v>0</v>
      </c>
    </row>
    <row r="566" spans="3:15" ht="8.85" hidden="1" customHeight="1">
      <c r="C566" s="836"/>
      <c r="D566" s="836"/>
      <c r="E566" s="836"/>
      <c r="F566" s="836"/>
      <c r="G566" s="837"/>
      <c r="H566" s="837"/>
      <c r="I566" s="837"/>
      <c r="J566" s="837"/>
      <c r="K566" s="837"/>
      <c r="L566" s="837"/>
      <c r="M566" s="837"/>
      <c r="N566" s="837"/>
      <c r="O566" s="822">
        <f>O565</f>
        <v>0</v>
      </c>
    </row>
    <row r="567" spans="3:15" ht="22.5" hidden="1" customHeight="1">
      <c r="C567" s="3840" t="str">
        <f>T('2 REPAIR ESTIMATOR'!D627:O627)</f>
        <v>FRAMING &amp; DRYWALL</v>
      </c>
      <c r="D567" s="3840"/>
      <c r="E567" s="3840"/>
      <c r="F567" s="3841"/>
      <c r="G567" s="3845"/>
      <c r="H567" s="3846"/>
      <c r="I567" s="831"/>
      <c r="J567" s="831"/>
      <c r="K567" s="3844"/>
      <c r="L567" s="3844"/>
      <c r="M567" s="3844"/>
      <c r="N567" s="3845"/>
      <c r="O567" s="820">
        <f>SUM(O568:O607)</f>
        <v>0</v>
      </c>
    </row>
    <row r="568" spans="3:15" ht="18" hidden="1">
      <c r="C568" s="3858" t="str">
        <f>T('2 REPAIR ESTIMATOR'!D628:O628)</f>
        <v>Framing</v>
      </c>
      <c r="D568" s="3858"/>
      <c r="E568" s="3858"/>
      <c r="F568" s="3858"/>
      <c r="G568" s="3831">
        <f>'2 REPAIR ESTIMATOR'!AQ628</f>
        <v>0</v>
      </c>
      <c r="H568" s="3831"/>
      <c r="I568" s="810">
        <f t="shared" ref="I568:I607" si="45">IFERROR(G568/Property_Size,0)</f>
        <v>0</v>
      </c>
      <c r="J568" s="811">
        <f t="shared" ref="J568:J607" si="46">IFERROR(G568/Total_Project_Costs_Result,0)</f>
        <v>0</v>
      </c>
      <c r="K568" s="3832"/>
      <c r="L568" s="3833"/>
      <c r="M568" s="3833"/>
      <c r="N568" s="3834"/>
      <c r="O568" s="820">
        <f>IF(G568&gt;0,1,0)</f>
        <v>0</v>
      </c>
    </row>
    <row r="569" spans="3:15" ht="18" hidden="1">
      <c r="C569" s="3859" t="str">
        <f>T('2 REPAIR ESTIMATOR'!D629:O629)</f>
        <v>Structural framing bid/allowance, case by case</v>
      </c>
      <c r="D569" s="3859"/>
      <c r="E569" s="3859"/>
      <c r="F569" s="3859"/>
      <c r="G569" s="3831">
        <f>'2 REPAIR ESTIMATOR'!AQ629</f>
        <v>0</v>
      </c>
      <c r="H569" s="3831"/>
      <c r="I569" s="810">
        <f t="shared" si="45"/>
        <v>0</v>
      </c>
      <c r="J569" s="811">
        <f t="shared" si="46"/>
        <v>0</v>
      </c>
      <c r="K569" s="3832"/>
      <c r="L569" s="3833"/>
      <c r="M569" s="3833"/>
      <c r="N569" s="3834"/>
      <c r="O569" s="820">
        <f t="shared" ref="O569:O607" si="47">IF(G569&gt;0,1,0)</f>
        <v>0</v>
      </c>
    </row>
    <row r="570" spans="3:15" ht="18" hidden="1">
      <c r="C570" s="3859" t="str">
        <f>T('2 REPAIR ESTIMATOR'!D630:O630)</f>
        <v>Subflooring, 3/4" plywood</v>
      </c>
      <c r="D570" s="3859"/>
      <c r="E570" s="3859"/>
      <c r="F570" s="3859"/>
      <c r="G570" s="3831">
        <f>'2 REPAIR ESTIMATOR'!AQ630</f>
        <v>0</v>
      </c>
      <c r="H570" s="3831"/>
      <c r="I570" s="810">
        <f t="shared" si="45"/>
        <v>0</v>
      </c>
      <c r="J570" s="811">
        <f t="shared" si="46"/>
        <v>0</v>
      </c>
      <c r="K570" s="3832"/>
      <c r="L570" s="3833"/>
      <c r="M570" s="3833"/>
      <c r="N570" s="3834"/>
      <c r="O570" s="820">
        <f t="shared" si="47"/>
        <v>0</v>
      </c>
    </row>
    <row r="571" spans="3:15" ht="18" hidden="1">
      <c r="C571" s="3859" t="str">
        <f>T('2 REPAIR ESTIMATOR'!D631:O631)</f>
        <v>Interior wall framing</v>
      </c>
      <c r="D571" s="3859"/>
      <c r="E571" s="3859"/>
      <c r="F571" s="3859"/>
      <c r="G571" s="3831">
        <f>'2 REPAIR ESTIMATOR'!AQ631</f>
        <v>0</v>
      </c>
      <c r="H571" s="3831"/>
      <c r="I571" s="810">
        <f t="shared" si="45"/>
        <v>0</v>
      </c>
      <c r="J571" s="811">
        <f t="shared" si="46"/>
        <v>0</v>
      </c>
      <c r="K571" s="3832"/>
      <c r="L571" s="3833"/>
      <c r="M571" s="3833"/>
      <c r="N571" s="3834"/>
      <c r="O571" s="820">
        <f t="shared" si="47"/>
        <v>0</v>
      </c>
    </row>
    <row r="572" spans="3:15" ht="18" hidden="1">
      <c r="C572" s="3859" t="str">
        <f>T('2 REPAIR ESTIMATOR'!D632:O632)</f>
        <v>Structural/Exterior wall framing</v>
      </c>
      <c r="D572" s="3859"/>
      <c r="E572" s="3859"/>
      <c r="F572" s="3859"/>
      <c r="G572" s="3831">
        <f>'2 REPAIR ESTIMATOR'!AQ632</f>
        <v>0</v>
      </c>
      <c r="H572" s="3831"/>
      <c r="I572" s="810">
        <f t="shared" si="45"/>
        <v>0</v>
      </c>
      <c r="J572" s="811">
        <f t="shared" si="46"/>
        <v>0</v>
      </c>
      <c r="K572" s="3832"/>
      <c r="L572" s="3833"/>
      <c r="M572" s="3833"/>
      <c r="N572" s="3834"/>
      <c r="O572" s="820">
        <f t="shared" si="47"/>
        <v>0</v>
      </c>
    </row>
    <row r="573" spans="3:15" ht="18" hidden="1">
      <c r="C573" s="3859" t="str">
        <f>T('2 REPAIR ESTIMATOR'!D633:O633)</f>
        <v>Rough-in openings</v>
      </c>
      <c r="D573" s="3859"/>
      <c r="E573" s="3859"/>
      <c r="F573" s="3859"/>
      <c r="G573" s="3831">
        <f>'2 REPAIR ESTIMATOR'!AQ633</f>
        <v>0</v>
      </c>
      <c r="H573" s="3831"/>
      <c r="I573" s="810">
        <f t="shared" si="45"/>
        <v>0</v>
      </c>
      <c r="J573" s="811">
        <f t="shared" si="46"/>
        <v>0</v>
      </c>
      <c r="K573" s="3832"/>
      <c r="L573" s="3833"/>
      <c r="M573" s="3833"/>
      <c r="N573" s="3834"/>
      <c r="O573" s="820">
        <f t="shared" si="47"/>
        <v>0</v>
      </c>
    </row>
    <row r="574" spans="3:15" ht="18" hidden="1">
      <c r="C574" s="3859" t="str">
        <f>T('2 REPAIR ESTIMATOR'!D634:O634)</f>
        <v>Floor joists/ceiling joists</v>
      </c>
      <c r="D574" s="3859"/>
      <c r="E574" s="3859"/>
      <c r="F574" s="3859"/>
      <c r="G574" s="3831">
        <f>'2 REPAIR ESTIMATOR'!AQ634</f>
        <v>0</v>
      </c>
      <c r="H574" s="3831"/>
      <c r="I574" s="810">
        <f t="shared" si="45"/>
        <v>0</v>
      </c>
      <c r="J574" s="811">
        <f t="shared" si="46"/>
        <v>0</v>
      </c>
      <c r="K574" s="3832"/>
      <c r="L574" s="3833"/>
      <c r="M574" s="3833"/>
      <c r="N574" s="3834"/>
      <c r="O574" s="820">
        <f t="shared" si="47"/>
        <v>0</v>
      </c>
    </row>
    <row r="575" spans="3:15" ht="18" hidden="1">
      <c r="C575" s="3859" t="str">
        <f>T('2 REPAIR ESTIMATOR'!D635:O635)</f>
        <v>Roof framing/rafters</v>
      </c>
      <c r="D575" s="3859"/>
      <c r="E575" s="3859"/>
      <c r="F575" s="3859"/>
      <c r="G575" s="3831">
        <f>'2 REPAIR ESTIMATOR'!AQ635</f>
        <v>0</v>
      </c>
      <c r="H575" s="3831"/>
      <c r="I575" s="810">
        <f t="shared" si="45"/>
        <v>0</v>
      </c>
      <c r="J575" s="811">
        <f t="shared" si="46"/>
        <v>0</v>
      </c>
      <c r="K575" s="3832"/>
      <c r="L575" s="3833"/>
      <c r="M575" s="3833"/>
      <c r="N575" s="3834"/>
      <c r="O575" s="820">
        <f t="shared" si="47"/>
        <v>0</v>
      </c>
    </row>
    <row r="576" spans="3:15" ht="18" hidden="1">
      <c r="C576" s="3859" t="str">
        <f>T('2 REPAIR ESTIMATOR'!D636:O636)</f>
        <v>Open load bearing/structural wall</v>
      </c>
      <c r="D576" s="3859"/>
      <c r="E576" s="3859"/>
      <c r="F576" s="3859"/>
      <c r="G576" s="3831">
        <f>'2 REPAIR ESTIMATOR'!AQ636</f>
        <v>0</v>
      </c>
      <c r="H576" s="3831"/>
      <c r="I576" s="810">
        <f t="shared" si="45"/>
        <v>0</v>
      </c>
      <c r="J576" s="811">
        <f t="shared" si="46"/>
        <v>0</v>
      </c>
      <c r="K576" s="3832"/>
      <c r="L576" s="3833"/>
      <c r="M576" s="3833"/>
      <c r="N576" s="3834"/>
      <c r="O576" s="820">
        <f t="shared" si="47"/>
        <v>0</v>
      </c>
    </row>
    <row r="577" spans="3:15" ht="18" hidden="1">
      <c r="C577" s="3858" t="str">
        <f>T('2 REPAIR ESTIMATOR'!D637:O637)</f>
        <v>Insulation</v>
      </c>
      <c r="D577" s="3858"/>
      <c r="E577" s="3858"/>
      <c r="F577" s="3858"/>
      <c r="G577" s="3831">
        <f>'2 REPAIR ESTIMATOR'!AQ637</f>
        <v>0</v>
      </c>
      <c r="H577" s="3831"/>
      <c r="I577" s="810">
        <f t="shared" si="45"/>
        <v>0</v>
      </c>
      <c r="J577" s="811">
        <f t="shared" si="46"/>
        <v>0</v>
      </c>
      <c r="K577" s="3832"/>
      <c r="L577" s="3833"/>
      <c r="M577" s="3833"/>
      <c r="N577" s="3834"/>
      <c r="O577" s="820">
        <f t="shared" si="47"/>
        <v>0</v>
      </c>
    </row>
    <row r="578" spans="3:15" ht="18" hidden="1">
      <c r="C578" s="3859" t="str">
        <f>T('2 REPAIR ESTIMATOR'!D638:O638)</f>
        <v>Insulation bid/allowance</v>
      </c>
      <c r="D578" s="3859"/>
      <c r="E578" s="3859"/>
      <c r="F578" s="3859"/>
      <c r="G578" s="3831">
        <f>'2 REPAIR ESTIMATOR'!AQ638</f>
        <v>0</v>
      </c>
      <c r="H578" s="3831"/>
      <c r="I578" s="810">
        <f t="shared" si="45"/>
        <v>0</v>
      </c>
      <c r="J578" s="811">
        <f t="shared" si="46"/>
        <v>0</v>
      </c>
      <c r="K578" s="3832"/>
      <c r="L578" s="3833"/>
      <c r="M578" s="3833"/>
      <c r="N578" s="3834"/>
      <c r="O578" s="820">
        <f t="shared" si="47"/>
        <v>0</v>
      </c>
    </row>
    <row r="579" spans="3:15" ht="18" hidden="1">
      <c r="C579" s="3859" t="str">
        <f>T('2 REPAIR ESTIMATOR'!D639:O639)</f>
        <v>Wall insulation</v>
      </c>
      <c r="D579" s="3859"/>
      <c r="E579" s="3859"/>
      <c r="F579" s="3859"/>
      <c r="G579" s="3831">
        <f>'2 REPAIR ESTIMATOR'!AQ639</f>
        <v>0</v>
      </c>
      <c r="H579" s="3831"/>
      <c r="I579" s="810">
        <f t="shared" si="45"/>
        <v>0</v>
      </c>
      <c r="J579" s="811">
        <f t="shared" si="46"/>
        <v>0</v>
      </c>
      <c r="K579" s="3832"/>
      <c r="L579" s="3833"/>
      <c r="M579" s="3833"/>
      <c r="N579" s="3834"/>
      <c r="O579" s="820">
        <f t="shared" si="47"/>
        <v>0</v>
      </c>
    </row>
    <row r="580" spans="3:15" ht="18" hidden="1">
      <c r="C580" s="3859" t="str">
        <f>T('2 REPAIR ESTIMATOR'!D640:O640)</f>
        <v>Floor insulation</v>
      </c>
      <c r="D580" s="3859"/>
      <c r="E580" s="3859"/>
      <c r="F580" s="3859"/>
      <c r="G580" s="3831">
        <f>'2 REPAIR ESTIMATOR'!AQ640</f>
        <v>0</v>
      </c>
      <c r="H580" s="3831"/>
      <c r="I580" s="810">
        <f t="shared" si="45"/>
        <v>0</v>
      </c>
      <c r="J580" s="811">
        <f t="shared" si="46"/>
        <v>0</v>
      </c>
      <c r="K580" s="3832"/>
      <c r="L580" s="3833"/>
      <c r="M580" s="3833"/>
      <c r="N580" s="3834"/>
      <c r="O580" s="820">
        <f t="shared" si="47"/>
        <v>0</v>
      </c>
    </row>
    <row r="581" spans="3:15" ht="18" hidden="1">
      <c r="C581" s="3859" t="str">
        <f>T('2 REPAIR ESTIMATOR'!D641:O641)</f>
        <v>Attic insulation, blown-in</v>
      </c>
      <c r="D581" s="3859"/>
      <c r="E581" s="3859"/>
      <c r="F581" s="3859"/>
      <c r="G581" s="3831">
        <f>'2 REPAIR ESTIMATOR'!AQ641</f>
        <v>0</v>
      </c>
      <c r="H581" s="3831"/>
      <c r="I581" s="810">
        <f t="shared" si="45"/>
        <v>0</v>
      </c>
      <c r="J581" s="811">
        <f t="shared" si="46"/>
        <v>0</v>
      </c>
      <c r="K581" s="3832"/>
      <c r="L581" s="3833"/>
      <c r="M581" s="3833"/>
      <c r="N581" s="3834"/>
      <c r="O581" s="820">
        <f t="shared" si="47"/>
        <v>0</v>
      </c>
    </row>
    <row r="582" spans="3:15" ht="18" hidden="1">
      <c r="C582" s="3858" t="str">
        <f>T('2 REPAIR ESTIMATOR'!D642:O642)</f>
        <v>Walls/Ceilings</v>
      </c>
      <c r="D582" s="3858"/>
      <c r="E582" s="3858"/>
      <c r="F582" s="3858"/>
      <c r="G582" s="3831">
        <f>'2 REPAIR ESTIMATOR'!AQ642</f>
        <v>0</v>
      </c>
      <c r="H582" s="3831"/>
      <c r="I582" s="810">
        <f t="shared" si="45"/>
        <v>0</v>
      </c>
      <c r="J582" s="811">
        <f t="shared" si="46"/>
        <v>0</v>
      </c>
      <c r="K582" s="3832"/>
      <c r="L582" s="3833"/>
      <c r="M582" s="3833"/>
      <c r="N582" s="3834"/>
      <c r="O582" s="820">
        <f t="shared" si="47"/>
        <v>0</v>
      </c>
    </row>
    <row r="583" spans="3:15" ht="18" hidden="1">
      <c r="C583" s="3859" t="str">
        <f>T('2 REPAIR ESTIMATOR'!D643:O643)</f>
        <v>Drywall bid/allowance, case by case</v>
      </c>
      <c r="D583" s="3859"/>
      <c r="E583" s="3859"/>
      <c r="F583" s="3859"/>
      <c r="G583" s="3831">
        <f>'2 REPAIR ESTIMATOR'!AQ643</f>
        <v>0</v>
      </c>
      <c r="H583" s="3831"/>
      <c r="I583" s="810">
        <f t="shared" si="45"/>
        <v>0</v>
      </c>
      <c r="J583" s="811">
        <f t="shared" si="46"/>
        <v>0</v>
      </c>
      <c r="K583" s="3832"/>
      <c r="L583" s="3833"/>
      <c r="M583" s="3833"/>
      <c r="N583" s="3834"/>
      <c r="O583" s="820">
        <f t="shared" si="47"/>
        <v>0</v>
      </c>
    </row>
    <row r="584" spans="3:15" ht="18" hidden="1">
      <c r="C584" s="3859" t="str">
        <f>T('2 REPAIR ESTIMATOR'!D644:O644)</f>
        <v>Drywall wallboard, 1/2" thick, finish one side</v>
      </c>
      <c r="D584" s="3859"/>
      <c r="E584" s="3859"/>
      <c r="F584" s="3859"/>
      <c r="G584" s="3831">
        <f>'2 REPAIR ESTIMATOR'!AQ644</f>
        <v>0</v>
      </c>
      <c r="H584" s="3831"/>
      <c r="I584" s="810">
        <f t="shared" si="45"/>
        <v>0</v>
      </c>
      <c r="J584" s="811">
        <f t="shared" si="46"/>
        <v>0</v>
      </c>
      <c r="K584" s="3832"/>
      <c r="L584" s="3833"/>
      <c r="M584" s="3833"/>
      <c r="N584" s="3834"/>
      <c r="O584" s="820">
        <f t="shared" si="47"/>
        <v>0</v>
      </c>
    </row>
    <row r="585" spans="3:15" ht="18" hidden="1">
      <c r="C585" s="3859" t="str">
        <f>T('2 REPAIR ESTIMATOR'!D645:O645)</f>
        <v>Drywall ceilings, 1/2" thick</v>
      </c>
      <c r="D585" s="3859"/>
      <c r="E585" s="3859"/>
      <c r="F585" s="3859"/>
      <c r="G585" s="3831">
        <f>'2 REPAIR ESTIMATOR'!AQ645</f>
        <v>0</v>
      </c>
      <c r="H585" s="3831"/>
      <c r="I585" s="810">
        <f t="shared" si="45"/>
        <v>0</v>
      </c>
      <c r="J585" s="811">
        <f t="shared" si="46"/>
        <v>0</v>
      </c>
      <c r="K585" s="3832"/>
      <c r="L585" s="3833"/>
      <c r="M585" s="3833"/>
      <c r="N585" s="3834"/>
      <c r="O585" s="820">
        <f t="shared" si="47"/>
        <v>0</v>
      </c>
    </row>
    <row r="586" spans="3:15" ht="18" hidden="1">
      <c r="C586" s="3859" t="str">
        <f>T('2 REPAIR ESTIMATOR'!D646:O646)</f>
        <v>Skim coating/texturing walls</v>
      </c>
      <c r="D586" s="3859"/>
      <c r="E586" s="3859"/>
      <c r="F586" s="3859"/>
      <c r="G586" s="3831">
        <f>'2 REPAIR ESTIMATOR'!AQ646</f>
        <v>0</v>
      </c>
      <c r="H586" s="3831"/>
      <c r="I586" s="810">
        <f t="shared" si="45"/>
        <v>0</v>
      </c>
      <c r="J586" s="811">
        <f t="shared" si="46"/>
        <v>0</v>
      </c>
      <c r="K586" s="3832"/>
      <c r="L586" s="3833"/>
      <c r="M586" s="3833"/>
      <c r="N586" s="3834"/>
      <c r="O586" s="820">
        <f t="shared" si="47"/>
        <v>0</v>
      </c>
    </row>
    <row r="587" spans="3:15" ht="18" hidden="1">
      <c r="C587" s="3859" t="str">
        <f>T('2 REPAIR ESTIMATOR'!D647:O647)</f>
        <v>Skim coating/texturing ceilings</v>
      </c>
      <c r="D587" s="3859"/>
      <c r="E587" s="3859"/>
      <c r="F587" s="3859"/>
      <c r="G587" s="3831">
        <f>'2 REPAIR ESTIMATOR'!AQ647</f>
        <v>0</v>
      </c>
      <c r="H587" s="3831"/>
      <c r="I587" s="810">
        <f t="shared" si="45"/>
        <v>0</v>
      </c>
      <c r="J587" s="811">
        <f t="shared" si="46"/>
        <v>0</v>
      </c>
      <c r="K587" s="3832"/>
      <c r="L587" s="3833"/>
      <c r="M587" s="3833"/>
      <c r="N587" s="3834"/>
      <c r="O587" s="820">
        <f t="shared" si="47"/>
        <v>0</v>
      </c>
    </row>
    <row r="588" spans="3:15" ht="18" hidden="1">
      <c r="C588" s="3859" t="str">
        <f>T('2 REPAIR ESTIMATOR'!D648:O648)</f>
        <v/>
      </c>
      <c r="D588" s="3859"/>
      <c r="E588" s="3859"/>
      <c r="F588" s="3859"/>
      <c r="G588" s="3831">
        <f>'2 REPAIR ESTIMATOR'!AQ648</f>
        <v>0</v>
      </c>
      <c r="H588" s="3831"/>
      <c r="I588" s="810">
        <f t="shared" si="45"/>
        <v>0</v>
      </c>
      <c r="J588" s="811">
        <f t="shared" si="46"/>
        <v>0</v>
      </c>
      <c r="K588" s="3832"/>
      <c r="L588" s="3833"/>
      <c r="M588" s="3833"/>
      <c r="N588" s="3834"/>
      <c r="O588" s="820">
        <f t="shared" si="47"/>
        <v>0</v>
      </c>
    </row>
    <row r="589" spans="3:15" ht="18" hidden="1">
      <c r="C589" s="3859" t="str">
        <f>T('2 REPAIR ESTIMATOR'!D649:O649)</f>
        <v/>
      </c>
      <c r="D589" s="3859"/>
      <c r="E589" s="3859"/>
      <c r="F589" s="3859"/>
      <c r="G589" s="3831">
        <f>'2 REPAIR ESTIMATOR'!AQ649</f>
        <v>0</v>
      </c>
      <c r="H589" s="3831"/>
      <c r="I589" s="810">
        <f t="shared" si="45"/>
        <v>0</v>
      </c>
      <c r="J589" s="811">
        <f t="shared" si="46"/>
        <v>0</v>
      </c>
      <c r="K589" s="3832"/>
      <c r="L589" s="3833"/>
      <c r="M589" s="3833"/>
      <c r="N589" s="3834"/>
      <c r="O589" s="820">
        <f t="shared" si="47"/>
        <v>0</v>
      </c>
    </row>
    <row r="590" spans="3:15" ht="18" hidden="1">
      <c r="C590" s="3859" t="str">
        <f>T('2 REPAIR ESTIMATOR'!D650:O650)</f>
        <v/>
      </c>
      <c r="D590" s="3859"/>
      <c r="E590" s="3859"/>
      <c r="F590" s="3859"/>
      <c r="G590" s="3831">
        <f>'2 REPAIR ESTIMATOR'!AQ650</f>
        <v>0</v>
      </c>
      <c r="H590" s="3831"/>
      <c r="I590" s="810">
        <f t="shared" si="45"/>
        <v>0</v>
      </c>
      <c r="J590" s="811">
        <f t="shared" si="46"/>
        <v>0</v>
      </c>
      <c r="K590" s="3832"/>
      <c r="L590" s="3833"/>
      <c r="M590" s="3833"/>
      <c r="N590" s="3834"/>
      <c r="O590" s="820">
        <f t="shared" si="47"/>
        <v>0</v>
      </c>
    </row>
    <row r="591" spans="3:15" ht="18" hidden="1">
      <c r="C591" s="3859" t="str">
        <f>T('2 REPAIR ESTIMATOR'!D651:O651)</f>
        <v/>
      </c>
      <c r="D591" s="3859"/>
      <c r="E591" s="3859"/>
      <c r="F591" s="3859"/>
      <c r="G591" s="3831">
        <f>'2 REPAIR ESTIMATOR'!AQ651</f>
        <v>0</v>
      </c>
      <c r="H591" s="3831"/>
      <c r="I591" s="810">
        <f t="shared" si="45"/>
        <v>0</v>
      </c>
      <c r="J591" s="811">
        <f t="shared" si="46"/>
        <v>0</v>
      </c>
      <c r="K591" s="3832"/>
      <c r="L591" s="3833"/>
      <c r="M591" s="3833"/>
      <c r="N591" s="3834"/>
      <c r="O591" s="820">
        <f t="shared" si="47"/>
        <v>0</v>
      </c>
    </row>
    <row r="592" spans="3:15" ht="18" hidden="1">
      <c r="C592" s="3859" t="str">
        <f>T('2 REPAIR ESTIMATOR'!D652:O652)</f>
        <v/>
      </c>
      <c r="D592" s="3859"/>
      <c r="E592" s="3859"/>
      <c r="F592" s="3859"/>
      <c r="G592" s="3831">
        <f>'2 REPAIR ESTIMATOR'!AQ652</f>
        <v>0</v>
      </c>
      <c r="H592" s="3831"/>
      <c r="I592" s="810">
        <f t="shared" si="45"/>
        <v>0</v>
      </c>
      <c r="J592" s="811">
        <f t="shared" si="46"/>
        <v>0</v>
      </c>
      <c r="K592" s="3832"/>
      <c r="L592" s="3833"/>
      <c r="M592" s="3833"/>
      <c r="N592" s="3834"/>
      <c r="O592" s="820">
        <f t="shared" si="47"/>
        <v>0</v>
      </c>
    </row>
    <row r="593" spans="3:15" ht="18" hidden="1">
      <c r="C593" s="3859" t="str">
        <f>T('2 REPAIR ESTIMATOR'!D653:O653)</f>
        <v/>
      </c>
      <c r="D593" s="3859"/>
      <c r="E593" s="3859"/>
      <c r="F593" s="3859"/>
      <c r="G593" s="3831">
        <f>'2 REPAIR ESTIMATOR'!AQ653</f>
        <v>0</v>
      </c>
      <c r="H593" s="3831"/>
      <c r="I593" s="810">
        <f t="shared" si="45"/>
        <v>0</v>
      </c>
      <c r="J593" s="811">
        <f t="shared" si="46"/>
        <v>0</v>
      </c>
      <c r="K593" s="3832"/>
      <c r="L593" s="3833"/>
      <c r="M593" s="3833"/>
      <c r="N593" s="3834"/>
      <c r="O593" s="820">
        <f t="shared" si="47"/>
        <v>0</v>
      </c>
    </row>
    <row r="594" spans="3:15" ht="18" hidden="1">
      <c r="C594" s="3859" t="str">
        <f>T('2 REPAIR ESTIMATOR'!D654:O654)</f>
        <v/>
      </c>
      <c r="D594" s="3859"/>
      <c r="E594" s="3859"/>
      <c r="F594" s="3859"/>
      <c r="G594" s="3831">
        <f>'2 REPAIR ESTIMATOR'!AQ654</f>
        <v>0</v>
      </c>
      <c r="H594" s="3831"/>
      <c r="I594" s="810">
        <f t="shared" si="45"/>
        <v>0</v>
      </c>
      <c r="J594" s="811">
        <f t="shared" si="46"/>
        <v>0</v>
      </c>
      <c r="K594" s="3832"/>
      <c r="L594" s="3833"/>
      <c r="M594" s="3833"/>
      <c r="N594" s="3834"/>
      <c r="O594" s="820">
        <f t="shared" si="47"/>
        <v>0</v>
      </c>
    </row>
    <row r="595" spans="3:15" ht="18" hidden="1">
      <c r="C595" s="3859" t="str">
        <f>T('2 REPAIR ESTIMATOR'!D655:O655)</f>
        <v/>
      </c>
      <c r="D595" s="3859"/>
      <c r="E595" s="3859"/>
      <c r="F595" s="3859"/>
      <c r="G595" s="3831">
        <f>'2 REPAIR ESTIMATOR'!AQ655</f>
        <v>0</v>
      </c>
      <c r="H595" s="3831"/>
      <c r="I595" s="810">
        <f t="shared" si="45"/>
        <v>0</v>
      </c>
      <c r="J595" s="811">
        <f t="shared" si="46"/>
        <v>0</v>
      </c>
      <c r="K595" s="3832"/>
      <c r="L595" s="3833"/>
      <c r="M595" s="3833"/>
      <c r="N595" s="3834"/>
      <c r="O595" s="820">
        <f t="shared" si="47"/>
        <v>0</v>
      </c>
    </row>
    <row r="596" spans="3:15" ht="18" hidden="1">
      <c r="C596" s="3859" t="str">
        <f>T('2 REPAIR ESTIMATOR'!D656:O656)</f>
        <v/>
      </c>
      <c r="D596" s="3859"/>
      <c r="E596" s="3859"/>
      <c r="F596" s="3859"/>
      <c r="G596" s="3831">
        <f>'2 REPAIR ESTIMATOR'!AQ656</f>
        <v>0</v>
      </c>
      <c r="H596" s="3831"/>
      <c r="I596" s="810">
        <f t="shared" si="45"/>
        <v>0</v>
      </c>
      <c r="J596" s="811">
        <f t="shared" si="46"/>
        <v>0</v>
      </c>
      <c r="K596" s="3832"/>
      <c r="L596" s="3833"/>
      <c r="M596" s="3833"/>
      <c r="N596" s="3834"/>
      <c r="O596" s="820">
        <f t="shared" si="47"/>
        <v>0</v>
      </c>
    </row>
    <row r="597" spans="3:15" ht="18" hidden="1">
      <c r="C597" s="3859" t="str">
        <f>T('2 REPAIR ESTIMATOR'!D657:O657)</f>
        <v/>
      </c>
      <c r="D597" s="3859"/>
      <c r="E597" s="3859"/>
      <c r="F597" s="3859"/>
      <c r="G597" s="3831">
        <f>'2 REPAIR ESTIMATOR'!AQ657</f>
        <v>0</v>
      </c>
      <c r="H597" s="3831"/>
      <c r="I597" s="810">
        <f t="shared" si="45"/>
        <v>0</v>
      </c>
      <c r="J597" s="811">
        <f t="shared" si="46"/>
        <v>0</v>
      </c>
      <c r="K597" s="3832"/>
      <c r="L597" s="3833"/>
      <c r="M597" s="3833"/>
      <c r="N597" s="3834"/>
      <c r="O597" s="820">
        <f t="shared" si="47"/>
        <v>0</v>
      </c>
    </row>
    <row r="598" spans="3:15" ht="18" hidden="1">
      <c r="C598" s="3859" t="str">
        <f>T('2 REPAIR ESTIMATOR'!D658:O658)</f>
        <v/>
      </c>
      <c r="D598" s="3859"/>
      <c r="E598" s="3859"/>
      <c r="F598" s="3859"/>
      <c r="G598" s="3831">
        <f>'2 REPAIR ESTIMATOR'!AQ658</f>
        <v>0</v>
      </c>
      <c r="H598" s="3831"/>
      <c r="I598" s="810">
        <f t="shared" si="45"/>
        <v>0</v>
      </c>
      <c r="J598" s="811">
        <f t="shared" si="46"/>
        <v>0</v>
      </c>
      <c r="K598" s="3832"/>
      <c r="L598" s="3833"/>
      <c r="M598" s="3833"/>
      <c r="N598" s="3834"/>
      <c r="O598" s="820">
        <f t="shared" si="47"/>
        <v>0</v>
      </c>
    </row>
    <row r="599" spans="3:15" ht="18" hidden="1">
      <c r="C599" s="3859" t="str">
        <f>T('2 REPAIR ESTIMATOR'!D659:O659)</f>
        <v/>
      </c>
      <c r="D599" s="3859"/>
      <c r="E599" s="3859"/>
      <c r="F599" s="3859"/>
      <c r="G599" s="3831">
        <f>'2 REPAIR ESTIMATOR'!AQ659</f>
        <v>0</v>
      </c>
      <c r="H599" s="3831"/>
      <c r="I599" s="810">
        <f t="shared" si="45"/>
        <v>0</v>
      </c>
      <c r="J599" s="811">
        <f t="shared" si="46"/>
        <v>0</v>
      </c>
      <c r="K599" s="3832"/>
      <c r="L599" s="3833"/>
      <c r="M599" s="3833"/>
      <c r="N599" s="3834"/>
      <c r="O599" s="820">
        <f t="shared" si="47"/>
        <v>0</v>
      </c>
    </row>
    <row r="600" spans="3:15" ht="18" hidden="1">
      <c r="C600" s="3859" t="str">
        <f>T('2 REPAIR ESTIMATOR'!D660:O660)</f>
        <v/>
      </c>
      <c r="D600" s="3859"/>
      <c r="E600" s="3859"/>
      <c r="F600" s="3859"/>
      <c r="G600" s="3831">
        <f>'2 REPAIR ESTIMATOR'!AQ660</f>
        <v>0</v>
      </c>
      <c r="H600" s="3831"/>
      <c r="I600" s="810">
        <f t="shared" si="45"/>
        <v>0</v>
      </c>
      <c r="J600" s="811">
        <f t="shared" si="46"/>
        <v>0</v>
      </c>
      <c r="K600" s="3832"/>
      <c r="L600" s="3833"/>
      <c r="M600" s="3833"/>
      <c r="N600" s="3834"/>
      <c r="O600" s="820">
        <f t="shared" si="47"/>
        <v>0</v>
      </c>
    </row>
    <row r="601" spans="3:15" ht="18" hidden="1">
      <c r="C601" s="3859" t="str">
        <f>T('2 REPAIR ESTIMATOR'!D661:O661)</f>
        <v/>
      </c>
      <c r="D601" s="3859"/>
      <c r="E601" s="3859"/>
      <c r="F601" s="3859"/>
      <c r="G601" s="3831">
        <f>'2 REPAIR ESTIMATOR'!AQ661</f>
        <v>0</v>
      </c>
      <c r="H601" s="3831"/>
      <c r="I601" s="810">
        <f t="shared" si="45"/>
        <v>0</v>
      </c>
      <c r="J601" s="811">
        <f t="shared" si="46"/>
        <v>0</v>
      </c>
      <c r="K601" s="3832"/>
      <c r="L601" s="3833"/>
      <c r="M601" s="3833"/>
      <c r="N601" s="3834"/>
      <c r="O601" s="820">
        <f t="shared" si="47"/>
        <v>0</v>
      </c>
    </row>
    <row r="602" spans="3:15" ht="18" hidden="1">
      <c r="C602" s="3859" t="str">
        <f>T('2 REPAIR ESTIMATOR'!D662:O662)</f>
        <v/>
      </c>
      <c r="D602" s="3859"/>
      <c r="E602" s="3859"/>
      <c r="F602" s="3859"/>
      <c r="G602" s="3831">
        <f>'2 REPAIR ESTIMATOR'!AQ662</f>
        <v>0</v>
      </c>
      <c r="H602" s="3831"/>
      <c r="I602" s="810">
        <f t="shared" si="45"/>
        <v>0</v>
      </c>
      <c r="J602" s="811">
        <f t="shared" si="46"/>
        <v>0</v>
      </c>
      <c r="K602" s="3832"/>
      <c r="L602" s="3833"/>
      <c r="M602" s="3833"/>
      <c r="N602" s="3834"/>
      <c r="O602" s="820">
        <f t="shared" si="47"/>
        <v>0</v>
      </c>
    </row>
    <row r="603" spans="3:15" ht="18" hidden="1">
      <c r="C603" s="3859" t="str">
        <f>T('2 REPAIR ESTIMATOR'!D663:O663)</f>
        <v/>
      </c>
      <c r="D603" s="3859"/>
      <c r="E603" s="3859"/>
      <c r="F603" s="3859"/>
      <c r="G603" s="3831">
        <f>'2 REPAIR ESTIMATOR'!AQ663</f>
        <v>0</v>
      </c>
      <c r="H603" s="3831"/>
      <c r="I603" s="810">
        <f t="shared" si="45"/>
        <v>0</v>
      </c>
      <c r="J603" s="811">
        <f t="shared" si="46"/>
        <v>0</v>
      </c>
      <c r="K603" s="3832"/>
      <c r="L603" s="3833"/>
      <c r="M603" s="3833"/>
      <c r="N603" s="3834"/>
      <c r="O603" s="820">
        <f t="shared" si="47"/>
        <v>0</v>
      </c>
    </row>
    <row r="604" spans="3:15" ht="18" hidden="1">
      <c r="C604" s="3859" t="str">
        <f>T('2 REPAIR ESTIMATOR'!D664:O664)</f>
        <v/>
      </c>
      <c r="D604" s="3859"/>
      <c r="E604" s="3859"/>
      <c r="F604" s="3859"/>
      <c r="G604" s="3831">
        <f>'2 REPAIR ESTIMATOR'!AQ664</f>
        <v>0</v>
      </c>
      <c r="H604" s="3831"/>
      <c r="I604" s="810">
        <f t="shared" si="45"/>
        <v>0</v>
      </c>
      <c r="J604" s="811">
        <f t="shared" si="46"/>
        <v>0</v>
      </c>
      <c r="K604" s="3832"/>
      <c r="L604" s="3833"/>
      <c r="M604" s="3833"/>
      <c r="N604" s="3834"/>
      <c r="O604" s="820">
        <f t="shared" si="47"/>
        <v>0</v>
      </c>
    </row>
    <row r="605" spans="3:15" ht="18" hidden="1">
      <c r="C605" s="3859" t="str">
        <f>T('2 REPAIR ESTIMATOR'!D665:O665)</f>
        <v/>
      </c>
      <c r="D605" s="3859"/>
      <c r="E605" s="3859"/>
      <c r="F605" s="3859"/>
      <c r="G605" s="3831">
        <f>'2 REPAIR ESTIMATOR'!AQ665</f>
        <v>0</v>
      </c>
      <c r="H605" s="3831"/>
      <c r="I605" s="810">
        <f t="shared" si="45"/>
        <v>0</v>
      </c>
      <c r="J605" s="811">
        <f t="shared" si="46"/>
        <v>0</v>
      </c>
      <c r="K605" s="3832"/>
      <c r="L605" s="3833"/>
      <c r="M605" s="3833"/>
      <c r="N605" s="3834"/>
      <c r="O605" s="820">
        <f t="shared" si="47"/>
        <v>0</v>
      </c>
    </row>
    <row r="606" spans="3:15" ht="18" hidden="1">
      <c r="C606" s="3859" t="str">
        <f>T('2 REPAIR ESTIMATOR'!D666:O666)</f>
        <v/>
      </c>
      <c r="D606" s="3859"/>
      <c r="E606" s="3859"/>
      <c r="F606" s="3859"/>
      <c r="G606" s="3831">
        <f>'2 REPAIR ESTIMATOR'!AQ666</f>
        <v>0</v>
      </c>
      <c r="H606" s="3831"/>
      <c r="I606" s="810">
        <f t="shared" si="45"/>
        <v>0</v>
      </c>
      <c r="J606" s="811">
        <f t="shared" si="46"/>
        <v>0</v>
      </c>
      <c r="K606" s="3832"/>
      <c r="L606" s="3833"/>
      <c r="M606" s="3833"/>
      <c r="N606" s="3834"/>
      <c r="O606" s="820">
        <f t="shared" si="47"/>
        <v>0</v>
      </c>
    </row>
    <row r="607" spans="3:15" ht="18.350000000000001" hidden="1" thickBot="1">
      <c r="C607" s="3835" t="str">
        <f>T('2 REPAIR ESTIMATOR'!D667:O667)</f>
        <v/>
      </c>
      <c r="D607" s="3835"/>
      <c r="E607" s="3835"/>
      <c r="F607" s="3835"/>
      <c r="G607" s="3836">
        <f>'2 REPAIR ESTIMATOR'!AQ667</f>
        <v>0</v>
      </c>
      <c r="H607" s="3836"/>
      <c r="I607" s="813">
        <f t="shared" si="45"/>
        <v>0</v>
      </c>
      <c r="J607" s="814">
        <f t="shared" si="46"/>
        <v>0</v>
      </c>
      <c r="K607" s="3837"/>
      <c r="L607" s="3838"/>
      <c r="M607" s="3838"/>
      <c r="N607" s="3839"/>
      <c r="O607" s="823">
        <f t="shared" si="47"/>
        <v>0</v>
      </c>
    </row>
    <row r="608" spans="3:15" ht="18.350000000000001" hidden="1" thickTop="1">
      <c r="C608" s="3825" t="str">
        <f>T('2 REPAIR ESTIMATOR'!AC669)</f>
        <v>FRAMING &amp; DRYWALL TOTAL</v>
      </c>
      <c r="D608" s="3825"/>
      <c r="E608" s="3825"/>
      <c r="F608" s="3825"/>
      <c r="G608" s="3826">
        <f>SUM(G568:H607)</f>
        <v>0</v>
      </c>
      <c r="H608" s="3826"/>
      <c r="I608" s="818">
        <f>SUM(I568:I607)</f>
        <v>0</v>
      </c>
      <c r="J608" s="819">
        <f>SUM(J568:J607)</f>
        <v>0</v>
      </c>
      <c r="K608" s="3827"/>
      <c r="L608" s="3828"/>
      <c r="M608" s="3828"/>
      <c r="N608" s="3829"/>
      <c r="O608" s="821">
        <f>SUM(O568:O607)</f>
        <v>0</v>
      </c>
    </row>
    <row r="609" spans="3:15" ht="8.85" hidden="1" customHeight="1">
      <c r="C609" s="836"/>
      <c r="D609" s="836"/>
      <c r="E609" s="836"/>
      <c r="F609" s="836"/>
      <c r="G609" s="837"/>
      <c r="H609" s="837"/>
      <c r="I609" s="837"/>
      <c r="J609" s="837"/>
      <c r="K609" s="837"/>
      <c r="L609" s="837"/>
      <c r="M609" s="837"/>
      <c r="N609" s="837"/>
      <c r="O609" s="822">
        <f>O608</f>
        <v>0</v>
      </c>
    </row>
    <row r="610" spans="3:15" ht="22.5" hidden="1" customHeight="1">
      <c r="C610" s="3840" t="str">
        <f>T('2 REPAIR ESTIMATOR'!D672:O672)</f>
        <v>CABINETS &amp; COUNTERTOPS</v>
      </c>
      <c r="D610" s="3840"/>
      <c r="E610" s="3840"/>
      <c r="F610" s="3841"/>
      <c r="G610" s="3845"/>
      <c r="H610" s="3846"/>
      <c r="I610" s="831"/>
      <c r="J610" s="831"/>
      <c r="K610" s="3844"/>
      <c r="L610" s="3844"/>
      <c r="M610" s="3844"/>
      <c r="N610" s="3845"/>
      <c r="O610" s="820">
        <f>SUM(O611:O650)</f>
        <v>0</v>
      </c>
    </row>
    <row r="611" spans="3:15" ht="18" hidden="1">
      <c r="C611" s="3863" t="str">
        <f>T('2 REPAIR ESTIMATOR'!D673:O673)</f>
        <v>Cabinet Installation bid/allowance</v>
      </c>
      <c r="D611" s="3863"/>
      <c r="E611" s="3863"/>
      <c r="F611" s="3863"/>
      <c r="G611" s="3831">
        <f>'2 REPAIR ESTIMATOR'!AQ673</f>
        <v>0</v>
      </c>
      <c r="H611" s="3831"/>
      <c r="I611" s="810">
        <f t="shared" ref="I611:I650" si="48">IFERROR(G611/Property_Size,0)</f>
        <v>0</v>
      </c>
      <c r="J611" s="811">
        <f t="shared" ref="J611:J650" si="49">IFERROR(G611/Total_Project_Costs_Result,0)</f>
        <v>0</v>
      </c>
      <c r="K611" s="3832"/>
      <c r="L611" s="3833"/>
      <c r="M611" s="3833"/>
      <c r="N611" s="3834"/>
      <c r="O611" s="820">
        <f>IF(G611&gt;0,1,0)</f>
        <v>0</v>
      </c>
    </row>
    <row r="612" spans="3:15" ht="18" hidden="1">
      <c r="C612" s="3863" t="str">
        <f>T('2 REPAIR ESTIMATOR'!D674:O674)</f>
        <v>Cabinet Material bid/allowance</v>
      </c>
      <c r="D612" s="3863"/>
      <c r="E612" s="3863"/>
      <c r="F612" s="3863"/>
      <c r="G612" s="3831">
        <f>'2 REPAIR ESTIMATOR'!AQ674</f>
        <v>0</v>
      </c>
      <c r="H612" s="3831"/>
      <c r="I612" s="810">
        <f t="shared" si="48"/>
        <v>0</v>
      </c>
      <c r="J612" s="811">
        <f t="shared" si="49"/>
        <v>0</v>
      </c>
      <c r="K612" s="3832"/>
      <c r="L612" s="3833"/>
      <c r="M612" s="3833"/>
      <c r="N612" s="3834"/>
      <c r="O612" s="820">
        <f t="shared" ref="O612:O650" si="50">IF(G612&gt;0,1,0)</f>
        <v>0</v>
      </c>
    </row>
    <row r="613" spans="3:15" ht="18" hidden="1">
      <c r="C613" s="3863" t="str">
        <f>T('2 REPAIR ESTIMATOR'!D675:O675)</f>
        <v>Countertop bid/allowance</v>
      </c>
      <c r="D613" s="3863"/>
      <c r="E613" s="3863"/>
      <c r="F613" s="3863"/>
      <c r="G613" s="3831">
        <f>'2 REPAIR ESTIMATOR'!AQ675</f>
        <v>0</v>
      </c>
      <c r="H613" s="3831"/>
      <c r="I613" s="810">
        <f t="shared" si="48"/>
        <v>0</v>
      </c>
      <c r="J613" s="811">
        <f t="shared" si="49"/>
        <v>0</v>
      </c>
      <c r="K613" s="3832"/>
      <c r="L613" s="3833"/>
      <c r="M613" s="3833"/>
      <c r="N613" s="3834"/>
      <c r="O613" s="820">
        <f t="shared" si="50"/>
        <v>0</v>
      </c>
    </row>
    <row r="614" spans="3:15" ht="18" hidden="1">
      <c r="C614" s="3858" t="str">
        <f>T('2 REPAIR ESTIMATOR'!D676:O676)</f>
        <v>Kitchen</v>
      </c>
      <c r="D614" s="3858"/>
      <c r="E614" s="3858"/>
      <c r="F614" s="3858"/>
      <c r="G614" s="3831">
        <f>'2 REPAIR ESTIMATOR'!AQ676</f>
        <v>0</v>
      </c>
      <c r="H614" s="3831"/>
      <c r="I614" s="810">
        <f t="shared" si="48"/>
        <v>0</v>
      </c>
      <c r="J614" s="811">
        <f t="shared" si="49"/>
        <v>0</v>
      </c>
      <c r="K614" s="3832"/>
      <c r="L614" s="3833"/>
      <c r="M614" s="3833"/>
      <c r="N614" s="3834"/>
      <c r="O614" s="820">
        <f t="shared" si="50"/>
        <v>0</v>
      </c>
    </row>
    <row r="615" spans="3:15" ht="18" hidden="1">
      <c r="C615" s="3859" t="str">
        <f>T('2 REPAIR ESTIMATOR'!D677:O677)</f>
        <v>Kitchen Base Cabinetry</v>
      </c>
      <c r="D615" s="3859"/>
      <c r="E615" s="3859"/>
      <c r="F615" s="3859"/>
      <c r="G615" s="3831">
        <f>'2 REPAIR ESTIMATOR'!AQ677</f>
        <v>0</v>
      </c>
      <c r="H615" s="3831"/>
      <c r="I615" s="810">
        <f t="shared" si="48"/>
        <v>0</v>
      </c>
      <c r="J615" s="811">
        <f t="shared" si="49"/>
        <v>0</v>
      </c>
      <c r="K615" s="3832"/>
      <c r="L615" s="3833"/>
      <c r="M615" s="3833"/>
      <c r="N615" s="3834"/>
      <c r="O615" s="820">
        <f t="shared" si="50"/>
        <v>0</v>
      </c>
    </row>
    <row r="616" spans="3:15" ht="18" hidden="1">
      <c r="C616" s="3859" t="str">
        <f>T('2 REPAIR ESTIMATOR'!D678:O678)</f>
        <v>Kitchen Upper Cabinetry</v>
      </c>
      <c r="D616" s="3859"/>
      <c r="E616" s="3859"/>
      <c r="F616" s="3859"/>
      <c r="G616" s="3831">
        <f>'2 REPAIR ESTIMATOR'!AQ678</f>
        <v>0</v>
      </c>
      <c r="H616" s="3831"/>
      <c r="I616" s="810">
        <f t="shared" si="48"/>
        <v>0</v>
      </c>
      <c r="J616" s="811">
        <f t="shared" si="49"/>
        <v>0</v>
      </c>
      <c r="K616" s="3832"/>
      <c r="L616" s="3833"/>
      <c r="M616" s="3833"/>
      <c r="N616" s="3834"/>
      <c r="O616" s="820">
        <f t="shared" si="50"/>
        <v>0</v>
      </c>
    </row>
    <row r="617" spans="3:15" ht="18" hidden="1">
      <c r="C617" s="3859" t="str">
        <f>T('2 REPAIR ESTIMATOR'!D679:O679)</f>
        <v>Kitchen Pantry Cabinet</v>
      </c>
      <c r="D617" s="3859"/>
      <c r="E617" s="3859"/>
      <c r="F617" s="3859"/>
      <c r="G617" s="3831">
        <f>'2 REPAIR ESTIMATOR'!AQ679</f>
        <v>0</v>
      </c>
      <c r="H617" s="3831"/>
      <c r="I617" s="810">
        <f t="shared" si="48"/>
        <v>0</v>
      </c>
      <c r="J617" s="811">
        <f t="shared" si="49"/>
        <v>0</v>
      </c>
      <c r="K617" s="3832"/>
      <c r="L617" s="3833"/>
      <c r="M617" s="3833"/>
      <c r="N617" s="3834"/>
      <c r="O617" s="820">
        <f t="shared" si="50"/>
        <v>0</v>
      </c>
    </row>
    <row r="618" spans="3:15" ht="18" hidden="1">
      <c r="C618" s="3859" t="str">
        <f>T('2 REPAIR ESTIMATOR'!D680:O680)</f>
        <v>Plastic laminate countertop</v>
      </c>
      <c r="D618" s="3859"/>
      <c r="E618" s="3859"/>
      <c r="F618" s="3859"/>
      <c r="G618" s="3831">
        <f>'2 REPAIR ESTIMATOR'!AQ680</f>
        <v>0</v>
      </c>
      <c r="H618" s="3831"/>
      <c r="I618" s="810">
        <f t="shared" si="48"/>
        <v>0</v>
      </c>
      <c r="J618" s="811">
        <f t="shared" si="49"/>
        <v>0</v>
      </c>
      <c r="K618" s="3832"/>
      <c r="L618" s="3833"/>
      <c r="M618" s="3833"/>
      <c r="N618" s="3834"/>
      <c r="O618" s="820">
        <f t="shared" si="50"/>
        <v>0</v>
      </c>
    </row>
    <row r="619" spans="3:15" ht="18" hidden="1">
      <c r="C619" s="3859" t="str">
        <f>T('2 REPAIR ESTIMATOR'!D681:O681)</f>
        <v>Replace cabinet doors, only</v>
      </c>
      <c r="D619" s="3859"/>
      <c r="E619" s="3859"/>
      <c r="F619" s="3859"/>
      <c r="G619" s="3831">
        <f>'2 REPAIR ESTIMATOR'!AQ681</f>
        <v>0</v>
      </c>
      <c r="H619" s="3831"/>
      <c r="I619" s="810">
        <f t="shared" si="48"/>
        <v>0</v>
      </c>
      <c r="J619" s="811">
        <f t="shared" si="49"/>
        <v>0</v>
      </c>
      <c r="K619" s="3832"/>
      <c r="L619" s="3833"/>
      <c r="M619" s="3833"/>
      <c r="N619" s="3834"/>
      <c r="O619" s="820">
        <f t="shared" si="50"/>
        <v>0</v>
      </c>
    </row>
    <row r="620" spans="3:15" ht="18" hidden="1">
      <c r="C620" s="3859" t="str">
        <f>T('2 REPAIR ESTIMATOR'!D682:O682)</f>
        <v>Replace cabinet drawer fronts, only</v>
      </c>
      <c r="D620" s="3859"/>
      <c r="E620" s="3859"/>
      <c r="F620" s="3859"/>
      <c r="G620" s="3831">
        <f>'2 REPAIR ESTIMATOR'!AQ682</f>
        <v>0</v>
      </c>
      <c r="H620" s="3831"/>
      <c r="I620" s="810">
        <f t="shared" si="48"/>
        <v>0</v>
      </c>
      <c r="J620" s="811">
        <f t="shared" si="49"/>
        <v>0</v>
      </c>
      <c r="K620" s="3832"/>
      <c r="L620" s="3833"/>
      <c r="M620" s="3833"/>
      <c r="N620" s="3834"/>
      <c r="O620" s="820">
        <f t="shared" si="50"/>
        <v>0</v>
      </c>
    </row>
    <row r="621" spans="3:15" ht="18" hidden="1">
      <c r="C621" s="3859" t="str">
        <f>T('2 REPAIR ESTIMATOR'!D683:O683)</f>
        <v>New cabinet door pulls</v>
      </c>
      <c r="D621" s="3859"/>
      <c r="E621" s="3859"/>
      <c r="F621" s="3859"/>
      <c r="G621" s="3831">
        <f>'2 REPAIR ESTIMATOR'!AQ683</f>
        <v>0</v>
      </c>
      <c r="H621" s="3831"/>
      <c r="I621" s="810">
        <f t="shared" si="48"/>
        <v>0</v>
      </c>
      <c r="J621" s="811">
        <f t="shared" si="49"/>
        <v>0</v>
      </c>
      <c r="K621" s="3832"/>
      <c r="L621" s="3833"/>
      <c r="M621" s="3833"/>
      <c r="N621" s="3834"/>
      <c r="O621" s="820">
        <f t="shared" si="50"/>
        <v>0</v>
      </c>
    </row>
    <row r="622" spans="3:15" ht="18" hidden="1">
      <c r="C622" s="3859" t="str">
        <f>T('2 REPAIR ESTIMATOR'!D684:O684)</f>
        <v>Stone/solid surface countertop, kitchen</v>
      </c>
      <c r="D622" s="3859"/>
      <c r="E622" s="3859"/>
      <c r="F622" s="3859"/>
      <c r="G622" s="3831">
        <f>'2 REPAIR ESTIMATOR'!AQ684</f>
        <v>0</v>
      </c>
      <c r="H622" s="3831"/>
      <c r="I622" s="810">
        <f t="shared" si="48"/>
        <v>0</v>
      </c>
      <c r="J622" s="811">
        <f t="shared" si="49"/>
        <v>0</v>
      </c>
      <c r="K622" s="3832"/>
      <c r="L622" s="3833"/>
      <c r="M622" s="3833"/>
      <c r="N622" s="3834"/>
      <c r="O622" s="820">
        <f t="shared" si="50"/>
        <v>0</v>
      </c>
    </row>
    <row r="623" spans="3:15" ht="18" hidden="1">
      <c r="C623" s="3859" t="str">
        <f>T('2 REPAIR ESTIMATOR'!D685:O685)</f>
        <v>Kitchen sink bowl, stainless steel, undermount</v>
      </c>
      <c r="D623" s="3859"/>
      <c r="E623" s="3859"/>
      <c r="F623" s="3859"/>
      <c r="G623" s="3831">
        <f>'2 REPAIR ESTIMATOR'!AQ685</f>
        <v>0</v>
      </c>
      <c r="H623" s="3831"/>
      <c r="I623" s="810">
        <f t="shared" si="48"/>
        <v>0</v>
      </c>
      <c r="J623" s="811">
        <f t="shared" si="49"/>
        <v>0</v>
      </c>
      <c r="K623" s="3832"/>
      <c r="L623" s="3833"/>
      <c r="M623" s="3833"/>
      <c r="N623" s="3834"/>
      <c r="O623" s="820">
        <f t="shared" si="50"/>
        <v>0</v>
      </c>
    </row>
    <row r="624" spans="3:15" ht="18" hidden="1">
      <c r="C624" s="3859" t="str">
        <f>T('2 REPAIR ESTIMATOR'!D686:O686)</f>
        <v>Kitchen sink bowl, composite, undermount</v>
      </c>
      <c r="D624" s="3859"/>
      <c r="E624" s="3859"/>
      <c r="F624" s="3859"/>
      <c r="G624" s="3831">
        <f>'2 REPAIR ESTIMATOR'!AQ686</f>
        <v>0</v>
      </c>
      <c r="H624" s="3831"/>
      <c r="I624" s="810">
        <f t="shared" si="48"/>
        <v>0</v>
      </c>
      <c r="J624" s="811">
        <f t="shared" si="49"/>
        <v>0</v>
      </c>
      <c r="K624" s="3832"/>
      <c r="L624" s="3833"/>
      <c r="M624" s="3833"/>
      <c r="N624" s="3834"/>
      <c r="O624" s="820">
        <f t="shared" si="50"/>
        <v>0</v>
      </c>
    </row>
    <row r="625" spans="3:15" ht="18" hidden="1">
      <c r="C625" s="3858" t="str">
        <f>T('2 REPAIR ESTIMATOR'!D687:O687)</f>
        <v>Bathrooms</v>
      </c>
      <c r="D625" s="3858"/>
      <c r="E625" s="3858"/>
      <c r="F625" s="3858"/>
      <c r="G625" s="3831">
        <f>'2 REPAIR ESTIMATOR'!AQ687</f>
        <v>0</v>
      </c>
      <c r="H625" s="3831"/>
      <c r="I625" s="810">
        <f t="shared" si="48"/>
        <v>0</v>
      </c>
      <c r="J625" s="811">
        <f t="shared" si="49"/>
        <v>0</v>
      </c>
      <c r="K625" s="3832"/>
      <c r="L625" s="3833"/>
      <c r="M625" s="3833"/>
      <c r="N625" s="3834"/>
      <c r="O625" s="820">
        <f t="shared" si="50"/>
        <v>0</v>
      </c>
    </row>
    <row r="626" spans="3:15" ht="18" hidden="1">
      <c r="C626" s="3859" t="str">
        <f>T('2 REPAIR ESTIMATOR'!D688:O688)</f>
        <v>Vanity cabinet</v>
      </c>
      <c r="D626" s="3859"/>
      <c r="E626" s="3859"/>
      <c r="F626" s="3859"/>
      <c r="G626" s="3831">
        <f>'2 REPAIR ESTIMATOR'!AQ688</f>
        <v>0</v>
      </c>
      <c r="H626" s="3831"/>
      <c r="I626" s="810">
        <f t="shared" si="48"/>
        <v>0</v>
      </c>
      <c r="J626" s="811">
        <f t="shared" si="49"/>
        <v>0</v>
      </c>
      <c r="K626" s="3832"/>
      <c r="L626" s="3833"/>
      <c r="M626" s="3833"/>
      <c r="N626" s="3834"/>
      <c r="O626" s="820">
        <f t="shared" si="50"/>
        <v>0</v>
      </c>
    </row>
    <row r="627" spans="3:15" ht="18" hidden="1">
      <c r="C627" s="3859" t="str">
        <f>T('2 REPAIR ESTIMATOR'!D689:O689)</f>
        <v>New cabinet door pulls</v>
      </c>
      <c r="D627" s="3859"/>
      <c r="E627" s="3859"/>
      <c r="F627" s="3859"/>
      <c r="G627" s="3831">
        <f>'2 REPAIR ESTIMATOR'!AQ689</f>
        <v>0</v>
      </c>
      <c r="H627" s="3831"/>
      <c r="I627" s="810">
        <f t="shared" si="48"/>
        <v>0</v>
      </c>
      <c r="J627" s="811">
        <f t="shared" si="49"/>
        <v>0</v>
      </c>
      <c r="K627" s="3832"/>
      <c r="L627" s="3833"/>
      <c r="M627" s="3833"/>
      <c r="N627" s="3834"/>
      <c r="O627" s="820">
        <f t="shared" si="50"/>
        <v>0</v>
      </c>
    </row>
    <row r="628" spans="3:15" ht="18" hidden="1">
      <c r="C628" s="3859" t="str">
        <f>T('2 REPAIR ESTIMATOR'!D690:O690)</f>
        <v>Vanity countertop, stone/solid surface</v>
      </c>
      <c r="D628" s="3859"/>
      <c r="E628" s="3859"/>
      <c r="F628" s="3859"/>
      <c r="G628" s="3831">
        <f>'2 REPAIR ESTIMATOR'!AQ690</f>
        <v>0</v>
      </c>
      <c r="H628" s="3831"/>
      <c r="I628" s="810">
        <f t="shared" si="48"/>
        <v>0</v>
      </c>
      <c r="J628" s="811">
        <f t="shared" si="49"/>
        <v>0</v>
      </c>
      <c r="K628" s="3832"/>
      <c r="L628" s="3833"/>
      <c r="M628" s="3833"/>
      <c r="N628" s="3834"/>
      <c r="O628" s="820">
        <f t="shared" si="50"/>
        <v>0</v>
      </c>
    </row>
    <row r="629" spans="3:15" ht="18" hidden="1">
      <c r="C629" s="3859" t="str">
        <f>T('2 REPAIR ESTIMATOR'!D691:O691)</f>
        <v/>
      </c>
      <c r="D629" s="3859"/>
      <c r="E629" s="3859"/>
      <c r="F629" s="3859"/>
      <c r="G629" s="3831">
        <f>'2 REPAIR ESTIMATOR'!AQ691</f>
        <v>0</v>
      </c>
      <c r="H629" s="3831"/>
      <c r="I629" s="810">
        <f t="shared" si="48"/>
        <v>0</v>
      </c>
      <c r="J629" s="811">
        <f t="shared" si="49"/>
        <v>0</v>
      </c>
      <c r="K629" s="3832"/>
      <c r="L629" s="3833"/>
      <c r="M629" s="3833"/>
      <c r="N629" s="3834"/>
      <c r="O629" s="820">
        <f t="shared" si="50"/>
        <v>0</v>
      </c>
    </row>
    <row r="630" spans="3:15" ht="18" hidden="1">
      <c r="C630" s="3859" t="str">
        <f>T('2 REPAIR ESTIMATOR'!D692:O692)</f>
        <v/>
      </c>
      <c r="D630" s="3859"/>
      <c r="E630" s="3859"/>
      <c r="F630" s="3859"/>
      <c r="G630" s="3831">
        <f>'2 REPAIR ESTIMATOR'!AQ692</f>
        <v>0</v>
      </c>
      <c r="H630" s="3831"/>
      <c r="I630" s="810">
        <f t="shared" si="48"/>
        <v>0</v>
      </c>
      <c r="J630" s="811">
        <f t="shared" si="49"/>
        <v>0</v>
      </c>
      <c r="K630" s="3832"/>
      <c r="L630" s="3833"/>
      <c r="M630" s="3833"/>
      <c r="N630" s="3834"/>
      <c r="O630" s="820">
        <f t="shared" si="50"/>
        <v>0</v>
      </c>
    </row>
    <row r="631" spans="3:15" ht="18" hidden="1">
      <c r="C631" s="3859" t="str">
        <f>T('2 REPAIR ESTIMATOR'!D693:O693)</f>
        <v/>
      </c>
      <c r="D631" s="3859"/>
      <c r="E631" s="3859"/>
      <c r="F631" s="3859"/>
      <c r="G631" s="3831">
        <f>'2 REPAIR ESTIMATOR'!AQ693</f>
        <v>0</v>
      </c>
      <c r="H631" s="3831"/>
      <c r="I631" s="810">
        <f t="shared" si="48"/>
        <v>0</v>
      </c>
      <c r="J631" s="811">
        <f t="shared" si="49"/>
        <v>0</v>
      </c>
      <c r="K631" s="3832"/>
      <c r="L631" s="3833"/>
      <c r="M631" s="3833"/>
      <c r="N631" s="3834"/>
      <c r="O631" s="820">
        <f t="shared" si="50"/>
        <v>0</v>
      </c>
    </row>
    <row r="632" spans="3:15" ht="18" hidden="1">
      <c r="C632" s="3859" t="str">
        <f>T('2 REPAIR ESTIMATOR'!D694:O694)</f>
        <v/>
      </c>
      <c r="D632" s="3859"/>
      <c r="E632" s="3859"/>
      <c r="F632" s="3859"/>
      <c r="G632" s="3831">
        <f>'2 REPAIR ESTIMATOR'!AQ694</f>
        <v>0</v>
      </c>
      <c r="H632" s="3831"/>
      <c r="I632" s="810">
        <f t="shared" si="48"/>
        <v>0</v>
      </c>
      <c r="J632" s="811">
        <f t="shared" si="49"/>
        <v>0</v>
      </c>
      <c r="K632" s="3832"/>
      <c r="L632" s="3833"/>
      <c r="M632" s="3833"/>
      <c r="N632" s="3834"/>
      <c r="O632" s="820">
        <f t="shared" si="50"/>
        <v>0</v>
      </c>
    </row>
    <row r="633" spans="3:15" ht="18" hidden="1">
      <c r="C633" s="3859" t="str">
        <f>T('2 REPAIR ESTIMATOR'!D695:O695)</f>
        <v/>
      </c>
      <c r="D633" s="3859"/>
      <c r="E633" s="3859"/>
      <c r="F633" s="3859"/>
      <c r="G633" s="3831">
        <f>'2 REPAIR ESTIMATOR'!AQ695</f>
        <v>0</v>
      </c>
      <c r="H633" s="3831"/>
      <c r="I633" s="810">
        <f t="shared" si="48"/>
        <v>0</v>
      </c>
      <c r="J633" s="811">
        <f t="shared" si="49"/>
        <v>0</v>
      </c>
      <c r="K633" s="3832"/>
      <c r="L633" s="3833"/>
      <c r="M633" s="3833"/>
      <c r="N633" s="3834"/>
      <c r="O633" s="820">
        <f t="shared" si="50"/>
        <v>0</v>
      </c>
    </row>
    <row r="634" spans="3:15" ht="18" hidden="1">
      <c r="C634" s="3859" t="str">
        <f>T('2 REPAIR ESTIMATOR'!D696:O696)</f>
        <v/>
      </c>
      <c r="D634" s="3859"/>
      <c r="E634" s="3859"/>
      <c r="F634" s="3859"/>
      <c r="G634" s="3831">
        <f>'2 REPAIR ESTIMATOR'!AQ696</f>
        <v>0</v>
      </c>
      <c r="H634" s="3831"/>
      <c r="I634" s="810">
        <f t="shared" si="48"/>
        <v>0</v>
      </c>
      <c r="J634" s="811">
        <f t="shared" si="49"/>
        <v>0</v>
      </c>
      <c r="K634" s="3832"/>
      <c r="L634" s="3833"/>
      <c r="M634" s="3833"/>
      <c r="N634" s="3834"/>
      <c r="O634" s="820">
        <f t="shared" si="50"/>
        <v>0</v>
      </c>
    </row>
    <row r="635" spans="3:15" ht="18" hidden="1">
      <c r="C635" s="3859" t="str">
        <f>T('2 REPAIR ESTIMATOR'!D697:O697)</f>
        <v/>
      </c>
      <c r="D635" s="3859"/>
      <c r="E635" s="3859"/>
      <c r="F635" s="3859"/>
      <c r="G635" s="3831">
        <f>'2 REPAIR ESTIMATOR'!AQ697</f>
        <v>0</v>
      </c>
      <c r="H635" s="3831"/>
      <c r="I635" s="810">
        <f t="shared" si="48"/>
        <v>0</v>
      </c>
      <c r="J635" s="811">
        <f t="shared" si="49"/>
        <v>0</v>
      </c>
      <c r="K635" s="3832"/>
      <c r="L635" s="3833"/>
      <c r="M635" s="3833"/>
      <c r="N635" s="3834"/>
      <c r="O635" s="820">
        <f t="shared" si="50"/>
        <v>0</v>
      </c>
    </row>
    <row r="636" spans="3:15" ht="18" hidden="1">
      <c r="C636" s="3859" t="str">
        <f>T('2 REPAIR ESTIMATOR'!D698:O698)</f>
        <v/>
      </c>
      <c r="D636" s="3859"/>
      <c r="E636" s="3859"/>
      <c r="F636" s="3859"/>
      <c r="G636" s="3831">
        <f>'2 REPAIR ESTIMATOR'!AQ698</f>
        <v>0</v>
      </c>
      <c r="H636" s="3831"/>
      <c r="I636" s="810">
        <f t="shared" si="48"/>
        <v>0</v>
      </c>
      <c r="J636" s="811">
        <f t="shared" si="49"/>
        <v>0</v>
      </c>
      <c r="K636" s="3832"/>
      <c r="L636" s="3833"/>
      <c r="M636" s="3833"/>
      <c r="N636" s="3834"/>
      <c r="O636" s="820">
        <f t="shared" si="50"/>
        <v>0</v>
      </c>
    </row>
    <row r="637" spans="3:15" ht="18" hidden="1">
      <c r="C637" s="3859" t="str">
        <f>T('2 REPAIR ESTIMATOR'!D699:O699)</f>
        <v/>
      </c>
      <c r="D637" s="3859"/>
      <c r="E637" s="3859"/>
      <c r="F637" s="3859"/>
      <c r="G637" s="3831">
        <f>'2 REPAIR ESTIMATOR'!AQ699</f>
        <v>0</v>
      </c>
      <c r="H637" s="3831"/>
      <c r="I637" s="810">
        <f t="shared" si="48"/>
        <v>0</v>
      </c>
      <c r="J637" s="811">
        <f t="shared" si="49"/>
        <v>0</v>
      </c>
      <c r="K637" s="3832"/>
      <c r="L637" s="3833"/>
      <c r="M637" s="3833"/>
      <c r="N637" s="3834"/>
      <c r="O637" s="820">
        <f t="shared" si="50"/>
        <v>0</v>
      </c>
    </row>
    <row r="638" spans="3:15" ht="18" hidden="1">
      <c r="C638" s="3859" t="str">
        <f>T('2 REPAIR ESTIMATOR'!D700:O700)</f>
        <v/>
      </c>
      <c r="D638" s="3859"/>
      <c r="E638" s="3859"/>
      <c r="F638" s="3859"/>
      <c r="G638" s="3831">
        <f>'2 REPAIR ESTIMATOR'!AQ700</f>
        <v>0</v>
      </c>
      <c r="H638" s="3831"/>
      <c r="I638" s="810">
        <f t="shared" si="48"/>
        <v>0</v>
      </c>
      <c r="J638" s="811">
        <f t="shared" si="49"/>
        <v>0</v>
      </c>
      <c r="K638" s="3832"/>
      <c r="L638" s="3833"/>
      <c r="M638" s="3833"/>
      <c r="N638" s="3834"/>
      <c r="O638" s="820">
        <f t="shared" si="50"/>
        <v>0</v>
      </c>
    </row>
    <row r="639" spans="3:15" ht="18" hidden="1">
      <c r="C639" s="3859" t="str">
        <f>T('2 REPAIR ESTIMATOR'!D701:O701)</f>
        <v/>
      </c>
      <c r="D639" s="3859"/>
      <c r="E639" s="3859"/>
      <c r="F639" s="3859"/>
      <c r="G639" s="3831">
        <f>'2 REPAIR ESTIMATOR'!AQ701</f>
        <v>0</v>
      </c>
      <c r="H639" s="3831"/>
      <c r="I639" s="810">
        <f t="shared" si="48"/>
        <v>0</v>
      </c>
      <c r="J639" s="811">
        <f t="shared" si="49"/>
        <v>0</v>
      </c>
      <c r="K639" s="3832"/>
      <c r="L639" s="3833"/>
      <c r="M639" s="3833"/>
      <c r="N639" s="3834"/>
      <c r="O639" s="820">
        <f t="shared" si="50"/>
        <v>0</v>
      </c>
    </row>
    <row r="640" spans="3:15" ht="18" hidden="1">
      <c r="C640" s="3859" t="str">
        <f>T('2 REPAIR ESTIMATOR'!D702:O702)</f>
        <v/>
      </c>
      <c r="D640" s="3859"/>
      <c r="E640" s="3859"/>
      <c r="F640" s="3859"/>
      <c r="G640" s="3831">
        <f>'2 REPAIR ESTIMATOR'!AQ702</f>
        <v>0</v>
      </c>
      <c r="H640" s="3831"/>
      <c r="I640" s="810">
        <f t="shared" si="48"/>
        <v>0</v>
      </c>
      <c r="J640" s="811">
        <f t="shared" si="49"/>
        <v>0</v>
      </c>
      <c r="K640" s="3832"/>
      <c r="L640" s="3833"/>
      <c r="M640" s="3833"/>
      <c r="N640" s="3834"/>
      <c r="O640" s="820">
        <f t="shared" si="50"/>
        <v>0</v>
      </c>
    </row>
    <row r="641" spans="3:15" ht="18" hidden="1">
      <c r="C641" s="3859" t="str">
        <f>T('2 REPAIR ESTIMATOR'!D703:O703)</f>
        <v/>
      </c>
      <c r="D641" s="3859"/>
      <c r="E641" s="3859"/>
      <c r="F641" s="3859"/>
      <c r="G641" s="3831">
        <f>'2 REPAIR ESTIMATOR'!AQ703</f>
        <v>0</v>
      </c>
      <c r="H641" s="3831"/>
      <c r="I641" s="810">
        <f t="shared" si="48"/>
        <v>0</v>
      </c>
      <c r="J641" s="811">
        <f t="shared" si="49"/>
        <v>0</v>
      </c>
      <c r="K641" s="3832"/>
      <c r="L641" s="3833"/>
      <c r="M641" s="3833"/>
      <c r="N641" s="3834"/>
      <c r="O641" s="820">
        <f t="shared" si="50"/>
        <v>0</v>
      </c>
    </row>
    <row r="642" spans="3:15" ht="18" hidden="1">
      <c r="C642" s="3859" t="str">
        <f>T('2 REPAIR ESTIMATOR'!D704:O704)</f>
        <v/>
      </c>
      <c r="D642" s="3859"/>
      <c r="E642" s="3859"/>
      <c r="F642" s="3859"/>
      <c r="G642" s="3831">
        <f>'2 REPAIR ESTIMATOR'!AQ704</f>
        <v>0</v>
      </c>
      <c r="H642" s="3831"/>
      <c r="I642" s="810">
        <f t="shared" si="48"/>
        <v>0</v>
      </c>
      <c r="J642" s="811">
        <f t="shared" si="49"/>
        <v>0</v>
      </c>
      <c r="K642" s="3832"/>
      <c r="L642" s="3833"/>
      <c r="M642" s="3833"/>
      <c r="N642" s="3834"/>
      <c r="O642" s="820">
        <f t="shared" si="50"/>
        <v>0</v>
      </c>
    </row>
    <row r="643" spans="3:15" ht="18" hidden="1">
      <c r="C643" s="3859" t="str">
        <f>T('2 REPAIR ESTIMATOR'!D705:O705)</f>
        <v/>
      </c>
      <c r="D643" s="3859"/>
      <c r="E643" s="3859"/>
      <c r="F643" s="3859"/>
      <c r="G643" s="3831">
        <f>'2 REPAIR ESTIMATOR'!AQ705</f>
        <v>0</v>
      </c>
      <c r="H643" s="3831"/>
      <c r="I643" s="810">
        <f t="shared" si="48"/>
        <v>0</v>
      </c>
      <c r="J643" s="811">
        <f t="shared" si="49"/>
        <v>0</v>
      </c>
      <c r="K643" s="3832"/>
      <c r="L643" s="3833"/>
      <c r="M643" s="3833"/>
      <c r="N643" s="3834"/>
      <c r="O643" s="820">
        <f t="shared" si="50"/>
        <v>0</v>
      </c>
    </row>
    <row r="644" spans="3:15" ht="18" hidden="1">
      <c r="C644" s="3859" t="str">
        <f>T('2 REPAIR ESTIMATOR'!D706:O706)</f>
        <v/>
      </c>
      <c r="D644" s="3859"/>
      <c r="E644" s="3859"/>
      <c r="F644" s="3859"/>
      <c r="G644" s="3831">
        <f>'2 REPAIR ESTIMATOR'!AQ706</f>
        <v>0</v>
      </c>
      <c r="H644" s="3831"/>
      <c r="I644" s="810">
        <f t="shared" si="48"/>
        <v>0</v>
      </c>
      <c r="J644" s="811">
        <f t="shared" si="49"/>
        <v>0</v>
      </c>
      <c r="K644" s="3832"/>
      <c r="L644" s="3833"/>
      <c r="M644" s="3833"/>
      <c r="N644" s="3834"/>
      <c r="O644" s="820">
        <f t="shared" si="50"/>
        <v>0</v>
      </c>
    </row>
    <row r="645" spans="3:15" ht="18" hidden="1">
      <c r="C645" s="3859" t="str">
        <f>T('2 REPAIR ESTIMATOR'!D707:O707)</f>
        <v/>
      </c>
      <c r="D645" s="3859"/>
      <c r="E645" s="3859"/>
      <c r="F645" s="3859"/>
      <c r="G645" s="3831">
        <f>'2 REPAIR ESTIMATOR'!AQ707</f>
        <v>0</v>
      </c>
      <c r="H645" s="3831"/>
      <c r="I645" s="810">
        <f t="shared" si="48"/>
        <v>0</v>
      </c>
      <c r="J645" s="811">
        <f t="shared" si="49"/>
        <v>0</v>
      </c>
      <c r="K645" s="3832"/>
      <c r="L645" s="3833"/>
      <c r="M645" s="3833"/>
      <c r="N645" s="3834"/>
      <c r="O645" s="820">
        <f t="shared" si="50"/>
        <v>0</v>
      </c>
    </row>
    <row r="646" spans="3:15" ht="18" hidden="1">
      <c r="C646" s="3859" t="str">
        <f>T('2 REPAIR ESTIMATOR'!D708:O708)</f>
        <v/>
      </c>
      <c r="D646" s="3859"/>
      <c r="E646" s="3859"/>
      <c r="F646" s="3859"/>
      <c r="G646" s="3831">
        <f>'2 REPAIR ESTIMATOR'!AQ708</f>
        <v>0</v>
      </c>
      <c r="H646" s="3831"/>
      <c r="I646" s="810">
        <f t="shared" si="48"/>
        <v>0</v>
      </c>
      <c r="J646" s="811">
        <f t="shared" si="49"/>
        <v>0</v>
      </c>
      <c r="K646" s="3832"/>
      <c r="L646" s="3833"/>
      <c r="M646" s="3833"/>
      <c r="N646" s="3834"/>
      <c r="O646" s="820">
        <f t="shared" si="50"/>
        <v>0</v>
      </c>
    </row>
    <row r="647" spans="3:15" ht="18" hidden="1">
      <c r="C647" s="3859" t="str">
        <f>T('2 REPAIR ESTIMATOR'!D709:O709)</f>
        <v/>
      </c>
      <c r="D647" s="3859"/>
      <c r="E647" s="3859"/>
      <c r="F647" s="3859"/>
      <c r="G647" s="3831">
        <f>'2 REPAIR ESTIMATOR'!AQ709</f>
        <v>0</v>
      </c>
      <c r="H647" s="3831"/>
      <c r="I647" s="810">
        <f t="shared" si="48"/>
        <v>0</v>
      </c>
      <c r="J647" s="811">
        <f t="shared" si="49"/>
        <v>0</v>
      </c>
      <c r="K647" s="3832"/>
      <c r="L647" s="3833"/>
      <c r="M647" s="3833"/>
      <c r="N647" s="3834"/>
      <c r="O647" s="820">
        <f t="shared" si="50"/>
        <v>0</v>
      </c>
    </row>
    <row r="648" spans="3:15" ht="18" hidden="1">
      <c r="C648" s="3859" t="str">
        <f>T('2 REPAIR ESTIMATOR'!D710:O710)</f>
        <v/>
      </c>
      <c r="D648" s="3859"/>
      <c r="E648" s="3859"/>
      <c r="F648" s="3859"/>
      <c r="G648" s="3831">
        <f>'2 REPAIR ESTIMATOR'!AQ710</f>
        <v>0</v>
      </c>
      <c r="H648" s="3831"/>
      <c r="I648" s="810">
        <f t="shared" si="48"/>
        <v>0</v>
      </c>
      <c r="J648" s="811">
        <f t="shared" si="49"/>
        <v>0</v>
      </c>
      <c r="K648" s="3832"/>
      <c r="L648" s="3833"/>
      <c r="M648" s="3833"/>
      <c r="N648" s="3834"/>
      <c r="O648" s="820">
        <f t="shared" si="50"/>
        <v>0</v>
      </c>
    </row>
    <row r="649" spans="3:15" ht="18" hidden="1">
      <c r="C649" s="3859" t="str">
        <f>T('2 REPAIR ESTIMATOR'!D711:O711)</f>
        <v/>
      </c>
      <c r="D649" s="3859"/>
      <c r="E649" s="3859"/>
      <c r="F649" s="3859"/>
      <c r="G649" s="3831">
        <f>'2 REPAIR ESTIMATOR'!AQ711</f>
        <v>0</v>
      </c>
      <c r="H649" s="3831"/>
      <c r="I649" s="810">
        <f t="shared" si="48"/>
        <v>0</v>
      </c>
      <c r="J649" s="811">
        <f t="shared" si="49"/>
        <v>0</v>
      </c>
      <c r="K649" s="3832"/>
      <c r="L649" s="3833"/>
      <c r="M649" s="3833"/>
      <c r="N649" s="3834"/>
      <c r="O649" s="820">
        <f t="shared" si="50"/>
        <v>0</v>
      </c>
    </row>
    <row r="650" spans="3:15" ht="18.350000000000001" hidden="1" thickBot="1">
      <c r="C650" s="3835" t="str">
        <f>T('2 REPAIR ESTIMATOR'!D712:O712)</f>
        <v/>
      </c>
      <c r="D650" s="3835"/>
      <c r="E650" s="3835"/>
      <c r="F650" s="3835"/>
      <c r="G650" s="3836">
        <f>'2 REPAIR ESTIMATOR'!AQ712</f>
        <v>0</v>
      </c>
      <c r="H650" s="3836"/>
      <c r="I650" s="813">
        <f t="shared" si="48"/>
        <v>0</v>
      </c>
      <c r="J650" s="814">
        <f t="shared" si="49"/>
        <v>0</v>
      </c>
      <c r="K650" s="3837"/>
      <c r="L650" s="3838"/>
      <c r="M650" s="3838"/>
      <c r="N650" s="3839"/>
      <c r="O650" s="823">
        <f t="shared" si="50"/>
        <v>0</v>
      </c>
    </row>
    <row r="651" spans="3:15" ht="18.350000000000001" hidden="1" thickTop="1">
      <c r="C651" s="3825" t="str">
        <f>T('2 REPAIR ESTIMATOR'!AC714)</f>
        <v>CABINETS &amp; COUNTERTOPS TOTAL</v>
      </c>
      <c r="D651" s="3825"/>
      <c r="E651" s="3825"/>
      <c r="F651" s="3825"/>
      <c r="G651" s="3826">
        <f>SUM(G611:H650)</f>
        <v>0</v>
      </c>
      <c r="H651" s="3826"/>
      <c r="I651" s="818">
        <f>SUM(I611:I650)</f>
        <v>0</v>
      </c>
      <c r="J651" s="819">
        <f>SUM(J611:J650)</f>
        <v>0</v>
      </c>
      <c r="K651" s="3827"/>
      <c r="L651" s="3828"/>
      <c r="M651" s="3828"/>
      <c r="N651" s="3829"/>
      <c r="O651" s="821">
        <f>SUM(O611:O650)</f>
        <v>0</v>
      </c>
    </row>
    <row r="652" spans="3:15" ht="8.85" hidden="1" customHeight="1">
      <c r="C652" s="836"/>
      <c r="D652" s="836"/>
      <c r="E652" s="836"/>
      <c r="F652" s="836"/>
      <c r="G652" s="837"/>
      <c r="H652" s="837"/>
      <c r="I652" s="837"/>
      <c r="J652" s="837"/>
      <c r="K652" s="837"/>
      <c r="L652" s="837"/>
      <c r="M652" s="837"/>
      <c r="N652" s="837"/>
      <c r="O652" s="822">
        <f>O651</f>
        <v>0</v>
      </c>
    </row>
    <row r="653" spans="3:15" ht="22.5" hidden="1" customHeight="1">
      <c r="C653" s="3840" t="str">
        <f>T('2 REPAIR ESTIMATOR'!D717:O717)</f>
        <v>DOORS &amp; TRIM</v>
      </c>
      <c r="D653" s="3840"/>
      <c r="E653" s="3840"/>
      <c r="F653" s="3841"/>
      <c r="G653" s="3845"/>
      <c r="H653" s="3846"/>
      <c r="I653" s="831"/>
      <c r="J653" s="831"/>
      <c r="K653" s="3844"/>
      <c r="L653" s="3844"/>
      <c r="M653" s="3844"/>
      <c r="N653" s="3845"/>
      <c r="O653" s="820">
        <f>SUM(O654:O693)</f>
        <v>0</v>
      </c>
    </row>
    <row r="654" spans="3:15" ht="18" hidden="1">
      <c r="C654" s="3859" t="str">
        <f>T('2 REPAIR ESTIMATOR'!D718:O718)</f>
        <v>Finish carpentry bid/allowance</v>
      </c>
      <c r="D654" s="3859"/>
      <c r="E654" s="3859"/>
      <c r="F654" s="3859"/>
      <c r="G654" s="3831">
        <f>'2 REPAIR ESTIMATOR'!AQ718</f>
        <v>0</v>
      </c>
      <c r="H654" s="3831"/>
      <c r="I654" s="810">
        <f t="shared" ref="I654:I693" si="51">IFERROR(G654/Property_Size,0)</f>
        <v>0</v>
      </c>
      <c r="J654" s="811">
        <f t="shared" ref="J654:J693" si="52">IFERROR(G654/Total_Project_Costs_Result,0)</f>
        <v>0</v>
      </c>
      <c r="K654" s="3832"/>
      <c r="L654" s="3833"/>
      <c r="M654" s="3833"/>
      <c r="N654" s="3834"/>
      <c r="O654" s="820">
        <f>IF(G654&gt;0,1,0)</f>
        <v>0</v>
      </c>
    </row>
    <row r="655" spans="3:15" ht="18" hidden="1">
      <c r="C655" s="3859" t="str">
        <f>T('2 REPAIR ESTIMATOR'!D719:O719)</f>
        <v>Interior door, prehung, hollow-core door</v>
      </c>
      <c r="D655" s="3859"/>
      <c r="E655" s="3859"/>
      <c r="F655" s="3859"/>
      <c r="G655" s="3831">
        <f>'2 REPAIR ESTIMATOR'!AQ719</f>
        <v>0</v>
      </c>
      <c r="H655" s="3831"/>
      <c r="I655" s="810">
        <f t="shared" si="51"/>
        <v>0</v>
      </c>
      <c r="J655" s="811">
        <f t="shared" si="52"/>
        <v>0</v>
      </c>
      <c r="K655" s="3832"/>
      <c r="L655" s="3833"/>
      <c r="M655" s="3833"/>
      <c r="N655" s="3834"/>
      <c r="O655" s="820">
        <f t="shared" ref="O655:O693" si="53">IF(G655&gt;0,1,0)</f>
        <v>0</v>
      </c>
    </row>
    <row r="656" spans="3:15" ht="18" hidden="1">
      <c r="C656" s="3859" t="str">
        <f>T('2 REPAIR ESTIMATOR'!D720:O720)</f>
        <v>Interior mirrored, sliding, closet doors</v>
      </c>
      <c r="D656" s="3859"/>
      <c r="E656" s="3859"/>
      <c r="F656" s="3859"/>
      <c r="G656" s="3831">
        <f>'2 REPAIR ESTIMATOR'!AQ720</f>
        <v>0</v>
      </c>
      <c r="H656" s="3831"/>
      <c r="I656" s="810">
        <f t="shared" si="51"/>
        <v>0</v>
      </c>
      <c r="J656" s="811">
        <f t="shared" si="52"/>
        <v>0</v>
      </c>
      <c r="K656" s="3832"/>
      <c r="L656" s="3833"/>
      <c r="M656" s="3833"/>
      <c r="N656" s="3834"/>
      <c r="O656" s="820">
        <f t="shared" si="53"/>
        <v>0</v>
      </c>
    </row>
    <row r="657" spans="3:15" ht="18" hidden="1">
      <c r="C657" s="3859" t="str">
        <f>T('2 REPAIR ESTIMATOR'!D721:O721)</f>
        <v>Interior bi-fold, closet doors</v>
      </c>
      <c r="D657" s="3859"/>
      <c r="E657" s="3859"/>
      <c r="F657" s="3859"/>
      <c r="G657" s="3831">
        <f>'2 REPAIR ESTIMATOR'!AQ721</f>
        <v>0</v>
      </c>
      <c r="H657" s="3831"/>
      <c r="I657" s="810">
        <f t="shared" si="51"/>
        <v>0</v>
      </c>
      <c r="J657" s="811">
        <f t="shared" si="52"/>
        <v>0</v>
      </c>
      <c r="K657" s="3832"/>
      <c r="L657" s="3833"/>
      <c r="M657" s="3833"/>
      <c r="N657" s="3834"/>
      <c r="O657" s="820">
        <f t="shared" si="53"/>
        <v>0</v>
      </c>
    </row>
    <row r="658" spans="3:15" ht="18" hidden="1">
      <c r="C658" s="3859" t="str">
        <f>T('2 REPAIR ESTIMATOR'!D722:O722)</f>
        <v>Door hardware, knobs only</v>
      </c>
      <c r="D658" s="3859"/>
      <c r="E658" s="3859"/>
      <c r="F658" s="3859"/>
      <c r="G658" s="3831">
        <f>'2 REPAIR ESTIMATOR'!AQ722</f>
        <v>0</v>
      </c>
      <c r="H658" s="3831"/>
      <c r="I658" s="810">
        <f t="shared" si="51"/>
        <v>0</v>
      </c>
      <c r="J658" s="811">
        <f t="shared" si="52"/>
        <v>0</v>
      </c>
      <c r="K658" s="3832"/>
      <c r="L658" s="3833"/>
      <c r="M658" s="3833"/>
      <c r="N658" s="3834"/>
      <c r="O658" s="820">
        <f t="shared" si="53"/>
        <v>0</v>
      </c>
    </row>
    <row r="659" spans="3:15" ht="18" hidden="1">
      <c r="C659" s="3859" t="str">
        <f>T('2 REPAIR ESTIMATOR'!D723:O723)</f>
        <v>Door casings</v>
      </c>
      <c r="D659" s="3859"/>
      <c r="E659" s="3859"/>
      <c r="F659" s="3859"/>
      <c r="G659" s="3831">
        <f>'2 REPAIR ESTIMATOR'!AQ723</f>
        <v>0</v>
      </c>
      <c r="H659" s="3831"/>
      <c r="I659" s="810">
        <f t="shared" si="51"/>
        <v>0</v>
      </c>
      <c r="J659" s="811">
        <f t="shared" si="52"/>
        <v>0</v>
      </c>
      <c r="K659" s="3832"/>
      <c r="L659" s="3833"/>
      <c r="M659" s="3833"/>
      <c r="N659" s="3834"/>
      <c r="O659" s="820">
        <f t="shared" si="53"/>
        <v>0</v>
      </c>
    </row>
    <row r="660" spans="3:15" ht="18" hidden="1">
      <c r="C660" s="3859" t="str">
        <f>T('2 REPAIR ESTIMATOR'!D724:O724)</f>
        <v>Window casings</v>
      </c>
      <c r="D660" s="3859"/>
      <c r="E660" s="3859"/>
      <c r="F660" s="3859"/>
      <c r="G660" s="3831">
        <f>'2 REPAIR ESTIMATOR'!AQ724</f>
        <v>0</v>
      </c>
      <c r="H660" s="3831"/>
      <c r="I660" s="810">
        <f t="shared" si="51"/>
        <v>0</v>
      </c>
      <c r="J660" s="811">
        <f t="shared" si="52"/>
        <v>0</v>
      </c>
      <c r="K660" s="3832"/>
      <c r="L660" s="3833"/>
      <c r="M660" s="3833"/>
      <c r="N660" s="3834"/>
      <c r="O660" s="820">
        <f t="shared" si="53"/>
        <v>0</v>
      </c>
    </row>
    <row r="661" spans="3:15" ht="18" hidden="1">
      <c r="C661" s="3859" t="str">
        <f>T('2 REPAIR ESTIMATOR'!D725:O725)</f>
        <v>Window sills</v>
      </c>
      <c r="D661" s="3859"/>
      <c r="E661" s="3859"/>
      <c r="F661" s="3859"/>
      <c r="G661" s="3831">
        <f>'2 REPAIR ESTIMATOR'!AQ725</f>
        <v>0</v>
      </c>
      <c r="H661" s="3831"/>
      <c r="I661" s="810">
        <f t="shared" si="51"/>
        <v>0</v>
      </c>
      <c r="J661" s="811">
        <f t="shared" si="52"/>
        <v>0</v>
      </c>
      <c r="K661" s="3832"/>
      <c r="L661" s="3833"/>
      <c r="M661" s="3833"/>
      <c r="N661" s="3834"/>
      <c r="O661" s="820">
        <f t="shared" si="53"/>
        <v>0</v>
      </c>
    </row>
    <row r="662" spans="3:15" ht="18" hidden="1">
      <c r="C662" s="3859" t="str">
        <f>T('2 REPAIR ESTIMATOR'!D726:O726)</f>
        <v>Wood  base</v>
      </c>
      <c r="D662" s="3859"/>
      <c r="E662" s="3859"/>
      <c r="F662" s="3859"/>
      <c r="G662" s="3831">
        <f>'2 REPAIR ESTIMATOR'!AQ726</f>
        <v>0</v>
      </c>
      <c r="H662" s="3831"/>
      <c r="I662" s="810">
        <f t="shared" si="51"/>
        <v>0</v>
      </c>
      <c r="J662" s="811">
        <f t="shared" si="52"/>
        <v>0</v>
      </c>
      <c r="K662" s="3832"/>
      <c r="L662" s="3833"/>
      <c r="M662" s="3833"/>
      <c r="N662" s="3834"/>
      <c r="O662" s="820">
        <f t="shared" si="53"/>
        <v>0</v>
      </c>
    </row>
    <row r="663" spans="3:15" ht="18" hidden="1">
      <c r="C663" s="3859" t="str">
        <f>T('2 REPAIR ESTIMATOR'!D727:O727)</f>
        <v>Crown molding</v>
      </c>
      <c r="D663" s="3859"/>
      <c r="E663" s="3859"/>
      <c r="F663" s="3859"/>
      <c r="G663" s="3831">
        <f>'2 REPAIR ESTIMATOR'!AQ727</f>
        <v>0</v>
      </c>
      <c r="H663" s="3831"/>
      <c r="I663" s="810">
        <f t="shared" si="51"/>
        <v>0</v>
      </c>
      <c r="J663" s="811">
        <f t="shared" si="52"/>
        <v>0</v>
      </c>
      <c r="K663" s="3832"/>
      <c r="L663" s="3833"/>
      <c r="M663" s="3833"/>
      <c r="N663" s="3834"/>
      <c r="O663" s="820">
        <f t="shared" si="53"/>
        <v>0</v>
      </c>
    </row>
    <row r="664" spans="3:15" ht="18" hidden="1">
      <c r="C664" s="3859" t="str">
        <f>T('2 REPAIR ESTIMATOR'!D728:O728)</f>
        <v>Raised panel wood wainscoting</v>
      </c>
      <c r="D664" s="3859"/>
      <c r="E664" s="3859"/>
      <c r="F664" s="3859"/>
      <c r="G664" s="3831">
        <f>'2 REPAIR ESTIMATOR'!AQ728</f>
        <v>0</v>
      </c>
      <c r="H664" s="3831"/>
      <c r="I664" s="810">
        <f t="shared" si="51"/>
        <v>0</v>
      </c>
      <c r="J664" s="811">
        <f t="shared" si="52"/>
        <v>0</v>
      </c>
      <c r="K664" s="3832"/>
      <c r="L664" s="3833"/>
      <c r="M664" s="3833"/>
      <c r="N664" s="3834"/>
      <c r="O664" s="820">
        <f t="shared" si="53"/>
        <v>0</v>
      </c>
    </row>
    <row r="665" spans="3:15" ht="18" hidden="1">
      <c r="C665" s="3859" t="str">
        <f>T('2 REPAIR ESTIMATOR'!D729:O729)</f>
        <v>Bead board wainscoting</v>
      </c>
      <c r="D665" s="3859"/>
      <c r="E665" s="3859"/>
      <c r="F665" s="3859"/>
      <c r="G665" s="3831">
        <f>'2 REPAIR ESTIMATOR'!AQ729</f>
        <v>0</v>
      </c>
      <c r="H665" s="3831"/>
      <c r="I665" s="810">
        <f t="shared" si="51"/>
        <v>0</v>
      </c>
      <c r="J665" s="811">
        <f t="shared" si="52"/>
        <v>0</v>
      </c>
      <c r="K665" s="3832"/>
      <c r="L665" s="3833"/>
      <c r="M665" s="3833"/>
      <c r="N665" s="3834"/>
      <c r="O665" s="820">
        <f t="shared" si="53"/>
        <v>0</v>
      </c>
    </row>
    <row r="666" spans="3:15" ht="18" hidden="1">
      <c r="C666" s="3859" t="str">
        <f>T('2 REPAIR ESTIMATOR'!D730:O730)</f>
        <v>Fireplace mantel</v>
      </c>
      <c r="D666" s="3859"/>
      <c r="E666" s="3859"/>
      <c r="F666" s="3859"/>
      <c r="G666" s="3831">
        <f>'2 REPAIR ESTIMATOR'!AQ730</f>
        <v>0</v>
      </c>
      <c r="H666" s="3831"/>
      <c r="I666" s="810">
        <f t="shared" si="51"/>
        <v>0</v>
      </c>
      <c r="J666" s="811">
        <f t="shared" si="52"/>
        <v>0</v>
      </c>
      <c r="K666" s="3832"/>
      <c r="L666" s="3833"/>
      <c r="M666" s="3833"/>
      <c r="N666" s="3834"/>
      <c r="O666" s="820">
        <f t="shared" si="53"/>
        <v>0</v>
      </c>
    </row>
    <row r="667" spans="3:15" ht="18" hidden="1">
      <c r="C667" s="3859" t="str">
        <f>T('2 REPAIR ESTIMATOR'!D731:O731)</f>
        <v>Wood columns</v>
      </c>
      <c r="D667" s="3859"/>
      <c r="E667" s="3859"/>
      <c r="F667" s="3859"/>
      <c r="G667" s="3831">
        <f>'2 REPAIR ESTIMATOR'!AQ731</f>
        <v>0</v>
      </c>
      <c r="H667" s="3831"/>
      <c r="I667" s="810">
        <f t="shared" si="51"/>
        <v>0</v>
      </c>
      <c r="J667" s="811">
        <f t="shared" si="52"/>
        <v>0</v>
      </c>
      <c r="K667" s="3832"/>
      <c r="L667" s="3833"/>
      <c r="M667" s="3833"/>
      <c r="N667" s="3834"/>
      <c r="O667" s="820">
        <f t="shared" si="53"/>
        <v>0</v>
      </c>
    </row>
    <row r="668" spans="3:15" ht="18" hidden="1">
      <c r="C668" s="3859" t="str">
        <f>T('2 REPAIR ESTIMATOR'!D732:O732)</f>
        <v>Closet shelf and rod</v>
      </c>
      <c r="D668" s="3859"/>
      <c r="E668" s="3859"/>
      <c r="F668" s="3859"/>
      <c r="G668" s="3831">
        <f>'2 REPAIR ESTIMATOR'!AQ732</f>
        <v>0</v>
      </c>
      <c r="H668" s="3831"/>
      <c r="I668" s="810">
        <f t="shared" si="51"/>
        <v>0</v>
      </c>
      <c r="J668" s="811">
        <f t="shared" si="52"/>
        <v>0</v>
      </c>
      <c r="K668" s="3832"/>
      <c r="L668" s="3833"/>
      <c r="M668" s="3833"/>
      <c r="N668" s="3834"/>
      <c r="O668" s="820">
        <f t="shared" si="53"/>
        <v>0</v>
      </c>
    </row>
    <row r="669" spans="3:15" ht="18" hidden="1">
      <c r="C669" s="3859" t="str">
        <f>T('2 REPAIR ESTIMATOR'!D733:O733)</f>
        <v>Closet kit, 8ft long</v>
      </c>
      <c r="D669" s="3859"/>
      <c r="E669" s="3859"/>
      <c r="F669" s="3859"/>
      <c r="G669" s="3831">
        <f>'2 REPAIR ESTIMATOR'!AQ733</f>
        <v>0</v>
      </c>
      <c r="H669" s="3831"/>
      <c r="I669" s="810">
        <f t="shared" si="51"/>
        <v>0</v>
      </c>
      <c r="J669" s="811">
        <f t="shared" si="52"/>
        <v>0</v>
      </c>
      <c r="K669" s="3832"/>
      <c r="L669" s="3833"/>
      <c r="M669" s="3833"/>
      <c r="N669" s="3834"/>
      <c r="O669" s="820">
        <f t="shared" si="53"/>
        <v>0</v>
      </c>
    </row>
    <row r="670" spans="3:15" ht="18" hidden="1">
      <c r="C670" s="3859" t="str">
        <f>T('2 REPAIR ESTIMATOR'!D734:O734)</f>
        <v>Wood handrail - rail only</v>
      </c>
      <c r="D670" s="3859"/>
      <c r="E670" s="3859"/>
      <c r="F670" s="3859"/>
      <c r="G670" s="3831">
        <f>'2 REPAIR ESTIMATOR'!AQ734</f>
        <v>0</v>
      </c>
      <c r="H670" s="3831"/>
      <c r="I670" s="810">
        <f t="shared" si="51"/>
        <v>0</v>
      </c>
      <c r="J670" s="811">
        <f t="shared" si="52"/>
        <v>0</v>
      </c>
      <c r="K670" s="3832"/>
      <c r="L670" s="3833"/>
      <c r="M670" s="3833"/>
      <c r="N670" s="3834"/>
      <c r="O670" s="820">
        <f t="shared" si="53"/>
        <v>0</v>
      </c>
    </row>
    <row r="671" spans="3:15" ht="18" hidden="1">
      <c r="C671" s="3859" t="str">
        <f>T('2 REPAIR ESTIMATOR'!D735:O735)</f>
        <v>Wood balusters</v>
      </c>
      <c r="D671" s="3859"/>
      <c r="E671" s="3859"/>
      <c r="F671" s="3859"/>
      <c r="G671" s="3831">
        <f>'2 REPAIR ESTIMATOR'!AQ735</f>
        <v>0</v>
      </c>
      <c r="H671" s="3831"/>
      <c r="I671" s="810">
        <f t="shared" si="51"/>
        <v>0</v>
      </c>
      <c r="J671" s="811">
        <f t="shared" si="52"/>
        <v>0</v>
      </c>
      <c r="K671" s="3832"/>
      <c r="L671" s="3833"/>
      <c r="M671" s="3833"/>
      <c r="N671" s="3834"/>
      <c r="O671" s="820">
        <f t="shared" si="53"/>
        <v>0</v>
      </c>
    </row>
    <row r="672" spans="3:15" ht="18" hidden="1">
      <c r="C672" s="3859" t="str">
        <f>T('2 REPAIR ESTIMATOR'!D736:O736)</f>
        <v>Iron balusters</v>
      </c>
      <c r="D672" s="3859"/>
      <c r="E672" s="3859"/>
      <c r="F672" s="3859"/>
      <c r="G672" s="3831">
        <f>'2 REPAIR ESTIMATOR'!AQ736</f>
        <v>0</v>
      </c>
      <c r="H672" s="3831"/>
      <c r="I672" s="810">
        <f t="shared" si="51"/>
        <v>0</v>
      </c>
      <c r="J672" s="811">
        <f t="shared" si="52"/>
        <v>0</v>
      </c>
      <c r="K672" s="3832"/>
      <c r="L672" s="3833"/>
      <c r="M672" s="3833"/>
      <c r="N672" s="3834"/>
      <c r="O672" s="820">
        <f t="shared" si="53"/>
        <v>0</v>
      </c>
    </row>
    <row r="673" spans="3:15" ht="18" hidden="1">
      <c r="C673" s="3859" t="str">
        <f>T('2 REPAIR ESTIMATOR'!D737:O737)</f>
        <v/>
      </c>
      <c r="D673" s="3859"/>
      <c r="E673" s="3859"/>
      <c r="F673" s="3859"/>
      <c r="G673" s="3831">
        <f>'2 REPAIR ESTIMATOR'!AQ737</f>
        <v>0</v>
      </c>
      <c r="H673" s="3831"/>
      <c r="I673" s="810">
        <f t="shared" si="51"/>
        <v>0</v>
      </c>
      <c r="J673" s="811">
        <f t="shared" si="52"/>
        <v>0</v>
      </c>
      <c r="K673" s="3832"/>
      <c r="L673" s="3833"/>
      <c r="M673" s="3833"/>
      <c r="N673" s="3834"/>
      <c r="O673" s="820">
        <f t="shared" si="53"/>
        <v>0</v>
      </c>
    </row>
    <row r="674" spans="3:15" ht="18" hidden="1">
      <c r="C674" s="3859" t="str">
        <f>T('2 REPAIR ESTIMATOR'!D738:O738)</f>
        <v/>
      </c>
      <c r="D674" s="3859"/>
      <c r="E674" s="3859"/>
      <c r="F674" s="3859"/>
      <c r="G674" s="3831">
        <f>'2 REPAIR ESTIMATOR'!AQ738</f>
        <v>0</v>
      </c>
      <c r="H674" s="3831"/>
      <c r="I674" s="810">
        <f t="shared" si="51"/>
        <v>0</v>
      </c>
      <c r="J674" s="811">
        <f t="shared" si="52"/>
        <v>0</v>
      </c>
      <c r="K674" s="3832"/>
      <c r="L674" s="3833"/>
      <c r="M674" s="3833"/>
      <c r="N674" s="3834"/>
      <c r="O674" s="820">
        <f t="shared" si="53"/>
        <v>0</v>
      </c>
    </row>
    <row r="675" spans="3:15" ht="18" hidden="1">
      <c r="C675" s="3859" t="str">
        <f>T('2 REPAIR ESTIMATOR'!D739:O739)</f>
        <v/>
      </c>
      <c r="D675" s="3859"/>
      <c r="E675" s="3859"/>
      <c r="F675" s="3859"/>
      <c r="G675" s="3831">
        <f>'2 REPAIR ESTIMATOR'!AQ739</f>
        <v>0</v>
      </c>
      <c r="H675" s="3831"/>
      <c r="I675" s="810">
        <f t="shared" si="51"/>
        <v>0</v>
      </c>
      <c r="J675" s="811">
        <f t="shared" si="52"/>
        <v>0</v>
      </c>
      <c r="K675" s="3832"/>
      <c r="L675" s="3833"/>
      <c r="M675" s="3833"/>
      <c r="N675" s="3834"/>
      <c r="O675" s="820">
        <f t="shared" si="53"/>
        <v>0</v>
      </c>
    </row>
    <row r="676" spans="3:15" ht="18" hidden="1">
      <c r="C676" s="3859" t="str">
        <f>T('2 REPAIR ESTIMATOR'!D740:O740)</f>
        <v/>
      </c>
      <c r="D676" s="3859"/>
      <c r="E676" s="3859"/>
      <c r="F676" s="3859"/>
      <c r="G676" s="3831">
        <f>'2 REPAIR ESTIMATOR'!AQ740</f>
        <v>0</v>
      </c>
      <c r="H676" s="3831"/>
      <c r="I676" s="810">
        <f t="shared" si="51"/>
        <v>0</v>
      </c>
      <c r="J676" s="811">
        <f t="shared" si="52"/>
        <v>0</v>
      </c>
      <c r="K676" s="3832"/>
      <c r="L676" s="3833"/>
      <c r="M676" s="3833"/>
      <c r="N676" s="3834"/>
      <c r="O676" s="820">
        <f t="shared" si="53"/>
        <v>0</v>
      </c>
    </row>
    <row r="677" spans="3:15" ht="18" hidden="1">
      <c r="C677" s="3859" t="str">
        <f>T('2 REPAIR ESTIMATOR'!D741:O741)</f>
        <v/>
      </c>
      <c r="D677" s="3859"/>
      <c r="E677" s="3859"/>
      <c r="F677" s="3859"/>
      <c r="G677" s="3831">
        <f>'2 REPAIR ESTIMATOR'!AQ741</f>
        <v>0</v>
      </c>
      <c r="H677" s="3831"/>
      <c r="I677" s="810">
        <f t="shared" si="51"/>
        <v>0</v>
      </c>
      <c r="J677" s="811">
        <f t="shared" si="52"/>
        <v>0</v>
      </c>
      <c r="K677" s="3832"/>
      <c r="L677" s="3833"/>
      <c r="M677" s="3833"/>
      <c r="N677" s="3834"/>
      <c r="O677" s="820">
        <f t="shared" si="53"/>
        <v>0</v>
      </c>
    </row>
    <row r="678" spans="3:15" ht="18" hidden="1">
      <c r="C678" s="3859" t="str">
        <f>T('2 REPAIR ESTIMATOR'!D742:O742)</f>
        <v/>
      </c>
      <c r="D678" s="3859"/>
      <c r="E678" s="3859"/>
      <c r="F678" s="3859"/>
      <c r="G678" s="3831">
        <f>'2 REPAIR ESTIMATOR'!AQ742</f>
        <v>0</v>
      </c>
      <c r="H678" s="3831"/>
      <c r="I678" s="810">
        <f t="shared" si="51"/>
        <v>0</v>
      </c>
      <c r="J678" s="811">
        <f t="shared" si="52"/>
        <v>0</v>
      </c>
      <c r="K678" s="3832"/>
      <c r="L678" s="3833"/>
      <c r="M678" s="3833"/>
      <c r="N678" s="3834"/>
      <c r="O678" s="820">
        <f t="shared" si="53"/>
        <v>0</v>
      </c>
    </row>
    <row r="679" spans="3:15" ht="18" hidden="1">
      <c r="C679" s="3859" t="str">
        <f>T('2 REPAIR ESTIMATOR'!D743:O743)</f>
        <v/>
      </c>
      <c r="D679" s="3859"/>
      <c r="E679" s="3859"/>
      <c r="F679" s="3859"/>
      <c r="G679" s="3831">
        <f>'2 REPAIR ESTIMATOR'!AQ743</f>
        <v>0</v>
      </c>
      <c r="H679" s="3831"/>
      <c r="I679" s="810">
        <f t="shared" si="51"/>
        <v>0</v>
      </c>
      <c r="J679" s="811">
        <f t="shared" si="52"/>
        <v>0</v>
      </c>
      <c r="K679" s="3832"/>
      <c r="L679" s="3833"/>
      <c r="M679" s="3833"/>
      <c r="N679" s="3834"/>
      <c r="O679" s="820">
        <f t="shared" si="53"/>
        <v>0</v>
      </c>
    </row>
    <row r="680" spans="3:15" ht="18" hidden="1">
      <c r="C680" s="3859" t="str">
        <f>T('2 REPAIR ESTIMATOR'!D744:O744)</f>
        <v/>
      </c>
      <c r="D680" s="3859"/>
      <c r="E680" s="3859"/>
      <c r="F680" s="3859"/>
      <c r="G680" s="3831">
        <f>'2 REPAIR ESTIMATOR'!AQ744</f>
        <v>0</v>
      </c>
      <c r="H680" s="3831"/>
      <c r="I680" s="810">
        <f t="shared" si="51"/>
        <v>0</v>
      </c>
      <c r="J680" s="811">
        <f t="shared" si="52"/>
        <v>0</v>
      </c>
      <c r="K680" s="3832"/>
      <c r="L680" s="3833"/>
      <c r="M680" s="3833"/>
      <c r="N680" s="3834"/>
      <c r="O680" s="820">
        <f t="shared" si="53"/>
        <v>0</v>
      </c>
    </row>
    <row r="681" spans="3:15" ht="18" hidden="1">
      <c r="C681" s="3859" t="str">
        <f>T('2 REPAIR ESTIMATOR'!D745:O745)</f>
        <v/>
      </c>
      <c r="D681" s="3859"/>
      <c r="E681" s="3859"/>
      <c r="F681" s="3859"/>
      <c r="G681" s="3831">
        <f>'2 REPAIR ESTIMATOR'!AQ745</f>
        <v>0</v>
      </c>
      <c r="H681" s="3831"/>
      <c r="I681" s="810">
        <f t="shared" si="51"/>
        <v>0</v>
      </c>
      <c r="J681" s="811">
        <f t="shared" si="52"/>
        <v>0</v>
      </c>
      <c r="K681" s="3832"/>
      <c r="L681" s="3833"/>
      <c r="M681" s="3833"/>
      <c r="N681" s="3834"/>
      <c r="O681" s="820">
        <f t="shared" si="53"/>
        <v>0</v>
      </c>
    </row>
    <row r="682" spans="3:15" ht="18" hidden="1">
      <c r="C682" s="3859" t="str">
        <f>T('2 REPAIR ESTIMATOR'!D746:O746)</f>
        <v/>
      </c>
      <c r="D682" s="3859"/>
      <c r="E682" s="3859"/>
      <c r="F682" s="3859"/>
      <c r="G682" s="3831">
        <f>'2 REPAIR ESTIMATOR'!AQ746</f>
        <v>0</v>
      </c>
      <c r="H682" s="3831"/>
      <c r="I682" s="810">
        <f t="shared" si="51"/>
        <v>0</v>
      </c>
      <c r="J682" s="811">
        <f t="shared" si="52"/>
        <v>0</v>
      </c>
      <c r="K682" s="3832"/>
      <c r="L682" s="3833"/>
      <c r="M682" s="3833"/>
      <c r="N682" s="3834"/>
      <c r="O682" s="820">
        <f t="shared" si="53"/>
        <v>0</v>
      </c>
    </row>
    <row r="683" spans="3:15" ht="18" hidden="1">
      <c r="C683" s="3859" t="str">
        <f>T('2 REPAIR ESTIMATOR'!D747:O747)</f>
        <v/>
      </c>
      <c r="D683" s="3859"/>
      <c r="E683" s="3859"/>
      <c r="F683" s="3859"/>
      <c r="G683" s="3831">
        <f>'2 REPAIR ESTIMATOR'!AQ747</f>
        <v>0</v>
      </c>
      <c r="H683" s="3831"/>
      <c r="I683" s="810">
        <f t="shared" si="51"/>
        <v>0</v>
      </c>
      <c r="J683" s="811">
        <f t="shared" si="52"/>
        <v>0</v>
      </c>
      <c r="K683" s="3832"/>
      <c r="L683" s="3833"/>
      <c r="M683" s="3833"/>
      <c r="N683" s="3834"/>
      <c r="O683" s="820">
        <f t="shared" si="53"/>
        <v>0</v>
      </c>
    </row>
    <row r="684" spans="3:15" ht="18" hidden="1">
      <c r="C684" s="3859" t="str">
        <f>T('2 REPAIR ESTIMATOR'!D748:O748)</f>
        <v/>
      </c>
      <c r="D684" s="3859"/>
      <c r="E684" s="3859"/>
      <c r="F684" s="3859"/>
      <c r="G684" s="3831">
        <f>'2 REPAIR ESTIMATOR'!AQ748</f>
        <v>0</v>
      </c>
      <c r="H684" s="3831"/>
      <c r="I684" s="810">
        <f t="shared" si="51"/>
        <v>0</v>
      </c>
      <c r="J684" s="811">
        <f t="shared" si="52"/>
        <v>0</v>
      </c>
      <c r="K684" s="3832"/>
      <c r="L684" s="3833"/>
      <c r="M684" s="3833"/>
      <c r="N684" s="3834"/>
      <c r="O684" s="820">
        <f t="shared" si="53"/>
        <v>0</v>
      </c>
    </row>
    <row r="685" spans="3:15" ht="18" hidden="1">
      <c r="C685" s="3859" t="str">
        <f>T('2 REPAIR ESTIMATOR'!D749:O749)</f>
        <v/>
      </c>
      <c r="D685" s="3859"/>
      <c r="E685" s="3859"/>
      <c r="F685" s="3859"/>
      <c r="G685" s="3831">
        <f>'2 REPAIR ESTIMATOR'!AQ749</f>
        <v>0</v>
      </c>
      <c r="H685" s="3831"/>
      <c r="I685" s="810">
        <f t="shared" si="51"/>
        <v>0</v>
      </c>
      <c r="J685" s="811">
        <f t="shared" si="52"/>
        <v>0</v>
      </c>
      <c r="K685" s="3832"/>
      <c r="L685" s="3833"/>
      <c r="M685" s="3833"/>
      <c r="N685" s="3834"/>
      <c r="O685" s="820">
        <f t="shared" si="53"/>
        <v>0</v>
      </c>
    </row>
    <row r="686" spans="3:15" ht="18" hidden="1">
      <c r="C686" s="3859" t="str">
        <f>T('2 REPAIR ESTIMATOR'!D750:O750)</f>
        <v/>
      </c>
      <c r="D686" s="3859"/>
      <c r="E686" s="3859"/>
      <c r="F686" s="3859"/>
      <c r="G686" s="3831">
        <f>'2 REPAIR ESTIMATOR'!AQ750</f>
        <v>0</v>
      </c>
      <c r="H686" s="3831"/>
      <c r="I686" s="810">
        <f t="shared" si="51"/>
        <v>0</v>
      </c>
      <c r="J686" s="811">
        <f t="shared" si="52"/>
        <v>0</v>
      </c>
      <c r="K686" s="3832"/>
      <c r="L686" s="3833"/>
      <c r="M686" s="3833"/>
      <c r="N686" s="3834"/>
      <c r="O686" s="820">
        <f t="shared" si="53"/>
        <v>0</v>
      </c>
    </row>
    <row r="687" spans="3:15" ht="18" hidden="1">
      <c r="C687" s="3859" t="str">
        <f>T('2 REPAIR ESTIMATOR'!D751:O751)</f>
        <v/>
      </c>
      <c r="D687" s="3859"/>
      <c r="E687" s="3859"/>
      <c r="F687" s="3859"/>
      <c r="G687" s="3831">
        <f>'2 REPAIR ESTIMATOR'!AQ751</f>
        <v>0</v>
      </c>
      <c r="H687" s="3831"/>
      <c r="I687" s="810">
        <f t="shared" si="51"/>
        <v>0</v>
      </c>
      <c r="J687" s="811">
        <f t="shared" si="52"/>
        <v>0</v>
      </c>
      <c r="K687" s="3832"/>
      <c r="L687" s="3833"/>
      <c r="M687" s="3833"/>
      <c r="N687" s="3834"/>
      <c r="O687" s="820">
        <f t="shared" si="53"/>
        <v>0</v>
      </c>
    </row>
    <row r="688" spans="3:15" ht="18" hidden="1">
      <c r="C688" s="3859" t="str">
        <f>T('2 REPAIR ESTIMATOR'!D752:O752)</f>
        <v/>
      </c>
      <c r="D688" s="3859"/>
      <c r="E688" s="3859"/>
      <c r="F688" s="3859"/>
      <c r="G688" s="3831">
        <f>'2 REPAIR ESTIMATOR'!AQ752</f>
        <v>0</v>
      </c>
      <c r="H688" s="3831"/>
      <c r="I688" s="810">
        <f t="shared" si="51"/>
        <v>0</v>
      </c>
      <c r="J688" s="811">
        <f t="shared" si="52"/>
        <v>0</v>
      </c>
      <c r="K688" s="3832"/>
      <c r="L688" s="3833"/>
      <c r="M688" s="3833"/>
      <c r="N688" s="3834"/>
      <c r="O688" s="820">
        <f t="shared" si="53"/>
        <v>0</v>
      </c>
    </row>
    <row r="689" spans="3:15" ht="18" hidden="1">
      <c r="C689" s="3859" t="str">
        <f>T('2 REPAIR ESTIMATOR'!D753:O753)</f>
        <v/>
      </c>
      <c r="D689" s="3859"/>
      <c r="E689" s="3859"/>
      <c r="F689" s="3859"/>
      <c r="G689" s="3831">
        <f>'2 REPAIR ESTIMATOR'!AQ753</f>
        <v>0</v>
      </c>
      <c r="H689" s="3831"/>
      <c r="I689" s="810">
        <f t="shared" si="51"/>
        <v>0</v>
      </c>
      <c r="J689" s="811">
        <f t="shared" si="52"/>
        <v>0</v>
      </c>
      <c r="K689" s="3832"/>
      <c r="L689" s="3833"/>
      <c r="M689" s="3833"/>
      <c r="N689" s="3834"/>
      <c r="O689" s="820">
        <f t="shared" si="53"/>
        <v>0</v>
      </c>
    </row>
    <row r="690" spans="3:15" ht="18" hidden="1">
      <c r="C690" s="3859" t="str">
        <f>T('2 REPAIR ESTIMATOR'!D754:O754)</f>
        <v/>
      </c>
      <c r="D690" s="3859"/>
      <c r="E690" s="3859"/>
      <c r="F690" s="3859"/>
      <c r="G690" s="3831">
        <f>'2 REPAIR ESTIMATOR'!AQ754</f>
        <v>0</v>
      </c>
      <c r="H690" s="3831"/>
      <c r="I690" s="810">
        <f t="shared" si="51"/>
        <v>0</v>
      </c>
      <c r="J690" s="811">
        <f t="shared" si="52"/>
        <v>0</v>
      </c>
      <c r="K690" s="3832"/>
      <c r="L690" s="3833"/>
      <c r="M690" s="3833"/>
      <c r="N690" s="3834"/>
      <c r="O690" s="820">
        <f t="shared" si="53"/>
        <v>0</v>
      </c>
    </row>
    <row r="691" spans="3:15" ht="18" hidden="1">
      <c r="C691" s="3859" t="str">
        <f>T('2 REPAIR ESTIMATOR'!D755:O755)</f>
        <v/>
      </c>
      <c r="D691" s="3859"/>
      <c r="E691" s="3859"/>
      <c r="F691" s="3859"/>
      <c r="G691" s="3831">
        <f>'2 REPAIR ESTIMATOR'!AQ755</f>
        <v>0</v>
      </c>
      <c r="H691" s="3831"/>
      <c r="I691" s="810">
        <f t="shared" si="51"/>
        <v>0</v>
      </c>
      <c r="J691" s="811">
        <f t="shared" si="52"/>
        <v>0</v>
      </c>
      <c r="K691" s="3832"/>
      <c r="L691" s="3833"/>
      <c r="M691" s="3833"/>
      <c r="N691" s="3834"/>
      <c r="O691" s="820">
        <f t="shared" si="53"/>
        <v>0</v>
      </c>
    </row>
    <row r="692" spans="3:15" ht="18" hidden="1">
      <c r="C692" s="3859" t="str">
        <f>T('2 REPAIR ESTIMATOR'!D756:O756)</f>
        <v/>
      </c>
      <c r="D692" s="3859"/>
      <c r="E692" s="3859"/>
      <c r="F692" s="3859"/>
      <c r="G692" s="3831">
        <f>'2 REPAIR ESTIMATOR'!AQ756</f>
        <v>0</v>
      </c>
      <c r="H692" s="3831"/>
      <c r="I692" s="810">
        <f t="shared" si="51"/>
        <v>0</v>
      </c>
      <c r="J692" s="811">
        <f t="shared" si="52"/>
        <v>0</v>
      </c>
      <c r="K692" s="3832"/>
      <c r="L692" s="3833"/>
      <c r="M692" s="3833"/>
      <c r="N692" s="3834"/>
      <c r="O692" s="820">
        <f t="shared" si="53"/>
        <v>0</v>
      </c>
    </row>
    <row r="693" spans="3:15" ht="18.350000000000001" hidden="1" thickBot="1">
      <c r="C693" s="3835" t="str">
        <f>T('2 REPAIR ESTIMATOR'!D757:O757)</f>
        <v/>
      </c>
      <c r="D693" s="3835"/>
      <c r="E693" s="3835"/>
      <c r="F693" s="3835"/>
      <c r="G693" s="3836">
        <f>'2 REPAIR ESTIMATOR'!AQ757</f>
        <v>0</v>
      </c>
      <c r="H693" s="3836"/>
      <c r="I693" s="813">
        <f t="shared" si="51"/>
        <v>0</v>
      </c>
      <c r="J693" s="814">
        <f t="shared" si="52"/>
        <v>0</v>
      </c>
      <c r="K693" s="3837"/>
      <c r="L693" s="3838"/>
      <c r="M693" s="3838"/>
      <c r="N693" s="3839"/>
      <c r="O693" s="823">
        <f t="shared" si="53"/>
        <v>0</v>
      </c>
    </row>
    <row r="694" spans="3:15" ht="18.350000000000001" hidden="1" thickTop="1">
      <c r="C694" s="3825" t="str">
        <f>T('2 REPAIR ESTIMATOR'!AC759)</f>
        <v>DOORS &amp; TRIM TOTAL</v>
      </c>
      <c r="D694" s="3825"/>
      <c r="E694" s="3825"/>
      <c r="F694" s="3825"/>
      <c r="G694" s="3826">
        <f>SUM(G654:H693)</f>
        <v>0</v>
      </c>
      <c r="H694" s="3826"/>
      <c r="I694" s="818">
        <f>SUM(I654:I693)</f>
        <v>0</v>
      </c>
      <c r="J694" s="819">
        <f>SUM(J654:J693)</f>
        <v>0</v>
      </c>
      <c r="K694" s="3827"/>
      <c r="L694" s="3828"/>
      <c r="M694" s="3828"/>
      <c r="N694" s="3829"/>
      <c r="O694" s="821">
        <f>SUM(O654:O693)</f>
        <v>0</v>
      </c>
    </row>
    <row r="695" spans="3:15" ht="8.85" hidden="1" customHeight="1">
      <c r="C695" s="836"/>
      <c r="D695" s="836"/>
      <c r="E695" s="836"/>
      <c r="F695" s="836"/>
      <c r="G695" s="837"/>
      <c r="H695" s="837"/>
      <c r="I695" s="837"/>
      <c r="J695" s="837"/>
      <c r="K695" s="837"/>
      <c r="L695" s="837"/>
      <c r="M695" s="837"/>
      <c r="N695" s="837"/>
      <c r="O695" s="822">
        <f>O694</f>
        <v>0</v>
      </c>
    </row>
    <row r="696" spans="3:15" ht="22.5" hidden="1" customHeight="1">
      <c r="C696" s="3840" t="str">
        <f>T('2 REPAIR ESTIMATOR'!D762:O762)</f>
        <v>CARPET &amp; RESILIENT</v>
      </c>
      <c r="D696" s="3840"/>
      <c r="E696" s="3840"/>
      <c r="F696" s="3841"/>
      <c r="G696" s="3845"/>
      <c r="H696" s="3846"/>
      <c r="I696" s="831"/>
      <c r="J696" s="831"/>
      <c r="K696" s="3844"/>
      <c r="L696" s="3844"/>
      <c r="M696" s="3844"/>
      <c r="N696" s="3845"/>
      <c r="O696" s="820">
        <f>SUM(O697:O736)</f>
        <v>0</v>
      </c>
    </row>
    <row r="697" spans="3:15" ht="18" hidden="1">
      <c r="C697" s="3859" t="str">
        <f>T('2 REPAIR ESTIMATOR'!D763:O763)</f>
        <v>Carpeting &amp; Resilient bid/allowance</v>
      </c>
      <c r="D697" s="3859"/>
      <c r="E697" s="3859"/>
      <c r="F697" s="3859"/>
      <c r="G697" s="3831">
        <f>'2 REPAIR ESTIMATOR'!AQ763</f>
        <v>0</v>
      </c>
      <c r="H697" s="3831"/>
      <c r="I697" s="810">
        <f t="shared" ref="I697:I736" si="54">IFERROR(G697/Property_Size,0)</f>
        <v>0</v>
      </c>
      <c r="J697" s="811">
        <f t="shared" ref="J697:J736" si="55">IFERROR(G697/Total_Project_Costs_Result,0)</f>
        <v>0</v>
      </c>
      <c r="K697" s="3832"/>
      <c r="L697" s="3833"/>
      <c r="M697" s="3833"/>
      <c r="N697" s="3834"/>
      <c r="O697" s="820">
        <f>IF(G697&gt;0,1,0)</f>
        <v>0</v>
      </c>
    </row>
    <row r="698" spans="3:15" ht="18" hidden="1">
      <c r="C698" s="3858" t="str">
        <f>T('2 REPAIR ESTIMATOR'!D764:O764)</f>
        <v>Carpeting</v>
      </c>
      <c r="D698" s="3858"/>
      <c r="E698" s="3858"/>
      <c r="F698" s="3858"/>
      <c r="G698" s="3831">
        <f>'2 REPAIR ESTIMATOR'!AQ764</f>
        <v>0</v>
      </c>
      <c r="H698" s="3831"/>
      <c r="I698" s="810">
        <f t="shared" si="54"/>
        <v>0</v>
      </c>
      <c r="J698" s="811">
        <f t="shared" si="55"/>
        <v>0</v>
      </c>
      <c r="K698" s="3832"/>
      <c r="L698" s="3833"/>
      <c r="M698" s="3833"/>
      <c r="N698" s="3834"/>
      <c r="O698" s="820">
        <f t="shared" ref="O698:O736" si="56">IF(G698&gt;0,1,0)</f>
        <v>0</v>
      </c>
    </row>
    <row r="699" spans="3:15" ht="18" hidden="1">
      <c r="C699" s="3859" t="str">
        <f>T('2 REPAIR ESTIMATOR'!D765:O765)</f>
        <v>Carpet, economy grade</v>
      </c>
      <c r="D699" s="3859"/>
      <c r="E699" s="3859"/>
      <c r="F699" s="3859"/>
      <c r="G699" s="3831">
        <f>'2 REPAIR ESTIMATOR'!AQ765</f>
        <v>0</v>
      </c>
      <c r="H699" s="3831"/>
      <c r="I699" s="810">
        <f t="shared" si="54"/>
        <v>0</v>
      </c>
      <c r="J699" s="811">
        <f t="shared" si="55"/>
        <v>0</v>
      </c>
      <c r="K699" s="3832"/>
      <c r="L699" s="3833"/>
      <c r="M699" s="3833"/>
      <c r="N699" s="3834"/>
      <c r="O699" s="820">
        <f t="shared" si="56"/>
        <v>0</v>
      </c>
    </row>
    <row r="700" spans="3:15" ht="18" hidden="1">
      <c r="C700" s="3859" t="str">
        <f>T('2 REPAIR ESTIMATOR'!D766:O766)</f>
        <v>Carpet average grade</v>
      </c>
      <c r="D700" s="3859"/>
      <c r="E700" s="3859"/>
      <c r="F700" s="3859"/>
      <c r="G700" s="3831">
        <f>'2 REPAIR ESTIMATOR'!AQ766</f>
        <v>0</v>
      </c>
      <c r="H700" s="3831"/>
      <c r="I700" s="810">
        <f t="shared" si="54"/>
        <v>0</v>
      </c>
      <c r="J700" s="811">
        <f t="shared" si="55"/>
        <v>0</v>
      </c>
      <c r="K700" s="3832"/>
      <c r="L700" s="3833"/>
      <c r="M700" s="3833"/>
      <c r="N700" s="3834"/>
      <c r="O700" s="820">
        <f t="shared" si="56"/>
        <v>0</v>
      </c>
    </row>
    <row r="701" spans="3:15" ht="18" hidden="1">
      <c r="C701" s="3859" t="str">
        <f>T('2 REPAIR ESTIMATOR'!D767:O767)</f>
        <v>Carpet, premium grade</v>
      </c>
      <c r="D701" s="3859"/>
      <c r="E701" s="3859"/>
      <c r="F701" s="3859"/>
      <c r="G701" s="3831">
        <f>'2 REPAIR ESTIMATOR'!AQ767</f>
        <v>0</v>
      </c>
      <c r="H701" s="3831"/>
      <c r="I701" s="810">
        <f t="shared" si="54"/>
        <v>0</v>
      </c>
      <c r="J701" s="811">
        <f t="shared" si="55"/>
        <v>0</v>
      </c>
      <c r="K701" s="3832"/>
      <c r="L701" s="3833"/>
      <c r="M701" s="3833"/>
      <c r="N701" s="3834"/>
      <c r="O701" s="820">
        <f t="shared" si="56"/>
        <v>0</v>
      </c>
    </row>
    <row r="702" spans="3:15" ht="18" hidden="1">
      <c r="C702" s="3859" t="str">
        <f>T('2 REPAIR ESTIMATOR'!D768:O768)</f>
        <v/>
      </c>
      <c r="D702" s="3859"/>
      <c r="E702" s="3859"/>
      <c r="F702" s="3859"/>
      <c r="G702" s="3831">
        <f>'2 REPAIR ESTIMATOR'!AQ768</f>
        <v>0</v>
      </c>
      <c r="H702" s="3831"/>
      <c r="I702" s="810">
        <f t="shared" si="54"/>
        <v>0</v>
      </c>
      <c r="J702" s="811">
        <f t="shared" si="55"/>
        <v>0</v>
      </c>
      <c r="K702" s="3832"/>
      <c r="L702" s="3833"/>
      <c r="M702" s="3833"/>
      <c r="N702" s="3834"/>
      <c r="O702" s="820">
        <f t="shared" si="56"/>
        <v>0</v>
      </c>
    </row>
    <row r="703" spans="3:15" ht="18" hidden="1">
      <c r="C703" s="3859" t="str">
        <f>T('2 REPAIR ESTIMATOR'!D769:O769)</f>
        <v/>
      </c>
      <c r="D703" s="3859"/>
      <c r="E703" s="3859"/>
      <c r="F703" s="3859"/>
      <c r="G703" s="3831">
        <f>'2 REPAIR ESTIMATOR'!AQ769</f>
        <v>0</v>
      </c>
      <c r="H703" s="3831"/>
      <c r="I703" s="810">
        <f t="shared" si="54"/>
        <v>0</v>
      </c>
      <c r="J703" s="811">
        <f t="shared" si="55"/>
        <v>0</v>
      </c>
      <c r="K703" s="3832"/>
      <c r="L703" s="3833"/>
      <c r="M703" s="3833"/>
      <c r="N703" s="3834"/>
      <c r="O703" s="820">
        <f t="shared" si="56"/>
        <v>0</v>
      </c>
    </row>
    <row r="704" spans="3:15" ht="18" hidden="1">
      <c r="C704" s="3858" t="str">
        <f>T('2 REPAIR ESTIMATOR'!D770:O770)</f>
        <v>Sheet Vinyl</v>
      </c>
      <c r="D704" s="3858"/>
      <c r="E704" s="3858"/>
      <c r="F704" s="3858"/>
      <c r="G704" s="3831">
        <f>'2 REPAIR ESTIMATOR'!AQ770</f>
        <v>0</v>
      </c>
      <c r="H704" s="3831"/>
      <c r="I704" s="810">
        <f t="shared" si="54"/>
        <v>0</v>
      </c>
      <c r="J704" s="811">
        <f t="shared" si="55"/>
        <v>0</v>
      </c>
      <c r="K704" s="3832"/>
      <c r="L704" s="3833"/>
      <c r="M704" s="3833"/>
      <c r="N704" s="3834"/>
      <c r="O704" s="820">
        <f t="shared" si="56"/>
        <v>0</v>
      </c>
    </row>
    <row r="705" spans="3:15" ht="18" hidden="1">
      <c r="C705" s="3859" t="str">
        <f>T('2 REPAIR ESTIMATOR'!D771:O771)</f>
        <v>Sheet vinyl, economy grade</v>
      </c>
      <c r="D705" s="3859"/>
      <c r="E705" s="3859"/>
      <c r="F705" s="3859"/>
      <c r="G705" s="3831">
        <f>'2 REPAIR ESTIMATOR'!AQ771</f>
        <v>0</v>
      </c>
      <c r="H705" s="3831"/>
      <c r="I705" s="810">
        <f t="shared" si="54"/>
        <v>0</v>
      </c>
      <c r="J705" s="811">
        <f t="shared" si="55"/>
        <v>0</v>
      </c>
      <c r="K705" s="3832"/>
      <c r="L705" s="3833"/>
      <c r="M705" s="3833"/>
      <c r="N705" s="3834"/>
      <c r="O705" s="820">
        <f t="shared" si="56"/>
        <v>0</v>
      </c>
    </row>
    <row r="706" spans="3:15" ht="18" hidden="1">
      <c r="C706" s="3859" t="str">
        <f>T('2 REPAIR ESTIMATOR'!D772:O772)</f>
        <v>Sheet vinyl, average grade</v>
      </c>
      <c r="D706" s="3859"/>
      <c r="E706" s="3859"/>
      <c r="F706" s="3859"/>
      <c r="G706" s="3831">
        <f>'2 REPAIR ESTIMATOR'!AQ772</f>
        <v>0</v>
      </c>
      <c r="H706" s="3831"/>
      <c r="I706" s="810">
        <f t="shared" si="54"/>
        <v>0</v>
      </c>
      <c r="J706" s="811">
        <f t="shared" si="55"/>
        <v>0</v>
      </c>
      <c r="K706" s="3832"/>
      <c r="L706" s="3833"/>
      <c r="M706" s="3833"/>
      <c r="N706" s="3834"/>
      <c r="O706" s="820">
        <f t="shared" si="56"/>
        <v>0</v>
      </c>
    </row>
    <row r="707" spans="3:15" ht="18" hidden="1">
      <c r="C707" s="3859" t="str">
        <f>T('2 REPAIR ESTIMATOR'!D773:O773)</f>
        <v>Sheet vinyl, premium grade</v>
      </c>
      <c r="D707" s="3859"/>
      <c r="E707" s="3859"/>
      <c r="F707" s="3859"/>
      <c r="G707" s="3831">
        <f>'2 REPAIR ESTIMATOR'!AQ773</f>
        <v>0</v>
      </c>
      <c r="H707" s="3831"/>
      <c r="I707" s="810">
        <f t="shared" si="54"/>
        <v>0</v>
      </c>
      <c r="J707" s="811">
        <f t="shared" si="55"/>
        <v>0</v>
      </c>
      <c r="K707" s="3832"/>
      <c r="L707" s="3833"/>
      <c r="M707" s="3833"/>
      <c r="N707" s="3834"/>
      <c r="O707" s="820">
        <f t="shared" si="56"/>
        <v>0</v>
      </c>
    </row>
    <row r="708" spans="3:15" ht="18" hidden="1">
      <c r="C708" s="3859" t="str">
        <f>T('2 REPAIR ESTIMATOR'!D774:O774)</f>
        <v>Clean and wax vinyl</v>
      </c>
      <c r="D708" s="3859"/>
      <c r="E708" s="3859"/>
      <c r="F708" s="3859"/>
      <c r="G708" s="3831">
        <f>'2 REPAIR ESTIMATOR'!AQ774</f>
        <v>0</v>
      </c>
      <c r="H708" s="3831"/>
      <c r="I708" s="810">
        <f t="shared" si="54"/>
        <v>0</v>
      </c>
      <c r="J708" s="811">
        <f t="shared" si="55"/>
        <v>0</v>
      </c>
      <c r="K708" s="3832"/>
      <c r="L708" s="3833"/>
      <c r="M708" s="3833"/>
      <c r="N708" s="3834"/>
      <c r="O708" s="820">
        <f t="shared" si="56"/>
        <v>0</v>
      </c>
    </row>
    <row r="709" spans="3:15" ht="18" hidden="1">
      <c r="C709" s="3859" t="str">
        <f>T('2 REPAIR ESTIMATOR'!D775:O775)</f>
        <v/>
      </c>
      <c r="D709" s="3859"/>
      <c r="E709" s="3859"/>
      <c r="F709" s="3859"/>
      <c r="G709" s="3831">
        <f>'2 REPAIR ESTIMATOR'!AQ775</f>
        <v>0</v>
      </c>
      <c r="H709" s="3831"/>
      <c r="I709" s="810">
        <f t="shared" si="54"/>
        <v>0</v>
      </c>
      <c r="J709" s="811">
        <f t="shared" si="55"/>
        <v>0</v>
      </c>
      <c r="K709" s="3832"/>
      <c r="L709" s="3833"/>
      <c r="M709" s="3833"/>
      <c r="N709" s="3834"/>
      <c r="O709" s="820">
        <f t="shared" si="56"/>
        <v>0</v>
      </c>
    </row>
    <row r="710" spans="3:15" ht="18" hidden="1">
      <c r="C710" s="3858" t="str">
        <f>T('2 REPAIR ESTIMATOR'!D776:O776)</f>
        <v>Vinyl Tile</v>
      </c>
      <c r="D710" s="3858"/>
      <c r="E710" s="3858"/>
      <c r="F710" s="3858"/>
      <c r="G710" s="3831">
        <f>'2 REPAIR ESTIMATOR'!AQ776</f>
        <v>0</v>
      </c>
      <c r="H710" s="3831"/>
      <c r="I710" s="810">
        <f t="shared" si="54"/>
        <v>0</v>
      </c>
      <c r="J710" s="811">
        <f t="shared" si="55"/>
        <v>0</v>
      </c>
      <c r="K710" s="3832"/>
      <c r="L710" s="3833"/>
      <c r="M710" s="3833"/>
      <c r="N710" s="3834"/>
      <c r="O710" s="820">
        <f t="shared" si="56"/>
        <v>0</v>
      </c>
    </row>
    <row r="711" spans="3:15" ht="18" hidden="1">
      <c r="C711" s="3859" t="str">
        <f>T('2 REPAIR ESTIMATOR'!D777:O777)</f>
        <v>Vinyl tile, economy grade</v>
      </c>
      <c r="D711" s="3859"/>
      <c r="E711" s="3859"/>
      <c r="F711" s="3859"/>
      <c r="G711" s="3831">
        <f>'2 REPAIR ESTIMATOR'!AQ777</f>
        <v>0</v>
      </c>
      <c r="H711" s="3831"/>
      <c r="I711" s="810">
        <f t="shared" si="54"/>
        <v>0</v>
      </c>
      <c r="J711" s="811">
        <f t="shared" si="55"/>
        <v>0</v>
      </c>
      <c r="K711" s="3832"/>
      <c r="L711" s="3833"/>
      <c r="M711" s="3833"/>
      <c r="N711" s="3834"/>
      <c r="O711" s="820">
        <f t="shared" si="56"/>
        <v>0</v>
      </c>
    </row>
    <row r="712" spans="3:15" ht="18" hidden="1">
      <c r="C712" s="3859" t="str">
        <f>T('2 REPAIR ESTIMATOR'!D778:O778)</f>
        <v>Vinyl tile, average grade</v>
      </c>
      <c r="D712" s="3859"/>
      <c r="E712" s="3859"/>
      <c r="F712" s="3859"/>
      <c r="G712" s="3831">
        <f>'2 REPAIR ESTIMATOR'!AQ778</f>
        <v>0</v>
      </c>
      <c r="H712" s="3831"/>
      <c r="I712" s="810">
        <f t="shared" si="54"/>
        <v>0</v>
      </c>
      <c r="J712" s="811">
        <f t="shared" si="55"/>
        <v>0</v>
      </c>
      <c r="K712" s="3832"/>
      <c r="L712" s="3833"/>
      <c r="M712" s="3833"/>
      <c r="N712" s="3834"/>
      <c r="O712" s="820">
        <f t="shared" si="56"/>
        <v>0</v>
      </c>
    </row>
    <row r="713" spans="3:15" ht="18" hidden="1">
      <c r="C713" s="3859" t="str">
        <f>T('2 REPAIR ESTIMATOR'!D779:O779)</f>
        <v>Vinyl tile, premium grade</v>
      </c>
      <c r="D713" s="3859"/>
      <c r="E713" s="3859"/>
      <c r="F713" s="3859"/>
      <c r="G713" s="3831">
        <f>'2 REPAIR ESTIMATOR'!AQ779</f>
        <v>0</v>
      </c>
      <c r="H713" s="3831"/>
      <c r="I713" s="810">
        <f t="shared" si="54"/>
        <v>0</v>
      </c>
      <c r="J713" s="811">
        <f t="shared" si="55"/>
        <v>0</v>
      </c>
      <c r="K713" s="3832"/>
      <c r="L713" s="3833"/>
      <c r="M713" s="3833"/>
      <c r="N713" s="3834"/>
      <c r="O713" s="820">
        <f t="shared" si="56"/>
        <v>0</v>
      </c>
    </row>
    <row r="714" spans="3:15" ht="18" hidden="1">
      <c r="C714" s="3859" t="str">
        <f>T('2 REPAIR ESTIMATOR'!D780:O780)</f>
        <v>Clean and wax vinyl</v>
      </c>
      <c r="D714" s="3859"/>
      <c r="E714" s="3859"/>
      <c r="F714" s="3859"/>
      <c r="G714" s="3831">
        <f>'2 REPAIR ESTIMATOR'!AQ780</f>
        <v>0</v>
      </c>
      <c r="H714" s="3831"/>
      <c r="I714" s="810">
        <f t="shared" si="54"/>
        <v>0</v>
      </c>
      <c r="J714" s="811">
        <f t="shared" si="55"/>
        <v>0</v>
      </c>
      <c r="K714" s="3832"/>
      <c r="L714" s="3833"/>
      <c r="M714" s="3833"/>
      <c r="N714" s="3834"/>
      <c r="O714" s="820">
        <f t="shared" si="56"/>
        <v>0</v>
      </c>
    </row>
    <row r="715" spans="3:15" ht="18" hidden="1">
      <c r="C715" s="3859" t="str">
        <f>T('2 REPAIR ESTIMATOR'!D781:O781)</f>
        <v/>
      </c>
      <c r="D715" s="3859"/>
      <c r="E715" s="3859"/>
      <c r="F715" s="3859"/>
      <c r="G715" s="3831">
        <f>'2 REPAIR ESTIMATOR'!AQ781</f>
        <v>0</v>
      </c>
      <c r="H715" s="3831"/>
      <c r="I715" s="810">
        <f t="shared" si="54"/>
        <v>0</v>
      </c>
      <c r="J715" s="811">
        <f t="shared" si="55"/>
        <v>0</v>
      </c>
      <c r="K715" s="3832"/>
      <c r="L715" s="3833"/>
      <c r="M715" s="3833"/>
      <c r="N715" s="3834"/>
      <c r="O715" s="820">
        <f t="shared" si="56"/>
        <v>0</v>
      </c>
    </row>
    <row r="716" spans="3:15" ht="18" hidden="1">
      <c r="C716" s="3859" t="str">
        <f>T('2 REPAIR ESTIMATOR'!D782:O782)</f>
        <v/>
      </c>
      <c r="D716" s="3859"/>
      <c r="E716" s="3859"/>
      <c r="F716" s="3859"/>
      <c r="G716" s="3831">
        <f>'2 REPAIR ESTIMATOR'!AQ782</f>
        <v>0</v>
      </c>
      <c r="H716" s="3831"/>
      <c r="I716" s="810">
        <f t="shared" si="54"/>
        <v>0</v>
      </c>
      <c r="J716" s="811">
        <f t="shared" si="55"/>
        <v>0</v>
      </c>
      <c r="K716" s="3832"/>
      <c r="L716" s="3833"/>
      <c r="M716" s="3833"/>
      <c r="N716" s="3834"/>
      <c r="O716" s="820">
        <f t="shared" si="56"/>
        <v>0</v>
      </c>
    </row>
    <row r="717" spans="3:15" ht="18" hidden="1">
      <c r="C717" s="3859" t="str">
        <f>T('2 REPAIR ESTIMATOR'!D783:O783)</f>
        <v/>
      </c>
      <c r="D717" s="3859"/>
      <c r="E717" s="3859"/>
      <c r="F717" s="3859"/>
      <c r="G717" s="3831">
        <f>'2 REPAIR ESTIMATOR'!AQ783</f>
        <v>0</v>
      </c>
      <c r="H717" s="3831"/>
      <c r="I717" s="810">
        <f t="shared" si="54"/>
        <v>0</v>
      </c>
      <c r="J717" s="811">
        <f t="shared" si="55"/>
        <v>0</v>
      </c>
      <c r="K717" s="3832"/>
      <c r="L717" s="3833"/>
      <c r="M717" s="3833"/>
      <c r="N717" s="3834"/>
      <c r="O717" s="820">
        <f t="shared" si="56"/>
        <v>0</v>
      </c>
    </row>
    <row r="718" spans="3:15" ht="18" hidden="1">
      <c r="C718" s="3859" t="str">
        <f>T('2 REPAIR ESTIMATOR'!D784:O784)</f>
        <v/>
      </c>
      <c r="D718" s="3859"/>
      <c r="E718" s="3859"/>
      <c r="F718" s="3859"/>
      <c r="G718" s="3831">
        <f>'2 REPAIR ESTIMATOR'!AQ784</f>
        <v>0</v>
      </c>
      <c r="H718" s="3831"/>
      <c r="I718" s="810">
        <f t="shared" si="54"/>
        <v>0</v>
      </c>
      <c r="J718" s="811">
        <f t="shared" si="55"/>
        <v>0</v>
      </c>
      <c r="K718" s="3832"/>
      <c r="L718" s="3833"/>
      <c r="M718" s="3833"/>
      <c r="N718" s="3834"/>
      <c r="O718" s="820">
        <f t="shared" si="56"/>
        <v>0</v>
      </c>
    </row>
    <row r="719" spans="3:15" ht="18" hidden="1">
      <c r="C719" s="3859" t="str">
        <f>T('2 REPAIR ESTIMATOR'!D785:O785)</f>
        <v/>
      </c>
      <c r="D719" s="3859"/>
      <c r="E719" s="3859"/>
      <c r="F719" s="3859"/>
      <c r="G719" s="3831">
        <f>'2 REPAIR ESTIMATOR'!AQ785</f>
        <v>0</v>
      </c>
      <c r="H719" s="3831"/>
      <c r="I719" s="810">
        <f t="shared" si="54"/>
        <v>0</v>
      </c>
      <c r="J719" s="811">
        <f t="shared" si="55"/>
        <v>0</v>
      </c>
      <c r="K719" s="3832"/>
      <c r="L719" s="3833"/>
      <c r="M719" s="3833"/>
      <c r="N719" s="3834"/>
      <c r="O719" s="820">
        <f t="shared" si="56"/>
        <v>0</v>
      </c>
    </row>
    <row r="720" spans="3:15" ht="18" hidden="1">
      <c r="C720" s="3859" t="str">
        <f>T('2 REPAIR ESTIMATOR'!D786:O786)</f>
        <v/>
      </c>
      <c r="D720" s="3859"/>
      <c r="E720" s="3859"/>
      <c r="F720" s="3859"/>
      <c r="G720" s="3831">
        <f>'2 REPAIR ESTIMATOR'!AQ786</f>
        <v>0</v>
      </c>
      <c r="H720" s="3831"/>
      <c r="I720" s="810">
        <f t="shared" si="54"/>
        <v>0</v>
      </c>
      <c r="J720" s="811">
        <f t="shared" si="55"/>
        <v>0</v>
      </c>
      <c r="K720" s="3832"/>
      <c r="L720" s="3833"/>
      <c r="M720" s="3833"/>
      <c r="N720" s="3834"/>
      <c r="O720" s="820">
        <f t="shared" si="56"/>
        <v>0</v>
      </c>
    </row>
    <row r="721" spans="3:15" ht="18" hidden="1">
      <c r="C721" s="3859" t="str">
        <f>T('2 REPAIR ESTIMATOR'!D787:O787)</f>
        <v/>
      </c>
      <c r="D721" s="3859"/>
      <c r="E721" s="3859"/>
      <c r="F721" s="3859"/>
      <c r="G721" s="3831">
        <f>'2 REPAIR ESTIMATOR'!AQ787</f>
        <v>0</v>
      </c>
      <c r="H721" s="3831"/>
      <c r="I721" s="810">
        <f t="shared" si="54"/>
        <v>0</v>
      </c>
      <c r="J721" s="811">
        <f t="shared" si="55"/>
        <v>0</v>
      </c>
      <c r="K721" s="3832"/>
      <c r="L721" s="3833"/>
      <c r="M721" s="3833"/>
      <c r="N721" s="3834"/>
      <c r="O721" s="820">
        <f t="shared" si="56"/>
        <v>0</v>
      </c>
    </row>
    <row r="722" spans="3:15" ht="18" hidden="1">
      <c r="C722" s="3859" t="str">
        <f>T('2 REPAIR ESTIMATOR'!D788:O788)</f>
        <v/>
      </c>
      <c r="D722" s="3859"/>
      <c r="E722" s="3859"/>
      <c r="F722" s="3859"/>
      <c r="G722" s="3831">
        <f>'2 REPAIR ESTIMATOR'!AQ788</f>
        <v>0</v>
      </c>
      <c r="H722" s="3831"/>
      <c r="I722" s="810">
        <f t="shared" si="54"/>
        <v>0</v>
      </c>
      <c r="J722" s="811">
        <f t="shared" si="55"/>
        <v>0</v>
      </c>
      <c r="K722" s="3832"/>
      <c r="L722" s="3833"/>
      <c r="M722" s="3833"/>
      <c r="N722" s="3834"/>
      <c r="O722" s="820">
        <f t="shared" si="56"/>
        <v>0</v>
      </c>
    </row>
    <row r="723" spans="3:15" ht="18" hidden="1">
      <c r="C723" s="3859" t="str">
        <f>T('2 REPAIR ESTIMATOR'!D789:O789)</f>
        <v/>
      </c>
      <c r="D723" s="3859"/>
      <c r="E723" s="3859"/>
      <c r="F723" s="3859"/>
      <c r="G723" s="3831">
        <f>'2 REPAIR ESTIMATOR'!AQ789</f>
        <v>0</v>
      </c>
      <c r="H723" s="3831"/>
      <c r="I723" s="810">
        <f t="shared" si="54"/>
        <v>0</v>
      </c>
      <c r="J723" s="811">
        <f t="shared" si="55"/>
        <v>0</v>
      </c>
      <c r="K723" s="3832"/>
      <c r="L723" s="3833"/>
      <c r="M723" s="3833"/>
      <c r="N723" s="3834"/>
      <c r="O723" s="820">
        <f t="shared" si="56"/>
        <v>0</v>
      </c>
    </row>
    <row r="724" spans="3:15" ht="18" hidden="1">
      <c r="C724" s="3859" t="str">
        <f>T('2 REPAIR ESTIMATOR'!D790:O790)</f>
        <v/>
      </c>
      <c r="D724" s="3859"/>
      <c r="E724" s="3859"/>
      <c r="F724" s="3859"/>
      <c r="G724" s="3831">
        <f>'2 REPAIR ESTIMATOR'!AQ790</f>
        <v>0</v>
      </c>
      <c r="H724" s="3831"/>
      <c r="I724" s="810">
        <f t="shared" si="54"/>
        <v>0</v>
      </c>
      <c r="J724" s="811">
        <f t="shared" si="55"/>
        <v>0</v>
      </c>
      <c r="K724" s="3832"/>
      <c r="L724" s="3833"/>
      <c r="M724" s="3833"/>
      <c r="N724" s="3834"/>
      <c r="O724" s="820">
        <f t="shared" si="56"/>
        <v>0</v>
      </c>
    </row>
    <row r="725" spans="3:15" ht="18" hidden="1">
      <c r="C725" s="3859" t="str">
        <f>T('2 REPAIR ESTIMATOR'!D791:O791)</f>
        <v/>
      </c>
      <c r="D725" s="3859"/>
      <c r="E725" s="3859"/>
      <c r="F725" s="3859"/>
      <c r="G725" s="3831">
        <f>'2 REPAIR ESTIMATOR'!AQ791</f>
        <v>0</v>
      </c>
      <c r="H725" s="3831"/>
      <c r="I725" s="810">
        <f t="shared" si="54"/>
        <v>0</v>
      </c>
      <c r="J725" s="811">
        <f t="shared" si="55"/>
        <v>0</v>
      </c>
      <c r="K725" s="3832"/>
      <c r="L725" s="3833"/>
      <c r="M725" s="3833"/>
      <c r="N725" s="3834"/>
      <c r="O725" s="820">
        <f t="shared" si="56"/>
        <v>0</v>
      </c>
    </row>
    <row r="726" spans="3:15" ht="18" hidden="1">
      <c r="C726" s="3859" t="str">
        <f>T('2 REPAIR ESTIMATOR'!D792:O792)</f>
        <v/>
      </c>
      <c r="D726" s="3859"/>
      <c r="E726" s="3859"/>
      <c r="F726" s="3859"/>
      <c r="G726" s="3831">
        <f>'2 REPAIR ESTIMATOR'!AQ792</f>
        <v>0</v>
      </c>
      <c r="H726" s="3831"/>
      <c r="I726" s="810">
        <f t="shared" si="54"/>
        <v>0</v>
      </c>
      <c r="J726" s="811">
        <f t="shared" si="55"/>
        <v>0</v>
      </c>
      <c r="K726" s="3832"/>
      <c r="L726" s="3833"/>
      <c r="M726" s="3833"/>
      <c r="N726" s="3834"/>
      <c r="O726" s="820">
        <f t="shared" si="56"/>
        <v>0</v>
      </c>
    </row>
    <row r="727" spans="3:15" ht="18" hidden="1">
      <c r="C727" s="3859" t="str">
        <f>T('2 REPAIR ESTIMATOR'!D793:O793)</f>
        <v/>
      </c>
      <c r="D727" s="3859"/>
      <c r="E727" s="3859"/>
      <c r="F727" s="3859"/>
      <c r="G727" s="3831">
        <f>'2 REPAIR ESTIMATOR'!AQ793</f>
        <v>0</v>
      </c>
      <c r="H727" s="3831"/>
      <c r="I727" s="810">
        <f t="shared" si="54"/>
        <v>0</v>
      </c>
      <c r="J727" s="811">
        <f t="shared" si="55"/>
        <v>0</v>
      </c>
      <c r="K727" s="3832"/>
      <c r="L727" s="3833"/>
      <c r="M727" s="3833"/>
      <c r="N727" s="3834"/>
      <c r="O727" s="820">
        <f t="shared" si="56"/>
        <v>0</v>
      </c>
    </row>
    <row r="728" spans="3:15" ht="18" hidden="1">
      <c r="C728" s="3859" t="str">
        <f>T('2 REPAIR ESTIMATOR'!D794:O794)</f>
        <v/>
      </c>
      <c r="D728" s="3859"/>
      <c r="E728" s="3859"/>
      <c r="F728" s="3859"/>
      <c r="G728" s="3831">
        <f>'2 REPAIR ESTIMATOR'!AQ794</f>
        <v>0</v>
      </c>
      <c r="H728" s="3831"/>
      <c r="I728" s="810">
        <f t="shared" si="54"/>
        <v>0</v>
      </c>
      <c r="J728" s="811">
        <f t="shared" si="55"/>
        <v>0</v>
      </c>
      <c r="K728" s="3832"/>
      <c r="L728" s="3833"/>
      <c r="M728" s="3833"/>
      <c r="N728" s="3834"/>
      <c r="O728" s="820">
        <f t="shared" si="56"/>
        <v>0</v>
      </c>
    </row>
    <row r="729" spans="3:15" ht="18" hidden="1">
      <c r="C729" s="3859" t="str">
        <f>T('2 REPAIR ESTIMATOR'!D795:O795)</f>
        <v/>
      </c>
      <c r="D729" s="3859"/>
      <c r="E729" s="3859"/>
      <c r="F729" s="3859"/>
      <c r="G729" s="3831">
        <f>'2 REPAIR ESTIMATOR'!AQ795</f>
        <v>0</v>
      </c>
      <c r="H729" s="3831"/>
      <c r="I729" s="810">
        <f t="shared" si="54"/>
        <v>0</v>
      </c>
      <c r="J729" s="811">
        <f t="shared" si="55"/>
        <v>0</v>
      </c>
      <c r="K729" s="3832"/>
      <c r="L729" s="3833"/>
      <c r="M729" s="3833"/>
      <c r="N729" s="3834"/>
      <c r="O729" s="820">
        <f t="shared" si="56"/>
        <v>0</v>
      </c>
    </row>
    <row r="730" spans="3:15" ht="18" hidden="1">
      <c r="C730" s="3859" t="str">
        <f>T('2 REPAIR ESTIMATOR'!D796:O796)</f>
        <v/>
      </c>
      <c r="D730" s="3859"/>
      <c r="E730" s="3859"/>
      <c r="F730" s="3859"/>
      <c r="G730" s="3831">
        <f>'2 REPAIR ESTIMATOR'!AQ796</f>
        <v>0</v>
      </c>
      <c r="H730" s="3831"/>
      <c r="I730" s="810">
        <f t="shared" si="54"/>
        <v>0</v>
      </c>
      <c r="J730" s="811">
        <f t="shared" si="55"/>
        <v>0</v>
      </c>
      <c r="K730" s="3832"/>
      <c r="L730" s="3833"/>
      <c r="M730" s="3833"/>
      <c r="N730" s="3834"/>
      <c r="O730" s="820">
        <f t="shared" si="56"/>
        <v>0</v>
      </c>
    </row>
    <row r="731" spans="3:15" ht="18" hidden="1">
      <c r="C731" s="3859" t="str">
        <f>T('2 REPAIR ESTIMATOR'!D797:O797)</f>
        <v/>
      </c>
      <c r="D731" s="3859"/>
      <c r="E731" s="3859"/>
      <c r="F731" s="3859"/>
      <c r="G731" s="3831">
        <f>'2 REPAIR ESTIMATOR'!AQ797</f>
        <v>0</v>
      </c>
      <c r="H731" s="3831"/>
      <c r="I731" s="810">
        <f t="shared" si="54"/>
        <v>0</v>
      </c>
      <c r="J731" s="811">
        <f t="shared" si="55"/>
        <v>0</v>
      </c>
      <c r="K731" s="3832"/>
      <c r="L731" s="3833"/>
      <c r="M731" s="3833"/>
      <c r="N731" s="3834"/>
      <c r="O731" s="820">
        <f t="shared" si="56"/>
        <v>0</v>
      </c>
    </row>
    <row r="732" spans="3:15" ht="18" hidden="1">
      <c r="C732" s="3859" t="str">
        <f>T('2 REPAIR ESTIMATOR'!D798:O798)</f>
        <v/>
      </c>
      <c r="D732" s="3859"/>
      <c r="E732" s="3859"/>
      <c r="F732" s="3859"/>
      <c r="G732" s="3831">
        <f>'2 REPAIR ESTIMATOR'!AQ798</f>
        <v>0</v>
      </c>
      <c r="H732" s="3831"/>
      <c r="I732" s="810">
        <f t="shared" si="54"/>
        <v>0</v>
      </c>
      <c r="J732" s="811">
        <f t="shared" si="55"/>
        <v>0</v>
      </c>
      <c r="K732" s="3832"/>
      <c r="L732" s="3833"/>
      <c r="M732" s="3833"/>
      <c r="N732" s="3834"/>
      <c r="O732" s="820">
        <f t="shared" si="56"/>
        <v>0</v>
      </c>
    </row>
    <row r="733" spans="3:15" ht="18" hidden="1">
      <c r="C733" s="3859" t="str">
        <f>T('2 REPAIR ESTIMATOR'!D799:O799)</f>
        <v/>
      </c>
      <c r="D733" s="3859"/>
      <c r="E733" s="3859"/>
      <c r="F733" s="3859"/>
      <c r="G733" s="3831">
        <f>'2 REPAIR ESTIMATOR'!AQ799</f>
        <v>0</v>
      </c>
      <c r="H733" s="3831"/>
      <c r="I733" s="810">
        <f t="shared" si="54"/>
        <v>0</v>
      </c>
      <c r="J733" s="811">
        <f t="shared" si="55"/>
        <v>0</v>
      </c>
      <c r="K733" s="3832"/>
      <c r="L733" s="3833"/>
      <c r="M733" s="3833"/>
      <c r="N733" s="3834"/>
      <c r="O733" s="820">
        <f t="shared" si="56"/>
        <v>0</v>
      </c>
    </row>
    <row r="734" spans="3:15" ht="18" hidden="1">
      <c r="C734" s="3859" t="str">
        <f>T('2 REPAIR ESTIMATOR'!D800:O800)</f>
        <v/>
      </c>
      <c r="D734" s="3859"/>
      <c r="E734" s="3859"/>
      <c r="F734" s="3859"/>
      <c r="G734" s="3831">
        <f>'2 REPAIR ESTIMATOR'!AQ800</f>
        <v>0</v>
      </c>
      <c r="H734" s="3831"/>
      <c r="I734" s="810">
        <f t="shared" si="54"/>
        <v>0</v>
      </c>
      <c r="J734" s="811">
        <f t="shared" si="55"/>
        <v>0</v>
      </c>
      <c r="K734" s="3832"/>
      <c r="L734" s="3833"/>
      <c r="M734" s="3833"/>
      <c r="N734" s="3834"/>
      <c r="O734" s="820">
        <f t="shared" si="56"/>
        <v>0</v>
      </c>
    </row>
    <row r="735" spans="3:15" ht="18" hidden="1">
      <c r="C735" s="3859" t="str">
        <f>T('2 REPAIR ESTIMATOR'!D801:O801)</f>
        <v/>
      </c>
      <c r="D735" s="3859"/>
      <c r="E735" s="3859"/>
      <c r="F735" s="3859"/>
      <c r="G735" s="3831">
        <f>'2 REPAIR ESTIMATOR'!AQ801</f>
        <v>0</v>
      </c>
      <c r="H735" s="3831"/>
      <c r="I735" s="810">
        <f t="shared" si="54"/>
        <v>0</v>
      </c>
      <c r="J735" s="811">
        <f t="shared" si="55"/>
        <v>0</v>
      </c>
      <c r="K735" s="3832"/>
      <c r="L735" s="3833"/>
      <c r="M735" s="3833"/>
      <c r="N735" s="3834"/>
      <c r="O735" s="820">
        <f t="shared" si="56"/>
        <v>0</v>
      </c>
    </row>
    <row r="736" spans="3:15" ht="18.350000000000001" hidden="1" thickBot="1">
      <c r="C736" s="3835" t="str">
        <f>T('2 REPAIR ESTIMATOR'!D802:O802)</f>
        <v/>
      </c>
      <c r="D736" s="3835"/>
      <c r="E736" s="3835"/>
      <c r="F736" s="3835"/>
      <c r="G736" s="3836">
        <f>'2 REPAIR ESTIMATOR'!AQ802</f>
        <v>0</v>
      </c>
      <c r="H736" s="3836"/>
      <c r="I736" s="813">
        <f t="shared" si="54"/>
        <v>0</v>
      </c>
      <c r="J736" s="814">
        <f t="shared" si="55"/>
        <v>0</v>
      </c>
      <c r="K736" s="3837"/>
      <c r="L736" s="3838"/>
      <c r="M736" s="3838"/>
      <c r="N736" s="3839"/>
      <c r="O736" s="823">
        <f t="shared" si="56"/>
        <v>0</v>
      </c>
    </row>
    <row r="737" spans="3:15" ht="18.350000000000001" hidden="1" thickTop="1">
      <c r="C737" s="3825" t="str">
        <f>T('2 REPAIR ESTIMATOR'!AC804)</f>
        <v>CARPET &amp; RESILIENT TOTAL</v>
      </c>
      <c r="D737" s="3825"/>
      <c r="E737" s="3825"/>
      <c r="F737" s="3825"/>
      <c r="G737" s="3826">
        <f>SUM(G697:H736)</f>
        <v>0</v>
      </c>
      <c r="H737" s="3826"/>
      <c r="I737" s="818">
        <f>SUM(I697:I736)</f>
        <v>0</v>
      </c>
      <c r="J737" s="819">
        <f>SUM(J697:J736)</f>
        <v>0</v>
      </c>
      <c r="K737" s="3827"/>
      <c r="L737" s="3828"/>
      <c r="M737" s="3828"/>
      <c r="N737" s="3829"/>
      <c r="O737" s="821">
        <f>SUM(O697:O736)</f>
        <v>0</v>
      </c>
    </row>
    <row r="738" spans="3:15" ht="8.85" hidden="1" customHeight="1">
      <c r="C738" s="836"/>
      <c r="D738" s="836"/>
      <c r="E738" s="836"/>
      <c r="F738" s="836"/>
      <c r="G738" s="837"/>
      <c r="H738" s="837"/>
      <c r="I738" s="837"/>
      <c r="J738" s="837"/>
      <c r="K738" s="837"/>
      <c r="L738" s="837"/>
      <c r="M738" s="837"/>
      <c r="N738" s="837"/>
      <c r="O738" s="822">
        <f>O737</f>
        <v>0</v>
      </c>
    </row>
    <row r="739" spans="3:15" ht="22.5" hidden="1" customHeight="1">
      <c r="C739" s="3840" t="str">
        <f>T('2 REPAIR ESTIMATOR'!D807:O807)</f>
        <v>HARDWOOD FLOORING</v>
      </c>
      <c r="D739" s="3840"/>
      <c r="E739" s="3840"/>
      <c r="F739" s="3841"/>
      <c r="G739" s="3845"/>
      <c r="H739" s="3846"/>
      <c r="I739" s="831"/>
      <c r="J739" s="831"/>
      <c r="K739" s="3844"/>
      <c r="L739" s="3844"/>
      <c r="M739" s="3844"/>
      <c r="N739" s="3845"/>
      <c r="O739" s="820">
        <f>SUM(O740:O779)</f>
        <v>0</v>
      </c>
    </row>
    <row r="740" spans="3:15" ht="18" hidden="1">
      <c r="C740" s="3859" t="str">
        <f>T('2 REPAIR ESTIMATOR'!D808:O808)</f>
        <v>Hardwood floors, bid/allowance</v>
      </c>
      <c r="D740" s="3859"/>
      <c r="E740" s="3859"/>
      <c r="F740" s="3859"/>
      <c r="G740" s="3831">
        <f>'2 REPAIR ESTIMATOR'!AQ808</f>
        <v>0</v>
      </c>
      <c r="H740" s="3831"/>
      <c r="I740" s="810">
        <f t="shared" ref="I740:I779" si="57">IFERROR(G740/Property_Size,0)</f>
        <v>0</v>
      </c>
      <c r="J740" s="811">
        <f t="shared" ref="J740:J779" si="58">IFERROR(G740/Total_Project_Costs_Result,0)</f>
        <v>0</v>
      </c>
      <c r="K740" s="3832"/>
      <c r="L740" s="3833"/>
      <c r="M740" s="3833"/>
      <c r="N740" s="3834"/>
      <c r="O740" s="820">
        <f>IF(G740&gt;0,1,0)</f>
        <v>0</v>
      </c>
    </row>
    <row r="741" spans="3:15" ht="18" hidden="1">
      <c r="C741" s="3859" t="str">
        <f>T('2 REPAIR ESTIMATOR'!D809:O809)</f>
        <v>Laminate Flooring</v>
      </c>
      <c r="D741" s="3859"/>
      <c r="E741" s="3859"/>
      <c r="F741" s="3859"/>
      <c r="G741" s="3831">
        <f>'2 REPAIR ESTIMATOR'!AQ809</f>
        <v>0</v>
      </c>
      <c r="H741" s="3831"/>
      <c r="I741" s="810">
        <f t="shared" si="57"/>
        <v>0</v>
      </c>
      <c r="J741" s="811">
        <f t="shared" si="58"/>
        <v>0</v>
      </c>
      <c r="K741" s="3832"/>
      <c r="L741" s="3833"/>
      <c r="M741" s="3833"/>
      <c r="N741" s="3834"/>
      <c r="O741" s="820">
        <f t="shared" ref="O741:O779" si="59">IF(G741&gt;0,1,0)</f>
        <v>0</v>
      </c>
    </row>
    <row r="742" spans="3:15" ht="18" hidden="1">
      <c r="C742" s="3859" t="str">
        <f>T('2 REPAIR ESTIMATOR'!D810:O810)</f>
        <v>Laminate wood flooring, economy grade</v>
      </c>
      <c r="D742" s="3859"/>
      <c r="E742" s="3859"/>
      <c r="F742" s="3859"/>
      <c r="G742" s="3831">
        <f>'2 REPAIR ESTIMATOR'!AQ810</f>
        <v>0</v>
      </c>
      <c r="H742" s="3831"/>
      <c r="I742" s="810">
        <f t="shared" si="57"/>
        <v>0</v>
      </c>
      <c r="J742" s="811">
        <f t="shared" si="58"/>
        <v>0</v>
      </c>
      <c r="K742" s="3832"/>
      <c r="L742" s="3833"/>
      <c r="M742" s="3833"/>
      <c r="N742" s="3834"/>
      <c r="O742" s="820">
        <f t="shared" si="59"/>
        <v>0</v>
      </c>
    </row>
    <row r="743" spans="3:15" ht="18" hidden="1">
      <c r="C743" s="3859" t="str">
        <f>T('2 REPAIR ESTIMATOR'!D811:O811)</f>
        <v>Laminate wood flooring, average grade</v>
      </c>
      <c r="D743" s="3859"/>
      <c r="E743" s="3859"/>
      <c r="F743" s="3859"/>
      <c r="G743" s="3831">
        <f>'2 REPAIR ESTIMATOR'!AQ811</f>
        <v>0</v>
      </c>
      <c r="H743" s="3831"/>
      <c r="I743" s="810">
        <f t="shared" si="57"/>
        <v>0</v>
      </c>
      <c r="J743" s="811">
        <f t="shared" si="58"/>
        <v>0</v>
      </c>
      <c r="K743" s="3832"/>
      <c r="L743" s="3833"/>
      <c r="M743" s="3833"/>
      <c r="N743" s="3834"/>
      <c r="O743" s="820">
        <f t="shared" si="59"/>
        <v>0</v>
      </c>
    </row>
    <row r="744" spans="3:15" ht="18" hidden="1">
      <c r="C744" s="3859" t="str">
        <f>T('2 REPAIR ESTIMATOR'!D812:O812)</f>
        <v>Laminate wood flooring, premium grade</v>
      </c>
      <c r="D744" s="3859"/>
      <c r="E744" s="3859"/>
      <c r="F744" s="3859"/>
      <c r="G744" s="3831">
        <f>'2 REPAIR ESTIMATOR'!AQ812</f>
        <v>0</v>
      </c>
      <c r="H744" s="3831"/>
      <c r="I744" s="810">
        <f t="shared" si="57"/>
        <v>0</v>
      </c>
      <c r="J744" s="811">
        <f t="shared" si="58"/>
        <v>0</v>
      </c>
      <c r="K744" s="3832"/>
      <c r="L744" s="3833"/>
      <c r="M744" s="3833"/>
      <c r="N744" s="3834"/>
      <c r="O744" s="820">
        <f t="shared" si="59"/>
        <v>0</v>
      </c>
    </row>
    <row r="745" spans="3:15" ht="18" hidden="1">
      <c r="C745" s="3859" t="str">
        <f>T('2 REPAIR ESTIMATOR'!D813:O813)</f>
        <v/>
      </c>
      <c r="D745" s="3859"/>
      <c r="E745" s="3859"/>
      <c r="F745" s="3859"/>
      <c r="G745" s="3831">
        <f>'2 REPAIR ESTIMATOR'!AQ813</f>
        <v>0</v>
      </c>
      <c r="H745" s="3831"/>
      <c r="I745" s="810">
        <f t="shared" si="57"/>
        <v>0</v>
      </c>
      <c r="J745" s="811">
        <f t="shared" si="58"/>
        <v>0</v>
      </c>
      <c r="K745" s="3832"/>
      <c r="L745" s="3833"/>
      <c r="M745" s="3833"/>
      <c r="N745" s="3834"/>
      <c r="O745" s="820">
        <f t="shared" si="59"/>
        <v>0</v>
      </c>
    </row>
    <row r="746" spans="3:15" ht="18" hidden="1">
      <c r="C746" s="3859" t="str">
        <f>T('2 REPAIR ESTIMATOR'!D814:O814)</f>
        <v>Hardwood Flooring</v>
      </c>
      <c r="D746" s="3859"/>
      <c r="E746" s="3859"/>
      <c r="F746" s="3859"/>
      <c r="G746" s="3831">
        <f>'2 REPAIR ESTIMATOR'!AQ814</f>
        <v>0</v>
      </c>
      <c r="H746" s="3831"/>
      <c r="I746" s="810">
        <f t="shared" si="57"/>
        <v>0</v>
      </c>
      <c r="J746" s="811">
        <f t="shared" si="58"/>
        <v>0</v>
      </c>
      <c r="K746" s="3832"/>
      <c r="L746" s="3833"/>
      <c r="M746" s="3833"/>
      <c r="N746" s="3834"/>
      <c r="O746" s="820">
        <f t="shared" si="59"/>
        <v>0</v>
      </c>
    </row>
    <row r="747" spans="3:15" ht="18" hidden="1">
      <c r="C747" s="3859" t="str">
        <f>T('2 REPAIR ESTIMATOR'!D815:O815)</f>
        <v>Hardwood flooring, economy grade</v>
      </c>
      <c r="D747" s="3859"/>
      <c r="E747" s="3859"/>
      <c r="F747" s="3859"/>
      <c r="G747" s="3831">
        <f>'2 REPAIR ESTIMATOR'!AQ815</f>
        <v>0</v>
      </c>
      <c r="H747" s="3831"/>
      <c r="I747" s="810">
        <f t="shared" si="57"/>
        <v>0</v>
      </c>
      <c r="J747" s="811">
        <f t="shared" si="58"/>
        <v>0</v>
      </c>
      <c r="K747" s="3832"/>
      <c r="L747" s="3833"/>
      <c r="M747" s="3833"/>
      <c r="N747" s="3834"/>
      <c r="O747" s="820">
        <f t="shared" si="59"/>
        <v>0</v>
      </c>
    </row>
    <row r="748" spans="3:15" ht="18" hidden="1">
      <c r="C748" s="3859" t="str">
        <f>T('2 REPAIR ESTIMATOR'!D816:O816)</f>
        <v>Hardwood flooring, average grade</v>
      </c>
      <c r="D748" s="3859"/>
      <c r="E748" s="3859"/>
      <c r="F748" s="3859"/>
      <c r="G748" s="3831">
        <f>'2 REPAIR ESTIMATOR'!AQ816</f>
        <v>0</v>
      </c>
      <c r="H748" s="3831"/>
      <c r="I748" s="810">
        <f t="shared" si="57"/>
        <v>0</v>
      </c>
      <c r="J748" s="811">
        <f t="shared" si="58"/>
        <v>0</v>
      </c>
      <c r="K748" s="3832"/>
      <c r="L748" s="3833"/>
      <c r="M748" s="3833"/>
      <c r="N748" s="3834"/>
      <c r="O748" s="820">
        <f t="shared" si="59"/>
        <v>0</v>
      </c>
    </row>
    <row r="749" spans="3:15" ht="18" hidden="1">
      <c r="C749" s="3859" t="str">
        <f>T('2 REPAIR ESTIMATOR'!D817:O817)</f>
        <v>Hardwood flooring, premium grade</v>
      </c>
      <c r="D749" s="3859"/>
      <c r="E749" s="3859"/>
      <c r="F749" s="3859"/>
      <c r="G749" s="3831">
        <f>'2 REPAIR ESTIMATOR'!AQ817</f>
        <v>0</v>
      </c>
      <c r="H749" s="3831"/>
      <c r="I749" s="810">
        <f t="shared" si="57"/>
        <v>0</v>
      </c>
      <c r="J749" s="811">
        <f t="shared" si="58"/>
        <v>0</v>
      </c>
      <c r="K749" s="3832"/>
      <c r="L749" s="3833"/>
      <c r="M749" s="3833"/>
      <c r="N749" s="3834"/>
      <c r="O749" s="820">
        <f t="shared" si="59"/>
        <v>0</v>
      </c>
    </row>
    <row r="750" spans="3:15" ht="18" hidden="1">
      <c r="C750" s="3859" t="str">
        <f>T('2 REPAIR ESTIMATOR'!D818:O818)</f>
        <v/>
      </c>
      <c r="D750" s="3859"/>
      <c r="E750" s="3859"/>
      <c r="F750" s="3859"/>
      <c r="G750" s="3831">
        <f>'2 REPAIR ESTIMATOR'!AQ818</f>
        <v>0</v>
      </c>
      <c r="H750" s="3831"/>
      <c r="I750" s="810">
        <f t="shared" si="57"/>
        <v>0</v>
      </c>
      <c r="J750" s="811">
        <f t="shared" si="58"/>
        <v>0</v>
      </c>
      <c r="K750" s="3832"/>
      <c r="L750" s="3833"/>
      <c r="M750" s="3833"/>
      <c r="N750" s="3834"/>
      <c r="O750" s="820">
        <f t="shared" si="59"/>
        <v>0</v>
      </c>
    </row>
    <row r="751" spans="3:15" ht="18" hidden="1">
      <c r="C751" s="3859" t="str">
        <f>T('2 REPAIR ESTIMATOR'!D819:O819)</f>
        <v>Hardwood Floor Refinishing</v>
      </c>
      <c r="D751" s="3859"/>
      <c r="E751" s="3859"/>
      <c r="F751" s="3859"/>
      <c r="G751" s="3831">
        <f>'2 REPAIR ESTIMATOR'!AQ819</f>
        <v>0</v>
      </c>
      <c r="H751" s="3831"/>
      <c r="I751" s="810">
        <f t="shared" si="57"/>
        <v>0</v>
      </c>
      <c r="J751" s="811">
        <f t="shared" si="58"/>
        <v>0</v>
      </c>
      <c r="K751" s="3832"/>
      <c r="L751" s="3833"/>
      <c r="M751" s="3833"/>
      <c r="N751" s="3834"/>
      <c r="O751" s="820">
        <f t="shared" si="59"/>
        <v>0</v>
      </c>
    </row>
    <row r="752" spans="3:15" ht="18" hidden="1">
      <c r="C752" s="3859" t="str">
        <f>T('2 REPAIR ESTIMATOR'!D820:O820)</f>
        <v>Floor refinishing</v>
      </c>
      <c r="D752" s="3859"/>
      <c r="E752" s="3859"/>
      <c r="F752" s="3859"/>
      <c r="G752" s="3831">
        <f>'2 REPAIR ESTIMATOR'!AQ820</f>
        <v>0</v>
      </c>
      <c r="H752" s="3831"/>
      <c r="I752" s="810">
        <f t="shared" si="57"/>
        <v>0</v>
      </c>
      <c r="J752" s="811">
        <f t="shared" si="58"/>
        <v>0</v>
      </c>
      <c r="K752" s="3832"/>
      <c r="L752" s="3833"/>
      <c r="M752" s="3833"/>
      <c r="N752" s="3834"/>
      <c r="O752" s="820">
        <f t="shared" si="59"/>
        <v>0</v>
      </c>
    </row>
    <row r="753" spans="3:15" ht="18" hidden="1">
      <c r="C753" s="3859" t="str">
        <f>T('2 REPAIR ESTIMATOR'!D821:O821)</f>
        <v>Lacing new hardwood to match existing, case-by-case</v>
      </c>
      <c r="D753" s="3859"/>
      <c r="E753" s="3859"/>
      <c r="F753" s="3859"/>
      <c r="G753" s="3831">
        <f>'2 REPAIR ESTIMATOR'!AQ821</f>
        <v>0</v>
      </c>
      <c r="H753" s="3831"/>
      <c r="I753" s="810">
        <f t="shared" si="57"/>
        <v>0</v>
      </c>
      <c r="J753" s="811">
        <f t="shared" si="58"/>
        <v>0</v>
      </c>
      <c r="K753" s="3832"/>
      <c r="L753" s="3833"/>
      <c r="M753" s="3833"/>
      <c r="N753" s="3834"/>
      <c r="O753" s="820">
        <f t="shared" si="59"/>
        <v>0</v>
      </c>
    </row>
    <row r="754" spans="3:15" ht="18" hidden="1">
      <c r="C754" s="3859" t="str">
        <f>T('2 REPAIR ESTIMATOR'!D822:O822)</f>
        <v/>
      </c>
      <c r="D754" s="3859"/>
      <c r="E754" s="3859"/>
      <c r="F754" s="3859"/>
      <c r="G754" s="3831">
        <f>'2 REPAIR ESTIMATOR'!AQ822</f>
        <v>0</v>
      </c>
      <c r="H754" s="3831"/>
      <c r="I754" s="810">
        <f t="shared" si="57"/>
        <v>0</v>
      </c>
      <c r="J754" s="811">
        <f t="shared" si="58"/>
        <v>0</v>
      </c>
      <c r="K754" s="3832"/>
      <c r="L754" s="3833"/>
      <c r="M754" s="3833"/>
      <c r="N754" s="3834"/>
      <c r="O754" s="820">
        <f t="shared" si="59"/>
        <v>0</v>
      </c>
    </row>
    <row r="755" spans="3:15" ht="18" hidden="1">
      <c r="C755" s="3859" t="str">
        <f>T('2 REPAIR ESTIMATOR'!D823:O823)</f>
        <v>Miscellaneous</v>
      </c>
      <c r="D755" s="3859"/>
      <c r="E755" s="3859"/>
      <c r="F755" s="3859"/>
      <c r="G755" s="3831">
        <f>'2 REPAIR ESTIMATOR'!AQ823</f>
        <v>0</v>
      </c>
      <c r="H755" s="3831"/>
      <c r="I755" s="810">
        <f t="shared" si="57"/>
        <v>0</v>
      </c>
      <c r="J755" s="811">
        <f t="shared" si="58"/>
        <v>0</v>
      </c>
      <c r="K755" s="3832"/>
      <c r="L755" s="3833"/>
      <c r="M755" s="3833"/>
      <c r="N755" s="3834"/>
      <c r="O755" s="820">
        <f t="shared" si="59"/>
        <v>0</v>
      </c>
    </row>
    <row r="756" spans="3:15" ht="18" hidden="1">
      <c r="C756" s="3859" t="str">
        <f>T('2 REPAIR ESTIMATOR'!D824:O824)</f>
        <v>Stair treads, 4ft avg</v>
      </c>
      <c r="D756" s="3859"/>
      <c r="E756" s="3859"/>
      <c r="F756" s="3859"/>
      <c r="G756" s="3831">
        <f>'2 REPAIR ESTIMATOR'!AQ824</f>
        <v>0</v>
      </c>
      <c r="H756" s="3831"/>
      <c r="I756" s="810">
        <f t="shared" si="57"/>
        <v>0</v>
      </c>
      <c r="J756" s="811">
        <f t="shared" si="58"/>
        <v>0</v>
      </c>
      <c r="K756" s="3832"/>
      <c r="L756" s="3833"/>
      <c r="M756" s="3833"/>
      <c r="N756" s="3834"/>
      <c r="O756" s="820">
        <f t="shared" si="59"/>
        <v>0</v>
      </c>
    </row>
    <row r="757" spans="3:15" ht="18" hidden="1">
      <c r="C757" s="3859" t="str">
        <f>T('2 REPAIR ESTIMATOR'!D825:O825)</f>
        <v>Shoe moldings</v>
      </c>
      <c r="D757" s="3859"/>
      <c r="E757" s="3859"/>
      <c r="F757" s="3859"/>
      <c r="G757" s="3831">
        <f>'2 REPAIR ESTIMATOR'!AQ825</f>
        <v>0</v>
      </c>
      <c r="H757" s="3831"/>
      <c r="I757" s="810">
        <f t="shared" si="57"/>
        <v>0</v>
      </c>
      <c r="J757" s="811">
        <f t="shared" si="58"/>
        <v>0</v>
      </c>
      <c r="K757" s="3832"/>
      <c r="L757" s="3833"/>
      <c r="M757" s="3833"/>
      <c r="N757" s="3834"/>
      <c r="O757" s="820">
        <f t="shared" si="59"/>
        <v>0</v>
      </c>
    </row>
    <row r="758" spans="3:15" ht="18" hidden="1">
      <c r="C758" s="3859" t="str">
        <f>T('2 REPAIR ESTIMATOR'!D826:O826)</f>
        <v>Underlayment</v>
      </c>
      <c r="D758" s="3859"/>
      <c r="E758" s="3859"/>
      <c r="F758" s="3859"/>
      <c r="G758" s="3831">
        <f>'2 REPAIR ESTIMATOR'!AQ826</f>
        <v>0</v>
      </c>
      <c r="H758" s="3831"/>
      <c r="I758" s="810">
        <f t="shared" si="57"/>
        <v>0</v>
      </c>
      <c r="J758" s="811">
        <f t="shared" si="58"/>
        <v>0</v>
      </c>
      <c r="K758" s="3832"/>
      <c r="L758" s="3833"/>
      <c r="M758" s="3833"/>
      <c r="N758" s="3834"/>
      <c r="O758" s="820">
        <f t="shared" si="59"/>
        <v>0</v>
      </c>
    </row>
    <row r="759" spans="3:15" ht="18" hidden="1">
      <c r="C759" s="3859" t="str">
        <f>T('2 REPAIR ESTIMATOR'!D827:O827)</f>
        <v/>
      </c>
      <c r="D759" s="3859"/>
      <c r="E759" s="3859"/>
      <c r="F759" s="3859"/>
      <c r="G759" s="3831">
        <f>'2 REPAIR ESTIMATOR'!AQ827</f>
        <v>0</v>
      </c>
      <c r="H759" s="3831"/>
      <c r="I759" s="810">
        <f t="shared" si="57"/>
        <v>0</v>
      </c>
      <c r="J759" s="811">
        <f t="shared" si="58"/>
        <v>0</v>
      </c>
      <c r="K759" s="3832"/>
      <c r="L759" s="3833"/>
      <c r="M759" s="3833"/>
      <c r="N759" s="3834"/>
      <c r="O759" s="820">
        <f t="shared" si="59"/>
        <v>0</v>
      </c>
    </row>
    <row r="760" spans="3:15" ht="18" hidden="1">
      <c r="C760" s="3859" t="str">
        <f>T('2 REPAIR ESTIMATOR'!D828:O828)</f>
        <v/>
      </c>
      <c r="D760" s="3859"/>
      <c r="E760" s="3859"/>
      <c r="F760" s="3859"/>
      <c r="G760" s="3831">
        <f>'2 REPAIR ESTIMATOR'!AQ828</f>
        <v>0</v>
      </c>
      <c r="H760" s="3831"/>
      <c r="I760" s="810">
        <f t="shared" si="57"/>
        <v>0</v>
      </c>
      <c r="J760" s="811">
        <f t="shared" si="58"/>
        <v>0</v>
      </c>
      <c r="K760" s="3832"/>
      <c r="L760" s="3833"/>
      <c r="M760" s="3833"/>
      <c r="N760" s="3834"/>
      <c r="O760" s="820">
        <f t="shared" si="59"/>
        <v>0</v>
      </c>
    </row>
    <row r="761" spans="3:15" ht="18" hidden="1">
      <c r="C761" s="3859" t="str">
        <f>T('2 REPAIR ESTIMATOR'!D829:O829)</f>
        <v/>
      </c>
      <c r="D761" s="3859"/>
      <c r="E761" s="3859"/>
      <c r="F761" s="3859"/>
      <c r="G761" s="3831">
        <f>'2 REPAIR ESTIMATOR'!AQ829</f>
        <v>0</v>
      </c>
      <c r="H761" s="3831"/>
      <c r="I761" s="810">
        <f t="shared" si="57"/>
        <v>0</v>
      </c>
      <c r="J761" s="811">
        <f t="shared" si="58"/>
        <v>0</v>
      </c>
      <c r="K761" s="3832"/>
      <c r="L761" s="3833"/>
      <c r="M761" s="3833"/>
      <c r="N761" s="3834"/>
      <c r="O761" s="820">
        <f t="shared" si="59"/>
        <v>0</v>
      </c>
    </row>
    <row r="762" spans="3:15" ht="18" hidden="1">
      <c r="C762" s="3859" t="str">
        <f>T('2 REPAIR ESTIMATOR'!D830:O830)</f>
        <v/>
      </c>
      <c r="D762" s="3859"/>
      <c r="E762" s="3859"/>
      <c r="F762" s="3859"/>
      <c r="G762" s="3831">
        <f>'2 REPAIR ESTIMATOR'!AQ830</f>
        <v>0</v>
      </c>
      <c r="H762" s="3831"/>
      <c r="I762" s="810">
        <f t="shared" si="57"/>
        <v>0</v>
      </c>
      <c r="J762" s="811">
        <f t="shared" si="58"/>
        <v>0</v>
      </c>
      <c r="K762" s="3832"/>
      <c r="L762" s="3833"/>
      <c r="M762" s="3833"/>
      <c r="N762" s="3834"/>
      <c r="O762" s="820">
        <f t="shared" si="59"/>
        <v>0</v>
      </c>
    </row>
    <row r="763" spans="3:15" ht="18" hidden="1">
      <c r="C763" s="3859" t="str">
        <f>T('2 REPAIR ESTIMATOR'!D831:O831)</f>
        <v/>
      </c>
      <c r="D763" s="3859"/>
      <c r="E763" s="3859"/>
      <c r="F763" s="3859"/>
      <c r="G763" s="3831">
        <f>'2 REPAIR ESTIMATOR'!AQ831</f>
        <v>0</v>
      </c>
      <c r="H763" s="3831"/>
      <c r="I763" s="810">
        <f t="shared" si="57"/>
        <v>0</v>
      </c>
      <c r="J763" s="811">
        <f t="shared" si="58"/>
        <v>0</v>
      </c>
      <c r="K763" s="3832"/>
      <c r="L763" s="3833"/>
      <c r="M763" s="3833"/>
      <c r="N763" s="3834"/>
      <c r="O763" s="820">
        <f t="shared" si="59"/>
        <v>0</v>
      </c>
    </row>
    <row r="764" spans="3:15" ht="18" hidden="1">
      <c r="C764" s="3859" t="str">
        <f>T('2 REPAIR ESTIMATOR'!D832:O832)</f>
        <v/>
      </c>
      <c r="D764" s="3859"/>
      <c r="E764" s="3859"/>
      <c r="F764" s="3859"/>
      <c r="G764" s="3831">
        <f>'2 REPAIR ESTIMATOR'!AQ832</f>
        <v>0</v>
      </c>
      <c r="H764" s="3831"/>
      <c r="I764" s="810">
        <f t="shared" si="57"/>
        <v>0</v>
      </c>
      <c r="J764" s="811">
        <f t="shared" si="58"/>
        <v>0</v>
      </c>
      <c r="K764" s="3832"/>
      <c r="L764" s="3833"/>
      <c r="M764" s="3833"/>
      <c r="N764" s="3834"/>
      <c r="O764" s="820">
        <f t="shared" si="59"/>
        <v>0</v>
      </c>
    </row>
    <row r="765" spans="3:15" ht="18" hidden="1">
      <c r="C765" s="3859" t="str">
        <f>T('2 REPAIR ESTIMATOR'!D833:O833)</f>
        <v/>
      </c>
      <c r="D765" s="3859"/>
      <c r="E765" s="3859"/>
      <c r="F765" s="3859"/>
      <c r="G765" s="3831">
        <f>'2 REPAIR ESTIMATOR'!AQ833</f>
        <v>0</v>
      </c>
      <c r="H765" s="3831"/>
      <c r="I765" s="810">
        <f t="shared" si="57"/>
        <v>0</v>
      </c>
      <c r="J765" s="811">
        <f t="shared" si="58"/>
        <v>0</v>
      </c>
      <c r="K765" s="3832"/>
      <c r="L765" s="3833"/>
      <c r="M765" s="3833"/>
      <c r="N765" s="3834"/>
      <c r="O765" s="820">
        <f t="shared" si="59"/>
        <v>0</v>
      </c>
    </row>
    <row r="766" spans="3:15" ht="18" hidden="1">
      <c r="C766" s="3859" t="str">
        <f>T('2 REPAIR ESTIMATOR'!D834:O834)</f>
        <v/>
      </c>
      <c r="D766" s="3859"/>
      <c r="E766" s="3859"/>
      <c r="F766" s="3859"/>
      <c r="G766" s="3831">
        <f>'2 REPAIR ESTIMATOR'!AQ834</f>
        <v>0</v>
      </c>
      <c r="H766" s="3831"/>
      <c r="I766" s="810">
        <f t="shared" si="57"/>
        <v>0</v>
      </c>
      <c r="J766" s="811">
        <f t="shared" si="58"/>
        <v>0</v>
      </c>
      <c r="K766" s="3832"/>
      <c r="L766" s="3833"/>
      <c r="M766" s="3833"/>
      <c r="N766" s="3834"/>
      <c r="O766" s="820">
        <f t="shared" si="59"/>
        <v>0</v>
      </c>
    </row>
    <row r="767" spans="3:15" ht="18" hidden="1">
      <c r="C767" s="3859" t="str">
        <f>T('2 REPAIR ESTIMATOR'!D835:O835)</f>
        <v/>
      </c>
      <c r="D767" s="3859"/>
      <c r="E767" s="3859"/>
      <c r="F767" s="3859"/>
      <c r="G767" s="3831">
        <f>'2 REPAIR ESTIMATOR'!AQ835</f>
        <v>0</v>
      </c>
      <c r="H767" s="3831"/>
      <c r="I767" s="810">
        <f t="shared" si="57"/>
        <v>0</v>
      </c>
      <c r="J767" s="811">
        <f t="shared" si="58"/>
        <v>0</v>
      </c>
      <c r="K767" s="3832"/>
      <c r="L767" s="3833"/>
      <c r="M767" s="3833"/>
      <c r="N767" s="3834"/>
      <c r="O767" s="820">
        <f t="shared" si="59"/>
        <v>0</v>
      </c>
    </row>
    <row r="768" spans="3:15" ht="18" hidden="1">
      <c r="C768" s="3859" t="str">
        <f>T('2 REPAIR ESTIMATOR'!D836:O836)</f>
        <v/>
      </c>
      <c r="D768" s="3859"/>
      <c r="E768" s="3859"/>
      <c r="F768" s="3859"/>
      <c r="G768" s="3831">
        <f>'2 REPAIR ESTIMATOR'!AQ836</f>
        <v>0</v>
      </c>
      <c r="H768" s="3831"/>
      <c r="I768" s="810">
        <f t="shared" si="57"/>
        <v>0</v>
      </c>
      <c r="J768" s="811">
        <f t="shared" si="58"/>
        <v>0</v>
      </c>
      <c r="K768" s="3832"/>
      <c r="L768" s="3833"/>
      <c r="M768" s="3833"/>
      <c r="N768" s="3834"/>
      <c r="O768" s="820">
        <f t="shared" si="59"/>
        <v>0</v>
      </c>
    </row>
    <row r="769" spans="3:15" ht="18" hidden="1">
      <c r="C769" s="3859" t="str">
        <f>T('2 REPAIR ESTIMATOR'!D837:O837)</f>
        <v/>
      </c>
      <c r="D769" s="3859"/>
      <c r="E769" s="3859"/>
      <c r="F769" s="3859"/>
      <c r="G769" s="3831">
        <f>'2 REPAIR ESTIMATOR'!AQ837</f>
        <v>0</v>
      </c>
      <c r="H769" s="3831"/>
      <c r="I769" s="810">
        <f t="shared" si="57"/>
        <v>0</v>
      </c>
      <c r="J769" s="811">
        <f t="shared" si="58"/>
        <v>0</v>
      </c>
      <c r="K769" s="3832"/>
      <c r="L769" s="3833"/>
      <c r="M769" s="3833"/>
      <c r="N769" s="3834"/>
      <c r="O769" s="820">
        <f t="shared" si="59"/>
        <v>0</v>
      </c>
    </row>
    <row r="770" spans="3:15" ht="18" hidden="1">
      <c r="C770" s="3859" t="str">
        <f>T('2 REPAIR ESTIMATOR'!D838:O838)</f>
        <v/>
      </c>
      <c r="D770" s="3859"/>
      <c r="E770" s="3859"/>
      <c r="F770" s="3859"/>
      <c r="G770" s="3831">
        <f>'2 REPAIR ESTIMATOR'!AQ838</f>
        <v>0</v>
      </c>
      <c r="H770" s="3831"/>
      <c r="I770" s="810">
        <f t="shared" si="57"/>
        <v>0</v>
      </c>
      <c r="J770" s="811">
        <f t="shared" si="58"/>
        <v>0</v>
      </c>
      <c r="K770" s="3832"/>
      <c r="L770" s="3833"/>
      <c r="M770" s="3833"/>
      <c r="N770" s="3834"/>
      <c r="O770" s="820">
        <f t="shared" si="59"/>
        <v>0</v>
      </c>
    </row>
    <row r="771" spans="3:15" ht="18" hidden="1">
      <c r="C771" s="3859" t="str">
        <f>T('2 REPAIR ESTIMATOR'!D839:O839)</f>
        <v/>
      </c>
      <c r="D771" s="3859"/>
      <c r="E771" s="3859"/>
      <c r="F771" s="3859"/>
      <c r="G771" s="3831">
        <f>'2 REPAIR ESTIMATOR'!AQ839</f>
        <v>0</v>
      </c>
      <c r="H771" s="3831"/>
      <c r="I771" s="810">
        <f t="shared" si="57"/>
        <v>0</v>
      </c>
      <c r="J771" s="811">
        <f t="shared" si="58"/>
        <v>0</v>
      </c>
      <c r="K771" s="3832"/>
      <c r="L771" s="3833"/>
      <c r="M771" s="3833"/>
      <c r="N771" s="3834"/>
      <c r="O771" s="820">
        <f t="shared" si="59"/>
        <v>0</v>
      </c>
    </row>
    <row r="772" spans="3:15" ht="18" hidden="1">
      <c r="C772" s="3859" t="str">
        <f>T('2 REPAIR ESTIMATOR'!D840:O840)</f>
        <v/>
      </c>
      <c r="D772" s="3859"/>
      <c r="E772" s="3859"/>
      <c r="F772" s="3859"/>
      <c r="G772" s="3831">
        <f>'2 REPAIR ESTIMATOR'!AQ840</f>
        <v>0</v>
      </c>
      <c r="H772" s="3831"/>
      <c r="I772" s="810">
        <f t="shared" si="57"/>
        <v>0</v>
      </c>
      <c r="J772" s="811">
        <f t="shared" si="58"/>
        <v>0</v>
      </c>
      <c r="K772" s="3832"/>
      <c r="L772" s="3833"/>
      <c r="M772" s="3833"/>
      <c r="N772" s="3834"/>
      <c r="O772" s="820">
        <f t="shared" si="59"/>
        <v>0</v>
      </c>
    </row>
    <row r="773" spans="3:15" ht="18" hidden="1">
      <c r="C773" s="3859" t="str">
        <f>T('2 REPAIR ESTIMATOR'!D841:O841)</f>
        <v/>
      </c>
      <c r="D773" s="3859"/>
      <c r="E773" s="3859"/>
      <c r="F773" s="3859"/>
      <c r="G773" s="3831">
        <f>'2 REPAIR ESTIMATOR'!AQ841</f>
        <v>0</v>
      </c>
      <c r="H773" s="3831"/>
      <c r="I773" s="810">
        <f t="shared" si="57"/>
        <v>0</v>
      </c>
      <c r="J773" s="811">
        <f t="shared" si="58"/>
        <v>0</v>
      </c>
      <c r="K773" s="3832"/>
      <c r="L773" s="3833"/>
      <c r="M773" s="3833"/>
      <c r="N773" s="3834"/>
      <c r="O773" s="820">
        <f t="shared" si="59"/>
        <v>0</v>
      </c>
    </row>
    <row r="774" spans="3:15" ht="18" hidden="1">
      <c r="C774" s="3859" t="str">
        <f>T('2 REPAIR ESTIMATOR'!D842:O842)</f>
        <v/>
      </c>
      <c r="D774" s="3859"/>
      <c r="E774" s="3859"/>
      <c r="F774" s="3859"/>
      <c r="G774" s="3831">
        <f>'2 REPAIR ESTIMATOR'!AQ842</f>
        <v>0</v>
      </c>
      <c r="H774" s="3831"/>
      <c r="I774" s="810">
        <f t="shared" si="57"/>
        <v>0</v>
      </c>
      <c r="J774" s="811">
        <f t="shared" si="58"/>
        <v>0</v>
      </c>
      <c r="K774" s="3832"/>
      <c r="L774" s="3833"/>
      <c r="M774" s="3833"/>
      <c r="N774" s="3834"/>
      <c r="O774" s="820">
        <f t="shared" si="59"/>
        <v>0</v>
      </c>
    </row>
    <row r="775" spans="3:15" ht="18" hidden="1">
      <c r="C775" s="3859" t="str">
        <f>T('2 REPAIR ESTIMATOR'!D843:O843)</f>
        <v/>
      </c>
      <c r="D775" s="3859"/>
      <c r="E775" s="3859"/>
      <c r="F775" s="3859"/>
      <c r="G775" s="3831">
        <f>'2 REPAIR ESTIMATOR'!AQ843</f>
        <v>0</v>
      </c>
      <c r="H775" s="3831"/>
      <c r="I775" s="810">
        <f t="shared" si="57"/>
        <v>0</v>
      </c>
      <c r="J775" s="811">
        <f t="shared" si="58"/>
        <v>0</v>
      </c>
      <c r="K775" s="3832"/>
      <c r="L775" s="3833"/>
      <c r="M775" s="3833"/>
      <c r="N775" s="3834"/>
      <c r="O775" s="820">
        <f t="shared" si="59"/>
        <v>0</v>
      </c>
    </row>
    <row r="776" spans="3:15" ht="18" hidden="1">
      <c r="C776" s="3859" t="str">
        <f>T('2 REPAIR ESTIMATOR'!D844:O844)</f>
        <v/>
      </c>
      <c r="D776" s="3859"/>
      <c r="E776" s="3859"/>
      <c r="F776" s="3859"/>
      <c r="G776" s="3831">
        <f>'2 REPAIR ESTIMATOR'!AQ844</f>
        <v>0</v>
      </c>
      <c r="H776" s="3831"/>
      <c r="I776" s="810">
        <f t="shared" si="57"/>
        <v>0</v>
      </c>
      <c r="J776" s="811">
        <f t="shared" si="58"/>
        <v>0</v>
      </c>
      <c r="K776" s="3832"/>
      <c r="L776" s="3833"/>
      <c r="M776" s="3833"/>
      <c r="N776" s="3834"/>
      <c r="O776" s="820">
        <f t="shared" si="59"/>
        <v>0</v>
      </c>
    </row>
    <row r="777" spans="3:15" ht="18" hidden="1">
      <c r="C777" s="3859" t="str">
        <f>T('2 REPAIR ESTIMATOR'!D845:O845)</f>
        <v/>
      </c>
      <c r="D777" s="3859"/>
      <c r="E777" s="3859"/>
      <c r="F777" s="3859"/>
      <c r="G777" s="3831">
        <f>'2 REPAIR ESTIMATOR'!AQ845</f>
        <v>0</v>
      </c>
      <c r="H777" s="3831"/>
      <c r="I777" s="810">
        <f t="shared" si="57"/>
        <v>0</v>
      </c>
      <c r="J777" s="811">
        <f t="shared" si="58"/>
        <v>0</v>
      </c>
      <c r="K777" s="3832"/>
      <c r="L777" s="3833"/>
      <c r="M777" s="3833"/>
      <c r="N777" s="3834"/>
      <c r="O777" s="820">
        <f t="shared" si="59"/>
        <v>0</v>
      </c>
    </row>
    <row r="778" spans="3:15" ht="18" hidden="1">
      <c r="C778" s="3859" t="str">
        <f>T('2 REPAIR ESTIMATOR'!D846:O846)</f>
        <v/>
      </c>
      <c r="D778" s="3859"/>
      <c r="E778" s="3859"/>
      <c r="F778" s="3859"/>
      <c r="G778" s="3831">
        <f>'2 REPAIR ESTIMATOR'!AQ846</f>
        <v>0</v>
      </c>
      <c r="H778" s="3831"/>
      <c r="I778" s="810">
        <f t="shared" si="57"/>
        <v>0</v>
      </c>
      <c r="J778" s="811">
        <f t="shared" si="58"/>
        <v>0</v>
      </c>
      <c r="K778" s="3832"/>
      <c r="L778" s="3833"/>
      <c r="M778" s="3833"/>
      <c r="N778" s="3834"/>
      <c r="O778" s="820">
        <f t="shared" si="59"/>
        <v>0</v>
      </c>
    </row>
    <row r="779" spans="3:15" ht="18.350000000000001" hidden="1" thickBot="1">
      <c r="C779" s="3835" t="str">
        <f>T('2 REPAIR ESTIMATOR'!D847:O847)</f>
        <v/>
      </c>
      <c r="D779" s="3835"/>
      <c r="E779" s="3835"/>
      <c r="F779" s="3835"/>
      <c r="G779" s="3836">
        <f>'2 REPAIR ESTIMATOR'!AQ847</f>
        <v>0</v>
      </c>
      <c r="H779" s="3836"/>
      <c r="I779" s="813">
        <f t="shared" si="57"/>
        <v>0</v>
      </c>
      <c r="J779" s="814">
        <f t="shared" si="58"/>
        <v>0</v>
      </c>
      <c r="K779" s="3837"/>
      <c r="L779" s="3838"/>
      <c r="M779" s="3838"/>
      <c r="N779" s="3839"/>
      <c r="O779" s="823">
        <f t="shared" si="59"/>
        <v>0</v>
      </c>
    </row>
    <row r="780" spans="3:15" ht="18.350000000000001" hidden="1" thickTop="1">
      <c r="C780" s="3825" t="str">
        <f>T('2 REPAIR ESTIMATOR'!AC849)</f>
        <v>HARDWOOD FLOORING TOTAL</v>
      </c>
      <c r="D780" s="3825"/>
      <c r="E780" s="3825"/>
      <c r="F780" s="3825"/>
      <c r="G780" s="3826">
        <f>SUM(G740:H779)</f>
        <v>0</v>
      </c>
      <c r="H780" s="3826"/>
      <c r="I780" s="818">
        <f>SUM(I740:I779)</f>
        <v>0</v>
      </c>
      <c r="J780" s="819">
        <f>SUM(J740:J779)</f>
        <v>0</v>
      </c>
      <c r="K780" s="3827"/>
      <c r="L780" s="3828"/>
      <c r="M780" s="3828"/>
      <c r="N780" s="3829"/>
      <c r="O780" s="821">
        <f>SUM(O740:O779)</f>
        <v>0</v>
      </c>
    </row>
    <row r="781" spans="3:15" ht="8.85" hidden="1" customHeight="1">
      <c r="C781" s="836"/>
      <c r="D781" s="836"/>
      <c r="E781" s="836"/>
      <c r="F781" s="836"/>
      <c r="G781" s="837"/>
      <c r="H781" s="837"/>
      <c r="I781" s="837"/>
      <c r="J781" s="837"/>
      <c r="K781" s="837"/>
      <c r="L781" s="837"/>
      <c r="M781" s="837"/>
      <c r="N781" s="837"/>
      <c r="O781" s="822">
        <f>O780</f>
        <v>0</v>
      </c>
    </row>
    <row r="782" spans="3:15" ht="22.5" hidden="1" customHeight="1">
      <c r="C782" s="3840" t="str">
        <f>T('2 REPAIR ESTIMATOR'!D852:O852)</f>
        <v>TILING</v>
      </c>
      <c r="D782" s="3840"/>
      <c r="E782" s="3840"/>
      <c r="F782" s="3841"/>
      <c r="G782" s="3845"/>
      <c r="H782" s="3846"/>
      <c r="I782" s="831"/>
      <c r="J782" s="831"/>
      <c r="K782" s="3844"/>
      <c r="L782" s="3844"/>
      <c r="M782" s="3844"/>
      <c r="N782" s="3845"/>
      <c r="O782" s="820">
        <f>SUM(O783:O822)</f>
        <v>0</v>
      </c>
    </row>
    <row r="783" spans="3:15" ht="18" hidden="1">
      <c r="C783" s="3859" t="str">
        <f>T('2 REPAIR ESTIMATOR'!D853:O853)</f>
        <v>Tiling bid/allowance</v>
      </c>
      <c r="D783" s="3859"/>
      <c r="E783" s="3859"/>
      <c r="F783" s="3859"/>
      <c r="G783" s="3831">
        <f>'2 REPAIR ESTIMATOR'!AQ853</f>
        <v>0</v>
      </c>
      <c r="H783" s="3831"/>
      <c r="I783" s="810">
        <f t="shared" ref="I783:I822" si="60">IFERROR(G783/Property_Size,0)</f>
        <v>0</v>
      </c>
      <c r="J783" s="811">
        <f t="shared" ref="J783:J822" si="61">IFERROR(G783/Total_Project_Costs_Result,0)</f>
        <v>0</v>
      </c>
      <c r="K783" s="3832"/>
      <c r="L783" s="3833"/>
      <c r="M783" s="3833"/>
      <c r="N783" s="3834"/>
      <c r="O783" s="820">
        <f>IF(G783&gt;0,1,0)</f>
        <v>0</v>
      </c>
    </row>
    <row r="784" spans="3:15" ht="18" hidden="1">
      <c r="C784" s="3858" t="str">
        <f>T('2 REPAIR ESTIMATOR'!D854:O854)</f>
        <v xml:space="preserve">Kitchen </v>
      </c>
      <c r="D784" s="3858"/>
      <c r="E784" s="3858"/>
      <c r="F784" s="3858"/>
      <c r="G784" s="3831">
        <f>'2 REPAIR ESTIMATOR'!AQ854</f>
        <v>0</v>
      </c>
      <c r="H784" s="3831"/>
      <c r="I784" s="810">
        <f t="shared" si="60"/>
        <v>0</v>
      </c>
      <c r="J784" s="811">
        <f t="shared" si="61"/>
        <v>0</v>
      </c>
      <c r="K784" s="3832"/>
      <c r="L784" s="3833"/>
      <c r="M784" s="3833"/>
      <c r="N784" s="3834"/>
      <c r="O784" s="820">
        <f t="shared" ref="O784:O822" si="62">IF(G784&gt;0,1,0)</f>
        <v>0</v>
      </c>
    </row>
    <row r="785" spans="3:15" ht="18" hidden="1">
      <c r="C785" s="3859" t="str">
        <f>T('2 REPAIR ESTIMATOR'!D855:O855)</f>
        <v>Kitchen backsplash, mosaic tile</v>
      </c>
      <c r="D785" s="3859"/>
      <c r="E785" s="3859"/>
      <c r="F785" s="3859"/>
      <c r="G785" s="3831">
        <f>'2 REPAIR ESTIMATOR'!AQ855</f>
        <v>0</v>
      </c>
      <c r="H785" s="3831"/>
      <c r="I785" s="810">
        <f t="shared" si="60"/>
        <v>0</v>
      </c>
      <c r="J785" s="811">
        <f t="shared" si="61"/>
        <v>0</v>
      </c>
      <c r="K785" s="3832"/>
      <c r="L785" s="3833"/>
      <c r="M785" s="3833"/>
      <c r="N785" s="3834"/>
      <c r="O785" s="820">
        <f t="shared" si="62"/>
        <v>0</v>
      </c>
    </row>
    <row r="786" spans="3:15" ht="18" hidden="1">
      <c r="C786" s="3859" t="str">
        <f>T('2 REPAIR ESTIMATOR'!D856:O856)</f>
        <v>Floor tile, Kitchen</v>
      </c>
      <c r="D786" s="3859"/>
      <c r="E786" s="3859"/>
      <c r="F786" s="3859"/>
      <c r="G786" s="3831">
        <f>'2 REPAIR ESTIMATOR'!AQ856</f>
        <v>0</v>
      </c>
      <c r="H786" s="3831"/>
      <c r="I786" s="810">
        <f t="shared" si="60"/>
        <v>0</v>
      </c>
      <c r="J786" s="811">
        <f t="shared" si="61"/>
        <v>0</v>
      </c>
      <c r="K786" s="3832"/>
      <c r="L786" s="3833"/>
      <c r="M786" s="3833"/>
      <c r="N786" s="3834"/>
      <c r="O786" s="820">
        <f t="shared" si="62"/>
        <v>0</v>
      </c>
    </row>
    <row r="787" spans="3:15" ht="18" hidden="1">
      <c r="C787" s="3859" t="str">
        <f>T('2 REPAIR ESTIMATOR'!D857:O857)</f>
        <v/>
      </c>
      <c r="D787" s="3859"/>
      <c r="E787" s="3859"/>
      <c r="F787" s="3859"/>
      <c r="G787" s="3831">
        <f>'2 REPAIR ESTIMATOR'!AQ857</f>
        <v>0</v>
      </c>
      <c r="H787" s="3831"/>
      <c r="I787" s="810">
        <f t="shared" si="60"/>
        <v>0</v>
      </c>
      <c r="J787" s="811">
        <f t="shared" si="61"/>
        <v>0</v>
      </c>
      <c r="K787" s="3832"/>
      <c r="L787" s="3833"/>
      <c r="M787" s="3833"/>
      <c r="N787" s="3834"/>
      <c r="O787" s="820">
        <f t="shared" si="62"/>
        <v>0</v>
      </c>
    </row>
    <row r="788" spans="3:15" ht="18" hidden="1">
      <c r="C788" s="3859" t="str">
        <f>T('2 REPAIR ESTIMATOR'!D858:O858)</f>
        <v/>
      </c>
      <c r="D788" s="3859"/>
      <c r="E788" s="3859"/>
      <c r="F788" s="3859"/>
      <c r="G788" s="3831">
        <f>'2 REPAIR ESTIMATOR'!AQ858</f>
        <v>0</v>
      </c>
      <c r="H788" s="3831"/>
      <c r="I788" s="810">
        <f t="shared" si="60"/>
        <v>0</v>
      </c>
      <c r="J788" s="811">
        <f t="shared" si="61"/>
        <v>0</v>
      </c>
      <c r="K788" s="3832"/>
      <c r="L788" s="3833"/>
      <c r="M788" s="3833"/>
      <c r="N788" s="3834"/>
      <c r="O788" s="820">
        <f t="shared" si="62"/>
        <v>0</v>
      </c>
    </row>
    <row r="789" spans="3:15" ht="18" hidden="1">
      <c r="C789" s="3858" t="str">
        <f>T('2 REPAIR ESTIMATOR'!D859:O859)</f>
        <v>Bathrooms</v>
      </c>
      <c r="D789" s="3858"/>
      <c r="E789" s="3858"/>
      <c r="F789" s="3858"/>
      <c r="G789" s="3831">
        <f>'2 REPAIR ESTIMATOR'!AQ859</f>
        <v>0</v>
      </c>
      <c r="H789" s="3831"/>
      <c r="I789" s="810">
        <f t="shared" si="60"/>
        <v>0</v>
      </c>
      <c r="J789" s="811">
        <f t="shared" si="61"/>
        <v>0</v>
      </c>
      <c r="K789" s="3832"/>
      <c r="L789" s="3833"/>
      <c r="M789" s="3833"/>
      <c r="N789" s="3834"/>
      <c r="O789" s="820">
        <f t="shared" si="62"/>
        <v>0</v>
      </c>
    </row>
    <row r="790" spans="3:15" ht="18" hidden="1">
      <c r="C790" s="3859" t="str">
        <f>T('2 REPAIR ESTIMATOR'!D860:O860)</f>
        <v>Shower tile, standard</v>
      </c>
      <c r="D790" s="3859"/>
      <c r="E790" s="3859"/>
      <c r="F790" s="3859"/>
      <c r="G790" s="3831">
        <f>'2 REPAIR ESTIMATOR'!AQ860</f>
        <v>0</v>
      </c>
      <c r="H790" s="3831"/>
      <c r="I790" s="810">
        <f t="shared" si="60"/>
        <v>0</v>
      </c>
      <c r="J790" s="811">
        <f t="shared" si="61"/>
        <v>0</v>
      </c>
      <c r="K790" s="3832"/>
      <c r="L790" s="3833"/>
      <c r="M790" s="3833"/>
      <c r="N790" s="3834"/>
      <c r="O790" s="820">
        <f t="shared" si="62"/>
        <v>0</v>
      </c>
    </row>
    <row r="791" spans="3:15" ht="18" hidden="1">
      <c r="C791" s="3859" t="str">
        <f>T('2 REPAIR ESTIMATOR'!D861:O861)</f>
        <v>Shower tile, accent mosaic tile</v>
      </c>
      <c r="D791" s="3859"/>
      <c r="E791" s="3859"/>
      <c r="F791" s="3859"/>
      <c r="G791" s="3831">
        <f>'2 REPAIR ESTIMATOR'!AQ861</f>
        <v>0</v>
      </c>
      <c r="H791" s="3831"/>
      <c r="I791" s="810">
        <f t="shared" si="60"/>
        <v>0</v>
      </c>
      <c r="J791" s="811">
        <f t="shared" si="61"/>
        <v>0</v>
      </c>
      <c r="K791" s="3832"/>
      <c r="L791" s="3833"/>
      <c r="M791" s="3833"/>
      <c r="N791" s="3834"/>
      <c r="O791" s="820">
        <f t="shared" si="62"/>
        <v>0</v>
      </c>
    </row>
    <row r="792" spans="3:15" ht="18" hidden="1">
      <c r="C792" s="3859" t="str">
        <f>T('2 REPAIR ESTIMATOR'!D862:O862)</f>
        <v>Floor tile, bathrooms</v>
      </c>
      <c r="D792" s="3859"/>
      <c r="E792" s="3859"/>
      <c r="F792" s="3859"/>
      <c r="G792" s="3831">
        <f>'2 REPAIR ESTIMATOR'!AQ862</f>
        <v>0</v>
      </c>
      <c r="H792" s="3831"/>
      <c r="I792" s="810">
        <f t="shared" si="60"/>
        <v>0</v>
      </c>
      <c r="J792" s="811">
        <f t="shared" si="61"/>
        <v>0</v>
      </c>
      <c r="K792" s="3832"/>
      <c r="L792" s="3833"/>
      <c r="M792" s="3833"/>
      <c r="N792" s="3834"/>
      <c r="O792" s="820">
        <f t="shared" si="62"/>
        <v>0</v>
      </c>
    </row>
    <row r="793" spans="3:15" ht="18" hidden="1">
      <c r="C793" s="3859" t="str">
        <f>T('2 REPAIR ESTIMATOR'!D863:O863)</f>
        <v/>
      </c>
      <c r="D793" s="3859"/>
      <c r="E793" s="3859"/>
      <c r="F793" s="3859"/>
      <c r="G793" s="3831">
        <f>'2 REPAIR ESTIMATOR'!AQ863</f>
        <v>0</v>
      </c>
      <c r="H793" s="3831"/>
      <c r="I793" s="810">
        <f t="shared" si="60"/>
        <v>0</v>
      </c>
      <c r="J793" s="811">
        <f t="shared" si="61"/>
        <v>0</v>
      </c>
      <c r="K793" s="3832"/>
      <c r="L793" s="3833"/>
      <c r="M793" s="3833"/>
      <c r="N793" s="3834"/>
      <c r="O793" s="820">
        <f t="shared" si="62"/>
        <v>0</v>
      </c>
    </row>
    <row r="794" spans="3:15" ht="18" hidden="1">
      <c r="C794" s="3859" t="str">
        <f>T('2 REPAIR ESTIMATOR'!D864:O864)</f>
        <v/>
      </c>
      <c r="D794" s="3859"/>
      <c r="E794" s="3859"/>
      <c r="F794" s="3859"/>
      <c r="G794" s="3831">
        <f>'2 REPAIR ESTIMATOR'!AQ864</f>
        <v>0</v>
      </c>
      <c r="H794" s="3831"/>
      <c r="I794" s="810">
        <f t="shared" si="60"/>
        <v>0</v>
      </c>
      <c r="J794" s="811">
        <f t="shared" si="61"/>
        <v>0</v>
      </c>
      <c r="K794" s="3832"/>
      <c r="L794" s="3833"/>
      <c r="M794" s="3833"/>
      <c r="N794" s="3834"/>
      <c r="O794" s="820">
        <f t="shared" si="62"/>
        <v>0</v>
      </c>
    </row>
    <row r="795" spans="3:15" ht="18" hidden="1">
      <c r="C795" s="3858" t="str">
        <f>T('2 REPAIR ESTIMATOR'!D865:O865)</f>
        <v>Miscellaneous Tiling</v>
      </c>
      <c r="D795" s="3858"/>
      <c r="E795" s="3858"/>
      <c r="F795" s="3858"/>
      <c r="G795" s="3831">
        <f>'2 REPAIR ESTIMATOR'!AQ865</f>
        <v>0</v>
      </c>
      <c r="H795" s="3831"/>
      <c r="I795" s="810">
        <f t="shared" si="60"/>
        <v>0</v>
      </c>
      <c r="J795" s="811">
        <f t="shared" si="61"/>
        <v>0</v>
      </c>
      <c r="K795" s="3832"/>
      <c r="L795" s="3833"/>
      <c r="M795" s="3833"/>
      <c r="N795" s="3834"/>
      <c r="O795" s="820">
        <f t="shared" si="62"/>
        <v>0</v>
      </c>
    </row>
    <row r="796" spans="3:15" ht="18" hidden="1">
      <c r="C796" s="3859" t="str">
        <f>T('2 REPAIR ESTIMATOR'!D866:O866)</f>
        <v xml:space="preserve">Floor tile, entry </v>
      </c>
      <c r="D796" s="3859"/>
      <c r="E796" s="3859"/>
      <c r="F796" s="3859"/>
      <c r="G796" s="3831">
        <f>'2 REPAIR ESTIMATOR'!AQ866</f>
        <v>0</v>
      </c>
      <c r="H796" s="3831"/>
      <c r="I796" s="810">
        <f t="shared" si="60"/>
        <v>0</v>
      </c>
      <c r="J796" s="811">
        <f t="shared" si="61"/>
        <v>0</v>
      </c>
      <c r="K796" s="3832"/>
      <c r="L796" s="3833"/>
      <c r="M796" s="3833"/>
      <c r="N796" s="3834"/>
      <c r="O796" s="820">
        <f t="shared" si="62"/>
        <v>0</v>
      </c>
    </row>
    <row r="797" spans="3:15" ht="18" hidden="1">
      <c r="C797" s="3859" t="str">
        <f>T('2 REPAIR ESTIMATOR'!D867:O867)</f>
        <v>Fireplace tiling</v>
      </c>
      <c r="D797" s="3859"/>
      <c r="E797" s="3859"/>
      <c r="F797" s="3859"/>
      <c r="G797" s="3831">
        <f>'2 REPAIR ESTIMATOR'!AQ867</f>
        <v>0</v>
      </c>
      <c r="H797" s="3831"/>
      <c r="I797" s="810">
        <f t="shared" si="60"/>
        <v>0</v>
      </c>
      <c r="J797" s="811">
        <f t="shared" si="61"/>
        <v>0</v>
      </c>
      <c r="K797" s="3832"/>
      <c r="L797" s="3833"/>
      <c r="M797" s="3833"/>
      <c r="N797" s="3834"/>
      <c r="O797" s="820">
        <f t="shared" si="62"/>
        <v>0</v>
      </c>
    </row>
    <row r="798" spans="3:15" ht="18" hidden="1">
      <c r="C798" s="3859" t="str">
        <f>T('2 REPAIR ESTIMATOR'!D868:O868)</f>
        <v/>
      </c>
      <c r="D798" s="3859"/>
      <c r="E798" s="3859"/>
      <c r="F798" s="3859"/>
      <c r="G798" s="3831">
        <f>'2 REPAIR ESTIMATOR'!AQ868</f>
        <v>0</v>
      </c>
      <c r="H798" s="3831"/>
      <c r="I798" s="810">
        <f t="shared" si="60"/>
        <v>0</v>
      </c>
      <c r="J798" s="811">
        <f t="shared" si="61"/>
        <v>0</v>
      </c>
      <c r="K798" s="3832"/>
      <c r="L798" s="3833"/>
      <c r="M798" s="3833"/>
      <c r="N798" s="3834"/>
      <c r="O798" s="820">
        <f t="shared" si="62"/>
        <v>0</v>
      </c>
    </row>
    <row r="799" spans="3:15" ht="18" hidden="1">
      <c r="C799" s="3859" t="str">
        <f>T('2 REPAIR ESTIMATOR'!D869:O869)</f>
        <v/>
      </c>
      <c r="D799" s="3859"/>
      <c r="E799" s="3859"/>
      <c r="F799" s="3859"/>
      <c r="G799" s="3831">
        <f>'2 REPAIR ESTIMATOR'!AQ869</f>
        <v>0</v>
      </c>
      <c r="H799" s="3831"/>
      <c r="I799" s="810">
        <f t="shared" si="60"/>
        <v>0</v>
      </c>
      <c r="J799" s="811">
        <f t="shared" si="61"/>
        <v>0</v>
      </c>
      <c r="K799" s="3832"/>
      <c r="L799" s="3833"/>
      <c r="M799" s="3833"/>
      <c r="N799" s="3834"/>
      <c r="O799" s="820">
        <f t="shared" si="62"/>
        <v>0</v>
      </c>
    </row>
    <row r="800" spans="3:15" ht="18" hidden="1">
      <c r="C800" s="3858" t="str">
        <f>T('2 REPAIR ESTIMATOR'!D870:O870)</f>
        <v>Other</v>
      </c>
      <c r="D800" s="3858"/>
      <c r="E800" s="3858"/>
      <c r="F800" s="3858"/>
      <c r="G800" s="3831">
        <f>'2 REPAIR ESTIMATOR'!AQ870</f>
        <v>0</v>
      </c>
      <c r="H800" s="3831"/>
      <c r="I800" s="810">
        <f t="shared" si="60"/>
        <v>0</v>
      </c>
      <c r="J800" s="811">
        <f t="shared" si="61"/>
        <v>0</v>
      </c>
      <c r="K800" s="3832"/>
      <c r="L800" s="3833"/>
      <c r="M800" s="3833"/>
      <c r="N800" s="3834"/>
      <c r="O800" s="820">
        <f t="shared" si="62"/>
        <v>0</v>
      </c>
    </row>
    <row r="801" spans="3:15" ht="18" hidden="1">
      <c r="C801" s="3859" t="str">
        <f>T('2 REPAIR ESTIMATOR'!D871:O871)</f>
        <v>Backer board 1/4" at floor tile</v>
      </c>
      <c r="D801" s="3859"/>
      <c r="E801" s="3859"/>
      <c r="F801" s="3859"/>
      <c r="G801" s="3831">
        <f>'2 REPAIR ESTIMATOR'!AQ871</f>
        <v>0</v>
      </c>
      <c r="H801" s="3831"/>
      <c r="I801" s="810">
        <f t="shared" si="60"/>
        <v>0</v>
      </c>
      <c r="J801" s="811">
        <f t="shared" si="61"/>
        <v>0</v>
      </c>
      <c r="K801" s="3832"/>
      <c r="L801" s="3833"/>
      <c r="M801" s="3833"/>
      <c r="N801" s="3834"/>
      <c r="O801" s="820">
        <f t="shared" si="62"/>
        <v>0</v>
      </c>
    </row>
    <row r="802" spans="3:15" ht="18" hidden="1">
      <c r="C802" s="3859" t="str">
        <f>T('2 REPAIR ESTIMATOR'!D872:O872)</f>
        <v>Backer board 1/2" at wall tile</v>
      </c>
      <c r="D802" s="3859"/>
      <c r="E802" s="3859"/>
      <c r="F802" s="3859"/>
      <c r="G802" s="3831">
        <f>'2 REPAIR ESTIMATOR'!AQ872</f>
        <v>0</v>
      </c>
      <c r="H802" s="3831"/>
      <c r="I802" s="810">
        <f t="shared" si="60"/>
        <v>0</v>
      </c>
      <c r="J802" s="811">
        <f t="shared" si="61"/>
        <v>0</v>
      </c>
      <c r="K802" s="3832"/>
      <c r="L802" s="3833"/>
      <c r="M802" s="3833"/>
      <c r="N802" s="3834"/>
      <c r="O802" s="820">
        <f t="shared" si="62"/>
        <v>0</v>
      </c>
    </row>
    <row r="803" spans="3:15" ht="18" hidden="1">
      <c r="C803" s="3859" t="str">
        <f>T('2 REPAIR ESTIMATOR'!D873:O873)</f>
        <v/>
      </c>
      <c r="D803" s="3859"/>
      <c r="E803" s="3859"/>
      <c r="F803" s="3859"/>
      <c r="G803" s="3831">
        <f>'2 REPAIR ESTIMATOR'!AQ873</f>
        <v>0</v>
      </c>
      <c r="H803" s="3831"/>
      <c r="I803" s="810">
        <f t="shared" si="60"/>
        <v>0</v>
      </c>
      <c r="J803" s="811">
        <f t="shared" si="61"/>
        <v>0</v>
      </c>
      <c r="K803" s="3832"/>
      <c r="L803" s="3833"/>
      <c r="M803" s="3833"/>
      <c r="N803" s="3834"/>
      <c r="O803" s="820">
        <f t="shared" si="62"/>
        <v>0</v>
      </c>
    </row>
    <row r="804" spans="3:15" ht="18" hidden="1">
      <c r="C804" s="3859" t="str">
        <f>T('2 REPAIR ESTIMATOR'!D874:O874)</f>
        <v/>
      </c>
      <c r="D804" s="3859"/>
      <c r="E804" s="3859"/>
      <c r="F804" s="3859"/>
      <c r="G804" s="3831">
        <f>'2 REPAIR ESTIMATOR'!AQ874</f>
        <v>0</v>
      </c>
      <c r="H804" s="3831"/>
      <c r="I804" s="810">
        <f t="shared" si="60"/>
        <v>0</v>
      </c>
      <c r="J804" s="811">
        <f t="shared" si="61"/>
        <v>0</v>
      </c>
      <c r="K804" s="3832"/>
      <c r="L804" s="3833"/>
      <c r="M804" s="3833"/>
      <c r="N804" s="3834"/>
      <c r="O804" s="820">
        <f t="shared" si="62"/>
        <v>0</v>
      </c>
    </row>
    <row r="805" spans="3:15" ht="18" hidden="1">
      <c r="C805" s="3859" t="str">
        <f>T('2 REPAIR ESTIMATOR'!D875:O875)</f>
        <v/>
      </c>
      <c r="D805" s="3859"/>
      <c r="E805" s="3859"/>
      <c r="F805" s="3859"/>
      <c r="G805" s="3831">
        <f>'2 REPAIR ESTIMATOR'!AQ875</f>
        <v>0</v>
      </c>
      <c r="H805" s="3831"/>
      <c r="I805" s="810">
        <f t="shared" si="60"/>
        <v>0</v>
      </c>
      <c r="J805" s="811">
        <f t="shared" si="61"/>
        <v>0</v>
      </c>
      <c r="K805" s="3832"/>
      <c r="L805" s="3833"/>
      <c r="M805" s="3833"/>
      <c r="N805" s="3834"/>
      <c r="O805" s="820">
        <f t="shared" si="62"/>
        <v>0</v>
      </c>
    </row>
    <row r="806" spans="3:15" ht="18" hidden="1">
      <c r="C806" s="3859" t="str">
        <f>T('2 REPAIR ESTIMATOR'!D876:O876)</f>
        <v/>
      </c>
      <c r="D806" s="3859"/>
      <c r="E806" s="3859"/>
      <c r="F806" s="3859"/>
      <c r="G806" s="3831">
        <f>'2 REPAIR ESTIMATOR'!AQ876</f>
        <v>0</v>
      </c>
      <c r="H806" s="3831"/>
      <c r="I806" s="810">
        <f t="shared" si="60"/>
        <v>0</v>
      </c>
      <c r="J806" s="811">
        <f t="shared" si="61"/>
        <v>0</v>
      </c>
      <c r="K806" s="3832"/>
      <c r="L806" s="3833"/>
      <c r="M806" s="3833"/>
      <c r="N806" s="3834"/>
      <c r="O806" s="820">
        <f t="shared" si="62"/>
        <v>0</v>
      </c>
    </row>
    <row r="807" spans="3:15" ht="18" hidden="1">
      <c r="C807" s="3859" t="str">
        <f>T('2 REPAIR ESTIMATOR'!D877:O877)</f>
        <v/>
      </c>
      <c r="D807" s="3859"/>
      <c r="E807" s="3859"/>
      <c r="F807" s="3859"/>
      <c r="G807" s="3831">
        <f>'2 REPAIR ESTIMATOR'!AQ877</f>
        <v>0</v>
      </c>
      <c r="H807" s="3831"/>
      <c r="I807" s="810">
        <f t="shared" si="60"/>
        <v>0</v>
      </c>
      <c r="J807" s="811">
        <f t="shared" si="61"/>
        <v>0</v>
      </c>
      <c r="K807" s="3832"/>
      <c r="L807" s="3833"/>
      <c r="M807" s="3833"/>
      <c r="N807" s="3834"/>
      <c r="O807" s="820">
        <f t="shared" si="62"/>
        <v>0</v>
      </c>
    </row>
    <row r="808" spans="3:15" ht="18" hidden="1">
      <c r="C808" s="3859" t="str">
        <f>T('2 REPAIR ESTIMATOR'!D878:O878)</f>
        <v/>
      </c>
      <c r="D808" s="3859"/>
      <c r="E808" s="3859"/>
      <c r="F808" s="3859"/>
      <c r="G808" s="3831">
        <f>'2 REPAIR ESTIMATOR'!AQ878</f>
        <v>0</v>
      </c>
      <c r="H808" s="3831"/>
      <c r="I808" s="810">
        <f t="shared" si="60"/>
        <v>0</v>
      </c>
      <c r="J808" s="811">
        <f t="shared" si="61"/>
        <v>0</v>
      </c>
      <c r="K808" s="3832"/>
      <c r="L808" s="3833"/>
      <c r="M808" s="3833"/>
      <c r="N808" s="3834"/>
      <c r="O808" s="820">
        <f t="shared" si="62"/>
        <v>0</v>
      </c>
    </row>
    <row r="809" spans="3:15" ht="18" hidden="1">
      <c r="C809" s="3859" t="str">
        <f>T('2 REPAIR ESTIMATOR'!D879:O879)</f>
        <v/>
      </c>
      <c r="D809" s="3859"/>
      <c r="E809" s="3859"/>
      <c r="F809" s="3859"/>
      <c r="G809" s="3831">
        <f>'2 REPAIR ESTIMATOR'!AQ879</f>
        <v>0</v>
      </c>
      <c r="H809" s="3831"/>
      <c r="I809" s="810">
        <f t="shared" si="60"/>
        <v>0</v>
      </c>
      <c r="J809" s="811">
        <f t="shared" si="61"/>
        <v>0</v>
      </c>
      <c r="K809" s="3832"/>
      <c r="L809" s="3833"/>
      <c r="M809" s="3833"/>
      <c r="N809" s="3834"/>
      <c r="O809" s="820">
        <f t="shared" si="62"/>
        <v>0</v>
      </c>
    </row>
    <row r="810" spans="3:15" ht="18" hidden="1">
      <c r="C810" s="3859" t="str">
        <f>T('2 REPAIR ESTIMATOR'!D880:O880)</f>
        <v/>
      </c>
      <c r="D810" s="3859"/>
      <c r="E810" s="3859"/>
      <c r="F810" s="3859"/>
      <c r="G810" s="3831">
        <f>'2 REPAIR ESTIMATOR'!AQ880</f>
        <v>0</v>
      </c>
      <c r="H810" s="3831"/>
      <c r="I810" s="810">
        <f t="shared" si="60"/>
        <v>0</v>
      </c>
      <c r="J810" s="811">
        <f t="shared" si="61"/>
        <v>0</v>
      </c>
      <c r="K810" s="3832"/>
      <c r="L810" s="3833"/>
      <c r="M810" s="3833"/>
      <c r="N810" s="3834"/>
      <c r="O810" s="820">
        <f t="shared" si="62"/>
        <v>0</v>
      </c>
    </row>
    <row r="811" spans="3:15" ht="18" hidden="1">
      <c r="C811" s="3859" t="str">
        <f>T('2 REPAIR ESTIMATOR'!D881:O881)</f>
        <v/>
      </c>
      <c r="D811" s="3859"/>
      <c r="E811" s="3859"/>
      <c r="F811" s="3859"/>
      <c r="G811" s="3831">
        <f>'2 REPAIR ESTIMATOR'!AQ881</f>
        <v>0</v>
      </c>
      <c r="H811" s="3831"/>
      <c r="I811" s="810">
        <f t="shared" si="60"/>
        <v>0</v>
      </c>
      <c r="J811" s="811">
        <f t="shared" si="61"/>
        <v>0</v>
      </c>
      <c r="K811" s="3832"/>
      <c r="L811" s="3833"/>
      <c r="M811" s="3833"/>
      <c r="N811" s="3834"/>
      <c r="O811" s="820">
        <f t="shared" si="62"/>
        <v>0</v>
      </c>
    </row>
    <row r="812" spans="3:15" ht="18" hidden="1">
      <c r="C812" s="3859" t="str">
        <f>T('2 REPAIR ESTIMATOR'!D882:O882)</f>
        <v/>
      </c>
      <c r="D812" s="3859"/>
      <c r="E812" s="3859"/>
      <c r="F812" s="3859"/>
      <c r="G812" s="3831">
        <f>'2 REPAIR ESTIMATOR'!AQ882</f>
        <v>0</v>
      </c>
      <c r="H812" s="3831"/>
      <c r="I812" s="810">
        <f t="shared" si="60"/>
        <v>0</v>
      </c>
      <c r="J812" s="811">
        <f t="shared" si="61"/>
        <v>0</v>
      </c>
      <c r="K812" s="3832"/>
      <c r="L812" s="3833"/>
      <c r="M812" s="3833"/>
      <c r="N812" s="3834"/>
      <c r="O812" s="820">
        <f t="shared" si="62"/>
        <v>0</v>
      </c>
    </row>
    <row r="813" spans="3:15" ht="18" hidden="1">
      <c r="C813" s="3859" t="str">
        <f>T('2 REPAIR ESTIMATOR'!D883:O883)</f>
        <v/>
      </c>
      <c r="D813" s="3859"/>
      <c r="E813" s="3859"/>
      <c r="F813" s="3859"/>
      <c r="G813" s="3831">
        <f>'2 REPAIR ESTIMATOR'!AQ883</f>
        <v>0</v>
      </c>
      <c r="H813" s="3831"/>
      <c r="I813" s="810">
        <f t="shared" si="60"/>
        <v>0</v>
      </c>
      <c r="J813" s="811">
        <f t="shared" si="61"/>
        <v>0</v>
      </c>
      <c r="K813" s="3832"/>
      <c r="L813" s="3833"/>
      <c r="M813" s="3833"/>
      <c r="N813" s="3834"/>
      <c r="O813" s="820">
        <f t="shared" si="62"/>
        <v>0</v>
      </c>
    </row>
    <row r="814" spans="3:15" ht="18" hidden="1">
      <c r="C814" s="3859" t="str">
        <f>T('2 REPAIR ESTIMATOR'!D884:O884)</f>
        <v/>
      </c>
      <c r="D814" s="3859"/>
      <c r="E814" s="3859"/>
      <c r="F814" s="3859"/>
      <c r="G814" s="3831">
        <f>'2 REPAIR ESTIMATOR'!AQ884</f>
        <v>0</v>
      </c>
      <c r="H814" s="3831"/>
      <c r="I814" s="810">
        <f t="shared" si="60"/>
        <v>0</v>
      </c>
      <c r="J814" s="811">
        <f t="shared" si="61"/>
        <v>0</v>
      </c>
      <c r="K814" s="3832"/>
      <c r="L814" s="3833"/>
      <c r="M814" s="3833"/>
      <c r="N814" s="3834"/>
      <c r="O814" s="820">
        <f t="shared" si="62"/>
        <v>0</v>
      </c>
    </row>
    <row r="815" spans="3:15" ht="18" hidden="1">
      <c r="C815" s="3859" t="str">
        <f>T('2 REPAIR ESTIMATOR'!D885:O885)</f>
        <v/>
      </c>
      <c r="D815" s="3859"/>
      <c r="E815" s="3859"/>
      <c r="F815" s="3859"/>
      <c r="G815" s="3831">
        <f>'2 REPAIR ESTIMATOR'!AQ885</f>
        <v>0</v>
      </c>
      <c r="H815" s="3831"/>
      <c r="I815" s="810">
        <f t="shared" si="60"/>
        <v>0</v>
      </c>
      <c r="J815" s="811">
        <f t="shared" si="61"/>
        <v>0</v>
      </c>
      <c r="K815" s="3832"/>
      <c r="L815" s="3833"/>
      <c r="M815" s="3833"/>
      <c r="N815" s="3834"/>
      <c r="O815" s="820">
        <f t="shared" si="62"/>
        <v>0</v>
      </c>
    </row>
    <row r="816" spans="3:15" ht="18" hidden="1">
      <c r="C816" s="3859" t="str">
        <f>T('2 REPAIR ESTIMATOR'!D886:O886)</f>
        <v/>
      </c>
      <c r="D816" s="3859"/>
      <c r="E816" s="3859"/>
      <c r="F816" s="3859"/>
      <c r="G816" s="3831">
        <f>'2 REPAIR ESTIMATOR'!AQ886</f>
        <v>0</v>
      </c>
      <c r="H816" s="3831"/>
      <c r="I816" s="810">
        <f t="shared" si="60"/>
        <v>0</v>
      </c>
      <c r="J816" s="811">
        <f t="shared" si="61"/>
        <v>0</v>
      </c>
      <c r="K816" s="3832"/>
      <c r="L816" s="3833"/>
      <c r="M816" s="3833"/>
      <c r="N816" s="3834"/>
      <c r="O816" s="820">
        <f t="shared" si="62"/>
        <v>0</v>
      </c>
    </row>
    <row r="817" spans="3:15" ht="18" hidden="1">
      <c r="C817" s="3859" t="str">
        <f>T('2 REPAIR ESTIMATOR'!D887:O887)</f>
        <v/>
      </c>
      <c r="D817" s="3859"/>
      <c r="E817" s="3859"/>
      <c r="F817" s="3859"/>
      <c r="G817" s="3831">
        <f>'2 REPAIR ESTIMATOR'!AQ887</f>
        <v>0</v>
      </c>
      <c r="H817" s="3831"/>
      <c r="I817" s="810">
        <f t="shared" si="60"/>
        <v>0</v>
      </c>
      <c r="J817" s="811">
        <f t="shared" si="61"/>
        <v>0</v>
      </c>
      <c r="K817" s="3832"/>
      <c r="L817" s="3833"/>
      <c r="M817" s="3833"/>
      <c r="N817" s="3834"/>
      <c r="O817" s="820">
        <f t="shared" si="62"/>
        <v>0</v>
      </c>
    </row>
    <row r="818" spans="3:15" ht="18" hidden="1">
      <c r="C818" s="3859" t="str">
        <f>T('2 REPAIR ESTIMATOR'!D888:O888)</f>
        <v/>
      </c>
      <c r="D818" s="3859"/>
      <c r="E818" s="3859"/>
      <c r="F818" s="3859"/>
      <c r="G818" s="3831">
        <f>'2 REPAIR ESTIMATOR'!AQ888</f>
        <v>0</v>
      </c>
      <c r="H818" s="3831"/>
      <c r="I818" s="810">
        <f t="shared" si="60"/>
        <v>0</v>
      </c>
      <c r="J818" s="811">
        <f t="shared" si="61"/>
        <v>0</v>
      </c>
      <c r="K818" s="3832"/>
      <c r="L818" s="3833"/>
      <c r="M818" s="3833"/>
      <c r="N818" s="3834"/>
      <c r="O818" s="820">
        <f t="shared" si="62"/>
        <v>0</v>
      </c>
    </row>
    <row r="819" spans="3:15" ht="18" hidden="1">
      <c r="C819" s="3859" t="str">
        <f>T('2 REPAIR ESTIMATOR'!D889:O889)</f>
        <v/>
      </c>
      <c r="D819" s="3859"/>
      <c r="E819" s="3859"/>
      <c r="F819" s="3859"/>
      <c r="G819" s="3831">
        <f>'2 REPAIR ESTIMATOR'!AQ889</f>
        <v>0</v>
      </c>
      <c r="H819" s="3831"/>
      <c r="I819" s="810">
        <f t="shared" si="60"/>
        <v>0</v>
      </c>
      <c r="J819" s="811">
        <f t="shared" si="61"/>
        <v>0</v>
      </c>
      <c r="K819" s="3832"/>
      <c r="L819" s="3833"/>
      <c r="M819" s="3833"/>
      <c r="N819" s="3834"/>
      <c r="O819" s="820">
        <f t="shared" si="62"/>
        <v>0</v>
      </c>
    </row>
    <row r="820" spans="3:15" ht="18" hidden="1">
      <c r="C820" s="3859" t="str">
        <f>T('2 REPAIR ESTIMATOR'!D890:O890)</f>
        <v/>
      </c>
      <c r="D820" s="3859"/>
      <c r="E820" s="3859"/>
      <c r="F820" s="3859"/>
      <c r="G820" s="3831">
        <f>'2 REPAIR ESTIMATOR'!AQ890</f>
        <v>0</v>
      </c>
      <c r="H820" s="3831"/>
      <c r="I820" s="810">
        <f t="shared" si="60"/>
        <v>0</v>
      </c>
      <c r="J820" s="811">
        <f t="shared" si="61"/>
        <v>0</v>
      </c>
      <c r="K820" s="3832"/>
      <c r="L820" s="3833"/>
      <c r="M820" s="3833"/>
      <c r="N820" s="3834"/>
      <c r="O820" s="820">
        <f t="shared" si="62"/>
        <v>0</v>
      </c>
    </row>
    <row r="821" spans="3:15" ht="18" hidden="1">
      <c r="C821" s="3859" t="str">
        <f>T('2 REPAIR ESTIMATOR'!D891:O891)</f>
        <v/>
      </c>
      <c r="D821" s="3859"/>
      <c r="E821" s="3859"/>
      <c r="F821" s="3859"/>
      <c r="G821" s="3831">
        <f>'2 REPAIR ESTIMATOR'!AQ891</f>
        <v>0</v>
      </c>
      <c r="H821" s="3831"/>
      <c r="I821" s="810">
        <f t="shared" si="60"/>
        <v>0</v>
      </c>
      <c r="J821" s="811">
        <f t="shared" si="61"/>
        <v>0</v>
      </c>
      <c r="K821" s="3832"/>
      <c r="L821" s="3833"/>
      <c r="M821" s="3833"/>
      <c r="N821" s="3834"/>
      <c r="O821" s="820">
        <f t="shared" si="62"/>
        <v>0</v>
      </c>
    </row>
    <row r="822" spans="3:15" ht="18.350000000000001" hidden="1" thickBot="1">
      <c r="C822" s="3835" t="str">
        <f>T('2 REPAIR ESTIMATOR'!D892:O892)</f>
        <v/>
      </c>
      <c r="D822" s="3835"/>
      <c r="E822" s="3835"/>
      <c r="F822" s="3835"/>
      <c r="G822" s="3836">
        <f>'2 REPAIR ESTIMATOR'!AQ892</f>
        <v>0</v>
      </c>
      <c r="H822" s="3836"/>
      <c r="I822" s="813">
        <f t="shared" si="60"/>
        <v>0</v>
      </c>
      <c r="J822" s="814">
        <f t="shared" si="61"/>
        <v>0</v>
      </c>
      <c r="K822" s="3837"/>
      <c r="L822" s="3838"/>
      <c r="M822" s="3838"/>
      <c r="N822" s="3839"/>
      <c r="O822" s="823">
        <f t="shared" si="62"/>
        <v>0</v>
      </c>
    </row>
    <row r="823" spans="3:15" ht="18.350000000000001" hidden="1" thickTop="1">
      <c r="C823" s="3825" t="str">
        <f>T('2 REPAIR ESTIMATOR'!AC894)</f>
        <v>TILING TOTAL</v>
      </c>
      <c r="D823" s="3825"/>
      <c r="E823" s="3825"/>
      <c r="F823" s="3825"/>
      <c r="G823" s="3826">
        <f>SUM(G783:H822)</f>
        <v>0</v>
      </c>
      <c r="H823" s="3826"/>
      <c r="I823" s="818">
        <f>SUM(I783:I822)</f>
        <v>0</v>
      </c>
      <c r="J823" s="819">
        <f>SUM(J783:J822)</f>
        <v>0</v>
      </c>
      <c r="K823" s="3827"/>
      <c r="L823" s="3828"/>
      <c r="M823" s="3828"/>
      <c r="N823" s="3829"/>
      <c r="O823" s="821">
        <f>SUM(O783:O822)</f>
        <v>0</v>
      </c>
    </row>
    <row r="824" spans="3:15" ht="8.85" hidden="1" customHeight="1">
      <c r="C824" s="836"/>
      <c r="D824" s="836"/>
      <c r="E824" s="836"/>
      <c r="F824" s="836"/>
      <c r="G824" s="837"/>
      <c r="H824" s="837"/>
      <c r="I824" s="837"/>
      <c r="J824" s="837"/>
      <c r="K824" s="837"/>
      <c r="L824" s="837"/>
      <c r="M824" s="837"/>
      <c r="N824" s="837"/>
      <c r="O824" s="822">
        <f>O823</f>
        <v>0</v>
      </c>
    </row>
    <row r="825" spans="3:15" ht="22.5" hidden="1" customHeight="1">
      <c r="C825" s="3840" t="str">
        <f>T('2 REPAIR ESTIMATOR'!D897:O897)</f>
        <v>PAINTING</v>
      </c>
      <c r="D825" s="3840"/>
      <c r="E825" s="3840"/>
      <c r="F825" s="3841"/>
      <c r="G825" s="3845"/>
      <c r="H825" s="3846"/>
      <c r="I825" s="831"/>
      <c r="J825" s="831"/>
      <c r="K825" s="3844"/>
      <c r="L825" s="3844"/>
      <c r="M825" s="3844"/>
      <c r="N825" s="3845"/>
      <c r="O825" s="820">
        <f>SUM(O826:O865)</f>
        <v>0</v>
      </c>
    </row>
    <row r="826" spans="3:15" ht="18" hidden="1">
      <c r="C826" s="3858" t="str">
        <f>T('2 REPAIR ESTIMATOR'!D898:O898)</f>
        <v>Exterior Painting</v>
      </c>
      <c r="D826" s="3858"/>
      <c r="E826" s="3858"/>
      <c r="F826" s="3858"/>
      <c r="G826" s="3831">
        <f>'2 REPAIR ESTIMATOR'!AQ898</f>
        <v>0</v>
      </c>
      <c r="H826" s="3831"/>
      <c r="I826" s="810">
        <f t="shared" ref="I826:I865" si="63">IFERROR(G826/Property_Size,0)</f>
        <v>0</v>
      </c>
      <c r="J826" s="811">
        <f t="shared" ref="J826:J865" si="64">IFERROR(G826/Total_Project_Costs_Result,0)</f>
        <v>0</v>
      </c>
      <c r="K826" s="3832"/>
      <c r="L826" s="3833"/>
      <c r="M826" s="3833"/>
      <c r="N826" s="3834"/>
      <c r="O826" s="820">
        <f>IF(G826&gt;0,1,0)</f>
        <v>0</v>
      </c>
    </row>
    <row r="827" spans="3:15" ht="18" hidden="1">
      <c r="C827" s="3859" t="str">
        <f>T('2 REPAIR ESTIMATOR'!D899:O899)</f>
        <v>Exterior painting, bid/allowance</v>
      </c>
      <c r="D827" s="3859"/>
      <c r="E827" s="3859"/>
      <c r="F827" s="3859"/>
      <c r="G827" s="3831">
        <f>'2 REPAIR ESTIMATOR'!AQ899</f>
        <v>0</v>
      </c>
      <c r="H827" s="3831"/>
      <c r="I827" s="810">
        <f t="shared" si="63"/>
        <v>0</v>
      </c>
      <c r="J827" s="811">
        <f t="shared" si="64"/>
        <v>0</v>
      </c>
      <c r="K827" s="3832"/>
      <c r="L827" s="3833"/>
      <c r="M827" s="3833"/>
      <c r="N827" s="3834"/>
      <c r="O827" s="820">
        <f t="shared" ref="O827:O865" si="65">IF(G827&gt;0,1,0)</f>
        <v>0</v>
      </c>
    </row>
    <row r="828" spans="3:15" ht="18" hidden="1">
      <c r="C828" s="3859" t="str">
        <f>T('2 REPAIR ESTIMATOR'!D900:O900)</f>
        <v>Exterior painting materials allowance</v>
      </c>
      <c r="D828" s="3859"/>
      <c r="E828" s="3859"/>
      <c r="F828" s="3859"/>
      <c r="G828" s="3831">
        <f>'2 REPAIR ESTIMATOR'!AQ900</f>
        <v>0</v>
      </c>
      <c r="H828" s="3831"/>
      <c r="I828" s="810">
        <f t="shared" si="63"/>
        <v>0</v>
      </c>
      <c r="J828" s="811">
        <f t="shared" si="64"/>
        <v>0</v>
      </c>
      <c r="K828" s="3832"/>
      <c r="L828" s="3833"/>
      <c r="M828" s="3833"/>
      <c r="N828" s="3834"/>
      <c r="O828" s="820">
        <f t="shared" si="65"/>
        <v>0</v>
      </c>
    </row>
    <row r="829" spans="3:15" ht="18" hidden="1">
      <c r="C829" s="3859" t="str">
        <f>T('2 REPAIR ESTIMATOR'!D901:O901)</f>
        <v>Prep/clean siding</v>
      </c>
      <c r="D829" s="3859"/>
      <c r="E829" s="3859"/>
      <c r="F829" s="3859"/>
      <c r="G829" s="3831">
        <f>'2 REPAIR ESTIMATOR'!AQ901</f>
        <v>0</v>
      </c>
      <c r="H829" s="3831"/>
      <c r="I829" s="810">
        <f t="shared" si="63"/>
        <v>0</v>
      </c>
      <c r="J829" s="811">
        <f t="shared" si="64"/>
        <v>0</v>
      </c>
      <c r="K829" s="3832"/>
      <c r="L829" s="3833"/>
      <c r="M829" s="3833"/>
      <c r="N829" s="3834"/>
      <c r="O829" s="820">
        <f t="shared" si="65"/>
        <v>0</v>
      </c>
    </row>
    <row r="830" spans="3:15" ht="18" hidden="1">
      <c r="C830" s="3859" t="str">
        <f>T('2 REPAIR ESTIMATOR'!D902:O902)</f>
        <v>Paint siding</v>
      </c>
      <c r="D830" s="3859"/>
      <c r="E830" s="3859"/>
      <c r="F830" s="3859"/>
      <c r="G830" s="3831">
        <f>'2 REPAIR ESTIMATOR'!AQ902</f>
        <v>0</v>
      </c>
      <c r="H830" s="3831"/>
      <c r="I830" s="810">
        <f t="shared" si="63"/>
        <v>0</v>
      </c>
      <c r="J830" s="811">
        <f t="shared" si="64"/>
        <v>0</v>
      </c>
      <c r="K830" s="3832"/>
      <c r="L830" s="3833"/>
      <c r="M830" s="3833"/>
      <c r="N830" s="3834"/>
      <c r="O830" s="820">
        <f t="shared" si="65"/>
        <v>0</v>
      </c>
    </row>
    <row r="831" spans="3:15" ht="18" hidden="1">
      <c r="C831" s="3859" t="str">
        <f>T('2 REPAIR ESTIMATOR'!D903:O903)</f>
        <v>Paint exterior door</v>
      </c>
      <c r="D831" s="3859"/>
      <c r="E831" s="3859"/>
      <c r="F831" s="3859"/>
      <c r="G831" s="3831">
        <f>'2 REPAIR ESTIMATOR'!AQ903</f>
        <v>0</v>
      </c>
      <c r="H831" s="3831"/>
      <c r="I831" s="810">
        <f t="shared" si="63"/>
        <v>0</v>
      </c>
      <c r="J831" s="811">
        <f t="shared" si="64"/>
        <v>0</v>
      </c>
      <c r="K831" s="3832"/>
      <c r="L831" s="3833"/>
      <c r="M831" s="3833"/>
      <c r="N831" s="3834"/>
      <c r="O831" s="820">
        <f t="shared" si="65"/>
        <v>0</v>
      </c>
    </row>
    <row r="832" spans="3:15" ht="18" hidden="1">
      <c r="C832" s="3859" t="str">
        <f>T('2 REPAIR ESTIMATOR'!D904:O904)</f>
        <v>Paint trim only</v>
      </c>
      <c r="D832" s="3859"/>
      <c r="E832" s="3859"/>
      <c r="F832" s="3859"/>
      <c r="G832" s="3831">
        <f>'2 REPAIR ESTIMATOR'!AQ904</f>
        <v>0</v>
      </c>
      <c r="H832" s="3831"/>
      <c r="I832" s="810">
        <f t="shared" si="63"/>
        <v>0</v>
      </c>
      <c r="J832" s="811">
        <f t="shared" si="64"/>
        <v>0</v>
      </c>
      <c r="K832" s="3832"/>
      <c r="L832" s="3833"/>
      <c r="M832" s="3833"/>
      <c r="N832" s="3834"/>
      <c r="O832" s="820">
        <f t="shared" si="65"/>
        <v>0</v>
      </c>
    </row>
    <row r="833" spans="3:15" ht="18" hidden="1">
      <c r="C833" s="3859" t="str">
        <f>T('2 REPAIR ESTIMATOR'!D905:O905)</f>
        <v>Sand &amp; refinish decking</v>
      </c>
      <c r="D833" s="3859"/>
      <c r="E833" s="3859"/>
      <c r="F833" s="3859"/>
      <c r="G833" s="3831">
        <f>'2 REPAIR ESTIMATOR'!AQ905</f>
        <v>0</v>
      </c>
      <c r="H833" s="3831"/>
      <c r="I833" s="810">
        <f t="shared" si="63"/>
        <v>0</v>
      </c>
      <c r="J833" s="811">
        <f t="shared" si="64"/>
        <v>0</v>
      </c>
      <c r="K833" s="3832"/>
      <c r="L833" s="3833"/>
      <c r="M833" s="3833"/>
      <c r="N833" s="3834"/>
      <c r="O833" s="820">
        <f t="shared" si="65"/>
        <v>0</v>
      </c>
    </row>
    <row r="834" spans="3:15" ht="18" hidden="1">
      <c r="C834" s="3859" t="str">
        <f>T('2 REPAIR ESTIMATOR'!D906:O906)</f>
        <v/>
      </c>
      <c r="D834" s="3859"/>
      <c r="E834" s="3859"/>
      <c r="F834" s="3859"/>
      <c r="G834" s="3831">
        <f>'2 REPAIR ESTIMATOR'!AQ906</f>
        <v>0</v>
      </c>
      <c r="H834" s="3831"/>
      <c r="I834" s="810">
        <f t="shared" si="63"/>
        <v>0</v>
      </c>
      <c r="J834" s="811">
        <f t="shared" si="64"/>
        <v>0</v>
      </c>
      <c r="K834" s="3832"/>
      <c r="L834" s="3833"/>
      <c r="M834" s="3833"/>
      <c r="N834" s="3834"/>
      <c r="O834" s="820">
        <f t="shared" si="65"/>
        <v>0</v>
      </c>
    </row>
    <row r="835" spans="3:15" ht="18" hidden="1">
      <c r="C835" s="3859" t="str">
        <f>T('2 REPAIR ESTIMATOR'!D907:O907)</f>
        <v/>
      </c>
      <c r="D835" s="3859"/>
      <c r="E835" s="3859"/>
      <c r="F835" s="3859"/>
      <c r="G835" s="3831">
        <f>'2 REPAIR ESTIMATOR'!AQ907</f>
        <v>0</v>
      </c>
      <c r="H835" s="3831"/>
      <c r="I835" s="810">
        <f t="shared" si="63"/>
        <v>0</v>
      </c>
      <c r="J835" s="811">
        <f t="shared" si="64"/>
        <v>0</v>
      </c>
      <c r="K835" s="3832"/>
      <c r="L835" s="3833"/>
      <c r="M835" s="3833"/>
      <c r="N835" s="3834"/>
      <c r="O835" s="820">
        <f t="shared" si="65"/>
        <v>0</v>
      </c>
    </row>
    <row r="836" spans="3:15" ht="18" hidden="1">
      <c r="C836" s="3858" t="str">
        <f>T('2 REPAIR ESTIMATOR'!D908:O908)</f>
        <v>Interior Painting</v>
      </c>
      <c r="D836" s="3858"/>
      <c r="E836" s="3858"/>
      <c r="F836" s="3858"/>
      <c r="G836" s="3831">
        <f>'2 REPAIR ESTIMATOR'!AQ908</f>
        <v>0</v>
      </c>
      <c r="H836" s="3831"/>
      <c r="I836" s="810">
        <f t="shared" si="63"/>
        <v>0</v>
      </c>
      <c r="J836" s="811">
        <f t="shared" si="64"/>
        <v>0</v>
      </c>
      <c r="K836" s="3832"/>
      <c r="L836" s="3833"/>
      <c r="M836" s="3833"/>
      <c r="N836" s="3834"/>
      <c r="O836" s="820">
        <f t="shared" si="65"/>
        <v>0</v>
      </c>
    </row>
    <row r="837" spans="3:15" ht="18" hidden="1">
      <c r="C837" s="3859" t="str">
        <f>T('2 REPAIR ESTIMATOR'!D909:O909)</f>
        <v>Interior painting, bid/allowance</v>
      </c>
      <c r="D837" s="3859"/>
      <c r="E837" s="3859"/>
      <c r="F837" s="3859"/>
      <c r="G837" s="3831">
        <f>'2 REPAIR ESTIMATOR'!AQ909</f>
        <v>0</v>
      </c>
      <c r="H837" s="3831"/>
      <c r="I837" s="810">
        <f t="shared" si="63"/>
        <v>0</v>
      </c>
      <c r="J837" s="811">
        <f t="shared" si="64"/>
        <v>0</v>
      </c>
      <c r="K837" s="3832"/>
      <c r="L837" s="3833"/>
      <c r="M837" s="3833"/>
      <c r="N837" s="3834"/>
      <c r="O837" s="820">
        <f t="shared" si="65"/>
        <v>0</v>
      </c>
    </row>
    <row r="838" spans="3:15" ht="18" hidden="1">
      <c r="C838" s="3859" t="str">
        <f>T('2 REPAIR ESTIMATOR'!D910:O910)</f>
        <v>Interior painting materials allowance</v>
      </c>
      <c r="D838" s="3859"/>
      <c r="E838" s="3859"/>
      <c r="F838" s="3859"/>
      <c r="G838" s="3831">
        <f>'2 REPAIR ESTIMATOR'!AQ910</f>
        <v>0</v>
      </c>
      <c r="H838" s="3831"/>
      <c r="I838" s="810">
        <f t="shared" si="63"/>
        <v>0</v>
      </c>
      <c r="J838" s="811">
        <f t="shared" si="64"/>
        <v>0</v>
      </c>
      <c r="K838" s="3832"/>
      <c r="L838" s="3833"/>
      <c r="M838" s="3833"/>
      <c r="N838" s="3834"/>
      <c r="O838" s="820">
        <f t="shared" si="65"/>
        <v>0</v>
      </c>
    </row>
    <row r="839" spans="3:15" ht="18" hidden="1">
      <c r="C839" s="3859" t="str">
        <f>T('2 REPAIR ESTIMATOR'!D911:O911)</f>
        <v>Paint doors &amp; frames</v>
      </c>
      <c r="D839" s="3859"/>
      <c r="E839" s="3859"/>
      <c r="F839" s="3859"/>
      <c r="G839" s="3831">
        <f>'2 REPAIR ESTIMATOR'!AQ911</f>
        <v>0</v>
      </c>
      <c r="H839" s="3831"/>
      <c r="I839" s="810">
        <f t="shared" si="63"/>
        <v>0</v>
      </c>
      <c r="J839" s="811">
        <f t="shared" si="64"/>
        <v>0</v>
      </c>
      <c r="K839" s="3832"/>
      <c r="L839" s="3833"/>
      <c r="M839" s="3833"/>
      <c r="N839" s="3834"/>
      <c r="O839" s="820">
        <f t="shared" si="65"/>
        <v>0</v>
      </c>
    </row>
    <row r="840" spans="3:15" ht="18" hidden="1">
      <c r="C840" s="3859" t="str">
        <f>T('2 REPAIR ESTIMATOR'!D912:O912)</f>
        <v>Paint walls</v>
      </c>
      <c r="D840" s="3859"/>
      <c r="E840" s="3859"/>
      <c r="F840" s="3859"/>
      <c r="G840" s="3831">
        <f>'2 REPAIR ESTIMATOR'!AQ912</f>
        <v>0</v>
      </c>
      <c r="H840" s="3831"/>
      <c r="I840" s="810">
        <f t="shared" si="63"/>
        <v>0</v>
      </c>
      <c r="J840" s="811">
        <f t="shared" si="64"/>
        <v>0</v>
      </c>
      <c r="K840" s="3832"/>
      <c r="L840" s="3833"/>
      <c r="M840" s="3833"/>
      <c r="N840" s="3834"/>
      <c r="O840" s="820">
        <f t="shared" si="65"/>
        <v>0</v>
      </c>
    </row>
    <row r="841" spans="3:15" ht="18" hidden="1">
      <c r="C841" s="3859" t="str">
        <f>T('2 REPAIR ESTIMATOR'!D913:O913)</f>
        <v>Paint ceilings</v>
      </c>
      <c r="D841" s="3859"/>
      <c r="E841" s="3859"/>
      <c r="F841" s="3859"/>
      <c r="G841" s="3831">
        <f>'2 REPAIR ESTIMATOR'!AQ913</f>
        <v>0</v>
      </c>
      <c r="H841" s="3831"/>
      <c r="I841" s="810">
        <f t="shared" si="63"/>
        <v>0</v>
      </c>
      <c r="J841" s="811">
        <f t="shared" si="64"/>
        <v>0</v>
      </c>
      <c r="K841" s="3832"/>
      <c r="L841" s="3833"/>
      <c r="M841" s="3833"/>
      <c r="N841" s="3834"/>
      <c r="O841" s="820">
        <f t="shared" si="65"/>
        <v>0</v>
      </c>
    </row>
    <row r="842" spans="3:15" ht="18" hidden="1">
      <c r="C842" s="3859" t="str">
        <f>T('2 REPAIR ESTIMATOR'!D914:O914)</f>
        <v>Paint wood base</v>
      </c>
      <c r="D842" s="3859"/>
      <c r="E842" s="3859"/>
      <c r="F842" s="3859"/>
      <c r="G842" s="3831">
        <f>'2 REPAIR ESTIMATOR'!AQ914</f>
        <v>0</v>
      </c>
      <c r="H842" s="3831"/>
      <c r="I842" s="810">
        <f t="shared" si="63"/>
        <v>0</v>
      </c>
      <c r="J842" s="811">
        <f t="shared" si="64"/>
        <v>0</v>
      </c>
      <c r="K842" s="3832"/>
      <c r="L842" s="3833"/>
      <c r="M842" s="3833"/>
      <c r="N842" s="3834"/>
      <c r="O842" s="820">
        <f t="shared" si="65"/>
        <v>0</v>
      </c>
    </row>
    <row r="843" spans="3:15" ht="18" hidden="1">
      <c r="C843" s="3859" t="str">
        <f>T('2 REPAIR ESTIMATOR'!D915:O915)</f>
        <v>Strip, paint cabinets/vanities</v>
      </c>
      <c r="D843" s="3859"/>
      <c r="E843" s="3859"/>
      <c r="F843" s="3859"/>
      <c r="G843" s="3831">
        <f>'2 REPAIR ESTIMATOR'!AQ915</f>
        <v>0</v>
      </c>
      <c r="H843" s="3831"/>
      <c r="I843" s="810">
        <f t="shared" si="63"/>
        <v>0</v>
      </c>
      <c r="J843" s="811">
        <f t="shared" si="64"/>
        <v>0</v>
      </c>
      <c r="K843" s="3832"/>
      <c r="L843" s="3833"/>
      <c r="M843" s="3833"/>
      <c r="N843" s="3834"/>
      <c r="O843" s="820">
        <f t="shared" si="65"/>
        <v>0</v>
      </c>
    </row>
    <row r="844" spans="3:15" ht="18" hidden="1">
      <c r="C844" s="3859" t="str">
        <f>T('2 REPAIR ESTIMATOR'!D916:O916)</f>
        <v/>
      </c>
      <c r="D844" s="3859"/>
      <c r="E844" s="3859"/>
      <c r="F844" s="3859"/>
      <c r="G844" s="3831">
        <f>'2 REPAIR ESTIMATOR'!AQ916</f>
        <v>0</v>
      </c>
      <c r="H844" s="3831"/>
      <c r="I844" s="810">
        <f t="shared" si="63"/>
        <v>0</v>
      </c>
      <c r="J844" s="811">
        <f t="shared" si="64"/>
        <v>0</v>
      </c>
      <c r="K844" s="3832"/>
      <c r="L844" s="3833"/>
      <c r="M844" s="3833"/>
      <c r="N844" s="3834"/>
      <c r="O844" s="820">
        <f t="shared" si="65"/>
        <v>0</v>
      </c>
    </row>
    <row r="845" spans="3:15" ht="18" hidden="1">
      <c r="C845" s="3859" t="str">
        <f>T('2 REPAIR ESTIMATOR'!D917:O917)</f>
        <v/>
      </c>
      <c r="D845" s="3859"/>
      <c r="E845" s="3859"/>
      <c r="F845" s="3859"/>
      <c r="G845" s="3831">
        <f>'2 REPAIR ESTIMATOR'!AQ917</f>
        <v>0</v>
      </c>
      <c r="H845" s="3831"/>
      <c r="I845" s="810">
        <f t="shared" si="63"/>
        <v>0</v>
      </c>
      <c r="J845" s="811">
        <f t="shared" si="64"/>
        <v>0</v>
      </c>
      <c r="K845" s="3832"/>
      <c r="L845" s="3833"/>
      <c r="M845" s="3833"/>
      <c r="N845" s="3834"/>
      <c r="O845" s="820">
        <f t="shared" si="65"/>
        <v>0</v>
      </c>
    </row>
    <row r="846" spans="3:15" ht="18" hidden="1">
      <c r="C846" s="3859" t="str">
        <f>T('2 REPAIR ESTIMATOR'!D918:O918)</f>
        <v/>
      </c>
      <c r="D846" s="3859"/>
      <c r="E846" s="3859"/>
      <c r="F846" s="3859"/>
      <c r="G846" s="3831">
        <f>'2 REPAIR ESTIMATOR'!AQ918</f>
        <v>0</v>
      </c>
      <c r="H846" s="3831"/>
      <c r="I846" s="810">
        <f t="shared" si="63"/>
        <v>0</v>
      </c>
      <c r="J846" s="811">
        <f t="shared" si="64"/>
        <v>0</v>
      </c>
      <c r="K846" s="3832"/>
      <c r="L846" s="3833"/>
      <c r="M846" s="3833"/>
      <c r="N846" s="3834"/>
      <c r="O846" s="820">
        <f t="shared" si="65"/>
        <v>0</v>
      </c>
    </row>
    <row r="847" spans="3:15" ht="18" hidden="1">
      <c r="C847" s="3859" t="str">
        <f>T('2 REPAIR ESTIMATOR'!D919:O919)</f>
        <v/>
      </c>
      <c r="D847" s="3859"/>
      <c r="E847" s="3859"/>
      <c r="F847" s="3859"/>
      <c r="G847" s="3831">
        <f>'2 REPAIR ESTIMATOR'!AQ919</f>
        <v>0</v>
      </c>
      <c r="H847" s="3831"/>
      <c r="I847" s="810">
        <f t="shared" si="63"/>
        <v>0</v>
      </c>
      <c r="J847" s="811">
        <f t="shared" si="64"/>
        <v>0</v>
      </c>
      <c r="K847" s="3832"/>
      <c r="L847" s="3833"/>
      <c r="M847" s="3833"/>
      <c r="N847" s="3834"/>
      <c r="O847" s="820">
        <f t="shared" si="65"/>
        <v>0</v>
      </c>
    </row>
    <row r="848" spans="3:15" ht="18" hidden="1">
      <c r="C848" s="3859" t="str">
        <f>T('2 REPAIR ESTIMATOR'!D920:O920)</f>
        <v/>
      </c>
      <c r="D848" s="3859"/>
      <c r="E848" s="3859"/>
      <c r="F848" s="3859"/>
      <c r="G848" s="3831">
        <f>'2 REPAIR ESTIMATOR'!AQ920</f>
        <v>0</v>
      </c>
      <c r="H848" s="3831"/>
      <c r="I848" s="810">
        <f t="shared" si="63"/>
        <v>0</v>
      </c>
      <c r="J848" s="811">
        <f t="shared" si="64"/>
        <v>0</v>
      </c>
      <c r="K848" s="3832"/>
      <c r="L848" s="3833"/>
      <c r="M848" s="3833"/>
      <c r="N848" s="3834"/>
      <c r="O848" s="820">
        <f t="shared" si="65"/>
        <v>0</v>
      </c>
    </row>
    <row r="849" spans="3:15" ht="18" hidden="1">
      <c r="C849" s="3859" t="str">
        <f>T('2 REPAIR ESTIMATOR'!D921:O921)</f>
        <v/>
      </c>
      <c r="D849" s="3859"/>
      <c r="E849" s="3859"/>
      <c r="F849" s="3859"/>
      <c r="G849" s="3831">
        <f>'2 REPAIR ESTIMATOR'!AQ921</f>
        <v>0</v>
      </c>
      <c r="H849" s="3831"/>
      <c r="I849" s="810">
        <f t="shared" si="63"/>
        <v>0</v>
      </c>
      <c r="J849" s="811">
        <f t="shared" si="64"/>
        <v>0</v>
      </c>
      <c r="K849" s="3832"/>
      <c r="L849" s="3833"/>
      <c r="M849" s="3833"/>
      <c r="N849" s="3834"/>
      <c r="O849" s="820">
        <f t="shared" si="65"/>
        <v>0</v>
      </c>
    </row>
    <row r="850" spans="3:15" ht="18" hidden="1">
      <c r="C850" s="3859" t="str">
        <f>T('2 REPAIR ESTIMATOR'!D922:O922)</f>
        <v/>
      </c>
      <c r="D850" s="3859"/>
      <c r="E850" s="3859"/>
      <c r="F850" s="3859"/>
      <c r="G850" s="3831">
        <f>'2 REPAIR ESTIMATOR'!AQ922</f>
        <v>0</v>
      </c>
      <c r="H850" s="3831"/>
      <c r="I850" s="810">
        <f t="shared" si="63"/>
        <v>0</v>
      </c>
      <c r="J850" s="811">
        <f t="shared" si="64"/>
        <v>0</v>
      </c>
      <c r="K850" s="3832"/>
      <c r="L850" s="3833"/>
      <c r="M850" s="3833"/>
      <c r="N850" s="3834"/>
      <c r="O850" s="820">
        <f t="shared" si="65"/>
        <v>0</v>
      </c>
    </row>
    <row r="851" spans="3:15" ht="18" hidden="1">
      <c r="C851" s="3859" t="str">
        <f>T('2 REPAIR ESTIMATOR'!D923:O923)</f>
        <v/>
      </c>
      <c r="D851" s="3859"/>
      <c r="E851" s="3859"/>
      <c r="F851" s="3859"/>
      <c r="G851" s="3831">
        <f>'2 REPAIR ESTIMATOR'!AQ923</f>
        <v>0</v>
      </c>
      <c r="H851" s="3831"/>
      <c r="I851" s="810">
        <f t="shared" si="63"/>
        <v>0</v>
      </c>
      <c r="J851" s="811">
        <f t="shared" si="64"/>
        <v>0</v>
      </c>
      <c r="K851" s="3832"/>
      <c r="L851" s="3833"/>
      <c r="M851" s="3833"/>
      <c r="N851" s="3834"/>
      <c r="O851" s="820">
        <f t="shared" si="65"/>
        <v>0</v>
      </c>
    </row>
    <row r="852" spans="3:15" ht="18" hidden="1">
      <c r="C852" s="3859" t="str">
        <f>T('2 REPAIR ESTIMATOR'!D924:O924)</f>
        <v/>
      </c>
      <c r="D852" s="3859"/>
      <c r="E852" s="3859"/>
      <c r="F852" s="3859"/>
      <c r="G852" s="3831">
        <f>'2 REPAIR ESTIMATOR'!AQ924</f>
        <v>0</v>
      </c>
      <c r="H852" s="3831"/>
      <c r="I852" s="810">
        <f t="shared" si="63"/>
        <v>0</v>
      </c>
      <c r="J852" s="811">
        <f t="shared" si="64"/>
        <v>0</v>
      </c>
      <c r="K852" s="3832"/>
      <c r="L852" s="3833"/>
      <c r="M852" s="3833"/>
      <c r="N852" s="3834"/>
      <c r="O852" s="820">
        <f t="shared" si="65"/>
        <v>0</v>
      </c>
    </row>
    <row r="853" spans="3:15" ht="18" hidden="1">
      <c r="C853" s="3859" t="str">
        <f>T('2 REPAIR ESTIMATOR'!D925:O925)</f>
        <v/>
      </c>
      <c r="D853" s="3859"/>
      <c r="E853" s="3859"/>
      <c r="F853" s="3859"/>
      <c r="G853" s="3831">
        <f>'2 REPAIR ESTIMATOR'!AQ925</f>
        <v>0</v>
      </c>
      <c r="H853" s="3831"/>
      <c r="I853" s="810">
        <f t="shared" si="63"/>
        <v>0</v>
      </c>
      <c r="J853" s="811">
        <f t="shared" si="64"/>
        <v>0</v>
      </c>
      <c r="K853" s="3832"/>
      <c r="L853" s="3833"/>
      <c r="M853" s="3833"/>
      <c r="N853" s="3834"/>
      <c r="O853" s="820">
        <f t="shared" si="65"/>
        <v>0</v>
      </c>
    </row>
    <row r="854" spans="3:15" ht="18" hidden="1">
      <c r="C854" s="3859" t="str">
        <f>T('2 REPAIR ESTIMATOR'!D926:O926)</f>
        <v/>
      </c>
      <c r="D854" s="3859"/>
      <c r="E854" s="3859"/>
      <c r="F854" s="3859"/>
      <c r="G854" s="3831">
        <f>'2 REPAIR ESTIMATOR'!AQ926</f>
        <v>0</v>
      </c>
      <c r="H854" s="3831"/>
      <c r="I854" s="810">
        <f t="shared" si="63"/>
        <v>0</v>
      </c>
      <c r="J854" s="811">
        <f t="shared" si="64"/>
        <v>0</v>
      </c>
      <c r="K854" s="3832"/>
      <c r="L854" s="3833"/>
      <c r="M854" s="3833"/>
      <c r="N854" s="3834"/>
      <c r="O854" s="820">
        <f t="shared" si="65"/>
        <v>0</v>
      </c>
    </row>
    <row r="855" spans="3:15" ht="18" hidden="1">
      <c r="C855" s="3859" t="str">
        <f>T('2 REPAIR ESTIMATOR'!D927:O927)</f>
        <v/>
      </c>
      <c r="D855" s="3859"/>
      <c r="E855" s="3859"/>
      <c r="F855" s="3859"/>
      <c r="G855" s="3831">
        <f>'2 REPAIR ESTIMATOR'!AQ927</f>
        <v>0</v>
      </c>
      <c r="H855" s="3831"/>
      <c r="I855" s="810">
        <f t="shared" si="63"/>
        <v>0</v>
      </c>
      <c r="J855" s="811">
        <f t="shared" si="64"/>
        <v>0</v>
      </c>
      <c r="K855" s="3832"/>
      <c r="L855" s="3833"/>
      <c r="M855" s="3833"/>
      <c r="N855" s="3834"/>
      <c r="O855" s="820">
        <f t="shared" si="65"/>
        <v>0</v>
      </c>
    </row>
    <row r="856" spans="3:15" ht="18" hidden="1">
      <c r="C856" s="3859" t="str">
        <f>T('2 REPAIR ESTIMATOR'!D928:O928)</f>
        <v/>
      </c>
      <c r="D856" s="3859"/>
      <c r="E856" s="3859"/>
      <c r="F856" s="3859"/>
      <c r="G856" s="3831">
        <f>'2 REPAIR ESTIMATOR'!AQ928</f>
        <v>0</v>
      </c>
      <c r="H856" s="3831"/>
      <c r="I856" s="810">
        <f t="shared" si="63"/>
        <v>0</v>
      </c>
      <c r="J856" s="811">
        <f t="shared" si="64"/>
        <v>0</v>
      </c>
      <c r="K856" s="3832"/>
      <c r="L856" s="3833"/>
      <c r="M856" s="3833"/>
      <c r="N856" s="3834"/>
      <c r="O856" s="820">
        <f t="shared" si="65"/>
        <v>0</v>
      </c>
    </row>
    <row r="857" spans="3:15" ht="18" hidden="1">
      <c r="C857" s="3859" t="str">
        <f>T('2 REPAIR ESTIMATOR'!D929:O929)</f>
        <v/>
      </c>
      <c r="D857" s="3859"/>
      <c r="E857" s="3859"/>
      <c r="F857" s="3859"/>
      <c r="G857" s="3831">
        <f>'2 REPAIR ESTIMATOR'!AQ929</f>
        <v>0</v>
      </c>
      <c r="H857" s="3831"/>
      <c r="I857" s="810">
        <f t="shared" si="63"/>
        <v>0</v>
      </c>
      <c r="J857" s="811">
        <f t="shared" si="64"/>
        <v>0</v>
      </c>
      <c r="K857" s="3832"/>
      <c r="L857" s="3833"/>
      <c r="M857" s="3833"/>
      <c r="N857" s="3834"/>
      <c r="O857" s="820">
        <f t="shared" si="65"/>
        <v>0</v>
      </c>
    </row>
    <row r="858" spans="3:15" ht="18" hidden="1">
      <c r="C858" s="3859" t="str">
        <f>T('2 REPAIR ESTIMATOR'!D930:O930)</f>
        <v/>
      </c>
      <c r="D858" s="3859"/>
      <c r="E858" s="3859"/>
      <c r="F858" s="3859"/>
      <c r="G858" s="3831">
        <f>'2 REPAIR ESTIMATOR'!AQ930</f>
        <v>0</v>
      </c>
      <c r="H858" s="3831"/>
      <c r="I858" s="810">
        <f t="shared" si="63"/>
        <v>0</v>
      </c>
      <c r="J858" s="811">
        <f t="shared" si="64"/>
        <v>0</v>
      </c>
      <c r="K858" s="3832"/>
      <c r="L858" s="3833"/>
      <c r="M858" s="3833"/>
      <c r="N858" s="3834"/>
      <c r="O858" s="820">
        <f t="shared" si="65"/>
        <v>0</v>
      </c>
    </row>
    <row r="859" spans="3:15" ht="18" hidden="1">
      <c r="C859" s="3859" t="str">
        <f>T('2 REPAIR ESTIMATOR'!D931:O931)</f>
        <v/>
      </c>
      <c r="D859" s="3859"/>
      <c r="E859" s="3859"/>
      <c r="F859" s="3859"/>
      <c r="G859" s="3831">
        <f>'2 REPAIR ESTIMATOR'!AQ931</f>
        <v>0</v>
      </c>
      <c r="H859" s="3831"/>
      <c r="I859" s="810">
        <f t="shared" si="63"/>
        <v>0</v>
      </c>
      <c r="J859" s="811">
        <f t="shared" si="64"/>
        <v>0</v>
      </c>
      <c r="K859" s="3832"/>
      <c r="L859" s="3833"/>
      <c r="M859" s="3833"/>
      <c r="N859" s="3834"/>
      <c r="O859" s="820">
        <f t="shared" si="65"/>
        <v>0</v>
      </c>
    </row>
    <row r="860" spans="3:15" ht="18" hidden="1">
      <c r="C860" s="3859" t="str">
        <f>T('2 REPAIR ESTIMATOR'!D932:O932)</f>
        <v/>
      </c>
      <c r="D860" s="3859"/>
      <c r="E860" s="3859"/>
      <c r="F860" s="3859"/>
      <c r="G860" s="3831">
        <f>'2 REPAIR ESTIMATOR'!AQ932</f>
        <v>0</v>
      </c>
      <c r="H860" s="3831"/>
      <c r="I860" s="810">
        <f t="shared" si="63"/>
        <v>0</v>
      </c>
      <c r="J860" s="811">
        <f t="shared" si="64"/>
        <v>0</v>
      </c>
      <c r="K860" s="3832"/>
      <c r="L860" s="3833"/>
      <c r="M860" s="3833"/>
      <c r="N860" s="3834"/>
      <c r="O860" s="820">
        <f t="shared" si="65"/>
        <v>0</v>
      </c>
    </row>
    <row r="861" spans="3:15" ht="18" hidden="1">
      <c r="C861" s="3859" t="str">
        <f>T('2 REPAIR ESTIMATOR'!D933:O933)</f>
        <v/>
      </c>
      <c r="D861" s="3859"/>
      <c r="E861" s="3859"/>
      <c r="F861" s="3859"/>
      <c r="G861" s="3831">
        <f>'2 REPAIR ESTIMATOR'!AQ933</f>
        <v>0</v>
      </c>
      <c r="H861" s="3831"/>
      <c r="I861" s="810">
        <f t="shared" si="63"/>
        <v>0</v>
      </c>
      <c r="J861" s="811">
        <f t="shared" si="64"/>
        <v>0</v>
      </c>
      <c r="K861" s="3832"/>
      <c r="L861" s="3833"/>
      <c r="M861" s="3833"/>
      <c r="N861" s="3834"/>
      <c r="O861" s="820">
        <f t="shared" si="65"/>
        <v>0</v>
      </c>
    </row>
    <row r="862" spans="3:15" ht="18" hidden="1">
      <c r="C862" s="3859" t="str">
        <f>T('2 REPAIR ESTIMATOR'!D934:O934)</f>
        <v/>
      </c>
      <c r="D862" s="3859"/>
      <c r="E862" s="3859"/>
      <c r="F862" s="3859"/>
      <c r="G862" s="3831">
        <f>'2 REPAIR ESTIMATOR'!AQ934</f>
        <v>0</v>
      </c>
      <c r="H862" s="3831"/>
      <c r="I862" s="810">
        <f t="shared" si="63"/>
        <v>0</v>
      </c>
      <c r="J862" s="811">
        <f t="shared" si="64"/>
        <v>0</v>
      </c>
      <c r="K862" s="3832"/>
      <c r="L862" s="3833"/>
      <c r="M862" s="3833"/>
      <c r="N862" s="3834"/>
      <c r="O862" s="820">
        <f t="shared" si="65"/>
        <v>0</v>
      </c>
    </row>
    <row r="863" spans="3:15" ht="18" hidden="1">
      <c r="C863" s="3859" t="str">
        <f>T('2 REPAIR ESTIMATOR'!D935:O935)</f>
        <v/>
      </c>
      <c r="D863" s="3859"/>
      <c r="E863" s="3859"/>
      <c r="F863" s="3859"/>
      <c r="G863" s="3831">
        <f>'2 REPAIR ESTIMATOR'!AQ935</f>
        <v>0</v>
      </c>
      <c r="H863" s="3831"/>
      <c r="I863" s="810">
        <f t="shared" si="63"/>
        <v>0</v>
      </c>
      <c r="J863" s="811">
        <f t="shared" si="64"/>
        <v>0</v>
      </c>
      <c r="K863" s="3832"/>
      <c r="L863" s="3833"/>
      <c r="M863" s="3833"/>
      <c r="N863" s="3834"/>
      <c r="O863" s="820">
        <f t="shared" si="65"/>
        <v>0</v>
      </c>
    </row>
    <row r="864" spans="3:15" ht="18" hidden="1">
      <c r="C864" s="3859" t="str">
        <f>T('2 REPAIR ESTIMATOR'!D936:O936)</f>
        <v/>
      </c>
      <c r="D864" s="3859"/>
      <c r="E864" s="3859"/>
      <c r="F864" s="3859"/>
      <c r="G864" s="3831">
        <f>'2 REPAIR ESTIMATOR'!AQ936</f>
        <v>0</v>
      </c>
      <c r="H864" s="3831"/>
      <c r="I864" s="810">
        <f t="shared" si="63"/>
        <v>0</v>
      </c>
      <c r="J864" s="811">
        <f t="shared" si="64"/>
        <v>0</v>
      </c>
      <c r="K864" s="3832"/>
      <c r="L864" s="3833"/>
      <c r="M864" s="3833"/>
      <c r="N864" s="3834"/>
      <c r="O864" s="820">
        <f t="shared" si="65"/>
        <v>0</v>
      </c>
    </row>
    <row r="865" spans="3:15" ht="18.350000000000001" hidden="1" thickBot="1">
      <c r="C865" s="3835" t="str">
        <f>T('2 REPAIR ESTIMATOR'!D937:O937)</f>
        <v/>
      </c>
      <c r="D865" s="3835"/>
      <c r="E865" s="3835"/>
      <c r="F865" s="3835"/>
      <c r="G865" s="3836">
        <f>'2 REPAIR ESTIMATOR'!AQ937</f>
        <v>0</v>
      </c>
      <c r="H865" s="3836"/>
      <c r="I865" s="813">
        <f t="shared" si="63"/>
        <v>0</v>
      </c>
      <c r="J865" s="814">
        <f t="shared" si="64"/>
        <v>0</v>
      </c>
      <c r="K865" s="3837"/>
      <c r="L865" s="3838"/>
      <c r="M865" s="3838"/>
      <c r="N865" s="3839"/>
      <c r="O865" s="823">
        <f t="shared" si="65"/>
        <v>0</v>
      </c>
    </row>
    <row r="866" spans="3:15" ht="18.350000000000001" hidden="1" thickTop="1">
      <c r="C866" s="3825" t="str">
        <f>T('2 REPAIR ESTIMATOR'!AC939)</f>
        <v>PAINTING TOTAL</v>
      </c>
      <c r="D866" s="3825"/>
      <c r="E866" s="3825"/>
      <c r="F866" s="3825"/>
      <c r="G866" s="3826">
        <f>SUM(G826:H865)</f>
        <v>0</v>
      </c>
      <c r="H866" s="3826"/>
      <c r="I866" s="818">
        <f>SUM(I826:I865)</f>
        <v>0</v>
      </c>
      <c r="J866" s="819">
        <f>SUM(J826:J865)</f>
        <v>0</v>
      </c>
      <c r="K866" s="3827"/>
      <c r="L866" s="3828"/>
      <c r="M866" s="3828"/>
      <c r="N866" s="3829"/>
      <c r="O866" s="821">
        <f>SUM(O826:O865)</f>
        <v>0</v>
      </c>
    </row>
    <row r="867" spans="3:15" ht="8.85" hidden="1" customHeight="1">
      <c r="C867" s="836"/>
      <c r="D867" s="836"/>
      <c r="E867" s="836"/>
      <c r="F867" s="836"/>
      <c r="G867" s="837"/>
      <c r="H867" s="837"/>
      <c r="I867" s="837"/>
      <c r="J867" s="837"/>
      <c r="K867" s="837"/>
      <c r="L867" s="837"/>
      <c r="M867" s="837"/>
      <c r="N867" s="837"/>
      <c r="O867" s="822">
        <f>O866</f>
        <v>0</v>
      </c>
    </row>
    <row r="868" spans="3:15" ht="22.5" hidden="1" customHeight="1">
      <c r="C868" s="3840" t="str">
        <f>T('2 REPAIR ESTIMATOR'!D942:O942)</f>
        <v>APPLIANCES</v>
      </c>
      <c r="D868" s="3840"/>
      <c r="E868" s="3840"/>
      <c r="F868" s="3841"/>
      <c r="G868" s="3845"/>
      <c r="H868" s="3846"/>
      <c r="I868" s="831"/>
      <c r="J868" s="831"/>
      <c r="K868" s="3844"/>
      <c r="L868" s="3844"/>
      <c r="M868" s="3844"/>
      <c r="N868" s="3845"/>
      <c r="O868" s="820">
        <f>SUM(O869:O908)</f>
        <v>0</v>
      </c>
    </row>
    <row r="869" spans="3:15" ht="18" hidden="1">
      <c r="C869" s="3859" t="str">
        <f>T('2 REPAIR ESTIMATOR'!D943:O943)</f>
        <v>Appliances, Bid/Allowance</v>
      </c>
      <c r="D869" s="3859"/>
      <c r="E869" s="3859"/>
      <c r="F869" s="3859"/>
      <c r="G869" s="3831">
        <f>'2 REPAIR ESTIMATOR'!AQ943</f>
        <v>0</v>
      </c>
      <c r="H869" s="3831"/>
      <c r="I869" s="810">
        <f t="shared" ref="I869:I908" si="66">IFERROR(G869/Property_Size,0)</f>
        <v>0</v>
      </c>
      <c r="J869" s="811">
        <f t="shared" ref="J869:J908" si="67">IFERROR(G869/Total_Project_Costs_Result,0)</f>
        <v>0</v>
      </c>
      <c r="K869" s="3832"/>
      <c r="L869" s="3833"/>
      <c r="M869" s="3833"/>
      <c r="N869" s="3834"/>
      <c r="O869" s="820">
        <f>IF(G869&gt;0,1,0)</f>
        <v>0</v>
      </c>
    </row>
    <row r="870" spans="3:15" ht="18" hidden="1">
      <c r="C870" s="3859" t="str">
        <f>T('2 REPAIR ESTIMATOR'!D944:O944)</f>
        <v/>
      </c>
      <c r="D870" s="3859"/>
      <c r="E870" s="3859"/>
      <c r="F870" s="3859"/>
      <c r="G870" s="3831">
        <f>'2 REPAIR ESTIMATOR'!AQ944</f>
        <v>0</v>
      </c>
      <c r="H870" s="3831"/>
      <c r="I870" s="810">
        <f t="shared" si="66"/>
        <v>0</v>
      </c>
      <c r="J870" s="811">
        <f t="shared" si="67"/>
        <v>0</v>
      </c>
      <c r="K870" s="3832"/>
      <c r="L870" s="3833"/>
      <c r="M870" s="3833"/>
      <c r="N870" s="3834"/>
      <c r="O870" s="820">
        <f t="shared" ref="O870:O908" si="68">IF(G870&gt;0,1,0)</f>
        <v>0</v>
      </c>
    </row>
    <row r="871" spans="3:15" ht="18" hidden="1">
      <c r="C871" s="3859" t="str">
        <f>T('2 REPAIR ESTIMATOR'!D945:O945)</f>
        <v>Appliance Package</v>
      </c>
      <c r="D871" s="3859"/>
      <c r="E871" s="3859"/>
      <c r="F871" s="3859"/>
      <c r="G871" s="3831">
        <f>'2 REPAIR ESTIMATOR'!AQ945</f>
        <v>0</v>
      </c>
      <c r="H871" s="3831"/>
      <c r="I871" s="810">
        <f t="shared" si="66"/>
        <v>0</v>
      </c>
      <c r="J871" s="811">
        <f t="shared" si="67"/>
        <v>0</v>
      </c>
      <c r="K871" s="3832"/>
      <c r="L871" s="3833"/>
      <c r="M871" s="3833"/>
      <c r="N871" s="3834"/>
      <c r="O871" s="820">
        <f t="shared" si="68"/>
        <v>0</v>
      </c>
    </row>
    <row r="872" spans="3:15" ht="18" hidden="1">
      <c r="C872" s="3859" t="str">
        <f>T('2 REPAIR ESTIMATOR'!D946:O946)</f>
        <v>Economy, (fridge, range, hood, dw, microwave)</v>
      </c>
      <c r="D872" s="3859"/>
      <c r="E872" s="3859"/>
      <c r="F872" s="3859"/>
      <c r="G872" s="3831">
        <f>'2 REPAIR ESTIMATOR'!AQ946</f>
        <v>0</v>
      </c>
      <c r="H872" s="3831"/>
      <c r="I872" s="810">
        <f t="shared" si="66"/>
        <v>0</v>
      </c>
      <c r="J872" s="811">
        <f t="shared" si="67"/>
        <v>0</v>
      </c>
      <c r="K872" s="3832"/>
      <c r="L872" s="3833"/>
      <c r="M872" s="3833"/>
      <c r="N872" s="3834"/>
      <c r="O872" s="820">
        <f t="shared" si="68"/>
        <v>0</v>
      </c>
    </row>
    <row r="873" spans="3:15" ht="18" hidden="1">
      <c r="C873" s="3859" t="str">
        <f>T('2 REPAIR ESTIMATOR'!D947:O947)</f>
        <v>Average, (fridge, range, hood, dw, microwave)</v>
      </c>
      <c r="D873" s="3859"/>
      <c r="E873" s="3859"/>
      <c r="F873" s="3859"/>
      <c r="G873" s="3831">
        <f>'2 REPAIR ESTIMATOR'!AQ947</f>
        <v>0</v>
      </c>
      <c r="H873" s="3831"/>
      <c r="I873" s="810">
        <f t="shared" si="66"/>
        <v>0</v>
      </c>
      <c r="J873" s="811">
        <f t="shared" si="67"/>
        <v>0</v>
      </c>
      <c r="K873" s="3832"/>
      <c r="L873" s="3833"/>
      <c r="M873" s="3833"/>
      <c r="N873" s="3834"/>
      <c r="O873" s="820">
        <f t="shared" si="68"/>
        <v>0</v>
      </c>
    </row>
    <row r="874" spans="3:15" ht="18" hidden="1">
      <c r="C874" s="3859" t="str">
        <f>T('2 REPAIR ESTIMATOR'!D948:O948)</f>
        <v>High End, (fridge, range, hood, dw, microwave)</v>
      </c>
      <c r="D874" s="3859"/>
      <c r="E874" s="3859"/>
      <c r="F874" s="3859"/>
      <c r="G874" s="3831">
        <f>'2 REPAIR ESTIMATOR'!AQ948</f>
        <v>0</v>
      </c>
      <c r="H874" s="3831"/>
      <c r="I874" s="810">
        <f t="shared" si="66"/>
        <v>0</v>
      </c>
      <c r="J874" s="811">
        <f t="shared" si="67"/>
        <v>0</v>
      </c>
      <c r="K874" s="3832"/>
      <c r="L874" s="3833"/>
      <c r="M874" s="3833"/>
      <c r="N874" s="3834"/>
      <c r="O874" s="820">
        <f t="shared" si="68"/>
        <v>0</v>
      </c>
    </row>
    <row r="875" spans="3:15" ht="18" hidden="1">
      <c r="C875" s="3859" t="str">
        <f>T('2 REPAIR ESTIMATOR'!D949:O949)</f>
        <v/>
      </c>
      <c r="D875" s="3859"/>
      <c r="E875" s="3859"/>
      <c r="F875" s="3859"/>
      <c r="G875" s="3831">
        <f>'2 REPAIR ESTIMATOR'!AQ949</f>
        <v>0</v>
      </c>
      <c r="H875" s="3831"/>
      <c r="I875" s="810">
        <f t="shared" si="66"/>
        <v>0</v>
      </c>
      <c r="J875" s="811">
        <f t="shared" si="67"/>
        <v>0</v>
      </c>
      <c r="K875" s="3832"/>
      <c r="L875" s="3833"/>
      <c r="M875" s="3833"/>
      <c r="N875" s="3834"/>
      <c r="O875" s="820">
        <f t="shared" si="68"/>
        <v>0</v>
      </c>
    </row>
    <row r="876" spans="3:15" ht="18" hidden="1">
      <c r="C876" s="3859" t="str">
        <f>T('2 REPAIR ESTIMATOR'!D950:O950)</f>
        <v/>
      </c>
      <c r="D876" s="3859"/>
      <c r="E876" s="3859"/>
      <c r="F876" s="3859"/>
      <c r="G876" s="3831">
        <f>'2 REPAIR ESTIMATOR'!AQ950</f>
        <v>0</v>
      </c>
      <c r="H876" s="3831"/>
      <c r="I876" s="810">
        <f t="shared" si="66"/>
        <v>0</v>
      </c>
      <c r="J876" s="811">
        <f t="shared" si="67"/>
        <v>0</v>
      </c>
      <c r="K876" s="3832"/>
      <c r="L876" s="3833"/>
      <c r="M876" s="3833"/>
      <c r="N876" s="3834"/>
      <c r="O876" s="820">
        <f t="shared" si="68"/>
        <v>0</v>
      </c>
    </row>
    <row r="877" spans="3:15" ht="18" hidden="1">
      <c r="C877" s="3859" t="str">
        <f>T('2 REPAIR ESTIMATOR'!D951:O951)</f>
        <v>Appliances, Detailed, Ecomony</v>
      </c>
      <c r="D877" s="3859"/>
      <c r="E877" s="3859"/>
      <c r="F877" s="3859"/>
      <c r="G877" s="3831">
        <f>'2 REPAIR ESTIMATOR'!AQ951</f>
        <v>0</v>
      </c>
      <c r="H877" s="3831"/>
      <c r="I877" s="810">
        <f t="shared" si="66"/>
        <v>0</v>
      </c>
      <c r="J877" s="811">
        <f t="shared" si="67"/>
        <v>0</v>
      </c>
      <c r="K877" s="3832"/>
      <c r="L877" s="3833"/>
      <c r="M877" s="3833"/>
      <c r="N877" s="3834"/>
      <c r="O877" s="820">
        <f t="shared" si="68"/>
        <v>0</v>
      </c>
    </row>
    <row r="878" spans="3:15" ht="18" hidden="1">
      <c r="C878" s="3859" t="str">
        <f>T('2 REPAIR ESTIMATOR'!D952:O952)</f>
        <v>Refrigerator, economy</v>
      </c>
      <c r="D878" s="3859"/>
      <c r="E878" s="3859"/>
      <c r="F878" s="3859"/>
      <c r="G878" s="3831">
        <f>'2 REPAIR ESTIMATOR'!AQ952</f>
        <v>0</v>
      </c>
      <c r="H878" s="3831"/>
      <c r="I878" s="810">
        <f t="shared" si="66"/>
        <v>0</v>
      </c>
      <c r="J878" s="811">
        <f t="shared" si="67"/>
        <v>0</v>
      </c>
      <c r="K878" s="3832"/>
      <c r="L878" s="3833"/>
      <c r="M878" s="3833"/>
      <c r="N878" s="3834"/>
      <c r="O878" s="820">
        <f t="shared" si="68"/>
        <v>0</v>
      </c>
    </row>
    <row r="879" spans="3:15" ht="18" hidden="1">
      <c r="C879" s="3859" t="str">
        <f>T('2 REPAIR ESTIMATOR'!D953:O953)</f>
        <v>Range, economy</v>
      </c>
      <c r="D879" s="3859"/>
      <c r="E879" s="3859"/>
      <c r="F879" s="3859"/>
      <c r="G879" s="3831">
        <f>'2 REPAIR ESTIMATOR'!AQ953</f>
        <v>0</v>
      </c>
      <c r="H879" s="3831"/>
      <c r="I879" s="810">
        <f t="shared" si="66"/>
        <v>0</v>
      </c>
      <c r="J879" s="811">
        <f t="shared" si="67"/>
        <v>0</v>
      </c>
      <c r="K879" s="3832"/>
      <c r="L879" s="3833"/>
      <c r="M879" s="3833"/>
      <c r="N879" s="3834"/>
      <c r="O879" s="820">
        <f t="shared" si="68"/>
        <v>0</v>
      </c>
    </row>
    <row r="880" spans="3:15" ht="18" hidden="1">
      <c r="C880" s="3859" t="str">
        <f>T('2 REPAIR ESTIMATOR'!D954:O954)</f>
        <v>Range Hood, economy</v>
      </c>
      <c r="D880" s="3859"/>
      <c r="E880" s="3859"/>
      <c r="F880" s="3859"/>
      <c r="G880" s="3831">
        <f>'2 REPAIR ESTIMATOR'!AQ954</f>
        <v>0</v>
      </c>
      <c r="H880" s="3831"/>
      <c r="I880" s="810">
        <f t="shared" si="66"/>
        <v>0</v>
      </c>
      <c r="J880" s="811">
        <f t="shared" si="67"/>
        <v>0</v>
      </c>
      <c r="K880" s="3832"/>
      <c r="L880" s="3833"/>
      <c r="M880" s="3833"/>
      <c r="N880" s="3834"/>
      <c r="O880" s="820">
        <f t="shared" si="68"/>
        <v>0</v>
      </c>
    </row>
    <row r="881" spans="3:15" ht="18" hidden="1">
      <c r="C881" s="3859" t="str">
        <f>T('2 REPAIR ESTIMATOR'!D955:O955)</f>
        <v>Dishwasher, economy</v>
      </c>
      <c r="D881" s="3859"/>
      <c r="E881" s="3859"/>
      <c r="F881" s="3859"/>
      <c r="G881" s="3831">
        <f>'2 REPAIR ESTIMATOR'!AQ955</f>
        <v>0</v>
      </c>
      <c r="H881" s="3831"/>
      <c r="I881" s="810">
        <f t="shared" si="66"/>
        <v>0</v>
      </c>
      <c r="J881" s="811">
        <f t="shared" si="67"/>
        <v>0</v>
      </c>
      <c r="K881" s="3832"/>
      <c r="L881" s="3833"/>
      <c r="M881" s="3833"/>
      <c r="N881" s="3834"/>
      <c r="O881" s="820">
        <f t="shared" si="68"/>
        <v>0</v>
      </c>
    </row>
    <row r="882" spans="3:15" ht="18" hidden="1">
      <c r="C882" s="3859" t="str">
        <f>T('2 REPAIR ESTIMATOR'!D956:O956)</f>
        <v>Microwave, economy</v>
      </c>
      <c r="D882" s="3859"/>
      <c r="E882" s="3859"/>
      <c r="F882" s="3859"/>
      <c r="G882" s="3831">
        <f>'2 REPAIR ESTIMATOR'!AQ956</f>
        <v>0</v>
      </c>
      <c r="H882" s="3831"/>
      <c r="I882" s="810">
        <f t="shared" si="66"/>
        <v>0</v>
      </c>
      <c r="J882" s="811">
        <f t="shared" si="67"/>
        <v>0</v>
      </c>
      <c r="K882" s="3832"/>
      <c r="L882" s="3833"/>
      <c r="M882" s="3833"/>
      <c r="N882" s="3834"/>
      <c r="O882" s="820">
        <f t="shared" si="68"/>
        <v>0</v>
      </c>
    </row>
    <row r="883" spans="3:15" ht="18" hidden="1">
      <c r="C883" s="3859" t="str">
        <f>T('2 REPAIR ESTIMATOR'!D957:O957)</f>
        <v>Appliance delivery</v>
      </c>
      <c r="D883" s="3859"/>
      <c r="E883" s="3859"/>
      <c r="F883" s="3859"/>
      <c r="G883" s="3831">
        <f>'2 REPAIR ESTIMATOR'!AQ957</f>
        <v>0</v>
      </c>
      <c r="H883" s="3831"/>
      <c r="I883" s="810">
        <f t="shared" si="66"/>
        <v>0</v>
      </c>
      <c r="J883" s="811">
        <f t="shared" si="67"/>
        <v>0</v>
      </c>
      <c r="K883" s="3832"/>
      <c r="L883" s="3833"/>
      <c r="M883" s="3833"/>
      <c r="N883" s="3834"/>
      <c r="O883" s="820">
        <f t="shared" si="68"/>
        <v>0</v>
      </c>
    </row>
    <row r="884" spans="3:15" ht="18" hidden="1">
      <c r="C884" s="3859" t="str">
        <f>T('2 REPAIR ESTIMATOR'!D958:O958)</f>
        <v/>
      </c>
      <c r="D884" s="3859"/>
      <c r="E884" s="3859"/>
      <c r="F884" s="3859"/>
      <c r="G884" s="3831">
        <f>'2 REPAIR ESTIMATOR'!AQ958</f>
        <v>0</v>
      </c>
      <c r="H884" s="3831"/>
      <c r="I884" s="810">
        <f t="shared" si="66"/>
        <v>0</v>
      </c>
      <c r="J884" s="811">
        <f t="shared" si="67"/>
        <v>0</v>
      </c>
      <c r="K884" s="3832"/>
      <c r="L884" s="3833"/>
      <c r="M884" s="3833"/>
      <c r="N884" s="3834"/>
      <c r="O884" s="820">
        <f t="shared" si="68"/>
        <v>0</v>
      </c>
    </row>
    <row r="885" spans="3:15" ht="18" hidden="1">
      <c r="C885" s="3859" t="str">
        <f>T('2 REPAIR ESTIMATOR'!D959:O959)</f>
        <v/>
      </c>
      <c r="D885" s="3859"/>
      <c r="E885" s="3859"/>
      <c r="F885" s="3859"/>
      <c r="G885" s="3831">
        <f>'2 REPAIR ESTIMATOR'!AQ959</f>
        <v>0</v>
      </c>
      <c r="H885" s="3831"/>
      <c r="I885" s="810">
        <f t="shared" si="66"/>
        <v>0</v>
      </c>
      <c r="J885" s="811">
        <f t="shared" si="67"/>
        <v>0</v>
      </c>
      <c r="K885" s="3832"/>
      <c r="L885" s="3833"/>
      <c r="M885" s="3833"/>
      <c r="N885" s="3834"/>
      <c r="O885" s="820">
        <f t="shared" si="68"/>
        <v>0</v>
      </c>
    </row>
    <row r="886" spans="3:15" ht="18" hidden="1">
      <c r="C886" s="3859" t="str">
        <f>T('2 REPAIR ESTIMATOR'!D960:O960)</f>
        <v>Appliances, Detailed, Average</v>
      </c>
      <c r="D886" s="3859"/>
      <c r="E886" s="3859"/>
      <c r="F886" s="3859"/>
      <c r="G886" s="3831">
        <f>'2 REPAIR ESTIMATOR'!AQ960</f>
        <v>0</v>
      </c>
      <c r="H886" s="3831"/>
      <c r="I886" s="810">
        <f t="shared" si="66"/>
        <v>0</v>
      </c>
      <c r="J886" s="811">
        <f t="shared" si="67"/>
        <v>0</v>
      </c>
      <c r="K886" s="3832"/>
      <c r="L886" s="3833"/>
      <c r="M886" s="3833"/>
      <c r="N886" s="3834"/>
      <c r="O886" s="820">
        <f t="shared" si="68"/>
        <v>0</v>
      </c>
    </row>
    <row r="887" spans="3:15" ht="18" hidden="1">
      <c r="C887" s="3859" t="str">
        <f>T('2 REPAIR ESTIMATOR'!D961:O961)</f>
        <v>Refrigerator, average</v>
      </c>
      <c r="D887" s="3859"/>
      <c r="E887" s="3859"/>
      <c r="F887" s="3859"/>
      <c r="G887" s="3831">
        <f>'2 REPAIR ESTIMATOR'!AQ961</f>
        <v>0</v>
      </c>
      <c r="H887" s="3831"/>
      <c r="I887" s="810">
        <f t="shared" si="66"/>
        <v>0</v>
      </c>
      <c r="J887" s="811">
        <f t="shared" si="67"/>
        <v>0</v>
      </c>
      <c r="K887" s="3832"/>
      <c r="L887" s="3833"/>
      <c r="M887" s="3833"/>
      <c r="N887" s="3834"/>
      <c r="O887" s="820">
        <f t="shared" si="68"/>
        <v>0</v>
      </c>
    </row>
    <row r="888" spans="3:15" ht="18" hidden="1">
      <c r="C888" s="3859" t="str">
        <f>T('2 REPAIR ESTIMATOR'!D962:O962)</f>
        <v>Range, average</v>
      </c>
      <c r="D888" s="3859"/>
      <c r="E888" s="3859"/>
      <c r="F888" s="3859"/>
      <c r="G888" s="3831">
        <f>'2 REPAIR ESTIMATOR'!AQ962</f>
        <v>0</v>
      </c>
      <c r="H888" s="3831"/>
      <c r="I888" s="810">
        <f t="shared" si="66"/>
        <v>0</v>
      </c>
      <c r="J888" s="811">
        <f t="shared" si="67"/>
        <v>0</v>
      </c>
      <c r="K888" s="3832"/>
      <c r="L888" s="3833"/>
      <c r="M888" s="3833"/>
      <c r="N888" s="3834"/>
      <c r="O888" s="820">
        <f t="shared" si="68"/>
        <v>0</v>
      </c>
    </row>
    <row r="889" spans="3:15" ht="18" hidden="1">
      <c r="C889" s="3859" t="str">
        <f>T('2 REPAIR ESTIMATOR'!D963:O963)</f>
        <v>Range Hood, average</v>
      </c>
      <c r="D889" s="3859"/>
      <c r="E889" s="3859"/>
      <c r="F889" s="3859"/>
      <c r="G889" s="3831">
        <f>'2 REPAIR ESTIMATOR'!AQ963</f>
        <v>0</v>
      </c>
      <c r="H889" s="3831"/>
      <c r="I889" s="810">
        <f t="shared" si="66"/>
        <v>0</v>
      </c>
      <c r="J889" s="811">
        <f t="shared" si="67"/>
        <v>0</v>
      </c>
      <c r="K889" s="3832"/>
      <c r="L889" s="3833"/>
      <c r="M889" s="3833"/>
      <c r="N889" s="3834"/>
      <c r="O889" s="820">
        <f t="shared" si="68"/>
        <v>0</v>
      </c>
    </row>
    <row r="890" spans="3:15" ht="18" hidden="1">
      <c r="C890" s="3859" t="str">
        <f>T('2 REPAIR ESTIMATOR'!D964:O964)</f>
        <v>Dishwasher, average</v>
      </c>
      <c r="D890" s="3859"/>
      <c r="E890" s="3859"/>
      <c r="F890" s="3859"/>
      <c r="G890" s="3831">
        <f>'2 REPAIR ESTIMATOR'!AQ964</f>
        <v>0</v>
      </c>
      <c r="H890" s="3831"/>
      <c r="I890" s="810">
        <f t="shared" si="66"/>
        <v>0</v>
      </c>
      <c r="J890" s="811">
        <f t="shared" si="67"/>
        <v>0</v>
      </c>
      <c r="K890" s="3832"/>
      <c r="L890" s="3833"/>
      <c r="M890" s="3833"/>
      <c r="N890" s="3834"/>
      <c r="O890" s="820">
        <f t="shared" si="68"/>
        <v>0</v>
      </c>
    </row>
    <row r="891" spans="3:15" ht="18" hidden="1">
      <c r="C891" s="3859" t="str">
        <f>T('2 REPAIR ESTIMATOR'!D965:O965)</f>
        <v>Microwave, average</v>
      </c>
      <c r="D891" s="3859"/>
      <c r="E891" s="3859"/>
      <c r="F891" s="3859"/>
      <c r="G891" s="3831">
        <f>'2 REPAIR ESTIMATOR'!AQ965</f>
        <v>0</v>
      </c>
      <c r="H891" s="3831"/>
      <c r="I891" s="810">
        <f t="shared" si="66"/>
        <v>0</v>
      </c>
      <c r="J891" s="811">
        <f t="shared" si="67"/>
        <v>0</v>
      </c>
      <c r="K891" s="3832"/>
      <c r="L891" s="3833"/>
      <c r="M891" s="3833"/>
      <c r="N891" s="3834"/>
      <c r="O891" s="820">
        <f t="shared" si="68"/>
        <v>0</v>
      </c>
    </row>
    <row r="892" spans="3:15" ht="18" hidden="1">
      <c r="C892" s="3859" t="str">
        <f>T('2 REPAIR ESTIMATOR'!D966:O966)</f>
        <v>Appliance delivery</v>
      </c>
      <c r="D892" s="3859"/>
      <c r="E892" s="3859"/>
      <c r="F892" s="3859"/>
      <c r="G892" s="3831">
        <f>'2 REPAIR ESTIMATOR'!AQ966</f>
        <v>0</v>
      </c>
      <c r="H892" s="3831"/>
      <c r="I892" s="810">
        <f t="shared" si="66"/>
        <v>0</v>
      </c>
      <c r="J892" s="811">
        <f t="shared" si="67"/>
        <v>0</v>
      </c>
      <c r="K892" s="3832"/>
      <c r="L892" s="3833"/>
      <c r="M892" s="3833"/>
      <c r="N892" s="3834"/>
      <c r="O892" s="820">
        <f t="shared" si="68"/>
        <v>0</v>
      </c>
    </row>
    <row r="893" spans="3:15" ht="18" hidden="1">
      <c r="C893" s="3859" t="str">
        <f>T('2 REPAIR ESTIMATOR'!D967:O967)</f>
        <v/>
      </c>
      <c r="D893" s="3859"/>
      <c r="E893" s="3859"/>
      <c r="F893" s="3859"/>
      <c r="G893" s="3831">
        <f>'2 REPAIR ESTIMATOR'!AQ967</f>
        <v>0</v>
      </c>
      <c r="H893" s="3831"/>
      <c r="I893" s="810">
        <f t="shared" si="66"/>
        <v>0</v>
      </c>
      <c r="J893" s="811">
        <f t="shared" si="67"/>
        <v>0</v>
      </c>
      <c r="K893" s="3832"/>
      <c r="L893" s="3833"/>
      <c r="M893" s="3833"/>
      <c r="N893" s="3834"/>
      <c r="O893" s="820">
        <f t="shared" si="68"/>
        <v>0</v>
      </c>
    </row>
    <row r="894" spans="3:15" ht="18" hidden="1">
      <c r="C894" s="3859" t="str">
        <f>T('2 REPAIR ESTIMATOR'!D968:O968)</f>
        <v/>
      </c>
      <c r="D894" s="3859"/>
      <c r="E894" s="3859"/>
      <c r="F894" s="3859"/>
      <c r="G894" s="3831">
        <f>'2 REPAIR ESTIMATOR'!AQ968</f>
        <v>0</v>
      </c>
      <c r="H894" s="3831"/>
      <c r="I894" s="810">
        <f t="shared" si="66"/>
        <v>0</v>
      </c>
      <c r="J894" s="811">
        <f t="shared" si="67"/>
        <v>0</v>
      </c>
      <c r="K894" s="3832"/>
      <c r="L894" s="3833"/>
      <c r="M894" s="3833"/>
      <c r="N894" s="3834"/>
      <c r="O894" s="820">
        <f t="shared" si="68"/>
        <v>0</v>
      </c>
    </row>
    <row r="895" spans="3:15" ht="18" hidden="1">
      <c r="C895" s="3859" t="str">
        <f>T('2 REPAIR ESTIMATOR'!D969:O969)</f>
        <v>Appliances, Detailed, High End</v>
      </c>
      <c r="D895" s="3859"/>
      <c r="E895" s="3859"/>
      <c r="F895" s="3859"/>
      <c r="G895" s="3831">
        <f>'2 REPAIR ESTIMATOR'!AQ969</f>
        <v>0</v>
      </c>
      <c r="H895" s="3831"/>
      <c r="I895" s="810">
        <f t="shared" si="66"/>
        <v>0</v>
      </c>
      <c r="J895" s="811">
        <f t="shared" si="67"/>
        <v>0</v>
      </c>
      <c r="K895" s="3832"/>
      <c r="L895" s="3833"/>
      <c r="M895" s="3833"/>
      <c r="N895" s="3834"/>
      <c r="O895" s="820">
        <f t="shared" si="68"/>
        <v>0</v>
      </c>
    </row>
    <row r="896" spans="3:15" ht="18" hidden="1">
      <c r="C896" s="3859" t="str">
        <f>T('2 REPAIR ESTIMATOR'!D970:O970)</f>
        <v>Refrigerator, high end</v>
      </c>
      <c r="D896" s="3859"/>
      <c r="E896" s="3859"/>
      <c r="F896" s="3859"/>
      <c r="G896" s="3831">
        <f>'2 REPAIR ESTIMATOR'!AQ970</f>
        <v>0</v>
      </c>
      <c r="H896" s="3831"/>
      <c r="I896" s="810">
        <f t="shared" si="66"/>
        <v>0</v>
      </c>
      <c r="J896" s="811">
        <f t="shared" si="67"/>
        <v>0</v>
      </c>
      <c r="K896" s="3832"/>
      <c r="L896" s="3833"/>
      <c r="M896" s="3833"/>
      <c r="N896" s="3834"/>
      <c r="O896" s="820">
        <f t="shared" si="68"/>
        <v>0</v>
      </c>
    </row>
    <row r="897" spans="3:15" ht="18" hidden="1">
      <c r="C897" s="3859" t="str">
        <f>T('2 REPAIR ESTIMATOR'!D971:O971)</f>
        <v>Range, high end</v>
      </c>
      <c r="D897" s="3859"/>
      <c r="E897" s="3859"/>
      <c r="F897" s="3859"/>
      <c r="G897" s="3831">
        <f>'2 REPAIR ESTIMATOR'!AQ971</f>
        <v>0</v>
      </c>
      <c r="H897" s="3831"/>
      <c r="I897" s="810">
        <f t="shared" si="66"/>
        <v>0</v>
      </c>
      <c r="J897" s="811">
        <f t="shared" si="67"/>
        <v>0</v>
      </c>
      <c r="K897" s="3832"/>
      <c r="L897" s="3833"/>
      <c r="M897" s="3833"/>
      <c r="N897" s="3834"/>
      <c r="O897" s="820">
        <f t="shared" si="68"/>
        <v>0</v>
      </c>
    </row>
    <row r="898" spans="3:15" ht="18" hidden="1">
      <c r="C898" s="3859" t="str">
        <f>T('2 REPAIR ESTIMATOR'!D972:O972)</f>
        <v>Range Hood, high end</v>
      </c>
      <c r="D898" s="3859"/>
      <c r="E898" s="3859"/>
      <c r="F898" s="3859"/>
      <c r="G898" s="3831">
        <f>'2 REPAIR ESTIMATOR'!AQ972</f>
        <v>0</v>
      </c>
      <c r="H898" s="3831"/>
      <c r="I898" s="810">
        <f t="shared" si="66"/>
        <v>0</v>
      </c>
      <c r="J898" s="811">
        <f t="shared" si="67"/>
        <v>0</v>
      </c>
      <c r="K898" s="3832"/>
      <c r="L898" s="3833"/>
      <c r="M898" s="3833"/>
      <c r="N898" s="3834"/>
      <c r="O898" s="820">
        <f t="shared" si="68"/>
        <v>0</v>
      </c>
    </row>
    <row r="899" spans="3:15" ht="18" hidden="1">
      <c r="C899" s="3859" t="str">
        <f>T('2 REPAIR ESTIMATOR'!D973:O973)</f>
        <v>Dishwasher, high end</v>
      </c>
      <c r="D899" s="3859"/>
      <c r="E899" s="3859"/>
      <c r="F899" s="3859"/>
      <c r="G899" s="3831">
        <f>'2 REPAIR ESTIMATOR'!AQ973</f>
        <v>0</v>
      </c>
      <c r="H899" s="3831"/>
      <c r="I899" s="810">
        <f t="shared" si="66"/>
        <v>0</v>
      </c>
      <c r="J899" s="811">
        <f t="shared" si="67"/>
        <v>0</v>
      </c>
      <c r="K899" s="3832"/>
      <c r="L899" s="3833"/>
      <c r="M899" s="3833"/>
      <c r="N899" s="3834"/>
      <c r="O899" s="820">
        <f t="shared" si="68"/>
        <v>0</v>
      </c>
    </row>
    <row r="900" spans="3:15" ht="18" hidden="1">
      <c r="C900" s="3859" t="str">
        <f>T('2 REPAIR ESTIMATOR'!D974:O974)</f>
        <v>Microwave, high end</v>
      </c>
      <c r="D900" s="3859"/>
      <c r="E900" s="3859"/>
      <c r="F900" s="3859"/>
      <c r="G900" s="3831">
        <f>'2 REPAIR ESTIMATOR'!AQ974</f>
        <v>0</v>
      </c>
      <c r="H900" s="3831"/>
      <c r="I900" s="810">
        <f t="shared" si="66"/>
        <v>0</v>
      </c>
      <c r="J900" s="811">
        <f t="shared" si="67"/>
        <v>0</v>
      </c>
      <c r="K900" s="3832"/>
      <c r="L900" s="3833"/>
      <c r="M900" s="3833"/>
      <c r="N900" s="3834"/>
      <c r="O900" s="820">
        <f t="shared" si="68"/>
        <v>0</v>
      </c>
    </row>
    <row r="901" spans="3:15" ht="18" hidden="1">
      <c r="C901" s="3859" t="str">
        <f>T('2 REPAIR ESTIMATOR'!D975:O975)</f>
        <v>Appliance delivery</v>
      </c>
      <c r="D901" s="3859"/>
      <c r="E901" s="3859"/>
      <c r="F901" s="3859"/>
      <c r="G901" s="3831">
        <f>'2 REPAIR ESTIMATOR'!AQ975</f>
        <v>0</v>
      </c>
      <c r="H901" s="3831"/>
      <c r="I901" s="810">
        <f t="shared" si="66"/>
        <v>0</v>
      </c>
      <c r="J901" s="811">
        <f t="shared" si="67"/>
        <v>0</v>
      </c>
      <c r="K901" s="3832"/>
      <c r="L901" s="3833"/>
      <c r="M901" s="3833"/>
      <c r="N901" s="3834"/>
      <c r="O901" s="820">
        <f t="shared" si="68"/>
        <v>0</v>
      </c>
    </row>
    <row r="902" spans="3:15" ht="18" hidden="1">
      <c r="C902" s="3859" t="str">
        <f>T('2 REPAIR ESTIMATOR'!D976:O976)</f>
        <v/>
      </c>
      <c r="D902" s="3859"/>
      <c r="E902" s="3859"/>
      <c r="F902" s="3859"/>
      <c r="G902" s="3831">
        <f>'2 REPAIR ESTIMATOR'!AQ976</f>
        <v>0</v>
      </c>
      <c r="H902" s="3831"/>
      <c r="I902" s="810">
        <f t="shared" si="66"/>
        <v>0</v>
      </c>
      <c r="J902" s="811">
        <f t="shared" si="67"/>
        <v>0</v>
      </c>
      <c r="K902" s="3832"/>
      <c r="L902" s="3833"/>
      <c r="M902" s="3833"/>
      <c r="N902" s="3834"/>
      <c r="O902" s="820">
        <f t="shared" si="68"/>
        <v>0</v>
      </c>
    </row>
    <row r="903" spans="3:15" ht="18" hidden="1">
      <c r="C903" s="3859" t="str">
        <f>T('2 REPAIR ESTIMATOR'!D977:O977)</f>
        <v/>
      </c>
      <c r="D903" s="3859"/>
      <c r="E903" s="3859"/>
      <c r="F903" s="3859"/>
      <c r="G903" s="3831">
        <f>'2 REPAIR ESTIMATOR'!AQ977</f>
        <v>0</v>
      </c>
      <c r="H903" s="3831"/>
      <c r="I903" s="810">
        <f t="shared" si="66"/>
        <v>0</v>
      </c>
      <c r="J903" s="811">
        <f t="shared" si="67"/>
        <v>0</v>
      </c>
      <c r="K903" s="3832"/>
      <c r="L903" s="3833"/>
      <c r="M903" s="3833"/>
      <c r="N903" s="3834"/>
      <c r="O903" s="820">
        <f t="shared" si="68"/>
        <v>0</v>
      </c>
    </row>
    <row r="904" spans="3:15" ht="18" hidden="1">
      <c r="C904" s="3859" t="str">
        <f>T('2 REPAIR ESTIMATOR'!D978:O978)</f>
        <v/>
      </c>
      <c r="D904" s="3859"/>
      <c r="E904" s="3859"/>
      <c r="F904" s="3859"/>
      <c r="G904" s="3831">
        <f>'2 REPAIR ESTIMATOR'!AQ978</f>
        <v>0</v>
      </c>
      <c r="H904" s="3831"/>
      <c r="I904" s="810">
        <f t="shared" si="66"/>
        <v>0</v>
      </c>
      <c r="J904" s="811">
        <f t="shared" si="67"/>
        <v>0</v>
      </c>
      <c r="K904" s="3832"/>
      <c r="L904" s="3833"/>
      <c r="M904" s="3833"/>
      <c r="N904" s="3834"/>
      <c r="O904" s="820">
        <f t="shared" si="68"/>
        <v>0</v>
      </c>
    </row>
    <row r="905" spans="3:15" ht="18" hidden="1">
      <c r="C905" s="3859" t="str">
        <f>T('2 REPAIR ESTIMATOR'!D979:O979)</f>
        <v/>
      </c>
      <c r="D905" s="3859"/>
      <c r="E905" s="3859"/>
      <c r="F905" s="3859"/>
      <c r="G905" s="3831">
        <f>'2 REPAIR ESTIMATOR'!AQ979</f>
        <v>0</v>
      </c>
      <c r="H905" s="3831"/>
      <c r="I905" s="810">
        <f t="shared" si="66"/>
        <v>0</v>
      </c>
      <c r="J905" s="811">
        <f t="shared" si="67"/>
        <v>0</v>
      </c>
      <c r="K905" s="3832"/>
      <c r="L905" s="3833"/>
      <c r="M905" s="3833"/>
      <c r="N905" s="3834"/>
      <c r="O905" s="820">
        <f t="shared" si="68"/>
        <v>0</v>
      </c>
    </row>
    <row r="906" spans="3:15" ht="18" hidden="1">
      <c r="C906" s="3859" t="str">
        <f>T('2 REPAIR ESTIMATOR'!D980:O980)</f>
        <v/>
      </c>
      <c r="D906" s="3859"/>
      <c r="E906" s="3859"/>
      <c r="F906" s="3859"/>
      <c r="G906" s="3831">
        <f>'2 REPAIR ESTIMATOR'!AQ980</f>
        <v>0</v>
      </c>
      <c r="H906" s="3831"/>
      <c r="I906" s="810">
        <f t="shared" si="66"/>
        <v>0</v>
      </c>
      <c r="J906" s="811">
        <f t="shared" si="67"/>
        <v>0</v>
      </c>
      <c r="K906" s="3832"/>
      <c r="L906" s="3833"/>
      <c r="M906" s="3833"/>
      <c r="N906" s="3834"/>
      <c r="O906" s="820">
        <f t="shared" si="68"/>
        <v>0</v>
      </c>
    </row>
    <row r="907" spans="3:15" ht="18" hidden="1">
      <c r="C907" s="3859" t="str">
        <f>T('2 REPAIR ESTIMATOR'!D981:O981)</f>
        <v/>
      </c>
      <c r="D907" s="3859"/>
      <c r="E907" s="3859"/>
      <c r="F907" s="3859"/>
      <c r="G907" s="3831">
        <f>'2 REPAIR ESTIMATOR'!AQ981</f>
        <v>0</v>
      </c>
      <c r="H907" s="3831"/>
      <c r="I907" s="810">
        <f t="shared" si="66"/>
        <v>0</v>
      </c>
      <c r="J907" s="811">
        <f t="shared" si="67"/>
        <v>0</v>
      </c>
      <c r="K907" s="3832"/>
      <c r="L907" s="3833"/>
      <c r="M907" s="3833"/>
      <c r="N907" s="3834"/>
      <c r="O907" s="820">
        <f t="shared" si="68"/>
        <v>0</v>
      </c>
    </row>
    <row r="908" spans="3:15" ht="18.350000000000001" hidden="1" thickBot="1">
      <c r="C908" s="3835" t="str">
        <f>T('2 REPAIR ESTIMATOR'!D982:O982)</f>
        <v/>
      </c>
      <c r="D908" s="3835"/>
      <c r="E908" s="3835"/>
      <c r="F908" s="3835"/>
      <c r="G908" s="3836">
        <f>'2 REPAIR ESTIMATOR'!AQ982</f>
        <v>0</v>
      </c>
      <c r="H908" s="3836"/>
      <c r="I908" s="813">
        <f t="shared" si="66"/>
        <v>0</v>
      </c>
      <c r="J908" s="814">
        <f t="shared" si="67"/>
        <v>0</v>
      </c>
      <c r="K908" s="3837"/>
      <c r="L908" s="3838"/>
      <c r="M908" s="3838"/>
      <c r="N908" s="3839"/>
      <c r="O908" s="823">
        <f t="shared" si="68"/>
        <v>0</v>
      </c>
    </row>
    <row r="909" spans="3:15" ht="18.350000000000001" hidden="1" thickTop="1">
      <c r="C909" s="3825" t="str">
        <f>T('2 REPAIR ESTIMATOR'!AC984)</f>
        <v>APPLIANCES TOTAL</v>
      </c>
      <c r="D909" s="3825"/>
      <c r="E909" s="3825"/>
      <c r="F909" s="3825"/>
      <c r="G909" s="3826">
        <f>SUM(G869:H908)</f>
        <v>0</v>
      </c>
      <c r="H909" s="3826"/>
      <c r="I909" s="818">
        <f>SUM(I869:I908)</f>
        <v>0</v>
      </c>
      <c r="J909" s="819">
        <f>SUM(J869:J908)</f>
        <v>0</v>
      </c>
      <c r="K909" s="3827"/>
      <c r="L909" s="3828"/>
      <c r="M909" s="3828"/>
      <c r="N909" s="3829"/>
      <c r="O909" s="821">
        <f>SUM(O869:O908)</f>
        <v>0</v>
      </c>
    </row>
    <row r="910" spans="3:15" ht="8.85" hidden="1" customHeight="1">
      <c r="C910" s="836"/>
      <c r="D910" s="836"/>
      <c r="E910" s="836"/>
      <c r="F910" s="836"/>
      <c r="G910" s="837"/>
      <c r="H910" s="837"/>
      <c r="I910" s="837"/>
      <c r="J910" s="837"/>
      <c r="K910" s="837"/>
      <c r="L910" s="837"/>
      <c r="M910" s="837"/>
      <c r="N910" s="837"/>
      <c r="O910" s="822">
        <f>O909</f>
        <v>0</v>
      </c>
    </row>
    <row r="911" spans="3:15" ht="22.5" hidden="1" customHeight="1">
      <c r="C911" s="3840" t="str">
        <f>T('2 REPAIR ESTIMATOR'!D987:O987)</f>
        <v>PLUMBING</v>
      </c>
      <c r="D911" s="3840"/>
      <c r="E911" s="3840"/>
      <c r="F911" s="3841"/>
      <c r="G911" s="3845"/>
      <c r="H911" s="3846"/>
      <c r="I911" s="831"/>
      <c r="J911" s="831"/>
      <c r="K911" s="3844"/>
      <c r="L911" s="3844"/>
      <c r="M911" s="3844"/>
      <c r="N911" s="3845"/>
      <c r="O911" s="820">
        <f>SUM(O912:O951)</f>
        <v>0</v>
      </c>
    </row>
    <row r="912" spans="3:15" ht="18" hidden="1">
      <c r="C912" s="3859" t="str">
        <f>T('2 REPAIR ESTIMATOR'!D988:O988)</f>
        <v>Plumbing, bid/allowance</v>
      </c>
      <c r="D912" s="3859"/>
      <c r="E912" s="3859"/>
      <c r="F912" s="3859"/>
      <c r="G912" s="3831">
        <f>'2 REPAIR ESTIMATOR'!AQ988</f>
        <v>0</v>
      </c>
      <c r="H912" s="3831"/>
      <c r="I912" s="810">
        <f t="shared" ref="I912:I951" si="69">IFERROR(G912/Property_Size,0)</f>
        <v>0</v>
      </c>
      <c r="J912" s="811">
        <f t="shared" ref="J912:J951" si="70">IFERROR(G912/Total_Project_Costs_Result,0)</f>
        <v>0</v>
      </c>
      <c r="K912" s="3832"/>
      <c r="L912" s="3833"/>
      <c r="M912" s="3833"/>
      <c r="N912" s="3834"/>
      <c r="O912" s="820">
        <f>IF(G912&gt;0,1,0)</f>
        <v>0</v>
      </c>
    </row>
    <row r="913" spans="3:15" ht="18" hidden="1">
      <c r="C913" s="3858" t="str">
        <f>T('2 REPAIR ESTIMATOR'!D989:O989)</f>
        <v>Miscellaneous Plumbing</v>
      </c>
      <c r="D913" s="3858"/>
      <c r="E913" s="3858"/>
      <c r="F913" s="3858"/>
      <c r="G913" s="3831">
        <f>'2 REPAIR ESTIMATOR'!AQ989</f>
        <v>0</v>
      </c>
      <c r="H913" s="3831"/>
      <c r="I913" s="810">
        <f t="shared" si="69"/>
        <v>0</v>
      </c>
      <c r="J913" s="811">
        <f t="shared" si="70"/>
        <v>0</v>
      </c>
      <c r="K913" s="3832"/>
      <c r="L913" s="3833"/>
      <c r="M913" s="3833"/>
      <c r="N913" s="3834"/>
      <c r="O913" s="820">
        <f t="shared" ref="O913:O951" si="71">IF(G913&gt;0,1,0)</f>
        <v>0</v>
      </c>
    </row>
    <row r="914" spans="3:15" ht="18" hidden="1">
      <c r="C914" s="3859" t="str">
        <f>T('2 REPAIR ESTIMATOR'!D990:O990)</f>
        <v>Plumbing rough-in, per hour</v>
      </c>
      <c r="D914" s="3859"/>
      <c r="E914" s="3859"/>
      <c r="F914" s="3859"/>
      <c r="G914" s="3831">
        <f>'2 REPAIR ESTIMATOR'!AQ990</f>
        <v>0</v>
      </c>
      <c r="H914" s="3831"/>
      <c r="I914" s="810">
        <f t="shared" si="69"/>
        <v>0</v>
      </c>
      <c r="J914" s="811">
        <f t="shared" si="70"/>
        <v>0</v>
      </c>
      <c r="K914" s="3832"/>
      <c r="L914" s="3833"/>
      <c r="M914" s="3833"/>
      <c r="N914" s="3834"/>
      <c r="O914" s="820">
        <f t="shared" si="71"/>
        <v>0</v>
      </c>
    </row>
    <row r="915" spans="3:15" ht="18" hidden="1">
      <c r="C915" s="3859" t="str">
        <f>T('2 REPAIR ESTIMATOR'!D991:O991)</f>
        <v>Concrete demo for below slab rough-in</v>
      </c>
      <c r="D915" s="3859"/>
      <c r="E915" s="3859"/>
      <c r="F915" s="3859"/>
      <c r="G915" s="3831">
        <f>'2 REPAIR ESTIMATOR'!AQ991</f>
        <v>0</v>
      </c>
      <c r="H915" s="3831"/>
      <c r="I915" s="810">
        <f t="shared" si="69"/>
        <v>0</v>
      </c>
      <c r="J915" s="811">
        <f t="shared" si="70"/>
        <v>0</v>
      </c>
      <c r="K915" s="3832"/>
      <c r="L915" s="3833"/>
      <c r="M915" s="3833"/>
      <c r="N915" s="3834"/>
      <c r="O915" s="820">
        <f t="shared" si="71"/>
        <v>0</v>
      </c>
    </row>
    <row r="916" spans="3:15" ht="18" hidden="1">
      <c r="C916" s="3859" t="str">
        <f>T('2 REPAIR ESTIMATOR'!D992:O992)</f>
        <v>Plumbing finish work, per hour</v>
      </c>
      <c r="D916" s="3859"/>
      <c r="E916" s="3859"/>
      <c r="F916" s="3859"/>
      <c r="G916" s="3831">
        <f>'2 REPAIR ESTIMATOR'!AQ992</f>
        <v>0</v>
      </c>
      <c r="H916" s="3831"/>
      <c r="I916" s="810">
        <f t="shared" si="69"/>
        <v>0</v>
      </c>
      <c r="J916" s="811">
        <f t="shared" si="70"/>
        <v>0</v>
      </c>
      <c r="K916" s="3832"/>
      <c r="L916" s="3833"/>
      <c r="M916" s="3833"/>
      <c r="N916" s="3834"/>
      <c r="O916" s="820">
        <f t="shared" si="71"/>
        <v>0</v>
      </c>
    </row>
    <row r="917" spans="3:15" ht="18" hidden="1">
      <c r="C917" s="3859" t="str">
        <f>T('2 REPAIR ESTIMATOR'!D993:O993)</f>
        <v>Replace gas hot water heater, 40 gallon</v>
      </c>
      <c r="D917" s="3859"/>
      <c r="E917" s="3859"/>
      <c r="F917" s="3859"/>
      <c r="G917" s="3831">
        <f>'2 REPAIR ESTIMATOR'!AQ993</f>
        <v>0</v>
      </c>
      <c r="H917" s="3831"/>
      <c r="I917" s="810">
        <f t="shared" si="69"/>
        <v>0</v>
      </c>
      <c r="J917" s="811">
        <f t="shared" si="70"/>
        <v>0</v>
      </c>
      <c r="K917" s="3832"/>
      <c r="L917" s="3833"/>
      <c r="M917" s="3833"/>
      <c r="N917" s="3834"/>
      <c r="O917" s="820">
        <f t="shared" si="71"/>
        <v>0</v>
      </c>
    </row>
    <row r="918" spans="3:15" ht="18" hidden="1">
      <c r="C918" s="3858" t="str">
        <f>T('2 REPAIR ESTIMATOR'!D994:O994)</f>
        <v>Kitchen</v>
      </c>
      <c r="D918" s="3858"/>
      <c r="E918" s="3858"/>
      <c r="F918" s="3858"/>
      <c r="G918" s="3831">
        <f>'2 REPAIR ESTIMATOR'!AQ994</f>
        <v>0</v>
      </c>
      <c r="H918" s="3831"/>
      <c r="I918" s="810">
        <f t="shared" si="69"/>
        <v>0</v>
      </c>
      <c r="J918" s="811">
        <f t="shared" si="70"/>
        <v>0</v>
      </c>
      <c r="K918" s="3832"/>
      <c r="L918" s="3833"/>
      <c r="M918" s="3833"/>
      <c r="N918" s="3834"/>
      <c r="O918" s="820">
        <f t="shared" si="71"/>
        <v>0</v>
      </c>
    </row>
    <row r="919" spans="3:15" ht="18" hidden="1">
      <c r="C919" s="3859" t="str">
        <f>T('2 REPAIR ESTIMATOR'!D995:O995)</f>
        <v>Kitchen faucet fixture</v>
      </c>
      <c r="D919" s="3859"/>
      <c r="E919" s="3859"/>
      <c r="F919" s="3859"/>
      <c r="G919" s="3831">
        <f>'2 REPAIR ESTIMATOR'!AQ995</f>
        <v>0</v>
      </c>
      <c r="H919" s="3831"/>
      <c r="I919" s="810">
        <f t="shared" si="69"/>
        <v>0</v>
      </c>
      <c r="J919" s="811">
        <f t="shared" si="70"/>
        <v>0</v>
      </c>
      <c r="K919" s="3832"/>
      <c r="L919" s="3833"/>
      <c r="M919" s="3833"/>
      <c r="N919" s="3834"/>
      <c r="O919" s="820">
        <f t="shared" si="71"/>
        <v>0</v>
      </c>
    </row>
    <row r="920" spans="3:15" ht="18" hidden="1">
      <c r="C920" s="3859" t="str">
        <f>T('2 REPAIR ESTIMATOR'!D996:O996)</f>
        <v>Garbage disposal</v>
      </c>
      <c r="D920" s="3859"/>
      <c r="E920" s="3859"/>
      <c r="F920" s="3859"/>
      <c r="G920" s="3831">
        <f>'2 REPAIR ESTIMATOR'!AQ996</f>
        <v>0</v>
      </c>
      <c r="H920" s="3831"/>
      <c r="I920" s="810">
        <f t="shared" si="69"/>
        <v>0</v>
      </c>
      <c r="J920" s="811">
        <f t="shared" si="70"/>
        <v>0</v>
      </c>
      <c r="K920" s="3832"/>
      <c r="L920" s="3833"/>
      <c r="M920" s="3833"/>
      <c r="N920" s="3834"/>
      <c r="O920" s="820">
        <f t="shared" si="71"/>
        <v>0</v>
      </c>
    </row>
    <row r="921" spans="3:15" ht="18" hidden="1">
      <c r="C921" s="3859" t="str">
        <f>T('2 REPAIR ESTIMATOR'!D997:O997)</f>
        <v>Hookup dishwasher</v>
      </c>
      <c r="D921" s="3859"/>
      <c r="E921" s="3859"/>
      <c r="F921" s="3859"/>
      <c r="G921" s="3831">
        <f>'2 REPAIR ESTIMATOR'!AQ997</f>
        <v>0</v>
      </c>
      <c r="H921" s="3831"/>
      <c r="I921" s="810">
        <f t="shared" si="69"/>
        <v>0</v>
      </c>
      <c r="J921" s="811">
        <f t="shared" si="70"/>
        <v>0</v>
      </c>
      <c r="K921" s="3832"/>
      <c r="L921" s="3833"/>
      <c r="M921" s="3833"/>
      <c r="N921" s="3834"/>
      <c r="O921" s="820">
        <f t="shared" si="71"/>
        <v>0</v>
      </c>
    </row>
    <row r="922" spans="3:15" ht="18" hidden="1">
      <c r="C922" s="3859" t="str">
        <f>T('2 REPAIR ESTIMATOR'!D998:O998)</f>
        <v>Water supply line for refrigerator</v>
      </c>
      <c r="D922" s="3859"/>
      <c r="E922" s="3859"/>
      <c r="F922" s="3859"/>
      <c r="G922" s="3831">
        <f>'2 REPAIR ESTIMATOR'!AQ998</f>
        <v>0</v>
      </c>
      <c r="H922" s="3831"/>
      <c r="I922" s="810">
        <f t="shared" si="69"/>
        <v>0</v>
      </c>
      <c r="J922" s="811">
        <f t="shared" si="70"/>
        <v>0</v>
      </c>
      <c r="K922" s="3832"/>
      <c r="L922" s="3833"/>
      <c r="M922" s="3833"/>
      <c r="N922" s="3834"/>
      <c r="O922" s="820">
        <f t="shared" si="71"/>
        <v>0</v>
      </c>
    </row>
    <row r="923" spans="3:15" ht="18" hidden="1">
      <c r="C923" s="3858" t="str">
        <f>T('2 REPAIR ESTIMATOR'!D999:O999)</f>
        <v>Bathrooms</v>
      </c>
      <c r="D923" s="3858"/>
      <c r="E923" s="3858"/>
      <c r="F923" s="3858"/>
      <c r="G923" s="3831">
        <f>'2 REPAIR ESTIMATOR'!AQ999</f>
        <v>0</v>
      </c>
      <c r="H923" s="3831"/>
      <c r="I923" s="810">
        <f t="shared" si="69"/>
        <v>0</v>
      </c>
      <c r="J923" s="811">
        <f t="shared" si="70"/>
        <v>0</v>
      </c>
      <c r="K923" s="3832"/>
      <c r="L923" s="3833"/>
      <c r="M923" s="3833"/>
      <c r="N923" s="3834"/>
      <c r="O923" s="820">
        <f t="shared" si="71"/>
        <v>0</v>
      </c>
    </row>
    <row r="924" spans="3:15" ht="18" hidden="1">
      <c r="C924" s="3859" t="str">
        <f>T('2 REPAIR ESTIMATOR'!D1000:O1000)</f>
        <v>Bathroom faucet fixture</v>
      </c>
      <c r="D924" s="3859"/>
      <c r="E924" s="3859"/>
      <c r="F924" s="3859"/>
      <c r="G924" s="3831">
        <f>'2 REPAIR ESTIMATOR'!AQ1000</f>
        <v>0</v>
      </c>
      <c r="H924" s="3831"/>
      <c r="I924" s="810">
        <f t="shared" si="69"/>
        <v>0</v>
      </c>
      <c r="J924" s="811">
        <f t="shared" si="70"/>
        <v>0</v>
      </c>
      <c r="K924" s="3832"/>
      <c r="L924" s="3833"/>
      <c r="M924" s="3833"/>
      <c r="N924" s="3834"/>
      <c r="O924" s="820">
        <f t="shared" si="71"/>
        <v>0</v>
      </c>
    </row>
    <row r="925" spans="3:15" ht="18" hidden="1">
      <c r="C925" s="3859" t="str">
        <f>T('2 REPAIR ESTIMATOR'!D1001:O1001)</f>
        <v>Fiberglass shower stall</v>
      </c>
      <c r="D925" s="3859"/>
      <c r="E925" s="3859"/>
      <c r="F925" s="3859"/>
      <c r="G925" s="3831">
        <f>'2 REPAIR ESTIMATOR'!AQ1001</f>
        <v>0</v>
      </c>
      <c r="H925" s="3831"/>
      <c r="I925" s="810">
        <f t="shared" si="69"/>
        <v>0</v>
      </c>
      <c r="J925" s="811">
        <f t="shared" si="70"/>
        <v>0</v>
      </c>
      <c r="K925" s="3832"/>
      <c r="L925" s="3833"/>
      <c r="M925" s="3833"/>
      <c r="N925" s="3834"/>
      <c r="O925" s="820">
        <f t="shared" si="71"/>
        <v>0</v>
      </c>
    </row>
    <row r="926" spans="3:15" ht="18" hidden="1">
      <c r="C926" s="3859" t="str">
        <f>T('2 REPAIR ESTIMATOR'!D1002:O1002)</f>
        <v>Fiberglass tub</v>
      </c>
      <c r="D926" s="3859"/>
      <c r="E926" s="3859"/>
      <c r="F926" s="3859"/>
      <c r="G926" s="3831">
        <f>'2 REPAIR ESTIMATOR'!AQ1002</f>
        <v>0</v>
      </c>
      <c r="H926" s="3831"/>
      <c r="I926" s="810">
        <f t="shared" si="69"/>
        <v>0</v>
      </c>
      <c r="J926" s="811">
        <f t="shared" si="70"/>
        <v>0</v>
      </c>
      <c r="K926" s="3832"/>
      <c r="L926" s="3833"/>
      <c r="M926" s="3833"/>
      <c r="N926" s="3834"/>
      <c r="O926" s="820">
        <f t="shared" si="71"/>
        <v>0</v>
      </c>
    </row>
    <row r="927" spans="3:15" ht="18" hidden="1">
      <c r="C927" s="3859" t="str">
        <f>T('2 REPAIR ESTIMATOR'!D1003:O1003)</f>
        <v>Fiberglass tub/shower surround</v>
      </c>
      <c r="D927" s="3859"/>
      <c r="E927" s="3859"/>
      <c r="F927" s="3859"/>
      <c r="G927" s="3831">
        <f>'2 REPAIR ESTIMATOR'!AQ1003</f>
        <v>0</v>
      </c>
      <c r="H927" s="3831"/>
      <c r="I927" s="810">
        <f t="shared" si="69"/>
        <v>0</v>
      </c>
      <c r="J927" s="811">
        <f t="shared" si="70"/>
        <v>0</v>
      </c>
      <c r="K927" s="3832"/>
      <c r="L927" s="3833"/>
      <c r="M927" s="3833"/>
      <c r="N927" s="3834"/>
      <c r="O927" s="820">
        <f t="shared" si="71"/>
        <v>0</v>
      </c>
    </row>
    <row r="928" spans="3:15" ht="18" hidden="1">
      <c r="C928" s="3859" t="str">
        <f>T('2 REPAIR ESTIMATOR'!D1004:O1004)</f>
        <v>Showerhead/tub kit</v>
      </c>
      <c r="D928" s="3859"/>
      <c r="E928" s="3859"/>
      <c r="F928" s="3859"/>
      <c r="G928" s="3831">
        <f>'2 REPAIR ESTIMATOR'!AQ1004</f>
        <v>0</v>
      </c>
      <c r="H928" s="3831"/>
      <c r="I928" s="810">
        <f t="shared" si="69"/>
        <v>0</v>
      </c>
      <c r="J928" s="811">
        <f t="shared" si="70"/>
        <v>0</v>
      </c>
      <c r="K928" s="3832"/>
      <c r="L928" s="3833"/>
      <c r="M928" s="3833"/>
      <c r="N928" s="3834"/>
      <c r="O928" s="820">
        <f t="shared" si="71"/>
        <v>0</v>
      </c>
    </row>
    <row r="929" spans="3:15" ht="18" hidden="1">
      <c r="C929" s="3859" t="str">
        <f>T('2 REPAIR ESTIMATOR'!D1005:O1005)</f>
        <v>Toilets</v>
      </c>
      <c r="D929" s="3859"/>
      <c r="E929" s="3859"/>
      <c r="F929" s="3859"/>
      <c r="G929" s="3831">
        <f>'2 REPAIR ESTIMATOR'!AQ1005</f>
        <v>0</v>
      </c>
      <c r="H929" s="3831"/>
      <c r="I929" s="810">
        <f t="shared" si="69"/>
        <v>0</v>
      </c>
      <c r="J929" s="811">
        <f t="shared" si="70"/>
        <v>0</v>
      </c>
      <c r="K929" s="3832"/>
      <c r="L929" s="3833"/>
      <c r="M929" s="3833"/>
      <c r="N929" s="3834"/>
      <c r="O929" s="820">
        <f t="shared" si="71"/>
        <v>0</v>
      </c>
    </row>
    <row r="930" spans="3:15" ht="18" hidden="1">
      <c r="C930" s="3859" t="str">
        <f>T('2 REPAIR ESTIMATOR'!D1006:O1006)</f>
        <v>Toilet seats</v>
      </c>
      <c r="D930" s="3859"/>
      <c r="E930" s="3859"/>
      <c r="F930" s="3859"/>
      <c r="G930" s="3831">
        <f>'2 REPAIR ESTIMATOR'!AQ1006</f>
        <v>0</v>
      </c>
      <c r="H930" s="3831"/>
      <c r="I930" s="810">
        <f t="shared" si="69"/>
        <v>0</v>
      </c>
      <c r="J930" s="811">
        <f t="shared" si="70"/>
        <v>0</v>
      </c>
      <c r="K930" s="3832"/>
      <c r="L930" s="3833"/>
      <c r="M930" s="3833"/>
      <c r="N930" s="3834"/>
      <c r="O930" s="820">
        <f t="shared" si="71"/>
        <v>0</v>
      </c>
    </row>
    <row r="931" spans="3:15" ht="18" hidden="1">
      <c r="C931" s="3859" t="str">
        <f>T('2 REPAIR ESTIMATOR'!D1007:O1007)</f>
        <v>Pedestal sink</v>
      </c>
      <c r="D931" s="3859"/>
      <c r="E931" s="3859"/>
      <c r="F931" s="3859"/>
      <c r="G931" s="3831">
        <f>'2 REPAIR ESTIMATOR'!AQ1007</f>
        <v>0</v>
      </c>
      <c r="H931" s="3831"/>
      <c r="I931" s="810">
        <f t="shared" si="69"/>
        <v>0</v>
      </c>
      <c r="J931" s="811">
        <f t="shared" si="70"/>
        <v>0</v>
      </c>
      <c r="K931" s="3832"/>
      <c r="L931" s="3833"/>
      <c r="M931" s="3833"/>
      <c r="N931" s="3834"/>
      <c r="O931" s="820">
        <f t="shared" si="71"/>
        <v>0</v>
      </c>
    </row>
    <row r="932" spans="3:15" ht="18" hidden="1">
      <c r="C932" s="3859" t="str">
        <f>T('2 REPAIR ESTIMATOR'!D1008:O1008)</f>
        <v/>
      </c>
      <c r="D932" s="3859"/>
      <c r="E932" s="3859"/>
      <c r="F932" s="3859"/>
      <c r="G932" s="3831">
        <f>'2 REPAIR ESTIMATOR'!AQ1008</f>
        <v>0</v>
      </c>
      <c r="H932" s="3831"/>
      <c r="I932" s="810">
        <f t="shared" si="69"/>
        <v>0</v>
      </c>
      <c r="J932" s="811">
        <f t="shared" si="70"/>
        <v>0</v>
      </c>
      <c r="K932" s="3832"/>
      <c r="L932" s="3833"/>
      <c r="M932" s="3833"/>
      <c r="N932" s="3834"/>
      <c r="O932" s="820">
        <f t="shared" si="71"/>
        <v>0</v>
      </c>
    </row>
    <row r="933" spans="3:15" ht="18" hidden="1">
      <c r="C933" s="3859" t="str">
        <f>T('2 REPAIR ESTIMATOR'!D1009:O1009)</f>
        <v/>
      </c>
      <c r="D933" s="3859"/>
      <c r="E933" s="3859"/>
      <c r="F933" s="3859"/>
      <c r="G933" s="3831">
        <f>'2 REPAIR ESTIMATOR'!AQ1009</f>
        <v>0</v>
      </c>
      <c r="H933" s="3831"/>
      <c r="I933" s="810">
        <f t="shared" si="69"/>
        <v>0</v>
      </c>
      <c r="J933" s="811">
        <f t="shared" si="70"/>
        <v>0</v>
      </c>
      <c r="K933" s="3832"/>
      <c r="L933" s="3833"/>
      <c r="M933" s="3833"/>
      <c r="N933" s="3834"/>
      <c r="O933" s="820">
        <f t="shared" si="71"/>
        <v>0</v>
      </c>
    </row>
    <row r="934" spans="3:15" ht="18" hidden="1">
      <c r="C934" s="3859" t="str">
        <f>T('2 REPAIR ESTIMATOR'!D1010:O1010)</f>
        <v/>
      </c>
      <c r="D934" s="3859"/>
      <c r="E934" s="3859"/>
      <c r="F934" s="3859"/>
      <c r="G934" s="3831">
        <f>'2 REPAIR ESTIMATOR'!AQ1010</f>
        <v>0</v>
      </c>
      <c r="H934" s="3831"/>
      <c r="I934" s="810">
        <f t="shared" si="69"/>
        <v>0</v>
      </c>
      <c r="J934" s="811">
        <f t="shared" si="70"/>
        <v>0</v>
      </c>
      <c r="K934" s="3832"/>
      <c r="L934" s="3833"/>
      <c r="M934" s="3833"/>
      <c r="N934" s="3834"/>
      <c r="O934" s="820">
        <f t="shared" si="71"/>
        <v>0</v>
      </c>
    </row>
    <row r="935" spans="3:15" ht="18" hidden="1">
      <c r="C935" s="3859" t="str">
        <f>T('2 REPAIR ESTIMATOR'!D1011:O1011)</f>
        <v/>
      </c>
      <c r="D935" s="3859"/>
      <c r="E935" s="3859"/>
      <c r="F935" s="3859"/>
      <c r="G935" s="3831">
        <f>'2 REPAIR ESTIMATOR'!AQ1011</f>
        <v>0</v>
      </c>
      <c r="H935" s="3831"/>
      <c r="I935" s="810">
        <f t="shared" si="69"/>
        <v>0</v>
      </c>
      <c r="J935" s="811">
        <f t="shared" si="70"/>
        <v>0</v>
      </c>
      <c r="K935" s="3832"/>
      <c r="L935" s="3833"/>
      <c r="M935" s="3833"/>
      <c r="N935" s="3834"/>
      <c r="O935" s="820">
        <f t="shared" si="71"/>
        <v>0</v>
      </c>
    </row>
    <row r="936" spans="3:15" ht="18" hidden="1">
      <c r="C936" s="3859" t="str">
        <f>T('2 REPAIR ESTIMATOR'!D1012:O1012)</f>
        <v/>
      </c>
      <c r="D936" s="3859"/>
      <c r="E936" s="3859"/>
      <c r="F936" s="3859"/>
      <c r="G936" s="3831">
        <f>'2 REPAIR ESTIMATOR'!AQ1012</f>
        <v>0</v>
      </c>
      <c r="H936" s="3831"/>
      <c r="I936" s="810">
        <f t="shared" si="69"/>
        <v>0</v>
      </c>
      <c r="J936" s="811">
        <f t="shared" si="70"/>
        <v>0</v>
      </c>
      <c r="K936" s="3832"/>
      <c r="L936" s="3833"/>
      <c r="M936" s="3833"/>
      <c r="N936" s="3834"/>
      <c r="O936" s="820">
        <f t="shared" si="71"/>
        <v>0</v>
      </c>
    </row>
    <row r="937" spans="3:15" ht="18" hidden="1">
      <c r="C937" s="3859" t="str">
        <f>T('2 REPAIR ESTIMATOR'!D1013:O1013)</f>
        <v/>
      </c>
      <c r="D937" s="3859"/>
      <c r="E937" s="3859"/>
      <c r="F937" s="3859"/>
      <c r="G937" s="3831">
        <f>'2 REPAIR ESTIMATOR'!AQ1013</f>
        <v>0</v>
      </c>
      <c r="H937" s="3831"/>
      <c r="I937" s="810">
        <f t="shared" si="69"/>
        <v>0</v>
      </c>
      <c r="J937" s="811">
        <f t="shared" si="70"/>
        <v>0</v>
      </c>
      <c r="K937" s="3832"/>
      <c r="L937" s="3833"/>
      <c r="M937" s="3833"/>
      <c r="N937" s="3834"/>
      <c r="O937" s="820">
        <f t="shared" si="71"/>
        <v>0</v>
      </c>
    </row>
    <row r="938" spans="3:15" ht="18" hidden="1">
      <c r="C938" s="3859" t="str">
        <f>T('2 REPAIR ESTIMATOR'!D1014:O1014)</f>
        <v/>
      </c>
      <c r="D938" s="3859"/>
      <c r="E938" s="3859"/>
      <c r="F938" s="3859"/>
      <c r="G938" s="3831">
        <f>'2 REPAIR ESTIMATOR'!AQ1014</f>
        <v>0</v>
      </c>
      <c r="H938" s="3831"/>
      <c r="I938" s="810">
        <f t="shared" si="69"/>
        <v>0</v>
      </c>
      <c r="J938" s="811">
        <f t="shared" si="70"/>
        <v>0</v>
      </c>
      <c r="K938" s="3832"/>
      <c r="L938" s="3833"/>
      <c r="M938" s="3833"/>
      <c r="N938" s="3834"/>
      <c r="O938" s="820">
        <f t="shared" si="71"/>
        <v>0</v>
      </c>
    </row>
    <row r="939" spans="3:15" ht="18" hidden="1">
      <c r="C939" s="3859" t="str">
        <f>T('2 REPAIR ESTIMATOR'!D1015:O1015)</f>
        <v/>
      </c>
      <c r="D939" s="3859"/>
      <c r="E939" s="3859"/>
      <c r="F939" s="3859"/>
      <c r="G939" s="3831">
        <f>'2 REPAIR ESTIMATOR'!AQ1015</f>
        <v>0</v>
      </c>
      <c r="H939" s="3831"/>
      <c r="I939" s="810">
        <f t="shared" si="69"/>
        <v>0</v>
      </c>
      <c r="J939" s="811">
        <f t="shared" si="70"/>
        <v>0</v>
      </c>
      <c r="K939" s="3832"/>
      <c r="L939" s="3833"/>
      <c r="M939" s="3833"/>
      <c r="N939" s="3834"/>
      <c r="O939" s="820">
        <f t="shared" si="71"/>
        <v>0</v>
      </c>
    </row>
    <row r="940" spans="3:15" ht="18" hidden="1">
      <c r="C940" s="3859" t="str">
        <f>T('2 REPAIR ESTIMATOR'!D1016:O1016)</f>
        <v/>
      </c>
      <c r="D940" s="3859"/>
      <c r="E940" s="3859"/>
      <c r="F940" s="3859"/>
      <c r="G940" s="3831">
        <f>'2 REPAIR ESTIMATOR'!AQ1016</f>
        <v>0</v>
      </c>
      <c r="H940" s="3831"/>
      <c r="I940" s="810">
        <f t="shared" si="69"/>
        <v>0</v>
      </c>
      <c r="J940" s="811">
        <f t="shared" si="70"/>
        <v>0</v>
      </c>
      <c r="K940" s="3832"/>
      <c r="L940" s="3833"/>
      <c r="M940" s="3833"/>
      <c r="N940" s="3834"/>
      <c r="O940" s="820">
        <f t="shared" si="71"/>
        <v>0</v>
      </c>
    </row>
    <row r="941" spans="3:15" ht="18" hidden="1">
      <c r="C941" s="3859" t="str">
        <f>T('2 REPAIR ESTIMATOR'!D1017:O1017)</f>
        <v/>
      </c>
      <c r="D941" s="3859"/>
      <c r="E941" s="3859"/>
      <c r="F941" s="3859"/>
      <c r="G941" s="3831">
        <f>'2 REPAIR ESTIMATOR'!AQ1017</f>
        <v>0</v>
      </c>
      <c r="H941" s="3831"/>
      <c r="I941" s="810">
        <f t="shared" si="69"/>
        <v>0</v>
      </c>
      <c r="J941" s="811">
        <f t="shared" si="70"/>
        <v>0</v>
      </c>
      <c r="K941" s="3832"/>
      <c r="L941" s="3833"/>
      <c r="M941" s="3833"/>
      <c r="N941" s="3834"/>
      <c r="O941" s="820">
        <f t="shared" si="71"/>
        <v>0</v>
      </c>
    </row>
    <row r="942" spans="3:15" ht="18" hidden="1">
      <c r="C942" s="3859" t="str">
        <f>T('2 REPAIR ESTIMATOR'!D1018:O1018)</f>
        <v/>
      </c>
      <c r="D942" s="3859"/>
      <c r="E942" s="3859"/>
      <c r="F942" s="3859"/>
      <c r="G942" s="3831">
        <f>'2 REPAIR ESTIMATOR'!AQ1018</f>
        <v>0</v>
      </c>
      <c r="H942" s="3831"/>
      <c r="I942" s="810">
        <f t="shared" si="69"/>
        <v>0</v>
      </c>
      <c r="J942" s="811">
        <f t="shared" si="70"/>
        <v>0</v>
      </c>
      <c r="K942" s="3832"/>
      <c r="L942" s="3833"/>
      <c r="M942" s="3833"/>
      <c r="N942" s="3834"/>
      <c r="O942" s="820">
        <f t="shared" si="71"/>
        <v>0</v>
      </c>
    </row>
    <row r="943" spans="3:15" ht="18" hidden="1">
      <c r="C943" s="3859" t="str">
        <f>T('2 REPAIR ESTIMATOR'!D1019:O1019)</f>
        <v/>
      </c>
      <c r="D943" s="3859"/>
      <c r="E943" s="3859"/>
      <c r="F943" s="3859"/>
      <c r="G943" s="3831">
        <f>'2 REPAIR ESTIMATOR'!AQ1019</f>
        <v>0</v>
      </c>
      <c r="H943" s="3831"/>
      <c r="I943" s="810">
        <f t="shared" si="69"/>
        <v>0</v>
      </c>
      <c r="J943" s="811">
        <f t="shared" si="70"/>
        <v>0</v>
      </c>
      <c r="K943" s="3832"/>
      <c r="L943" s="3833"/>
      <c r="M943" s="3833"/>
      <c r="N943" s="3834"/>
      <c r="O943" s="820">
        <f t="shared" si="71"/>
        <v>0</v>
      </c>
    </row>
    <row r="944" spans="3:15" ht="18" hidden="1">
      <c r="C944" s="3859" t="str">
        <f>T('2 REPAIR ESTIMATOR'!D1020:O1020)</f>
        <v/>
      </c>
      <c r="D944" s="3859"/>
      <c r="E944" s="3859"/>
      <c r="F944" s="3859"/>
      <c r="G944" s="3831">
        <f>'2 REPAIR ESTIMATOR'!AQ1020</f>
        <v>0</v>
      </c>
      <c r="H944" s="3831"/>
      <c r="I944" s="810">
        <f t="shared" si="69"/>
        <v>0</v>
      </c>
      <c r="J944" s="811">
        <f t="shared" si="70"/>
        <v>0</v>
      </c>
      <c r="K944" s="3832"/>
      <c r="L944" s="3833"/>
      <c r="M944" s="3833"/>
      <c r="N944" s="3834"/>
      <c r="O944" s="820">
        <f t="shared" si="71"/>
        <v>0</v>
      </c>
    </row>
    <row r="945" spans="3:15" ht="18" hidden="1">
      <c r="C945" s="3859" t="str">
        <f>T('2 REPAIR ESTIMATOR'!D1021:O1021)</f>
        <v/>
      </c>
      <c r="D945" s="3859"/>
      <c r="E945" s="3859"/>
      <c r="F945" s="3859"/>
      <c r="G945" s="3831">
        <f>'2 REPAIR ESTIMATOR'!AQ1021</f>
        <v>0</v>
      </c>
      <c r="H945" s="3831"/>
      <c r="I945" s="810">
        <f t="shared" si="69"/>
        <v>0</v>
      </c>
      <c r="J945" s="811">
        <f t="shared" si="70"/>
        <v>0</v>
      </c>
      <c r="K945" s="3832"/>
      <c r="L945" s="3833"/>
      <c r="M945" s="3833"/>
      <c r="N945" s="3834"/>
      <c r="O945" s="820">
        <f t="shared" si="71"/>
        <v>0</v>
      </c>
    </row>
    <row r="946" spans="3:15" ht="18" hidden="1">
      <c r="C946" s="3859" t="str">
        <f>T('2 REPAIR ESTIMATOR'!D1022:O1022)</f>
        <v/>
      </c>
      <c r="D946" s="3859"/>
      <c r="E946" s="3859"/>
      <c r="F946" s="3859"/>
      <c r="G946" s="3831">
        <f>'2 REPAIR ESTIMATOR'!AQ1022</f>
        <v>0</v>
      </c>
      <c r="H946" s="3831"/>
      <c r="I946" s="810">
        <f t="shared" si="69"/>
        <v>0</v>
      </c>
      <c r="J946" s="811">
        <f t="shared" si="70"/>
        <v>0</v>
      </c>
      <c r="K946" s="3832"/>
      <c r="L946" s="3833"/>
      <c r="M946" s="3833"/>
      <c r="N946" s="3834"/>
      <c r="O946" s="820">
        <f t="shared" si="71"/>
        <v>0</v>
      </c>
    </row>
    <row r="947" spans="3:15" ht="18" hidden="1">
      <c r="C947" s="3859" t="str">
        <f>T('2 REPAIR ESTIMATOR'!D1023:O1023)</f>
        <v/>
      </c>
      <c r="D947" s="3859"/>
      <c r="E947" s="3859"/>
      <c r="F947" s="3859"/>
      <c r="G947" s="3831">
        <f>'2 REPAIR ESTIMATOR'!AQ1023</f>
        <v>0</v>
      </c>
      <c r="H947" s="3831"/>
      <c r="I947" s="810">
        <f t="shared" si="69"/>
        <v>0</v>
      </c>
      <c r="J947" s="811">
        <f t="shared" si="70"/>
        <v>0</v>
      </c>
      <c r="K947" s="3832"/>
      <c r="L947" s="3833"/>
      <c r="M947" s="3833"/>
      <c r="N947" s="3834"/>
      <c r="O947" s="820">
        <f t="shared" si="71"/>
        <v>0</v>
      </c>
    </row>
    <row r="948" spans="3:15" ht="18" hidden="1">
      <c r="C948" s="3859" t="str">
        <f>T('2 REPAIR ESTIMATOR'!D1024:O1024)</f>
        <v/>
      </c>
      <c r="D948" s="3859"/>
      <c r="E948" s="3859"/>
      <c r="F948" s="3859"/>
      <c r="G948" s="3831">
        <f>'2 REPAIR ESTIMATOR'!AQ1024</f>
        <v>0</v>
      </c>
      <c r="H948" s="3831"/>
      <c r="I948" s="810">
        <f t="shared" si="69"/>
        <v>0</v>
      </c>
      <c r="J948" s="811">
        <f t="shared" si="70"/>
        <v>0</v>
      </c>
      <c r="K948" s="3832"/>
      <c r="L948" s="3833"/>
      <c r="M948" s="3833"/>
      <c r="N948" s="3834"/>
      <c r="O948" s="820">
        <f t="shared" si="71"/>
        <v>0</v>
      </c>
    </row>
    <row r="949" spans="3:15" ht="18" hidden="1">
      <c r="C949" s="3859" t="str">
        <f>T('2 REPAIR ESTIMATOR'!D1025:O1025)</f>
        <v/>
      </c>
      <c r="D949" s="3859"/>
      <c r="E949" s="3859"/>
      <c r="F949" s="3859"/>
      <c r="G949" s="3831">
        <f>'2 REPAIR ESTIMATOR'!AQ1025</f>
        <v>0</v>
      </c>
      <c r="H949" s="3831"/>
      <c r="I949" s="810">
        <f t="shared" si="69"/>
        <v>0</v>
      </c>
      <c r="J949" s="811">
        <f t="shared" si="70"/>
        <v>0</v>
      </c>
      <c r="K949" s="3832"/>
      <c r="L949" s="3833"/>
      <c r="M949" s="3833"/>
      <c r="N949" s="3834"/>
      <c r="O949" s="820">
        <f t="shared" si="71"/>
        <v>0</v>
      </c>
    </row>
    <row r="950" spans="3:15" ht="18" hidden="1">
      <c r="C950" s="3859" t="str">
        <f>T('2 REPAIR ESTIMATOR'!D1026:O1026)</f>
        <v/>
      </c>
      <c r="D950" s="3859"/>
      <c r="E950" s="3859"/>
      <c r="F950" s="3859"/>
      <c r="G950" s="3831">
        <f>'2 REPAIR ESTIMATOR'!AQ1026</f>
        <v>0</v>
      </c>
      <c r="H950" s="3831"/>
      <c r="I950" s="810">
        <f t="shared" si="69"/>
        <v>0</v>
      </c>
      <c r="J950" s="811">
        <f t="shared" si="70"/>
        <v>0</v>
      </c>
      <c r="K950" s="3832"/>
      <c r="L950" s="3833"/>
      <c r="M950" s="3833"/>
      <c r="N950" s="3834"/>
      <c r="O950" s="820">
        <f t="shared" si="71"/>
        <v>0</v>
      </c>
    </row>
    <row r="951" spans="3:15" ht="18.350000000000001" hidden="1" thickBot="1">
      <c r="C951" s="3835" t="str">
        <f>T('2 REPAIR ESTIMATOR'!D1027:O1027)</f>
        <v/>
      </c>
      <c r="D951" s="3835"/>
      <c r="E951" s="3835"/>
      <c r="F951" s="3835"/>
      <c r="G951" s="3836">
        <f>'2 REPAIR ESTIMATOR'!AQ1027</f>
        <v>0</v>
      </c>
      <c r="H951" s="3836"/>
      <c r="I951" s="813">
        <f t="shared" si="69"/>
        <v>0</v>
      </c>
      <c r="J951" s="814">
        <f t="shared" si="70"/>
        <v>0</v>
      </c>
      <c r="K951" s="3837"/>
      <c r="L951" s="3838"/>
      <c r="M951" s="3838"/>
      <c r="N951" s="3839"/>
      <c r="O951" s="823">
        <f t="shared" si="71"/>
        <v>0</v>
      </c>
    </row>
    <row r="952" spans="3:15" ht="18.350000000000001" hidden="1" thickTop="1">
      <c r="C952" s="3825" t="str">
        <f>T('2 REPAIR ESTIMATOR'!AC1029)</f>
        <v>PLUMBING TOTAL</v>
      </c>
      <c r="D952" s="3825"/>
      <c r="E952" s="3825"/>
      <c r="F952" s="3825"/>
      <c r="G952" s="3826">
        <f>SUM(G912:H951)</f>
        <v>0</v>
      </c>
      <c r="H952" s="3826"/>
      <c r="I952" s="818">
        <f>SUM(I912:I951)</f>
        <v>0</v>
      </c>
      <c r="J952" s="819">
        <f>SUM(J912:J951)</f>
        <v>0</v>
      </c>
      <c r="K952" s="3827"/>
      <c r="L952" s="3828"/>
      <c r="M952" s="3828"/>
      <c r="N952" s="3829"/>
      <c r="O952" s="821">
        <f>SUM(O912:O951)</f>
        <v>0</v>
      </c>
    </row>
    <row r="953" spans="3:15" ht="8.85" hidden="1" customHeight="1">
      <c r="C953" s="836"/>
      <c r="D953" s="836"/>
      <c r="E953" s="836"/>
      <c r="F953" s="836"/>
      <c r="G953" s="837"/>
      <c r="H953" s="837"/>
      <c r="I953" s="837"/>
      <c r="J953" s="837"/>
      <c r="K953" s="837"/>
      <c r="L953" s="837"/>
      <c r="M953" s="837"/>
      <c r="N953" s="837"/>
      <c r="O953" s="822">
        <f>O952</f>
        <v>0</v>
      </c>
    </row>
    <row r="954" spans="3:15" ht="22.5" hidden="1" customHeight="1">
      <c r="C954" s="3840" t="str">
        <f>T('2 REPAIR ESTIMATOR'!D1032:O1032)</f>
        <v>HVAC</v>
      </c>
      <c r="D954" s="3840"/>
      <c r="E954" s="3840"/>
      <c r="F954" s="3841"/>
      <c r="G954" s="3845"/>
      <c r="H954" s="3846"/>
      <c r="I954" s="831"/>
      <c r="J954" s="831"/>
      <c r="K954" s="3844"/>
      <c r="L954" s="3844"/>
      <c r="M954" s="3844"/>
      <c r="N954" s="3845"/>
      <c r="O954" s="820">
        <f>SUM(O955:O994)</f>
        <v>0</v>
      </c>
    </row>
    <row r="955" spans="3:15" ht="18" hidden="1">
      <c r="C955" s="3859" t="str">
        <f>T('2 REPAIR ESTIMATOR'!D1033:O1033)</f>
        <v>HVAC, bid/allowance</v>
      </c>
      <c r="D955" s="3859"/>
      <c r="E955" s="3859"/>
      <c r="F955" s="3859"/>
      <c r="G955" s="3831">
        <f>'2 REPAIR ESTIMATOR'!AQ1033</f>
        <v>0</v>
      </c>
      <c r="H955" s="3831"/>
      <c r="I955" s="810">
        <f t="shared" ref="I955:I994" si="72">IFERROR(G955/Property_Size,0)</f>
        <v>0</v>
      </c>
      <c r="J955" s="811">
        <f t="shared" ref="J955:J994" si="73">IFERROR(G955/Total_Project_Costs_Result,0)</f>
        <v>0</v>
      </c>
      <c r="K955" s="3832"/>
      <c r="L955" s="3833"/>
      <c r="M955" s="3833"/>
      <c r="N955" s="3834"/>
      <c r="O955" s="820">
        <f>IF(G955&gt;0,1,0)</f>
        <v>0</v>
      </c>
    </row>
    <row r="956" spans="3:15" ht="18" hidden="1">
      <c r="C956" s="3859" t="str">
        <f>T('2 REPAIR ESTIMATOR'!D1034:O1034)</f>
        <v>HVAC Rough-In, per hour</v>
      </c>
      <c r="D956" s="3859"/>
      <c r="E956" s="3859"/>
      <c r="F956" s="3859"/>
      <c r="G956" s="3831">
        <f>'2 REPAIR ESTIMATOR'!AQ1034</f>
        <v>0</v>
      </c>
      <c r="H956" s="3831"/>
      <c r="I956" s="810">
        <f t="shared" si="72"/>
        <v>0</v>
      </c>
      <c r="J956" s="811">
        <f t="shared" si="73"/>
        <v>0</v>
      </c>
      <c r="K956" s="3832"/>
      <c r="L956" s="3833"/>
      <c r="M956" s="3833"/>
      <c r="N956" s="3834"/>
      <c r="O956" s="820">
        <f t="shared" ref="O956:O994" si="74">IF(G956&gt;0,1,0)</f>
        <v>0</v>
      </c>
    </row>
    <row r="957" spans="3:15" ht="18" hidden="1">
      <c r="C957" s="3859" t="str">
        <f>T('2 REPAIR ESTIMATOR'!D1035:O1035)</f>
        <v>HVAC Finish Work, per hour</v>
      </c>
      <c r="D957" s="3859"/>
      <c r="E957" s="3859"/>
      <c r="F957" s="3859"/>
      <c r="G957" s="3831">
        <f>'2 REPAIR ESTIMATOR'!AQ1035</f>
        <v>0</v>
      </c>
      <c r="H957" s="3831"/>
      <c r="I957" s="810">
        <f t="shared" si="72"/>
        <v>0</v>
      </c>
      <c r="J957" s="811">
        <f t="shared" si="73"/>
        <v>0</v>
      </c>
      <c r="K957" s="3832"/>
      <c r="L957" s="3833"/>
      <c r="M957" s="3833"/>
      <c r="N957" s="3834"/>
      <c r="O957" s="820">
        <f t="shared" si="74"/>
        <v>0</v>
      </c>
    </row>
    <row r="958" spans="3:15" ht="18" hidden="1">
      <c r="C958" s="3859" t="str">
        <f>T('2 REPAIR ESTIMATOR'!D1036:O1036)</f>
        <v>Replace gas fired forced air unit, 1000 sf, 60k btus</v>
      </c>
      <c r="D958" s="3859"/>
      <c r="E958" s="3859"/>
      <c r="F958" s="3859"/>
      <c r="G958" s="3831">
        <f>'2 REPAIR ESTIMATOR'!AQ1036</f>
        <v>0</v>
      </c>
      <c r="H958" s="3831"/>
      <c r="I958" s="810">
        <f t="shared" si="72"/>
        <v>0</v>
      </c>
      <c r="J958" s="811">
        <f t="shared" si="73"/>
        <v>0</v>
      </c>
      <c r="K958" s="3832"/>
      <c r="L958" s="3833"/>
      <c r="M958" s="3833"/>
      <c r="N958" s="3834"/>
      <c r="O958" s="820">
        <f t="shared" si="74"/>
        <v>0</v>
      </c>
    </row>
    <row r="959" spans="3:15" ht="18" hidden="1">
      <c r="C959" s="3859" t="str">
        <f>T('2 REPAIR ESTIMATOR'!D1037:O1037)</f>
        <v>Replace gas fired forced air unit, 2,000, 80k btus</v>
      </c>
      <c r="D959" s="3859"/>
      <c r="E959" s="3859"/>
      <c r="F959" s="3859"/>
      <c r="G959" s="3831">
        <f>'2 REPAIR ESTIMATOR'!AQ1037</f>
        <v>0</v>
      </c>
      <c r="H959" s="3831"/>
      <c r="I959" s="810">
        <f t="shared" si="72"/>
        <v>0</v>
      </c>
      <c r="J959" s="811">
        <f t="shared" si="73"/>
        <v>0</v>
      </c>
      <c r="K959" s="3832"/>
      <c r="L959" s="3833"/>
      <c r="M959" s="3833"/>
      <c r="N959" s="3834"/>
      <c r="O959" s="820">
        <f t="shared" si="74"/>
        <v>0</v>
      </c>
    </row>
    <row r="960" spans="3:15" ht="18" hidden="1">
      <c r="C960" s="3859" t="str">
        <f>T('2 REPAIR ESTIMATOR'!D1038:O1038)</f>
        <v>Replace gas fired forced air unit, 3,000, 100k btus</v>
      </c>
      <c r="D960" s="3859"/>
      <c r="E960" s="3859"/>
      <c r="F960" s="3859"/>
      <c r="G960" s="3831">
        <f>'2 REPAIR ESTIMATOR'!AQ1038</f>
        <v>0</v>
      </c>
      <c r="H960" s="3831"/>
      <c r="I960" s="810">
        <f t="shared" si="72"/>
        <v>0</v>
      </c>
      <c r="J960" s="811">
        <f t="shared" si="73"/>
        <v>0</v>
      </c>
      <c r="K960" s="3832"/>
      <c r="L960" s="3833"/>
      <c r="M960" s="3833"/>
      <c r="N960" s="3834"/>
      <c r="O960" s="820">
        <f t="shared" si="74"/>
        <v>0</v>
      </c>
    </row>
    <row r="961" spans="3:15" ht="18" hidden="1">
      <c r="C961" s="3859" t="str">
        <f>T('2 REPAIR ESTIMATOR'!D1039:O1039)</f>
        <v>Replace air conditioning unit, ~1,000 sf, 2 ton</v>
      </c>
      <c r="D961" s="3859"/>
      <c r="E961" s="3859"/>
      <c r="F961" s="3859"/>
      <c r="G961" s="3831">
        <f>'2 REPAIR ESTIMATOR'!AQ1039</f>
        <v>0</v>
      </c>
      <c r="H961" s="3831"/>
      <c r="I961" s="810">
        <f t="shared" si="72"/>
        <v>0</v>
      </c>
      <c r="J961" s="811">
        <f t="shared" si="73"/>
        <v>0</v>
      </c>
      <c r="K961" s="3832"/>
      <c r="L961" s="3833"/>
      <c r="M961" s="3833"/>
      <c r="N961" s="3834"/>
      <c r="O961" s="820">
        <f t="shared" si="74"/>
        <v>0</v>
      </c>
    </row>
    <row r="962" spans="3:15" ht="18" hidden="1">
      <c r="C962" s="3859" t="str">
        <f>T('2 REPAIR ESTIMATOR'!D1040:O1040)</f>
        <v>Replace air conditioning unit, ~2,000 sf, 3.5 ton</v>
      </c>
      <c r="D962" s="3859"/>
      <c r="E962" s="3859"/>
      <c r="F962" s="3859"/>
      <c r="G962" s="3831">
        <f>'2 REPAIR ESTIMATOR'!AQ1040</f>
        <v>0</v>
      </c>
      <c r="H962" s="3831"/>
      <c r="I962" s="810">
        <f t="shared" si="72"/>
        <v>0</v>
      </c>
      <c r="J962" s="811">
        <f t="shared" si="73"/>
        <v>0</v>
      </c>
      <c r="K962" s="3832"/>
      <c r="L962" s="3833"/>
      <c r="M962" s="3833"/>
      <c r="N962" s="3834"/>
      <c r="O962" s="820">
        <f t="shared" si="74"/>
        <v>0</v>
      </c>
    </row>
    <row r="963" spans="3:15" ht="18" hidden="1">
      <c r="C963" s="3859" t="str">
        <f>T('2 REPAIR ESTIMATOR'!D1041:O1041)</f>
        <v>Replace air conditioning unit, ~3,000sf, 5 ton</v>
      </c>
      <c r="D963" s="3859"/>
      <c r="E963" s="3859"/>
      <c r="F963" s="3859"/>
      <c r="G963" s="3831">
        <f>'2 REPAIR ESTIMATOR'!AQ1041</f>
        <v>0</v>
      </c>
      <c r="H963" s="3831"/>
      <c r="I963" s="810">
        <f t="shared" si="72"/>
        <v>0</v>
      </c>
      <c r="J963" s="811">
        <f t="shared" si="73"/>
        <v>0</v>
      </c>
      <c r="K963" s="3832"/>
      <c r="L963" s="3833"/>
      <c r="M963" s="3833"/>
      <c r="N963" s="3834"/>
      <c r="O963" s="820">
        <f t="shared" si="74"/>
        <v>0</v>
      </c>
    </row>
    <row r="964" spans="3:15" ht="18" hidden="1">
      <c r="C964" s="3859" t="str">
        <f>T('2 REPAIR ESTIMATOR'!D1042:O1042)</f>
        <v>Hotel type, hot/cold packaged unit</v>
      </c>
      <c r="D964" s="3859"/>
      <c r="E964" s="3859"/>
      <c r="F964" s="3859"/>
      <c r="G964" s="3831">
        <f>'2 REPAIR ESTIMATOR'!AQ1042</f>
        <v>0</v>
      </c>
      <c r="H964" s="3831"/>
      <c r="I964" s="810">
        <f t="shared" si="72"/>
        <v>0</v>
      </c>
      <c r="J964" s="811">
        <f t="shared" si="73"/>
        <v>0</v>
      </c>
      <c r="K964" s="3832"/>
      <c r="L964" s="3833"/>
      <c r="M964" s="3833"/>
      <c r="N964" s="3834"/>
      <c r="O964" s="820">
        <f t="shared" si="74"/>
        <v>0</v>
      </c>
    </row>
    <row r="965" spans="3:15" ht="18" hidden="1">
      <c r="C965" s="3859" t="str">
        <f>T('2 REPAIR ESTIMATOR'!D1043:O1043)</f>
        <v>Window mounted unit</v>
      </c>
      <c r="D965" s="3859"/>
      <c r="E965" s="3859"/>
      <c r="F965" s="3859"/>
      <c r="G965" s="3831">
        <f>'2 REPAIR ESTIMATOR'!AQ1043</f>
        <v>0</v>
      </c>
      <c r="H965" s="3831"/>
      <c r="I965" s="810">
        <f t="shared" si="72"/>
        <v>0</v>
      </c>
      <c r="J965" s="811">
        <f t="shared" si="73"/>
        <v>0</v>
      </c>
      <c r="K965" s="3832"/>
      <c r="L965" s="3833"/>
      <c r="M965" s="3833"/>
      <c r="N965" s="3834"/>
      <c r="O965" s="820">
        <f t="shared" si="74"/>
        <v>0</v>
      </c>
    </row>
    <row r="966" spans="3:15" ht="18" hidden="1">
      <c r="C966" s="3859" t="str">
        <f>T('2 REPAIR ESTIMATOR'!D1044:O1044)</f>
        <v>HVAC equipment tune-up/service call</v>
      </c>
      <c r="D966" s="3859"/>
      <c r="E966" s="3859"/>
      <c r="F966" s="3859"/>
      <c r="G966" s="3831">
        <f>'2 REPAIR ESTIMATOR'!AQ1044</f>
        <v>0</v>
      </c>
      <c r="H966" s="3831"/>
      <c r="I966" s="810">
        <f t="shared" si="72"/>
        <v>0</v>
      </c>
      <c r="J966" s="811">
        <f t="shared" si="73"/>
        <v>0</v>
      </c>
      <c r="K966" s="3832"/>
      <c r="L966" s="3833"/>
      <c r="M966" s="3833"/>
      <c r="N966" s="3834"/>
      <c r="O966" s="820">
        <f t="shared" si="74"/>
        <v>0</v>
      </c>
    </row>
    <row r="967" spans="3:15" ht="18" hidden="1">
      <c r="C967" s="3859" t="str">
        <f>T('2 REPAIR ESTIMATOR'!D1045:O1045)</f>
        <v>Programmable thermostat</v>
      </c>
      <c r="D967" s="3859"/>
      <c r="E967" s="3859"/>
      <c r="F967" s="3859"/>
      <c r="G967" s="3831">
        <f>'2 REPAIR ESTIMATOR'!AQ1045</f>
        <v>0</v>
      </c>
      <c r="H967" s="3831"/>
      <c r="I967" s="810">
        <f t="shared" si="72"/>
        <v>0</v>
      </c>
      <c r="J967" s="811">
        <f t="shared" si="73"/>
        <v>0</v>
      </c>
      <c r="K967" s="3832"/>
      <c r="L967" s="3833"/>
      <c r="M967" s="3833"/>
      <c r="N967" s="3834"/>
      <c r="O967" s="820">
        <f t="shared" si="74"/>
        <v>0</v>
      </c>
    </row>
    <row r="968" spans="3:15" ht="18" hidden="1">
      <c r="C968" s="3859" t="str">
        <f>T('2 REPAIR ESTIMATOR'!D1046:O1046)</f>
        <v>Replace supply air grilles/returns</v>
      </c>
      <c r="D968" s="3859"/>
      <c r="E968" s="3859"/>
      <c r="F968" s="3859"/>
      <c r="G968" s="3831">
        <f>'2 REPAIR ESTIMATOR'!AQ1046</f>
        <v>0</v>
      </c>
      <c r="H968" s="3831"/>
      <c r="I968" s="810">
        <f t="shared" si="72"/>
        <v>0</v>
      </c>
      <c r="J968" s="811">
        <f t="shared" si="73"/>
        <v>0</v>
      </c>
      <c r="K968" s="3832"/>
      <c r="L968" s="3833"/>
      <c r="M968" s="3833"/>
      <c r="N968" s="3834"/>
      <c r="O968" s="820">
        <f t="shared" si="74"/>
        <v>0</v>
      </c>
    </row>
    <row r="969" spans="3:15" ht="18" hidden="1">
      <c r="C969" s="3859" t="str">
        <f>T('2 REPAIR ESTIMATOR'!D1047:O1047)</f>
        <v>Clean ductwork</v>
      </c>
      <c r="D969" s="3859"/>
      <c r="E969" s="3859"/>
      <c r="F969" s="3859"/>
      <c r="G969" s="3831">
        <f>'2 REPAIR ESTIMATOR'!AQ1047</f>
        <v>0</v>
      </c>
      <c r="H969" s="3831"/>
      <c r="I969" s="810">
        <f t="shared" si="72"/>
        <v>0</v>
      </c>
      <c r="J969" s="811">
        <f t="shared" si="73"/>
        <v>0</v>
      </c>
      <c r="K969" s="3832"/>
      <c r="L969" s="3833"/>
      <c r="M969" s="3833"/>
      <c r="N969" s="3834"/>
      <c r="O969" s="820">
        <f t="shared" si="74"/>
        <v>0</v>
      </c>
    </row>
    <row r="970" spans="3:15" ht="18" hidden="1">
      <c r="C970" s="3859" t="str">
        <f>T('2 REPAIR ESTIMATOR'!D1048:O1048)</f>
        <v/>
      </c>
      <c r="D970" s="3859"/>
      <c r="E970" s="3859"/>
      <c r="F970" s="3859"/>
      <c r="G970" s="3831">
        <f>'2 REPAIR ESTIMATOR'!AQ1048</f>
        <v>0</v>
      </c>
      <c r="H970" s="3831"/>
      <c r="I970" s="810">
        <f t="shared" si="72"/>
        <v>0</v>
      </c>
      <c r="J970" s="811">
        <f t="shared" si="73"/>
        <v>0</v>
      </c>
      <c r="K970" s="3832"/>
      <c r="L970" s="3833"/>
      <c r="M970" s="3833"/>
      <c r="N970" s="3834"/>
      <c r="O970" s="820">
        <f t="shared" si="74"/>
        <v>0</v>
      </c>
    </row>
    <row r="971" spans="3:15" ht="18" hidden="1">
      <c r="C971" s="3859" t="str">
        <f>T('2 REPAIR ESTIMATOR'!D1049:O1049)</f>
        <v/>
      </c>
      <c r="D971" s="3859"/>
      <c r="E971" s="3859"/>
      <c r="F971" s="3859"/>
      <c r="G971" s="3831">
        <f>'2 REPAIR ESTIMATOR'!AQ1049</f>
        <v>0</v>
      </c>
      <c r="H971" s="3831"/>
      <c r="I971" s="810">
        <f t="shared" si="72"/>
        <v>0</v>
      </c>
      <c r="J971" s="811">
        <f t="shared" si="73"/>
        <v>0</v>
      </c>
      <c r="K971" s="3832"/>
      <c r="L971" s="3833"/>
      <c r="M971" s="3833"/>
      <c r="N971" s="3834"/>
      <c r="O971" s="820">
        <f t="shared" si="74"/>
        <v>0</v>
      </c>
    </row>
    <row r="972" spans="3:15" ht="18" hidden="1">
      <c r="C972" s="3859" t="str">
        <f>T('2 REPAIR ESTIMATOR'!D1050:O1050)</f>
        <v/>
      </c>
      <c r="D972" s="3859"/>
      <c r="E972" s="3859"/>
      <c r="F972" s="3859"/>
      <c r="G972" s="3831">
        <f>'2 REPAIR ESTIMATOR'!AQ1050</f>
        <v>0</v>
      </c>
      <c r="H972" s="3831"/>
      <c r="I972" s="810">
        <f t="shared" si="72"/>
        <v>0</v>
      </c>
      <c r="J972" s="811">
        <f t="shared" si="73"/>
        <v>0</v>
      </c>
      <c r="K972" s="3832"/>
      <c r="L972" s="3833"/>
      <c r="M972" s="3833"/>
      <c r="N972" s="3834"/>
      <c r="O972" s="820">
        <f t="shared" si="74"/>
        <v>0</v>
      </c>
    </row>
    <row r="973" spans="3:15" ht="18" hidden="1">
      <c r="C973" s="3859" t="str">
        <f>T('2 REPAIR ESTIMATOR'!D1051:O1051)</f>
        <v/>
      </c>
      <c r="D973" s="3859"/>
      <c r="E973" s="3859"/>
      <c r="F973" s="3859"/>
      <c r="G973" s="3831">
        <f>'2 REPAIR ESTIMATOR'!AQ1051</f>
        <v>0</v>
      </c>
      <c r="H973" s="3831"/>
      <c r="I973" s="810">
        <f t="shared" si="72"/>
        <v>0</v>
      </c>
      <c r="J973" s="811">
        <f t="shared" si="73"/>
        <v>0</v>
      </c>
      <c r="K973" s="3832"/>
      <c r="L973" s="3833"/>
      <c r="M973" s="3833"/>
      <c r="N973" s="3834"/>
      <c r="O973" s="820">
        <f t="shared" si="74"/>
        <v>0</v>
      </c>
    </row>
    <row r="974" spans="3:15" ht="18" hidden="1">
      <c r="C974" s="3859" t="str">
        <f>T('2 REPAIR ESTIMATOR'!D1052:O1052)</f>
        <v/>
      </c>
      <c r="D974" s="3859"/>
      <c r="E974" s="3859"/>
      <c r="F974" s="3859"/>
      <c r="G974" s="3831">
        <f>'2 REPAIR ESTIMATOR'!AQ1052</f>
        <v>0</v>
      </c>
      <c r="H974" s="3831"/>
      <c r="I974" s="810">
        <f t="shared" si="72"/>
        <v>0</v>
      </c>
      <c r="J974" s="811">
        <f t="shared" si="73"/>
        <v>0</v>
      </c>
      <c r="K974" s="3832"/>
      <c r="L974" s="3833"/>
      <c r="M974" s="3833"/>
      <c r="N974" s="3834"/>
      <c r="O974" s="820">
        <f t="shared" si="74"/>
        <v>0</v>
      </c>
    </row>
    <row r="975" spans="3:15" ht="18" hidden="1">
      <c r="C975" s="3859" t="str">
        <f>T('2 REPAIR ESTIMATOR'!D1053:O1053)</f>
        <v/>
      </c>
      <c r="D975" s="3859"/>
      <c r="E975" s="3859"/>
      <c r="F975" s="3859"/>
      <c r="G975" s="3831">
        <f>'2 REPAIR ESTIMATOR'!AQ1053</f>
        <v>0</v>
      </c>
      <c r="H975" s="3831"/>
      <c r="I975" s="810">
        <f t="shared" si="72"/>
        <v>0</v>
      </c>
      <c r="J975" s="811">
        <f t="shared" si="73"/>
        <v>0</v>
      </c>
      <c r="K975" s="3832"/>
      <c r="L975" s="3833"/>
      <c r="M975" s="3833"/>
      <c r="N975" s="3834"/>
      <c r="O975" s="820">
        <f t="shared" si="74"/>
        <v>0</v>
      </c>
    </row>
    <row r="976" spans="3:15" ht="18" hidden="1">
      <c r="C976" s="3859" t="str">
        <f>T('2 REPAIR ESTIMATOR'!D1054:O1054)</f>
        <v/>
      </c>
      <c r="D976" s="3859"/>
      <c r="E976" s="3859"/>
      <c r="F976" s="3859"/>
      <c r="G976" s="3831">
        <f>'2 REPAIR ESTIMATOR'!AQ1054</f>
        <v>0</v>
      </c>
      <c r="H976" s="3831"/>
      <c r="I976" s="810">
        <f t="shared" si="72"/>
        <v>0</v>
      </c>
      <c r="J976" s="811">
        <f t="shared" si="73"/>
        <v>0</v>
      </c>
      <c r="K976" s="3832"/>
      <c r="L976" s="3833"/>
      <c r="M976" s="3833"/>
      <c r="N976" s="3834"/>
      <c r="O976" s="820">
        <f t="shared" si="74"/>
        <v>0</v>
      </c>
    </row>
    <row r="977" spans="3:15" ht="18" hidden="1">
      <c r="C977" s="3859" t="str">
        <f>T('2 REPAIR ESTIMATOR'!D1055:O1055)</f>
        <v/>
      </c>
      <c r="D977" s="3859"/>
      <c r="E977" s="3859"/>
      <c r="F977" s="3859"/>
      <c r="G977" s="3831">
        <f>'2 REPAIR ESTIMATOR'!AQ1055</f>
        <v>0</v>
      </c>
      <c r="H977" s="3831"/>
      <c r="I977" s="810">
        <f t="shared" si="72"/>
        <v>0</v>
      </c>
      <c r="J977" s="811">
        <f t="shared" si="73"/>
        <v>0</v>
      </c>
      <c r="K977" s="3832"/>
      <c r="L977" s="3833"/>
      <c r="M977" s="3833"/>
      <c r="N977" s="3834"/>
      <c r="O977" s="820">
        <f t="shared" si="74"/>
        <v>0</v>
      </c>
    </row>
    <row r="978" spans="3:15" ht="18" hidden="1">
      <c r="C978" s="3859" t="str">
        <f>T('2 REPAIR ESTIMATOR'!D1056:O1056)</f>
        <v/>
      </c>
      <c r="D978" s="3859"/>
      <c r="E978" s="3859"/>
      <c r="F978" s="3859"/>
      <c r="G978" s="3831">
        <f>'2 REPAIR ESTIMATOR'!AQ1056</f>
        <v>0</v>
      </c>
      <c r="H978" s="3831"/>
      <c r="I978" s="810">
        <f t="shared" si="72"/>
        <v>0</v>
      </c>
      <c r="J978" s="811">
        <f t="shared" si="73"/>
        <v>0</v>
      </c>
      <c r="K978" s="3832"/>
      <c r="L978" s="3833"/>
      <c r="M978" s="3833"/>
      <c r="N978" s="3834"/>
      <c r="O978" s="820">
        <f t="shared" si="74"/>
        <v>0</v>
      </c>
    </row>
    <row r="979" spans="3:15" ht="18" hidden="1">
      <c r="C979" s="3859" t="str">
        <f>T('2 REPAIR ESTIMATOR'!D1057:O1057)</f>
        <v/>
      </c>
      <c r="D979" s="3859"/>
      <c r="E979" s="3859"/>
      <c r="F979" s="3859"/>
      <c r="G979" s="3831">
        <f>'2 REPAIR ESTIMATOR'!AQ1057</f>
        <v>0</v>
      </c>
      <c r="H979" s="3831"/>
      <c r="I979" s="810">
        <f t="shared" si="72"/>
        <v>0</v>
      </c>
      <c r="J979" s="811">
        <f t="shared" si="73"/>
        <v>0</v>
      </c>
      <c r="K979" s="3832"/>
      <c r="L979" s="3833"/>
      <c r="M979" s="3833"/>
      <c r="N979" s="3834"/>
      <c r="O979" s="820">
        <f t="shared" si="74"/>
        <v>0</v>
      </c>
    </row>
    <row r="980" spans="3:15" ht="18" hidden="1">
      <c r="C980" s="3859" t="str">
        <f>T('2 REPAIR ESTIMATOR'!D1058:O1058)</f>
        <v/>
      </c>
      <c r="D980" s="3859"/>
      <c r="E980" s="3859"/>
      <c r="F980" s="3859"/>
      <c r="G980" s="3831">
        <f>'2 REPAIR ESTIMATOR'!AQ1058</f>
        <v>0</v>
      </c>
      <c r="H980" s="3831"/>
      <c r="I980" s="810">
        <f t="shared" si="72"/>
        <v>0</v>
      </c>
      <c r="J980" s="811">
        <f t="shared" si="73"/>
        <v>0</v>
      </c>
      <c r="K980" s="3832"/>
      <c r="L980" s="3833"/>
      <c r="M980" s="3833"/>
      <c r="N980" s="3834"/>
      <c r="O980" s="820">
        <f t="shared" si="74"/>
        <v>0</v>
      </c>
    </row>
    <row r="981" spans="3:15" ht="18" hidden="1">
      <c r="C981" s="3859" t="str">
        <f>T('2 REPAIR ESTIMATOR'!D1059:O1059)</f>
        <v/>
      </c>
      <c r="D981" s="3859"/>
      <c r="E981" s="3859"/>
      <c r="F981" s="3859"/>
      <c r="G981" s="3831">
        <f>'2 REPAIR ESTIMATOR'!AQ1059</f>
        <v>0</v>
      </c>
      <c r="H981" s="3831"/>
      <c r="I981" s="810">
        <f t="shared" si="72"/>
        <v>0</v>
      </c>
      <c r="J981" s="811">
        <f t="shared" si="73"/>
        <v>0</v>
      </c>
      <c r="K981" s="3832"/>
      <c r="L981" s="3833"/>
      <c r="M981" s="3833"/>
      <c r="N981" s="3834"/>
      <c r="O981" s="820">
        <f t="shared" si="74"/>
        <v>0</v>
      </c>
    </row>
    <row r="982" spans="3:15" ht="18" hidden="1">
      <c r="C982" s="3859" t="str">
        <f>T('2 REPAIR ESTIMATOR'!D1060:O1060)</f>
        <v/>
      </c>
      <c r="D982" s="3859"/>
      <c r="E982" s="3859"/>
      <c r="F982" s="3859"/>
      <c r="G982" s="3831">
        <f>'2 REPAIR ESTIMATOR'!AQ1060</f>
        <v>0</v>
      </c>
      <c r="H982" s="3831"/>
      <c r="I982" s="810">
        <f t="shared" si="72"/>
        <v>0</v>
      </c>
      <c r="J982" s="811">
        <f t="shared" si="73"/>
        <v>0</v>
      </c>
      <c r="K982" s="3832"/>
      <c r="L982" s="3833"/>
      <c r="M982" s="3833"/>
      <c r="N982" s="3834"/>
      <c r="O982" s="820">
        <f t="shared" si="74"/>
        <v>0</v>
      </c>
    </row>
    <row r="983" spans="3:15" ht="18" hidden="1">
      <c r="C983" s="3859" t="str">
        <f>T('2 REPAIR ESTIMATOR'!D1061:O1061)</f>
        <v/>
      </c>
      <c r="D983" s="3859"/>
      <c r="E983" s="3859"/>
      <c r="F983" s="3859"/>
      <c r="G983" s="3831">
        <f>'2 REPAIR ESTIMATOR'!AQ1061</f>
        <v>0</v>
      </c>
      <c r="H983" s="3831"/>
      <c r="I983" s="810">
        <f t="shared" si="72"/>
        <v>0</v>
      </c>
      <c r="J983" s="811">
        <f t="shared" si="73"/>
        <v>0</v>
      </c>
      <c r="K983" s="3832"/>
      <c r="L983" s="3833"/>
      <c r="M983" s="3833"/>
      <c r="N983" s="3834"/>
      <c r="O983" s="820">
        <f t="shared" si="74"/>
        <v>0</v>
      </c>
    </row>
    <row r="984" spans="3:15" ht="18" hidden="1">
      <c r="C984" s="3859" t="str">
        <f>T('2 REPAIR ESTIMATOR'!D1062:O1062)</f>
        <v/>
      </c>
      <c r="D984" s="3859"/>
      <c r="E984" s="3859"/>
      <c r="F984" s="3859"/>
      <c r="G984" s="3831">
        <f>'2 REPAIR ESTIMATOR'!AQ1062</f>
        <v>0</v>
      </c>
      <c r="H984" s="3831"/>
      <c r="I984" s="810">
        <f t="shared" si="72"/>
        <v>0</v>
      </c>
      <c r="J984" s="811">
        <f t="shared" si="73"/>
        <v>0</v>
      </c>
      <c r="K984" s="3832"/>
      <c r="L984" s="3833"/>
      <c r="M984" s="3833"/>
      <c r="N984" s="3834"/>
      <c r="O984" s="820">
        <f t="shared" si="74"/>
        <v>0</v>
      </c>
    </row>
    <row r="985" spans="3:15" ht="18" hidden="1">
      <c r="C985" s="3859" t="str">
        <f>T('2 REPAIR ESTIMATOR'!D1063:O1063)</f>
        <v/>
      </c>
      <c r="D985" s="3859"/>
      <c r="E985" s="3859"/>
      <c r="F985" s="3859"/>
      <c r="G985" s="3831">
        <f>'2 REPAIR ESTIMATOR'!AQ1063</f>
        <v>0</v>
      </c>
      <c r="H985" s="3831"/>
      <c r="I985" s="810">
        <f t="shared" si="72"/>
        <v>0</v>
      </c>
      <c r="J985" s="811">
        <f t="shared" si="73"/>
        <v>0</v>
      </c>
      <c r="K985" s="3832"/>
      <c r="L985" s="3833"/>
      <c r="M985" s="3833"/>
      <c r="N985" s="3834"/>
      <c r="O985" s="820">
        <f t="shared" si="74"/>
        <v>0</v>
      </c>
    </row>
    <row r="986" spans="3:15" ht="18" hidden="1">
      <c r="C986" s="3859" t="str">
        <f>T('2 REPAIR ESTIMATOR'!D1064:O1064)</f>
        <v/>
      </c>
      <c r="D986" s="3859"/>
      <c r="E986" s="3859"/>
      <c r="F986" s="3859"/>
      <c r="G986" s="3831">
        <f>'2 REPAIR ESTIMATOR'!AQ1064</f>
        <v>0</v>
      </c>
      <c r="H986" s="3831"/>
      <c r="I986" s="810">
        <f t="shared" si="72"/>
        <v>0</v>
      </c>
      <c r="J986" s="811">
        <f t="shared" si="73"/>
        <v>0</v>
      </c>
      <c r="K986" s="3832"/>
      <c r="L986" s="3833"/>
      <c r="M986" s="3833"/>
      <c r="N986" s="3834"/>
      <c r="O986" s="820">
        <f t="shared" si="74"/>
        <v>0</v>
      </c>
    </row>
    <row r="987" spans="3:15" ht="18" hidden="1">
      <c r="C987" s="3859" t="str">
        <f>T('2 REPAIR ESTIMATOR'!D1065:O1065)</f>
        <v/>
      </c>
      <c r="D987" s="3859"/>
      <c r="E987" s="3859"/>
      <c r="F987" s="3859"/>
      <c r="G987" s="3831">
        <f>'2 REPAIR ESTIMATOR'!AQ1065</f>
        <v>0</v>
      </c>
      <c r="H987" s="3831"/>
      <c r="I987" s="810">
        <f t="shared" si="72"/>
        <v>0</v>
      </c>
      <c r="J987" s="811">
        <f t="shared" si="73"/>
        <v>0</v>
      </c>
      <c r="K987" s="3832"/>
      <c r="L987" s="3833"/>
      <c r="M987" s="3833"/>
      <c r="N987" s="3834"/>
      <c r="O987" s="820">
        <f t="shared" si="74"/>
        <v>0</v>
      </c>
    </row>
    <row r="988" spans="3:15" ht="18" hidden="1">
      <c r="C988" s="3859" t="str">
        <f>T('2 REPAIR ESTIMATOR'!D1066:O1066)</f>
        <v/>
      </c>
      <c r="D988" s="3859"/>
      <c r="E988" s="3859"/>
      <c r="F988" s="3859"/>
      <c r="G988" s="3831">
        <f>'2 REPAIR ESTIMATOR'!AQ1066</f>
        <v>0</v>
      </c>
      <c r="H988" s="3831"/>
      <c r="I988" s="810">
        <f t="shared" si="72"/>
        <v>0</v>
      </c>
      <c r="J988" s="811">
        <f t="shared" si="73"/>
        <v>0</v>
      </c>
      <c r="K988" s="3832"/>
      <c r="L988" s="3833"/>
      <c r="M988" s="3833"/>
      <c r="N988" s="3834"/>
      <c r="O988" s="820">
        <f t="shared" si="74"/>
        <v>0</v>
      </c>
    </row>
    <row r="989" spans="3:15" ht="18" hidden="1">
      <c r="C989" s="3859" t="str">
        <f>T('2 REPAIR ESTIMATOR'!D1067:O1067)</f>
        <v/>
      </c>
      <c r="D989" s="3859"/>
      <c r="E989" s="3859"/>
      <c r="F989" s="3859"/>
      <c r="G989" s="3831">
        <f>'2 REPAIR ESTIMATOR'!AQ1067</f>
        <v>0</v>
      </c>
      <c r="H989" s="3831"/>
      <c r="I989" s="810">
        <f t="shared" si="72"/>
        <v>0</v>
      </c>
      <c r="J989" s="811">
        <f t="shared" si="73"/>
        <v>0</v>
      </c>
      <c r="K989" s="3832"/>
      <c r="L989" s="3833"/>
      <c r="M989" s="3833"/>
      <c r="N989" s="3834"/>
      <c r="O989" s="820">
        <f t="shared" si="74"/>
        <v>0</v>
      </c>
    </row>
    <row r="990" spans="3:15" ht="18" hidden="1">
      <c r="C990" s="3859" t="str">
        <f>T('2 REPAIR ESTIMATOR'!D1068:O1068)</f>
        <v/>
      </c>
      <c r="D990" s="3859"/>
      <c r="E990" s="3859"/>
      <c r="F990" s="3859"/>
      <c r="G990" s="3831">
        <f>'2 REPAIR ESTIMATOR'!AQ1068</f>
        <v>0</v>
      </c>
      <c r="H990" s="3831"/>
      <c r="I990" s="810">
        <f t="shared" si="72"/>
        <v>0</v>
      </c>
      <c r="J990" s="811">
        <f t="shared" si="73"/>
        <v>0</v>
      </c>
      <c r="K990" s="3832"/>
      <c r="L990" s="3833"/>
      <c r="M990" s="3833"/>
      <c r="N990" s="3834"/>
      <c r="O990" s="820">
        <f t="shared" si="74"/>
        <v>0</v>
      </c>
    </row>
    <row r="991" spans="3:15" ht="18" hidden="1">
      <c r="C991" s="3859" t="str">
        <f>T('2 REPAIR ESTIMATOR'!D1069:O1069)</f>
        <v/>
      </c>
      <c r="D991" s="3859"/>
      <c r="E991" s="3859"/>
      <c r="F991" s="3859"/>
      <c r="G991" s="3831">
        <f>'2 REPAIR ESTIMATOR'!AQ1069</f>
        <v>0</v>
      </c>
      <c r="H991" s="3831"/>
      <c r="I991" s="810">
        <f t="shared" si="72"/>
        <v>0</v>
      </c>
      <c r="J991" s="811">
        <f t="shared" si="73"/>
        <v>0</v>
      </c>
      <c r="K991" s="3832"/>
      <c r="L991" s="3833"/>
      <c r="M991" s="3833"/>
      <c r="N991" s="3834"/>
      <c r="O991" s="820">
        <f t="shared" si="74"/>
        <v>0</v>
      </c>
    </row>
    <row r="992" spans="3:15" ht="18" hidden="1">
      <c r="C992" s="3859" t="str">
        <f>T('2 REPAIR ESTIMATOR'!D1070:O1070)</f>
        <v/>
      </c>
      <c r="D992" s="3859"/>
      <c r="E992" s="3859"/>
      <c r="F992" s="3859"/>
      <c r="G992" s="3831">
        <f>'2 REPAIR ESTIMATOR'!AQ1070</f>
        <v>0</v>
      </c>
      <c r="H992" s="3831"/>
      <c r="I992" s="810">
        <f t="shared" si="72"/>
        <v>0</v>
      </c>
      <c r="J992" s="811">
        <f t="shared" si="73"/>
        <v>0</v>
      </c>
      <c r="K992" s="3832"/>
      <c r="L992" s="3833"/>
      <c r="M992" s="3833"/>
      <c r="N992" s="3834"/>
      <c r="O992" s="820">
        <f t="shared" si="74"/>
        <v>0</v>
      </c>
    </row>
    <row r="993" spans="3:15" ht="18" hidden="1">
      <c r="C993" s="3859" t="str">
        <f>T('2 REPAIR ESTIMATOR'!D1071:O1071)</f>
        <v/>
      </c>
      <c r="D993" s="3859"/>
      <c r="E993" s="3859"/>
      <c r="F993" s="3859"/>
      <c r="G993" s="3831">
        <f>'2 REPAIR ESTIMATOR'!AQ1071</f>
        <v>0</v>
      </c>
      <c r="H993" s="3831"/>
      <c r="I993" s="810">
        <f t="shared" si="72"/>
        <v>0</v>
      </c>
      <c r="J993" s="811">
        <f t="shared" si="73"/>
        <v>0</v>
      </c>
      <c r="K993" s="3832"/>
      <c r="L993" s="3833"/>
      <c r="M993" s="3833"/>
      <c r="N993" s="3834"/>
      <c r="O993" s="820">
        <f t="shared" si="74"/>
        <v>0</v>
      </c>
    </row>
    <row r="994" spans="3:15" ht="18.350000000000001" hidden="1" thickBot="1">
      <c r="C994" s="3835" t="str">
        <f>T('2 REPAIR ESTIMATOR'!D1072:O1072)</f>
        <v/>
      </c>
      <c r="D994" s="3835"/>
      <c r="E994" s="3835"/>
      <c r="F994" s="3835"/>
      <c r="G994" s="3836">
        <f>'2 REPAIR ESTIMATOR'!AQ1072</f>
        <v>0</v>
      </c>
      <c r="H994" s="3836"/>
      <c r="I994" s="813">
        <f t="shared" si="72"/>
        <v>0</v>
      </c>
      <c r="J994" s="814">
        <f t="shared" si="73"/>
        <v>0</v>
      </c>
      <c r="K994" s="3837"/>
      <c r="L994" s="3838"/>
      <c r="M994" s="3838"/>
      <c r="N994" s="3839"/>
      <c r="O994" s="823">
        <f t="shared" si="74"/>
        <v>0</v>
      </c>
    </row>
    <row r="995" spans="3:15" ht="18.350000000000001" hidden="1" thickTop="1">
      <c r="C995" s="3825" t="str">
        <f>T('2 REPAIR ESTIMATOR'!AC1074)</f>
        <v>HVAC TOTAL</v>
      </c>
      <c r="D995" s="3825"/>
      <c r="E995" s="3825"/>
      <c r="F995" s="3825"/>
      <c r="G995" s="3826">
        <f>SUM(G955:H994)</f>
        <v>0</v>
      </c>
      <c r="H995" s="3826"/>
      <c r="I995" s="818">
        <f>SUM(I955:I994)</f>
        <v>0</v>
      </c>
      <c r="J995" s="819">
        <f>SUM(J955:J994)</f>
        <v>0</v>
      </c>
      <c r="K995" s="3827"/>
      <c r="L995" s="3828"/>
      <c r="M995" s="3828"/>
      <c r="N995" s="3829"/>
      <c r="O995" s="821">
        <f>SUM(O955:O994)</f>
        <v>0</v>
      </c>
    </row>
    <row r="996" spans="3:15" ht="8.85" hidden="1" customHeight="1">
      <c r="C996" s="836"/>
      <c r="D996" s="836"/>
      <c r="E996" s="836"/>
      <c r="F996" s="836"/>
      <c r="G996" s="837"/>
      <c r="H996" s="837"/>
      <c r="I996" s="837"/>
      <c r="J996" s="837"/>
      <c r="K996" s="837"/>
      <c r="L996" s="837"/>
      <c r="M996" s="837"/>
      <c r="N996" s="837"/>
      <c r="O996" s="822">
        <f>O995</f>
        <v>0</v>
      </c>
    </row>
    <row r="997" spans="3:15" ht="22.5" hidden="1" customHeight="1">
      <c r="C997" s="3840" t="str">
        <f>T('2 REPAIR ESTIMATOR'!D1077:O1077)</f>
        <v>ELECTRICAL</v>
      </c>
      <c r="D997" s="3840"/>
      <c r="E997" s="3840"/>
      <c r="F997" s="3841"/>
      <c r="G997" s="3845"/>
      <c r="H997" s="3846"/>
      <c r="I997" s="831"/>
      <c r="J997" s="831"/>
      <c r="K997" s="3844"/>
      <c r="L997" s="3844"/>
      <c r="M997" s="3844"/>
      <c r="N997" s="3845"/>
      <c r="O997" s="820">
        <f>SUM(O998:O1037)</f>
        <v>0</v>
      </c>
    </row>
    <row r="998" spans="3:15" ht="18" hidden="1">
      <c r="C998" s="3859" t="str">
        <f>T('2 REPAIR ESTIMATOR'!D1078:O1078)</f>
        <v>Electrical, bid/allowance</v>
      </c>
      <c r="D998" s="3859"/>
      <c r="E998" s="3859"/>
      <c r="F998" s="3859"/>
      <c r="G998" s="3831">
        <f>'2 REPAIR ESTIMATOR'!AQ1078</f>
        <v>0</v>
      </c>
      <c r="H998" s="3831"/>
      <c r="I998" s="810">
        <f t="shared" ref="I998:I1037" si="75">IFERROR(G998/Property_Size,0)</f>
        <v>0</v>
      </c>
      <c r="J998" s="811">
        <f t="shared" ref="J998:J1037" si="76">IFERROR(G998/Total_Project_Costs_Result,0)</f>
        <v>0</v>
      </c>
      <c r="K998" s="3832"/>
      <c r="L998" s="3833"/>
      <c r="M998" s="3833"/>
      <c r="N998" s="3834"/>
      <c r="O998" s="820">
        <f>IF(G998&gt;0,1,0)</f>
        <v>0</v>
      </c>
    </row>
    <row r="999" spans="3:15" ht="18" hidden="1">
      <c r="C999" s="3858" t="str">
        <f>T('2 REPAIR ESTIMATOR'!D1079:O1079)</f>
        <v xml:space="preserve">Miscellaneous Electrical </v>
      </c>
      <c r="D999" s="3858"/>
      <c r="E999" s="3858"/>
      <c r="F999" s="3858"/>
      <c r="G999" s="3831">
        <f>'2 REPAIR ESTIMATOR'!AQ1079</f>
        <v>0</v>
      </c>
      <c r="H999" s="3831"/>
      <c r="I999" s="810">
        <f t="shared" si="75"/>
        <v>0</v>
      </c>
      <c r="J999" s="811">
        <f t="shared" si="76"/>
        <v>0</v>
      </c>
      <c r="K999" s="3832"/>
      <c r="L999" s="3833"/>
      <c r="M999" s="3833"/>
      <c r="N999" s="3834"/>
      <c r="O999" s="820">
        <f t="shared" ref="O999:O1037" si="77">IF(G999&gt;0,1,0)</f>
        <v>0</v>
      </c>
    </row>
    <row r="1000" spans="3:15" ht="18" hidden="1">
      <c r="C1000" s="3859" t="str">
        <f>T('2 REPAIR ESTIMATOR'!D1080:O1080)</f>
        <v>Electrical Rough-in, per hour</v>
      </c>
      <c r="D1000" s="3859"/>
      <c r="E1000" s="3859"/>
      <c r="F1000" s="3859"/>
      <c r="G1000" s="3831">
        <f>'2 REPAIR ESTIMATOR'!AQ1080</f>
        <v>0</v>
      </c>
      <c r="H1000" s="3831"/>
      <c r="I1000" s="810">
        <f t="shared" si="75"/>
        <v>0</v>
      </c>
      <c r="J1000" s="811">
        <f t="shared" si="76"/>
        <v>0</v>
      </c>
      <c r="K1000" s="3832"/>
      <c r="L1000" s="3833"/>
      <c r="M1000" s="3833"/>
      <c r="N1000" s="3834"/>
      <c r="O1000" s="820">
        <f t="shared" si="77"/>
        <v>0</v>
      </c>
    </row>
    <row r="1001" spans="3:15" ht="18" hidden="1">
      <c r="C1001" s="3859" t="str">
        <f>T('2 REPAIR ESTIMATOR'!D1081:O1081)</f>
        <v>CATV Rough-in, per hour</v>
      </c>
      <c r="D1001" s="3859"/>
      <c r="E1001" s="3859"/>
      <c r="F1001" s="3859"/>
      <c r="G1001" s="3831">
        <f>'2 REPAIR ESTIMATOR'!AQ1081</f>
        <v>0</v>
      </c>
      <c r="H1001" s="3831"/>
      <c r="I1001" s="810">
        <f t="shared" si="75"/>
        <v>0</v>
      </c>
      <c r="J1001" s="811">
        <f t="shared" si="76"/>
        <v>0</v>
      </c>
      <c r="K1001" s="3832"/>
      <c r="L1001" s="3833"/>
      <c r="M1001" s="3833"/>
      <c r="N1001" s="3834"/>
      <c r="O1001" s="820">
        <f t="shared" si="77"/>
        <v>0</v>
      </c>
    </row>
    <row r="1002" spans="3:15" ht="18" hidden="1">
      <c r="C1002" s="3859" t="str">
        <f>T('2 REPAIR ESTIMATOR'!D1082:O1082)</f>
        <v>Electrical Finish Work, per hour</v>
      </c>
      <c r="D1002" s="3859"/>
      <c r="E1002" s="3859"/>
      <c r="F1002" s="3859"/>
      <c r="G1002" s="3831">
        <f>'2 REPAIR ESTIMATOR'!AQ1082</f>
        <v>0</v>
      </c>
      <c r="H1002" s="3831"/>
      <c r="I1002" s="810">
        <f t="shared" si="75"/>
        <v>0</v>
      </c>
      <c r="J1002" s="811">
        <f t="shared" si="76"/>
        <v>0</v>
      </c>
      <c r="K1002" s="3832"/>
      <c r="L1002" s="3833"/>
      <c r="M1002" s="3833"/>
      <c r="N1002" s="3834"/>
      <c r="O1002" s="820">
        <f t="shared" si="77"/>
        <v>0</v>
      </c>
    </row>
    <row r="1003" spans="3:15" ht="18" hidden="1">
      <c r="C1003" s="3859" t="str">
        <f>T('2 REPAIR ESTIMATOR'!D1083:O1083)</f>
        <v>Replace electrical panel, 100 AMP</v>
      </c>
      <c r="D1003" s="3859"/>
      <c r="E1003" s="3859"/>
      <c r="F1003" s="3859"/>
      <c r="G1003" s="3831">
        <f>'2 REPAIR ESTIMATOR'!AQ1083</f>
        <v>0</v>
      </c>
      <c r="H1003" s="3831"/>
      <c r="I1003" s="810">
        <f t="shared" si="75"/>
        <v>0</v>
      </c>
      <c r="J1003" s="811">
        <f t="shared" si="76"/>
        <v>0</v>
      </c>
      <c r="K1003" s="3832"/>
      <c r="L1003" s="3833"/>
      <c r="M1003" s="3833"/>
      <c r="N1003" s="3834"/>
      <c r="O1003" s="820">
        <f t="shared" si="77"/>
        <v>0</v>
      </c>
    </row>
    <row r="1004" spans="3:15" ht="18" hidden="1">
      <c r="C1004" s="3859" t="str">
        <f>T('2 REPAIR ESTIMATOR'!D1084:O1084)</f>
        <v>Replace electrical panel, 200 AMP</v>
      </c>
      <c r="D1004" s="3859"/>
      <c r="E1004" s="3859"/>
      <c r="F1004" s="3859"/>
      <c r="G1004" s="3831">
        <f>'2 REPAIR ESTIMATOR'!AQ1084</f>
        <v>0</v>
      </c>
      <c r="H1004" s="3831"/>
      <c r="I1004" s="810">
        <f t="shared" si="75"/>
        <v>0</v>
      </c>
      <c r="J1004" s="811">
        <f t="shared" si="76"/>
        <v>0</v>
      </c>
      <c r="K1004" s="3832"/>
      <c r="L1004" s="3833"/>
      <c r="M1004" s="3833"/>
      <c r="N1004" s="3834"/>
      <c r="O1004" s="820">
        <f t="shared" si="77"/>
        <v>0</v>
      </c>
    </row>
    <row r="1005" spans="3:15" ht="18" hidden="1">
      <c r="C1005" s="3859" t="str">
        <f>T('2 REPAIR ESTIMATOR'!D1085:O1085)</f>
        <v>Replace outlets, light switches</v>
      </c>
      <c r="D1005" s="3859"/>
      <c r="E1005" s="3859"/>
      <c r="F1005" s="3859"/>
      <c r="G1005" s="3831">
        <f>'2 REPAIR ESTIMATOR'!AQ1085</f>
        <v>0</v>
      </c>
      <c r="H1005" s="3831"/>
      <c r="I1005" s="810">
        <f t="shared" si="75"/>
        <v>0</v>
      </c>
      <c r="J1005" s="811">
        <f t="shared" si="76"/>
        <v>0</v>
      </c>
      <c r="K1005" s="3832"/>
      <c r="L1005" s="3833"/>
      <c r="M1005" s="3833"/>
      <c r="N1005" s="3834"/>
      <c r="O1005" s="820">
        <f t="shared" si="77"/>
        <v>0</v>
      </c>
    </row>
    <row r="1006" spans="3:15" ht="18" hidden="1">
      <c r="C1006" s="3859" t="str">
        <f>T('2 REPAIR ESTIMATOR'!D1086:O1086)</f>
        <v>Replace GFI outlets/ground back to panel</v>
      </c>
      <c r="D1006" s="3859"/>
      <c r="E1006" s="3859"/>
      <c r="F1006" s="3859"/>
      <c r="G1006" s="3831">
        <f>'2 REPAIR ESTIMATOR'!AQ1086</f>
        <v>0</v>
      </c>
      <c r="H1006" s="3831"/>
      <c r="I1006" s="810">
        <f t="shared" si="75"/>
        <v>0</v>
      </c>
      <c r="J1006" s="811">
        <f t="shared" si="76"/>
        <v>0</v>
      </c>
      <c r="K1006" s="3832"/>
      <c r="L1006" s="3833"/>
      <c r="M1006" s="3833"/>
      <c r="N1006" s="3834"/>
      <c r="O1006" s="820">
        <f t="shared" si="77"/>
        <v>0</v>
      </c>
    </row>
    <row r="1007" spans="3:15" ht="18" hidden="1">
      <c r="C1007" s="3859" t="str">
        <f>T('2 REPAIR ESTIMATOR'!D1087:O1087)</f>
        <v>Exhaust Fan</v>
      </c>
      <c r="D1007" s="3859"/>
      <c r="E1007" s="3859"/>
      <c r="F1007" s="3859"/>
      <c r="G1007" s="3831">
        <f>'2 REPAIR ESTIMATOR'!AQ1087</f>
        <v>0</v>
      </c>
      <c r="H1007" s="3831"/>
      <c r="I1007" s="810">
        <f t="shared" si="75"/>
        <v>0</v>
      </c>
      <c r="J1007" s="811">
        <f t="shared" si="76"/>
        <v>0</v>
      </c>
      <c r="K1007" s="3832"/>
      <c r="L1007" s="3833"/>
      <c r="M1007" s="3833"/>
      <c r="N1007" s="3834"/>
      <c r="O1007" s="820">
        <f t="shared" si="77"/>
        <v>0</v>
      </c>
    </row>
    <row r="1008" spans="3:15" ht="18" hidden="1">
      <c r="C1008" s="3859" t="str">
        <f>T('2 REPAIR ESTIMATOR'!D1088:O1088)</f>
        <v>Smoke detectors</v>
      </c>
      <c r="D1008" s="3859"/>
      <c r="E1008" s="3859"/>
      <c r="F1008" s="3859"/>
      <c r="G1008" s="3831">
        <f>'2 REPAIR ESTIMATOR'!AQ1088</f>
        <v>0</v>
      </c>
      <c r="H1008" s="3831"/>
      <c r="I1008" s="810">
        <f t="shared" si="75"/>
        <v>0</v>
      </c>
      <c r="J1008" s="811">
        <f t="shared" si="76"/>
        <v>0</v>
      </c>
      <c r="K1008" s="3832"/>
      <c r="L1008" s="3833"/>
      <c r="M1008" s="3833"/>
      <c r="N1008" s="3834"/>
      <c r="O1008" s="820">
        <f t="shared" si="77"/>
        <v>0</v>
      </c>
    </row>
    <row r="1009" spans="3:15" ht="18" hidden="1">
      <c r="C1009" s="3859" t="str">
        <f>T('2 REPAIR ESTIMATOR'!D1089:O1089)</f>
        <v>Carbon monoxide detector</v>
      </c>
      <c r="D1009" s="3859"/>
      <c r="E1009" s="3859"/>
      <c r="F1009" s="3859"/>
      <c r="G1009" s="3831">
        <f>'2 REPAIR ESTIMATOR'!AQ1089</f>
        <v>0</v>
      </c>
      <c r="H1009" s="3831"/>
      <c r="I1009" s="810">
        <f t="shared" si="75"/>
        <v>0</v>
      </c>
      <c r="J1009" s="811">
        <f t="shared" si="76"/>
        <v>0</v>
      </c>
      <c r="K1009" s="3832"/>
      <c r="L1009" s="3833"/>
      <c r="M1009" s="3833"/>
      <c r="N1009" s="3834"/>
      <c r="O1009" s="820">
        <f t="shared" si="77"/>
        <v>0</v>
      </c>
    </row>
    <row r="1010" spans="3:15" ht="18" hidden="1">
      <c r="C1010" s="3858" t="str">
        <f>T('2 REPAIR ESTIMATOR'!D1090:O1090)</f>
        <v>Lighting</v>
      </c>
      <c r="D1010" s="3858"/>
      <c r="E1010" s="3858"/>
      <c r="F1010" s="3858"/>
      <c r="G1010" s="3831">
        <f>'2 REPAIR ESTIMATOR'!AQ1090</f>
        <v>0</v>
      </c>
      <c r="H1010" s="3831"/>
      <c r="I1010" s="810">
        <f t="shared" si="75"/>
        <v>0</v>
      </c>
      <c r="J1010" s="811">
        <f t="shared" si="76"/>
        <v>0</v>
      </c>
      <c r="K1010" s="3832"/>
      <c r="L1010" s="3833"/>
      <c r="M1010" s="3833"/>
      <c r="N1010" s="3834"/>
      <c r="O1010" s="820">
        <f t="shared" si="77"/>
        <v>0</v>
      </c>
    </row>
    <row r="1011" spans="3:15" ht="18" hidden="1">
      <c r="C1011" s="3859" t="str">
        <f>T('2 REPAIR ESTIMATOR'!D1091:O1091)</f>
        <v>Track/Pendent light</v>
      </c>
      <c r="D1011" s="3859"/>
      <c r="E1011" s="3859"/>
      <c r="F1011" s="3859"/>
      <c r="G1011" s="3831">
        <f>'2 REPAIR ESTIMATOR'!AQ1091</f>
        <v>0</v>
      </c>
      <c r="H1011" s="3831"/>
      <c r="I1011" s="810">
        <f t="shared" si="75"/>
        <v>0</v>
      </c>
      <c r="J1011" s="811">
        <f t="shared" si="76"/>
        <v>0</v>
      </c>
      <c r="K1011" s="3832"/>
      <c r="L1011" s="3833"/>
      <c r="M1011" s="3833"/>
      <c r="N1011" s="3834"/>
      <c r="O1011" s="820">
        <f t="shared" si="77"/>
        <v>0</v>
      </c>
    </row>
    <row r="1012" spans="3:15" ht="18" hidden="1">
      <c r="C1012" s="3859" t="str">
        <f>T('2 REPAIR ESTIMATOR'!D1092:O1092)</f>
        <v>Chandelier light fixture</v>
      </c>
      <c r="D1012" s="3859"/>
      <c r="E1012" s="3859"/>
      <c r="F1012" s="3859"/>
      <c r="G1012" s="3831">
        <f>'2 REPAIR ESTIMATOR'!AQ1092</f>
        <v>0</v>
      </c>
      <c r="H1012" s="3831"/>
      <c r="I1012" s="810">
        <f t="shared" si="75"/>
        <v>0</v>
      </c>
      <c r="J1012" s="811">
        <f t="shared" si="76"/>
        <v>0</v>
      </c>
      <c r="K1012" s="3832"/>
      <c r="L1012" s="3833"/>
      <c r="M1012" s="3833"/>
      <c r="N1012" s="3834"/>
      <c r="O1012" s="820">
        <f t="shared" si="77"/>
        <v>0</v>
      </c>
    </row>
    <row r="1013" spans="3:15" ht="18" hidden="1">
      <c r="C1013" s="3859" t="str">
        <f>T('2 REPAIR ESTIMATOR'!D1093:O1093)</f>
        <v>Ceiling dome light</v>
      </c>
      <c r="D1013" s="3859"/>
      <c r="E1013" s="3859"/>
      <c r="F1013" s="3859"/>
      <c r="G1013" s="3831">
        <f>'2 REPAIR ESTIMATOR'!AQ1093</f>
        <v>0</v>
      </c>
      <c r="H1013" s="3831"/>
      <c r="I1013" s="810">
        <f t="shared" si="75"/>
        <v>0</v>
      </c>
      <c r="J1013" s="811">
        <f t="shared" si="76"/>
        <v>0</v>
      </c>
      <c r="K1013" s="3832"/>
      <c r="L1013" s="3833"/>
      <c r="M1013" s="3833"/>
      <c r="N1013" s="3834"/>
      <c r="O1013" s="820">
        <f t="shared" si="77"/>
        <v>0</v>
      </c>
    </row>
    <row r="1014" spans="3:15" ht="18" hidden="1">
      <c r="C1014" s="3859" t="str">
        <f>T('2 REPAIR ESTIMATOR'!D1094:O1094)</f>
        <v>Ceiling fan fixture</v>
      </c>
      <c r="D1014" s="3859"/>
      <c r="E1014" s="3859"/>
      <c r="F1014" s="3859"/>
      <c r="G1014" s="3831">
        <f>'2 REPAIR ESTIMATOR'!AQ1094</f>
        <v>0</v>
      </c>
      <c r="H1014" s="3831"/>
      <c r="I1014" s="810">
        <f t="shared" si="75"/>
        <v>0</v>
      </c>
      <c r="J1014" s="811">
        <f t="shared" si="76"/>
        <v>0</v>
      </c>
      <c r="K1014" s="3832"/>
      <c r="L1014" s="3833"/>
      <c r="M1014" s="3833"/>
      <c r="N1014" s="3834"/>
      <c r="O1014" s="820">
        <f t="shared" si="77"/>
        <v>0</v>
      </c>
    </row>
    <row r="1015" spans="3:15" ht="18" hidden="1">
      <c r="C1015" s="3859" t="str">
        <f>T('2 REPAIR ESTIMATOR'!D1095:O1095)</f>
        <v>Bathroom vanity light</v>
      </c>
      <c r="D1015" s="3859"/>
      <c r="E1015" s="3859"/>
      <c r="F1015" s="3859"/>
      <c r="G1015" s="3831">
        <f>'2 REPAIR ESTIMATOR'!AQ1095</f>
        <v>0</v>
      </c>
      <c r="H1015" s="3831"/>
      <c r="I1015" s="810">
        <f t="shared" si="75"/>
        <v>0</v>
      </c>
      <c r="J1015" s="811">
        <f t="shared" si="76"/>
        <v>0</v>
      </c>
      <c r="K1015" s="3832"/>
      <c r="L1015" s="3833"/>
      <c r="M1015" s="3833"/>
      <c r="N1015" s="3834"/>
      <c r="O1015" s="820">
        <f t="shared" si="77"/>
        <v>0</v>
      </c>
    </row>
    <row r="1016" spans="3:15" ht="18" hidden="1">
      <c r="C1016" s="3859" t="str">
        <f>T('2 REPAIR ESTIMATOR'!D1096:O1096)</f>
        <v>Can lighting</v>
      </c>
      <c r="D1016" s="3859"/>
      <c r="E1016" s="3859"/>
      <c r="F1016" s="3859"/>
      <c r="G1016" s="3831">
        <f>'2 REPAIR ESTIMATOR'!AQ1096</f>
        <v>0</v>
      </c>
      <c r="H1016" s="3831"/>
      <c r="I1016" s="810">
        <f t="shared" si="75"/>
        <v>0</v>
      </c>
      <c r="J1016" s="811">
        <f t="shared" si="76"/>
        <v>0</v>
      </c>
      <c r="K1016" s="3832"/>
      <c r="L1016" s="3833"/>
      <c r="M1016" s="3833"/>
      <c r="N1016" s="3834"/>
      <c r="O1016" s="820">
        <f t="shared" si="77"/>
        <v>0</v>
      </c>
    </row>
    <row r="1017" spans="3:15" ht="18" hidden="1">
      <c r="C1017" s="3859" t="str">
        <f>T('2 REPAIR ESTIMATOR'!D1097:O1097)</f>
        <v>Exterior light fixture</v>
      </c>
      <c r="D1017" s="3859"/>
      <c r="E1017" s="3859"/>
      <c r="F1017" s="3859"/>
      <c r="G1017" s="3831">
        <f>'2 REPAIR ESTIMATOR'!AQ1097</f>
        <v>0</v>
      </c>
      <c r="H1017" s="3831"/>
      <c r="I1017" s="810">
        <f t="shared" si="75"/>
        <v>0</v>
      </c>
      <c r="J1017" s="811">
        <f t="shared" si="76"/>
        <v>0</v>
      </c>
      <c r="K1017" s="3832"/>
      <c r="L1017" s="3833"/>
      <c r="M1017" s="3833"/>
      <c r="N1017" s="3834"/>
      <c r="O1017" s="820">
        <f t="shared" si="77"/>
        <v>0</v>
      </c>
    </row>
    <row r="1018" spans="3:15" ht="18" hidden="1">
      <c r="C1018" s="3859" t="str">
        <f>T('2 REPAIR ESTIMATOR'!D1098:O1098)</f>
        <v/>
      </c>
      <c r="D1018" s="3859"/>
      <c r="E1018" s="3859"/>
      <c r="F1018" s="3859"/>
      <c r="G1018" s="3831">
        <f>'2 REPAIR ESTIMATOR'!AQ1098</f>
        <v>0</v>
      </c>
      <c r="H1018" s="3831"/>
      <c r="I1018" s="810">
        <f t="shared" si="75"/>
        <v>0</v>
      </c>
      <c r="J1018" s="811">
        <f t="shared" si="76"/>
        <v>0</v>
      </c>
      <c r="K1018" s="3832"/>
      <c r="L1018" s="3833"/>
      <c r="M1018" s="3833"/>
      <c r="N1018" s="3834"/>
      <c r="O1018" s="820">
        <f t="shared" si="77"/>
        <v>0</v>
      </c>
    </row>
    <row r="1019" spans="3:15" ht="18" hidden="1">
      <c r="C1019" s="3859" t="str">
        <f>T('2 REPAIR ESTIMATOR'!D1099:O1099)</f>
        <v/>
      </c>
      <c r="D1019" s="3859"/>
      <c r="E1019" s="3859"/>
      <c r="F1019" s="3859"/>
      <c r="G1019" s="3831">
        <f>'2 REPAIR ESTIMATOR'!AQ1099</f>
        <v>0</v>
      </c>
      <c r="H1019" s="3831"/>
      <c r="I1019" s="810">
        <f t="shared" si="75"/>
        <v>0</v>
      </c>
      <c r="J1019" s="811">
        <f t="shared" si="76"/>
        <v>0</v>
      </c>
      <c r="K1019" s="3832"/>
      <c r="L1019" s="3833"/>
      <c r="M1019" s="3833"/>
      <c r="N1019" s="3834"/>
      <c r="O1019" s="820">
        <f t="shared" si="77"/>
        <v>0</v>
      </c>
    </row>
    <row r="1020" spans="3:15" ht="18" hidden="1">
      <c r="C1020" s="3859" t="str">
        <f>T('2 REPAIR ESTIMATOR'!D1100:O1100)</f>
        <v/>
      </c>
      <c r="D1020" s="3859"/>
      <c r="E1020" s="3859"/>
      <c r="F1020" s="3859"/>
      <c r="G1020" s="3831">
        <f>'2 REPAIR ESTIMATOR'!AQ1100</f>
        <v>0</v>
      </c>
      <c r="H1020" s="3831"/>
      <c r="I1020" s="810">
        <f t="shared" si="75"/>
        <v>0</v>
      </c>
      <c r="J1020" s="811">
        <f t="shared" si="76"/>
        <v>0</v>
      </c>
      <c r="K1020" s="3832"/>
      <c r="L1020" s="3833"/>
      <c r="M1020" s="3833"/>
      <c r="N1020" s="3834"/>
      <c r="O1020" s="820">
        <f t="shared" si="77"/>
        <v>0</v>
      </c>
    </row>
    <row r="1021" spans="3:15" ht="18" hidden="1">
      <c r="C1021" s="3859" t="str">
        <f>T('2 REPAIR ESTIMATOR'!D1101:O1101)</f>
        <v/>
      </c>
      <c r="D1021" s="3859"/>
      <c r="E1021" s="3859"/>
      <c r="F1021" s="3859"/>
      <c r="G1021" s="3831">
        <f>'2 REPAIR ESTIMATOR'!AQ1101</f>
        <v>0</v>
      </c>
      <c r="H1021" s="3831"/>
      <c r="I1021" s="810">
        <f t="shared" si="75"/>
        <v>0</v>
      </c>
      <c r="J1021" s="811">
        <f t="shared" si="76"/>
        <v>0</v>
      </c>
      <c r="K1021" s="3832"/>
      <c r="L1021" s="3833"/>
      <c r="M1021" s="3833"/>
      <c r="N1021" s="3834"/>
      <c r="O1021" s="820">
        <f t="shared" si="77"/>
        <v>0</v>
      </c>
    </row>
    <row r="1022" spans="3:15" ht="18" hidden="1">
      <c r="C1022" s="3859" t="str">
        <f>T('2 REPAIR ESTIMATOR'!D1102:O1102)</f>
        <v/>
      </c>
      <c r="D1022" s="3859"/>
      <c r="E1022" s="3859"/>
      <c r="F1022" s="3859"/>
      <c r="G1022" s="3831">
        <f>'2 REPAIR ESTIMATOR'!AQ1102</f>
        <v>0</v>
      </c>
      <c r="H1022" s="3831"/>
      <c r="I1022" s="810">
        <f t="shared" si="75"/>
        <v>0</v>
      </c>
      <c r="J1022" s="811">
        <f t="shared" si="76"/>
        <v>0</v>
      </c>
      <c r="K1022" s="3832"/>
      <c r="L1022" s="3833"/>
      <c r="M1022" s="3833"/>
      <c r="N1022" s="3834"/>
      <c r="O1022" s="820">
        <f t="shared" si="77"/>
        <v>0</v>
      </c>
    </row>
    <row r="1023" spans="3:15" ht="18" hidden="1">
      <c r="C1023" s="3859" t="str">
        <f>T('2 REPAIR ESTIMATOR'!D1103:O1103)</f>
        <v/>
      </c>
      <c r="D1023" s="3859"/>
      <c r="E1023" s="3859"/>
      <c r="F1023" s="3859"/>
      <c r="G1023" s="3831">
        <f>'2 REPAIR ESTIMATOR'!AQ1103</f>
        <v>0</v>
      </c>
      <c r="H1023" s="3831"/>
      <c r="I1023" s="810">
        <f t="shared" si="75"/>
        <v>0</v>
      </c>
      <c r="J1023" s="811">
        <f t="shared" si="76"/>
        <v>0</v>
      </c>
      <c r="K1023" s="3832"/>
      <c r="L1023" s="3833"/>
      <c r="M1023" s="3833"/>
      <c r="N1023" s="3834"/>
      <c r="O1023" s="820">
        <f t="shared" si="77"/>
        <v>0</v>
      </c>
    </row>
    <row r="1024" spans="3:15" ht="18" hidden="1">
      <c r="C1024" s="3859" t="str">
        <f>T('2 REPAIR ESTIMATOR'!D1104:O1104)</f>
        <v/>
      </c>
      <c r="D1024" s="3859"/>
      <c r="E1024" s="3859"/>
      <c r="F1024" s="3859"/>
      <c r="G1024" s="3831">
        <f>'2 REPAIR ESTIMATOR'!AQ1104</f>
        <v>0</v>
      </c>
      <c r="H1024" s="3831"/>
      <c r="I1024" s="810">
        <f t="shared" si="75"/>
        <v>0</v>
      </c>
      <c r="J1024" s="811">
        <f t="shared" si="76"/>
        <v>0</v>
      </c>
      <c r="K1024" s="3832"/>
      <c r="L1024" s="3833"/>
      <c r="M1024" s="3833"/>
      <c r="N1024" s="3834"/>
      <c r="O1024" s="820">
        <f t="shared" si="77"/>
        <v>0</v>
      </c>
    </row>
    <row r="1025" spans="3:15" ht="18" hidden="1">
      <c r="C1025" s="3859" t="str">
        <f>T('2 REPAIR ESTIMATOR'!D1105:O1105)</f>
        <v/>
      </c>
      <c r="D1025" s="3859"/>
      <c r="E1025" s="3859"/>
      <c r="F1025" s="3859"/>
      <c r="G1025" s="3831">
        <f>'2 REPAIR ESTIMATOR'!AQ1105</f>
        <v>0</v>
      </c>
      <c r="H1025" s="3831"/>
      <c r="I1025" s="810">
        <f t="shared" si="75"/>
        <v>0</v>
      </c>
      <c r="J1025" s="811">
        <f t="shared" si="76"/>
        <v>0</v>
      </c>
      <c r="K1025" s="3832"/>
      <c r="L1025" s="3833"/>
      <c r="M1025" s="3833"/>
      <c r="N1025" s="3834"/>
      <c r="O1025" s="820">
        <f t="shared" si="77"/>
        <v>0</v>
      </c>
    </row>
    <row r="1026" spans="3:15" ht="18" hidden="1">
      <c r="C1026" s="3859" t="str">
        <f>T('2 REPAIR ESTIMATOR'!D1106:O1106)</f>
        <v/>
      </c>
      <c r="D1026" s="3859"/>
      <c r="E1026" s="3859"/>
      <c r="F1026" s="3859"/>
      <c r="G1026" s="3831">
        <f>'2 REPAIR ESTIMATOR'!AQ1106</f>
        <v>0</v>
      </c>
      <c r="H1026" s="3831"/>
      <c r="I1026" s="810">
        <f t="shared" si="75"/>
        <v>0</v>
      </c>
      <c r="J1026" s="811">
        <f t="shared" si="76"/>
        <v>0</v>
      </c>
      <c r="K1026" s="3832"/>
      <c r="L1026" s="3833"/>
      <c r="M1026" s="3833"/>
      <c r="N1026" s="3834"/>
      <c r="O1026" s="820">
        <f t="shared" si="77"/>
        <v>0</v>
      </c>
    </row>
    <row r="1027" spans="3:15" ht="18" hidden="1">
      <c r="C1027" s="3859" t="str">
        <f>T('2 REPAIR ESTIMATOR'!D1107:O1107)</f>
        <v/>
      </c>
      <c r="D1027" s="3859"/>
      <c r="E1027" s="3859"/>
      <c r="F1027" s="3859"/>
      <c r="G1027" s="3831">
        <f>'2 REPAIR ESTIMATOR'!AQ1107</f>
        <v>0</v>
      </c>
      <c r="H1027" s="3831"/>
      <c r="I1027" s="810">
        <f t="shared" si="75"/>
        <v>0</v>
      </c>
      <c r="J1027" s="811">
        <f t="shared" si="76"/>
        <v>0</v>
      </c>
      <c r="K1027" s="3832"/>
      <c r="L1027" s="3833"/>
      <c r="M1027" s="3833"/>
      <c r="N1027" s="3834"/>
      <c r="O1027" s="820">
        <f t="shared" si="77"/>
        <v>0</v>
      </c>
    </row>
    <row r="1028" spans="3:15" ht="18" hidden="1">
      <c r="C1028" s="3859" t="str">
        <f>T('2 REPAIR ESTIMATOR'!D1108:O1108)</f>
        <v/>
      </c>
      <c r="D1028" s="3859"/>
      <c r="E1028" s="3859"/>
      <c r="F1028" s="3859"/>
      <c r="G1028" s="3831">
        <f>'2 REPAIR ESTIMATOR'!AQ1108</f>
        <v>0</v>
      </c>
      <c r="H1028" s="3831"/>
      <c r="I1028" s="810">
        <f t="shared" si="75"/>
        <v>0</v>
      </c>
      <c r="J1028" s="811">
        <f t="shared" si="76"/>
        <v>0</v>
      </c>
      <c r="K1028" s="3832"/>
      <c r="L1028" s="3833"/>
      <c r="M1028" s="3833"/>
      <c r="N1028" s="3834"/>
      <c r="O1028" s="820">
        <f t="shared" si="77"/>
        <v>0</v>
      </c>
    </row>
    <row r="1029" spans="3:15" ht="18" hidden="1">
      <c r="C1029" s="3859" t="str">
        <f>T('2 REPAIR ESTIMATOR'!D1109:O1109)</f>
        <v/>
      </c>
      <c r="D1029" s="3859"/>
      <c r="E1029" s="3859"/>
      <c r="F1029" s="3859"/>
      <c r="G1029" s="3831">
        <f>'2 REPAIR ESTIMATOR'!AQ1109</f>
        <v>0</v>
      </c>
      <c r="H1029" s="3831"/>
      <c r="I1029" s="810">
        <f t="shared" si="75"/>
        <v>0</v>
      </c>
      <c r="J1029" s="811">
        <f t="shared" si="76"/>
        <v>0</v>
      </c>
      <c r="K1029" s="3832"/>
      <c r="L1029" s="3833"/>
      <c r="M1029" s="3833"/>
      <c r="N1029" s="3834"/>
      <c r="O1029" s="820">
        <f t="shared" si="77"/>
        <v>0</v>
      </c>
    </row>
    <row r="1030" spans="3:15" ht="18" hidden="1">
      <c r="C1030" s="3859" t="str">
        <f>T('2 REPAIR ESTIMATOR'!D1110:O1110)</f>
        <v/>
      </c>
      <c r="D1030" s="3859"/>
      <c r="E1030" s="3859"/>
      <c r="F1030" s="3859"/>
      <c r="G1030" s="3831">
        <f>'2 REPAIR ESTIMATOR'!AQ1110</f>
        <v>0</v>
      </c>
      <c r="H1030" s="3831"/>
      <c r="I1030" s="810">
        <f t="shared" si="75"/>
        <v>0</v>
      </c>
      <c r="J1030" s="811">
        <f t="shared" si="76"/>
        <v>0</v>
      </c>
      <c r="K1030" s="3832"/>
      <c r="L1030" s="3833"/>
      <c r="M1030" s="3833"/>
      <c r="N1030" s="3834"/>
      <c r="O1030" s="820">
        <f t="shared" si="77"/>
        <v>0</v>
      </c>
    </row>
    <row r="1031" spans="3:15" ht="18" hidden="1">
      <c r="C1031" s="3859" t="str">
        <f>T('2 REPAIR ESTIMATOR'!D1111:O1111)</f>
        <v/>
      </c>
      <c r="D1031" s="3859"/>
      <c r="E1031" s="3859"/>
      <c r="F1031" s="3859"/>
      <c r="G1031" s="3831">
        <f>'2 REPAIR ESTIMATOR'!AQ1111</f>
        <v>0</v>
      </c>
      <c r="H1031" s="3831"/>
      <c r="I1031" s="810">
        <f t="shared" si="75"/>
        <v>0</v>
      </c>
      <c r="J1031" s="811">
        <f t="shared" si="76"/>
        <v>0</v>
      </c>
      <c r="K1031" s="3832"/>
      <c r="L1031" s="3833"/>
      <c r="M1031" s="3833"/>
      <c r="N1031" s="3834"/>
      <c r="O1031" s="820">
        <f t="shared" si="77"/>
        <v>0</v>
      </c>
    </row>
    <row r="1032" spans="3:15" ht="18" hidden="1">
      <c r="C1032" s="3859" t="str">
        <f>T('2 REPAIR ESTIMATOR'!D1112:O1112)</f>
        <v/>
      </c>
      <c r="D1032" s="3859"/>
      <c r="E1032" s="3859"/>
      <c r="F1032" s="3859"/>
      <c r="G1032" s="3831">
        <f>'2 REPAIR ESTIMATOR'!AQ1112</f>
        <v>0</v>
      </c>
      <c r="H1032" s="3831"/>
      <c r="I1032" s="810">
        <f t="shared" si="75"/>
        <v>0</v>
      </c>
      <c r="J1032" s="811">
        <f t="shared" si="76"/>
        <v>0</v>
      </c>
      <c r="K1032" s="3832"/>
      <c r="L1032" s="3833"/>
      <c r="M1032" s="3833"/>
      <c r="N1032" s="3834"/>
      <c r="O1032" s="820">
        <f t="shared" si="77"/>
        <v>0</v>
      </c>
    </row>
    <row r="1033" spans="3:15" ht="18" hidden="1">
      <c r="C1033" s="3859" t="str">
        <f>T('2 REPAIR ESTIMATOR'!D1113:O1113)</f>
        <v/>
      </c>
      <c r="D1033" s="3859"/>
      <c r="E1033" s="3859"/>
      <c r="F1033" s="3859"/>
      <c r="G1033" s="3831">
        <f>'2 REPAIR ESTIMATOR'!AQ1113</f>
        <v>0</v>
      </c>
      <c r="H1033" s="3831"/>
      <c r="I1033" s="810">
        <f t="shared" si="75"/>
        <v>0</v>
      </c>
      <c r="J1033" s="811">
        <f t="shared" si="76"/>
        <v>0</v>
      </c>
      <c r="K1033" s="3832"/>
      <c r="L1033" s="3833"/>
      <c r="M1033" s="3833"/>
      <c r="N1033" s="3834"/>
      <c r="O1033" s="820">
        <f t="shared" si="77"/>
        <v>0</v>
      </c>
    </row>
    <row r="1034" spans="3:15" ht="18" hidden="1">
      <c r="C1034" s="3859" t="str">
        <f>T('2 REPAIR ESTIMATOR'!D1114:O1114)</f>
        <v/>
      </c>
      <c r="D1034" s="3859"/>
      <c r="E1034" s="3859"/>
      <c r="F1034" s="3859"/>
      <c r="G1034" s="3831">
        <f>'2 REPAIR ESTIMATOR'!AQ1114</f>
        <v>0</v>
      </c>
      <c r="H1034" s="3831"/>
      <c r="I1034" s="810">
        <f t="shared" si="75"/>
        <v>0</v>
      </c>
      <c r="J1034" s="811">
        <f t="shared" si="76"/>
        <v>0</v>
      </c>
      <c r="K1034" s="3832"/>
      <c r="L1034" s="3833"/>
      <c r="M1034" s="3833"/>
      <c r="N1034" s="3834"/>
      <c r="O1034" s="820">
        <f t="shared" si="77"/>
        <v>0</v>
      </c>
    </row>
    <row r="1035" spans="3:15" ht="18" hidden="1">
      <c r="C1035" s="3859" t="str">
        <f>T('2 REPAIR ESTIMATOR'!D1115:O1115)</f>
        <v/>
      </c>
      <c r="D1035" s="3859"/>
      <c r="E1035" s="3859"/>
      <c r="F1035" s="3859"/>
      <c r="G1035" s="3831">
        <f>'2 REPAIR ESTIMATOR'!AQ1115</f>
        <v>0</v>
      </c>
      <c r="H1035" s="3831"/>
      <c r="I1035" s="810">
        <f t="shared" si="75"/>
        <v>0</v>
      </c>
      <c r="J1035" s="811">
        <f t="shared" si="76"/>
        <v>0</v>
      </c>
      <c r="K1035" s="3832"/>
      <c r="L1035" s="3833"/>
      <c r="M1035" s="3833"/>
      <c r="N1035" s="3834"/>
      <c r="O1035" s="820">
        <f t="shared" si="77"/>
        <v>0</v>
      </c>
    </row>
    <row r="1036" spans="3:15" ht="18" hidden="1">
      <c r="C1036" s="3859" t="str">
        <f>T('2 REPAIR ESTIMATOR'!D1116:O1116)</f>
        <v/>
      </c>
      <c r="D1036" s="3859"/>
      <c r="E1036" s="3859"/>
      <c r="F1036" s="3859"/>
      <c r="G1036" s="3831">
        <f>'2 REPAIR ESTIMATOR'!AQ1116</f>
        <v>0</v>
      </c>
      <c r="H1036" s="3831"/>
      <c r="I1036" s="810">
        <f t="shared" si="75"/>
        <v>0</v>
      </c>
      <c r="J1036" s="811">
        <f t="shared" si="76"/>
        <v>0</v>
      </c>
      <c r="K1036" s="3832"/>
      <c r="L1036" s="3833"/>
      <c r="M1036" s="3833"/>
      <c r="N1036" s="3834"/>
      <c r="O1036" s="820">
        <f t="shared" si="77"/>
        <v>0</v>
      </c>
    </row>
    <row r="1037" spans="3:15" ht="18.350000000000001" hidden="1" thickBot="1">
      <c r="C1037" s="3835" t="str">
        <f>T('2 REPAIR ESTIMATOR'!D1117:O1117)</f>
        <v/>
      </c>
      <c r="D1037" s="3835"/>
      <c r="E1037" s="3835"/>
      <c r="F1037" s="3835"/>
      <c r="G1037" s="3836">
        <f>'2 REPAIR ESTIMATOR'!AQ1117</f>
        <v>0</v>
      </c>
      <c r="H1037" s="3836"/>
      <c r="I1037" s="813">
        <f t="shared" si="75"/>
        <v>0</v>
      </c>
      <c r="J1037" s="814">
        <f t="shared" si="76"/>
        <v>0</v>
      </c>
      <c r="K1037" s="3837"/>
      <c r="L1037" s="3838"/>
      <c r="M1037" s="3838"/>
      <c r="N1037" s="3839"/>
      <c r="O1037" s="823">
        <f t="shared" si="77"/>
        <v>0</v>
      </c>
    </row>
    <row r="1038" spans="3:15" ht="18.350000000000001" hidden="1" thickTop="1">
      <c r="C1038" s="3825" t="str">
        <f>T('2 REPAIR ESTIMATOR'!AC1119)</f>
        <v>ELECTRICAL TOTAL</v>
      </c>
      <c r="D1038" s="3825"/>
      <c r="E1038" s="3825"/>
      <c r="F1038" s="3825"/>
      <c r="G1038" s="3826">
        <f>SUM(G998:H1037)</f>
        <v>0</v>
      </c>
      <c r="H1038" s="3826"/>
      <c r="I1038" s="818">
        <f>SUM(I998:I1037)</f>
        <v>0</v>
      </c>
      <c r="J1038" s="819">
        <f>SUM(J998:J1037)</f>
        <v>0</v>
      </c>
      <c r="K1038" s="3827"/>
      <c r="L1038" s="3828"/>
      <c r="M1038" s="3828"/>
      <c r="N1038" s="3829"/>
      <c r="O1038" s="821">
        <f>SUM(O998:O1037)</f>
        <v>0</v>
      </c>
    </row>
    <row r="1039" spans="3:15" ht="8.85" hidden="1" customHeight="1">
      <c r="C1039" s="836"/>
      <c r="D1039" s="836"/>
      <c r="E1039" s="836"/>
      <c r="F1039" s="836"/>
      <c r="G1039" s="837"/>
      <c r="H1039" s="837"/>
      <c r="I1039" s="837"/>
      <c r="J1039" s="837"/>
      <c r="K1039" s="837"/>
      <c r="L1039" s="837"/>
      <c r="M1039" s="837"/>
      <c r="N1039" s="837"/>
      <c r="O1039" s="822">
        <f>O1038</f>
        <v>0</v>
      </c>
    </row>
    <row r="1040" spans="3:15" ht="22.5" hidden="1" customHeight="1">
      <c r="C1040" s="3840" t="str">
        <f>T('2 REPAIR ESTIMATOR'!D1122:O1122)</f>
        <v>MISCELLANEOUS</v>
      </c>
      <c r="D1040" s="3840"/>
      <c r="E1040" s="3840"/>
      <c r="F1040" s="3841"/>
      <c r="G1040" s="3845"/>
      <c r="H1040" s="3846"/>
      <c r="I1040" s="831"/>
      <c r="J1040" s="831"/>
      <c r="K1040" s="3844"/>
      <c r="L1040" s="3844"/>
      <c r="M1040" s="3844"/>
      <c r="N1040" s="3845"/>
      <c r="O1040" s="820">
        <f>SUM(O1041:O1080)</f>
        <v>0</v>
      </c>
    </row>
    <row r="1041" spans="3:15" ht="18" hidden="1">
      <c r="C1041" s="3859" t="str">
        <f>T('2 REPAIR ESTIMATOR'!D1123:O1123)</f>
        <v>Bath accessories, towel bar, toilet disp, ea bathroom</v>
      </c>
      <c r="D1041" s="3859"/>
      <c r="E1041" s="3859"/>
      <c r="F1041" s="3859"/>
      <c r="G1041" s="3831">
        <f>'2 REPAIR ESTIMATOR'!AQ1123</f>
        <v>0</v>
      </c>
      <c r="H1041" s="3831"/>
      <c r="I1041" s="810">
        <f t="shared" ref="I1041:I1080" si="78">IFERROR(G1041/Property_Size,0)</f>
        <v>0</v>
      </c>
      <c r="J1041" s="811">
        <f t="shared" ref="J1041:J1080" si="79">IFERROR(G1041/Total_Project_Costs_Result,0)</f>
        <v>0</v>
      </c>
      <c r="K1041" s="3832"/>
      <c r="L1041" s="3833"/>
      <c r="M1041" s="3833"/>
      <c r="N1041" s="3834"/>
      <c r="O1041" s="820">
        <f>IF(G1041&gt;0,1,0)</f>
        <v>0</v>
      </c>
    </row>
    <row r="1042" spans="3:15" ht="18" hidden="1">
      <c r="C1042" s="3859" t="str">
        <f>T('2 REPAIR ESTIMATOR'!D1124:O1124)</f>
        <v>Bathroom mirrors</v>
      </c>
      <c r="D1042" s="3859"/>
      <c r="E1042" s="3859"/>
      <c r="F1042" s="3859"/>
      <c r="G1042" s="3831">
        <f>'2 REPAIR ESTIMATOR'!AQ1124</f>
        <v>0</v>
      </c>
      <c r="H1042" s="3831"/>
      <c r="I1042" s="810">
        <f t="shared" si="78"/>
        <v>0</v>
      </c>
      <c r="J1042" s="811">
        <f t="shared" si="79"/>
        <v>0</v>
      </c>
      <c r="K1042" s="3832"/>
      <c r="L1042" s="3833"/>
      <c r="M1042" s="3833"/>
      <c r="N1042" s="3834"/>
      <c r="O1042" s="820">
        <f t="shared" ref="O1042:O1080" si="80">IF(G1042&gt;0,1,0)</f>
        <v>0</v>
      </c>
    </row>
    <row r="1043" spans="3:15" ht="18" hidden="1">
      <c r="C1043" s="3859" t="str">
        <f>T('2 REPAIR ESTIMATOR'!D1125:O1125)</f>
        <v>Window coverings, each window</v>
      </c>
      <c r="D1043" s="3859"/>
      <c r="E1043" s="3859"/>
      <c r="F1043" s="3859"/>
      <c r="G1043" s="3831">
        <f>'2 REPAIR ESTIMATOR'!AQ1125</f>
        <v>0</v>
      </c>
      <c r="H1043" s="3831"/>
      <c r="I1043" s="810">
        <f t="shared" si="78"/>
        <v>0</v>
      </c>
      <c r="J1043" s="811">
        <f t="shared" si="79"/>
        <v>0</v>
      </c>
      <c r="K1043" s="3832"/>
      <c r="L1043" s="3833"/>
      <c r="M1043" s="3833"/>
      <c r="N1043" s="3834"/>
      <c r="O1043" s="820">
        <f t="shared" si="80"/>
        <v>0</v>
      </c>
    </row>
    <row r="1044" spans="3:15" ht="18" hidden="1">
      <c r="C1044" s="3859" t="str">
        <f>T('2 REPAIR ESTIMATOR'!D1126:O1126)</f>
        <v/>
      </c>
      <c r="D1044" s="3859"/>
      <c r="E1044" s="3859"/>
      <c r="F1044" s="3859"/>
      <c r="G1044" s="3831">
        <f>'2 REPAIR ESTIMATOR'!AQ1126</f>
        <v>0</v>
      </c>
      <c r="H1044" s="3831"/>
      <c r="I1044" s="810">
        <f t="shared" si="78"/>
        <v>0</v>
      </c>
      <c r="J1044" s="811">
        <f t="shared" si="79"/>
        <v>0</v>
      </c>
      <c r="K1044" s="3832"/>
      <c r="L1044" s="3833"/>
      <c r="M1044" s="3833"/>
      <c r="N1044" s="3834"/>
      <c r="O1044" s="820">
        <f t="shared" si="80"/>
        <v>0</v>
      </c>
    </row>
    <row r="1045" spans="3:15" ht="18" hidden="1">
      <c r="C1045" s="3859" t="str">
        <f>T('2 REPAIR ESTIMATOR'!D1127:O1127)</f>
        <v/>
      </c>
      <c r="D1045" s="3859"/>
      <c r="E1045" s="3859"/>
      <c r="F1045" s="3859"/>
      <c r="G1045" s="3831">
        <f>'2 REPAIR ESTIMATOR'!AQ1127</f>
        <v>0</v>
      </c>
      <c r="H1045" s="3831"/>
      <c r="I1045" s="810">
        <f t="shared" si="78"/>
        <v>0</v>
      </c>
      <c r="J1045" s="811">
        <f t="shared" si="79"/>
        <v>0</v>
      </c>
      <c r="K1045" s="3832"/>
      <c r="L1045" s="3833"/>
      <c r="M1045" s="3833"/>
      <c r="N1045" s="3834"/>
      <c r="O1045" s="820">
        <f t="shared" si="80"/>
        <v>0</v>
      </c>
    </row>
    <row r="1046" spans="3:15" ht="18" hidden="1">
      <c r="C1046" s="3859" t="str">
        <f>T('2 REPAIR ESTIMATOR'!D1128:O1128)</f>
        <v/>
      </c>
      <c r="D1046" s="3859"/>
      <c r="E1046" s="3859"/>
      <c r="F1046" s="3859"/>
      <c r="G1046" s="3831">
        <f>'2 REPAIR ESTIMATOR'!AQ1128</f>
        <v>0</v>
      </c>
      <c r="H1046" s="3831"/>
      <c r="I1046" s="810">
        <f t="shared" si="78"/>
        <v>0</v>
      </c>
      <c r="J1046" s="811">
        <f t="shared" si="79"/>
        <v>0</v>
      </c>
      <c r="K1046" s="3832"/>
      <c r="L1046" s="3833"/>
      <c r="M1046" s="3833"/>
      <c r="N1046" s="3834"/>
      <c r="O1046" s="820">
        <f t="shared" si="80"/>
        <v>0</v>
      </c>
    </row>
    <row r="1047" spans="3:15" ht="18" hidden="1">
      <c r="C1047" s="3859" t="str">
        <f>T('2 REPAIR ESTIMATOR'!D1129:O1129)</f>
        <v/>
      </c>
      <c r="D1047" s="3859"/>
      <c r="E1047" s="3859"/>
      <c r="F1047" s="3859"/>
      <c r="G1047" s="3831">
        <f>'2 REPAIR ESTIMATOR'!AQ1129</f>
        <v>0</v>
      </c>
      <c r="H1047" s="3831"/>
      <c r="I1047" s="810">
        <f t="shared" si="78"/>
        <v>0</v>
      </c>
      <c r="J1047" s="811">
        <f t="shared" si="79"/>
        <v>0</v>
      </c>
      <c r="K1047" s="3832"/>
      <c r="L1047" s="3833"/>
      <c r="M1047" s="3833"/>
      <c r="N1047" s="3834"/>
      <c r="O1047" s="820">
        <f t="shared" si="80"/>
        <v>0</v>
      </c>
    </row>
    <row r="1048" spans="3:15" ht="18" hidden="1">
      <c r="C1048" s="3859" t="str">
        <f>T('2 REPAIR ESTIMATOR'!D1130:O1130)</f>
        <v/>
      </c>
      <c r="D1048" s="3859"/>
      <c r="E1048" s="3859"/>
      <c r="F1048" s="3859"/>
      <c r="G1048" s="3831">
        <f>'2 REPAIR ESTIMATOR'!AQ1130</f>
        <v>0</v>
      </c>
      <c r="H1048" s="3831"/>
      <c r="I1048" s="810">
        <f t="shared" si="78"/>
        <v>0</v>
      </c>
      <c r="J1048" s="811">
        <f t="shared" si="79"/>
        <v>0</v>
      </c>
      <c r="K1048" s="3832"/>
      <c r="L1048" s="3833"/>
      <c r="M1048" s="3833"/>
      <c r="N1048" s="3834"/>
      <c r="O1048" s="820">
        <f t="shared" si="80"/>
        <v>0</v>
      </c>
    </row>
    <row r="1049" spans="3:15" ht="18" hidden="1">
      <c r="C1049" s="3859" t="str">
        <f>T('2 REPAIR ESTIMATOR'!D1131:O1131)</f>
        <v/>
      </c>
      <c r="D1049" s="3859"/>
      <c r="E1049" s="3859"/>
      <c r="F1049" s="3859"/>
      <c r="G1049" s="3831">
        <f>'2 REPAIR ESTIMATOR'!AQ1131</f>
        <v>0</v>
      </c>
      <c r="H1049" s="3831"/>
      <c r="I1049" s="810">
        <f t="shared" si="78"/>
        <v>0</v>
      </c>
      <c r="J1049" s="811">
        <f t="shared" si="79"/>
        <v>0</v>
      </c>
      <c r="K1049" s="3832"/>
      <c r="L1049" s="3833"/>
      <c r="M1049" s="3833"/>
      <c r="N1049" s="3834"/>
      <c r="O1049" s="820">
        <f t="shared" si="80"/>
        <v>0</v>
      </c>
    </row>
    <row r="1050" spans="3:15" ht="18" hidden="1">
      <c r="C1050" s="3859" t="str">
        <f>T('2 REPAIR ESTIMATOR'!D1132:O1132)</f>
        <v/>
      </c>
      <c r="D1050" s="3859"/>
      <c r="E1050" s="3859"/>
      <c r="F1050" s="3859"/>
      <c r="G1050" s="3831">
        <f>'2 REPAIR ESTIMATOR'!AQ1132</f>
        <v>0</v>
      </c>
      <c r="H1050" s="3831"/>
      <c r="I1050" s="810">
        <f t="shared" si="78"/>
        <v>0</v>
      </c>
      <c r="J1050" s="811">
        <f t="shared" si="79"/>
        <v>0</v>
      </c>
      <c r="K1050" s="3832"/>
      <c r="L1050" s="3833"/>
      <c r="M1050" s="3833"/>
      <c r="N1050" s="3834"/>
      <c r="O1050" s="820">
        <f t="shared" si="80"/>
        <v>0</v>
      </c>
    </row>
    <row r="1051" spans="3:15" ht="18" hidden="1">
      <c r="C1051" s="3859" t="str">
        <f>T('2 REPAIR ESTIMATOR'!D1133:O1133)</f>
        <v/>
      </c>
      <c r="D1051" s="3859"/>
      <c r="E1051" s="3859"/>
      <c r="F1051" s="3859"/>
      <c r="G1051" s="3831">
        <f>'2 REPAIR ESTIMATOR'!AQ1133</f>
        <v>0</v>
      </c>
      <c r="H1051" s="3831"/>
      <c r="I1051" s="810">
        <f t="shared" si="78"/>
        <v>0</v>
      </c>
      <c r="J1051" s="811">
        <f t="shared" si="79"/>
        <v>0</v>
      </c>
      <c r="K1051" s="3832"/>
      <c r="L1051" s="3833"/>
      <c r="M1051" s="3833"/>
      <c r="N1051" s="3834"/>
      <c r="O1051" s="820">
        <f t="shared" si="80"/>
        <v>0</v>
      </c>
    </row>
    <row r="1052" spans="3:15" ht="18" hidden="1">
      <c r="C1052" s="3859" t="str">
        <f>T('2 REPAIR ESTIMATOR'!D1134:O1134)</f>
        <v/>
      </c>
      <c r="D1052" s="3859"/>
      <c r="E1052" s="3859"/>
      <c r="F1052" s="3859"/>
      <c r="G1052" s="3831">
        <f>'2 REPAIR ESTIMATOR'!AQ1134</f>
        <v>0</v>
      </c>
      <c r="H1052" s="3831"/>
      <c r="I1052" s="810">
        <f t="shared" si="78"/>
        <v>0</v>
      </c>
      <c r="J1052" s="811">
        <f t="shared" si="79"/>
        <v>0</v>
      </c>
      <c r="K1052" s="3832"/>
      <c r="L1052" s="3833"/>
      <c r="M1052" s="3833"/>
      <c r="N1052" s="3834"/>
      <c r="O1052" s="820">
        <f t="shared" si="80"/>
        <v>0</v>
      </c>
    </row>
    <row r="1053" spans="3:15" ht="18" hidden="1">
      <c r="C1053" s="3859" t="str">
        <f>T('2 REPAIR ESTIMATOR'!D1135:O1135)</f>
        <v/>
      </c>
      <c r="D1053" s="3859"/>
      <c r="E1053" s="3859"/>
      <c r="F1053" s="3859"/>
      <c r="G1053" s="3831">
        <f>'2 REPAIR ESTIMATOR'!AQ1135</f>
        <v>0</v>
      </c>
      <c r="H1053" s="3831"/>
      <c r="I1053" s="810">
        <f t="shared" si="78"/>
        <v>0</v>
      </c>
      <c r="J1053" s="811">
        <f t="shared" si="79"/>
        <v>0</v>
      </c>
      <c r="K1053" s="3832"/>
      <c r="L1053" s="3833"/>
      <c r="M1053" s="3833"/>
      <c r="N1053" s="3834"/>
      <c r="O1053" s="820">
        <f t="shared" si="80"/>
        <v>0</v>
      </c>
    </row>
    <row r="1054" spans="3:15" ht="18" hidden="1">
      <c r="C1054" s="3859" t="str">
        <f>T('2 REPAIR ESTIMATOR'!D1136:O1136)</f>
        <v/>
      </c>
      <c r="D1054" s="3859"/>
      <c r="E1054" s="3859"/>
      <c r="F1054" s="3859"/>
      <c r="G1054" s="3831">
        <f>'2 REPAIR ESTIMATOR'!AQ1136</f>
        <v>0</v>
      </c>
      <c r="H1054" s="3831"/>
      <c r="I1054" s="810">
        <f t="shared" si="78"/>
        <v>0</v>
      </c>
      <c r="J1054" s="811">
        <f t="shared" si="79"/>
        <v>0</v>
      </c>
      <c r="K1054" s="3832"/>
      <c r="L1054" s="3833"/>
      <c r="M1054" s="3833"/>
      <c r="N1054" s="3834"/>
      <c r="O1054" s="820">
        <f t="shared" si="80"/>
        <v>0</v>
      </c>
    </row>
    <row r="1055" spans="3:15" ht="18" hidden="1">
      <c r="C1055" s="3859" t="str">
        <f>T('2 REPAIR ESTIMATOR'!D1137:O1137)</f>
        <v/>
      </c>
      <c r="D1055" s="3859"/>
      <c r="E1055" s="3859"/>
      <c r="F1055" s="3859"/>
      <c r="G1055" s="3831">
        <f>'2 REPAIR ESTIMATOR'!AQ1137</f>
        <v>0</v>
      </c>
      <c r="H1055" s="3831"/>
      <c r="I1055" s="810">
        <f t="shared" si="78"/>
        <v>0</v>
      </c>
      <c r="J1055" s="811">
        <f t="shared" si="79"/>
        <v>0</v>
      </c>
      <c r="K1055" s="3832"/>
      <c r="L1055" s="3833"/>
      <c r="M1055" s="3833"/>
      <c r="N1055" s="3834"/>
      <c r="O1055" s="820">
        <f t="shared" si="80"/>
        <v>0</v>
      </c>
    </row>
    <row r="1056" spans="3:15" ht="18" hidden="1">
      <c r="C1056" s="3859" t="str">
        <f>T('2 REPAIR ESTIMATOR'!D1138:O1138)</f>
        <v/>
      </c>
      <c r="D1056" s="3859"/>
      <c r="E1056" s="3859"/>
      <c r="F1056" s="3859"/>
      <c r="G1056" s="3831">
        <f>'2 REPAIR ESTIMATOR'!AQ1138</f>
        <v>0</v>
      </c>
      <c r="H1056" s="3831"/>
      <c r="I1056" s="810">
        <f t="shared" si="78"/>
        <v>0</v>
      </c>
      <c r="J1056" s="811">
        <f t="shared" si="79"/>
        <v>0</v>
      </c>
      <c r="K1056" s="3832"/>
      <c r="L1056" s="3833"/>
      <c r="M1056" s="3833"/>
      <c r="N1056" s="3834"/>
      <c r="O1056" s="820">
        <f t="shared" si="80"/>
        <v>0</v>
      </c>
    </row>
    <row r="1057" spans="3:15" ht="18" hidden="1">
      <c r="C1057" s="3859" t="str">
        <f>T('2 REPAIR ESTIMATOR'!D1139:O1139)</f>
        <v/>
      </c>
      <c r="D1057" s="3859"/>
      <c r="E1057" s="3859"/>
      <c r="F1057" s="3859"/>
      <c r="G1057" s="3831">
        <f>'2 REPAIR ESTIMATOR'!AQ1139</f>
        <v>0</v>
      </c>
      <c r="H1057" s="3831"/>
      <c r="I1057" s="810">
        <f t="shared" si="78"/>
        <v>0</v>
      </c>
      <c r="J1057" s="811">
        <f t="shared" si="79"/>
        <v>0</v>
      </c>
      <c r="K1057" s="3832"/>
      <c r="L1057" s="3833"/>
      <c r="M1057" s="3833"/>
      <c r="N1057" s="3834"/>
      <c r="O1057" s="820">
        <f t="shared" si="80"/>
        <v>0</v>
      </c>
    </row>
    <row r="1058" spans="3:15" ht="18" hidden="1">
      <c r="C1058" s="3859" t="str">
        <f>T('2 REPAIR ESTIMATOR'!D1140:O1140)</f>
        <v/>
      </c>
      <c r="D1058" s="3859"/>
      <c r="E1058" s="3859"/>
      <c r="F1058" s="3859"/>
      <c r="G1058" s="3831">
        <f>'2 REPAIR ESTIMATOR'!AQ1140</f>
        <v>0</v>
      </c>
      <c r="H1058" s="3831"/>
      <c r="I1058" s="810">
        <f t="shared" si="78"/>
        <v>0</v>
      </c>
      <c r="J1058" s="811">
        <f t="shared" si="79"/>
        <v>0</v>
      </c>
      <c r="K1058" s="3832"/>
      <c r="L1058" s="3833"/>
      <c r="M1058" s="3833"/>
      <c r="N1058" s="3834"/>
      <c r="O1058" s="820">
        <f t="shared" si="80"/>
        <v>0</v>
      </c>
    </row>
    <row r="1059" spans="3:15" ht="18" hidden="1">
      <c r="C1059" s="3859" t="str">
        <f>T('2 REPAIR ESTIMATOR'!D1141:O1141)</f>
        <v/>
      </c>
      <c r="D1059" s="3859"/>
      <c r="E1059" s="3859"/>
      <c r="F1059" s="3859"/>
      <c r="G1059" s="3831">
        <f>'2 REPAIR ESTIMATOR'!AQ1141</f>
        <v>0</v>
      </c>
      <c r="H1059" s="3831"/>
      <c r="I1059" s="810">
        <f t="shared" si="78"/>
        <v>0</v>
      </c>
      <c r="J1059" s="811">
        <f t="shared" si="79"/>
        <v>0</v>
      </c>
      <c r="K1059" s="3832"/>
      <c r="L1059" s="3833"/>
      <c r="M1059" s="3833"/>
      <c r="N1059" s="3834"/>
      <c r="O1059" s="820">
        <f t="shared" si="80"/>
        <v>0</v>
      </c>
    </row>
    <row r="1060" spans="3:15" ht="18" hidden="1">
      <c r="C1060" s="3859" t="str">
        <f>T('2 REPAIR ESTIMATOR'!D1142:O1142)</f>
        <v/>
      </c>
      <c r="D1060" s="3859"/>
      <c r="E1060" s="3859"/>
      <c r="F1060" s="3859"/>
      <c r="G1060" s="3831">
        <f>'2 REPAIR ESTIMATOR'!AQ1142</f>
        <v>0</v>
      </c>
      <c r="H1060" s="3831"/>
      <c r="I1060" s="810">
        <f t="shared" si="78"/>
        <v>0</v>
      </c>
      <c r="J1060" s="811">
        <f t="shared" si="79"/>
        <v>0</v>
      </c>
      <c r="K1060" s="3832"/>
      <c r="L1060" s="3833"/>
      <c r="M1060" s="3833"/>
      <c r="N1060" s="3834"/>
      <c r="O1060" s="820">
        <f t="shared" si="80"/>
        <v>0</v>
      </c>
    </row>
    <row r="1061" spans="3:15" ht="18" hidden="1">
      <c r="C1061" s="3859" t="str">
        <f>T('2 REPAIR ESTIMATOR'!D1143:O1143)</f>
        <v/>
      </c>
      <c r="D1061" s="3859"/>
      <c r="E1061" s="3859"/>
      <c r="F1061" s="3859"/>
      <c r="G1061" s="3831">
        <f>'2 REPAIR ESTIMATOR'!AQ1143</f>
        <v>0</v>
      </c>
      <c r="H1061" s="3831"/>
      <c r="I1061" s="810">
        <f t="shared" si="78"/>
        <v>0</v>
      </c>
      <c r="J1061" s="811">
        <f t="shared" si="79"/>
        <v>0</v>
      </c>
      <c r="K1061" s="3832"/>
      <c r="L1061" s="3833"/>
      <c r="M1061" s="3833"/>
      <c r="N1061" s="3834"/>
      <c r="O1061" s="820">
        <f t="shared" si="80"/>
        <v>0</v>
      </c>
    </row>
    <row r="1062" spans="3:15" ht="18" hidden="1">
      <c r="C1062" s="3859" t="str">
        <f>T('2 REPAIR ESTIMATOR'!D1144:O1144)</f>
        <v/>
      </c>
      <c r="D1062" s="3859"/>
      <c r="E1062" s="3859"/>
      <c r="F1062" s="3859"/>
      <c r="G1062" s="3831">
        <f>'2 REPAIR ESTIMATOR'!AQ1144</f>
        <v>0</v>
      </c>
      <c r="H1062" s="3831"/>
      <c r="I1062" s="810">
        <f t="shared" si="78"/>
        <v>0</v>
      </c>
      <c r="J1062" s="811">
        <f t="shared" si="79"/>
        <v>0</v>
      </c>
      <c r="K1062" s="3832"/>
      <c r="L1062" s="3833"/>
      <c r="M1062" s="3833"/>
      <c r="N1062" s="3834"/>
      <c r="O1062" s="820">
        <f t="shared" si="80"/>
        <v>0</v>
      </c>
    </row>
    <row r="1063" spans="3:15" ht="18" hidden="1">
      <c r="C1063" s="3859" t="str">
        <f>T('2 REPAIR ESTIMATOR'!D1145:O1145)</f>
        <v/>
      </c>
      <c r="D1063" s="3859"/>
      <c r="E1063" s="3859"/>
      <c r="F1063" s="3859"/>
      <c r="G1063" s="3831">
        <f>'2 REPAIR ESTIMATOR'!AQ1145</f>
        <v>0</v>
      </c>
      <c r="H1063" s="3831"/>
      <c r="I1063" s="810">
        <f t="shared" si="78"/>
        <v>0</v>
      </c>
      <c r="J1063" s="811">
        <f t="shared" si="79"/>
        <v>0</v>
      </c>
      <c r="K1063" s="3832"/>
      <c r="L1063" s="3833"/>
      <c r="M1063" s="3833"/>
      <c r="N1063" s="3834"/>
      <c r="O1063" s="820">
        <f t="shared" si="80"/>
        <v>0</v>
      </c>
    </row>
    <row r="1064" spans="3:15" ht="18" hidden="1">
      <c r="C1064" s="3859" t="str">
        <f>T('2 REPAIR ESTIMATOR'!D1146:O1146)</f>
        <v/>
      </c>
      <c r="D1064" s="3859"/>
      <c r="E1064" s="3859"/>
      <c r="F1064" s="3859"/>
      <c r="G1064" s="3831">
        <f>'2 REPAIR ESTIMATOR'!AQ1146</f>
        <v>0</v>
      </c>
      <c r="H1064" s="3831"/>
      <c r="I1064" s="810">
        <f t="shared" si="78"/>
        <v>0</v>
      </c>
      <c r="J1064" s="811">
        <f t="shared" si="79"/>
        <v>0</v>
      </c>
      <c r="K1064" s="3832"/>
      <c r="L1064" s="3833"/>
      <c r="M1064" s="3833"/>
      <c r="N1064" s="3834"/>
      <c r="O1064" s="820">
        <f t="shared" si="80"/>
        <v>0</v>
      </c>
    </row>
    <row r="1065" spans="3:15" ht="18" hidden="1">
      <c r="C1065" s="3859" t="str">
        <f>T('2 REPAIR ESTIMATOR'!D1147:O1147)</f>
        <v/>
      </c>
      <c r="D1065" s="3859"/>
      <c r="E1065" s="3859"/>
      <c r="F1065" s="3859"/>
      <c r="G1065" s="3831">
        <f>'2 REPAIR ESTIMATOR'!AQ1147</f>
        <v>0</v>
      </c>
      <c r="H1065" s="3831"/>
      <c r="I1065" s="810">
        <f t="shared" si="78"/>
        <v>0</v>
      </c>
      <c r="J1065" s="811">
        <f t="shared" si="79"/>
        <v>0</v>
      </c>
      <c r="K1065" s="3832"/>
      <c r="L1065" s="3833"/>
      <c r="M1065" s="3833"/>
      <c r="N1065" s="3834"/>
      <c r="O1065" s="820">
        <f t="shared" si="80"/>
        <v>0</v>
      </c>
    </row>
    <row r="1066" spans="3:15" ht="18" hidden="1">
      <c r="C1066" s="3859" t="str">
        <f>T('2 REPAIR ESTIMATOR'!D1148:O1148)</f>
        <v/>
      </c>
      <c r="D1066" s="3859"/>
      <c r="E1066" s="3859"/>
      <c r="F1066" s="3859"/>
      <c r="G1066" s="3831">
        <f>'2 REPAIR ESTIMATOR'!AQ1148</f>
        <v>0</v>
      </c>
      <c r="H1066" s="3831"/>
      <c r="I1066" s="810">
        <f t="shared" si="78"/>
        <v>0</v>
      </c>
      <c r="J1066" s="811">
        <f t="shared" si="79"/>
        <v>0</v>
      </c>
      <c r="K1066" s="3832"/>
      <c r="L1066" s="3833"/>
      <c r="M1066" s="3833"/>
      <c r="N1066" s="3834"/>
      <c r="O1066" s="820">
        <f t="shared" si="80"/>
        <v>0</v>
      </c>
    </row>
    <row r="1067" spans="3:15" ht="18" hidden="1">
      <c r="C1067" s="3859" t="str">
        <f>T('2 REPAIR ESTIMATOR'!D1149:O1149)</f>
        <v/>
      </c>
      <c r="D1067" s="3859"/>
      <c r="E1067" s="3859"/>
      <c r="F1067" s="3859"/>
      <c r="G1067" s="3831">
        <f>'2 REPAIR ESTIMATOR'!AQ1149</f>
        <v>0</v>
      </c>
      <c r="H1067" s="3831"/>
      <c r="I1067" s="810">
        <f t="shared" si="78"/>
        <v>0</v>
      </c>
      <c r="J1067" s="811">
        <f t="shared" si="79"/>
        <v>0</v>
      </c>
      <c r="K1067" s="3832"/>
      <c r="L1067" s="3833"/>
      <c r="M1067" s="3833"/>
      <c r="N1067" s="3834"/>
      <c r="O1067" s="820">
        <f t="shared" si="80"/>
        <v>0</v>
      </c>
    </row>
    <row r="1068" spans="3:15" ht="18" hidden="1">
      <c r="C1068" s="3859" t="str">
        <f>T('2 REPAIR ESTIMATOR'!D1150:O1150)</f>
        <v/>
      </c>
      <c r="D1068" s="3859"/>
      <c r="E1068" s="3859"/>
      <c r="F1068" s="3859"/>
      <c r="G1068" s="3831">
        <f>'2 REPAIR ESTIMATOR'!AQ1150</f>
        <v>0</v>
      </c>
      <c r="H1068" s="3831"/>
      <c r="I1068" s="810">
        <f t="shared" si="78"/>
        <v>0</v>
      </c>
      <c r="J1068" s="811">
        <f t="shared" si="79"/>
        <v>0</v>
      </c>
      <c r="K1068" s="3832"/>
      <c r="L1068" s="3833"/>
      <c r="M1068" s="3833"/>
      <c r="N1068" s="3834"/>
      <c r="O1068" s="820">
        <f t="shared" si="80"/>
        <v>0</v>
      </c>
    </row>
    <row r="1069" spans="3:15" ht="18" hidden="1">
      <c r="C1069" s="3859" t="str">
        <f>T('2 REPAIR ESTIMATOR'!D1151:O1151)</f>
        <v/>
      </c>
      <c r="D1069" s="3859"/>
      <c r="E1069" s="3859"/>
      <c r="F1069" s="3859"/>
      <c r="G1069" s="3831">
        <f>'2 REPAIR ESTIMATOR'!AQ1151</f>
        <v>0</v>
      </c>
      <c r="H1069" s="3831"/>
      <c r="I1069" s="810">
        <f t="shared" si="78"/>
        <v>0</v>
      </c>
      <c r="J1069" s="811">
        <f t="shared" si="79"/>
        <v>0</v>
      </c>
      <c r="K1069" s="3832"/>
      <c r="L1069" s="3833"/>
      <c r="M1069" s="3833"/>
      <c r="N1069" s="3834"/>
      <c r="O1069" s="820">
        <f t="shared" si="80"/>
        <v>0</v>
      </c>
    </row>
    <row r="1070" spans="3:15" ht="18" hidden="1">
      <c r="C1070" s="3859" t="str">
        <f>T('2 REPAIR ESTIMATOR'!D1152:O1152)</f>
        <v/>
      </c>
      <c r="D1070" s="3859"/>
      <c r="E1070" s="3859"/>
      <c r="F1070" s="3859"/>
      <c r="G1070" s="3831">
        <f>'2 REPAIR ESTIMATOR'!AQ1152</f>
        <v>0</v>
      </c>
      <c r="H1070" s="3831"/>
      <c r="I1070" s="810">
        <f t="shared" si="78"/>
        <v>0</v>
      </c>
      <c r="J1070" s="811">
        <f t="shared" si="79"/>
        <v>0</v>
      </c>
      <c r="K1070" s="3832"/>
      <c r="L1070" s="3833"/>
      <c r="M1070" s="3833"/>
      <c r="N1070" s="3834"/>
      <c r="O1070" s="820">
        <f t="shared" si="80"/>
        <v>0</v>
      </c>
    </row>
    <row r="1071" spans="3:15" ht="18" hidden="1">
      <c r="C1071" s="3859" t="str">
        <f>T('2 REPAIR ESTIMATOR'!D1153:O1153)</f>
        <v/>
      </c>
      <c r="D1071" s="3859"/>
      <c r="E1071" s="3859"/>
      <c r="F1071" s="3859"/>
      <c r="G1071" s="3831">
        <f>'2 REPAIR ESTIMATOR'!AQ1153</f>
        <v>0</v>
      </c>
      <c r="H1071" s="3831"/>
      <c r="I1071" s="810">
        <f t="shared" si="78"/>
        <v>0</v>
      </c>
      <c r="J1071" s="811">
        <f t="shared" si="79"/>
        <v>0</v>
      </c>
      <c r="K1071" s="3832"/>
      <c r="L1071" s="3833"/>
      <c r="M1071" s="3833"/>
      <c r="N1071" s="3834"/>
      <c r="O1071" s="820">
        <f t="shared" si="80"/>
        <v>0</v>
      </c>
    </row>
    <row r="1072" spans="3:15" ht="18" hidden="1">
      <c r="C1072" s="3859" t="str">
        <f>T('2 REPAIR ESTIMATOR'!D1154:O1154)</f>
        <v/>
      </c>
      <c r="D1072" s="3859"/>
      <c r="E1072" s="3859"/>
      <c r="F1072" s="3859"/>
      <c r="G1072" s="3831">
        <f>'2 REPAIR ESTIMATOR'!AQ1154</f>
        <v>0</v>
      </c>
      <c r="H1072" s="3831"/>
      <c r="I1072" s="810">
        <f t="shared" si="78"/>
        <v>0</v>
      </c>
      <c r="J1072" s="811">
        <f t="shared" si="79"/>
        <v>0</v>
      </c>
      <c r="K1072" s="3832"/>
      <c r="L1072" s="3833"/>
      <c r="M1072" s="3833"/>
      <c r="N1072" s="3834"/>
      <c r="O1072" s="820">
        <f t="shared" si="80"/>
        <v>0</v>
      </c>
    </row>
    <row r="1073" spans="3:15" ht="18" hidden="1">
      <c r="C1073" s="3859" t="str">
        <f>T('2 REPAIR ESTIMATOR'!D1155:O1155)</f>
        <v/>
      </c>
      <c r="D1073" s="3859"/>
      <c r="E1073" s="3859"/>
      <c r="F1073" s="3859"/>
      <c r="G1073" s="3831">
        <f>'2 REPAIR ESTIMATOR'!AQ1155</f>
        <v>0</v>
      </c>
      <c r="H1073" s="3831"/>
      <c r="I1073" s="810">
        <f t="shared" si="78"/>
        <v>0</v>
      </c>
      <c r="J1073" s="811">
        <f t="shared" si="79"/>
        <v>0</v>
      </c>
      <c r="K1073" s="3832"/>
      <c r="L1073" s="3833"/>
      <c r="M1073" s="3833"/>
      <c r="N1073" s="3834"/>
      <c r="O1073" s="820">
        <f t="shared" si="80"/>
        <v>0</v>
      </c>
    </row>
    <row r="1074" spans="3:15" ht="18" hidden="1">
      <c r="C1074" s="3859" t="str">
        <f>T('2 REPAIR ESTIMATOR'!D1156:O1156)</f>
        <v/>
      </c>
      <c r="D1074" s="3859"/>
      <c r="E1074" s="3859"/>
      <c r="F1074" s="3859"/>
      <c r="G1074" s="3831">
        <f>'2 REPAIR ESTIMATOR'!AQ1156</f>
        <v>0</v>
      </c>
      <c r="H1074" s="3831"/>
      <c r="I1074" s="810">
        <f t="shared" si="78"/>
        <v>0</v>
      </c>
      <c r="J1074" s="811">
        <f t="shared" si="79"/>
        <v>0</v>
      </c>
      <c r="K1074" s="3832"/>
      <c r="L1074" s="3833"/>
      <c r="M1074" s="3833"/>
      <c r="N1074" s="3834"/>
      <c r="O1074" s="820">
        <f t="shared" si="80"/>
        <v>0</v>
      </c>
    </row>
    <row r="1075" spans="3:15" ht="18" hidden="1">
      <c r="C1075" s="3859" t="str">
        <f>T('2 REPAIR ESTIMATOR'!D1157:O1157)</f>
        <v/>
      </c>
      <c r="D1075" s="3859"/>
      <c r="E1075" s="3859"/>
      <c r="F1075" s="3859"/>
      <c r="G1075" s="3831">
        <f>'2 REPAIR ESTIMATOR'!AQ1157</f>
        <v>0</v>
      </c>
      <c r="H1075" s="3831"/>
      <c r="I1075" s="810">
        <f t="shared" si="78"/>
        <v>0</v>
      </c>
      <c r="J1075" s="811">
        <f t="shared" si="79"/>
        <v>0</v>
      </c>
      <c r="K1075" s="3832"/>
      <c r="L1075" s="3833"/>
      <c r="M1075" s="3833"/>
      <c r="N1075" s="3834"/>
      <c r="O1075" s="820">
        <f t="shared" si="80"/>
        <v>0</v>
      </c>
    </row>
    <row r="1076" spans="3:15" ht="18" hidden="1">
      <c r="C1076" s="3859" t="str">
        <f>T('2 REPAIR ESTIMATOR'!D1158:O1158)</f>
        <v/>
      </c>
      <c r="D1076" s="3859"/>
      <c r="E1076" s="3859"/>
      <c r="F1076" s="3859"/>
      <c r="G1076" s="3831">
        <f>'2 REPAIR ESTIMATOR'!AQ1158</f>
        <v>0</v>
      </c>
      <c r="H1076" s="3831"/>
      <c r="I1076" s="810">
        <f t="shared" si="78"/>
        <v>0</v>
      </c>
      <c r="J1076" s="811">
        <f t="shared" si="79"/>
        <v>0</v>
      </c>
      <c r="K1076" s="3832"/>
      <c r="L1076" s="3833"/>
      <c r="M1076" s="3833"/>
      <c r="N1076" s="3834"/>
      <c r="O1076" s="820">
        <f t="shared" si="80"/>
        <v>0</v>
      </c>
    </row>
    <row r="1077" spans="3:15" ht="18" hidden="1">
      <c r="C1077" s="3859" t="str">
        <f>T('2 REPAIR ESTIMATOR'!D1159:O1159)</f>
        <v/>
      </c>
      <c r="D1077" s="3859"/>
      <c r="E1077" s="3859"/>
      <c r="F1077" s="3859"/>
      <c r="G1077" s="3831">
        <f>'2 REPAIR ESTIMATOR'!AQ1159</f>
        <v>0</v>
      </c>
      <c r="H1077" s="3831"/>
      <c r="I1077" s="810">
        <f t="shared" si="78"/>
        <v>0</v>
      </c>
      <c r="J1077" s="811">
        <f t="shared" si="79"/>
        <v>0</v>
      </c>
      <c r="K1077" s="3832"/>
      <c r="L1077" s="3833"/>
      <c r="M1077" s="3833"/>
      <c r="N1077" s="3834"/>
      <c r="O1077" s="820">
        <f t="shared" si="80"/>
        <v>0</v>
      </c>
    </row>
    <row r="1078" spans="3:15" ht="18" hidden="1">
      <c r="C1078" s="3859" t="str">
        <f>T('2 REPAIR ESTIMATOR'!D1160:O1160)</f>
        <v/>
      </c>
      <c r="D1078" s="3859"/>
      <c r="E1078" s="3859"/>
      <c r="F1078" s="3859"/>
      <c r="G1078" s="3831">
        <f>'2 REPAIR ESTIMATOR'!AQ1160</f>
        <v>0</v>
      </c>
      <c r="H1078" s="3831"/>
      <c r="I1078" s="810">
        <f t="shared" si="78"/>
        <v>0</v>
      </c>
      <c r="J1078" s="811">
        <f t="shared" si="79"/>
        <v>0</v>
      </c>
      <c r="K1078" s="3832"/>
      <c r="L1078" s="3833"/>
      <c r="M1078" s="3833"/>
      <c r="N1078" s="3834"/>
      <c r="O1078" s="820">
        <f t="shared" si="80"/>
        <v>0</v>
      </c>
    </row>
    <row r="1079" spans="3:15" ht="18" hidden="1">
      <c r="C1079" s="3859" t="str">
        <f>T('2 REPAIR ESTIMATOR'!D1161:O1161)</f>
        <v/>
      </c>
      <c r="D1079" s="3859"/>
      <c r="E1079" s="3859"/>
      <c r="F1079" s="3859"/>
      <c r="G1079" s="3831">
        <f>'2 REPAIR ESTIMATOR'!AQ1161</f>
        <v>0</v>
      </c>
      <c r="H1079" s="3831"/>
      <c r="I1079" s="810">
        <f t="shared" si="78"/>
        <v>0</v>
      </c>
      <c r="J1079" s="811">
        <f t="shared" si="79"/>
        <v>0</v>
      </c>
      <c r="K1079" s="3832"/>
      <c r="L1079" s="3833"/>
      <c r="M1079" s="3833"/>
      <c r="N1079" s="3834"/>
      <c r="O1079" s="820">
        <f t="shared" si="80"/>
        <v>0</v>
      </c>
    </row>
    <row r="1080" spans="3:15" ht="18.350000000000001" hidden="1" thickBot="1">
      <c r="C1080" s="3835" t="str">
        <f>T('2 REPAIR ESTIMATOR'!D1162:O1162)</f>
        <v/>
      </c>
      <c r="D1080" s="3835"/>
      <c r="E1080" s="3835"/>
      <c r="F1080" s="3835"/>
      <c r="G1080" s="3836">
        <f>'2 REPAIR ESTIMATOR'!AQ1162</f>
        <v>0</v>
      </c>
      <c r="H1080" s="3836"/>
      <c r="I1080" s="813">
        <f t="shared" si="78"/>
        <v>0</v>
      </c>
      <c r="J1080" s="814">
        <f t="shared" si="79"/>
        <v>0</v>
      </c>
      <c r="K1080" s="3837"/>
      <c r="L1080" s="3838"/>
      <c r="M1080" s="3838"/>
      <c r="N1080" s="3839"/>
      <c r="O1080" s="823">
        <f t="shared" si="80"/>
        <v>0</v>
      </c>
    </row>
    <row r="1081" spans="3:15" ht="18.350000000000001" hidden="1" thickTop="1">
      <c r="C1081" s="3825" t="str">
        <f>T('2 REPAIR ESTIMATOR'!AC1164)</f>
        <v>MISCELLANEOUS TOTAL</v>
      </c>
      <c r="D1081" s="3825"/>
      <c r="E1081" s="3825"/>
      <c r="F1081" s="3825"/>
      <c r="G1081" s="3826">
        <f>SUM(G1041:H1080)</f>
        <v>0</v>
      </c>
      <c r="H1081" s="3826"/>
      <c r="I1081" s="818">
        <f>SUM(I1041:I1080)</f>
        <v>0</v>
      </c>
      <c r="J1081" s="819">
        <f>SUM(J1041:J1080)</f>
        <v>0</v>
      </c>
      <c r="K1081" s="3827"/>
      <c r="L1081" s="3828"/>
      <c r="M1081" s="3828"/>
      <c r="N1081" s="3829"/>
      <c r="O1081" s="821">
        <f>SUM(O1041:O1080)</f>
        <v>0</v>
      </c>
    </row>
    <row r="1082" spans="3:15" ht="8.85" hidden="1" customHeight="1">
      <c r="C1082" s="836"/>
      <c r="D1082" s="836"/>
      <c r="E1082" s="836"/>
      <c r="F1082" s="836"/>
      <c r="G1082" s="837"/>
      <c r="H1082" s="837"/>
      <c r="I1082" s="837"/>
      <c r="J1082" s="837"/>
      <c r="K1082" s="837"/>
      <c r="L1082" s="837"/>
      <c r="M1082" s="837"/>
      <c r="N1082" s="837"/>
      <c r="O1082" s="822">
        <f>O1081</f>
        <v>0</v>
      </c>
    </row>
    <row r="1083" spans="3:15" ht="21.75" hidden="1" customHeight="1">
      <c r="C1083" s="3865" t="s">
        <v>1155</v>
      </c>
      <c r="D1083" s="3865"/>
      <c r="E1083" s="3865"/>
      <c r="F1083" s="3865"/>
      <c r="G1083" s="3847">
        <f>SUBTOTAL_ESTIMATE</f>
        <v>0</v>
      </c>
      <c r="H1083" s="3848"/>
      <c r="I1083" s="808">
        <f>IFERROR(G1083/Property_Size,0)</f>
        <v>0</v>
      </c>
      <c r="J1083" s="812">
        <f>IFERROR(G1083/Total_Project_Costs_Result,0)</f>
        <v>0</v>
      </c>
      <c r="K1083" s="3832"/>
      <c r="L1083" s="3833"/>
      <c r="M1083" s="3833"/>
      <c r="N1083" s="3834"/>
      <c r="O1083" s="820">
        <f>IF(G1083&gt;0,1,0)</f>
        <v>0</v>
      </c>
    </row>
    <row r="1084" spans="3:15" ht="21.75" hidden="1" customHeight="1">
      <c r="C1084" s="803"/>
      <c r="D1084" s="803"/>
      <c r="E1084" s="803"/>
      <c r="F1084" s="803"/>
      <c r="G1084" s="512"/>
      <c r="H1084" s="512"/>
      <c r="I1084" s="512"/>
      <c r="J1084" s="512"/>
      <c r="K1084" s="512"/>
      <c r="L1084" s="512"/>
      <c r="M1084" s="512"/>
      <c r="N1084" s="512"/>
      <c r="O1084" s="822">
        <f>O1090</f>
        <v>0</v>
      </c>
    </row>
    <row r="1085" spans="3:15" ht="21.75" hidden="1" customHeight="1">
      <c r="C1085" s="3864" t="s">
        <v>1128</v>
      </c>
      <c r="D1085" s="3864"/>
      <c r="E1085" s="3864"/>
      <c r="F1085" s="3864"/>
      <c r="G1085" s="512"/>
      <c r="H1085" s="512"/>
      <c r="I1085" s="512"/>
      <c r="J1085" s="512"/>
      <c r="K1085" s="3849"/>
      <c r="L1085" s="3849"/>
      <c r="M1085" s="3849"/>
      <c r="N1085" s="3849"/>
      <c r="O1085" s="822">
        <f>O1090</f>
        <v>0</v>
      </c>
    </row>
    <row r="1086" spans="3:15" ht="21.75" hidden="1" customHeight="1">
      <c r="C1086" s="3867" t="str">
        <f>CONCATENATE("Location Multiplier of ",TEXT(Location_Mutiplier,"0.00"))</f>
        <v>Location Multiplier of 0.00</v>
      </c>
      <c r="D1086" s="3867"/>
      <c r="E1086" s="3867"/>
      <c r="F1086" s="3867"/>
      <c r="G1086" s="3879">
        <f>Location_Mutiplier_Amount</f>
        <v>0</v>
      </c>
      <c r="H1086" s="3880"/>
      <c r="I1086" s="827">
        <f>IFERROR(G1086/Property_Size,0)</f>
        <v>0</v>
      </c>
      <c r="J1086" s="824">
        <f>IFERROR(G1086/Total_Project_Costs_Result,0)</f>
        <v>0</v>
      </c>
      <c r="K1086" s="3870"/>
      <c r="L1086" s="3871"/>
      <c r="M1086" s="3871"/>
      <c r="N1086" s="3872"/>
      <c r="O1086" s="822">
        <f>IF(G1086&gt;0,1,0)</f>
        <v>0</v>
      </c>
    </row>
    <row r="1087" spans="3:15" ht="21.75" hidden="1" customHeight="1">
      <c r="C1087" s="3868" t="str">
        <f>CONCATENATE("Building Permit Costs (",TEXT(Permit_Percentage,"0.0%"),")")</f>
        <v>Building Permit Costs (0.0%)</v>
      </c>
      <c r="D1087" s="3868"/>
      <c r="E1087" s="3868"/>
      <c r="F1087" s="3868"/>
      <c r="G1087" s="3881">
        <f>Permit_Amount</f>
        <v>0</v>
      </c>
      <c r="H1087" s="3882"/>
      <c r="I1087" s="828">
        <f>IFERROR(G1087/Property_Size,0)</f>
        <v>0</v>
      </c>
      <c r="J1087" s="825">
        <f>IFERROR(G1087/Total_Project_Costs_Result,0)</f>
        <v>0</v>
      </c>
      <c r="K1087" s="3873"/>
      <c r="L1087" s="3874"/>
      <c r="M1087" s="3874"/>
      <c r="N1087" s="3875"/>
      <c r="O1087" s="822">
        <f t="shared" ref="O1087:O1094" si="81">IF(G1087&gt;0,1,0)</f>
        <v>0</v>
      </c>
    </row>
    <row r="1088" spans="3:15" ht="21.75" hidden="1" customHeight="1">
      <c r="C1088" s="3868" t="str">
        <f>CONCATENATE("Contractors Overhead and Profit (",TEXT(Contractos_Overhead_Percentage,"0.0%"),")")</f>
        <v>Contractors Overhead and Profit (0.0%)</v>
      </c>
      <c r="D1088" s="3868"/>
      <c r="E1088" s="3868"/>
      <c r="F1088" s="3868"/>
      <c r="G1088" s="3881">
        <f>Contractors_Overhead_Profit_Amount</f>
        <v>0</v>
      </c>
      <c r="H1088" s="3882"/>
      <c r="I1088" s="828">
        <f>IFERROR(G1088/Property_Size,0)</f>
        <v>0</v>
      </c>
      <c r="J1088" s="825">
        <f>IFERROR(G1088/Total_Project_Costs_Result,0)</f>
        <v>0</v>
      </c>
      <c r="K1088" s="3873"/>
      <c r="L1088" s="3874"/>
      <c r="M1088" s="3874"/>
      <c r="N1088" s="3875"/>
      <c r="O1088" s="822">
        <f t="shared" si="81"/>
        <v>0</v>
      </c>
    </row>
    <row r="1089" spans="2:15" ht="21.75" hidden="1" customHeight="1">
      <c r="C1089" s="3869" t="str">
        <f>CONCATENATE("Estimate Contingency  (",TEXT(Contingency_Percentage,"0.0%"),")")</f>
        <v>Estimate Contingency  (0.0%)</v>
      </c>
      <c r="D1089" s="3869"/>
      <c r="E1089" s="3869"/>
      <c r="F1089" s="3869"/>
      <c r="G1089" s="3883">
        <f>Contingency_Amount</f>
        <v>0</v>
      </c>
      <c r="H1089" s="3884"/>
      <c r="I1089" s="829">
        <f>IFERROR(G1089/Property_Size,0)</f>
        <v>0</v>
      </c>
      <c r="J1089" s="826">
        <f>IFERROR(G1089/Total_Project_Costs_Result,0)</f>
        <v>0</v>
      </c>
      <c r="K1089" s="3876"/>
      <c r="L1089" s="3877"/>
      <c r="M1089" s="3877"/>
      <c r="N1089" s="3878"/>
      <c r="O1089" s="822">
        <f t="shared" si="81"/>
        <v>0</v>
      </c>
    </row>
    <row r="1090" spans="2:15" ht="21.75" hidden="1" customHeight="1">
      <c r="C1090" s="3864" t="s">
        <v>1158</v>
      </c>
      <c r="D1090" s="3864"/>
      <c r="E1090" s="3864"/>
      <c r="F1090" s="3864"/>
      <c r="G1090" s="3885">
        <f>SUM(G1086:H1089)</f>
        <v>0</v>
      </c>
      <c r="H1090" s="3885"/>
      <c r="I1090" s="516">
        <f>SUM(I1086:I1089)</f>
        <v>0</v>
      </c>
      <c r="J1090" s="513">
        <f>SUM(J1086:J1089)</f>
        <v>0</v>
      </c>
      <c r="K1090" s="512"/>
      <c r="L1090" s="512"/>
      <c r="M1090" s="512"/>
      <c r="N1090" s="512"/>
      <c r="O1090" s="822">
        <f t="shared" si="81"/>
        <v>0</v>
      </c>
    </row>
    <row r="1091" spans="2:15" ht="21.75" hidden="1" customHeight="1">
      <c r="C1091" s="838"/>
      <c r="D1091" s="838"/>
      <c r="E1091" s="838"/>
      <c r="F1091" s="838"/>
      <c r="G1091" s="512"/>
      <c r="H1091" s="512"/>
      <c r="I1091" s="512"/>
      <c r="J1091" s="512"/>
      <c r="K1091" s="512"/>
      <c r="L1091" s="512"/>
      <c r="M1091" s="512"/>
      <c r="N1091" s="512"/>
      <c r="O1091" s="822">
        <f>O1092</f>
        <v>0</v>
      </c>
    </row>
    <row r="1092" spans="2:15" ht="21.75" hidden="1" customHeight="1">
      <c r="C1092" s="3865" t="s">
        <v>1156</v>
      </c>
      <c r="D1092" s="3865"/>
      <c r="E1092" s="3865"/>
      <c r="F1092" s="3865"/>
      <c r="G1092" s="3847">
        <f>G1083+G1090</f>
        <v>0</v>
      </c>
      <c r="H1092" s="3848"/>
      <c r="I1092" s="808">
        <f>IFERROR(G1092/Property_Size,0)</f>
        <v>0</v>
      </c>
      <c r="J1092" s="812">
        <f>IFERROR(G1092/Total_Project_Costs_Result,0)</f>
        <v>0</v>
      </c>
      <c r="K1092" s="3832"/>
      <c r="L1092" s="3833"/>
      <c r="M1092" s="3833"/>
      <c r="N1092" s="3834"/>
      <c r="O1092" s="822">
        <f t="shared" si="81"/>
        <v>0</v>
      </c>
    </row>
    <row r="1093" spans="2:15" ht="21.75" hidden="1" customHeight="1">
      <c r="C1093" s="838"/>
      <c r="D1093" s="838"/>
      <c r="E1093" s="838"/>
      <c r="F1093" s="838"/>
      <c r="G1093" s="512"/>
      <c r="H1093" s="512"/>
      <c r="I1093" s="512"/>
      <c r="J1093" s="512"/>
      <c r="K1093" s="512"/>
      <c r="L1093" s="512"/>
      <c r="M1093" s="512"/>
      <c r="N1093" s="512"/>
      <c r="O1093" s="822">
        <f>O1094</f>
        <v>0</v>
      </c>
    </row>
    <row r="1094" spans="2:15" ht="21.75" hidden="1" customHeight="1">
      <c r="C1094" s="3865" t="s">
        <v>953</v>
      </c>
      <c r="D1094" s="3865"/>
      <c r="E1094" s="3865"/>
      <c r="F1094" s="3865"/>
      <c r="G1094" s="3847">
        <f>Total_Project_Costs_Result</f>
        <v>0</v>
      </c>
      <c r="H1094" s="3848"/>
      <c r="I1094" s="808">
        <f>IFERROR(G1094/Property_Size,0)</f>
        <v>0</v>
      </c>
      <c r="J1094" s="812">
        <f>IFERROR(G1094/Total_Project_Costs_Result,0)</f>
        <v>0</v>
      </c>
      <c r="K1094" s="3832"/>
      <c r="L1094" s="3833"/>
      <c r="M1094" s="3833"/>
      <c r="N1094" s="3834"/>
      <c r="O1094" s="822">
        <f t="shared" si="81"/>
        <v>0</v>
      </c>
    </row>
    <row r="1095" spans="2:15" ht="14.45" customHeight="1">
      <c r="C1095" s="839"/>
      <c r="D1095" s="839"/>
      <c r="E1095" s="839"/>
      <c r="F1095" s="839"/>
      <c r="G1095" s="840"/>
      <c r="H1095" s="840"/>
      <c r="I1095" s="840"/>
      <c r="J1095" s="840"/>
      <c r="K1095" s="840"/>
      <c r="L1095" s="840"/>
      <c r="M1095" s="840"/>
      <c r="N1095" s="840"/>
      <c r="O1095" s="822">
        <v>1</v>
      </c>
    </row>
    <row r="1096" spans="2:15" ht="15" hidden="1" customHeight="1">
      <c r="C1096" s="3433" t="s">
        <v>955</v>
      </c>
      <c r="D1096" s="3433"/>
      <c r="E1096" s="3433"/>
      <c r="F1096" s="3433"/>
      <c r="G1096" s="3433"/>
      <c r="H1096" s="3433"/>
      <c r="I1096" s="3433"/>
      <c r="J1096" s="3433"/>
      <c r="K1096" s="3433"/>
      <c r="L1096" s="3433"/>
      <c r="M1096" s="3433"/>
      <c r="N1096" s="3433"/>
      <c r="O1096" s="3433"/>
    </row>
    <row r="1097" spans="2:15" ht="15" hidden="1" customHeight="1">
      <c r="C1097" s="3433"/>
      <c r="D1097" s="3433"/>
      <c r="E1097" s="3433"/>
      <c r="F1097" s="3433"/>
      <c r="G1097" s="3433"/>
      <c r="H1097" s="3433"/>
      <c r="I1097" s="3433"/>
      <c r="J1097" s="3433"/>
      <c r="K1097" s="3433"/>
      <c r="L1097" s="3433"/>
      <c r="M1097" s="3433"/>
      <c r="N1097" s="3433"/>
      <c r="O1097" s="3433"/>
    </row>
    <row r="1098" spans="2:15">
      <c r="B1098" s="133"/>
    </row>
    <row r="1121" spans="1:18" s="13" customFormat="1">
      <c r="A1121" s="12"/>
      <c r="B1121" s="12"/>
      <c r="C1121" s="3866"/>
      <c r="D1121" s="3866"/>
      <c r="E1121" s="3866"/>
      <c r="F1121" s="3866"/>
      <c r="G1121" s="3866"/>
      <c r="H1121" s="3866"/>
      <c r="I1121" s="805"/>
      <c r="J1121" s="805"/>
      <c r="K1121" s="805"/>
      <c r="L1121" s="805"/>
      <c r="M1121" s="805"/>
      <c r="N1121" s="805"/>
      <c r="P1121" s="12"/>
      <c r="Q1121" s="12"/>
      <c r="R1121" s="12"/>
    </row>
  </sheetData>
  <sheetProtection formatCells="0" formatColumns="0" formatRows="0" insertColumns="0" insertHyperlinks="0" deleteColumns="0" deleteRows="0" sort="0" autoFilter="0"/>
  <autoFilter ref="C18:O1097" xr:uid="{00000000-0009-0000-0000-000021000000}">
    <filterColumn colId="0" showButton="0"/>
    <filterColumn colId="1" showButton="0"/>
    <filterColumn colId="2" showButton="0"/>
    <filterColumn colId="4" showButton="0"/>
    <filterColumn colId="8" showButton="0"/>
    <filterColumn colId="9" showButton="0"/>
    <filterColumn colId="10" showButton="0"/>
    <filterColumn colId="12">
      <customFilters>
        <customFilter operator="greaterThan" val="0"/>
      </customFilters>
    </filterColumn>
  </autoFilter>
  <mergeCells count="3145">
    <mergeCell ref="C1090:F1090"/>
    <mergeCell ref="C1092:F1092"/>
    <mergeCell ref="C1096:O1097"/>
    <mergeCell ref="C1121:H1121"/>
    <mergeCell ref="C1086:F1086"/>
    <mergeCell ref="C1087:F1087"/>
    <mergeCell ref="C1088:F1088"/>
    <mergeCell ref="C1089:F1089"/>
    <mergeCell ref="C1083:F1083"/>
    <mergeCell ref="C1085:F1085"/>
    <mergeCell ref="K1086:N1086"/>
    <mergeCell ref="K1087:N1087"/>
    <mergeCell ref="K1088:N1088"/>
    <mergeCell ref="K1089:N1089"/>
    <mergeCell ref="G1086:H1086"/>
    <mergeCell ref="G1087:H1087"/>
    <mergeCell ref="G1089:H1089"/>
    <mergeCell ref="G1088:H1088"/>
    <mergeCell ref="G1092:H1092"/>
    <mergeCell ref="K1092:N1092"/>
    <mergeCell ref="G1090:H1090"/>
    <mergeCell ref="C1094:F1094"/>
    <mergeCell ref="G1094:H1094"/>
    <mergeCell ref="K1094:N1094"/>
    <mergeCell ref="C1079:F1079"/>
    <mergeCell ref="G1079:H1079"/>
    <mergeCell ref="C1080:F1080"/>
    <mergeCell ref="G1080:H1080"/>
    <mergeCell ref="C1081:F1081"/>
    <mergeCell ref="G1081:H1081"/>
    <mergeCell ref="C1076:F1076"/>
    <mergeCell ref="G1076:H1076"/>
    <mergeCell ref="C1077:F1077"/>
    <mergeCell ref="G1077:H1077"/>
    <mergeCell ref="C1078:F1078"/>
    <mergeCell ref="G1078:H1078"/>
    <mergeCell ref="C1073:F1073"/>
    <mergeCell ref="G1073:H1073"/>
    <mergeCell ref="C1074:F1074"/>
    <mergeCell ref="G1074:H1074"/>
    <mergeCell ref="C1075:F1075"/>
    <mergeCell ref="G1075:H1075"/>
    <mergeCell ref="C1070:F1070"/>
    <mergeCell ref="G1070:H1070"/>
    <mergeCell ref="C1071:F1071"/>
    <mergeCell ref="G1071:H1071"/>
    <mergeCell ref="C1072:F1072"/>
    <mergeCell ref="G1072:H1072"/>
    <mergeCell ref="C1067:F1067"/>
    <mergeCell ref="G1067:H1067"/>
    <mergeCell ref="C1068:F1068"/>
    <mergeCell ref="G1068:H1068"/>
    <mergeCell ref="C1069:F1069"/>
    <mergeCell ref="G1069:H1069"/>
    <mergeCell ref="C1064:F1064"/>
    <mergeCell ref="G1064:H1064"/>
    <mergeCell ref="C1065:F1065"/>
    <mergeCell ref="G1065:H1065"/>
    <mergeCell ref="C1066:F1066"/>
    <mergeCell ref="G1066:H1066"/>
    <mergeCell ref="C1061:F1061"/>
    <mergeCell ref="G1061:H1061"/>
    <mergeCell ref="C1062:F1062"/>
    <mergeCell ref="G1062:H1062"/>
    <mergeCell ref="C1063:F1063"/>
    <mergeCell ref="G1063:H1063"/>
    <mergeCell ref="C1058:F1058"/>
    <mergeCell ref="G1058:H1058"/>
    <mergeCell ref="C1059:F1059"/>
    <mergeCell ref="G1059:H1059"/>
    <mergeCell ref="C1060:F1060"/>
    <mergeCell ref="G1060:H1060"/>
    <mergeCell ref="C1055:F1055"/>
    <mergeCell ref="G1055:H1055"/>
    <mergeCell ref="C1056:F1056"/>
    <mergeCell ref="G1056:H1056"/>
    <mergeCell ref="C1057:F1057"/>
    <mergeCell ref="G1057:H1057"/>
    <mergeCell ref="C1052:F1052"/>
    <mergeCell ref="G1052:H1052"/>
    <mergeCell ref="C1053:F1053"/>
    <mergeCell ref="G1053:H1053"/>
    <mergeCell ref="C1054:F1054"/>
    <mergeCell ref="G1054:H1054"/>
    <mergeCell ref="C1049:F1049"/>
    <mergeCell ref="G1049:H1049"/>
    <mergeCell ref="C1050:F1050"/>
    <mergeCell ref="G1050:H1050"/>
    <mergeCell ref="C1051:F1051"/>
    <mergeCell ref="G1051:H1051"/>
    <mergeCell ref="C1046:F1046"/>
    <mergeCell ref="G1046:H1046"/>
    <mergeCell ref="C1047:F1047"/>
    <mergeCell ref="G1047:H1047"/>
    <mergeCell ref="C1048:F1048"/>
    <mergeCell ref="G1048:H1048"/>
    <mergeCell ref="C1043:F1043"/>
    <mergeCell ref="G1043:H1043"/>
    <mergeCell ref="C1044:F1044"/>
    <mergeCell ref="G1044:H1044"/>
    <mergeCell ref="C1045:F1045"/>
    <mergeCell ref="G1045:H1045"/>
    <mergeCell ref="C1040:F1040"/>
    <mergeCell ref="G1040:H1040"/>
    <mergeCell ref="C1041:F1041"/>
    <mergeCell ref="G1041:H1041"/>
    <mergeCell ref="C1042:F1042"/>
    <mergeCell ref="G1042:H1042"/>
    <mergeCell ref="C1036:F1036"/>
    <mergeCell ref="G1036:H1036"/>
    <mergeCell ref="C1037:F1037"/>
    <mergeCell ref="G1037:H1037"/>
    <mergeCell ref="C1038:F1038"/>
    <mergeCell ref="G1038:H1038"/>
    <mergeCell ref="C1033:F1033"/>
    <mergeCell ref="G1033:H1033"/>
    <mergeCell ref="C1034:F1034"/>
    <mergeCell ref="G1034:H1034"/>
    <mergeCell ref="C1035:F1035"/>
    <mergeCell ref="G1035:H1035"/>
    <mergeCell ref="C1030:F1030"/>
    <mergeCell ref="G1030:H1030"/>
    <mergeCell ref="C1031:F1031"/>
    <mergeCell ref="G1031:H1031"/>
    <mergeCell ref="C1032:F1032"/>
    <mergeCell ref="G1032:H1032"/>
    <mergeCell ref="C1027:F1027"/>
    <mergeCell ref="G1027:H1027"/>
    <mergeCell ref="C1028:F1028"/>
    <mergeCell ref="G1028:H1028"/>
    <mergeCell ref="C1029:F1029"/>
    <mergeCell ref="G1029:H1029"/>
    <mergeCell ref="C1024:F1024"/>
    <mergeCell ref="G1024:H1024"/>
    <mergeCell ref="C1025:F1025"/>
    <mergeCell ref="G1025:H1025"/>
    <mergeCell ref="C1026:F1026"/>
    <mergeCell ref="G1026:H1026"/>
    <mergeCell ref="C1021:F1021"/>
    <mergeCell ref="G1021:H1021"/>
    <mergeCell ref="C1022:F1022"/>
    <mergeCell ref="G1022:H1022"/>
    <mergeCell ref="C1023:F1023"/>
    <mergeCell ref="G1023:H1023"/>
    <mergeCell ref="C1018:F1018"/>
    <mergeCell ref="G1018:H1018"/>
    <mergeCell ref="C1019:F1019"/>
    <mergeCell ref="G1019:H1019"/>
    <mergeCell ref="C1020:F1020"/>
    <mergeCell ref="G1020:H1020"/>
    <mergeCell ref="C1015:F1015"/>
    <mergeCell ref="G1015:H1015"/>
    <mergeCell ref="C1016:F1016"/>
    <mergeCell ref="G1016:H1016"/>
    <mergeCell ref="C1017:F1017"/>
    <mergeCell ref="G1017:H1017"/>
    <mergeCell ref="C1012:F1012"/>
    <mergeCell ref="G1012:H1012"/>
    <mergeCell ref="C1013:F1013"/>
    <mergeCell ref="G1013:H1013"/>
    <mergeCell ref="C1014:F1014"/>
    <mergeCell ref="G1014:H1014"/>
    <mergeCell ref="C1009:F1009"/>
    <mergeCell ref="G1009:H1009"/>
    <mergeCell ref="C1010:F1010"/>
    <mergeCell ref="G1010:H1010"/>
    <mergeCell ref="C1011:F1011"/>
    <mergeCell ref="G1011:H1011"/>
    <mergeCell ref="C1006:F1006"/>
    <mergeCell ref="G1006:H1006"/>
    <mergeCell ref="C1007:F1007"/>
    <mergeCell ref="G1007:H1007"/>
    <mergeCell ref="C1008:F1008"/>
    <mergeCell ref="G1008:H1008"/>
    <mergeCell ref="C1003:F1003"/>
    <mergeCell ref="G1003:H1003"/>
    <mergeCell ref="C1004:F1004"/>
    <mergeCell ref="G1004:H1004"/>
    <mergeCell ref="C1005:F1005"/>
    <mergeCell ref="G1005:H1005"/>
    <mergeCell ref="C1000:F1000"/>
    <mergeCell ref="G1000:H1000"/>
    <mergeCell ref="C1001:F1001"/>
    <mergeCell ref="G1001:H1001"/>
    <mergeCell ref="C1002:F1002"/>
    <mergeCell ref="G1002:H1002"/>
    <mergeCell ref="C997:F997"/>
    <mergeCell ref="G997:H997"/>
    <mergeCell ref="C998:F998"/>
    <mergeCell ref="G998:H998"/>
    <mergeCell ref="C999:F999"/>
    <mergeCell ref="G999:H999"/>
    <mergeCell ref="C993:F993"/>
    <mergeCell ref="G993:H993"/>
    <mergeCell ref="C994:F994"/>
    <mergeCell ref="G994:H994"/>
    <mergeCell ref="C995:F995"/>
    <mergeCell ref="G995:H995"/>
    <mergeCell ref="C990:F990"/>
    <mergeCell ref="G990:H990"/>
    <mergeCell ref="C991:F991"/>
    <mergeCell ref="G991:H991"/>
    <mergeCell ref="C992:F992"/>
    <mergeCell ref="G992:H992"/>
    <mergeCell ref="C987:F987"/>
    <mergeCell ref="G987:H987"/>
    <mergeCell ref="C988:F988"/>
    <mergeCell ref="G988:H988"/>
    <mergeCell ref="C989:F989"/>
    <mergeCell ref="G989:H989"/>
    <mergeCell ref="C984:F984"/>
    <mergeCell ref="G984:H984"/>
    <mergeCell ref="C985:F985"/>
    <mergeCell ref="G985:H985"/>
    <mergeCell ref="C986:F986"/>
    <mergeCell ref="G986:H986"/>
    <mergeCell ref="C981:F981"/>
    <mergeCell ref="G981:H981"/>
    <mergeCell ref="C982:F982"/>
    <mergeCell ref="G982:H982"/>
    <mergeCell ref="C983:F983"/>
    <mergeCell ref="G983:H983"/>
    <mergeCell ref="C978:F978"/>
    <mergeCell ref="G978:H978"/>
    <mergeCell ref="C979:F979"/>
    <mergeCell ref="G979:H979"/>
    <mergeCell ref="C980:F980"/>
    <mergeCell ref="G980:H980"/>
    <mergeCell ref="C975:F975"/>
    <mergeCell ref="G975:H975"/>
    <mergeCell ref="C976:F976"/>
    <mergeCell ref="G976:H976"/>
    <mergeCell ref="C977:F977"/>
    <mergeCell ref="G977:H977"/>
    <mergeCell ref="C972:F972"/>
    <mergeCell ref="G972:H972"/>
    <mergeCell ref="C973:F973"/>
    <mergeCell ref="G973:H973"/>
    <mergeCell ref="C974:F974"/>
    <mergeCell ref="G974:H974"/>
    <mergeCell ref="C969:F969"/>
    <mergeCell ref="G969:H969"/>
    <mergeCell ref="C970:F970"/>
    <mergeCell ref="G970:H970"/>
    <mergeCell ref="C971:F971"/>
    <mergeCell ref="G971:H971"/>
    <mergeCell ref="C966:F966"/>
    <mergeCell ref="G966:H966"/>
    <mergeCell ref="C967:F967"/>
    <mergeCell ref="G967:H967"/>
    <mergeCell ref="C968:F968"/>
    <mergeCell ref="G968:H968"/>
    <mergeCell ref="C963:F963"/>
    <mergeCell ref="G963:H963"/>
    <mergeCell ref="C964:F964"/>
    <mergeCell ref="G964:H964"/>
    <mergeCell ref="C965:F965"/>
    <mergeCell ref="G965:H965"/>
    <mergeCell ref="C960:F960"/>
    <mergeCell ref="G960:H960"/>
    <mergeCell ref="C961:F961"/>
    <mergeCell ref="G961:H961"/>
    <mergeCell ref="C962:F962"/>
    <mergeCell ref="G962:H962"/>
    <mergeCell ref="C957:F957"/>
    <mergeCell ref="G957:H957"/>
    <mergeCell ref="C958:F958"/>
    <mergeCell ref="G958:H958"/>
    <mergeCell ref="C959:F959"/>
    <mergeCell ref="G959:H959"/>
    <mergeCell ref="C954:F954"/>
    <mergeCell ref="G954:H954"/>
    <mergeCell ref="C955:F955"/>
    <mergeCell ref="G955:H955"/>
    <mergeCell ref="C956:F956"/>
    <mergeCell ref="G956:H956"/>
    <mergeCell ref="C950:F950"/>
    <mergeCell ref="G950:H950"/>
    <mergeCell ref="C951:F951"/>
    <mergeCell ref="G951:H951"/>
    <mergeCell ref="C952:F952"/>
    <mergeCell ref="G952:H952"/>
    <mergeCell ref="C947:F947"/>
    <mergeCell ref="G947:H947"/>
    <mergeCell ref="C948:F948"/>
    <mergeCell ref="G948:H948"/>
    <mergeCell ref="C949:F949"/>
    <mergeCell ref="G949:H949"/>
    <mergeCell ref="C944:F944"/>
    <mergeCell ref="G944:H944"/>
    <mergeCell ref="C945:F945"/>
    <mergeCell ref="G945:H945"/>
    <mergeCell ref="C946:F946"/>
    <mergeCell ref="G946:H946"/>
    <mergeCell ref="C941:F941"/>
    <mergeCell ref="G941:H941"/>
    <mergeCell ref="C942:F942"/>
    <mergeCell ref="G942:H942"/>
    <mergeCell ref="C943:F943"/>
    <mergeCell ref="G943:H943"/>
    <mergeCell ref="C938:F938"/>
    <mergeCell ref="G938:H938"/>
    <mergeCell ref="C939:F939"/>
    <mergeCell ref="G939:H939"/>
    <mergeCell ref="C940:F940"/>
    <mergeCell ref="G940:H940"/>
    <mergeCell ref="C935:F935"/>
    <mergeCell ref="G935:H935"/>
    <mergeCell ref="C936:F936"/>
    <mergeCell ref="G936:H936"/>
    <mergeCell ref="C937:F937"/>
    <mergeCell ref="G937:H937"/>
    <mergeCell ref="C932:F932"/>
    <mergeCell ref="G932:H932"/>
    <mergeCell ref="C933:F933"/>
    <mergeCell ref="G933:H933"/>
    <mergeCell ref="C934:F934"/>
    <mergeCell ref="G934:H934"/>
    <mergeCell ref="C929:F929"/>
    <mergeCell ref="G929:H929"/>
    <mergeCell ref="C930:F930"/>
    <mergeCell ref="G930:H930"/>
    <mergeCell ref="C931:F931"/>
    <mergeCell ref="G931:H931"/>
    <mergeCell ref="C926:F926"/>
    <mergeCell ref="G926:H926"/>
    <mergeCell ref="C927:F927"/>
    <mergeCell ref="G927:H927"/>
    <mergeCell ref="C928:F928"/>
    <mergeCell ref="G928:H928"/>
    <mergeCell ref="C923:F923"/>
    <mergeCell ref="G923:H923"/>
    <mergeCell ref="C924:F924"/>
    <mergeCell ref="G924:H924"/>
    <mergeCell ref="C925:F925"/>
    <mergeCell ref="G925:H925"/>
    <mergeCell ref="C920:F920"/>
    <mergeCell ref="G920:H920"/>
    <mergeCell ref="C921:F921"/>
    <mergeCell ref="G921:H921"/>
    <mergeCell ref="C922:F922"/>
    <mergeCell ref="G922:H922"/>
    <mergeCell ref="C917:F917"/>
    <mergeCell ref="G917:H917"/>
    <mergeCell ref="C918:F918"/>
    <mergeCell ref="G918:H918"/>
    <mergeCell ref="C919:F919"/>
    <mergeCell ref="G919:H919"/>
    <mergeCell ref="C914:F914"/>
    <mergeCell ref="G914:H914"/>
    <mergeCell ref="C915:F915"/>
    <mergeCell ref="G915:H915"/>
    <mergeCell ref="C916:F916"/>
    <mergeCell ref="G916:H916"/>
    <mergeCell ref="C911:F911"/>
    <mergeCell ref="G911:H911"/>
    <mergeCell ref="C912:F912"/>
    <mergeCell ref="G912:H912"/>
    <mergeCell ref="C913:F913"/>
    <mergeCell ref="G913:H913"/>
    <mergeCell ref="C907:F907"/>
    <mergeCell ref="G907:H907"/>
    <mergeCell ref="C908:F908"/>
    <mergeCell ref="G908:H908"/>
    <mergeCell ref="C909:F909"/>
    <mergeCell ref="G909:H909"/>
    <mergeCell ref="C904:F904"/>
    <mergeCell ref="G904:H904"/>
    <mergeCell ref="C905:F905"/>
    <mergeCell ref="G905:H905"/>
    <mergeCell ref="C906:F906"/>
    <mergeCell ref="G906:H906"/>
    <mergeCell ref="C901:F901"/>
    <mergeCell ref="G901:H901"/>
    <mergeCell ref="C902:F902"/>
    <mergeCell ref="G902:H902"/>
    <mergeCell ref="C903:F903"/>
    <mergeCell ref="G903:H903"/>
    <mergeCell ref="C898:F898"/>
    <mergeCell ref="G898:H898"/>
    <mergeCell ref="C899:F899"/>
    <mergeCell ref="G899:H899"/>
    <mergeCell ref="C900:F900"/>
    <mergeCell ref="G900:H900"/>
    <mergeCell ref="C895:F895"/>
    <mergeCell ref="G895:H895"/>
    <mergeCell ref="C896:F896"/>
    <mergeCell ref="G896:H896"/>
    <mergeCell ref="C897:F897"/>
    <mergeCell ref="G897:H897"/>
    <mergeCell ref="C892:F892"/>
    <mergeCell ref="G892:H892"/>
    <mergeCell ref="C893:F893"/>
    <mergeCell ref="G893:H893"/>
    <mergeCell ref="C894:F894"/>
    <mergeCell ref="G894:H894"/>
    <mergeCell ref="C889:F889"/>
    <mergeCell ref="G889:H889"/>
    <mergeCell ref="C890:F890"/>
    <mergeCell ref="G890:H890"/>
    <mergeCell ref="C891:F891"/>
    <mergeCell ref="G891:H891"/>
    <mergeCell ref="C886:F886"/>
    <mergeCell ref="G886:H886"/>
    <mergeCell ref="C887:F887"/>
    <mergeCell ref="G887:H887"/>
    <mergeCell ref="C888:F888"/>
    <mergeCell ref="G888:H888"/>
    <mergeCell ref="C883:F883"/>
    <mergeCell ref="G883:H883"/>
    <mergeCell ref="C884:F884"/>
    <mergeCell ref="G884:H884"/>
    <mergeCell ref="C885:F885"/>
    <mergeCell ref="G885:H885"/>
    <mergeCell ref="C880:F880"/>
    <mergeCell ref="G880:H880"/>
    <mergeCell ref="C881:F881"/>
    <mergeCell ref="G881:H881"/>
    <mergeCell ref="C882:F882"/>
    <mergeCell ref="G882:H882"/>
    <mergeCell ref="C877:F877"/>
    <mergeCell ref="G877:H877"/>
    <mergeCell ref="C878:F878"/>
    <mergeCell ref="G878:H878"/>
    <mergeCell ref="C879:F879"/>
    <mergeCell ref="G879:H879"/>
    <mergeCell ref="C874:F874"/>
    <mergeCell ref="G874:H874"/>
    <mergeCell ref="C875:F875"/>
    <mergeCell ref="G875:H875"/>
    <mergeCell ref="C876:F876"/>
    <mergeCell ref="G876:H876"/>
    <mergeCell ref="C871:F871"/>
    <mergeCell ref="G871:H871"/>
    <mergeCell ref="C872:F872"/>
    <mergeCell ref="G872:H872"/>
    <mergeCell ref="C873:F873"/>
    <mergeCell ref="G873:H873"/>
    <mergeCell ref="C868:F868"/>
    <mergeCell ref="G868:H868"/>
    <mergeCell ref="C869:F869"/>
    <mergeCell ref="G869:H869"/>
    <mergeCell ref="C870:F870"/>
    <mergeCell ref="G870:H870"/>
    <mergeCell ref="C864:F864"/>
    <mergeCell ref="G864:H864"/>
    <mergeCell ref="C865:F865"/>
    <mergeCell ref="G865:H865"/>
    <mergeCell ref="C866:F866"/>
    <mergeCell ref="G866:H866"/>
    <mergeCell ref="C861:F861"/>
    <mergeCell ref="G861:H861"/>
    <mergeCell ref="C862:F862"/>
    <mergeCell ref="G862:H862"/>
    <mergeCell ref="C863:F863"/>
    <mergeCell ref="G863:H863"/>
    <mergeCell ref="C858:F858"/>
    <mergeCell ref="G858:H858"/>
    <mergeCell ref="C859:F859"/>
    <mergeCell ref="G859:H859"/>
    <mergeCell ref="C860:F860"/>
    <mergeCell ref="G860:H860"/>
    <mergeCell ref="C855:F855"/>
    <mergeCell ref="G855:H855"/>
    <mergeCell ref="C856:F856"/>
    <mergeCell ref="G856:H856"/>
    <mergeCell ref="C857:F857"/>
    <mergeCell ref="G857:H857"/>
    <mergeCell ref="C852:F852"/>
    <mergeCell ref="G852:H852"/>
    <mergeCell ref="C853:F853"/>
    <mergeCell ref="G853:H853"/>
    <mergeCell ref="C854:F854"/>
    <mergeCell ref="G854:H854"/>
    <mergeCell ref="C849:F849"/>
    <mergeCell ref="G849:H849"/>
    <mergeCell ref="C850:F850"/>
    <mergeCell ref="G850:H850"/>
    <mergeCell ref="C851:F851"/>
    <mergeCell ref="G851:H851"/>
    <mergeCell ref="C846:F846"/>
    <mergeCell ref="G846:H846"/>
    <mergeCell ref="C847:F847"/>
    <mergeCell ref="G847:H847"/>
    <mergeCell ref="C848:F848"/>
    <mergeCell ref="G848:H848"/>
    <mergeCell ref="C843:F843"/>
    <mergeCell ref="G843:H843"/>
    <mergeCell ref="C844:F844"/>
    <mergeCell ref="G844:H844"/>
    <mergeCell ref="C845:F845"/>
    <mergeCell ref="G845:H845"/>
    <mergeCell ref="C840:F840"/>
    <mergeCell ref="G840:H840"/>
    <mergeCell ref="C841:F841"/>
    <mergeCell ref="G841:H841"/>
    <mergeCell ref="C842:F842"/>
    <mergeCell ref="G842:H842"/>
    <mergeCell ref="C837:F837"/>
    <mergeCell ref="G837:H837"/>
    <mergeCell ref="C838:F838"/>
    <mergeCell ref="G838:H838"/>
    <mergeCell ref="C839:F839"/>
    <mergeCell ref="G839:H839"/>
    <mergeCell ref="C834:F834"/>
    <mergeCell ref="G834:H834"/>
    <mergeCell ref="C835:F835"/>
    <mergeCell ref="G835:H835"/>
    <mergeCell ref="C836:F836"/>
    <mergeCell ref="G836:H836"/>
    <mergeCell ref="C831:F831"/>
    <mergeCell ref="G831:H831"/>
    <mergeCell ref="C832:F832"/>
    <mergeCell ref="G832:H832"/>
    <mergeCell ref="C833:F833"/>
    <mergeCell ref="G833:H833"/>
    <mergeCell ref="C828:F828"/>
    <mergeCell ref="G828:H828"/>
    <mergeCell ref="C829:F829"/>
    <mergeCell ref="G829:H829"/>
    <mergeCell ref="C830:F830"/>
    <mergeCell ref="G830:H830"/>
    <mergeCell ref="C825:F825"/>
    <mergeCell ref="G825:H825"/>
    <mergeCell ref="C826:F826"/>
    <mergeCell ref="G826:H826"/>
    <mergeCell ref="C827:F827"/>
    <mergeCell ref="G827:H827"/>
    <mergeCell ref="C821:F821"/>
    <mergeCell ref="G821:H821"/>
    <mergeCell ref="C822:F822"/>
    <mergeCell ref="G822:H822"/>
    <mergeCell ref="C823:F823"/>
    <mergeCell ref="G823:H823"/>
    <mergeCell ref="C818:F818"/>
    <mergeCell ref="G818:H818"/>
    <mergeCell ref="C819:F819"/>
    <mergeCell ref="G819:H819"/>
    <mergeCell ref="C820:F820"/>
    <mergeCell ref="G820:H820"/>
    <mergeCell ref="C815:F815"/>
    <mergeCell ref="G815:H815"/>
    <mergeCell ref="C816:F816"/>
    <mergeCell ref="G816:H816"/>
    <mergeCell ref="C817:F817"/>
    <mergeCell ref="G817:H817"/>
    <mergeCell ref="C812:F812"/>
    <mergeCell ref="G812:H812"/>
    <mergeCell ref="C813:F813"/>
    <mergeCell ref="G813:H813"/>
    <mergeCell ref="C814:F814"/>
    <mergeCell ref="G814:H814"/>
    <mergeCell ref="C809:F809"/>
    <mergeCell ref="G809:H809"/>
    <mergeCell ref="C810:F810"/>
    <mergeCell ref="G810:H810"/>
    <mergeCell ref="C811:F811"/>
    <mergeCell ref="G811:H811"/>
    <mergeCell ref="C806:F806"/>
    <mergeCell ref="G806:H806"/>
    <mergeCell ref="C807:F807"/>
    <mergeCell ref="G807:H807"/>
    <mergeCell ref="C808:F808"/>
    <mergeCell ref="G808:H808"/>
    <mergeCell ref="C803:F803"/>
    <mergeCell ref="G803:H803"/>
    <mergeCell ref="C804:F804"/>
    <mergeCell ref="G804:H804"/>
    <mergeCell ref="C805:F805"/>
    <mergeCell ref="G805:H805"/>
    <mergeCell ref="C800:F800"/>
    <mergeCell ref="G800:H800"/>
    <mergeCell ref="C801:F801"/>
    <mergeCell ref="G801:H801"/>
    <mergeCell ref="C802:F802"/>
    <mergeCell ref="G802:H802"/>
    <mergeCell ref="C797:F797"/>
    <mergeCell ref="G797:H797"/>
    <mergeCell ref="C798:F798"/>
    <mergeCell ref="G798:H798"/>
    <mergeCell ref="C799:F799"/>
    <mergeCell ref="G799:H799"/>
    <mergeCell ref="C794:F794"/>
    <mergeCell ref="G794:H794"/>
    <mergeCell ref="C795:F795"/>
    <mergeCell ref="G795:H795"/>
    <mergeCell ref="C796:F796"/>
    <mergeCell ref="G796:H796"/>
    <mergeCell ref="C791:F791"/>
    <mergeCell ref="G791:H791"/>
    <mergeCell ref="C792:F792"/>
    <mergeCell ref="G792:H792"/>
    <mergeCell ref="C793:F793"/>
    <mergeCell ref="G793:H793"/>
    <mergeCell ref="C788:F788"/>
    <mergeCell ref="G788:H788"/>
    <mergeCell ref="C789:F789"/>
    <mergeCell ref="G789:H789"/>
    <mergeCell ref="C790:F790"/>
    <mergeCell ref="G790:H790"/>
    <mergeCell ref="C785:F785"/>
    <mergeCell ref="G785:H785"/>
    <mergeCell ref="C786:F786"/>
    <mergeCell ref="G786:H786"/>
    <mergeCell ref="C787:F787"/>
    <mergeCell ref="G787:H787"/>
    <mergeCell ref="C782:F782"/>
    <mergeCell ref="G782:H782"/>
    <mergeCell ref="C783:F783"/>
    <mergeCell ref="G783:H783"/>
    <mergeCell ref="C784:F784"/>
    <mergeCell ref="G784:H784"/>
    <mergeCell ref="C778:F778"/>
    <mergeCell ref="G778:H778"/>
    <mergeCell ref="C779:F779"/>
    <mergeCell ref="G779:H779"/>
    <mergeCell ref="C780:F780"/>
    <mergeCell ref="G780:H780"/>
    <mergeCell ref="C775:F775"/>
    <mergeCell ref="G775:H775"/>
    <mergeCell ref="C776:F776"/>
    <mergeCell ref="G776:H776"/>
    <mergeCell ref="C777:F777"/>
    <mergeCell ref="G777:H777"/>
    <mergeCell ref="C772:F772"/>
    <mergeCell ref="G772:H772"/>
    <mergeCell ref="C773:F773"/>
    <mergeCell ref="G773:H773"/>
    <mergeCell ref="C774:F774"/>
    <mergeCell ref="G774:H774"/>
    <mergeCell ref="C769:F769"/>
    <mergeCell ref="G769:H769"/>
    <mergeCell ref="C770:F770"/>
    <mergeCell ref="G770:H770"/>
    <mergeCell ref="C771:F771"/>
    <mergeCell ref="G771:H771"/>
    <mergeCell ref="C766:F766"/>
    <mergeCell ref="G766:H766"/>
    <mergeCell ref="C767:F767"/>
    <mergeCell ref="G767:H767"/>
    <mergeCell ref="C768:F768"/>
    <mergeCell ref="G768:H768"/>
    <mergeCell ref="C763:F763"/>
    <mergeCell ref="G763:H763"/>
    <mergeCell ref="C764:F764"/>
    <mergeCell ref="G764:H764"/>
    <mergeCell ref="C765:F765"/>
    <mergeCell ref="G765:H765"/>
    <mergeCell ref="C760:F760"/>
    <mergeCell ref="G760:H760"/>
    <mergeCell ref="C761:F761"/>
    <mergeCell ref="G761:H761"/>
    <mergeCell ref="C762:F762"/>
    <mergeCell ref="G762:H762"/>
    <mergeCell ref="C757:F757"/>
    <mergeCell ref="G757:H757"/>
    <mergeCell ref="C758:F758"/>
    <mergeCell ref="G758:H758"/>
    <mergeCell ref="C759:F759"/>
    <mergeCell ref="G759:H759"/>
    <mergeCell ref="C754:F754"/>
    <mergeCell ref="G754:H754"/>
    <mergeCell ref="C755:F755"/>
    <mergeCell ref="G755:H755"/>
    <mergeCell ref="C756:F756"/>
    <mergeCell ref="G756:H756"/>
    <mergeCell ref="C751:F751"/>
    <mergeCell ref="G751:H751"/>
    <mergeCell ref="C752:F752"/>
    <mergeCell ref="G752:H752"/>
    <mergeCell ref="C753:F753"/>
    <mergeCell ref="G753:H753"/>
    <mergeCell ref="C748:F748"/>
    <mergeCell ref="G748:H748"/>
    <mergeCell ref="C749:F749"/>
    <mergeCell ref="G749:H749"/>
    <mergeCell ref="C750:F750"/>
    <mergeCell ref="G750:H750"/>
    <mergeCell ref="C745:F745"/>
    <mergeCell ref="G745:H745"/>
    <mergeCell ref="C746:F746"/>
    <mergeCell ref="G746:H746"/>
    <mergeCell ref="C747:F747"/>
    <mergeCell ref="G747:H747"/>
    <mergeCell ref="C742:F742"/>
    <mergeCell ref="G742:H742"/>
    <mergeCell ref="C743:F743"/>
    <mergeCell ref="G743:H743"/>
    <mergeCell ref="C744:F744"/>
    <mergeCell ref="G744:H744"/>
    <mergeCell ref="C739:F739"/>
    <mergeCell ref="G739:H739"/>
    <mergeCell ref="C740:F740"/>
    <mergeCell ref="G740:H740"/>
    <mergeCell ref="C741:F741"/>
    <mergeCell ref="G741:H741"/>
    <mergeCell ref="C735:F735"/>
    <mergeCell ref="G735:H735"/>
    <mergeCell ref="C736:F736"/>
    <mergeCell ref="G736:H736"/>
    <mergeCell ref="C737:F737"/>
    <mergeCell ref="G737:H737"/>
    <mergeCell ref="C732:F732"/>
    <mergeCell ref="G732:H732"/>
    <mergeCell ref="C733:F733"/>
    <mergeCell ref="G733:H733"/>
    <mergeCell ref="C734:F734"/>
    <mergeCell ref="G734:H734"/>
    <mergeCell ref="C729:F729"/>
    <mergeCell ref="G729:H729"/>
    <mergeCell ref="C730:F730"/>
    <mergeCell ref="G730:H730"/>
    <mergeCell ref="C731:F731"/>
    <mergeCell ref="G731:H731"/>
    <mergeCell ref="C726:F726"/>
    <mergeCell ref="G726:H726"/>
    <mergeCell ref="C727:F727"/>
    <mergeCell ref="G727:H727"/>
    <mergeCell ref="C728:F728"/>
    <mergeCell ref="G728:H728"/>
    <mergeCell ref="C723:F723"/>
    <mergeCell ref="G723:H723"/>
    <mergeCell ref="C724:F724"/>
    <mergeCell ref="G724:H724"/>
    <mergeCell ref="C725:F725"/>
    <mergeCell ref="G725:H725"/>
    <mergeCell ref="C720:F720"/>
    <mergeCell ref="G720:H720"/>
    <mergeCell ref="C721:F721"/>
    <mergeCell ref="G721:H721"/>
    <mergeCell ref="C722:F722"/>
    <mergeCell ref="G722:H722"/>
    <mergeCell ref="C717:F717"/>
    <mergeCell ref="G717:H717"/>
    <mergeCell ref="C718:F718"/>
    <mergeCell ref="G718:H718"/>
    <mergeCell ref="C719:F719"/>
    <mergeCell ref="G719:H719"/>
    <mergeCell ref="C714:F714"/>
    <mergeCell ref="G714:H714"/>
    <mergeCell ref="C715:F715"/>
    <mergeCell ref="G715:H715"/>
    <mergeCell ref="C716:F716"/>
    <mergeCell ref="G716:H716"/>
    <mergeCell ref="C711:F711"/>
    <mergeCell ref="G711:H711"/>
    <mergeCell ref="C712:F712"/>
    <mergeCell ref="G712:H712"/>
    <mergeCell ref="C713:F713"/>
    <mergeCell ref="G713:H713"/>
    <mergeCell ref="C708:F708"/>
    <mergeCell ref="G708:H708"/>
    <mergeCell ref="C709:F709"/>
    <mergeCell ref="G709:H709"/>
    <mergeCell ref="C710:F710"/>
    <mergeCell ref="G710:H710"/>
    <mergeCell ref="C705:F705"/>
    <mergeCell ref="G705:H705"/>
    <mergeCell ref="C706:F706"/>
    <mergeCell ref="G706:H706"/>
    <mergeCell ref="C707:F707"/>
    <mergeCell ref="G707:H707"/>
    <mergeCell ref="C702:F702"/>
    <mergeCell ref="G702:H702"/>
    <mergeCell ref="C703:F703"/>
    <mergeCell ref="G703:H703"/>
    <mergeCell ref="C704:F704"/>
    <mergeCell ref="G704:H704"/>
    <mergeCell ref="C699:F699"/>
    <mergeCell ref="G699:H699"/>
    <mergeCell ref="C700:F700"/>
    <mergeCell ref="G700:H700"/>
    <mergeCell ref="C701:F701"/>
    <mergeCell ref="G701:H701"/>
    <mergeCell ref="C696:F696"/>
    <mergeCell ref="G696:H696"/>
    <mergeCell ref="C697:F697"/>
    <mergeCell ref="G697:H697"/>
    <mergeCell ref="C698:F698"/>
    <mergeCell ref="G698:H698"/>
    <mergeCell ref="C692:F692"/>
    <mergeCell ref="G692:H692"/>
    <mergeCell ref="C693:F693"/>
    <mergeCell ref="G693:H693"/>
    <mergeCell ref="C694:F694"/>
    <mergeCell ref="G694:H694"/>
    <mergeCell ref="C689:F689"/>
    <mergeCell ref="G689:H689"/>
    <mergeCell ref="C690:F690"/>
    <mergeCell ref="G690:H690"/>
    <mergeCell ref="C691:F691"/>
    <mergeCell ref="G691:H691"/>
    <mergeCell ref="C686:F686"/>
    <mergeCell ref="G686:H686"/>
    <mergeCell ref="C687:F687"/>
    <mergeCell ref="G687:H687"/>
    <mergeCell ref="C688:F688"/>
    <mergeCell ref="G688:H688"/>
    <mergeCell ref="C683:F683"/>
    <mergeCell ref="G683:H683"/>
    <mergeCell ref="C684:F684"/>
    <mergeCell ref="G684:H684"/>
    <mergeCell ref="C685:F685"/>
    <mergeCell ref="G685:H685"/>
    <mergeCell ref="C680:F680"/>
    <mergeCell ref="G680:H680"/>
    <mergeCell ref="C681:F681"/>
    <mergeCell ref="G681:H681"/>
    <mergeCell ref="C682:F682"/>
    <mergeCell ref="G682:H682"/>
    <mergeCell ref="C677:F677"/>
    <mergeCell ref="G677:H677"/>
    <mergeCell ref="C678:F678"/>
    <mergeCell ref="G678:H678"/>
    <mergeCell ref="C679:F679"/>
    <mergeCell ref="G679:H679"/>
    <mergeCell ref="C674:F674"/>
    <mergeCell ref="G674:H674"/>
    <mergeCell ref="C675:F675"/>
    <mergeCell ref="G675:H675"/>
    <mergeCell ref="C676:F676"/>
    <mergeCell ref="G676:H676"/>
    <mergeCell ref="C671:F671"/>
    <mergeCell ref="G671:H671"/>
    <mergeCell ref="C672:F672"/>
    <mergeCell ref="G672:H672"/>
    <mergeCell ref="C673:F673"/>
    <mergeCell ref="G673:H673"/>
    <mergeCell ref="C668:F668"/>
    <mergeCell ref="G668:H668"/>
    <mergeCell ref="C669:F669"/>
    <mergeCell ref="G669:H669"/>
    <mergeCell ref="C670:F670"/>
    <mergeCell ref="G670:H670"/>
    <mergeCell ref="C665:F665"/>
    <mergeCell ref="G665:H665"/>
    <mergeCell ref="C666:F666"/>
    <mergeCell ref="G666:H666"/>
    <mergeCell ref="C667:F667"/>
    <mergeCell ref="G667:H667"/>
    <mergeCell ref="C662:F662"/>
    <mergeCell ref="G662:H662"/>
    <mergeCell ref="C663:F663"/>
    <mergeCell ref="G663:H663"/>
    <mergeCell ref="C664:F664"/>
    <mergeCell ref="G664:H664"/>
    <mergeCell ref="C659:F659"/>
    <mergeCell ref="G659:H659"/>
    <mergeCell ref="C660:F660"/>
    <mergeCell ref="G660:H660"/>
    <mergeCell ref="C661:F661"/>
    <mergeCell ref="G661:H661"/>
    <mergeCell ref="C656:F656"/>
    <mergeCell ref="G656:H656"/>
    <mergeCell ref="C657:F657"/>
    <mergeCell ref="G657:H657"/>
    <mergeCell ref="C658:F658"/>
    <mergeCell ref="G658:H658"/>
    <mergeCell ref="C653:F653"/>
    <mergeCell ref="G653:H653"/>
    <mergeCell ref="C654:F654"/>
    <mergeCell ref="G654:H654"/>
    <mergeCell ref="C655:F655"/>
    <mergeCell ref="G655:H655"/>
    <mergeCell ref="C649:F649"/>
    <mergeCell ref="G649:H649"/>
    <mergeCell ref="C650:F650"/>
    <mergeCell ref="G650:H650"/>
    <mergeCell ref="C651:F651"/>
    <mergeCell ref="G651:H651"/>
    <mergeCell ref="C646:F646"/>
    <mergeCell ref="G646:H646"/>
    <mergeCell ref="C647:F647"/>
    <mergeCell ref="G647:H647"/>
    <mergeCell ref="C648:F648"/>
    <mergeCell ref="G648:H648"/>
    <mergeCell ref="C643:F643"/>
    <mergeCell ref="G643:H643"/>
    <mergeCell ref="C644:F644"/>
    <mergeCell ref="G644:H644"/>
    <mergeCell ref="C645:F645"/>
    <mergeCell ref="G645:H645"/>
    <mergeCell ref="C640:F640"/>
    <mergeCell ref="G640:H640"/>
    <mergeCell ref="C641:F641"/>
    <mergeCell ref="G641:H641"/>
    <mergeCell ref="C642:F642"/>
    <mergeCell ref="G642:H642"/>
    <mergeCell ref="C637:F637"/>
    <mergeCell ref="G637:H637"/>
    <mergeCell ref="C638:F638"/>
    <mergeCell ref="G638:H638"/>
    <mergeCell ref="C639:F639"/>
    <mergeCell ref="G639:H639"/>
    <mergeCell ref="C634:F634"/>
    <mergeCell ref="G634:H634"/>
    <mergeCell ref="C635:F635"/>
    <mergeCell ref="G635:H635"/>
    <mergeCell ref="C636:F636"/>
    <mergeCell ref="G636:H636"/>
    <mergeCell ref="C631:F631"/>
    <mergeCell ref="G631:H631"/>
    <mergeCell ref="C632:F632"/>
    <mergeCell ref="G632:H632"/>
    <mergeCell ref="C633:F633"/>
    <mergeCell ref="G633:H633"/>
    <mergeCell ref="C628:F628"/>
    <mergeCell ref="G628:H628"/>
    <mergeCell ref="C629:F629"/>
    <mergeCell ref="G629:H629"/>
    <mergeCell ref="C630:F630"/>
    <mergeCell ref="G630:H630"/>
    <mergeCell ref="C625:F625"/>
    <mergeCell ref="G625:H625"/>
    <mergeCell ref="C626:F626"/>
    <mergeCell ref="G626:H626"/>
    <mergeCell ref="C627:F627"/>
    <mergeCell ref="G627:H627"/>
    <mergeCell ref="C622:F622"/>
    <mergeCell ref="G622:H622"/>
    <mergeCell ref="C623:F623"/>
    <mergeCell ref="G623:H623"/>
    <mergeCell ref="C624:F624"/>
    <mergeCell ref="G624:H624"/>
    <mergeCell ref="C619:F619"/>
    <mergeCell ref="G619:H619"/>
    <mergeCell ref="C620:F620"/>
    <mergeCell ref="G620:H620"/>
    <mergeCell ref="C621:F621"/>
    <mergeCell ref="G621:H621"/>
    <mergeCell ref="C616:F616"/>
    <mergeCell ref="G616:H616"/>
    <mergeCell ref="C617:F617"/>
    <mergeCell ref="G617:H617"/>
    <mergeCell ref="C618:F618"/>
    <mergeCell ref="G618:H618"/>
    <mergeCell ref="C613:F613"/>
    <mergeCell ref="G613:H613"/>
    <mergeCell ref="C614:F614"/>
    <mergeCell ref="G614:H614"/>
    <mergeCell ref="C615:F615"/>
    <mergeCell ref="G615:H615"/>
    <mergeCell ref="C610:F610"/>
    <mergeCell ref="G610:H610"/>
    <mergeCell ref="C611:F611"/>
    <mergeCell ref="G611:H611"/>
    <mergeCell ref="C612:F612"/>
    <mergeCell ref="G612:H612"/>
    <mergeCell ref="C606:F606"/>
    <mergeCell ref="G606:H606"/>
    <mergeCell ref="C607:F607"/>
    <mergeCell ref="G607:H607"/>
    <mergeCell ref="C608:F608"/>
    <mergeCell ref="G608:H608"/>
    <mergeCell ref="C603:F603"/>
    <mergeCell ref="G603:H603"/>
    <mergeCell ref="C604:F604"/>
    <mergeCell ref="G604:H604"/>
    <mergeCell ref="C605:F605"/>
    <mergeCell ref="G605:H605"/>
    <mergeCell ref="C600:F600"/>
    <mergeCell ref="G600:H600"/>
    <mergeCell ref="C601:F601"/>
    <mergeCell ref="G601:H601"/>
    <mergeCell ref="C602:F602"/>
    <mergeCell ref="G602:H602"/>
    <mergeCell ref="C597:F597"/>
    <mergeCell ref="G597:H597"/>
    <mergeCell ref="C598:F598"/>
    <mergeCell ref="G598:H598"/>
    <mergeCell ref="C599:F599"/>
    <mergeCell ref="G599:H599"/>
    <mergeCell ref="C594:F594"/>
    <mergeCell ref="G594:H594"/>
    <mergeCell ref="C595:F595"/>
    <mergeCell ref="G595:H595"/>
    <mergeCell ref="C596:F596"/>
    <mergeCell ref="G596:H596"/>
    <mergeCell ref="C591:F591"/>
    <mergeCell ref="G591:H591"/>
    <mergeCell ref="C592:F592"/>
    <mergeCell ref="G592:H592"/>
    <mergeCell ref="C593:F593"/>
    <mergeCell ref="G593:H593"/>
    <mergeCell ref="C588:F588"/>
    <mergeCell ref="G588:H588"/>
    <mergeCell ref="C589:F589"/>
    <mergeCell ref="G589:H589"/>
    <mergeCell ref="C590:F590"/>
    <mergeCell ref="G590:H590"/>
    <mergeCell ref="C585:F585"/>
    <mergeCell ref="G585:H585"/>
    <mergeCell ref="C586:F586"/>
    <mergeCell ref="G586:H586"/>
    <mergeCell ref="C587:F587"/>
    <mergeCell ref="G587:H587"/>
    <mergeCell ref="C582:F582"/>
    <mergeCell ref="G582:H582"/>
    <mergeCell ref="C583:F583"/>
    <mergeCell ref="G583:H583"/>
    <mergeCell ref="C584:F584"/>
    <mergeCell ref="G584:H584"/>
    <mergeCell ref="C579:F579"/>
    <mergeCell ref="G579:H579"/>
    <mergeCell ref="C580:F580"/>
    <mergeCell ref="G580:H580"/>
    <mergeCell ref="C581:F581"/>
    <mergeCell ref="G581:H581"/>
    <mergeCell ref="C576:F576"/>
    <mergeCell ref="G576:H576"/>
    <mergeCell ref="C577:F577"/>
    <mergeCell ref="G577:H577"/>
    <mergeCell ref="C578:F578"/>
    <mergeCell ref="G578:H578"/>
    <mergeCell ref="C573:F573"/>
    <mergeCell ref="G573:H573"/>
    <mergeCell ref="C574:F574"/>
    <mergeCell ref="G574:H574"/>
    <mergeCell ref="C575:F575"/>
    <mergeCell ref="G575:H575"/>
    <mergeCell ref="C570:F570"/>
    <mergeCell ref="G570:H570"/>
    <mergeCell ref="C571:F571"/>
    <mergeCell ref="G571:H571"/>
    <mergeCell ref="C572:F572"/>
    <mergeCell ref="G572:H572"/>
    <mergeCell ref="C567:F567"/>
    <mergeCell ref="G567:H567"/>
    <mergeCell ref="C568:F568"/>
    <mergeCell ref="G568:H568"/>
    <mergeCell ref="C569:F569"/>
    <mergeCell ref="G569:H569"/>
    <mergeCell ref="C563:F563"/>
    <mergeCell ref="G563:H563"/>
    <mergeCell ref="C564:F564"/>
    <mergeCell ref="G564:H564"/>
    <mergeCell ref="C565:F565"/>
    <mergeCell ref="G565:H565"/>
    <mergeCell ref="C560:F560"/>
    <mergeCell ref="G560:H560"/>
    <mergeCell ref="C561:F561"/>
    <mergeCell ref="G561:H561"/>
    <mergeCell ref="C562:F562"/>
    <mergeCell ref="G562:H562"/>
    <mergeCell ref="C557:F557"/>
    <mergeCell ref="G557:H557"/>
    <mergeCell ref="C558:F558"/>
    <mergeCell ref="G558:H558"/>
    <mergeCell ref="C559:F559"/>
    <mergeCell ref="G559:H559"/>
    <mergeCell ref="C554:F554"/>
    <mergeCell ref="G554:H554"/>
    <mergeCell ref="C555:F555"/>
    <mergeCell ref="G555:H555"/>
    <mergeCell ref="C556:F556"/>
    <mergeCell ref="G556:H556"/>
    <mergeCell ref="C551:F551"/>
    <mergeCell ref="G551:H551"/>
    <mergeCell ref="C552:F552"/>
    <mergeCell ref="G552:H552"/>
    <mergeCell ref="C553:F553"/>
    <mergeCell ref="G553:H553"/>
    <mergeCell ref="C548:F548"/>
    <mergeCell ref="G548:H548"/>
    <mergeCell ref="C549:F549"/>
    <mergeCell ref="G549:H549"/>
    <mergeCell ref="C550:F550"/>
    <mergeCell ref="G550:H550"/>
    <mergeCell ref="C545:F545"/>
    <mergeCell ref="G545:H545"/>
    <mergeCell ref="C546:F546"/>
    <mergeCell ref="G546:H546"/>
    <mergeCell ref="C547:F547"/>
    <mergeCell ref="G547:H547"/>
    <mergeCell ref="C542:F542"/>
    <mergeCell ref="G542:H542"/>
    <mergeCell ref="C543:F543"/>
    <mergeCell ref="G543:H543"/>
    <mergeCell ref="C544:F544"/>
    <mergeCell ref="G544:H544"/>
    <mergeCell ref="C539:F539"/>
    <mergeCell ref="G539:H539"/>
    <mergeCell ref="C540:F540"/>
    <mergeCell ref="G540:H540"/>
    <mergeCell ref="C541:F541"/>
    <mergeCell ref="G541:H541"/>
    <mergeCell ref="C536:F536"/>
    <mergeCell ref="G536:H536"/>
    <mergeCell ref="C537:F537"/>
    <mergeCell ref="G537:H537"/>
    <mergeCell ref="C538:F538"/>
    <mergeCell ref="G538:H538"/>
    <mergeCell ref="C533:F533"/>
    <mergeCell ref="G533:H533"/>
    <mergeCell ref="C534:F534"/>
    <mergeCell ref="G534:H534"/>
    <mergeCell ref="C535:F535"/>
    <mergeCell ref="G535:H535"/>
    <mergeCell ref="C530:F530"/>
    <mergeCell ref="G530:H530"/>
    <mergeCell ref="C531:F531"/>
    <mergeCell ref="G531:H531"/>
    <mergeCell ref="C532:F532"/>
    <mergeCell ref="G532:H532"/>
    <mergeCell ref="C527:F527"/>
    <mergeCell ref="G527:H527"/>
    <mergeCell ref="C528:F528"/>
    <mergeCell ref="G528:H528"/>
    <mergeCell ref="C529:F529"/>
    <mergeCell ref="G529:H529"/>
    <mergeCell ref="C524:F524"/>
    <mergeCell ref="G524:H524"/>
    <mergeCell ref="C525:F525"/>
    <mergeCell ref="G525:H525"/>
    <mergeCell ref="C526:F526"/>
    <mergeCell ref="G526:H526"/>
    <mergeCell ref="C520:F520"/>
    <mergeCell ref="G520:H520"/>
    <mergeCell ref="C521:F521"/>
    <mergeCell ref="G521:H521"/>
    <mergeCell ref="C522:F522"/>
    <mergeCell ref="G522:H522"/>
    <mergeCell ref="C517:F517"/>
    <mergeCell ref="G517:H517"/>
    <mergeCell ref="C518:F518"/>
    <mergeCell ref="G518:H518"/>
    <mergeCell ref="C519:F519"/>
    <mergeCell ref="G519:H519"/>
    <mergeCell ref="C514:F514"/>
    <mergeCell ref="G514:H514"/>
    <mergeCell ref="C515:F515"/>
    <mergeCell ref="G515:H515"/>
    <mergeCell ref="C516:F516"/>
    <mergeCell ref="G516:H516"/>
    <mergeCell ref="C511:F511"/>
    <mergeCell ref="G511:H511"/>
    <mergeCell ref="C512:F512"/>
    <mergeCell ref="G512:H512"/>
    <mergeCell ref="C513:F513"/>
    <mergeCell ref="G513:H513"/>
    <mergeCell ref="C508:F508"/>
    <mergeCell ref="G508:H508"/>
    <mergeCell ref="C509:F509"/>
    <mergeCell ref="G509:H509"/>
    <mergeCell ref="C510:F510"/>
    <mergeCell ref="G510:H510"/>
    <mergeCell ref="C505:F505"/>
    <mergeCell ref="G505:H505"/>
    <mergeCell ref="C506:F506"/>
    <mergeCell ref="G506:H506"/>
    <mergeCell ref="C507:F507"/>
    <mergeCell ref="G507:H507"/>
    <mergeCell ref="C502:F502"/>
    <mergeCell ref="G502:H502"/>
    <mergeCell ref="C503:F503"/>
    <mergeCell ref="G503:H503"/>
    <mergeCell ref="C504:F504"/>
    <mergeCell ref="G504:H504"/>
    <mergeCell ref="C499:F499"/>
    <mergeCell ref="G499:H499"/>
    <mergeCell ref="C500:F500"/>
    <mergeCell ref="G500:H500"/>
    <mergeCell ref="C501:F501"/>
    <mergeCell ref="G501:H501"/>
    <mergeCell ref="C496:F496"/>
    <mergeCell ref="G496:H496"/>
    <mergeCell ref="C497:F497"/>
    <mergeCell ref="G497:H497"/>
    <mergeCell ref="C498:F498"/>
    <mergeCell ref="G498:H498"/>
    <mergeCell ref="C493:F493"/>
    <mergeCell ref="G493:H493"/>
    <mergeCell ref="C494:F494"/>
    <mergeCell ref="G494:H494"/>
    <mergeCell ref="C495:F495"/>
    <mergeCell ref="G495:H495"/>
    <mergeCell ref="C490:F490"/>
    <mergeCell ref="G490:H490"/>
    <mergeCell ref="C491:F491"/>
    <mergeCell ref="G491:H491"/>
    <mergeCell ref="C492:F492"/>
    <mergeCell ref="G492:H492"/>
    <mergeCell ref="C487:F487"/>
    <mergeCell ref="G487:H487"/>
    <mergeCell ref="C488:F488"/>
    <mergeCell ref="G488:H488"/>
    <mergeCell ref="C489:F489"/>
    <mergeCell ref="G489:H489"/>
    <mergeCell ref="C484:F484"/>
    <mergeCell ref="G484:H484"/>
    <mergeCell ref="C485:F485"/>
    <mergeCell ref="G485:H485"/>
    <mergeCell ref="C486:F486"/>
    <mergeCell ref="G486:H486"/>
    <mergeCell ref="C481:F481"/>
    <mergeCell ref="G481:H481"/>
    <mergeCell ref="C482:F482"/>
    <mergeCell ref="G482:H482"/>
    <mergeCell ref="C483:F483"/>
    <mergeCell ref="G483:H483"/>
    <mergeCell ref="C477:F477"/>
    <mergeCell ref="G477:H477"/>
    <mergeCell ref="C478:F478"/>
    <mergeCell ref="G478:H478"/>
    <mergeCell ref="C479:F479"/>
    <mergeCell ref="G479:H479"/>
    <mergeCell ref="C474:F474"/>
    <mergeCell ref="G474:H474"/>
    <mergeCell ref="C475:F475"/>
    <mergeCell ref="G475:H475"/>
    <mergeCell ref="C476:F476"/>
    <mergeCell ref="G476:H476"/>
    <mergeCell ref="C471:F471"/>
    <mergeCell ref="G471:H471"/>
    <mergeCell ref="C472:F472"/>
    <mergeCell ref="G472:H472"/>
    <mergeCell ref="C473:F473"/>
    <mergeCell ref="G473:H473"/>
    <mergeCell ref="C468:F468"/>
    <mergeCell ref="G468:H468"/>
    <mergeCell ref="C469:F469"/>
    <mergeCell ref="G469:H469"/>
    <mergeCell ref="C470:F470"/>
    <mergeCell ref="G470:H470"/>
    <mergeCell ref="C465:F465"/>
    <mergeCell ref="G465:H465"/>
    <mergeCell ref="C466:F466"/>
    <mergeCell ref="G466:H466"/>
    <mergeCell ref="C467:F467"/>
    <mergeCell ref="G467:H467"/>
    <mergeCell ref="C462:F462"/>
    <mergeCell ref="G462:H462"/>
    <mergeCell ref="C463:F463"/>
    <mergeCell ref="G463:H463"/>
    <mergeCell ref="C464:F464"/>
    <mergeCell ref="G464:H464"/>
    <mergeCell ref="C459:F459"/>
    <mergeCell ref="G459:H459"/>
    <mergeCell ref="C460:F460"/>
    <mergeCell ref="G460:H460"/>
    <mergeCell ref="C461:F461"/>
    <mergeCell ref="G461:H461"/>
    <mergeCell ref="C456:F456"/>
    <mergeCell ref="G456:H456"/>
    <mergeCell ref="C457:F457"/>
    <mergeCell ref="G457:H457"/>
    <mergeCell ref="C458:F458"/>
    <mergeCell ref="G458:H458"/>
    <mergeCell ref="C453:F453"/>
    <mergeCell ref="G453:H453"/>
    <mergeCell ref="C454:F454"/>
    <mergeCell ref="G454:H454"/>
    <mergeCell ref="C455:F455"/>
    <mergeCell ref="G455:H455"/>
    <mergeCell ref="C450:F450"/>
    <mergeCell ref="G450:H450"/>
    <mergeCell ref="C451:F451"/>
    <mergeCell ref="G451:H451"/>
    <mergeCell ref="C452:F452"/>
    <mergeCell ref="G452:H452"/>
    <mergeCell ref="C447:F447"/>
    <mergeCell ref="G447:H447"/>
    <mergeCell ref="C448:F448"/>
    <mergeCell ref="G448:H448"/>
    <mergeCell ref="C449:F449"/>
    <mergeCell ref="G449:H449"/>
    <mergeCell ref="C444:F444"/>
    <mergeCell ref="G444:H444"/>
    <mergeCell ref="C445:F445"/>
    <mergeCell ref="G445:H445"/>
    <mergeCell ref="C446:F446"/>
    <mergeCell ref="G446:H446"/>
    <mergeCell ref="C441:F441"/>
    <mergeCell ref="G441:H441"/>
    <mergeCell ref="C442:F442"/>
    <mergeCell ref="G442:H442"/>
    <mergeCell ref="C443:F443"/>
    <mergeCell ref="G443:H443"/>
    <mergeCell ref="C438:F438"/>
    <mergeCell ref="G438:H438"/>
    <mergeCell ref="C439:F439"/>
    <mergeCell ref="G439:H439"/>
    <mergeCell ref="C440:F440"/>
    <mergeCell ref="G440:H440"/>
    <mergeCell ref="C434:F434"/>
    <mergeCell ref="G434:H434"/>
    <mergeCell ref="C435:F435"/>
    <mergeCell ref="G435:H435"/>
    <mergeCell ref="C436:F436"/>
    <mergeCell ref="G436:H436"/>
    <mergeCell ref="C431:F431"/>
    <mergeCell ref="G431:H431"/>
    <mergeCell ref="C432:F432"/>
    <mergeCell ref="G432:H432"/>
    <mergeCell ref="C433:F433"/>
    <mergeCell ref="G433:H433"/>
    <mergeCell ref="C428:F428"/>
    <mergeCell ref="G428:H428"/>
    <mergeCell ref="C429:F429"/>
    <mergeCell ref="G429:H429"/>
    <mergeCell ref="C430:F430"/>
    <mergeCell ref="G430:H430"/>
    <mergeCell ref="C425:F425"/>
    <mergeCell ref="G425:H425"/>
    <mergeCell ref="C426:F426"/>
    <mergeCell ref="G426:H426"/>
    <mergeCell ref="C427:F427"/>
    <mergeCell ref="G427:H427"/>
    <mergeCell ref="C422:F422"/>
    <mergeCell ref="G422:H422"/>
    <mergeCell ref="C423:F423"/>
    <mergeCell ref="G423:H423"/>
    <mergeCell ref="C424:F424"/>
    <mergeCell ref="G424:H424"/>
    <mergeCell ref="C419:F419"/>
    <mergeCell ref="G419:H419"/>
    <mergeCell ref="C420:F420"/>
    <mergeCell ref="G420:H420"/>
    <mergeCell ref="C421:F421"/>
    <mergeCell ref="G421:H421"/>
    <mergeCell ref="C416:F416"/>
    <mergeCell ref="G416:H416"/>
    <mergeCell ref="C417:F417"/>
    <mergeCell ref="G417:H417"/>
    <mergeCell ref="C418:F418"/>
    <mergeCell ref="G418:H418"/>
    <mergeCell ref="C413:F413"/>
    <mergeCell ref="G413:H413"/>
    <mergeCell ref="C414:F414"/>
    <mergeCell ref="G414:H414"/>
    <mergeCell ref="C415:F415"/>
    <mergeCell ref="G415:H415"/>
    <mergeCell ref="C410:F410"/>
    <mergeCell ref="G410:H410"/>
    <mergeCell ref="C411:F411"/>
    <mergeCell ref="G411:H411"/>
    <mergeCell ref="C412:F412"/>
    <mergeCell ref="G412:H412"/>
    <mergeCell ref="C407:F407"/>
    <mergeCell ref="G407:H407"/>
    <mergeCell ref="C408:F408"/>
    <mergeCell ref="G408:H408"/>
    <mergeCell ref="C409:F409"/>
    <mergeCell ref="G409:H409"/>
    <mergeCell ref="C404:F404"/>
    <mergeCell ref="G404:H404"/>
    <mergeCell ref="C405:F405"/>
    <mergeCell ref="G405:H405"/>
    <mergeCell ref="C406:F406"/>
    <mergeCell ref="G406:H406"/>
    <mergeCell ref="C401:F401"/>
    <mergeCell ref="G401:H401"/>
    <mergeCell ref="C402:F402"/>
    <mergeCell ref="G402:H402"/>
    <mergeCell ref="C403:F403"/>
    <mergeCell ref="G403:H403"/>
    <mergeCell ref="C398:F398"/>
    <mergeCell ref="G398:H398"/>
    <mergeCell ref="C399:F399"/>
    <mergeCell ref="G399:H399"/>
    <mergeCell ref="C400:F400"/>
    <mergeCell ref="G400:H400"/>
    <mergeCell ref="C395:F395"/>
    <mergeCell ref="G395:H395"/>
    <mergeCell ref="C396:F396"/>
    <mergeCell ref="G396:H396"/>
    <mergeCell ref="C397:F397"/>
    <mergeCell ref="G397:H397"/>
    <mergeCell ref="C391:F391"/>
    <mergeCell ref="G391:H391"/>
    <mergeCell ref="C392:F392"/>
    <mergeCell ref="G392:H392"/>
    <mergeCell ref="C393:F393"/>
    <mergeCell ref="G393:H393"/>
    <mergeCell ref="C388:F388"/>
    <mergeCell ref="G388:H388"/>
    <mergeCell ref="C389:F389"/>
    <mergeCell ref="G389:H389"/>
    <mergeCell ref="C390:F390"/>
    <mergeCell ref="G390:H390"/>
    <mergeCell ref="C385:F385"/>
    <mergeCell ref="G385:H385"/>
    <mergeCell ref="C386:F386"/>
    <mergeCell ref="G386:H386"/>
    <mergeCell ref="C387:F387"/>
    <mergeCell ref="G387:H387"/>
    <mergeCell ref="C382:F382"/>
    <mergeCell ref="G382:H382"/>
    <mergeCell ref="C383:F383"/>
    <mergeCell ref="G383:H383"/>
    <mergeCell ref="C384:F384"/>
    <mergeCell ref="G384:H384"/>
    <mergeCell ref="C379:F379"/>
    <mergeCell ref="G379:H379"/>
    <mergeCell ref="C380:F380"/>
    <mergeCell ref="G380:H380"/>
    <mergeCell ref="C381:F381"/>
    <mergeCell ref="G381:H381"/>
    <mergeCell ref="C376:F376"/>
    <mergeCell ref="G376:H376"/>
    <mergeCell ref="C377:F377"/>
    <mergeCell ref="G377:H377"/>
    <mergeCell ref="C378:F378"/>
    <mergeCell ref="G378:H378"/>
    <mergeCell ref="C373:F373"/>
    <mergeCell ref="G373:H373"/>
    <mergeCell ref="C374:F374"/>
    <mergeCell ref="G374:H374"/>
    <mergeCell ref="C375:F375"/>
    <mergeCell ref="G375:H375"/>
    <mergeCell ref="C370:F370"/>
    <mergeCell ref="G370:H370"/>
    <mergeCell ref="C371:F371"/>
    <mergeCell ref="G371:H371"/>
    <mergeCell ref="C372:F372"/>
    <mergeCell ref="G372:H372"/>
    <mergeCell ref="C367:F367"/>
    <mergeCell ref="G367:H367"/>
    <mergeCell ref="C368:F368"/>
    <mergeCell ref="G368:H368"/>
    <mergeCell ref="C369:F369"/>
    <mergeCell ref="G369:H369"/>
    <mergeCell ref="C364:F364"/>
    <mergeCell ref="G364:H364"/>
    <mergeCell ref="C365:F365"/>
    <mergeCell ref="G365:H365"/>
    <mergeCell ref="C366:F366"/>
    <mergeCell ref="G366:H366"/>
    <mergeCell ref="C361:F361"/>
    <mergeCell ref="G361:H361"/>
    <mergeCell ref="C362:F362"/>
    <mergeCell ref="G362:H362"/>
    <mergeCell ref="C363:F363"/>
    <mergeCell ref="G363:H363"/>
    <mergeCell ref="C358:F358"/>
    <mergeCell ref="G358:H358"/>
    <mergeCell ref="C359:F359"/>
    <mergeCell ref="G359:H359"/>
    <mergeCell ref="C360:F360"/>
    <mergeCell ref="G360:H360"/>
    <mergeCell ref="C355:F355"/>
    <mergeCell ref="G355:H355"/>
    <mergeCell ref="C356:F356"/>
    <mergeCell ref="G356:H356"/>
    <mergeCell ref="C357:F357"/>
    <mergeCell ref="G357:H357"/>
    <mergeCell ref="C352:F352"/>
    <mergeCell ref="G352:H352"/>
    <mergeCell ref="C353:F353"/>
    <mergeCell ref="G353:H353"/>
    <mergeCell ref="C354:F354"/>
    <mergeCell ref="G354:H354"/>
    <mergeCell ref="C348:F348"/>
    <mergeCell ref="G348:H348"/>
    <mergeCell ref="C349:F349"/>
    <mergeCell ref="G349:H349"/>
    <mergeCell ref="C350:F350"/>
    <mergeCell ref="G350:H350"/>
    <mergeCell ref="C345:F345"/>
    <mergeCell ref="G345:H345"/>
    <mergeCell ref="C346:F346"/>
    <mergeCell ref="G346:H346"/>
    <mergeCell ref="C347:F347"/>
    <mergeCell ref="G347:H347"/>
    <mergeCell ref="C342:F342"/>
    <mergeCell ref="G342:H342"/>
    <mergeCell ref="C343:F343"/>
    <mergeCell ref="G343:H343"/>
    <mergeCell ref="C344:F344"/>
    <mergeCell ref="G344:H344"/>
    <mergeCell ref="C339:F339"/>
    <mergeCell ref="G339:H339"/>
    <mergeCell ref="C340:F340"/>
    <mergeCell ref="G340:H340"/>
    <mergeCell ref="C341:F341"/>
    <mergeCell ref="G341:H341"/>
    <mergeCell ref="C336:F336"/>
    <mergeCell ref="G336:H336"/>
    <mergeCell ref="C337:F337"/>
    <mergeCell ref="G337:H337"/>
    <mergeCell ref="C338:F338"/>
    <mergeCell ref="G338:H338"/>
    <mergeCell ref="C333:F333"/>
    <mergeCell ref="G333:H333"/>
    <mergeCell ref="C334:F334"/>
    <mergeCell ref="G334:H334"/>
    <mergeCell ref="C335:F335"/>
    <mergeCell ref="G335:H335"/>
    <mergeCell ref="C330:F330"/>
    <mergeCell ref="G330:H330"/>
    <mergeCell ref="C331:F331"/>
    <mergeCell ref="G331:H331"/>
    <mergeCell ref="C332:F332"/>
    <mergeCell ref="G332:H332"/>
    <mergeCell ref="C327:F327"/>
    <mergeCell ref="G327:H327"/>
    <mergeCell ref="C328:F328"/>
    <mergeCell ref="G328:H328"/>
    <mergeCell ref="C329:F329"/>
    <mergeCell ref="G329:H329"/>
    <mergeCell ref="C324:F324"/>
    <mergeCell ref="G324:H324"/>
    <mergeCell ref="C325:F325"/>
    <mergeCell ref="G325:H325"/>
    <mergeCell ref="C326:F326"/>
    <mergeCell ref="G326:H326"/>
    <mergeCell ref="C321:F321"/>
    <mergeCell ref="G321:H321"/>
    <mergeCell ref="C322:F322"/>
    <mergeCell ref="G322:H322"/>
    <mergeCell ref="C323:F323"/>
    <mergeCell ref="G323:H323"/>
    <mergeCell ref="C318:F318"/>
    <mergeCell ref="G318:H318"/>
    <mergeCell ref="C319:F319"/>
    <mergeCell ref="G319:H319"/>
    <mergeCell ref="C320:F320"/>
    <mergeCell ref="G320:H320"/>
    <mergeCell ref="C315:F315"/>
    <mergeCell ref="G315:H315"/>
    <mergeCell ref="C316:F316"/>
    <mergeCell ref="G316:H316"/>
    <mergeCell ref="C317:F317"/>
    <mergeCell ref="G317:H317"/>
    <mergeCell ref="C312:F312"/>
    <mergeCell ref="G312:H312"/>
    <mergeCell ref="C313:F313"/>
    <mergeCell ref="G313:H313"/>
    <mergeCell ref="C314:F314"/>
    <mergeCell ref="G314:H314"/>
    <mergeCell ref="C309:F309"/>
    <mergeCell ref="G309:H309"/>
    <mergeCell ref="C310:F310"/>
    <mergeCell ref="G310:H310"/>
    <mergeCell ref="C311:F311"/>
    <mergeCell ref="G311:H311"/>
    <mergeCell ref="C305:F305"/>
    <mergeCell ref="G305:H305"/>
    <mergeCell ref="C306:F306"/>
    <mergeCell ref="G306:H306"/>
    <mergeCell ref="C307:F307"/>
    <mergeCell ref="G307:H307"/>
    <mergeCell ref="C302:F302"/>
    <mergeCell ref="G302:H302"/>
    <mergeCell ref="C303:F303"/>
    <mergeCell ref="G303:H303"/>
    <mergeCell ref="C304:F304"/>
    <mergeCell ref="G304:H304"/>
    <mergeCell ref="C299:F299"/>
    <mergeCell ref="G299:H299"/>
    <mergeCell ref="C300:F300"/>
    <mergeCell ref="G300:H300"/>
    <mergeCell ref="C301:F301"/>
    <mergeCell ref="G301:H301"/>
    <mergeCell ref="C296:F296"/>
    <mergeCell ref="G296:H296"/>
    <mergeCell ref="C297:F297"/>
    <mergeCell ref="G297:H297"/>
    <mergeCell ref="C298:F298"/>
    <mergeCell ref="G298:H298"/>
    <mergeCell ref="C293:F293"/>
    <mergeCell ref="G293:H293"/>
    <mergeCell ref="C294:F294"/>
    <mergeCell ref="G294:H294"/>
    <mergeCell ref="C295:F295"/>
    <mergeCell ref="G295:H295"/>
    <mergeCell ref="C290:F290"/>
    <mergeCell ref="G290:H290"/>
    <mergeCell ref="C291:F291"/>
    <mergeCell ref="G291:H291"/>
    <mergeCell ref="C292:F292"/>
    <mergeCell ref="G292:H292"/>
    <mergeCell ref="C287:F287"/>
    <mergeCell ref="G287:H287"/>
    <mergeCell ref="C288:F288"/>
    <mergeCell ref="G288:H288"/>
    <mergeCell ref="C289:F289"/>
    <mergeCell ref="G289:H289"/>
    <mergeCell ref="C284:F284"/>
    <mergeCell ref="G284:H284"/>
    <mergeCell ref="C285:F285"/>
    <mergeCell ref="G285:H285"/>
    <mergeCell ref="C286:F286"/>
    <mergeCell ref="G286:H286"/>
    <mergeCell ref="C281:F281"/>
    <mergeCell ref="G281:H281"/>
    <mergeCell ref="C282:F282"/>
    <mergeCell ref="G282:H282"/>
    <mergeCell ref="C283:F283"/>
    <mergeCell ref="G283:H283"/>
    <mergeCell ref="C278:F278"/>
    <mergeCell ref="G278:H278"/>
    <mergeCell ref="C279:F279"/>
    <mergeCell ref="G279:H279"/>
    <mergeCell ref="C280:F280"/>
    <mergeCell ref="G280:H280"/>
    <mergeCell ref="C275:F275"/>
    <mergeCell ref="G275:H275"/>
    <mergeCell ref="C276:F276"/>
    <mergeCell ref="G276:H276"/>
    <mergeCell ref="C277:F277"/>
    <mergeCell ref="G277:H277"/>
    <mergeCell ref="C272:F272"/>
    <mergeCell ref="G272:H272"/>
    <mergeCell ref="C273:F273"/>
    <mergeCell ref="G273:H273"/>
    <mergeCell ref="C274:F274"/>
    <mergeCell ref="G274:H274"/>
    <mergeCell ref="C269:F269"/>
    <mergeCell ref="G269:H269"/>
    <mergeCell ref="C270:F270"/>
    <mergeCell ref="G270:H270"/>
    <mergeCell ref="C271:F271"/>
    <mergeCell ref="G271:H271"/>
    <mergeCell ref="C266:F266"/>
    <mergeCell ref="G266:H266"/>
    <mergeCell ref="C267:F267"/>
    <mergeCell ref="G267:H267"/>
    <mergeCell ref="C268:F268"/>
    <mergeCell ref="G268:H268"/>
    <mergeCell ref="C262:F262"/>
    <mergeCell ref="G262:H262"/>
    <mergeCell ref="C263:F263"/>
    <mergeCell ref="G263:H263"/>
    <mergeCell ref="C264:F264"/>
    <mergeCell ref="G264:H264"/>
    <mergeCell ref="C259:F259"/>
    <mergeCell ref="G259:H259"/>
    <mergeCell ref="C260:F260"/>
    <mergeCell ref="G260:H260"/>
    <mergeCell ref="C261:F261"/>
    <mergeCell ref="G261:H261"/>
    <mergeCell ref="C256:F256"/>
    <mergeCell ref="G256:H256"/>
    <mergeCell ref="C257:F257"/>
    <mergeCell ref="G257:H257"/>
    <mergeCell ref="C258:F258"/>
    <mergeCell ref="G258:H258"/>
    <mergeCell ref="C253:F253"/>
    <mergeCell ref="G253:H253"/>
    <mergeCell ref="C254:F254"/>
    <mergeCell ref="G254:H254"/>
    <mergeCell ref="C255:F255"/>
    <mergeCell ref="G255:H255"/>
    <mergeCell ref="C250:F250"/>
    <mergeCell ref="G250:H250"/>
    <mergeCell ref="C251:F251"/>
    <mergeCell ref="G251:H251"/>
    <mergeCell ref="C252:F252"/>
    <mergeCell ref="G252:H252"/>
    <mergeCell ref="C247:F247"/>
    <mergeCell ref="G247:H247"/>
    <mergeCell ref="C248:F248"/>
    <mergeCell ref="G248:H248"/>
    <mergeCell ref="C249:F249"/>
    <mergeCell ref="G249:H249"/>
    <mergeCell ref="C244:F244"/>
    <mergeCell ref="G244:H244"/>
    <mergeCell ref="C245:F245"/>
    <mergeCell ref="G245:H245"/>
    <mergeCell ref="C246:F246"/>
    <mergeCell ref="G246:H246"/>
    <mergeCell ref="C241:F241"/>
    <mergeCell ref="G241:H241"/>
    <mergeCell ref="C242:F242"/>
    <mergeCell ref="G242:H242"/>
    <mergeCell ref="C243:F243"/>
    <mergeCell ref="G243:H243"/>
    <mergeCell ref="C238:F238"/>
    <mergeCell ref="G238:H238"/>
    <mergeCell ref="C239:F239"/>
    <mergeCell ref="G239:H239"/>
    <mergeCell ref="C240:F240"/>
    <mergeCell ref="G240:H240"/>
    <mergeCell ref="C235:F235"/>
    <mergeCell ref="G235:H235"/>
    <mergeCell ref="C236:F236"/>
    <mergeCell ref="G236:H236"/>
    <mergeCell ref="C237:F237"/>
    <mergeCell ref="G237:H237"/>
    <mergeCell ref="C232:F232"/>
    <mergeCell ref="G232:H232"/>
    <mergeCell ref="C233:F233"/>
    <mergeCell ref="G233:H233"/>
    <mergeCell ref="C234:F234"/>
    <mergeCell ref="G234:H234"/>
    <mergeCell ref="C229:F229"/>
    <mergeCell ref="G229:H229"/>
    <mergeCell ref="C230:F230"/>
    <mergeCell ref="G230:H230"/>
    <mergeCell ref="C231:F231"/>
    <mergeCell ref="G231:H231"/>
    <mergeCell ref="C226:F226"/>
    <mergeCell ref="G226:H226"/>
    <mergeCell ref="C227:F227"/>
    <mergeCell ref="G227:H227"/>
    <mergeCell ref="C228:F228"/>
    <mergeCell ref="G228:H228"/>
    <mergeCell ref="C223:F223"/>
    <mergeCell ref="G223:H223"/>
    <mergeCell ref="C224:F224"/>
    <mergeCell ref="G224:H224"/>
    <mergeCell ref="C225:F225"/>
    <mergeCell ref="G225:H225"/>
    <mergeCell ref="C219:F219"/>
    <mergeCell ref="G219:H219"/>
    <mergeCell ref="C220:F220"/>
    <mergeCell ref="G220:H220"/>
    <mergeCell ref="C221:F221"/>
    <mergeCell ref="G221:H221"/>
    <mergeCell ref="C216:F216"/>
    <mergeCell ref="G216:H216"/>
    <mergeCell ref="C217:F217"/>
    <mergeCell ref="G217:H217"/>
    <mergeCell ref="C218:F218"/>
    <mergeCell ref="G218:H218"/>
    <mergeCell ref="C213:F213"/>
    <mergeCell ref="G213:H213"/>
    <mergeCell ref="C214:F214"/>
    <mergeCell ref="G214:H214"/>
    <mergeCell ref="C215:F215"/>
    <mergeCell ref="G215:H215"/>
    <mergeCell ref="C210:F210"/>
    <mergeCell ref="G210:H210"/>
    <mergeCell ref="C211:F211"/>
    <mergeCell ref="G211:H211"/>
    <mergeCell ref="C212:F212"/>
    <mergeCell ref="G212:H212"/>
    <mergeCell ref="C207:F207"/>
    <mergeCell ref="G207:H207"/>
    <mergeCell ref="C208:F208"/>
    <mergeCell ref="G208:H208"/>
    <mergeCell ref="C209:F209"/>
    <mergeCell ref="G209:H209"/>
    <mergeCell ref="C204:F204"/>
    <mergeCell ref="G204:H204"/>
    <mergeCell ref="C205:F205"/>
    <mergeCell ref="G205:H205"/>
    <mergeCell ref="C206:F206"/>
    <mergeCell ref="G206:H206"/>
    <mergeCell ref="C201:F201"/>
    <mergeCell ref="G201:H201"/>
    <mergeCell ref="C202:F202"/>
    <mergeCell ref="G202:H202"/>
    <mergeCell ref="C203:F203"/>
    <mergeCell ref="G203:H203"/>
    <mergeCell ref="C198:F198"/>
    <mergeCell ref="G198:H198"/>
    <mergeCell ref="C199:F199"/>
    <mergeCell ref="G199:H199"/>
    <mergeCell ref="C200:F200"/>
    <mergeCell ref="G200:H200"/>
    <mergeCell ref="C195:F195"/>
    <mergeCell ref="G195:H195"/>
    <mergeCell ref="C196:F196"/>
    <mergeCell ref="G196:H196"/>
    <mergeCell ref="C197:F197"/>
    <mergeCell ref="G197:H197"/>
    <mergeCell ref="C192:F192"/>
    <mergeCell ref="G192:H192"/>
    <mergeCell ref="C193:F193"/>
    <mergeCell ref="G193:H193"/>
    <mergeCell ref="C194:F194"/>
    <mergeCell ref="G194:H194"/>
    <mergeCell ref="C189:F189"/>
    <mergeCell ref="G189:H189"/>
    <mergeCell ref="C190:F190"/>
    <mergeCell ref="G190:H190"/>
    <mergeCell ref="C191:F191"/>
    <mergeCell ref="G191:H191"/>
    <mergeCell ref="C186:F186"/>
    <mergeCell ref="G186:H186"/>
    <mergeCell ref="C187:F187"/>
    <mergeCell ref="G187:H187"/>
    <mergeCell ref="C188:F188"/>
    <mergeCell ref="G188:H188"/>
    <mergeCell ref="C183:F183"/>
    <mergeCell ref="G183:H183"/>
    <mergeCell ref="C184:F184"/>
    <mergeCell ref="G184:H184"/>
    <mergeCell ref="C185:F185"/>
    <mergeCell ref="G185:H185"/>
    <mergeCell ref="C180:F180"/>
    <mergeCell ref="G180:H180"/>
    <mergeCell ref="C181:F181"/>
    <mergeCell ref="G181:H181"/>
    <mergeCell ref="C182:F182"/>
    <mergeCell ref="G182:H182"/>
    <mergeCell ref="C176:F176"/>
    <mergeCell ref="G176:H176"/>
    <mergeCell ref="C177:F177"/>
    <mergeCell ref="G177:H177"/>
    <mergeCell ref="C178:F178"/>
    <mergeCell ref="G178:H178"/>
    <mergeCell ref="C173:F173"/>
    <mergeCell ref="G173:H173"/>
    <mergeCell ref="C174:F174"/>
    <mergeCell ref="G174:H174"/>
    <mergeCell ref="C175:F175"/>
    <mergeCell ref="G175:H175"/>
    <mergeCell ref="C170:F170"/>
    <mergeCell ref="G170:H170"/>
    <mergeCell ref="C171:F171"/>
    <mergeCell ref="G171:H171"/>
    <mergeCell ref="C172:F172"/>
    <mergeCell ref="G172:H172"/>
    <mergeCell ref="C167:F167"/>
    <mergeCell ref="G167:H167"/>
    <mergeCell ref="C168:F168"/>
    <mergeCell ref="G168:H168"/>
    <mergeCell ref="C169:F169"/>
    <mergeCell ref="G169:H169"/>
    <mergeCell ref="C164:F164"/>
    <mergeCell ref="G164:H164"/>
    <mergeCell ref="C165:F165"/>
    <mergeCell ref="G165:H165"/>
    <mergeCell ref="C166:F166"/>
    <mergeCell ref="G166:H166"/>
    <mergeCell ref="C161:F161"/>
    <mergeCell ref="G161:H161"/>
    <mergeCell ref="C162:F162"/>
    <mergeCell ref="G162:H162"/>
    <mergeCell ref="C163:F163"/>
    <mergeCell ref="G163:H163"/>
    <mergeCell ref="C158:F158"/>
    <mergeCell ref="G158:H158"/>
    <mergeCell ref="C159:F159"/>
    <mergeCell ref="G159:H159"/>
    <mergeCell ref="C160:F160"/>
    <mergeCell ref="G160:H160"/>
    <mergeCell ref="C155:F155"/>
    <mergeCell ref="G155:H155"/>
    <mergeCell ref="C156:F156"/>
    <mergeCell ref="G156:H156"/>
    <mergeCell ref="C157:F157"/>
    <mergeCell ref="G157:H157"/>
    <mergeCell ref="C152:F152"/>
    <mergeCell ref="G152:H152"/>
    <mergeCell ref="C153:F153"/>
    <mergeCell ref="G153:H153"/>
    <mergeCell ref="C154:F154"/>
    <mergeCell ref="G154:H154"/>
    <mergeCell ref="C149:F149"/>
    <mergeCell ref="G149:H149"/>
    <mergeCell ref="C150:F150"/>
    <mergeCell ref="G150:H150"/>
    <mergeCell ref="C151:F151"/>
    <mergeCell ref="G151:H151"/>
    <mergeCell ref="C146:F146"/>
    <mergeCell ref="G146:H146"/>
    <mergeCell ref="C147:F147"/>
    <mergeCell ref="G147:H147"/>
    <mergeCell ref="C148:F148"/>
    <mergeCell ref="G148:H148"/>
    <mergeCell ref="C143:F143"/>
    <mergeCell ref="G143:H143"/>
    <mergeCell ref="C144:F144"/>
    <mergeCell ref="G144:H144"/>
    <mergeCell ref="C145:F145"/>
    <mergeCell ref="G145:H145"/>
    <mergeCell ref="C140:F140"/>
    <mergeCell ref="G140:H140"/>
    <mergeCell ref="C141:F141"/>
    <mergeCell ref="G141:H141"/>
    <mergeCell ref="C142:F142"/>
    <mergeCell ref="G142:H142"/>
    <mergeCell ref="C137:F137"/>
    <mergeCell ref="G137:H137"/>
    <mergeCell ref="C138:F138"/>
    <mergeCell ref="G138:H138"/>
    <mergeCell ref="C139:F139"/>
    <mergeCell ref="G139:H139"/>
    <mergeCell ref="C133:F133"/>
    <mergeCell ref="G133:H133"/>
    <mergeCell ref="C134:F134"/>
    <mergeCell ref="G134:H134"/>
    <mergeCell ref="C135:F135"/>
    <mergeCell ref="G135:H135"/>
    <mergeCell ref="C130:F130"/>
    <mergeCell ref="G130:H130"/>
    <mergeCell ref="C131:F131"/>
    <mergeCell ref="G131:H131"/>
    <mergeCell ref="C132:F132"/>
    <mergeCell ref="G132:H132"/>
    <mergeCell ref="C127:F127"/>
    <mergeCell ref="G127:H127"/>
    <mergeCell ref="C128:F128"/>
    <mergeCell ref="G128:H128"/>
    <mergeCell ref="C129:F129"/>
    <mergeCell ref="G129:H129"/>
    <mergeCell ref="C124:F124"/>
    <mergeCell ref="G124:H124"/>
    <mergeCell ref="C125:F125"/>
    <mergeCell ref="G125:H125"/>
    <mergeCell ref="C126:F126"/>
    <mergeCell ref="G126:H126"/>
    <mergeCell ref="C121:F121"/>
    <mergeCell ref="G121:H121"/>
    <mergeCell ref="C122:F122"/>
    <mergeCell ref="G122:H122"/>
    <mergeCell ref="C123:F123"/>
    <mergeCell ref="G123:H123"/>
    <mergeCell ref="C118:F118"/>
    <mergeCell ref="G118:H118"/>
    <mergeCell ref="C119:F119"/>
    <mergeCell ref="G119:H119"/>
    <mergeCell ref="C120:F120"/>
    <mergeCell ref="G120:H120"/>
    <mergeCell ref="C115:F115"/>
    <mergeCell ref="G115:H115"/>
    <mergeCell ref="C116:F116"/>
    <mergeCell ref="G116:H116"/>
    <mergeCell ref="C117:F117"/>
    <mergeCell ref="G117:H117"/>
    <mergeCell ref="C112:F112"/>
    <mergeCell ref="G112:H112"/>
    <mergeCell ref="C113:F113"/>
    <mergeCell ref="G113:H113"/>
    <mergeCell ref="C114:F114"/>
    <mergeCell ref="G114:H114"/>
    <mergeCell ref="C109:F109"/>
    <mergeCell ref="G109:H109"/>
    <mergeCell ref="C110:F110"/>
    <mergeCell ref="G110:H110"/>
    <mergeCell ref="C111:F111"/>
    <mergeCell ref="G111:H111"/>
    <mergeCell ref="C106:F106"/>
    <mergeCell ref="G106:H106"/>
    <mergeCell ref="C107:F107"/>
    <mergeCell ref="G107:H107"/>
    <mergeCell ref="C108:F108"/>
    <mergeCell ref="G108:H108"/>
    <mergeCell ref="C103:F103"/>
    <mergeCell ref="G103:H103"/>
    <mergeCell ref="C104:F104"/>
    <mergeCell ref="G104:H104"/>
    <mergeCell ref="C105:F105"/>
    <mergeCell ref="G105:H105"/>
    <mergeCell ref="C100:F100"/>
    <mergeCell ref="G100:H100"/>
    <mergeCell ref="C101:F101"/>
    <mergeCell ref="G101:H101"/>
    <mergeCell ref="C102:F102"/>
    <mergeCell ref="G102:H102"/>
    <mergeCell ref="C97:F97"/>
    <mergeCell ref="G97:H97"/>
    <mergeCell ref="C98:F98"/>
    <mergeCell ref="G98:H98"/>
    <mergeCell ref="C99:F99"/>
    <mergeCell ref="G99:H99"/>
    <mergeCell ref="C94:F94"/>
    <mergeCell ref="G94:H94"/>
    <mergeCell ref="C95:F95"/>
    <mergeCell ref="G95:H95"/>
    <mergeCell ref="C96:F96"/>
    <mergeCell ref="G96:H96"/>
    <mergeCell ref="C90:F90"/>
    <mergeCell ref="G90:H90"/>
    <mergeCell ref="C91:F91"/>
    <mergeCell ref="G91:H91"/>
    <mergeCell ref="C92:F92"/>
    <mergeCell ref="G92:H92"/>
    <mergeCell ref="C87:F87"/>
    <mergeCell ref="G87:H87"/>
    <mergeCell ref="C88:F88"/>
    <mergeCell ref="G88:H88"/>
    <mergeCell ref="C89:F89"/>
    <mergeCell ref="G89:H89"/>
    <mergeCell ref="C84:F84"/>
    <mergeCell ref="G84:H84"/>
    <mergeCell ref="C85:F85"/>
    <mergeCell ref="G85:H85"/>
    <mergeCell ref="C86:F86"/>
    <mergeCell ref="G86:H86"/>
    <mergeCell ref="C81:F81"/>
    <mergeCell ref="G81:H81"/>
    <mergeCell ref="C82:F82"/>
    <mergeCell ref="G82:H82"/>
    <mergeCell ref="C83:F83"/>
    <mergeCell ref="G83:H83"/>
    <mergeCell ref="C78:F78"/>
    <mergeCell ref="G78:H78"/>
    <mergeCell ref="C79:F79"/>
    <mergeCell ref="G79:H79"/>
    <mergeCell ref="C80:F80"/>
    <mergeCell ref="G80:H80"/>
    <mergeCell ref="C75:F75"/>
    <mergeCell ref="G75:H75"/>
    <mergeCell ref="C76:F76"/>
    <mergeCell ref="G76:H76"/>
    <mergeCell ref="C77:F77"/>
    <mergeCell ref="G77:H77"/>
    <mergeCell ref="C72:F72"/>
    <mergeCell ref="G72:H72"/>
    <mergeCell ref="C73:F73"/>
    <mergeCell ref="G73:H73"/>
    <mergeCell ref="C74:F74"/>
    <mergeCell ref="G74:H74"/>
    <mergeCell ref="C69:F69"/>
    <mergeCell ref="G69:H69"/>
    <mergeCell ref="C70:F70"/>
    <mergeCell ref="G70:H70"/>
    <mergeCell ref="C71:F71"/>
    <mergeCell ref="G71:H71"/>
    <mergeCell ref="C66:F66"/>
    <mergeCell ref="G66:H66"/>
    <mergeCell ref="C67:F67"/>
    <mergeCell ref="G67:H67"/>
    <mergeCell ref="C68:F68"/>
    <mergeCell ref="G68:H68"/>
    <mergeCell ref="C63:F63"/>
    <mergeCell ref="G63:H63"/>
    <mergeCell ref="C64:F64"/>
    <mergeCell ref="G64:H64"/>
    <mergeCell ref="C65:F65"/>
    <mergeCell ref="G65:H65"/>
    <mergeCell ref="C60:F60"/>
    <mergeCell ref="G60:H60"/>
    <mergeCell ref="C61:F61"/>
    <mergeCell ref="G61:H61"/>
    <mergeCell ref="C62:F62"/>
    <mergeCell ref="G62:H62"/>
    <mergeCell ref="C17:F17"/>
    <mergeCell ref="G17:H17"/>
    <mergeCell ref="C18:F18"/>
    <mergeCell ref="G18:H18"/>
    <mergeCell ref="C13:F14"/>
    <mergeCell ref="C15:F15"/>
    <mergeCell ref="B2:B4"/>
    <mergeCell ref="K17:N17"/>
    <mergeCell ref="C57:F57"/>
    <mergeCell ref="G57:H57"/>
    <mergeCell ref="C58:F58"/>
    <mergeCell ref="G58:H58"/>
    <mergeCell ref="C59:F59"/>
    <mergeCell ref="G59:H59"/>
    <mergeCell ref="C54:F54"/>
    <mergeCell ref="G54:H54"/>
    <mergeCell ref="C55:F55"/>
    <mergeCell ref="G55:H55"/>
    <mergeCell ref="C56:F56"/>
    <mergeCell ref="G56:H56"/>
    <mergeCell ref="C51:F51"/>
    <mergeCell ref="G51:H51"/>
    <mergeCell ref="C52:F52"/>
    <mergeCell ref="G52:H52"/>
    <mergeCell ref="C53:F53"/>
    <mergeCell ref="G53:H53"/>
    <mergeCell ref="C25:F25"/>
    <mergeCell ref="G25:H25"/>
    <mergeCell ref="K25:N25"/>
    <mergeCell ref="C29:F29"/>
    <mergeCell ref="G29:H29"/>
    <mergeCell ref="K29:N29"/>
    <mergeCell ref="K83:N83"/>
    <mergeCell ref="K84:N84"/>
    <mergeCell ref="K85:N85"/>
    <mergeCell ref="K52:N52"/>
    <mergeCell ref="K53:N53"/>
    <mergeCell ref="K54:N54"/>
    <mergeCell ref="K55:N55"/>
    <mergeCell ref="K56:N56"/>
    <mergeCell ref="K57:N57"/>
    <mergeCell ref="K58:N58"/>
    <mergeCell ref="K59:N59"/>
    <mergeCell ref="K60:N60"/>
    <mergeCell ref="K61:N61"/>
    <mergeCell ref="K62:N62"/>
    <mergeCell ref="K63:N63"/>
    <mergeCell ref="K64:N64"/>
    <mergeCell ref="K65:N65"/>
    <mergeCell ref="K66:N66"/>
    <mergeCell ref="K67:N67"/>
    <mergeCell ref="K68:N68"/>
    <mergeCell ref="K86:N86"/>
    <mergeCell ref="K87:N87"/>
    <mergeCell ref="K88:N88"/>
    <mergeCell ref="K89:N89"/>
    <mergeCell ref="K90:N90"/>
    <mergeCell ref="K91:N91"/>
    <mergeCell ref="K51:N51"/>
    <mergeCell ref="K18:N18"/>
    <mergeCell ref="K95:N95"/>
    <mergeCell ref="K96:N96"/>
    <mergeCell ref="K97:N97"/>
    <mergeCell ref="K98:N98"/>
    <mergeCell ref="K99:N99"/>
    <mergeCell ref="K100:N100"/>
    <mergeCell ref="K101:N101"/>
    <mergeCell ref="K102:N102"/>
    <mergeCell ref="K103:N103"/>
    <mergeCell ref="K92:N92"/>
    <mergeCell ref="K69:N69"/>
    <mergeCell ref="K70:N70"/>
    <mergeCell ref="K71:N71"/>
    <mergeCell ref="K72:N72"/>
    <mergeCell ref="K73:N73"/>
    <mergeCell ref="K74:N74"/>
    <mergeCell ref="K75:N75"/>
    <mergeCell ref="K76:N76"/>
    <mergeCell ref="K77:N77"/>
    <mergeCell ref="K78:N78"/>
    <mergeCell ref="K79:N79"/>
    <mergeCell ref="K80:N80"/>
    <mergeCell ref="K81:N81"/>
    <mergeCell ref="K82:N82"/>
    <mergeCell ref="K104:N104"/>
    <mergeCell ref="K105:N105"/>
    <mergeCell ref="K106:N106"/>
    <mergeCell ref="K107:N107"/>
    <mergeCell ref="K108:N108"/>
    <mergeCell ref="K109:N109"/>
    <mergeCell ref="K110:N110"/>
    <mergeCell ref="K111:N111"/>
    <mergeCell ref="K112:N112"/>
    <mergeCell ref="K113:N113"/>
    <mergeCell ref="K114:N114"/>
    <mergeCell ref="K115:N115"/>
    <mergeCell ref="K116:N116"/>
    <mergeCell ref="K117:N117"/>
    <mergeCell ref="K118:N118"/>
    <mergeCell ref="K119:N119"/>
    <mergeCell ref="K120:N120"/>
    <mergeCell ref="K121:N121"/>
    <mergeCell ref="K122:N122"/>
    <mergeCell ref="K123:N123"/>
    <mergeCell ref="K124:N124"/>
    <mergeCell ref="K125:N125"/>
    <mergeCell ref="K126:N126"/>
    <mergeCell ref="K127:N127"/>
    <mergeCell ref="K128:N128"/>
    <mergeCell ref="K129:N129"/>
    <mergeCell ref="K130:N130"/>
    <mergeCell ref="K131:N131"/>
    <mergeCell ref="K132:N132"/>
    <mergeCell ref="K133:N133"/>
    <mergeCell ref="K134:N134"/>
    <mergeCell ref="K138:N138"/>
    <mergeCell ref="K139:N139"/>
    <mergeCell ref="K140:N140"/>
    <mergeCell ref="K135:N135"/>
    <mergeCell ref="K141:N141"/>
    <mergeCell ref="K142:N142"/>
    <mergeCell ref="K143:N143"/>
    <mergeCell ref="K144:N144"/>
    <mergeCell ref="K145:N145"/>
    <mergeCell ref="K146:N146"/>
    <mergeCell ref="K147:N147"/>
    <mergeCell ref="K148:N148"/>
    <mergeCell ref="K149:N149"/>
    <mergeCell ref="K150:N150"/>
    <mergeCell ref="K151:N151"/>
    <mergeCell ref="K152:N152"/>
    <mergeCell ref="K153:N153"/>
    <mergeCell ref="K154:N154"/>
    <mergeCell ref="K155:N155"/>
    <mergeCell ref="K156:N156"/>
    <mergeCell ref="K157:N157"/>
    <mergeCell ref="K158:N158"/>
    <mergeCell ref="K159:N159"/>
    <mergeCell ref="K160:N160"/>
    <mergeCell ref="K161:N161"/>
    <mergeCell ref="K162:N162"/>
    <mergeCell ref="K163:N163"/>
    <mergeCell ref="K164:N164"/>
    <mergeCell ref="K165:N165"/>
    <mergeCell ref="K166:N166"/>
    <mergeCell ref="K167:N167"/>
    <mergeCell ref="K168:N168"/>
    <mergeCell ref="K169:N169"/>
    <mergeCell ref="K170:N170"/>
    <mergeCell ref="K171:N171"/>
    <mergeCell ref="K172:N172"/>
    <mergeCell ref="K173:N173"/>
    <mergeCell ref="K174:N174"/>
    <mergeCell ref="K175:N175"/>
    <mergeCell ref="K176:N176"/>
    <mergeCell ref="K177:N177"/>
    <mergeCell ref="K181:N181"/>
    <mergeCell ref="K182:N182"/>
    <mergeCell ref="K183:N183"/>
    <mergeCell ref="K184:N184"/>
    <mergeCell ref="K185:N185"/>
    <mergeCell ref="K186:N186"/>
    <mergeCell ref="K187:N187"/>
    <mergeCell ref="K188:N188"/>
    <mergeCell ref="K189:N189"/>
    <mergeCell ref="K190:N190"/>
    <mergeCell ref="K191:N191"/>
    <mergeCell ref="K192:N192"/>
    <mergeCell ref="K193:N193"/>
    <mergeCell ref="K194:N194"/>
    <mergeCell ref="K178:N178"/>
    <mergeCell ref="K195:N195"/>
    <mergeCell ref="K196:N196"/>
    <mergeCell ref="K197:N197"/>
    <mergeCell ref="K198:N198"/>
    <mergeCell ref="K199:N199"/>
    <mergeCell ref="K200:N200"/>
    <mergeCell ref="K201:N201"/>
    <mergeCell ref="K202:N202"/>
    <mergeCell ref="K203:N203"/>
    <mergeCell ref="K204:N204"/>
    <mergeCell ref="K205:N205"/>
    <mergeCell ref="K206:N206"/>
    <mergeCell ref="K207:N207"/>
    <mergeCell ref="K208:N208"/>
    <mergeCell ref="K209:N209"/>
    <mergeCell ref="K210:N210"/>
    <mergeCell ref="K211:N211"/>
    <mergeCell ref="K212:N212"/>
    <mergeCell ref="K213:N213"/>
    <mergeCell ref="K214:N214"/>
    <mergeCell ref="K215:N215"/>
    <mergeCell ref="K216:N216"/>
    <mergeCell ref="K217:N217"/>
    <mergeCell ref="K218:N218"/>
    <mergeCell ref="K219:N219"/>
    <mergeCell ref="K220:N220"/>
    <mergeCell ref="K224:N224"/>
    <mergeCell ref="K225:N225"/>
    <mergeCell ref="K226:N226"/>
    <mergeCell ref="K227:N227"/>
    <mergeCell ref="K228:N228"/>
    <mergeCell ref="K229:N229"/>
    <mergeCell ref="K230:N230"/>
    <mergeCell ref="K231:N231"/>
    <mergeCell ref="K221:N221"/>
    <mergeCell ref="K232:N232"/>
    <mergeCell ref="K233:N233"/>
    <mergeCell ref="K234:N234"/>
    <mergeCell ref="K235:N235"/>
    <mergeCell ref="K236:N236"/>
    <mergeCell ref="K237:N237"/>
    <mergeCell ref="K238:N238"/>
    <mergeCell ref="K239:N239"/>
    <mergeCell ref="K240:N240"/>
    <mergeCell ref="K241:N241"/>
    <mergeCell ref="K242:N242"/>
    <mergeCell ref="K243:N243"/>
    <mergeCell ref="K244:N244"/>
    <mergeCell ref="K245:N245"/>
    <mergeCell ref="K246:N246"/>
    <mergeCell ref="K247:N247"/>
    <mergeCell ref="K248:N248"/>
    <mergeCell ref="K249:N249"/>
    <mergeCell ref="K250:N250"/>
    <mergeCell ref="K251:N251"/>
    <mergeCell ref="K252:N252"/>
    <mergeCell ref="K253:N253"/>
    <mergeCell ref="K254:N254"/>
    <mergeCell ref="K255:N255"/>
    <mergeCell ref="K256:N256"/>
    <mergeCell ref="K257:N257"/>
    <mergeCell ref="K258:N258"/>
    <mergeCell ref="K259:N259"/>
    <mergeCell ref="K260:N260"/>
    <mergeCell ref="K261:N261"/>
    <mergeCell ref="K262:N262"/>
    <mergeCell ref="K263:N263"/>
    <mergeCell ref="K267:N267"/>
    <mergeCell ref="K268:N268"/>
    <mergeCell ref="K264:N264"/>
    <mergeCell ref="K269:N269"/>
    <mergeCell ref="K270:N270"/>
    <mergeCell ref="K271:N271"/>
    <mergeCell ref="K272:N272"/>
    <mergeCell ref="K273:N273"/>
    <mergeCell ref="K274:N274"/>
    <mergeCell ref="K275:N275"/>
    <mergeCell ref="K276:N276"/>
    <mergeCell ref="K277:N277"/>
    <mergeCell ref="K278:N278"/>
    <mergeCell ref="K279:N279"/>
    <mergeCell ref="K280:N280"/>
    <mergeCell ref="K281:N281"/>
    <mergeCell ref="K282:N282"/>
    <mergeCell ref="K283:N283"/>
    <mergeCell ref="K284:N284"/>
    <mergeCell ref="K285:N285"/>
    <mergeCell ref="K286:N286"/>
    <mergeCell ref="K287:N287"/>
    <mergeCell ref="K288:N288"/>
    <mergeCell ref="K289:N289"/>
    <mergeCell ref="K290:N290"/>
    <mergeCell ref="K291:N291"/>
    <mergeCell ref="K292:N292"/>
    <mergeCell ref="K293:N293"/>
    <mergeCell ref="K294:N294"/>
    <mergeCell ref="K295:N295"/>
    <mergeCell ref="K296:N296"/>
    <mergeCell ref="K297:N297"/>
    <mergeCell ref="K298:N298"/>
    <mergeCell ref="K299:N299"/>
    <mergeCell ref="K300:N300"/>
    <mergeCell ref="K301:N301"/>
    <mergeCell ref="K302:N302"/>
    <mergeCell ref="K303:N303"/>
    <mergeCell ref="K304:N304"/>
    <mergeCell ref="K305:N305"/>
    <mergeCell ref="K306:N306"/>
    <mergeCell ref="K310:N310"/>
    <mergeCell ref="K311:N311"/>
    <mergeCell ref="K312:N312"/>
    <mergeCell ref="K313:N313"/>
    <mergeCell ref="K314:N314"/>
    <mergeCell ref="K315:N315"/>
    <mergeCell ref="K316:N316"/>
    <mergeCell ref="K317:N317"/>
    <mergeCell ref="K318:N318"/>
    <mergeCell ref="K319:N319"/>
    <mergeCell ref="K320:N320"/>
    <mergeCell ref="K321:N321"/>
    <mergeCell ref="K322:N322"/>
    <mergeCell ref="K307:N307"/>
    <mergeCell ref="K323:N323"/>
    <mergeCell ref="K324:N324"/>
    <mergeCell ref="K325:N325"/>
    <mergeCell ref="K326:N326"/>
    <mergeCell ref="K327:N327"/>
    <mergeCell ref="K328:N328"/>
    <mergeCell ref="K329:N329"/>
    <mergeCell ref="K330:N330"/>
    <mergeCell ref="K331:N331"/>
    <mergeCell ref="K332:N332"/>
    <mergeCell ref="K333:N333"/>
    <mergeCell ref="K334:N334"/>
    <mergeCell ref="K335:N335"/>
    <mergeCell ref="K336:N336"/>
    <mergeCell ref="K337:N337"/>
    <mergeCell ref="K338:N338"/>
    <mergeCell ref="K339:N339"/>
    <mergeCell ref="K340:N340"/>
    <mergeCell ref="K341:N341"/>
    <mergeCell ref="K342:N342"/>
    <mergeCell ref="K343:N343"/>
    <mergeCell ref="K344:N344"/>
    <mergeCell ref="K345:N345"/>
    <mergeCell ref="K346:N346"/>
    <mergeCell ref="K347:N347"/>
    <mergeCell ref="K348:N348"/>
    <mergeCell ref="K349:N349"/>
    <mergeCell ref="K353:N353"/>
    <mergeCell ref="K354:N354"/>
    <mergeCell ref="K355:N355"/>
    <mergeCell ref="K356:N356"/>
    <mergeCell ref="K357:N357"/>
    <mergeCell ref="K358:N358"/>
    <mergeCell ref="K359:N359"/>
    <mergeCell ref="K350:N350"/>
    <mergeCell ref="K360:N360"/>
    <mergeCell ref="K361:N361"/>
    <mergeCell ref="K362:N362"/>
    <mergeCell ref="K363:N363"/>
    <mergeCell ref="K364:N364"/>
    <mergeCell ref="K365:N365"/>
    <mergeCell ref="K366:N366"/>
    <mergeCell ref="K367:N367"/>
    <mergeCell ref="K368:N368"/>
    <mergeCell ref="K369:N369"/>
    <mergeCell ref="K370:N370"/>
    <mergeCell ref="K371:N371"/>
    <mergeCell ref="K372:N372"/>
    <mergeCell ref="K373:N373"/>
    <mergeCell ref="K374:N374"/>
    <mergeCell ref="K375:N375"/>
    <mergeCell ref="K376:N376"/>
    <mergeCell ref="K377:N377"/>
    <mergeCell ref="K378:N378"/>
    <mergeCell ref="K379:N379"/>
    <mergeCell ref="K380:N380"/>
    <mergeCell ref="K381:N381"/>
    <mergeCell ref="K382:N382"/>
    <mergeCell ref="K383:N383"/>
    <mergeCell ref="K384:N384"/>
    <mergeCell ref="K385:N385"/>
    <mergeCell ref="K386:N386"/>
    <mergeCell ref="K387:N387"/>
    <mergeCell ref="K388:N388"/>
    <mergeCell ref="K389:N389"/>
    <mergeCell ref="K390:N390"/>
    <mergeCell ref="K391:N391"/>
    <mergeCell ref="K392:N392"/>
    <mergeCell ref="K396:N396"/>
    <mergeCell ref="K393:N393"/>
    <mergeCell ref="K397:N397"/>
    <mergeCell ref="K398:N398"/>
    <mergeCell ref="K399:N399"/>
    <mergeCell ref="K400:N400"/>
    <mergeCell ref="K401:N401"/>
    <mergeCell ref="K402:N402"/>
    <mergeCell ref="K403:N403"/>
    <mergeCell ref="K404:N404"/>
    <mergeCell ref="K405:N405"/>
    <mergeCell ref="K406:N406"/>
    <mergeCell ref="K407:N407"/>
    <mergeCell ref="K408:N408"/>
    <mergeCell ref="K409:N409"/>
    <mergeCell ref="K410:N410"/>
    <mergeCell ref="K411:N411"/>
    <mergeCell ref="K412:N412"/>
    <mergeCell ref="K413:N413"/>
    <mergeCell ref="K414:N414"/>
    <mergeCell ref="K415:N415"/>
    <mergeCell ref="K416:N416"/>
    <mergeCell ref="K417:N417"/>
    <mergeCell ref="K418:N418"/>
    <mergeCell ref="K419:N419"/>
    <mergeCell ref="K420:N420"/>
    <mergeCell ref="K421:N421"/>
    <mergeCell ref="K422:N422"/>
    <mergeCell ref="K423:N423"/>
    <mergeCell ref="K424:N424"/>
    <mergeCell ref="K425:N425"/>
    <mergeCell ref="K426:N426"/>
    <mergeCell ref="K427:N427"/>
    <mergeCell ref="K428:N428"/>
    <mergeCell ref="K429:N429"/>
    <mergeCell ref="K430:N430"/>
    <mergeCell ref="K431:N431"/>
    <mergeCell ref="K432:N432"/>
    <mergeCell ref="K433:N433"/>
    <mergeCell ref="K434:N434"/>
    <mergeCell ref="K435:N435"/>
    <mergeCell ref="K439:N439"/>
    <mergeCell ref="K440:N440"/>
    <mergeCell ref="K441:N441"/>
    <mergeCell ref="K442:N442"/>
    <mergeCell ref="K443:N443"/>
    <mergeCell ref="K444:N444"/>
    <mergeCell ref="K445:N445"/>
    <mergeCell ref="K446:N446"/>
    <mergeCell ref="K447:N447"/>
    <mergeCell ref="K448:N448"/>
    <mergeCell ref="K449:N449"/>
    <mergeCell ref="K450:N450"/>
    <mergeCell ref="K436:N436"/>
    <mergeCell ref="K451:N451"/>
    <mergeCell ref="K452:N452"/>
    <mergeCell ref="K453:N453"/>
    <mergeCell ref="K454:N454"/>
    <mergeCell ref="K455:N455"/>
    <mergeCell ref="K456:N456"/>
    <mergeCell ref="K457:N457"/>
    <mergeCell ref="K458:N458"/>
    <mergeCell ref="K459:N459"/>
    <mergeCell ref="K460:N460"/>
    <mergeCell ref="K461:N461"/>
    <mergeCell ref="K462:N462"/>
    <mergeCell ref="K463:N463"/>
    <mergeCell ref="K464:N464"/>
    <mergeCell ref="K465:N465"/>
    <mergeCell ref="K466:N466"/>
    <mergeCell ref="K467:N467"/>
    <mergeCell ref="K468:N468"/>
    <mergeCell ref="K469:N469"/>
    <mergeCell ref="K470:N470"/>
    <mergeCell ref="K471:N471"/>
    <mergeCell ref="K472:N472"/>
    <mergeCell ref="K473:N473"/>
    <mergeCell ref="K474:N474"/>
    <mergeCell ref="K475:N475"/>
    <mergeCell ref="K476:N476"/>
    <mergeCell ref="K477:N477"/>
    <mergeCell ref="K478:N478"/>
    <mergeCell ref="K482:N482"/>
    <mergeCell ref="K483:N483"/>
    <mergeCell ref="K484:N484"/>
    <mergeCell ref="K485:N485"/>
    <mergeCell ref="K486:N486"/>
    <mergeCell ref="K487:N487"/>
    <mergeCell ref="K479:N479"/>
    <mergeCell ref="K488:N488"/>
    <mergeCell ref="K489:N489"/>
    <mergeCell ref="K490:N490"/>
    <mergeCell ref="K491:N491"/>
    <mergeCell ref="K492:N492"/>
    <mergeCell ref="K493:N493"/>
    <mergeCell ref="K494:N494"/>
    <mergeCell ref="K495:N495"/>
    <mergeCell ref="K496:N496"/>
    <mergeCell ref="K497:N497"/>
    <mergeCell ref="K498:N498"/>
    <mergeCell ref="K499:N499"/>
    <mergeCell ref="K500:N500"/>
    <mergeCell ref="K501:N501"/>
    <mergeCell ref="K502:N502"/>
    <mergeCell ref="K503:N503"/>
    <mergeCell ref="K504:N504"/>
    <mergeCell ref="K505:N505"/>
    <mergeCell ref="K506:N506"/>
    <mergeCell ref="K507:N507"/>
    <mergeCell ref="K508:N508"/>
    <mergeCell ref="K509:N509"/>
    <mergeCell ref="K510:N510"/>
    <mergeCell ref="K511:N511"/>
    <mergeCell ref="K512:N512"/>
    <mergeCell ref="K513:N513"/>
    <mergeCell ref="K514:N514"/>
    <mergeCell ref="K515:N515"/>
    <mergeCell ref="K516:N516"/>
    <mergeCell ref="K517:N517"/>
    <mergeCell ref="K518:N518"/>
    <mergeCell ref="K519:N519"/>
    <mergeCell ref="K520:N520"/>
    <mergeCell ref="K521:N521"/>
    <mergeCell ref="K525:N525"/>
    <mergeCell ref="K526:N526"/>
    <mergeCell ref="K527:N527"/>
    <mergeCell ref="K528:N528"/>
    <mergeCell ref="K529:N529"/>
    <mergeCell ref="K530:N530"/>
    <mergeCell ref="K531:N531"/>
    <mergeCell ref="K532:N532"/>
    <mergeCell ref="K533:N533"/>
    <mergeCell ref="K534:N534"/>
    <mergeCell ref="K535:N535"/>
    <mergeCell ref="K536:N536"/>
    <mergeCell ref="K537:N537"/>
    <mergeCell ref="K538:N538"/>
    <mergeCell ref="K539:N539"/>
    <mergeCell ref="K540:N540"/>
    <mergeCell ref="K541:N541"/>
    <mergeCell ref="K542:N542"/>
    <mergeCell ref="K543:N543"/>
    <mergeCell ref="K544:N544"/>
    <mergeCell ref="K545:N545"/>
    <mergeCell ref="K546:N546"/>
    <mergeCell ref="K547:N547"/>
    <mergeCell ref="K548:N548"/>
    <mergeCell ref="K549:N549"/>
    <mergeCell ref="K550:N550"/>
    <mergeCell ref="K551:N551"/>
    <mergeCell ref="K552:N552"/>
    <mergeCell ref="K553:N553"/>
    <mergeCell ref="K554:N554"/>
    <mergeCell ref="K555:N555"/>
    <mergeCell ref="K556:N556"/>
    <mergeCell ref="K557:N557"/>
    <mergeCell ref="K558:N558"/>
    <mergeCell ref="K559:N559"/>
    <mergeCell ref="K560:N560"/>
    <mergeCell ref="K561:N561"/>
    <mergeCell ref="K562:N562"/>
    <mergeCell ref="K563:N563"/>
    <mergeCell ref="K564:N564"/>
    <mergeCell ref="K568:N568"/>
    <mergeCell ref="K569:N569"/>
    <mergeCell ref="K570:N570"/>
    <mergeCell ref="K571:N571"/>
    <mergeCell ref="K572:N572"/>
    <mergeCell ref="K573:N573"/>
    <mergeCell ref="K574:N574"/>
    <mergeCell ref="K575:N575"/>
    <mergeCell ref="K576:N576"/>
    <mergeCell ref="K577:N577"/>
    <mergeCell ref="K578:N578"/>
    <mergeCell ref="K579:N579"/>
    <mergeCell ref="K580:N580"/>
    <mergeCell ref="K581:N581"/>
    <mergeCell ref="K582:N582"/>
    <mergeCell ref="K583:N583"/>
    <mergeCell ref="K584:N584"/>
    <mergeCell ref="K585:N585"/>
    <mergeCell ref="K586:N586"/>
    <mergeCell ref="K587:N587"/>
    <mergeCell ref="K588:N588"/>
    <mergeCell ref="K589:N589"/>
    <mergeCell ref="K590:N590"/>
    <mergeCell ref="K591:N591"/>
    <mergeCell ref="K592:N592"/>
    <mergeCell ref="K593:N593"/>
    <mergeCell ref="K594:N594"/>
    <mergeCell ref="K595:N595"/>
    <mergeCell ref="K596:N596"/>
    <mergeCell ref="K597:N597"/>
    <mergeCell ref="K598:N598"/>
    <mergeCell ref="K599:N599"/>
    <mergeCell ref="K600:N600"/>
    <mergeCell ref="K601:N601"/>
    <mergeCell ref="K602:N602"/>
    <mergeCell ref="K603:N603"/>
    <mergeCell ref="K604:N604"/>
    <mergeCell ref="K605:N605"/>
    <mergeCell ref="K606:N606"/>
    <mergeCell ref="K607:N607"/>
    <mergeCell ref="K611:N611"/>
    <mergeCell ref="K612:N612"/>
    <mergeCell ref="K613:N613"/>
    <mergeCell ref="K614:N614"/>
    <mergeCell ref="K615:N615"/>
    <mergeCell ref="K616:N616"/>
    <mergeCell ref="K617:N617"/>
    <mergeCell ref="K618:N618"/>
    <mergeCell ref="K619:N619"/>
    <mergeCell ref="K620:N620"/>
    <mergeCell ref="K621:N621"/>
    <mergeCell ref="K622:N622"/>
    <mergeCell ref="K623:N623"/>
    <mergeCell ref="K624:N624"/>
    <mergeCell ref="K625:N625"/>
    <mergeCell ref="K626:N626"/>
    <mergeCell ref="K627:N627"/>
    <mergeCell ref="K628:N628"/>
    <mergeCell ref="K629:N629"/>
    <mergeCell ref="K630:N630"/>
    <mergeCell ref="K631:N631"/>
    <mergeCell ref="K632:N632"/>
    <mergeCell ref="K633:N633"/>
    <mergeCell ref="K634:N634"/>
    <mergeCell ref="K635:N635"/>
    <mergeCell ref="K636:N636"/>
    <mergeCell ref="K637:N637"/>
    <mergeCell ref="K638:N638"/>
    <mergeCell ref="K639:N639"/>
    <mergeCell ref="K640:N640"/>
    <mergeCell ref="K641:N641"/>
    <mergeCell ref="K642:N642"/>
    <mergeCell ref="K643:N643"/>
    <mergeCell ref="K644:N644"/>
    <mergeCell ref="K645:N645"/>
    <mergeCell ref="K646:N646"/>
    <mergeCell ref="K647:N647"/>
    <mergeCell ref="K648:N648"/>
    <mergeCell ref="K649:N649"/>
    <mergeCell ref="K650:N650"/>
    <mergeCell ref="K654:N654"/>
    <mergeCell ref="K655:N655"/>
    <mergeCell ref="K656:N656"/>
    <mergeCell ref="K657:N657"/>
    <mergeCell ref="K658:N658"/>
    <mergeCell ref="K659:N659"/>
    <mergeCell ref="K660:N660"/>
    <mergeCell ref="K661:N661"/>
    <mergeCell ref="K662:N662"/>
    <mergeCell ref="K663:N663"/>
    <mergeCell ref="K664:N664"/>
    <mergeCell ref="K665:N665"/>
    <mergeCell ref="K666:N666"/>
    <mergeCell ref="K667:N667"/>
    <mergeCell ref="K668:N668"/>
    <mergeCell ref="K669:N669"/>
    <mergeCell ref="K670:N670"/>
    <mergeCell ref="K671:N671"/>
    <mergeCell ref="K672:N672"/>
    <mergeCell ref="K673:N673"/>
    <mergeCell ref="K674:N674"/>
    <mergeCell ref="K675:N675"/>
    <mergeCell ref="K676:N676"/>
    <mergeCell ref="K677:N677"/>
    <mergeCell ref="K678:N678"/>
    <mergeCell ref="K679:N679"/>
    <mergeCell ref="K680:N680"/>
    <mergeCell ref="K681:N681"/>
    <mergeCell ref="K682:N682"/>
    <mergeCell ref="K683:N683"/>
    <mergeCell ref="K684:N684"/>
    <mergeCell ref="K685:N685"/>
    <mergeCell ref="K686:N686"/>
    <mergeCell ref="K687:N687"/>
    <mergeCell ref="K688:N688"/>
    <mergeCell ref="K689:N689"/>
    <mergeCell ref="K690:N690"/>
    <mergeCell ref="K691:N691"/>
    <mergeCell ref="K692:N692"/>
    <mergeCell ref="K693:N693"/>
    <mergeCell ref="K697:N697"/>
    <mergeCell ref="K698:N698"/>
    <mergeCell ref="K699:N699"/>
    <mergeCell ref="K700:N700"/>
    <mergeCell ref="K701:N701"/>
    <mergeCell ref="K702:N702"/>
    <mergeCell ref="K703:N703"/>
    <mergeCell ref="K704:N704"/>
    <mergeCell ref="K705:N705"/>
    <mergeCell ref="K706:N706"/>
    <mergeCell ref="K707:N707"/>
    <mergeCell ref="K708:N708"/>
    <mergeCell ref="K709:N709"/>
    <mergeCell ref="K710:N710"/>
    <mergeCell ref="K711:N711"/>
    <mergeCell ref="K712:N712"/>
    <mergeCell ref="K713:N713"/>
    <mergeCell ref="K714:N714"/>
    <mergeCell ref="K715:N715"/>
    <mergeCell ref="K716:N716"/>
    <mergeCell ref="K717:N717"/>
    <mergeCell ref="K718:N718"/>
    <mergeCell ref="K719:N719"/>
    <mergeCell ref="K720:N720"/>
    <mergeCell ref="K721:N721"/>
    <mergeCell ref="K722:N722"/>
    <mergeCell ref="K723:N723"/>
    <mergeCell ref="K757:N757"/>
    <mergeCell ref="K758:N758"/>
    <mergeCell ref="K759:N759"/>
    <mergeCell ref="K760:N760"/>
    <mergeCell ref="K724:N724"/>
    <mergeCell ref="K725:N725"/>
    <mergeCell ref="K726:N726"/>
    <mergeCell ref="K727:N727"/>
    <mergeCell ref="K728:N728"/>
    <mergeCell ref="K729:N729"/>
    <mergeCell ref="K730:N730"/>
    <mergeCell ref="K731:N731"/>
    <mergeCell ref="K732:N732"/>
    <mergeCell ref="K733:N733"/>
    <mergeCell ref="K734:N734"/>
    <mergeCell ref="K735:N735"/>
    <mergeCell ref="K736:N736"/>
    <mergeCell ref="K740:N740"/>
    <mergeCell ref="K741:N741"/>
    <mergeCell ref="K742:N742"/>
    <mergeCell ref="K743:N743"/>
    <mergeCell ref="K783:N783"/>
    <mergeCell ref="K784:N784"/>
    <mergeCell ref="K785:N785"/>
    <mergeCell ref="K786:N786"/>
    <mergeCell ref="K787:N787"/>
    <mergeCell ref="K788:N788"/>
    <mergeCell ref="K789:N789"/>
    <mergeCell ref="K790:N790"/>
    <mergeCell ref="K791:N791"/>
    <mergeCell ref="K792:N792"/>
    <mergeCell ref="K793:N793"/>
    <mergeCell ref="K794:N794"/>
    <mergeCell ref="K795:N795"/>
    <mergeCell ref="K796:N796"/>
    <mergeCell ref="K797:N797"/>
    <mergeCell ref="K761:N761"/>
    <mergeCell ref="K762:N762"/>
    <mergeCell ref="K763:N763"/>
    <mergeCell ref="K764:N764"/>
    <mergeCell ref="K765:N765"/>
    <mergeCell ref="K766:N766"/>
    <mergeCell ref="K767:N767"/>
    <mergeCell ref="K768:N768"/>
    <mergeCell ref="K769:N769"/>
    <mergeCell ref="K770:N770"/>
    <mergeCell ref="K771:N771"/>
    <mergeCell ref="K772:N772"/>
    <mergeCell ref="K773:N773"/>
    <mergeCell ref="K774:N774"/>
    <mergeCell ref="K775:N775"/>
    <mergeCell ref="K776:N776"/>
    <mergeCell ref="K777:N777"/>
    <mergeCell ref="K798:N798"/>
    <mergeCell ref="K799:N799"/>
    <mergeCell ref="K800:N800"/>
    <mergeCell ref="K801:N801"/>
    <mergeCell ref="K802:N802"/>
    <mergeCell ref="K803:N803"/>
    <mergeCell ref="K804:N804"/>
    <mergeCell ref="K805:N805"/>
    <mergeCell ref="K806:N806"/>
    <mergeCell ref="K807:N807"/>
    <mergeCell ref="K808:N808"/>
    <mergeCell ref="K809:N809"/>
    <mergeCell ref="K810:N810"/>
    <mergeCell ref="K811:N811"/>
    <mergeCell ref="K812:N812"/>
    <mergeCell ref="K813:N813"/>
    <mergeCell ref="K814:N814"/>
    <mergeCell ref="K815:N815"/>
    <mergeCell ref="K816:N816"/>
    <mergeCell ref="K817:N817"/>
    <mergeCell ref="K818:N818"/>
    <mergeCell ref="K819:N819"/>
    <mergeCell ref="K820:N820"/>
    <mergeCell ref="K821:N821"/>
    <mergeCell ref="K822:N822"/>
    <mergeCell ref="K826:N826"/>
    <mergeCell ref="K827:N827"/>
    <mergeCell ref="K828:N828"/>
    <mergeCell ref="K829:N829"/>
    <mergeCell ref="K830:N830"/>
    <mergeCell ref="K831:N831"/>
    <mergeCell ref="K832:N832"/>
    <mergeCell ref="K833:N833"/>
    <mergeCell ref="K834:N834"/>
    <mergeCell ref="K835:N835"/>
    <mergeCell ref="K836:N836"/>
    <mergeCell ref="K837:N837"/>
    <mergeCell ref="K838:N838"/>
    <mergeCell ref="K839:N839"/>
    <mergeCell ref="K840:N840"/>
    <mergeCell ref="K841:N841"/>
    <mergeCell ref="K842:N842"/>
    <mergeCell ref="K843:N843"/>
    <mergeCell ref="K844:N844"/>
    <mergeCell ref="K845:N845"/>
    <mergeCell ref="K846:N846"/>
    <mergeCell ref="K847:N847"/>
    <mergeCell ref="K848:N848"/>
    <mergeCell ref="K849:N849"/>
    <mergeCell ref="K850:N850"/>
    <mergeCell ref="K851:N851"/>
    <mergeCell ref="K852:N852"/>
    <mergeCell ref="K853:N853"/>
    <mergeCell ref="K854:N854"/>
    <mergeCell ref="K855:N855"/>
    <mergeCell ref="K856:N856"/>
    <mergeCell ref="K857:N857"/>
    <mergeCell ref="K858:N858"/>
    <mergeCell ref="K859:N859"/>
    <mergeCell ref="K860:N860"/>
    <mergeCell ref="K861:N861"/>
    <mergeCell ref="K862:N862"/>
    <mergeCell ref="K863:N863"/>
    <mergeCell ref="K864:N864"/>
    <mergeCell ref="K865:N865"/>
    <mergeCell ref="K869:N869"/>
    <mergeCell ref="K870:N870"/>
    <mergeCell ref="K871:N871"/>
    <mergeCell ref="K872:N872"/>
    <mergeCell ref="K873:N873"/>
    <mergeCell ref="K874:N874"/>
    <mergeCell ref="K875:N875"/>
    <mergeCell ref="K876:N876"/>
    <mergeCell ref="K877:N877"/>
    <mergeCell ref="K878:N878"/>
    <mergeCell ref="K879:N879"/>
    <mergeCell ref="K880:N880"/>
    <mergeCell ref="K881:N881"/>
    <mergeCell ref="K882:N882"/>
    <mergeCell ref="K883:N883"/>
    <mergeCell ref="K884:N884"/>
    <mergeCell ref="K885:N885"/>
    <mergeCell ref="K886:N886"/>
    <mergeCell ref="K887:N887"/>
    <mergeCell ref="K888:N888"/>
    <mergeCell ref="K889:N889"/>
    <mergeCell ref="K890:N890"/>
    <mergeCell ref="K891:N891"/>
    <mergeCell ref="K892:N892"/>
    <mergeCell ref="K893:N893"/>
    <mergeCell ref="K894:N894"/>
    <mergeCell ref="K895:N895"/>
    <mergeCell ref="K896:N896"/>
    <mergeCell ref="K897:N897"/>
    <mergeCell ref="K898:N898"/>
    <mergeCell ref="K899:N899"/>
    <mergeCell ref="K900:N900"/>
    <mergeCell ref="K901:N901"/>
    <mergeCell ref="K902:N902"/>
    <mergeCell ref="K903:N903"/>
    <mergeCell ref="K904:N904"/>
    <mergeCell ref="K905:N905"/>
    <mergeCell ref="K906:N906"/>
    <mergeCell ref="K907:N907"/>
    <mergeCell ref="K908:N908"/>
    <mergeCell ref="K912:N912"/>
    <mergeCell ref="K913:N913"/>
    <mergeCell ref="K914:N914"/>
    <mergeCell ref="K915:N915"/>
    <mergeCell ref="K916:N916"/>
    <mergeCell ref="K917:N917"/>
    <mergeCell ref="K918:N918"/>
    <mergeCell ref="K919:N919"/>
    <mergeCell ref="K920:N920"/>
    <mergeCell ref="K921:N921"/>
    <mergeCell ref="K922:N922"/>
    <mergeCell ref="K923:N923"/>
    <mergeCell ref="K924:N924"/>
    <mergeCell ref="K925:N925"/>
    <mergeCell ref="K926:N926"/>
    <mergeCell ref="K927:N927"/>
    <mergeCell ref="K928:N928"/>
    <mergeCell ref="K929:N929"/>
    <mergeCell ref="K930:N930"/>
    <mergeCell ref="K931:N931"/>
    <mergeCell ref="K932:N932"/>
    <mergeCell ref="K933:N933"/>
    <mergeCell ref="K934:N934"/>
    <mergeCell ref="K935:N935"/>
    <mergeCell ref="K936:N936"/>
    <mergeCell ref="K937:N937"/>
    <mergeCell ref="K938:N938"/>
    <mergeCell ref="K939:N939"/>
    <mergeCell ref="K940:N940"/>
    <mergeCell ref="K941:N941"/>
    <mergeCell ref="K942:N942"/>
    <mergeCell ref="K943:N943"/>
    <mergeCell ref="K944:N944"/>
    <mergeCell ref="K945:N945"/>
    <mergeCell ref="K946:N946"/>
    <mergeCell ref="K947:N947"/>
    <mergeCell ref="K948:N948"/>
    <mergeCell ref="K949:N949"/>
    <mergeCell ref="K950:N950"/>
    <mergeCell ref="K951:N951"/>
    <mergeCell ref="K955:N955"/>
    <mergeCell ref="K956:N956"/>
    <mergeCell ref="K957:N957"/>
    <mergeCell ref="K958:N958"/>
    <mergeCell ref="K959:N959"/>
    <mergeCell ref="K960:N960"/>
    <mergeCell ref="K961:N961"/>
    <mergeCell ref="K962:N962"/>
    <mergeCell ref="K963:N963"/>
    <mergeCell ref="K964:N964"/>
    <mergeCell ref="K965:N965"/>
    <mergeCell ref="K966:N966"/>
    <mergeCell ref="K967:N967"/>
    <mergeCell ref="K968:N968"/>
    <mergeCell ref="K969:N969"/>
    <mergeCell ref="K970:N970"/>
    <mergeCell ref="K971:N971"/>
    <mergeCell ref="K972:N972"/>
    <mergeCell ref="K973:N973"/>
    <mergeCell ref="K974:N974"/>
    <mergeCell ref="K975:N975"/>
    <mergeCell ref="K976:N976"/>
    <mergeCell ref="K977:N977"/>
    <mergeCell ref="K978:N978"/>
    <mergeCell ref="K979:N979"/>
    <mergeCell ref="K980:N980"/>
    <mergeCell ref="K981:N981"/>
    <mergeCell ref="K982:N982"/>
    <mergeCell ref="K983:N983"/>
    <mergeCell ref="K984:N984"/>
    <mergeCell ref="K985:N985"/>
    <mergeCell ref="K986:N986"/>
    <mergeCell ref="K987:N987"/>
    <mergeCell ref="K988:N988"/>
    <mergeCell ref="K989:N989"/>
    <mergeCell ref="K990:N990"/>
    <mergeCell ref="K991:N991"/>
    <mergeCell ref="K992:N992"/>
    <mergeCell ref="K993:N993"/>
    <mergeCell ref="K994:N994"/>
    <mergeCell ref="K998:N998"/>
    <mergeCell ref="K999:N999"/>
    <mergeCell ref="K1000:N1000"/>
    <mergeCell ref="K1001:N1001"/>
    <mergeCell ref="K1002:N1002"/>
    <mergeCell ref="K1003:N1003"/>
    <mergeCell ref="K1004:N1004"/>
    <mergeCell ref="K1005:N1005"/>
    <mergeCell ref="K1006:N1006"/>
    <mergeCell ref="K1007:N1007"/>
    <mergeCell ref="K1008:N1008"/>
    <mergeCell ref="K1009:N1009"/>
    <mergeCell ref="K1010:N1010"/>
    <mergeCell ref="K1011:N1011"/>
    <mergeCell ref="K1012:N1012"/>
    <mergeCell ref="K1013:N1013"/>
    <mergeCell ref="K1014:N1014"/>
    <mergeCell ref="K1015:N1015"/>
    <mergeCell ref="K1016:N1016"/>
    <mergeCell ref="K1017:N1017"/>
    <mergeCell ref="K1018:N1018"/>
    <mergeCell ref="K1019:N1019"/>
    <mergeCell ref="K1020:N1020"/>
    <mergeCell ref="K1021:N1021"/>
    <mergeCell ref="K1022:N1022"/>
    <mergeCell ref="K1023:N1023"/>
    <mergeCell ref="K1024:N1024"/>
    <mergeCell ref="K1025:N1025"/>
    <mergeCell ref="K1026:N1026"/>
    <mergeCell ref="K1027:N1027"/>
    <mergeCell ref="K1028:N1028"/>
    <mergeCell ref="K1029:N1029"/>
    <mergeCell ref="K1030:N1030"/>
    <mergeCell ref="K1031:N1031"/>
    <mergeCell ref="K1032:N1032"/>
    <mergeCell ref="K1033:N1033"/>
    <mergeCell ref="K1034:N1034"/>
    <mergeCell ref="K1035:N1035"/>
    <mergeCell ref="K1036:N1036"/>
    <mergeCell ref="K1037:N1037"/>
    <mergeCell ref="K1041:N1041"/>
    <mergeCell ref="K1042:N1042"/>
    <mergeCell ref="K1043:N1043"/>
    <mergeCell ref="K1044:N1044"/>
    <mergeCell ref="K1045:N1045"/>
    <mergeCell ref="K1046:N1046"/>
    <mergeCell ref="K1047:N1047"/>
    <mergeCell ref="K1048:N1048"/>
    <mergeCell ref="K1049:N1049"/>
    <mergeCell ref="K1050:N1050"/>
    <mergeCell ref="K1051:N1051"/>
    <mergeCell ref="K1052:N1052"/>
    <mergeCell ref="K1053:N1053"/>
    <mergeCell ref="K1040:N1040"/>
    <mergeCell ref="K1054:N1054"/>
    <mergeCell ref="K1055:N1055"/>
    <mergeCell ref="K1056:N1056"/>
    <mergeCell ref="K1057:N1057"/>
    <mergeCell ref="K1058:N1058"/>
    <mergeCell ref="K1059:N1059"/>
    <mergeCell ref="K1060:N1060"/>
    <mergeCell ref="K1061:N1061"/>
    <mergeCell ref="K1062:N1062"/>
    <mergeCell ref="K1063:N1063"/>
    <mergeCell ref="K1064:N1064"/>
    <mergeCell ref="K1065:N1065"/>
    <mergeCell ref="K1066:N1066"/>
    <mergeCell ref="K1067:N1067"/>
    <mergeCell ref="K1068:N1068"/>
    <mergeCell ref="K1069:N1069"/>
    <mergeCell ref="K1070:N1070"/>
    <mergeCell ref="K94:N94"/>
    <mergeCell ref="K137:N137"/>
    <mergeCell ref="K180:N180"/>
    <mergeCell ref="K223:N223"/>
    <mergeCell ref="K266:N266"/>
    <mergeCell ref="K309:N309"/>
    <mergeCell ref="K352:N352"/>
    <mergeCell ref="K395:N395"/>
    <mergeCell ref="K438:N438"/>
    <mergeCell ref="K481:N481"/>
    <mergeCell ref="K524:N524"/>
    <mergeCell ref="K567:N567"/>
    <mergeCell ref="K610:N610"/>
    <mergeCell ref="K653:N653"/>
    <mergeCell ref="K696:N696"/>
    <mergeCell ref="K739:N739"/>
    <mergeCell ref="K782:N782"/>
    <mergeCell ref="K778:N778"/>
    <mergeCell ref="K779:N779"/>
    <mergeCell ref="K744:N744"/>
    <mergeCell ref="K745:N745"/>
    <mergeCell ref="K746:N746"/>
    <mergeCell ref="K747:N747"/>
    <mergeCell ref="K748:N748"/>
    <mergeCell ref="K749:N749"/>
    <mergeCell ref="K750:N750"/>
    <mergeCell ref="K751:N751"/>
    <mergeCell ref="K752:N752"/>
    <mergeCell ref="K753:N753"/>
    <mergeCell ref="K754:N754"/>
    <mergeCell ref="K755:N755"/>
    <mergeCell ref="K756:N756"/>
    <mergeCell ref="K522:N522"/>
    <mergeCell ref="K565:N565"/>
    <mergeCell ref="K608:N608"/>
    <mergeCell ref="K651:N651"/>
    <mergeCell ref="K694:N694"/>
    <mergeCell ref="K737:N737"/>
    <mergeCell ref="K780:N780"/>
    <mergeCell ref="K823:N823"/>
    <mergeCell ref="K866:N866"/>
    <mergeCell ref="K909:N909"/>
    <mergeCell ref="K952:N952"/>
    <mergeCell ref="K995:N995"/>
    <mergeCell ref="K1038:N1038"/>
    <mergeCell ref="K1081:N1081"/>
    <mergeCell ref="G1083:H1083"/>
    <mergeCell ref="K1083:N1083"/>
    <mergeCell ref="K1085:N1085"/>
    <mergeCell ref="K1071:N1071"/>
    <mergeCell ref="K1072:N1072"/>
    <mergeCell ref="K1073:N1073"/>
    <mergeCell ref="K1074:N1074"/>
    <mergeCell ref="K1075:N1075"/>
    <mergeCell ref="K1076:N1076"/>
    <mergeCell ref="K1077:N1077"/>
    <mergeCell ref="K1078:N1078"/>
    <mergeCell ref="K1079:N1079"/>
    <mergeCell ref="K1080:N1080"/>
    <mergeCell ref="K825:N825"/>
    <mergeCell ref="K868:N868"/>
    <mergeCell ref="K911:N911"/>
    <mergeCell ref="K954:N954"/>
    <mergeCell ref="K997:N997"/>
    <mergeCell ref="C26:F26"/>
    <mergeCell ref="G26:H26"/>
    <mergeCell ref="K26:N26"/>
    <mergeCell ref="C31:F31"/>
    <mergeCell ref="G31:H31"/>
    <mergeCell ref="K31:N31"/>
    <mergeCell ref="C27:F27"/>
    <mergeCell ref="G27:H27"/>
    <mergeCell ref="K27:N27"/>
    <mergeCell ref="C21:F21"/>
    <mergeCell ref="G21:H21"/>
    <mergeCell ref="K21:N21"/>
    <mergeCell ref="C22:F22"/>
    <mergeCell ref="G22:H22"/>
    <mergeCell ref="K22:N22"/>
    <mergeCell ref="C23:F23"/>
    <mergeCell ref="G23:H23"/>
    <mergeCell ref="K23:N23"/>
    <mergeCell ref="C24:F24"/>
    <mergeCell ref="G24:H24"/>
    <mergeCell ref="K24:N24"/>
    <mergeCell ref="G41:H41"/>
    <mergeCell ref="K41:N41"/>
    <mergeCell ref="C42:F42"/>
    <mergeCell ref="G42:H42"/>
    <mergeCell ref="K42:N42"/>
    <mergeCell ref="C43:F43"/>
    <mergeCell ref="G43:H43"/>
    <mergeCell ref="K43:N43"/>
    <mergeCell ref="C33:F33"/>
    <mergeCell ref="G33:H33"/>
    <mergeCell ref="K33:N33"/>
    <mergeCell ref="C28:F28"/>
    <mergeCell ref="G28:H28"/>
    <mergeCell ref="K28:N28"/>
    <mergeCell ref="C35:F35"/>
    <mergeCell ref="G35:H35"/>
    <mergeCell ref="K35:N35"/>
    <mergeCell ref="C32:F32"/>
    <mergeCell ref="G32:H32"/>
    <mergeCell ref="K32:N32"/>
    <mergeCell ref="C34:F34"/>
    <mergeCell ref="G34:H34"/>
    <mergeCell ref="K34:N34"/>
    <mergeCell ref="C36:F36"/>
    <mergeCell ref="G36:H36"/>
    <mergeCell ref="K36:N36"/>
    <mergeCell ref="C49:F49"/>
    <mergeCell ref="G49:H49"/>
    <mergeCell ref="K49:N49"/>
    <mergeCell ref="C37:F37"/>
    <mergeCell ref="G37:H37"/>
    <mergeCell ref="K37:N37"/>
    <mergeCell ref="C38:F38"/>
    <mergeCell ref="G38:H38"/>
    <mergeCell ref="K38:N38"/>
    <mergeCell ref="C39:F39"/>
    <mergeCell ref="C19:F19"/>
    <mergeCell ref="G19:H19"/>
    <mergeCell ref="K19:N19"/>
    <mergeCell ref="D6:M10"/>
    <mergeCell ref="C44:F44"/>
    <mergeCell ref="G44:H44"/>
    <mergeCell ref="K44:N44"/>
    <mergeCell ref="C45:F45"/>
    <mergeCell ref="G45:H45"/>
    <mergeCell ref="K45:N45"/>
    <mergeCell ref="C46:F46"/>
    <mergeCell ref="G46:H46"/>
    <mergeCell ref="K46:N46"/>
    <mergeCell ref="C47:F47"/>
    <mergeCell ref="G47:H47"/>
    <mergeCell ref="K47:N47"/>
    <mergeCell ref="C48:F48"/>
    <mergeCell ref="G48:H48"/>
    <mergeCell ref="K48:N48"/>
    <mergeCell ref="G39:H39"/>
    <mergeCell ref="K39:N39"/>
    <mergeCell ref="C41:F41"/>
  </mergeCells>
  <conditionalFormatting sqref="C1085:H1085 C1086:G1086 C1090:G1090 C1087:F1089">
    <cfRule type="expression" dxfId="104" priority="12">
      <formula>Estimate_Report_Adders_Selection="Allocate Adders"</formula>
    </cfRule>
  </conditionalFormatting>
  <conditionalFormatting sqref="K1090:M1090 K1086">
    <cfRule type="expression" dxfId="103" priority="10">
      <formula>Estimate_Report_Adders_Selection="Allocate Adders"</formula>
    </cfRule>
  </conditionalFormatting>
  <conditionalFormatting sqref="N1090">
    <cfRule type="expression" dxfId="102" priority="9">
      <formula>Estimate_Report_Adders_Selection="Allocate Adders"</formula>
    </cfRule>
  </conditionalFormatting>
  <conditionalFormatting sqref="I1085:I1090">
    <cfRule type="expression" dxfId="101" priority="8">
      <formula>Estimate_Report_Adders_Selection="Allocate Adders"</formula>
    </cfRule>
  </conditionalFormatting>
  <conditionalFormatting sqref="J1085:J1090">
    <cfRule type="expression" dxfId="100" priority="7">
      <formula>Estimate_Report_Adders_Selection="Allocate Adders"</formula>
    </cfRule>
  </conditionalFormatting>
  <conditionalFormatting sqref="K1087">
    <cfRule type="expression" dxfId="99" priority="6">
      <formula>Estimate_Report_Adders_Selection="Allocate Adders"</formula>
    </cfRule>
  </conditionalFormatting>
  <conditionalFormatting sqref="K1088">
    <cfRule type="expression" dxfId="98" priority="5">
      <formula>Estimate_Report_Adders_Selection="Allocate Adders"</formula>
    </cfRule>
  </conditionalFormatting>
  <conditionalFormatting sqref="K1089">
    <cfRule type="expression" dxfId="97" priority="4">
      <formula>Estimate_Report_Adders_Selection="Allocate Adders"</formula>
    </cfRule>
  </conditionalFormatting>
  <conditionalFormatting sqref="G1087">
    <cfRule type="expression" dxfId="96" priority="3">
      <formula>Estimate_Report_Adders_Selection="Allocate Adders"</formula>
    </cfRule>
  </conditionalFormatting>
  <conditionalFormatting sqref="G1089">
    <cfRule type="expression" dxfId="95" priority="2">
      <formula>Estimate_Report_Adders_Selection="Allocate Adders"</formula>
    </cfRule>
  </conditionalFormatting>
  <conditionalFormatting sqref="G1088">
    <cfRule type="expression" dxfId="94" priority="1">
      <formula>Estimate_Report_Adders_Selection="Allocate Adders"</formula>
    </cfRule>
  </conditionalFormatting>
  <pageMargins left="0.7" right="0.7" top="0.75" bottom="0.75" header="0.3" footer="0.3"/>
  <pageSetup scale="66" fitToHeight="0" orientation="portrait" r:id="rId1"/>
  <headerFooter scaleWithDoc="0"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75645-A3CF-4C4E-B0C1-6C670215B5B9}">
  <sheetPr codeName="wsLENDER_REPORT">
    <tabColor theme="4" tint="0.79998168889431442"/>
  </sheetPr>
  <dimension ref="C1:AQ402"/>
  <sheetViews>
    <sheetView showGridLines="0" showRowColHeaders="0" zoomScaleNormal="100" workbookViewId="0">
      <pane ySplit="4" topLeftCell="A5" activePane="bottomLeft" state="frozen"/>
      <selection pane="bottomLeft" activeCell="S63" sqref="S63:X63"/>
    </sheetView>
  </sheetViews>
  <sheetFormatPr defaultColWidth="8.8984375" defaultRowHeight="15"/>
  <cols>
    <col min="1" max="1" width="14.8984375" style="12" customWidth="1"/>
    <col min="2" max="2" width="6.8984375" style="12" customWidth="1"/>
    <col min="3" max="3" width="5.44921875" style="12" customWidth="1"/>
    <col min="4" max="4" width="7.09765625" style="12" customWidth="1"/>
    <col min="5" max="7" width="5.44921875" style="12" customWidth="1"/>
    <col min="8" max="24" width="6.09765625" style="24" customWidth="1"/>
    <col min="25" max="26" width="6.1484375" style="12" customWidth="1"/>
    <col min="27" max="27" width="6.44921875" style="12" customWidth="1"/>
    <col min="28" max="28" width="5.44921875" style="12" customWidth="1"/>
    <col min="29" max="29" width="2.8984375" style="12" customWidth="1"/>
    <col min="30" max="30" width="8" style="12" customWidth="1"/>
    <col min="31" max="31" width="4.09765625" style="12" customWidth="1"/>
    <col min="32" max="32" width="5.44921875" style="12" customWidth="1"/>
    <col min="33" max="33" width="3.44921875" style="12" hidden="1" customWidth="1"/>
    <col min="34" max="34" width="5.44921875" style="12" hidden="1" customWidth="1"/>
    <col min="35" max="39" width="6.8984375" style="12" hidden="1" customWidth="1"/>
    <col min="40" max="43" width="5.44921875" style="12" hidden="1" customWidth="1"/>
    <col min="44" max="46" width="5.44921875" style="12" customWidth="1"/>
    <col min="47" max="60" width="5" style="12" customWidth="1"/>
    <col min="61" max="61" width="4.34765625" style="12" customWidth="1"/>
    <col min="62" max="16384" width="8.8984375" style="12"/>
  </cols>
  <sheetData>
    <row r="1" spans="3:42" s="109" customFormat="1" ht="45" customHeight="1"/>
    <row r="2" spans="3:42" s="110" customFormat="1" ht="15" customHeight="1">
      <c r="C2" s="3654" t="s">
        <v>1680</v>
      </c>
      <c r="D2" s="3654"/>
      <c r="E2" s="3654"/>
      <c r="F2" s="3654"/>
      <c r="G2" s="3654"/>
      <c r="H2" s="208"/>
      <c r="I2" s="208"/>
      <c r="J2" s="209"/>
      <c r="K2" s="210"/>
      <c r="O2" s="211"/>
      <c r="P2" s="211"/>
      <c r="Q2" s="119"/>
      <c r="AB2" s="933"/>
      <c r="AC2" s="933"/>
      <c r="AD2" s="933"/>
      <c r="AE2" s="933"/>
      <c r="AF2" s="933"/>
      <c r="AH2" s="454" t="s">
        <v>1165</v>
      </c>
      <c r="AI2" s="454" t="s">
        <v>1163</v>
      </c>
      <c r="AJ2" s="454" t="s">
        <v>615</v>
      </c>
      <c r="AK2" s="454" t="s">
        <v>603</v>
      </c>
      <c r="AL2" s="454" t="s">
        <v>1679</v>
      </c>
      <c r="AM2" s="454" t="s">
        <v>1672</v>
      </c>
      <c r="AN2" s="454" t="s">
        <v>1166</v>
      </c>
      <c r="AO2" s="454" t="s">
        <v>1166</v>
      </c>
      <c r="AP2" s="454" t="s">
        <v>1167</v>
      </c>
    </row>
    <row r="3" spans="3:42" s="110" customFormat="1" ht="22.5" customHeight="1">
      <c r="C3" s="3654"/>
      <c r="D3" s="3654"/>
      <c r="E3" s="3654"/>
      <c r="F3" s="3654"/>
      <c r="G3" s="3654"/>
      <c r="H3" s="208"/>
      <c r="I3" s="208"/>
      <c r="J3" s="209"/>
      <c r="K3" s="212"/>
      <c r="O3" s="211"/>
      <c r="P3" s="211"/>
      <c r="Q3" s="119"/>
      <c r="Z3" s="3916" t="s">
        <v>853</v>
      </c>
      <c r="AA3" s="3916"/>
      <c r="AB3" s="933"/>
      <c r="AC3" s="933"/>
      <c r="AD3" s="933"/>
      <c r="AE3" s="933"/>
      <c r="AF3" s="933"/>
      <c r="AG3" s="3542">
        <f>COUNTIF(AH3:AO4,"Shown")</f>
        <v>8</v>
      </c>
      <c r="AH3" s="3540" t="s">
        <v>1126</v>
      </c>
      <c r="AI3" s="3540" t="s">
        <v>1126</v>
      </c>
      <c r="AJ3" s="3540" t="s">
        <v>1126</v>
      </c>
      <c r="AK3" s="3540" t="s">
        <v>1126</v>
      </c>
      <c r="AL3" s="3540" t="s">
        <v>1126</v>
      </c>
      <c r="AM3" s="3540" t="s">
        <v>1126</v>
      </c>
      <c r="AN3" s="3540" t="s">
        <v>1126</v>
      </c>
      <c r="AO3" s="3540" t="s">
        <v>1126</v>
      </c>
      <c r="AP3" s="3540" t="str">
        <f>IF(AND(Investment_Report_Cover_Setting="Hidden",Investment_Report_Summary_Setting="Hidden",Investment_Report_Photo_Setting="Hidden"),"All Hidden","")</f>
        <v/>
      </c>
    </row>
    <row r="4" spans="3:42" s="116" customFormat="1" ht="8.25" customHeight="1">
      <c r="C4" s="3655"/>
      <c r="D4" s="3655"/>
      <c r="E4" s="3655"/>
      <c r="F4" s="3655"/>
      <c r="G4" s="3655"/>
      <c r="H4" s="234"/>
      <c r="I4" s="234"/>
      <c r="J4" s="235"/>
      <c r="K4" s="236"/>
      <c r="L4" s="237"/>
      <c r="M4" s="237"/>
      <c r="N4" s="237"/>
      <c r="O4" s="238"/>
      <c r="P4" s="238"/>
      <c r="Q4" s="239"/>
      <c r="AG4" s="3543"/>
      <c r="AH4" s="3541"/>
      <c r="AI4" s="3541"/>
      <c r="AJ4" s="3541"/>
      <c r="AK4" s="3541"/>
      <c r="AL4" s="3541"/>
      <c r="AM4" s="3541"/>
      <c r="AN4" s="3541"/>
      <c r="AO4" s="3541"/>
      <c r="AP4" s="3541"/>
    </row>
    <row r="5" spans="3:42" s="6" customFormat="1" ht="15" customHeight="1">
      <c r="D5" s="457"/>
      <c r="E5" s="458"/>
      <c r="F5" s="458"/>
      <c r="G5" s="458"/>
      <c r="H5" s="458"/>
      <c r="I5" s="458"/>
      <c r="J5" s="459"/>
      <c r="K5" s="460"/>
      <c r="L5" s="252"/>
      <c r="M5" s="252"/>
      <c r="N5" s="252"/>
      <c r="O5" s="461"/>
      <c r="P5" s="461"/>
      <c r="Q5" s="29"/>
      <c r="AH5" s="462">
        <f>IF(Investment_Report_Cover_Setting="Shown",1,0)</f>
        <v>1</v>
      </c>
      <c r="AI5" s="462">
        <f>IF(Investment_Report_Summary_Setting="Shown",1,0)</f>
        <v>1</v>
      </c>
      <c r="AJ5" s="462">
        <f>IF(Lender_Report_Loan_Setting="Shown",1,0)</f>
        <v>1</v>
      </c>
      <c r="AK5" s="462">
        <f>IF(Lender_Report_Equity_Setting="Shown",1,0)</f>
        <v>1</v>
      </c>
      <c r="AL5" s="462">
        <f>IF(Comps_Report_Summary_Setting="Shown",1,0)</f>
        <v>1</v>
      </c>
      <c r="AM5" s="462">
        <f>IF(Estimate_Report_Summary_Setting="Shown",1,0)</f>
        <v>1</v>
      </c>
      <c r="AN5" s="462">
        <f>IF(AN3="Shown",1,0)</f>
        <v>1</v>
      </c>
      <c r="AO5" s="462">
        <f>IF(AO3="Shown",1,0)</f>
        <v>1</v>
      </c>
      <c r="AP5" s="462"/>
    </row>
    <row r="6" spans="3:42" s="6" customFormat="1" ht="21.6" customHeight="1">
      <c r="D6" s="457"/>
      <c r="E6" s="458"/>
      <c r="F6" s="458"/>
      <c r="G6" s="458"/>
      <c r="H6" s="458"/>
      <c r="I6" s="3651" t="s">
        <v>1682</v>
      </c>
      <c r="J6" s="3651"/>
      <c r="K6" s="3651"/>
      <c r="L6" s="3651"/>
      <c r="M6" s="3651"/>
      <c r="N6" s="3651"/>
      <c r="O6" s="3651"/>
      <c r="P6" s="3651"/>
      <c r="Q6" s="3651"/>
      <c r="R6" s="3651"/>
      <c r="S6" s="3651"/>
      <c r="T6" s="3651"/>
      <c r="U6" s="3651"/>
      <c r="V6" s="3651"/>
      <c r="W6" s="3651"/>
      <c r="AH6" s="462">
        <f>SUM(AH5)</f>
        <v>1</v>
      </c>
      <c r="AI6" s="462">
        <f>SUM(AH5:AI5)</f>
        <v>2</v>
      </c>
      <c r="AJ6" s="462">
        <f>SUM(AH5:AJ5)</f>
        <v>3</v>
      </c>
      <c r="AK6" s="462">
        <f>SUM(AH5:AK5)</f>
        <v>4</v>
      </c>
      <c r="AL6" s="462">
        <f>SUM(AH5:AL5)</f>
        <v>5</v>
      </c>
      <c r="AM6" s="462">
        <f>SUM(AH5:AM5)</f>
        <v>6</v>
      </c>
      <c r="AN6" s="462">
        <f>SUM(AH5:AN5)</f>
        <v>7</v>
      </c>
      <c r="AO6" s="462">
        <f>SUM(AH5:AO5)</f>
        <v>8</v>
      </c>
      <c r="AP6" s="462"/>
    </row>
    <row r="7" spans="3:42" s="6" customFormat="1" ht="21.6" customHeight="1">
      <c r="D7" s="457"/>
      <c r="E7" s="458"/>
      <c r="F7" s="458"/>
      <c r="G7" s="458"/>
      <c r="H7" s="458"/>
      <c r="I7" s="3651"/>
      <c r="J7" s="3651"/>
      <c r="K7" s="3651"/>
      <c r="L7" s="3651"/>
      <c r="M7" s="3651"/>
      <c r="N7" s="3651"/>
      <c r="O7" s="3651"/>
      <c r="P7" s="3651"/>
      <c r="Q7" s="3651"/>
      <c r="R7" s="3651"/>
      <c r="S7" s="3651"/>
      <c r="T7" s="3651"/>
      <c r="U7" s="3651"/>
      <c r="V7" s="3651"/>
      <c r="W7" s="3651"/>
      <c r="AH7" s="462"/>
      <c r="AI7" s="462"/>
      <c r="AJ7" s="462"/>
      <c r="AK7" s="462"/>
      <c r="AL7" s="462"/>
      <c r="AM7" s="462"/>
      <c r="AN7" s="462"/>
      <c r="AO7" s="462"/>
      <c r="AP7" s="462"/>
    </row>
    <row r="8" spans="3:42" s="6" customFormat="1" ht="21.6" customHeight="1">
      <c r="D8" s="457"/>
      <c r="E8" s="458"/>
      <c r="F8" s="458"/>
      <c r="G8" s="458"/>
      <c r="H8" s="458"/>
      <c r="I8" s="3651"/>
      <c r="J8" s="3651"/>
      <c r="K8" s="3651"/>
      <c r="L8" s="3651"/>
      <c r="M8" s="3651"/>
      <c r="N8" s="3651"/>
      <c r="O8" s="3651"/>
      <c r="P8" s="3651"/>
      <c r="Q8" s="3651"/>
      <c r="R8" s="3651"/>
      <c r="S8" s="3651"/>
      <c r="T8" s="3651"/>
      <c r="U8" s="3651"/>
      <c r="V8" s="3651"/>
      <c r="W8" s="3651"/>
      <c r="AH8" s="462"/>
      <c r="AI8" s="462"/>
      <c r="AJ8" s="462"/>
      <c r="AK8" s="462"/>
      <c r="AL8" s="462"/>
      <c r="AM8" s="462"/>
      <c r="AN8" s="462"/>
      <c r="AO8" s="462"/>
      <c r="AP8" s="462"/>
    </row>
    <row r="9" spans="3:42" s="6" customFormat="1" ht="21.6" customHeight="1">
      <c r="D9" s="457"/>
      <c r="E9" s="458"/>
      <c r="F9" s="458"/>
      <c r="G9" s="458"/>
      <c r="H9" s="458"/>
      <c r="I9" s="3651"/>
      <c r="J9" s="3651"/>
      <c r="K9" s="3651"/>
      <c r="L9" s="3651"/>
      <c r="M9" s="3651"/>
      <c r="N9" s="3651"/>
      <c r="O9" s="3651"/>
      <c r="P9" s="3651"/>
      <c r="Q9" s="3651"/>
      <c r="R9" s="3651"/>
      <c r="S9" s="3651"/>
      <c r="T9" s="3651"/>
      <c r="U9" s="3651"/>
      <c r="V9" s="3651"/>
      <c r="W9" s="3651"/>
      <c r="AH9" s="462"/>
      <c r="AI9" s="462"/>
      <c r="AJ9" s="462"/>
      <c r="AK9" s="462"/>
      <c r="AL9" s="462"/>
      <c r="AM9" s="462"/>
      <c r="AN9" s="462"/>
      <c r="AO9" s="462"/>
      <c r="AP9" s="462"/>
    </row>
    <row r="10" spans="3:42" ht="15" customHeight="1"/>
    <row r="11" spans="3:42" s="2" customFormat="1" ht="22.7" customHeight="1">
      <c r="H11" s="3562" t="str">
        <f>CONCATENATE(Street_Address,", ",City_State_Zip)</f>
        <v>, 0</v>
      </c>
      <c r="I11" s="3562"/>
      <c r="J11" s="3562"/>
      <c r="K11" s="3562"/>
      <c r="L11" s="3562"/>
      <c r="M11" s="3562"/>
      <c r="N11" s="3562"/>
      <c r="O11" s="3562"/>
      <c r="P11" s="3562"/>
      <c r="Q11" s="3562"/>
      <c r="R11" s="3562"/>
      <c r="S11" s="3562"/>
      <c r="T11" s="3562"/>
      <c r="U11" s="3562"/>
      <c r="V11" s="3562"/>
      <c r="W11" s="3562"/>
      <c r="X11" s="3562"/>
    </row>
    <row r="12" spans="3:42" s="2" customFormat="1" ht="22.7" customHeight="1">
      <c r="H12" s="141"/>
      <c r="I12" s="141"/>
      <c r="J12" s="141"/>
      <c r="K12" s="141"/>
      <c r="L12" s="141"/>
      <c r="M12" s="141"/>
      <c r="N12" s="141"/>
      <c r="O12" s="141"/>
      <c r="P12" s="141"/>
      <c r="Q12" s="141"/>
      <c r="R12" s="141"/>
      <c r="S12" s="141"/>
      <c r="T12" s="141"/>
      <c r="U12" s="141"/>
      <c r="V12" s="141"/>
      <c r="W12" s="141"/>
      <c r="X12" s="141"/>
    </row>
    <row r="13" spans="3:42" s="2" customFormat="1" ht="22.7" customHeight="1">
      <c r="H13" s="141"/>
      <c r="I13" s="141"/>
      <c r="J13" s="141"/>
      <c r="K13" s="141"/>
      <c r="L13" s="141"/>
      <c r="M13" s="141"/>
      <c r="N13" s="141"/>
      <c r="O13" s="141"/>
      <c r="P13" s="141"/>
      <c r="Q13" s="141"/>
      <c r="R13" s="141"/>
      <c r="S13" s="141"/>
      <c r="T13" s="141"/>
      <c r="U13" s="141"/>
      <c r="V13" s="141"/>
      <c r="W13" s="141"/>
      <c r="X13" s="141"/>
    </row>
    <row r="14" spans="3:42" s="2" customFormat="1" ht="22.7" customHeight="1">
      <c r="H14" s="141"/>
      <c r="I14" s="141"/>
      <c r="J14" s="141"/>
      <c r="K14" s="141"/>
      <c r="L14" s="141"/>
      <c r="M14" s="141"/>
      <c r="N14" s="141"/>
      <c r="O14" s="141"/>
      <c r="P14" s="141"/>
      <c r="Q14" s="141"/>
      <c r="R14" s="141"/>
      <c r="S14" s="141"/>
      <c r="T14" s="141"/>
      <c r="U14" s="141"/>
      <c r="V14" s="141"/>
      <c r="W14" s="141"/>
      <c r="X14" s="141"/>
    </row>
    <row r="15" spans="3:42" s="2" customFormat="1" ht="22.7" customHeight="1">
      <c r="H15" s="141"/>
      <c r="I15" s="3663" t="s">
        <v>1681</v>
      </c>
      <c r="J15" s="3663"/>
      <c r="K15" s="3663"/>
      <c r="L15" s="3663"/>
      <c r="M15" s="3663"/>
      <c r="N15" s="3663"/>
      <c r="O15" s="3663"/>
      <c r="P15" s="3663"/>
      <c r="Q15" s="3663"/>
      <c r="R15" s="3663"/>
      <c r="S15" s="3663"/>
      <c r="T15" s="3663"/>
      <c r="U15" s="3663"/>
      <c r="V15" s="3663"/>
      <c r="W15" s="3663"/>
      <c r="X15" s="141"/>
    </row>
    <row r="16" spans="3:42" s="2" customFormat="1" ht="22.7" customHeight="1">
      <c r="H16" s="141"/>
      <c r="I16" s="3663"/>
      <c r="J16" s="3663"/>
      <c r="K16" s="3663"/>
      <c r="L16" s="3663"/>
      <c r="M16" s="3663"/>
      <c r="N16" s="3663"/>
      <c r="O16" s="3663"/>
      <c r="P16" s="3663"/>
      <c r="Q16" s="3663"/>
      <c r="R16" s="3663"/>
      <c r="S16" s="3663"/>
      <c r="T16" s="3663"/>
      <c r="U16" s="3663"/>
      <c r="V16" s="3663"/>
      <c r="W16" s="3663"/>
      <c r="X16" s="141"/>
    </row>
    <row r="17" spans="8:24" s="2" customFormat="1" ht="22.7" customHeight="1">
      <c r="H17" s="141"/>
      <c r="I17" s="3663"/>
      <c r="J17" s="3663"/>
      <c r="K17" s="3663"/>
      <c r="L17" s="3663"/>
      <c r="M17" s="3663"/>
      <c r="N17" s="3663"/>
      <c r="O17" s="3663"/>
      <c r="P17" s="3663"/>
      <c r="Q17" s="3663"/>
      <c r="R17" s="3663"/>
      <c r="S17" s="3663"/>
      <c r="T17" s="3663"/>
      <c r="U17" s="3663"/>
      <c r="V17" s="3663"/>
      <c r="W17" s="3663"/>
      <c r="X17" s="141"/>
    </row>
    <row r="18" spans="8:24" s="2" customFormat="1" ht="22.7" customHeight="1">
      <c r="H18" s="141"/>
      <c r="I18" s="3661" t="str">
        <f>T(Street_Address)</f>
        <v/>
      </c>
      <c r="J18" s="3661"/>
      <c r="K18" s="3661"/>
      <c r="L18" s="3661"/>
      <c r="M18" s="3661"/>
      <c r="N18" s="3661"/>
      <c r="O18" s="3661"/>
      <c r="P18" s="3661"/>
      <c r="Q18" s="3661"/>
      <c r="R18" s="3661"/>
      <c r="S18" s="3661"/>
      <c r="T18" s="3661"/>
      <c r="U18" s="3661"/>
      <c r="V18" s="3661"/>
      <c r="W18" s="3661"/>
      <c r="X18" s="141"/>
    </row>
    <row r="19" spans="8:24" s="2" customFormat="1" ht="22.7" customHeight="1">
      <c r="H19" s="141"/>
      <c r="I19" s="3661"/>
      <c r="J19" s="3661"/>
      <c r="K19" s="3661"/>
      <c r="L19" s="3661"/>
      <c r="M19" s="3661"/>
      <c r="N19" s="3661"/>
      <c r="O19" s="3661"/>
      <c r="P19" s="3661"/>
      <c r="Q19" s="3661"/>
      <c r="R19" s="3661"/>
      <c r="S19" s="3661"/>
      <c r="T19" s="3661"/>
      <c r="U19" s="3661"/>
      <c r="V19" s="3661"/>
      <c r="W19" s="3661"/>
      <c r="X19" s="141"/>
    </row>
    <row r="20" spans="8:24" s="2" customFormat="1" ht="22.7" customHeight="1">
      <c r="H20" s="141"/>
      <c r="I20" s="3662" t="str">
        <f>T(City_State_Zip)</f>
        <v/>
      </c>
      <c r="J20" s="3662"/>
      <c r="K20" s="3662"/>
      <c r="L20" s="3662"/>
      <c r="M20" s="3662"/>
      <c r="N20" s="3662"/>
      <c r="O20" s="3662"/>
      <c r="P20" s="3662"/>
      <c r="Q20" s="3662"/>
      <c r="R20" s="3662"/>
      <c r="S20" s="3662"/>
      <c r="T20" s="3662"/>
      <c r="U20" s="3662"/>
      <c r="V20" s="3662"/>
      <c r="W20" s="3662"/>
      <c r="X20" s="141"/>
    </row>
    <row r="21" spans="8:24" s="2" customFormat="1" ht="22.7" customHeight="1">
      <c r="H21" s="141"/>
      <c r="I21" s="3653">
        <f ca="1">TODAY()</f>
        <v>43691</v>
      </c>
      <c r="J21" s="3653"/>
      <c r="K21" s="3653"/>
      <c r="L21" s="3653"/>
      <c r="M21" s="3653"/>
      <c r="N21" s="3653"/>
      <c r="O21" s="3653"/>
      <c r="P21" s="3653"/>
      <c r="Q21" s="3653"/>
      <c r="R21" s="3653"/>
      <c r="S21" s="3653"/>
      <c r="T21" s="3653"/>
      <c r="U21" s="35"/>
      <c r="V21" s="35"/>
      <c r="W21" s="35"/>
      <c r="X21" s="141"/>
    </row>
    <row r="22" spans="8:24" s="2" customFormat="1" ht="22.7" customHeight="1">
      <c r="H22" s="141"/>
      <c r="I22" s="3653"/>
      <c r="J22" s="3653"/>
      <c r="K22" s="3653"/>
      <c r="L22" s="3653"/>
      <c r="M22" s="3653"/>
      <c r="N22" s="3653"/>
      <c r="O22" s="3653"/>
      <c r="P22" s="3653"/>
      <c r="Q22" s="3653"/>
      <c r="R22" s="3653"/>
      <c r="S22" s="3653"/>
      <c r="T22" s="3653"/>
      <c r="U22" s="35"/>
      <c r="V22" s="35"/>
      <c r="W22" s="35"/>
      <c r="X22" s="141"/>
    </row>
    <row r="23" spans="8:24" s="2" customFormat="1" ht="22.7" customHeight="1">
      <c r="H23" s="141"/>
      <c r="I23" s="35"/>
      <c r="J23" s="35"/>
      <c r="K23" s="35"/>
      <c r="L23" s="35"/>
      <c r="M23" s="35"/>
      <c r="N23" s="35"/>
      <c r="O23" s="35"/>
      <c r="P23" s="35"/>
      <c r="Q23" s="35"/>
      <c r="R23" s="35"/>
      <c r="S23" s="35"/>
      <c r="T23" s="35"/>
      <c r="U23" s="35"/>
      <c r="V23" s="35"/>
      <c r="W23" s="35"/>
      <c r="X23" s="141"/>
    </row>
    <row r="24" spans="8:24" s="2" customFormat="1" ht="22.7" customHeight="1">
      <c r="H24" s="141"/>
      <c r="I24" s="35"/>
      <c r="J24" s="35"/>
      <c r="K24" s="35"/>
      <c r="L24" s="35"/>
      <c r="M24" s="35"/>
      <c r="N24" s="35"/>
      <c r="O24" s="35"/>
      <c r="P24" s="35"/>
      <c r="Q24" s="35"/>
      <c r="R24" s="35"/>
      <c r="S24" s="35"/>
      <c r="T24" s="35"/>
      <c r="U24" s="35"/>
      <c r="V24" s="35"/>
      <c r="W24" s="35"/>
      <c r="X24" s="141"/>
    </row>
    <row r="25" spans="8:24" s="2" customFormat="1" ht="22.7" customHeight="1">
      <c r="H25" s="141"/>
      <c r="I25" s="35"/>
      <c r="J25" s="35"/>
      <c r="K25" s="35"/>
      <c r="L25" s="35"/>
      <c r="M25" s="35"/>
      <c r="N25" s="35"/>
      <c r="O25" s="35"/>
      <c r="P25" s="35"/>
      <c r="Q25" s="35"/>
      <c r="R25" s="35"/>
      <c r="S25" s="35"/>
      <c r="T25" s="35"/>
      <c r="U25" s="35"/>
      <c r="V25" s="35"/>
      <c r="W25" s="35"/>
      <c r="X25" s="141"/>
    </row>
    <row r="26" spans="8:24" s="2" customFormat="1" ht="22.7" customHeight="1">
      <c r="H26" s="141"/>
      <c r="I26" s="3531" t="s">
        <v>1586</v>
      </c>
      <c r="J26" s="3532"/>
      <c r="K26" s="3532"/>
      <c r="L26" s="3532"/>
      <c r="M26" s="3532"/>
      <c r="N26" s="3532"/>
      <c r="O26" s="3532"/>
      <c r="P26" s="3532"/>
      <c r="Q26" s="3532"/>
      <c r="R26" s="3532"/>
      <c r="S26" s="3532"/>
      <c r="T26" s="3532"/>
      <c r="U26" s="3532"/>
      <c r="V26" s="3532"/>
      <c r="W26" s="3533"/>
      <c r="X26" s="141"/>
    </row>
    <row r="27" spans="8:24" s="2" customFormat="1" ht="22.7" customHeight="1">
      <c r="H27" s="141"/>
      <c r="I27" s="3534"/>
      <c r="J27" s="3535"/>
      <c r="K27" s="3535"/>
      <c r="L27" s="3535"/>
      <c r="M27" s="3535"/>
      <c r="N27" s="3535"/>
      <c r="O27" s="3535"/>
      <c r="P27" s="3535"/>
      <c r="Q27" s="3535"/>
      <c r="R27" s="3535"/>
      <c r="S27" s="3535"/>
      <c r="T27" s="3535"/>
      <c r="U27" s="3535"/>
      <c r="V27" s="3535"/>
      <c r="W27" s="3536"/>
      <c r="X27" s="141"/>
    </row>
    <row r="28" spans="8:24" s="2" customFormat="1" ht="22.7" customHeight="1">
      <c r="H28" s="141"/>
      <c r="I28" s="3534"/>
      <c r="J28" s="3535"/>
      <c r="K28" s="3535"/>
      <c r="L28" s="3535"/>
      <c r="M28" s="3535"/>
      <c r="N28" s="3535"/>
      <c r="O28" s="3535"/>
      <c r="P28" s="3535"/>
      <c r="Q28" s="3535"/>
      <c r="R28" s="3535"/>
      <c r="S28" s="3535"/>
      <c r="T28" s="3535"/>
      <c r="U28" s="3535"/>
      <c r="V28" s="3535"/>
      <c r="W28" s="3536"/>
      <c r="X28" s="141"/>
    </row>
    <row r="29" spans="8:24" s="2" customFormat="1" ht="22.7" customHeight="1">
      <c r="H29" s="141"/>
      <c r="I29" s="3534"/>
      <c r="J29" s="3535"/>
      <c r="K29" s="3535"/>
      <c r="L29" s="3535"/>
      <c r="M29" s="3535"/>
      <c r="N29" s="3535"/>
      <c r="O29" s="3535"/>
      <c r="P29" s="3535"/>
      <c r="Q29" s="3535"/>
      <c r="R29" s="3535"/>
      <c r="S29" s="3535"/>
      <c r="T29" s="3535"/>
      <c r="U29" s="3535"/>
      <c r="V29" s="3535"/>
      <c r="W29" s="3536"/>
      <c r="X29" s="141"/>
    </row>
    <row r="30" spans="8:24" s="2" customFormat="1" ht="22.7" customHeight="1">
      <c r="H30" s="141"/>
      <c r="I30" s="3534"/>
      <c r="J30" s="3535"/>
      <c r="K30" s="3535"/>
      <c r="L30" s="3535"/>
      <c r="M30" s="3535"/>
      <c r="N30" s="3535"/>
      <c r="O30" s="3535"/>
      <c r="P30" s="3535"/>
      <c r="Q30" s="3535"/>
      <c r="R30" s="3535"/>
      <c r="S30" s="3535"/>
      <c r="T30" s="3535"/>
      <c r="U30" s="3535"/>
      <c r="V30" s="3535"/>
      <c r="W30" s="3536"/>
      <c r="X30" s="141"/>
    </row>
    <row r="31" spans="8:24" s="2" customFormat="1" ht="22.7" customHeight="1">
      <c r="H31" s="141"/>
      <c r="I31" s="3534"/>
      <c r="J31" s="3535"/>
      <c r="K31" s="3535"/>
      <c r="L31" s="3535"/>
      <c r="M31" s="3535"/>
      <c r="N31" s="3535"/>
      <c r="O31" s="3535"/>
      <c r="P31" s="3535"/>
      <c r="Q31" s="3535"/>
      <c r="R31" s="3535"/>
      <c r="S31" s="3535"/>
      <c r="T31" s="3535"/>
      <c r="U31" s="3535"/>
      <c r="V31" s="3535"/>
      <c r="W31" s="3536"/>
      <c r="X31" s="141"/>
    </row>
    <row r="32" spans="8:24" s="2" customFormat="1" ht="22.7" customHeight="1">
      <c r="H32" s="141"/>
      <c r="I32" s="3534"/>
      <c r="J32" s="3535"/>
      <c r="K32" s="3535"/>
      <c r="L32" s="3535"/>
      <c r="M32" s="3535"/>
      <c r="N32" s="3535"/>
      <c r="O32" s="3535"/>
      <c r="P32" s="3535"/>
      <c r="Q32" s="3535"/>
      <c r="R32" s="3535"/>
      <c r="S32" s="3535"/>
      <c r="T32" s="3535"/>
      <c r="U32" s="3535"/>
      <c r="V32" s="3535"/>
      <c r="W32" s="3536"/>
      <c r="X32" s="141"/>
    </row>
    <row r="33" spans="8:24" s="2" customFormat="1" ht="22.7" customHeight="1">
      <c r="H33" s="141"/>
      <c r="I33" s="3534"/>
      <c r="J33" s="3535"/>
      <c r="K33" s="3535"/>
      <c r="L33" s="3535"/>
      <c r="M33" s="3535"/>
      <c r="N33" s="3535"/>
      <c r="O33" s="3535"/>
      <c r="P33" s="3535"/>
      <c r="Q33" s="3535"/>
      <c r="R33" s="3535"/>
      <c r="S33" s="3535"/>
      <c r="T33" s="3535"/>
      <c r="U33" s="3535"/>
      <c r="V33" s="3535"/>
      <c r="W33" s="3536"/>
      <c r="X33" s="141"/>
    </row>
    <row r="34" spans="8:24" s="2" customFormat="1" ht="22.7" customHeight="1">
      <c r="H34" s="141"/>
      <c r="I34" s="3534"/>
      <c r="J34" s="3535"/>
      <c r="K34" s="3535"/>
      <c r="L34" s="3535"/>
      <c r="M34" s="3535"/>
      <c r="N34" s="3535"/>
      <c r="O34" s="3535"/>
      <c r="P34" s="3535"/>
      <c r="Q34" s="3535"/>
      <c r="R34" s="3535"/>
      <c r="S34" s="3535"/>
      <c r="T34" s="3535"/>
      <c r="U34" s="3535"/>
      <c r="V34" s="3535"/>
      <c r="W34" s="3536"/>
      <c r="X34" s="141"/>
    </row>
    <row r="35" spans="8:24" s="2" customFormat="1" ht="22.7" customHeight="1">
      <c r="H35" s="141"/>
      <c r="I35" s="3534"/>
      <c r="J35" s="3535"/>
      <c r="K35" s="3535"/>
      <c r="L35" s="3535"/>
      <c r="M35" s="3535"/>
      <c r="N35" s="3535"/>
      <c r="O35" s="3535"/>
      <c r="P35" s="3535"/>
      <c r="Q35" s="3535"/>
      <c r="R35" s="3535"/>
      <c r="S35" s="3535"/>
      <c r="T35" s="3535"/>
      <c r="U35" s="3535"/>
      <c r="V35" s="3535"/>
      <c r="W35" s="3536"/>
      <c r="X35" s="141"/>
    </row>
    <row r="36" spans="8:24" s="2" customFormat="1" ht="22.7" customHeight="1">
      <c r="H36" s="141"/>
      <c r="I36" s="3534"/>
      <c r="J36" s="3535"/>
      <c r="K36" s="3535"/>
      <c r="L36" s="3535"/>
      <c r="M36" s="3535"/>
      <c r="N36" s="3535"/>
      <c r="O36" s="3535"/>
      <c r="P36" s="3535"/>
      <c r="Q36" s="3535"/>
      <c r="R36" s="3535"/>
      <c r="S36" s="3535"/>
      <c r="T36" s="3535"/>
      <c r="U36" s="3535"/>
      <c r="V36" s="3535"/>
      <c r="W36" s="3536"/>
      <c r="X36" s="141"/>
    </row>
    <row r="37" spans="8:24" s="2" customFormat="1" ht="22.7" customHeight="1">
      <c r="H37" s="141"/>
      <c r="I37" s="3534"/>
      <c r="J37" s="3535"/>
      <c r="K37" s="3535"/>
      <c r="L37" s="3535"/>
      <c r="M37" s="3535"/>
      <c r="N37" s="3535"/>
      <c r="O37" s="3535"/>
      <c r="P37" s="3535"/>
      <c r="Q37" s="3535"/>
      <c r="R37" s="3535"/>
      <c r="S37" s="3535"/>
      <c r="T37" s="3535"/>
      <c r="U37" s="3535"/>
      <c r="V37" s="3535"/>
      <c r="W37" s="3536"/>
      <c r="X37" s="141"/>
    </row>
    <row r="38" spans="8:24" s="2" customFormat="1" ht="22.7" customHeight="1">
      <c r="H38" s="141"/>
      <c r="I38" s="3534"/>
      <c r="J38" s="3535"/>
      <c r="K38" s="3535"/>
      <c r="L38" s="3535"/>
      <c r="M38" s="3535"/>
      <c r="N38" s="3535"/>
      <c r="O38" s="3535"/>
      <c r="P38" s="3535"/>
      <c r="Q38" s="3535"/>
      <c r="R38" s="3535"/>
      <c r="S38" s="3535"/>
      <c r="T38" s="3535"/>
      <c r="U38" s="3535"/>
      <c r="V38" s="3535"/>
      <c r="W38" s="3536"/>
      <c r="X38" s="141"/>
    </row>
    <row r="39" spans="8:24" s="2" customFormat="1" ht="22.7" customHeight="1">
      <c r="H39" s="141"/>
      <c r="I39" s="3534"/>
      <c r="J39" s="3535"/>
      <c r="K39" s="3535"/>
      <c r="L39" s="3535"/>
      <c r="M39" s="3535"/>
      <c r="N39" s="3535"/>
      <c r="O39" s="3535"/>
      <c r="P39" s="3535"/>
      <c r="Q39" s="3535"/>
      <c r="R39" s="3535"/>
      <c r="S39" s="3535"/>
      <c r="T39" s="3535"/>
      <c r="U39" s="3535"/>
      <c r="V39" s="3535"/>
      <c r="W39" s="3536"/>
      <c r="X39" s="141"/>
    </row>
    <row r="40" spans="8:24" s="2" customFormat="1" ht="22.7" customHeight="1">
      <c r="H40" s="141"/>
      <c r="I40" s="3534"/>
      <c r="J40" s="3535"/>
      <c r="K40" s="3535"/>
      <c r="L40" s="3535"/>
      <c r="M40" s="3535"/>
      <c r="N40" s="3535"/>
      <c r="O40" s="3535"/>
      <c r="P40" s="3535"/>
      <c r="Q40" s="3535"/>
      <c r="R40" s="3535"/>
      <c r="S40" s="3535"/>
      <c r="T40" s="3535"/>
      <c r="U40" s="3535"/>
      <c r="V40" s="3535"/>
      <c r="W40" s="3536"/>
      <c r="X40" s="141"/>
    </row>
    <row r="41" spans="8:24" s="2" customFormat="1" ht="22.7" customHeight="1">
      <c r="H41" s="141"/>
      <c r="I41" s="3534"/>
      <c r="J41" s="3535"/>
      <c r="K41" s="3535"/>
      <c r="L41" s="3535"/>
      <c r="M41" s="3535"/>
      <c r="N41" s="3535"/>
      <c r="O41" s="3535"/>
      <c r="P41" s="3535"/>
      <c r="Q41" s="3535"/>
      <c r="R41" s="3535"/>
      <c r="S41" s="3535"/>
      <c r="T41" s="3535"/>
      <c r="U41" s="3535"/>
      <c r="V41" s="3535"/>
      <c r="W41" s="3536"/>
      <c r="X41" s="141"/>
    </row>
    <row r="42" spans="8:24" s="2" customFormat="1" ht="22.7" customHeight="1">
      <c r="H42" s="141"/>
      <c r="I42" s="3534"/>
      <c r="J42" s="3535"/>
      <c r="K42" s="3535"/>
      <c r="L42" s="3535"/>
      <c r="M42" s="3535"/>
      <c r="N42" s="3535"/>
      <c r="O42" s="3535"/>
      <c r="P42" s="3535"/>
      <c r="Q42" s="3535"/>
      <c r="R42" s="3535"/>
      <c r="S42" s="3535"/>
      <c r="T42" s="3535"/>
      <c r="U42" s="3535"/>
      <c r="V42" s="3535"/>
      <c r="W42" s="3536"/>
      <c r="X42" s="141"/>
    </row>
    <row r="43" spans="8:24" s="2" customFormat="1" ht="22.7" customHeight="1">
      <c r="H43" s="141"/>
      <c r="I43" s="3534"/>
      <c r="J43" s="3535"/>
      <c r="K43" s="3535"/>
      <c r="L43" s="3535"/>
      <c r="M43" s="3535"/>
      <c r="N43" s="3535"/>
      <c r="O43" s="3535"/>
      <c r="P43" s="3535"/>
      <c r="Q43" s="3535"/>
      <c r="R43" s="3535"/>
      <c r="S43" s="3535"/>
      <c r="T43" s="3535"/>
      <c r="U43" s="3535"/>
      <c r="V43" s="3535"/>
      <c r="W43" s="3536"/>
      <c r="X43" s="141"/>
    </row>
    <row r="44" spans="8:24" s="2" customFormat="1" ht="22.7" customHeight="1">
      <c r="H44" s="141"/>
      <c r="I44" s="3534"/>
      <c r="J44" s="3535"/>
      <c r="K44" s="3535"/>
      <c r="L44" s="3535"/>
      <c r="M44" s="3535"/>
      <c r="N44" s="3535"/>
      <c r="O44" s="3535"/>
      <c r="P44" s="3535"/>
      <c r="Q44" s="3535"/>
      <c r="R44" s="3535"/>
      <c r="S44" s="3535"/>
      <c r="T44" s="3535"/>
      <c r="U44" s="3535"/>
      <c r="V44" s="3535"/>
      <c r="W44" s="3536"/>
      <c r="X44" s="141"/>
    </row>
    <row r="45" spans="8:24" s="2" customFormat="1" ht="22.7" customHeight="1">
      <c r="H45" s="141"/>
      <c r="I45" s="3534"/>
      <c r="J45" s="3535"/>
      <c r="K45" s="3535"/>
      <c r="L45" s="3535"/>
      <c r="M45" s="3535"/>
      <c r="N45" s="3535"/>
      <c r="O45" s="3535"/>
      <c r="P45" s="3535"/>
      <c r="Q45" s="3535"/>
      <c r="R45" s="3535"/>
      <c r="S45" s="3535"/>
      <c r="T45" s="3535"/>
      <c r="U45" s="3535"/>
      <c r="V45" s="3535"/>
      <c r="W45" s="3536"/>
      <c r="X45" s="141"/>
    </row>
    <row r="46" spans="8:24" s="2" customFormat="1" ht="22.7" customHeight="1">
      <c r="H46" s="141"/>
      <c r="I46" s="3537"/>
      <c r="J46" s="3538"/>
      <c r="K46" s="3538"/>
      <c r="L46" s="3538"/>
      <c r="M46" s="3538"/>
      <c r="N46" s="3538"/>
      <c r="O46" s="3538"/>
      <c r="P46" s="3538"/>
      <c r="Q46" s="3538"/>
      <c r="R46" s="3538"/>
      <c r="S46" s="3538"/>
      <c r="T46" s="3538"/>
      <c r="U46" s="3538"/>
      <c r="V46" s="3538"/>
      <c r="W46" s="3539"/>
      <c r="X46" s="141"/>
    </row>
    <row r="47" spans="8:24" s="2" customFormat="1" ht="22.7" customHeight="1">
      <c r="H47" s="141"/>
      <c r="I47" s="141"/>
      <c r="J47" s="141"/>
      <c r="K47" s="141"/>
      <c r="L47" s="141"/>
      <c r="M47" s="141"/>
      <c r="N47" s="141"/>
      <c r="O47" s="141"/>
      <c r="P47" s="141"/>
      <c r="Q47" s="141"/>
      <c r="R47" s="141"/>
      <c r="S47" s="141"/>
      <c r="T47" s="141"/>
      <c r="U47" s="141"/>
      <c r="V47" s="141"/>
      <c r="W47" s="141"/>
      <c r="X47" s="141"/>
    </row>
    <row r="48" spans="8:24" s="2" customFormat="1" ht="22.7" customHeight="1">
      <c r="H48" s="141"/>
      <c r="I48" s="864"/>
      <c r="J48" s="864"/>
      <c r="K48" s="864"/>
      <c r="L48" s="864"/>
      <c r="M48" s="864"/>
      <c r="N48" s="864"/>
      <c r="O48" s="864"/>
      <c r="P48" s="141"/>
      <c r="Q48" s="141"/>
      <c r="R48" s="141"/>
      <c r="S48" s="141"/>
      <c r="T48" s="141"/>
      <c r="U48" s="141"/>
      <c r="V48" s="141"/>
      <c r="W48" s="141"/>
      <c r="X48" s="141"/>
    </row>
    <row r="49" spans="8:24" s="2" customFormat="1" ht="22.7" customHeight="1">
      <c r="H49" s="141"/>
      <c r="I49" s="3660">
        <f>Company_Name</f>
        <v>0</v>
      </c>
      <c r="J49" s="3660"/>
      <c r="K49" s="3660"/>
      <c r="L49" s="3660"/>
      <c r="M49" s="3660"/>
      <c r="N49" s="3660"/>
      <c r="O49" s="3660"/>
      <c r="P49" s="141"/>
      <c r="Q49" s="141"/>
      <c r="R49" s="141"/>
      <c r="S49" s="141"/>
      <c r="T49" s="141"/>
      <c r="U49" s="141"/>
      <c r="V49" s="141"/>
      <c r="W49" s="141"/>
      <c r="X49" s="141"/>
    </row>
    <row r="50" spans="8:24" s="2" customFormat="1" ht="22.7" customHeight="1">
      <c r="H50" s="141"/>
      <c r="I50" s="3665">
        <f>Investor_Name</f>
        <v>0</v>
      </c>
      <c r="J50" s="3665"/>
      <c r="K50" s="3665"/>
      <c r="L50" s="3665"/>
      <c r="M50" s="3665"/>
      <c r="N50" s="3665"/>
      <c r="O50" s="3665"/>
      <c r="P50" s="141"/>
      <c r="Q50" s="141"/>
      <c r="R50" s="141"/>
      <c r="S50" s="141"/>
      <c r="T50" s="141"/>
      <c r="U50" s="141"/>
      <c r="V50" s="141"/>
      <c r="W50" s="141"/>
      <c r="X50" s="141"/>
    </row>
    <row r="51" spans="8:24" s="2" customFormat="1" ht="22.7" customHeight="1">
      <c r="H51" s="141"/>
      <c r="I51" s="3665" t="str">
        <f>T(Company_Email)</f>
        <v/>
      </c>
      <c r="J51" s="3665"/>
      <c r="K51" s="3665"/>
      <c r="L51" s="3665"/>
      <c r="M51" s="3665"/>
      <c r="N51" s="3665"/>
      <c r="O51" s="3665"/>
      <c r="P51" s="141"/>
      <c r="Q51" s="141"/>
      <c r="R51" s="141"/>
      <c r="S51" s="141"/>
      <c r="T51" s="141"/>
      <c r="U51" s="141"/>
      <c r="V51" s="141"/>
      <c r="W51" s="141"/>
      <c r="X51" s="141"/>
    </row>
    <row r="52" spans="8:24" s="2" customFormat="1" ht="22.7" customHeight="1">
      <c r="H52" s="141"/>
      <c r="I52" s="3666">
        <f>Company_Phone</f>
        <v>0</v>
      </c>
      <c r="J52" s="3666"/>
      <c r="K52" s="3666"/>
      <c r="L52" s="3666"/>
      <c r="M52" s="3666"/>
      <c r="N52" s="3666"/>
      <c r="O52" s="3666"/>
      <c r="P52" s="141"/>
      <c r="Q52" s="141"/>
      <c r="R52" s="141"/>
      <c r="S52" s="141"/>
      <c r="T52" s="141"/>
      <c r="U52" s="141"/>
      <c r="V52" s="141"/>
      <c r="W52" s="141"/>
      <c r="X52" s="141"/>
    </row>
    <row r="53" spans="8:24" s="2" customFormat="1" ht="22.7" customHeight="1">
      <c r="H53" s="141"/>
      <c r="I53" s="864"/>
      <c r="J53" s="864"/>
      <c r="K53" s="864"/>
      <c r="L53" s="864"/>
      <c r="M53" s="864"/>
      <c r="N53" s="864"/>
      <c r="O53" s="864"/>
      <c r="P53" s="141"/>
      <c r="Q53" s="141"/>
      <c r="R53" s="141"/>
      <c r="S53" s="141"/>
      <c r="T53" s="141"/>
      <c r="U53" s="141"/>
      <c r="V53" s="141"/>
      <c r="W53" s="141"/>
      <c r="X53" s="141"/>
    </row>
    <row r="54" spans="8:24" s="2" customFormat="1" ht="22.7" customHeight="1">
      <c r="H54" s="141"/>
      <c r="I54" s="141"/>
      <c r="J54" s="141"/>
      <c r="K54" s="141"/>
      <c r="L54" s="141"/>
      <c r="M54" s="141"/>
      <c r="N54" s="141"/>
      <c r="O54" s="141"/>
      <c r="P54" s="141"/>
      <c r="Q54" s="141"/>
      <c r="R54" s="141"/>
      <c r="S54" s="141"/>
      <c r="T54" s="141"/>
      <c r="U54" s="141"/>
      <c r="V54" s="141"/>
      <c r="W54" s="141"/>
      <c r="X54" s="141"/>
    </row>
    <row r="55" spans="8:24" s="2" customFormat="1" ht="22.7" customHeight="1">
      <c r="H55" s="141"/>
      <c r="I55" s="141"/>
      <c r="J55" s="141"/>
      <c r="K55" s="141"/>
      <c r="L55" s="141"/>
      <c r="M55" s="141"/>
      <c r="N55" s="141"/>
      <c r="O55" s="141"/>
      <c r="P55" s="141"/>
      <c r="Q55" s="141"/>
      <c r="R55" s="141"/>
      <c r="S55" s="141"/>
      <c r="T55" s="141"/>
      <c r="U55" s="141"/>
      <c r="V55" s="141"/>
      <c r="W55" s="141"/>
      <c r="X55" s="141"/>
    </row>
    <row r="56" spans="8:24" s="2" customFormat="1" ht="22.7" customHeight="1">
      <c r="H56" s="3544" t="str">
        <f>CONCATENATE("Report Prepared By: ",Investor_Name,"  |  ",Company_Name,"  |  ",Company_Email,"  |  ",Company_Website)</f>
        <v xml:space="preserve">Report Prepared By:   |    |    |  </v>
      </c>
      <c r="I56" s="3544"/>
      <c r="J56" s="3544"/>
      <c r="K56" s="3544"/>
      <c r="L56" s="3544"/>
      <c r="M56" s="3544"/>
      <c r="N56" s="3544"/>
      <c r="O56" s="3544"/>
      <c r="P56" s="3544"/>
      <c r="Q56" s="3544"/>
      <c r="R56" s="3544"/>
      <c r="S56" s="3544"/>
      <c r="T56" s="3544"/>
      <c r="U56" s="3544"/>
      <c r="V56" s="3544"/>
      <c r="W56" s="3561" t="str">
        <f>CONCATENATE("Page ",AH6," of ",$AG$3)</f>
        <v>Page 1 of 8</v>
      </c>
      <c r="X56" s="3561"/>
    </row>
    <row r="57" spans="8:24" s="2" customFormat="1" ht="25" customHeight="1">
      <c r="H57" s="3562" t="str">
        <f>CONCATENATE(Street_Address,", ",City_State_Zip)</f>
        <v>, 0</v>
      </c>
      <c r="I57" s="3562"/>
      <c r="J57" s="3562"/>
      <c r="K57" s="3562"/>
      <c r="L57" s="3562"/>
      <c r="M57" s="3562"/>
      <c r="N57" s="3562"/>
      <c r="O57" s="3562"/>
      <c r="P57" s="3562"/>
      <c r="Q57" s="3562"/>
      <c r="R57" s="3562"/>
      <c r="S57" s="3562"/>
      <c r="T57" s="3562"/>
      <c r="U57" s="3562"/>
      <c r="V57" s="3562"/>
      <c r="W57" s="3562"/>
      <c r="X57" s="3562"/>
    </row>
    <row r="58" spans="8:24" s="2" customFormat="1" ht="25" customHeight="1">
      <c r="H58" s="1386"/>
      <c r="I58" s="1386"/>
      <c r="J58" s="1386"/>
      <c r="K58" s="1386"/>
      <c r="L58" s="1384"/>
      <c r="M58" s="1384"/>
      <c r="N58" s="1384"/>
      <c r="O58" s="1385"/>
      <c r="P58" s="1385"/>
      <c r="Q58" s="1385"/>
      <c r="R58" s="1385"/>
      <c r="S58" s="1385"/>
      <c r="T58" s="1385"/>
      <c r="U58" s="1385"/>
      <c r="V58" s="1385"/>
      <c r="W58" s="1385"/>
      <c r="X58" s="1385"/>
    </row>
    <row r="59" spans="8:24" s="2" customFormat="1" ht="25" customHeight="1">
      <c r="H59" s="3912" t="s">
        <v>1587</v>
      </c>
      <c r="I59" s="3912"/>
      <c r="J59" s="3912"/>
      <c r="K59" s="3912"/>
      <c r="L59" s="3912"/>
      <c r="M59" s="3912"/>
      <c r="N59" s="3912"/>
      <c r="O59" s="3912"/>
      <c r="P59" s="3912"/>
      <c r="Q59" s="3912"/>
      <c r="R59" s="1385"/>
      <c r="S59" s="1385"/>
      <c r="T59" s="1385"/>
      <c r="U59" s="1385"/>
      <c r="V59" s="1385"/>
      <c r="W59" s="1385"/>
      <c r="X59" s="1385"/>
    </row>
    <row r="60" spans="8:24" s="2" customFormat="1" ht="25" customHeight="1">
      <c r="H60" s="1386"/>
      <c r="I60" s="1386"/>
      <c r="J60" s="1386"/>
      <c r="K60" s="1386"/>
      <c r="L60" s="1384"/>
      <c r="M60" s="1384"/>
      <c r="N60" s="1384"/>
      <c r="O60" s="1385"/>
      <c r="P60" s="1385"/>
      <c r="Q60" s="1385"/>
      <c r="R60" s="1385"/>
      <c r="S60" s="1387"/>
      <c r="T60" s="1385"/>
      <c r="U60" s="1385"/>
      <c r="V60" s="1385"/>
      <c r="W60" s="1385"/>
      <c r="X60" s="1385"/>
    </row>
    <row r="61" spans="8:24" s="2" customFormat="1" ht="25" customHeight="1">
      <c r="H61" s="3596" t="s">
        <v>1871</v>
      </c>
      <c r="I61" s="3596"/>
      <c r="J61" s="3596"/>
      <c r="K61" s="3596"/>
      <c r="L61" s="3596"/>
      <c r="M61" s="3596"/>
      <c r="N61" s="3596"/>
      <c r="O61" s="3596"/>
      <c r="P61" s="3596"/>
      <c r="Q61" s="3596"/>
      <c r="R61" s="1385"/>
      <c r="S61" s="3667" t="s">
        <v>1599</v>
      </c>
      <c r="T61" s="3667"/>
      <c r="U61" s="3667"/>
      <c r="V61" s="3667"/>
      <c r="W61" s="3667"/>
      <c r="X61" s="3667"/>
    </row>
    <row r="62" spans="8:24" s="2" customFormat="1" ht="25" customHeight="1">
      <c r="H62" s="3606" t="s">
        <v>1339</v>
      </c>
      <c r="I62" s="3606"/>
      <c r="J62" s="3606"/>
      <c r="K62" s="3606"/>
      <c r="L62" s="3669" t="str">
        <f>CONCATENATE(Number_of_Beds," beds, ",Number_of_Baths," baths, ",Square_Feet," sf")</f>
        <v xml:space="preserve"> beds,  baths, 0 sf</v>
      </c>
      <c r="M62" s="3669"/>
      <c r="N62" s="3669"/>
      <c r="O62" s="3669"/>
      <c r="P62" s="3669"/>
      <c r="Q62" s="3669"/>
      <c r="R62" s="1385"/>
      <c r="S62" s="1385"/>
      <c r="T62" s="1385"/>
      <c r="U62" s="1385"/>
      <c r="V62" s="1385"/>
      <c r="W62" s="1385"/>
      <c r="X62" s="1385"/>
    </row>
    <row r="63" spans="8:24" s="2" customFormat="1" ht="25" customHeight="1">
      <c r="H63" s="3606" t="s">
        <v>905</v>
      </c>
      <c r="I63" s="3606"/>
      <c r="J63" s="3606"/>
      <c r="K63" s="3606"/>
      <c r="L63" s="3669">
        <f>Subdivision</f>
        <v>0</v>
      </c>
      <c r="M63" s="3669"/>
      <c r="N63" s="3669"/>
      <c r="O63" s="3669"/>
      <c r="P63" s="3669"/>
      <c r="Q63" s="3669"/>
      <c r="R63" s="869"/>
      <c r="S63" s="3592" t="s">
        <v>1203</v>
      </c>
      <c r="T63" s="3592"/>
      <c r="U63" s="3592"/>
      <c r="V63" s="3592"/>
      <c r="W63" s="3592"/>
      <c r="X63" s="3592"/>
    </row>
    <row r="64" spans="8:24" s="2" customFormat="1" ht="25" customHeight="1">
      <c r="H64" s="3606" t="s">
        <v>83</v>
      </c>
      <c r="I64" s="3606"/>
      <c r="J64" s="3606"/>
      <c r="K64" s="3606"/>
      <c r="L64" s="3669">
        <f>School_District</f>
        <v>0</v>
      </c>
      <c r="M64" s="3669"/>
      <c r="N64" s="3669"/>
      <c r="O64" s="3669"/>
      <c r="P64" s="3669"/>
      <c r="Q64" s="3669"/>
      <c r="R64" s="869"/>
      <c r="S64" s="3668">
        <f>ARV</f>
        <v>0</v>
      </c>
      <c r="T64" s="3668"/>
      <c r="U64" s="3668"/>
      <c r="V64" s="3668"/>
      <c r="W64" s="3668"/>
      <c r="X64" s="3668"/>
    </row>
    <row r="65" spans="8:24" s="2" customFormat="1" ht="25" customHeight="1">
      <c r="H65" s="1427"/>
      <c r="I65" s="1427"/>
      <c r="J65" s="1427"/>
      <c r="K65" s="1427"/>
      <c r="L65" s="1425"/>
      <c r="M65" s="1425"/>
      <c r="N65" s="1425"/>
      <c r="O65" s="1426"/>
      <c r="P65" s="1426"/>
      <c r="Q65" s="1426"/>
      <c r="R65" s="869"/>
      <c r="S65" s="3668"/>
      <c r="T65" s="3668"/>
      <c r="U65" s="3668"/>
      <c r="V65" s="3668"/>
      <c r="W65" s="3668"/>
      <c r="X65" s="3668"/>
    </row>
    <row r="66" spans="8:24" s="2" customFormat="1" ht="25" customHeight="1">
      <c r="H66" s="3596" t="s">
        <v>1588</v>
      </c>
      <c r="I66" s="3596"/>
      <c r="J66" s="3596"/>
      <c r="K66" s="3596"/>
      <c r="L66" s="3596"/>
      <c r="M66" s="3596"/>
      <c r="N66" s="3596"/>
      <c r="O66" s="3596"/>
      <c r="P66" s="3596"/>
      <c r="Q66" s="3596"/>
      <c r="R66" s="869"/>
      <c r="S66" s="3590" t="s">
        <v>1350</v>
      </c>
      <c r="T66" s="3590"/>
      <c r="U66" s="3590"/>
      <c r="V66" s="3590"/>
      <c r="W66" s="3664">
        <f>IFERROR(ARV/Property_Size,0)</f>
        <v>0</v>
      </c>
      <c r="X66" s="3664"/>
    </row>
    <row r="67" spans="8:24" s="2" customFormat="1" ht="25" customHeight="1">
      <c r="H67" s="3552"/>
      <c r="I67" s="3552"/>
      <c r="J67" s="3552"/>
      <c r="K67" s="3552"/>
      <c r="L67" s="3552"/>
      <c r="M67" s="3552"/>
      <c r="N67" s="3552"/>
      <c r="O67" s="3603" t="s">
        <v>1160</v>
      </c>
      <c r="P67" s="3603"/>
      <c r="Q67" s="3603"/>
      <c r="R67" s="869"/>
      <c r="S67" s="869"/>
      <c r="T67" s="869"/>
      <c r="U67" s="869"/>
      <c r="V67" s="869"/>
      <c r="W67" s="869"/>
      <c r="X67" s="869"/>
    </row>
    <row r="68" spans="8:24" s="2" customFormat="1" ht="25" customHeight="1">
      <c r="H68" s="3658" t="s">
        <v>794</v>
      </c>
      <c r="I68" s="3658"/>
      <c r="J68" s="3658"/>
      <c r="K68" s="3658"/>
      <c r="L68" s="3658"/>
      <c r="M68" s="3658"/>
      <c r="N68" s="3658"/>
      <c r="O68" s="3547">
        <f>Purchase_Price_Result</f>
        <v>0</v>
      </c>
      <c r="P68" s="3547"/>
      <c r="Q68" s="3547"/>
      <c r="R68" s="869"/>
      <c r="S68" s="3592" t="s">
        <v>794</v>
      </c>
      <c r="T68" s="3592"/>
      <c r="U68" s="3592"/>
      <c r="V68" s="3592"/>
      <c r="W68" s="3592"/>
      <c r="X68" s="3592"/>
    </row>
    <row r="69" spans="8:24" s="2" customFormat="1" ht="25" customHeight="1" thickBot="1">
      <c r="H69" s="3601" t="s">
        <v>74</v>
      </c>
      <c r="I69" s="3601"/>
      <c r="J69" s="3601"/>
      <c r="K69" s="3601"/>
      <c r="L69" s="3601"/>
      <c r="M69" s="3601"/>
      <c r="N69" s="3601"/>
      <c r="O69" s="3602">
        <f>Buying_Costs_Result</f>
        <v>0</v>
      </c>
      <c r="P69" s="3602"/>
      <c r="Q69" s="3602"/>
      <c r="R69" s="869"/>
      <c r="S69" s="3605">
        <f>Purchase_Price_Result</f>
        <v>0</v>
      </c>
      <c r="T69" s="3605"/>
      <c r="U69" s="3605"/>
      <c r="V69" s="3605"/>
      <c r="W69" s="3605"/>
      <c r="X69" s="3605"/>
    </row>
    <row r="70" spans="8:24" s="2" customFormat="1" ht="25" customHeight="1" thickTop="1">
      <c r="H70" s="3657" t="s">
        <v>1590</v>
      </c>
      <c r="I70" s="3657"/>
      <c r="J70" s="3657"/>
      <c r="K70" s="3657"/>
      <c r="L70" s="3657"/>
      <c r="M70" s="3657"/>
      <c r="N70" s="3657"/>
      <c r="O70" s="3656">
        <f>SUM(O68:Q69)</f>
        <v>0</v>
      </c>
      <c r="P70" s="3656"/>
      <c r="Q70" s="3656"/>
      <c r="R70" s="869"/>
      <c r="S70" s="3605"/>
      <c r="T70" s="3605"/>
      <c r="U70" s="3605"/>
      <c r="V70" s="3605"/>
      <c r="W70" s="3605"/>
      <c r="X70" s="3605"/>
    </row>
    <row r="71" spans="8:24" s="2" customFormat="1" ht="25" customHeight="1">
      <c r="H71" s="867"/>
      <c r="I71" s="867"/>
      <c r="J71" s="867"/>
      <c r="K71" s="867"/>
      <c r="L71" s="868"/>
      <c r="M71" s="868"/>
      <c r="N71" s="868"/>
      <c r="O71" s="3603"/>
      <c r="P71" s="3603"/>
      <c r="Q71" s="3603"/>
      <c r="R71" s="869"/>
      <c r="S71" s="3590" t="s">
        <v>1601</v>
      </c>
      <c r="T71" s="3590"/>
      <c r="U71" s="3590"/>
      <c r="V71" s="3590"/>
      <c r="W71" s="3591">
        <f>IFERROR(S69/ARV,0)</f>
        <v>0</v>
      </c>
      <c r="X71" s="3591"/>
    </row>
    <row r="72" spans="8:24" s="2" customFormat="1" ht="25" customHeight="1">
      <c r="H72" s="3598" t="s">
        <v>84</v>
      </c>
      <c r="I72" s="3598"/>
      <c r="J72" s="3598"/>
      <c r="K72" s="3598"/>
      <c r="L72" s="3598"/>
      <c r="M72" s="3598"/>
      <c r="N72" s="3598"/>
      <c r="O72" s="3547">
        <f>Raw_Repair_Costs_Result</f>
        <v>0</v>
      </c>
      <c r="P72" s="3547"/>
      <c r="Q72" s="3547"/>
      <c r="R72" s="869"/>
      <c r="S72" s="869"/>
      <c r="T72" s="869"/>
      <c r="U72" s="869"/>
      <c r="V72" s="869"/>
      <c r="W72" s="869"/>
      <c r="X72" s="869"/>
    </row>
    <row r="73" spans="8:24" s="2" customFormat="1" ht="25" customHeight="1" thickBot="1">
      <c r="H73" s="3601" t="str">
        <f>IF(O73=0,"Contingeny",CONCATENATE("Contingency (",TEXT(Adders_Percentage,"#.#%"),")"))</f>
        <v>Contingeny</v>
      </c>
      <c r="I73" s="3601"/>
      <c r="J73" s="3601"/>
      <c r="K73" s="3601"/>
      <c r="L73" s="3601"/>
      <c r="M73" s="3601"/>
      <c r="N73" s="3601"/>
      <c r="O73" s="3602">
        <f>Adders_Result</f>
        <v>0</v>
      </c>
      <c r="P73" s="3602"/>
      <c r="Q73" s="3602"/>
      <c r="R73" s="869"/>
      <c r="S73" s="3592" t="s">
        <v>1600</v>
      </c>
      <c r="T73" s="3592"/>
      <c r="U73" s="3592"/>
      <c r="V73" s="3592"/>
      <c r="W73" s="3592"/>
      <c r="X73" s="3592"/>
    </row>
    <row r="74" spans="8:24" s="2" customFormat="1" ht="25" customHeight="1" thickTop="1">
      <c r="H74" s="3657" t="s">
        <v>493</v>
      </c>
      <c r="I74" s="3657"/>
      <c r="J74" s="3657"/>
      <c r="K74" s="3657"/>
      <c r="L74" s="3657"/>
      <c r="M74" s="3657"/>
      <c r="N74" s="3657"/>
      <c r="O74" s="3656">
        <f>SUM(O72:Q73)</f>
        <v>0</v>
      </c>
      <c r="P74" s="3656"/>
      <c r="Q74" s="3656"/>
      <c r="R74" s="869"/>
      <c r="S74" s="3605">
        <f>O74</f>
        <v>0</v>
      </c>
      <c r="T74" s="3605"/>
      <c r="U74" s="3605"/>
      <c r="V74" s="3605"/>
      <c r="W74" s="3605"/>
      <c r="X74" s="3605"/>
    </row>
    <row r="75" spans="8:24" s="2" customFormat="1" ht="25" customHeight="1">
      <c r="H75" s="867"/>
      <c r="I75" s="867"/>
      <c r="J75" s="867"/>
      <c r="K75" s="867"/>
      <c r="L75" s="868"/>
      <c r="M75" s="868"/>
      <c r="N75" s="868"/>
      <c r="O75" s="3603"/>
      <c r="P75" s="3603"/>
      <c r="Q75" s="3603"/>
      <c r="R75" s="869"/>
      <c r="S75" s="3605"/>
      <c r="T75" s="3605"/>
      <c r="U75" s="3605"/>
      <c r="V75" s="3605"/>
      <c r="W75" s="3605"/>
      <c r="X75" s="3605"/>
    </row>
    <row r="76" spans="8:24" s="2" customFormat="1" ht="25" customHeight="1">
      <c r="H76" s="3598" t="s">
        <v>75</v>
      </c>
      <c r="I76" s="3598"/>
      <c r="J76" s="3598"/>
      <c r="K76" s="3598"/>
      <c r="L76" s="3598"/>
      <c r="M76" s="3598"/>
      <c r="N76" s="3598"/>
      <c r="O76" s="3547">
        <f>Holding_Costs_Result</f>
        <v>0</v>
      </c>
      <c r="P76" s="3547"/>
      <c r="Q76" s="3547"/>
      <c r="R76" s="869"/>
      <c r="S76" s="3590" t="s">
        <v>1350</v>
      </c>
      <c r="T76" s="3590"/>
      <c r="U76" s="3590"/>
      <c r="V76" s="3590"/>
      <c r="W76" s="3664">
        <f>IFERROR(S74/Property_Size,0)</f>
        <v>0</v>
      </c>
      <c r="X76" s="3664"/>
    </row>
    <row r="77" spans="8:24" s="2" customFormat="1" ht="25" customHeight="1" thickBot="1">
      <c r="H77" s="3601" t="s">
        <v>1591</v>
      </c>
      <c r="I77" s="3601"/>
      <c r="J77" s="3601"/>
      <c r="K77" s="3601"/>
      <c r="L77" s="3601"/>
      <c r="M77" s="3601"/>
      <c r="N77" s="3601"/>
      <c r="O77" s="3602">
        <f>'ANALYSIS DATABASE'!C158</f>
        <v>0</v>
      </c>
      <c r="P77" s="3602"/>
      <c r="Q77" s="3602"/>
      <c r="R77" s="869"/>
      <c r="S77" s="869"/>
      <c r="T77" s="869"/>
      <c r="U77" s="869"/>
      <c r="V77" s="869"/>
      <c r="W77" s="869"/>
      <c r="X77" s="869"/>
    </row>
    <row r="78" spans="8:24" s="2" customFormat="1" ht="25" customHeight="1" thickTop="1">
      <c r="H78" s="3657" t="s">
        <v>1592</v>
      </c>
      <c r="I78" s="3657"/>
      <c r="J78" s="3657"/>
      <c r="K78" s="3657"/>
      <c r="L78" s="3657"/>
      <c r="M78" s="3657"/>
      <c r="N78" s="3657"/>
      <c r="O78" s="3656">
        <f>SUM(O76:Q77)</f>
        <v>0</v>
      </c>
      <c r="P78" s="3656"/>
      <c r="Q78" s="3656"/>
      <c r="R78" s="869"/>
      <c r="S78" s="3592" t="s">
        <v>1602</v>
      </c>
      <c r="T78" s="3592"/>
      <c r="U78" s="3592"/>
      <c r="V78" s="3592"/>
      <c r="W78" s="3592"/>
      <c r="X78" s="3592"/>
    </row>
    <row r="79" spans="8:24" s="2" customFormat="1" ht="25" customHeight="1">
      <c r="H79" s="867"/>
      <c r="I79" s="867"/>
      <c r="J79" s="867"/>
      <c r="K79" s="867"/>
      <c r="L79" s="868"/>
      <c r="M79" s="868"/>
      <c r="N79" s="868"/>
      <c r="O79" s="3649"/>
      <c r="P79" s="3649"/>
      <c r="Q79" s="3649"/>
      <c r="R79" s="869"/>
      <c r="S79" s="3605">
        <f>O69+O76+O77+-O91</f>
        <v>0</v>
      </c>
      <c r="T79" s="3605"/>
      <c r="U79" s="3605"/>
      <c r="V79" s="3605"/>
      <c r="W79" s="3605"/>
      <c r="X79" s="3605"/>
    </row>
    <row r="80" spans="8:24" s="2" customFormat="1" ht="25" customHeight="1">
      <c r="H80" s="3596" t="s">
        <v>1854</v>
      </c>
      <c r="I80" s="3596"/>
      <c r="J80" s="3596"/>
      <c r="K80" s="3596"/>
      <c r="L80" s="3596"/>
      <c r="M80" s="3596"/>
      <c r="N80" s="3596"/>
      <c r="O80" s="3596"/>
      <c r="P80" s="3596"/>
      <c r="Q80" s="3596"/>
      <c r="R80" s="869"/>
      <c r="S80" s="3605"/>
      <c r="T80" s="3605"/>
      <c r="U80" s="3605"/>
      <c r="V80" s="3605"/>
      <c r="W80" s="3605"/>
      <c r="X80" s="3605"/>
    </row>
    <row r="81" spans="8:24" s="2" customFormat="1" ht="25" customHeight="1">
      <c r="H81" s="867"/>
      <c r="I81" s="867"/>
      <c r="J81" s="867"/>
      <c r="K81" s="867"/>
      <c r="L81" s="868"/>
      <c r="M81" s="868"/>
      <c r="N81" s="868"/>
      <c r="O81" s="869"/>
      <c r="P81" s="869"/>
      <c r="Q81" s="869"/>
      <c r="R81" s="869"/>
      <c r="S81" s="3590" t="s">
        <v>1601</v>
      </c>
      <c r="T81" s="3590"/>
      <c r="U81" s="3590"/>
      <c r="V81" s="3590"/>
      <c r="W81" s="3591">
        <f>IFERROR(S79/ARV,0)</f>
        <v>0</v>
      </c>
      <c r="X81" s="3591"/>
    </row>
    <row r="82" spans="8:24" s="2" customFormat="1" ht="25" customHeight="1">
      <c r="H82" s="3597" t="s">
        <v>1596</v>
      </c>
      <c r="I82" s="3598"/>
      <c r="J82" s="3598"/>
      <c r="K82" s="3598"/>
      <c r="L82" s="3598"/>
      <c r="M82" s="3598"/>
      <c r="N82" s="3598"/>
      <c r="O82" s="3599">
        <f>O70+O74+O78</f>
        <v>0</v>
      </c>
      <c r="P82" s="3599"/>
      <c r="Q82" s="3599"/>
      <c r="R82" s="869"/>
      <c r="S82" s="869"/>
      <c r="T82" s="869"/>
      <c r="U82" s="869"/>
      <c r="V82" s="869"/>
      <c r="W82" s="869"/>
      <c r="X82" s="869"/>
    </row>
    <row r="83" spans="8:24" s="2" customFormat="1" ht="25" customHeight="1">
      <c r="H83" s="3597" t="s">
        <v>1855</v>
      </c>
      <c r="I83" s="3598"/>
      <c r="J83" s="3598"/>
      <c r="K83" s="3598"/>
      <c r="L83" s="3598"/>
      <c r="M83" s="3598"/>
      <c r="N83" s="3598"/>
      <c r="O83" s="3599">
        <f>-'ANALYSIS DATABASE'!C250</f>
        <v>0</v>
      </c>
      <c r="P83" s="3599"/>
      <c r="Q83" s="3599"/>
      <c r="R83" s="869"/>
      <c r="S83" s="3592" t="s">
        <v>1205</v>
      </c>
      <c r="T83" s="3592"/>
      <c r="U83" s="3592"/>
      <c r="V83" s="3592"/>
      <c r="W83" s="3592"/>
      <c r="X83" s="3592"/>
    </row>
    <row r="84" spans="8:24" s="2" customFormat="1" ht="25" customHeight="1" thickBot="1">
      <c r="H84" s="3600" t="s">
        <v>1856</v>
      </c>
      <c r="I84" s="3601"/>
      <c r="J84" s="3601"/>
      <c r="K84" s="3601"/>
      <c r="L84" s="3601"/>
      <c r="M84" s="3601"/>
      <c r="N84" s="3601"/>
      <c r="O84" s="3602">
        <f>-'ANALYSIS DATABASE'!C251</f>
        <v>0</v>
      </c>
      <c r="P84" s="3602"/>
      <c r="Q84" s="3602"/>
      <c r="R84" s="869"/>
      <c r="S84" s="3604">
        <f>-O90-O91</f>
        <v>0</v>
      </c>
      <c r="T84" s="3604"/>
      <c r="U84" s="3604"/>
      <c r="V84" s="3604"/>
      <c r="W84" s="3604"/>
      <c r="X84" s="3604"/>
    </row>
    <row r="85" spans="8:24" s="2" customFormat="1" ht="25" customHeight="1" thickTop="1">
      <c r="H85" s="3594" t="s">
        <v>1857</v>
      </c>
      <c r="I85" s="3552"/>
      <c r="J85" s="3552"/>
      <c r="K85" s="3552"/>
      <c r="L85" s="3552"/>
      <c r="M85" s="3552"/>
      <c r="N85" s="3552"/>
      <c r="O85" s="3595">
        <f>SUM(O82:Q84)</f>
        <v>0</v>
      </c>
      <c r="P85" s="3595"/>
      <c r="Q85" s="3595"/>
      <c r="R85" s="869"/>
      <c r="S85" s="3604"/>
      <c r="T85" s="3604"/>
      <c r="U85" s="3604"/>
      <c r="V85" s="3604"/>
      <c r="W85" s="3604"/>
      <c r="X85" s="3604"/>
    </row>
    <row r="86" spans="8:24" s="2" customFormat="1" ht="25" customHeight="1">
      <c r="H86" s="867"/>
      <c r="I86" s="867"/>
      <c r="J86" s="867"/>
      <c r="K86" s="867"/>
      <c r="L86" s="868"/>
      <c r="M86" s="868"/>
      <c r="N86" s="868"/>
      <c r="O86" s="869"/>
      <c r="P86" s="869"/>
      <c r="Q86" s="869"/>
      <c r="R86" s="869"/>
      <c r="S86" s="3590" t="s">
        <v>1601</v>
      </c>
      <c r="T86" s="3590"/>
      <c r="U86" s="3590"/>
      <c r="V86" s="3590"/>
      <c r="W86" s="3591">
        <f>IFERROR(S84/ARV,0)</f>
        <v>0</v>
      </c>
      <c r="X86" s="3591"/>
    </row>
    <row r="87" spans="8:24" s="2" customFormat="1" ht="25" customHeight="1">
      <c r="H87" s="3596" t="s">
        <v>1594</v>
      </c>
      <c r="I87" s="3596"/>
      <c r="J87" s="3596"/>
      <c r="K87" s="3596"/>
      <c r="L87" s="3596"/>
      <c r="M87" s="3596"/>
      <c r="N87" s="3596"/>
      <c r="O87" s="3596"/>
      <c r="P87" s="3596"/>
      <c r="Q87" s="3596"/>
      <c r="R87" s="869"/>
      <c r="S87" s="869"/>
      <c r="T87" s="869"/>
      <c r="U87" s="869"/>
      <c r="V87" s="869"/>
      <c r="W87" s="869"/>
      <c r="X87" s="869"/>
    </row>
    <row r="88" spans="8:24" s="2" customFormat="1" ht="25" customHeight="1">
      <c r="H88" s="867"/>
      <c r="I88" s="867"/>
      <c r="J88" s="867"/>
      <c r="K88" s="867"/>
      <c r="L88" s="868"/>
      <c r="M88" s="868"/>
      <c r="N88" s="868"/>
      <c r="O88" s="3603"/>
      <c r="P88" s="3603"/>
      <c r="Q88" s="3603"/>
      <c r="R88" s="869"/>
      <c r="S88" s="3592" t="s">
        <v>1597</v>
      </c>
      <c r="T88" s="3592"/>
      <c r="U88" s="3592"/>
      <c r="V88" s="3592"/>
      <c r="W88" s="3592"/>
      <c r="X88" s="3592"/>
    </row>
    <row r="89" spans="8:24" s="2" customFormat="1" ht="25" customHeight="1">
      <c r="H89" s="3598" t="s">
        <v>1595</v>
      </c>
      <c r="I89" s="3598"/>
      <c r="J89" s="3598"/>
      <c r="K89" s="3598"/>
      <c r="L89" s="3598"/>
      <c r="M89" s="3598"/>
      <c r="N89" s="3598"/>
      <c r="O89" s="3547">
        <f>ARV</f>
        <v>0</v>
      </c>
      <c r="P89" s="3547"/>
      <c r="Q89" s="3547"/>
      <c r="R89" s="869"/>
      <c r="S89" s="3593">
        <f>O92</f>
        <v>0</v>
      </c>
      <c r="T89" s="3593"/>
      <c r="U89" s="3593"/>
      <c r="V89" s="3593"/>
      <c r="W89" s="3593"/>
      <c r="X89" s="3593"/>
    </row>
    <row r="90" spans="8:24" s="2" customFormat="1" ht="25" customHeight="1">
      <c r="H90" s="3658" t="s">
        <v>1596</v>
      </c>
      <c r="I90" s="3658"/>
      <c r="J90" s="3658"/>
      <c r="K90" s="3658"/>
      <c r="L90" s="3658"/>
      <c r="M90" s="3658"/>
      <c r="N90" s="3658"/>
      <c r="O90" s="3599">
        <f>-O82</f>
        <v>0</v>
      </c>
      <c r="P90" s="3599"/>
      <c r="Q90" s="3599"/>
      <c r="R90" s="869"/>
      <c r="S90" s="3593"/>
      <c r="T90" s="3593"/>
      <c r="U90" s="3593"/>
      <c r="V90" s="3593"/>
      <c r="W90" s="3593"/>
      <c r="X90" s="3593"/>
    </row>
    <row r="91" spans="8:24" s="2" customFormat="1" ht="25" customHeight="1" thickBot="1">
      <c r="H91" s="3659" t="str">
        <f>IF(O91=0,"Selling Costs",CONCATENATE("Selling Costs (",TEXT(IFERROR(Selling_Costs_Result/ARV,0),"#.#%"),")"))</f>
        <v>Selling Costs</v>
      </c>
      <c r="I91" s="3601"/>
      <c r="J91" s="3601"/>
      <c r="K91" s="3601"/>
      <c r="L91" s="3601"/>
      <c r="M91" s="3601"/>
      <c r="N91" s="3601"/>
      <c r="O91" s="3560">
        <f>-Selling_Costs_Result</f>
        <v>0</v>
      </c>
      <c r="P91" s="3560"/>
      <c r="Q91" s="3560"/>
      <c r="R91" s="869"/>
      <c r="S91" s="3590" t="s">
        <v>1601</v>
      </c>
      <c r="T91" s="3590"/>
      <c r="U91" s="3590"/>
      <c r="V91" s="3590"/>
      <c r="W91" s="3591">
        <f>IFERROR(S89/ARV,0)</f>
        <v>0</v>
      </c>
      <c r="X91" s="3591"/>
    </row>
    <row r="92" spans="8:24" s="2" customFormat="1" ht="25" customHeight="1" thickTop="1">
      <c r="H92" s="3657" t="s">
        <v>1597</v>
      </c>
      <c r="I92" s="3657"/>
      <c r="J92" s="3657"/>
      <c r="K92" s="3657"/>
      <c r="L92" s="3657"/>
      <c r="M92" s="3657"/>
      <c r="N92" s="3657"/>
      <c r="O92" s="3656">
        <f>SUM(O89:Q91)</f>
        <v>0</v>
      </c>
      <c r="P92" s="3656"/>
      <c r="Q92" s="3656"/>
      <c r="R92" s="869"/>
      <c r="S92" s="869"/>
      <c r="T92" s="869"/>
      <c r="U92" s="869"/>
      <c r="V92" s="869"/>
      <c r="W92" s="869"/>
      <c r="X92" s="869"/>
    </row>
    <row r="93" spans="8:24" s="2" customFormat="1" ht="25" customHeight="1">
      <c r="H93" s="867"/>
      <c r="I93" s="867"/>
      <c r="J93" s="867"/>
      <c r="K93" s="867"/>
      <c r="L93" s="868"/>
      <c r="M93" s="868"/>
      <c r="N93" s="868"/>
      <c r="O93" s="869"/>
      <c r="P93" s="869"/>
      <c r="Q93" s="869"/>
      <c r="R93" s="869"/>
      <c r="S93" s="869"/>
      <c r="T93" s="869"/>
      <c r="U93" s="869"/>
      <c r="V93" s="869"/>
      <c r="W93" s="869"/>
      <c r="X93" s="869"/>
    </row>
    <row r="94" spans="8:24" s="2" customFormat="1" ht="25" customHeight="1">
      <c r="H94" s="3598" t="s">
        <v>1598</v>
      </c>
      <c r="I94" s="3598"/>
      <c r="J94" s="3598"/>
      <c r="K94" s="3598"/>
      <c r="L94" s="3598"/>
      <c r="M94" s="3598"/>
      <c r="N94" s="3598"/>
      <c r="O94" s="3670">
        <f>IFERROR(IF(O85&lt;0,"inf %",O92/O85),0)</f>
        <v>0</v>
      </c>
      <c r="P94" s="3670"/>
      <c r="Q94" s="3670"/>
      <c r="R94" s="869"/>
      <c r="S94" s="869"/>
      <c r="T94" s="869"/>
      <c r="U94" s="869"/>
      <c r="V94" s="869"/>
      <c r="W94" s="869"/>
      <c r="X94" s="869"/>
    </row>
    <row r="95" spans="8:24" s="2" customFormat="1" ht="25" customHeight="1">
      <c r="H95" s="3598" t="s">
        <v>1021</v>
      </c>
      <c r="I95" s="3598"/>
      <c r="J95" s="3598"/>
      <c r="K95" s="3598"/>
      <c r="L95" s="3598"/>
      <c r="M95" s="3598"/>
      <c r="N95" s="3598"/>
      <c r="O95" s="3670">
        <f>IFERROR(IF(O85&lt;0,"inf %",O94/(Total_Schedule_Cell/12)),0)</f>
        <v>0</v>
      </c>
      <c r="P95" s="3670"/>
      <c r="Q95" s="3670"/>
      <c r="R95" s="869"/>
      <c r="S95" s="869"/>
      <c r="T95" s="869"/>
      <c r="U95" s="869"/>
      <c r="V95" s="869"/>
      <c r="W95" s="869"/>
      <c r="X95" s="869"/>
    </row>
    <row r="96" spans="8:24" s="2" customFormat="1" ht="25" customHeight="1">
      <c r="H96" s="867"/>
      <c r="I96" s="867"/>
      <c r="J96" s="867"/>
      <c r="K96" s="867"/>
      <c r="L96" s="868"/>
      <c r="M96" s="868"/>
      <c r="N96" s="868"/>
      <c r="O96" s="869"/>
      <c r="P96" s="869"/>
      <c r="Q96" s="869"/>
      <c r="R96" s="869"/>
      <c r="S96" s="869"/>
      <c r="T96" s="869"/>
      <c r="U96" s="869"/>
      <c r="V96" s="869"/>
      <c r="W96" s="869"/>
      <c r="X96" s="869"/>
    </row>
    <row r="97" spans="8:24" s="2" customFormat="1" ht="22.7" customHeight="1">
      <c r="H97" s="3544" t="str">
        <f>CONCATENATE("Report Prepared By: ",Investor_Name,"  |  ",Company_Name,"  |  ",Company_Email,"  |  ",Company_Website)</f>
        <v xml:space="preserve">Report Prepared By:   |    |    |  </v>
      </c>
      <c r="I97" s="3544"/>
      <c r="J97" s="3544"/>
      <c r="K97" s="3544"/>
      <c r="L97" s="3544"/>
      <c r="M97" s="3544"/>
      <c r="N97" s="3544"/>
      <c r="O97" s="3544"/>
      <c r="P97" s="3544"/>
      <c r="Q97" s="3544"/>
      <c r="R97" s="3544"/>
      <c r="S97" s="3544"/>
      <c r="T97" s="3544"/>
      <c r="U97" s="3544"/>
      <c r="V97" s="3544"/>
      <c r="W97" s="3561" t="str">
        <f>CONCATENATE("Page ",AI6," of ",$AG$3)</f>
        <v>Page 2 of 8</v>
      </c>
      <c r="X97" s="3561"/>
    </row>
    <row r="98" spans="8:24" s="2" customFormat="1" ht="25" customHeight="1">
      <c r="H98" s="3562" t="str">
        <f>CONCATENATE(Street_Address,", ",City_State_Zip)</f>
        <v>, 0</v>
      </c>
      <c r="I98" s="3562"/>
      <c r="J98" s="3562"/>
      <c r="K98" s="3562"/>
      <c r="L98" s="3562"/>
      <c r="M98" s="3562"/>
      <c r="N98" s="3562"/>
      <c r="O98" s="3562"/>
      <c r="P98" s="3562"/>
      <c r="Q98" s="3562"/>
      <c r="R98" s="3562"/>
      <c r="S98" s="3562"/>
      <c r="T98" s="3562"/>
      <c r="U98" s="3562"/>
      <c r="V98" s="3562"/>
      <c r="W98" s="3562"/>
      <c r="X98" s="3562"/>
    </row>
    <row r="99" spans="8:24" s="2" customFormat="1" ht="25" customHeight="1">
      <c r="H99" s="930"/>
      <c r="I99" s="930"/>
      <c r="J99" s="930"/>
      <c r="K99" s="930"/>
      <c r="L99" s="928"/>
      <c r="M99" s="928"/>
      <c r="N99" s="928"/>
      <c r="O99" s="929"/>
      <c r="P99" s="929"/>
      <c r="Q99" s="929"/>
      <c r="R99" s="929"/>
      <c r="S99" s="929"/>
      <c r="T99" s="929"/>
      <c r="U99" s="929"/>
      <c r="V99" s="929"/>
      <c r="W99" s="929"/>
      <c r="X99" s="929"/>
    </row>
    <row r="100" spans="8:24" s="2" customFormat="1" ht="25" customHeight="1">
      <c r="H100" s="3912" t="s">
        <v>1844</v>
      </c>
      <c r="I100" s="3912"/>
      <c r="J100" s="3912"/>
      <c r="K100" s="3912"/>
      <c r="L100" s="3912"/>
      <c r="M100" s="3912"/>
      <c r="N100" s="3912"/>
      <c r="O100" s="3912"/>
      <c r="P100" s="3912"/>
      <c r="Q100" s="3912"/>
      <c r="R100" s="929"/>
      <c r="S100" s="929"/>
      <c r="T100" s="929"/>
      <c r="U100" s="929"/>
      <c r="V100" s="929"/>
      <c r="W100" s="929"/>
      <c r="X100" s="929"/>
    </row>
    <row r="101" spans="8:24" s="2" customFormat="1" ht="25" customHeight="1">
      <c r="H101" s="930"/>
      <c r="I101" s="930"/>
      <c r="J101" s="930"/>
      <c r="K101" s="930"/>
      <c r="L101" s="928"/>
      <c r="M101" s="928"/>
      <c r="N101" s="928"/>
      <c r="O101" s="929"/>
      <c r="P101" s="929"/>
      <c r="Q101" s="929"/>
      <c r="R101" s="929"/>
      <c r="S101" s="932"/>
      <c r="T101" s="929"/>
      <c r="U101" s="929"/>
      <c r="V101" s="929"/>
      <c r="W101" s="929"/>
      <c r="X101" s="929"/>
    </row>
    <row r="102" spans="8:24" s="2" customFormat="1" ht="25" customHeight="1">
      <c r="H102" s="3596" t="s">
        <v>1594</v>
      </c>
      <c r="I102" s="3596"/>
      <c r="J102" s="3596"/>
      <c r="K102" s="3596"/>
      <c r="L102" s="3596"/>
      <c r="M102" s="3596"/>
      <c r="N102" s="3596"/>
      <c r="O102" s="3596"/>
      <c r="P102" s="3596"/>
      <c r="Q102" s="3596"/>
      <c r="R102" s="929"/>
      <c r="S102" s="3917" t="s">
        <v>1846</v>
      </c>
      <c r="T102" s="3917"/>
      <c r="U102" s="3917"/>
      <c r="V102" s="3917"/>
      <c r="W102" s="3917"/>
      <c r="X102" s="3917"/>
    </row>
    <row r="103" spans="8:24" s="2" customFormat="1" ht="25" customHeight="1">
      <c r="H103" s="867"/>
      <c r="I103" s="867"/>
      <c r="J103" s="867"/>
      <c r="K103" s="867"/>
      <c r="L103" s="868"/>
      <c r="M103" s="868"/>
      <c r="N103" s="868"/>
      <c r="O103" s="3603"/>
      <c r="P103" s="3603"/>
      <c r="Q103" s="3603"/>
      <c r="R103" s="929"/>
      <c r="S103" s="929"/>
      <c r="T103" s="929"/>
      <c r="U103" s="929"/>
      <c r="V103" s="929"/>
      <c r="W103" s="929"/>
      <c r="X103" s="929"/>
    </row>
    <row r="104" spans="8:24" s="2" customFormat="1" ht="25" customHeight="1">
      <c r="H104" s="3598" t="s">
        <v>1595</v>
      </c>
      <c r="I104" s="3598"/>
      <c r="J104" s="3598"/>
      <c r="K104" s="3598"/>
      <c r="L104" s="3598"/>
      <c r="M104" s="3598"/>
      <c r="N104" s="3598"/>
      <c r="O104" s="3547">
        <f>ARV</f>
        <v>0</v>
      </c>
      <c r="P104" s="3547"/>
      <c r="Q104" s="3547"/>
      <c r="R104" s="869"/>
      <c r="S104" s="3592" t="s">
        <v>1203</v>
      </c>
      <c r="T104" s="3592"/>
      <c r="U104" s="3592"/>
      <c r="V104" s="3592"/>
      <c r="W104" s="3592"/>
      <c r="X104" s="3592"/>
    </row>
    <row r="105" spans="8:24" s="2" customFormat="1" ht="25" customHeight="1" thickBot="1">
      <c r="H105" s="3601" t="s">
        <v>1589</v>
      </c>
      <c r="I105" s="3601"/>
      <c r="J105" s="3601"/>
      <c r="K105" s="3601"/>
      <c r="L105" s="3601"/>
      <c r="M105" s="3601"/>
      <c r="N105" s="3601"/>
      <c r="O105" s="3602">
        <f>O90+O91</f>
        <v>0</v>
      </c>
      <c r="P105" s="3602"/>
      <c r="Q105" s="3602"/>
      <c r="R105" s="869"/>
      <c r="S105" s="3668">
        <f>ARV</f>
        <v>0</v>
      </c>
      <c r="T105" s="3668"/>
      <c r="U105" s="3668"/>
      <c r="V105" s="3668"/>
      <c r="W105" s="3668"/>
      <c r="X105" s="3668"/>
    </row>
    <row r="106" spans="8:24" s="2" customFormat="1" ht="25" customHeight="1" thickTop="1">
      <c r="H106" s="3657" t="s">
        <v>1597</v>
      </c>
      <c r="I106" s="3657"/>
      <c r="J106" s="3657"/>
      <c r="K106" s="3657"/>
      <c r="L106" s="3657"/>
      <c r="M106" s="3657"/>
      <c r="N106" s="3657"/>
      <c r="O106" s="3656">
        <f>SUM(O104:Q105)</f>
        <v>0</v>
      </c>
      <c r="P106" s="3656"/>
      <c r="Q106" s="3656"/>
      <c r="R106" s="869"/>
      <c r="S106" s="3668"/>
      <c r="T106" s="3668"/>
      <c r="U106" s="3668"/>
      <c r="V106" s="3668"/>
      <c r="W106" s="3668"/>
      <c r="X106" s="3668"/>
    </row>
    <row r="107" spans="8:24" s="2" customFormat="1" ht="25" customHeight="1">
      <c r="H107" s="867"/>
      <c r="I107" s="867"/>
      <c r="J107" s="867"/>
      <c r="K107" s="867"/>
      <c r="L107" s="868"/>
      <c r="M107" s="868"/>
      <c r="N107" s="868"/>
      <c r="O107" s="869"/>
      <c r="P107" s="869"/>
      <c r="Q107" s="869"/>
      <c r="R107" s="869"/>
      <c r="S107" s="3590" t="s">
        <v>1350</v>
      </c>
      <c r="T107" s="3590"/>
      <c r="U107" s="3590"/>
      <c r="V107" s="3590"/>
      <c r="W107" s="3664">
        <f>IFERROR(ARV/Property_Size,0)</f>
        <v>0</v>
      </c>
      <c r="X107" s="3664"/>
    </row>
    <row r="108" spans="8:24" s="2" customFormat="1" ht="25" customHeight="1">
      <c r="H108" s="3598" t="s">
        <v>1598</v>
      </c>
      <c r="I108" s="3598"/>
      <c r="J108" s="3598"/>
      <c r="K108" s="3598"/>
      <c r="L108" s="3598"/>
      <c r="M108" s="3598"/>
      <c r="N108" s="3598"/>
      <c r="O108" s="3670">
        <f>O94</f>
        <v>0</v>
      </c>
      <c r="P108" s="3670"/>
      <c r="Q108" s="3670"/>
      <c r="R108" s="869"/>
      <c r="S108" s="869"/>
      <c r="T108" s="869"/>
      <c r="U108" s="869"/>
      <c r="V108" s="869"/>
      <c r="W108" s="869"/>
      <c r="X108" s="869"/>
    </row>
    <row r="109" spans="8:24" s="2" customFormat="1" ht="25" customHeight="1">
      <c r="H109" s="3598" t="s">
        <v>1021</v>
      </c>
      <c r="I109" s="3598"/>
      <c r="J109" s="3598"/>
      <c r="K109" s="3598"/>
      <c r="L109" s="3598"/>
      <c r="M109" s="3598"/>
      <c r="N109" s="3598"/>
      <c r="O109" s="3670">
        <f>O95</f>
        <v>0</v>
      </c>
      <c r="P109" s="3670"/>
      <c r="Q109" s="3670"/>
      <c r="R109" s="869"/>
      <c r="S109" s="3592" t="s">
        <v>1692</v>
      </c>
      <c r="T109" s="3592"/>
      <c r="U109" s="3592"/>
      <c r="V109" s="3592"/>
      <c r="W109" s="3592"/>
      <c r="X109" s="3592"/>
    </row>
    <row r="110" spans="8:24" s="2" customFormat="1" ht="25" customHeight="1">
      <c r="H110" s="867"/>
      <c r="I110" s="867"/>
      <c r="J110" s="867"/>
      <c r="K110" s="867"/>
      <c r="L110" s="868"/>
      <c r="M110" s="868"/>
      <c r="N110" s="868"/>
      <c r="O110" s="869"/>
      <c r="P110" s="869"/>
      <c r="Q110" s="869"/>
      <c r="R110" s="869"/>
      <c r="S110" s="3605">
        <f>O119</f>
        <v>0</v>
      </c>
      <c r="T110" s="3605"/>
      <c r="U110" s="3605"/>
      <c r="V110" s="3605"/>
      <c r="W110" s="3605"/>
      <c r="X110" s="3605"/>
    </row>
    <row r="111" spans="8:24" s="2" customFormat="1" ht="25" customHeight="1">
      <c r="H111" s="3596" t="s">
        <v>1845</v>
      </c>
      <c r="I111" s="3596"/>
      <c r="J111" s="3596"/>
      <c r="K111" s="3596"/>
      <c r="L111" s="3596"/>
      <c r="M111" s="3596"/>
      <c r="N111" s="3596"/>
      <c r="O111" s="3596"/>
      <c r="P111" s="3596"/>
      <c r="Q111" s="3596"/>
      <c r="R111" s="869"/>
      <c r="S111" s="3605"/>
      <c r="T111" s="3605"/>
      <c r="U111" s="3605"/>
      <c r="V111" s="3605"/>
      <c r="W111" s="3605"/>
      <c r="X111" s="3605"/>
    </row>
    <row r="112" spans="8:24" s="2" customFormat="1" ht="25" customHeight="1">
      <c r="H112" s="930"/>
      <c r="I112" s="930"/>
      <c r="J112" s="930"/>
      <c r="K112" s="930"/>
      <c r="L112" s="928"/>
      <c r="M112" s="928"/>
      <c r="N112" s="928"/>
      <c r="O112" s="929"/>
      <c r="P112" s="929"/>
      <c r="Q112" s="929"/>
      <c r="R112" s="869"/>
      <c r="S112" s="3590" t="s">
        <v>1601</v>
      </c>
      <c r="T112" s="3590"/>
      <c r="U112" s="3590"/>
      <c r="V112" s="3590"/>
      <c r="W112" s="3591">
        <f>IFERROR(S110/ARV,0)</f>
        <v>0</v>
      </c>
      <c r="X112" s="3591"/>
    </row>
    <row r="113" spans="8:24" s="2" customFormat="1" ht="25" customHeight="1">
      <c r="H113" s="3918" t="s">
        <v>1686</v>
      </c>
      <c r="I113" s="3919"/>
      <c r="J113" s="3919"/>
      <c r="K113" s="3919"/>
      <c r="L113" s="3919"/>
      <c r="M113" s="3919"/>
      <c r="N113" s="3919"/>
      <c r="O113" s="3919"/>
      <c r="P113" s="3919"/>
      <c r="Q113" s="3920"/>
      <c r="R113" s="869"/>
      <c r="S113" s="869"/>
      <c r="T113" s="869"/>
      <c r="U113" s="869"/>
      <c r="V113" s="869"/>
      <c r="W113" s="869"/>
      <c r="X113" s="869"/>
    </row>
    <row r="114" spans="8:24" s="2" customFormat="1" ht="25" customHeight="1">
      <c r="H114" s="3921"/>
      <c r="I114" s="3922"/>
      <c r="J114" s="3922"/>
      <c r="K114" s="3922"/>
      <c r="L114" s="3922"/>
      <c r="M114" s="3922"/>
      <c r="N114" s="3922"/>
      <c r="O114" s="3922"/>
      <c r="P114" s="3922"/>
      <c r="Q114" s="3923"/>
      <c r="R114" s="869"/>
      <c r="S114" s="3592" t="s">
        <v>954</v>
      </c>
      <c r="T114" s="3592"/>
      <c r="U114" s="3592"/>
      <c r="V114" s="3592"/>
      <c r="W114" s="3592"/>
      <c r="X114" s="3592"/>
    </row>
    <row r="115" spans="8:24" s="2" customFormat="1" ht="25" customHeight="1">
      <c r="H115" s="3921"/>
      <c r="I115" s="3922"/>
      <c r="J115" s="3922"/>
      <c r="K115" s="3922"/>
      <c r="L115" s="3922"/>
      <c r="M115" s="3922"/>
      <c r="N115" s="3922"/>
      <c r="O115" s="3922"/>
      <c r="P115" s="3922"/>
      <c r="Q115" s="3923"/>
      <c r="R115" s="869"/>
      <c r="S115" s="3605">
        <f>-O120</f>
        <v>0</v>
      </c>
      <c r="T115" s="3605"/>
      <c r="U115" s="3605"/>
      <c r="V115" s="3605"/>
      <c r="W115" s="3605"/>
      <c r="X115" s="3605"/>
    </row>
    <row r="116" spans="8:24" s="2" customFormat="1" ht="25" customHeight="1">
      <c r="H116" s="3924"/>
      <c r="I116" s="3925"/>
      <c r="J116" s="3925"/>
      <c r="K116" s="3925"/>
      <c r="L116" s="3925"/>
      <c r="M116" s="3925"/>
      <c r="N116" s="3925"/>
      <c r="O116" s="3925"/>
      <c r="P116" s="3925"/>
      <c r="Q116" s="3926"/>
      <c r="R116" s="869"/>
      <c r="S116" s="3605"/>
      <c r="T116" s="3605"/>
      <c r="U116" s="3605"/>
      <c r="V116" s="3605"/>
      <c r="W116" s="3605"/>
      <c r="X116" s="3605"/>
    </row>
    <row r="117" spans="8:24" s="2" customFormat="1" ht="25" customHeight="1">
      <c r="H117" s="867"/>
      <c r="I117" s="867"/>
      <c r="J117" s="867"/>
      <c r="K117" s="867"/>
      <c r="L117" s="868"/>
      <c r="M117" s="868"/>
      <c r="N117" s="868"/>
      <c r="O117" s="3649"/>
      <c r="P117" s="3649"/>
      <c r="Q117" s="3649"/>
      <c r="R117" s="869"/>
      <c r="S117" s="3590" t="s">
        <v>1601</v>
      </c>
      <c r="T117" s="3590"/>
      <c r="U117" s="3590"/>
      <c r="V117" s="3590"/>
      <c r="W117" s="3591">
        <f>IFERROR(S115/ARV,0)</f>
        <v>0</v>
      </c>
      <c r="X117" s="3591"/>
    </row>
    <row r="118" spans="8:24" s="2" customFormat="1" ht="25" customHeight="1">
      <c r="H118" s="3888" t="s">
        <v>1687</v>
      </c>
      <c r="I118" s="3888"/>
      <c r="J118" s="3888"/>
      <c r="K118" s="3888"/>
      <c r="L118" s="3888"/>
      <c r="M118" s="3888"/>
      <c r="N118" s="3888"/>
      <c r="O118" s="3888"/>
      <c r="P118" s="3888"/>
      <c r="Q118" s="3888"/>
      <c r="R118" s="869"/>
      <c r="S118" s="869"/>
      <c r="T118" s="869"/>
      <c r="U118" s="869"/>
      <c r="V118" s="869"/>
      <c r="W118" s="869"/>
      <c r="X118" s="869"/>
    </row>
    <row r="119" spans="8:24" s="2" customFormat="1" ht="25" customHeight="1">
      <c r="H119" s="3889" t="s">
        <v>1688</v>
      </c>
      <c r="I119" s="3889"/>
      <c r="J119" s="3889"/>
      <c r="K119" s="3889"/>
      <c r="L119" s="3889"/>
      <c r="M119" s="3889"/>
      <c r="N119" s="3889"/>
      <c r="O119" s="3547">
        <f>-O90</f>
        <v>0</v>
      </c>
      <c r="P119" s="3547"/>
      <c r="Q119" s="3547"/>
      <c r="R119" s="869"/>
      <c r="S119" s="3592" t="s">
        <v>930</v>
      </c>
      <c r="T119" s="3592"/>
      <c r="U119" s="3592"/>
      <c r="V119" s="3592"/>
      <c r="W119" s="3592"/>
      <c r="X119" s="3592"/>
    </row>
    <row r="120" spans="8:24" s="2" customFormat="1" ht="25" customHeight="1" thickBot="1">
      <c r="H120" s="3659" t="s">
        <v>1684</v>
      </c>
      <c r="I120" s="3601"/>
      <c r="J120" s="3601"/>
      <c r="K120" s="3601"/>
      <c r="L120" s="3601"/>
      <c r="M120" s="3601"/>
      <c r="N120" s="3601"/>
      <c r="O120" s="3602">
        <f>-IF(Z3="Loan 1",Loan1_Amount,IF(Z3="Loan 2",Loan2_Amount,IF(Z3="Hybrid",Loan1_Amount+Loan2_Amount,"")))</f>
        <v>0</v>
      </c>
      <c r="P120" s="3602"/>
      <c r="Q120" s="3602"/>
      <c r="R120" s="869"/>
      <c r="S120" s="3605">
        <f>O125</f>
        <v>0</v>
      </c>
      <c r="T120" s="3605"/>
      <c r="U120" s="3605"/>
      <c r="V120" s="3605"/>
      <c r="W120" s="3605"/>
      <c r="X120" s="3605"/>
    </row>
    <row r="121" spans="8:24" s="2" customFormat="1" ht="25" customHeight="1" thickTop="1">
      <c r="H121" s="3657" t="s">
        <v>1685</v>
      </c>
      <c r="I121" s="3657"/>
      <c r="J121" s="3657"/>
      <c r="K121" s="3657"/>
      <c r="L121" s="3657"/>
      <c r="M121" s="3657"/>
      <c r="N121" s="3657"/>
      <c r="O121" s="3656">
        <f>SUM(O119:Q120)</f>
        <v>0</v>
      </c>
      <c r="P121" s="3656"/>
      <c r="Q121" s="3656"/>
      <c r="R121" s="869"/>
      <c r="S121" s="3605"/>
      <c r="T121" s="3605"/>
      <c r="U121" s="3605"/>
      <c r="V121" s="3605"/>
      <c r="W121" s="3605"/>
      <c r="X121" s="3605"/>
    </row>
    <row r="122" spans="8:24" s="2" customFormat="1" ht="25" customHeight="1">
      <c r="H122" s="867"/>
      <c r="I122" s="867"/>
      <c r="J122" s="867"/>
      <c r="K122" s="867"/>
      <c r="L122" s="868"/>
      <c r="M122" s="868"/>
      <c r="N122" s="868"/>
      <c r="O122" s="3649"/>
      <c r="P122" s="3649"/>
      <c r="Q122" s="3649"/>
      <c r="R122" s="869"/>
      <c r="S122" s="3590" t="s">
        <v>1693</v>
      </c>
      <c r="T122" s="3590"/>
      <c r="U122" s="3590"/>
      <c r="V122" s="3590"/>
      <c r="W122" s="3591">
        <f>L125</f>
        <v>0</v>
      </c>
      <c r="X122" s="3591"/>
    </row>
    <row r="123" spans="8:24" s="2" customFormat="1" ht="25" customHeight="1">
      <c r="H123" s="3888" t="s">
        <v>1689</v>
      </c>
      <c r="I123" s="3888"/>
      <c r="J123" s="3888"/>
      <c r="K123" s="3888"/>
      <c r="L123" s="3888"/>
      <c r="M123" s="3888"/>
      <c r="N123" s="3888"/>
      <c r="O123" s="3888"/>
      <c r="P123" s="3888"/>
      <c r="Q123" s="3888"/>
      <c r="R123" s="869"/>
      <c r="S123" s="869"/>
      <c r="T123" s="869"/>
      <c r="U123" s="869"/>
      <c r="V123" s="869"/>
      <c r="W123" s="869"/>
      <c r="X123" s="869"/>
    </row>
    <row r="124" spans="8:24" s="2" customFormat="1" ht="25" customHeight="1">
      <c r="H124" s="3598" t="s">
        <v>1690</v>
      </c>
      <c r="I124" s="3598"/>
      <c r="J124" s="3598"/>
      <c r="K124" s="3598"/>
      <c r="L124" s="3894"/>
      <c r="M124" s="3894"/>
      <c r="N124" s="3894"/>
      <c r="O124" s="3892">
        <f>IF(Z3="Loan 1",'REHAB FINANCING SETUP'!AR24,IF(Z3="Loan 2",'REHAB FINANCING SETUP'!AR51,IF(Z3="Hybrid",'1 REHAB ANALYZER'!M49,"")))</f>
        <v>0</v>
      </c>
      <c r="P124" s="3892"/>
      <c r="Q124" s="3892"/>
      <c r="R124" s="869"/>
      <c r="S124" s="3592" t="s">
        <v>1573</v>
      </c>
      <c r="T124" s="3592"/>
      <c r="U124" s="3592"/>
      <c r="V124" s="3592"/>
      <c r="W124" s="3592"/>
      <c r="X124" s="3592"/>
    </row>
    <row r="125" spans="8:24" s="2" customFormat="1" ht="25" customHeight="1">
      <c r="H125" s="3598" t="s">
        <v>932</v>
      </c>
      <c r="I125" s="3598"/>
      <c r="J125" s="3598"/>
      <c r="K125" s="3598"/>
      <c r="L125" s="3893">
        <f>IF(Z3="Loan 1",Interest_Rate,IF(Z3="Loan 2",Interest_Rate_Loan2,IF(Z3="Hybrid","",0)))</f>
        <v>0</v>
      </c>
      <c r="M125" s="3893"/>
      <c r="N125" s="3893"/>
      <c r="O125" s="3599">
        <f>IF(Z3="Loan 1",Loan1_Interest,IF(Z3="Loan 2",Loan2_Interest,IF(Z3="Hybrid",Loan1_Interest+Loan2_Interest,0)))</f>
        <v>0</v>
      </c>
      <c r="P125" s="3599"/>
      <c r="Q125" s="3599"/>
      <c r="R125" s="869"/>
      <c r="S125" s="3593">
        <f>O126</f>
        <v>0</v>
      </c>
      <c r="T125" s="3593"/>
      <c r="U125" s="3593"/>
      <c r="V125" s="3593"/>
      <c r="W125" s="3593"/>
      <c r="X125" s="3593"/>
    </row>
    <row r="126" spans="8:24" s="2" customFormat="1" ht="25" customHeight="1">
      <c r="H126" s="3598" t="s">
        <v>1691</v>
      </c>
      <c r="I126" s="3598"/>
      <c r="J126" s="3598"/>
      <c r="K126" s="3598"/>
      <c r="L126" s="3893" t="e">
        <f>S125/S115</f>
        <v>#DIV/0!</v>
      </c>
      <c r="M126" s="3893"/>
      <c r="N126" s="3893"/>
      <c r="O126" s="3599">
        <f>IF(Z3="Loan 1",Loan1_Points_Amount,IF(Z3="Loan 2",Loan2_Points_Amount,IF(Z3="Hybrid",Loan1_Points_Amount+Loan2_Points_Amount,0)))</f>
        <v>0</v>
      </c>
      <c r="P126" s="3599"/>
      <c r="Q126" s="3599"/>
      <c r="R126" s="869"/>
      <c r="S126" s="3593"/>
      <c r="T126" s="3593"/>
      <c r="U126" s="3593"/>
      <c r="V126" s="3593"/>
      <c r="W126" s="3593"/>
      <c r="X126" s="3593"/>
    </row>
    <row r="127" spans="8:24" s="2" customFormat="1" ht="25" customHeight="1" thickBot="1">
      <c r="H127" s="3601" t="s">
        <v>1867</v>
      </c>
      <c r="I127" s="3601"/>
      <c r="J127" s="3601"/>
      <c r="K127" s="3601"/>
      <c r="L127" s="3895"/>
      <c r="M127" s="3895"/>
      <c r="N127" s="3895"/>
      <c r="O127" s="3602">
        <f>IF(Z3="Loan 1",Loan1_Other_Costs,IF(Z3="Loan 2",Loan2_Other_Costs,IF(Z3="Hybrid",Loan1_Other_Costs+Loan2_Other_Costs,0)))</f>
        <v>0</v>
      </c>
      <c r="P127" s="3602"/>
      <c r="Q127" s="3602"/>
      <c r="R127" s="869"/>
      <c r="S127" s="3590" t="s">
        <v>1695</v>
      </c>
      <c r="T127" s="3590"/>
      <c r="U127" s="3590"/>
      <c r="V127" s="3590"/>
      <c r="W127" s="3591" t="e">
        <f>L126</f>
        <v>#DIV/0!</v>
      </c>
      <c r="X127" s="3591"/>
    </row>
    <row r="128" spans="8:24" s="2" customFormat="1" ht="25" customHeight="1" thickTop="1">
      <c r="H128" s="3657" t="s">
        <v>931</v>
      </c>
      <c r="I128" s="3657"/>
      <c r="J128" s="3657"/>
      <c r="K128" s="3657"/>
      <c r="L128" s="3657"/>
      <c r="M128" s="3657"/>
      <c r="N128" s="3657"/>
      <c r="O128" s="3656">
        <f>SUM(O125:Q127)</f>
        <v>0</v>
      </c>
      <c r="P128" s="3656"/>
      <c r="Q128" s="3656"/>
      <c r="R128" s="869"/>
      <c r="S128" s="869"/>
      <c r="T128" s="869"/>
      <c r="U128" s="869"/>
      <c r="V128" s="869"/>
      <c r="W128" s="869"/>
      <c r="X128" s="869"/>
    </row>
    <row r="129" spans="8:24" s="2" customFormat="1" ht="25" customHeight="1">
      <c r="H129" s="3889" t="s">
        <v>1865</v>
      </c>
      <c r="I129" s="3889"/>
      <c r="J129" s="3889"/>
      <c r="K129" s="3889"/>
      <c r="L129" s="3889"/>
      <c r="M129" s="3889"/>
      <c r="N129" s="3889"/>
      <c r="O129" s="3890">
        <f>IFERROR(O128/S115,0)</f>
        <v>0</v>
      </c>
      <c r="P129" s="3890"/>
      <c r="Q129" s="3890"/>
      <c r="R129" s="869"/>
      <c r="S129" s="3592" t="s">
        <v>931</v>
      </c>
      <c r="T129" s="3592"/>
      <c r="U129" s="3592"/>
      <c r="V129" s="3592"/>
      <c r="W129" s="3592"/>
      <c r="X129" s="3592"/>
    </row>
    <row r="130" spans="8:24" s="2" customFormat="1" ht="25" customHeight="1">
      <c r="H130" s="3889" t="s">
        <v>1866</v>
      </c>
      <c r="I130" s="3889"/>
      <c r="J130" s="3889"/>
      <c r="K130" s="3889"/>
      <c r="L130" s="3889"/>
      <c r="M130" s="3889"/>
      <c r="N130" s="3889"/>
      <c r="O130" s="3891">
        <f>IFERROR(O129/(O124/12),0)</f>
        <v>0</v>
      </c>
      <c r="P130" s="3891"/>
      <c r="Q130" s="3891"/>
      <c r="R130" s="869"/>
      <c r="S130" s="3593">
        <f>O128</f>
        <v>0</v>
      </c>
      <c r="T130" s="3593"/>
      <c r="U130" s="3593"/>
      <c r="V130" s="3593"/>
      <c r="W130" s="3593"/>
      <c r="X130" s="3593"/>
    </row>
    <row r="131" spans="8:24" s="2" customFormat="1" ht="25" customHeight="1">
      <c r="H131" s="35"/>
      <c r="I131" s="35"/>
      <c r="J131" s="35"/>
      <c r="K131" s="35"/>
      <c r="L131" s="35"/>
      <c r="M131" s="35"/>
      <c r="N131" s="35"/>
      <c r="O131" s="35"/>
      <c r="P131" s="35"/>
      <c r="Q131" s="35"/>
      <c r="R131" s="869"/>
      <c r="S131" s="3593"/>
      <c r="T131" s="3593"/>
      <c r="U131" s="3593"/>
      <c r="V131" s="3593"/>
      <c r="W131" s="3593"/>
      <c r="X131" s="3593"/>
    </row>
    <row r="132" spans="8:24" s="2" customFormat="1" ht="25" customHeight="1">
      <c r="H132" s="35"/>
      <c r="I132" s="35"/>
      <c r="J132" s="35"/>
      <c r="K132" s="35"/>
      <c r="L132" s="35"/>
      <c r="M132" s="35"/>
      <c r="N132" s="35"/>
      <c r="O132" s="35"/>
      <c r="P132" s="35"/>
      <c r="Q132" s="35"/>
      <c r="R132" s="869"/>
      <c r="S132" s="3590" t="s">
        <v>1694</v>
      </c>
      <c r="T132" s="3590"/>
      <c r="U132" s="3590"/>
      <c r="V132" s="3590"/>
      <c r="W132" s="3591">
        <f>O130</f>
        <v>0</v>
      </c>
      <c r="X132" s="3591"/>
    </row>
    <row r="133" spans="8:24" s="2" customFormat="1" ht="25" customHeight="1">
      <c r="H133" s="35"/>
      <c r="I133" s="35"/>
      <c r="J133" s="35"/>
      <c r="K133" s="35"/>
      <c r="L133" s="35"/>
      <c r="M133" s="35"/>
      <c r="N133" s="35"/>
      <c r="O133" s="35"/>
      <c r="P133" s="35"/>
      <c r="Q133" s="35"/>
      <c r="R133" s="869"/>
      <c r="S133" s="869"/>
      <c r="T133" s="869"/>
      <c r="U133" s="869"/>
      <c r="V133" s="869"/>
      <c r="W133" s="869"/>
      <c r="X133" s="869"/>
    </row>
    <row r="134" spans="8:24" s="2" customFormat="1" ht="25" customHeight="1">
      <c r="H134" s="35"/>
      <c r="I134" s="35"/>
      <c r="J134" s="35"/>
      <c r="K134" s="35"/>
      <c r="L134" s="35"/>
      <c r="M134" s="35"/>
      <c r="N134" s="35"/>
      <c r="O134" s="35"/>
      <c r="P134" s="35"/>
      <c r="Q134" s="35"/>
      <c r="R134" s="869"/>
      <c r="S134" s="869"/>
      <c r="T134" s="869"/>
      <c r="U134" s="869"/>
      <c r="V134" s="869"/>
      <c r="W134" s="869"/>
      <c r="X134" s="869"/>
    </row>
    <row r="135" spans="8:24" s="2" customFormat="1" ht="25" customHeight="1">
      <c r="H135" s="35"/>
      <c r="I135" s="35"/>
      <c r="J135" s="35"/>
      <c r="K135" s="35"/>
      <c r="L135" s="35"/>
      <c r="M135" s="35"/>
      <c r="N135" s="35"/>
      <c r="O135" s="35"/>
      <c r="P135" s="35"/>
      <c r="Q135" s="35"/>
      <c r="R135" s="869"/>
      <c r="S135" s="869"/>
      <c r="T135" s="869"/>
      <c r="U135" s="869"/>
      <c r="V135" s="869"/>
      <c r="W135" s="869"/>
      <c r="X135" s="869"/>
    </row>
    <row r="136" spans="8:24" s="2" customFormat="1" ht="25" customHeight="1">
      <c r="H136" s="35"/>
      <c r="I136" s="35"/>
      <c r="J136" s="35"/>
      <c r="K136" s="35"/>
      <c r="L136" s="35"/>
      <c r="M136" s="35"/>
      <c r="N136" s="35"/>
      <c r="O136" s="35"/>
      <c r="P136" s="35"/>
      <c r="Q136" s="35"/>
      <c r="R136" s="869"/>
      <c r="S136" s="869"/>
      <c r="T136" s="869"/>
      <c r="U136" s="869"/>
      <c r="V136" s="869"/>
      <c r="W136" s="869"/>
      <c r="X136" s="869"/>
    </row>
    <row r="137" spans="8:24" s="2" customFormat="1" ht="25" customHeight="1">
      <c r="H137" s="867"/>
      <c r="I137" s="867"/>
      <c r="J137" s="867"/>
      <c r="K137" s="867"/>
      <c r="L137" s="868"/>
      <c r="M137" s="868"/>
      <c r="N137" s="868"/>
      <c r="O137" s="869"/>
      <c r="P137" s="869"/>
      <c r="Q137" s="869"/>
      <c r="R137" s="869"/>
      <c r="S137" s="869"/>
      <c r="T137" s="869"/>
      <c r="U137" s="869"/>
      <c r="V137" s="869"/>
      <c r="W137" s="869"/>
      <c r="X137" s="869"/>
    </row>
    <row r="138" spans="8:24" s="2" customFormat="1" ht="22.7" customHeight="1">
      <c r="H138" s="3544" t="str">
        <f>CONCATENATE("Report Prepared By: ",Investor_Name,"  |  ",Company_Name,"  |  ",Company_Email,"  |  ",Company_Website)</f>
        <v xml:space="preserve">Report Prepared By:   |    |    |  </v>
      </c>
      <c r="I138" s="3544"/>
      <c r="J138" s="3544"/>
      <c r="K138" s="3544"/>
      <c r="L138" s="3544"/>
      <c r="M138" s="3544"/>
      <c r="N138" s="3544"/>
      <c r="O138" s="3544"/>
      <c r="P138" s="3544"/>
      <c r="Q138" s="3544"/>
      <c r="R138" s="3544"/>
      <c r="S138" s="3544"/>
      <c r="T138" s="3544"/>
      <c r="U138" s="3544"/>
      <c r="V138" s="3544"/>
      <c r="W138" s="3561" t="str">
        <f>CONCATENATE("Page ",AJ6," of ",$AG$3)</f>
        <v>Page 3 of 8</v>
      </c>
      <c r="X138" s="3561"/>
    </row>
    <row r="139" spans="8:24" s="2" customFormat="1" ht="25" customHeight="1">
      <c r="H139" s="3562" t="str">
        <f>CONCATENATE(Street_Address,", ",City_State_Zip)</f>
        <v>, 0</v>
      </c>
      <c r="I139" s="3562"/>
      <c r="J139" s="3562"/>
      <c r="K139" s="3562"/>
      <c r="L139" s="3562"/>
      <c r="M139" s="3562"/>
      <c r="N139" s="3562"/>
      <c r="O139" s="3562"/>
      <c r="P139" s="3562"/>
      <c r="Q139" s="3562"/>
      <c r="R139" s="3562"/>
      <c r="S139" s="3562"/>
      <c r="T139" s="3562"/>
      <c r="U139" s="3562"/>
      <c r="V139" s="3562"/>
      <c r="W139" s="3562"/>
      <c r="X139" s="3562"/>
    </row>
    <row r="140" spans="8:24" s="2" customFormat="1" ht="25" customHeight="1">
      <c r="H140" s="938"/>
      <c r="I140" s="938"/>
      <c r="J140" s="938"/>
      <c r="K140" s="938"/>
      <c r="L140" s="936"/>
      <c r="M140" s="936"/>
      <c r="N140" s="936"/>
      <c r="O140" s="937"/>
      <c r="P140" s="937"/>
      <c r="Q140" s="937"/>
      <c r="R140" s="937"/>
      <c r="S140" s="937"/>
      <c r="T140" s="937"/>
      <c r="U140" s="937"/>
      <c r="V140" s="937"/>
      <c r="W140" s="937"/>
      <c r="X140" s="937"/>
    </row>
    <row r="141" spans="8:24" s="2" customFormat="1" ht="25" customHeight="1">
      <c r="H141" s="3912" t="s">
        <v>1848</v>
      </c>
      <c r="I141" s="3912"/>
      <c r="J141" s="3912"/>
      <c r="K141" s="3912"/>
      <c r="L141" s="3912"/>
      <c r="M141" s="3912"/>
      <c r="N141" s="3912"/>
      <c r="O141" s="3912"/>
      <c r="P141" s="3912"/>
      <c r="Q141" s="3912"/>
      <c r="R141" s="937"/>
      <c r="S141" s="937"/>
      <c r="T141" s="937"/>
      <c r="U141" s="937"/>
      <c r="V141" s="937"/>
      <c r="W141" s="937"/>
      <c r="X141" s="937"/>
    </row>
    <row r="142" spans="8:24" s="2" customFormat="1" ht="25" customHeight="1">
      <c r="H142" s="938"/>
      <c r="I142" s="938"/>
      <c r="J142" s="938"/>
      <c r="K142" s="938"/>
      <c r="L142" s="936"/>
      <c r="M142" s="936"/>
      <c r="N142" s="936"/>
      <c r="O142" s="937"/>
      <c r="P142" s="937"/>
      <c r="Q142" s="937"/>
      <c r="R142" s="937"/>
      <c r="S142" s="939"/>
      <c r="T142" s="937"/>
      <c r="U142" s="937"/>
      <c r="V142" s="937"/>
      <c r="W142" s="937"/>
      <c r="X142" s="937"/>
    </row>
    <row r="143" spans="8:24" s="2" customFormat="1" ht="25" customHeight="1">
      <c r="H143" s="3596" t="s">
        <v>1594</v>
      </c>
      <c r="I143" s="3596"/>
      <c r="J143" s="3596"/>
      <c r="K143" s="3596"/>
      <c r="L143" s="3596"/>
      <c r="M143" s="3596"/>
      <c r="N143" s="3596"/>
      <c r="O143" s="3596"/>
      <c r="P143" s="3596"/>
      <c r="Q143" s="3596"/>
      <c r="R143" s="941"/>
      <c r="S143" s="1389"/>
      <c r="T143" s="1389"/>
      <c r="U143" s="1389"/>
      <c r="V143" s="1389"/>
      <c r="W143" s="1389"/>
      <c r="X143" s="1389"/>
    </row>
    <row r="144" spans="8:24" s="2" customFormat="1" ht="25" customHeight="1">
      <c r="H144" s="867"/>
      <c r="I144" s="867"/>
      <c r="J144" s="867"/>
      <c r="K144" s="867"/>
      <c r="L144" s="868"/>
      <c r="M144" s="868"/>
      <c r="N144" s="868"/>
      <c r="O144" s="3603"/>
      <c r="P144" s="3603"/>
      <c r="Q144" s="3603"/>
      <c r="R144" s="941"/>
      <c r="S144" s="1392"/>
      <c r="T144" s="1389"/>
      <c r="U144" s="1389"/>
      <c r="V144" s="1389"/>
      <c r="W144" s="1389"/>
      <c r="X144" s="1389"/>
    </row>
    <row r="145" spans="8:24" s="2" customFormat="1" ht="25" customHeight="1">
      <c r="H145" s="3598" t="s">
        <v>1595</v>
      </c>
      <c r="I145" s="3598"/>
      <c r="J145" s="3598"/>
      <c r="K145" s="3598"/>
      <c r="L145" s="3598"/>
      <c r="M145" s="3598"/>
      <c r="N145" s="3598"/>
      <c r="O145" s="3547">
        <f>ARV</f>
        <v>0</v>
      </c>
      <c r="P145" s="3547"/>
      <c r="Q145" s="3547"/>
      <c r="R145" s="941"/>
      <c r="S145" s="1389"/>
      <c r="T145" s="1389"/>
      <c r="U145" s="1389"/>
      <c r="V145" s="1389"/>
      <c r="W145" s="1389"/>
      <c r="X145" s="1389"/>
    </row>
    <row r="146" spans="8:24" s="2" customFormat="1" ht="25" customHeight="1" thickBot="1">
      <c r="H146" s="3601" t="s">
        <v>1589</v>
      </c>
      <c r="I146" s="3601"/>
      <c r="J146" s="3601"/>
      <c r="K146" s="3601"/>
      <c r="L146" s="3601"/>
      <c r="M146" s="3601"/>
      <c r="N146" s="3601"/>
      <c r="O146" s="3602">
        <f>O90+O91</f>
        <v>0</v>
      </c>
      <c r="P146" s="3602"/>
      <c r="Q146" s="3602"/>
      <c r="R146" s="941"/>
      <c r="S146" s="1392"/>
      <c r="T146" s="1389"/>
      <c r="U146" s="1389"/>
      <c r="V146" s="1389"/>
      <c r="W146" s="1389"/>
      <c r="X146" s="1389"/>
    </row>
    <row r="147" spans="8:24" s="2" customFormat="1" ht="25" customHeight="1" thickTop="1">
      <c r="H147" s="3657" t="s">
        <v>1597</v>
      </c>
      <c r="I147" s="3657"/>
      <c r="J147" s="3657"/>
      <c r="K147" s="3657"/>
      <c r="L147" s="3657"/>
      <c r="M147" s="3657"/>
      <c r="N147" s="3657"/>
      <c r="O147" s="3656">
        <f>SUM(O145:Q146)</f>
        <v>0</v>
      </c>
      <c r="P147" s="3656"/>
      <c r="Q147" s="3656"/>
      <c r="R147" s="941"/>
      <c r="S147" s="1389"/>
      <c r="T147" s="1389"/>
      <c r="U147" s="1389"/>
      <c r="V147" s="1389"/>
      <c r="W147" s="1389"/>
      <c r="X147" s="1389"/>
    </row>
    <row r="148" spans="8:24" s="2" customFormat="1" ht="25" customHeight="1">
      <c r="H148" s="867"/>
      <c r="I148" s="867"/>
      <c r="J148" s="867"/>
      <c r="K148" s="867"/>
      <c r="L148" s="868"/>
      <c r="M148" s="868"/>
      <c r="N148" s="868"/>
      <c r="O148" s="869"/>
      <c r="P148" s="869"/>
      <c r="Q148" s="869"/>
      <c r="R148" s="941"/>
      <c r="S148" s="1392"/>
      <c r="T148" s="1389"/>
      <c r="U148" s="1389"/>
      <c r="V148" s="1389"/>
      <c r="W148" s="1389"/>
      <c r="X148" s="1389"/>
    </row>
    <row r="149" spans="8:24" s="2" customFormat="1" ht="25" customHeight="1">
      <c r="H149" s="3598" t="s">
        <v>1598</v>
      </c>
      <c r="I149" s="3598"/>
      <c r="J149" s="3598"/>
      <c r="K149" s="3598"/>
      <c r="L149" s="3598"/>
      <c r="M149" s="3598"/>
      <c r="N149" s="3598"/>
      <c r="O149" s="3670">
        <f>O94</f>
        <v>0</v>
      </c>
      <c r="P149" s="3670"/>
      <c r="Q149" s="3670"/>
      <c r="R149" s="941"/>
      <c r="S149" s="1389"/>
      <c r="T149" s="1389"/>
      <c r="U149" s="1389"/>
      <c r="V149" s="1389"/>
      <c r="W149" s="1389"/>
      <c r="X149" s="1389"/>
    </row>
    <row r="150" spans="8:24" s="2" customFormat="1" ht="25" customHeight="1">
      <c r="H150" s="3598" t="s">
        <v>1021</v>
      </c>
      <c r="I150" s="3598"/>
      <c r="J150" s="3598"/>
      <c r="K150" s="3598"/>
      <c r="L150" s="3598"/>
      <c r="M150" s="3598"/>
      <c r="N150" s="3598"/>
      <c r="O150" s="3670">
        <f>O95</f>
        <v>0</v>
      </c>
      <c r="P150" s="3670"/>
      <c r="Q150" s="3670"/>
      <c r="R150" s="941"/>
      <c r="S150" s="1389"/>
      <c r="T150" s="1389"/>
      <c r="U150" s="1389"/>
      <c r="V150" s="1389"/>
      <c r="W150" s="1389"/>
      <c r="X150" s="1389"/>
    </row>
    <row r="151" spans="8:24" s="2" customFormat="1" ht="25" customHeight="1">
      <c r="H151" s="1391"/>
      <c r="I151" s="1391"/>
      <c r="J151" s="1391"/>
      <c r="K151" s="1391"/>
      <c r="L151" s="1391"/>
      <c r="M151" s="1391"/>
      <c r="N151" s="1391"/>
      <c r="O151" s="1416"/>
      <c r="P151" s="1416"/>
      <c r="Q151" s="1416"/>
      <c r="R151" s="941"/>
      <c r="S151" s="1392"/>
      <c r="T151" s="1389"/>
      <c r="U151" s="1389"/>
      <c r="V151" s="1389"/>
      <c r="W151" s="1389"/>
      <c r="X151" s="1389"/>
    </row>
    <row r="152" spans="8:24" s="2" customFormat="1" ht="25" customHeight="1">
      <c r="H152" s="1391"/>
      <c r="I152" s="1391"/>
      <c r="J152" s="1391"/>
      <c r="K152" s="1391"/>
      <c r="L152" s="1391"/>
      <c r="M152" s="1391"/>
      <c r="N152" s="1391"/>
      <c r="O152" s="1416"/>
      <c r="P152" s="1416"/>
      <c r="Q152" s="1416"/>
      <c r="R152" s="941"/>
      <c r="S152" s="1389"/>
      <c r="T152" s="1389"/>
      <c r="U152" s="1389"/>
      <c r="V152" s="1389"/>
      <c r="W152" s="1389"/>
      <c r="X152" s="1389"/>
    </row>
    <row r="153" spans="8:24" s="2" customFormat="1" ht="25" customHeight="1">
      <c r="H153" s="3596" t="s">
        <v>1696</v>
      </c>
      <c r="I153" s="3596"/>
      <c r="J153" s="3596"/>
      <c r="K153" s="3596"/>
      <c r="L153" s="3596"/>
      <c r="M153" s="3596"/>
      <c r="N153" s="3596"/>
      <c r="O153" s="3596"/>
      <c r="P153" s="3596"/>
      <c r="Q153" s="3596"/>
      <c r="R153" s="941"/>
      <c r="S153" s="1392"/>
      <c r="T153" s="1389"/>
      <c r="U153" s="1389"/>
      <c r="V153" s="1389"/>
      <c r="W153" s="1389"/>
      <c r="X153" s="1389"/>
    </row>
    <row r="154" spans="8:24" s="2" customFormat="1" ht="25" customHeight="1">
      <c r="H154" s="1390"/>
      <c r="I154" s="1390"/>
      <c r="J154" s="1390"/>
      <c r="K154" s="1390"/>
      <c r="L154" s="1388"/>
      <c r="M154" s="1388"/>
      <c r="N154" s="1388"/>
      <c r="O154" s="1389"/>
      <c r="P154" s="1389"/>
      <c r="Q154" s="1389"/>
      <c r="R154" s="1389"/>
      <c r="S154" s="1392"/>
      <c r="T154" s="1389"/>
      <c r="U154" s="1389"/>
      <c r="V154" s="1389"/>
      <c r="W154" s="1389"/>
      <c r="X154" s="1389"/>
    </row>
    <row r="155" spans="8:24" s="2" customFormat="1" ht="25" customHeight="1">
      <c r="H155" s="3913" t="s">
        <v>608</v>
      </c>
      <c r="I155" s="3914"/>
      <c r="J155" s="3914" t="s">
        <v>1622</v>
      </c>
      <c r="K155" s="3914"/>
      <c r="L155" s="3914"/>
      <c r="M155" s="3914"/>
      <c r="N155" s="3914" t="s">
        <v>1697</v>
      </c>
      <c r="O155" s="3914"/>
      <c r="P155" s="3914"/>
      <c r="Q155" s="3914" t="s">
        <v>1623</v>
      </c>
      <c r="R155" s="3914"/>
      <c r="S155" s="3914"/>
      <c r="T155" s="3914" t="s">
        <v>1624</v>
      </c>
      <c r="U155" s="3914"/>
      <c r="V155" s="3914"/>
      <c r="W155" s="3914" t="s">
        <v>899</v>
      </c>
      <c r="X155" s="3915"/>
    </row>
    <row r="156" spans="8:24" s="2" customFormat="1" ht="25" customHeight="1">
      <c r="H156" s="3908">
        <f>'REHAB FINANCING SETUP'!U79</f>
        <v>1</v>
      </c>
      <c r="I156" s="3894"/>
      <c r="J156" s="3598" t="str">
        <f>T('REHAB FINANCING SETUP'!X79:AO79)</f>
        <v>Investor 1</v>
      </c>
      <c r="K156" s="3598"/>
      <c r="L156" s="3598"/>
      <c r="M156" s="3598"/>
      <c r="N156" s="3909">
        <f>'REHAB FINANCING SETUP'!AP79</f>
        <v>0</v>
      </c>
      <c r="O156" s="3909"/>
      <c r="P156" s="3909"/>
      <c r="Q156" s="3910">
        <f>'REHAB FINANCING SETUP'!AZ79</f>
        <v>0</v>
      </c>
      <c r="R156" s="3894"/>
      <c r="S156" s="3894"/>
      <c r="T156" s="3909">
        <f>'REHAB FINANCING SETUP'!BJ79</f>
        <v>0</v>
      </c>
      <c r="U156" s="3909"/>
      <c r="V156" s="3909"/>
      <c r="W156" s="3910">
        <f>'REHAB FINANCING SETUP'!BT79</f>
        <v>0</v>
      </c>
      <c r="X156" s="3911"/>
    </row>
    <row r="157" spans="8:24" s="2" customFormat="1" ht="25" customHeight="1">
      <c r="H157" s="3908">
        <f>'REHAB FINANCING SETUP'!U80</f>
        <v>2</v>
      </c>
      <c r="I157" s="3894"/>
      <c r="J157" s="3598" t="str">
        <f>T('REHAB FINANCING SETUP'!X80:AO80)</f>
        <v>Investor 2</v>
      </c>
      <c r="K157" s="3598"/>
      <c r="L157" s="3598"/>
      <c r="M157" s="3598"/>
      <c r="N157" s="3909">
        <f>'REHAB FINANCING SETUP'!AP80</f>
        <v>0</v>
      </c>
      <c r="O157" s="3909"/>
      <c r="P157" s="3909"/>
      <c r="Q157" s="3910">
        <f>'REHAB FINANCING SETUP'!AZ80</f>
        <v>0</v>
      </c>
      <c r="R157" s="3894"/>
      <c r="S157" s="3894"/>
      <c r="T157" s="3909">
        <f>'REHAB FINANCING SETUP'!BJ80</f>
        <v>0</v>
      </c>
      <c r="U157" s="3909"/>
      <c r="V157" s="3909"/>
      <c r="W157" s="3910">
        <f>'REHAB FINANCING SETUP'!BT80</f>
        <v>0</v>
      </c>
      <c r="X157" s="3911"/>
    </row>
    <row r="158" spans="8:24" s="2" customFormat="1" ht="25" customHeight="1">
      <c r="H158" s="3908">
        <f>'REHAB FINANCING SETUP'!U81</f>
        <v>3</v>
      </c>
      <c r="I158" s="3894"/>
      <c r="J158" s="3598" t="str">
        <f>T('REHAB FINANCING SETUP'!X81:AO81)</f>
        <v>Investor 3</v>
      </c>
      <c r="K158" s="3598"/>
      <c r="L158" s="3598"/>
      <c r="M158" s="3598"/>
      <c r="N158" s="3909">
        <f>'REHAB FINANCING SETUP'!AP81</f>
        <v>0</v>
      </c>
      <c r="O158" s="3909"/>
      <c r="P158" s="3909"/>
      <c r="Q158" s="3910">
        <f>'REHAB FINANCING SETUP'!AZ81</f>
        <v>0</v>
      </c>
      <c r="R158" s="3894"/>
      <c r="S158" s="3894"/>
      <c r="T158" s="3909">
        <f>'REHAB FINANCING SETUP'!BJ81</f>
        <v>0</v>
      </c>
      <c r="U158" s="3909"/>
      <c r="V158" s="3909"/>
      <c r="W158" s="3910">
        <f>'REHAB FINANCING SETUP'!BT81</f>
        <v>0</v>
      </c>
      <c r="X158" s="3911"/>
    </row>
    <row r="159" spans="8:24" s="2" customFormat="1" ht="25" customHeight="1">
      <c r="H159" s="3908">
        <f>'REHAB FINANCING SETUP'!U82</f>
        <v>4</v>
      </c>
      <c r="I159" s="3894"/>
      <c r="J159" s="3598" t="str">
        <f>T('REHAB FINANCING SETUP'!X82:AO82)</f>
        <v>Investor 4</v>
      </c>
      <c r="K159" s="3598"/>
      <c r="L159" s="3598"/>
      <c r="M159" s="3598"/>
      <c r="N159" s="3909">
        <f>'REHAB FINANCING SETUP'!AP82</f>
        <v>0</v>
      </c>
      <c r="O159" s="3909"/>
      <c r="P159" s="3909"/>
      <c r="Q159" s="3910">
        <f>'REHAB FINANCING SETUP'!AZ82</f>
        <v>0</v>
      </c>
      <c r="R159" s="3894"/>
      <c r="S159" s="3894"/>
      <c r="T159" s="3909">
        <f>'REHAB FINANCING SETUP'!BJ82</f>
        <v>0</v>
      </c>
      <c r="U159" s="3909"/>
      <c r="V159" s="3909"/>
      <c r="W159" s="3910">
        <f>'REHAB FINANCING SETUP'!BT82</f>
        <v>0</v>
      </c>
      <c r="X159" s="3911"/>
    </row>
    <row r="160" spans="8:24" s="2" customFormat="1" ht="25" customHeight="1">
      <c r="H160" s="3908">
        <f>'REHAB FINANCING SETUP'!U83</f>
        <v>5</v>
      </c>
      <c r="I160" s="3894"/>
      <c r="J160" s="3598" t="str">
        <f>T('REHAB FINANCING SETUP'!X83:AO83)</f>
        <v>Investor 5</v>
      </c>
      <c r="K160" s="3598"/>
      <c r="L160" s="3598"/>
      <c r="M160" s="3598"/>
      <c r="N160" s="3909">
        <f>'REHAB FINANCING SETUP'!AP83</f>
        <v>0</v>
      </c>
      <c r="O160" s="3909"/>
      <c r="P160" s="3909"/>
      <c r="Q160" s="3910">
        <f>'REHAB FINANCING SETUP'!AZ83</f>
        <v>0</v>
      </c>
      <c r="R160" s="3894"/>
      <c r="S160" s="3894"/>
      <c r="T160" s="3909">
        <f>'REHAB FINANCING SETUP'!BJ83</f>
        <v>0</v>
      </c>
      <c r="U160" s="3909"/>
      <c r="V160" s="3909"/>
      <c r="W160" s="3910">
        <f>'REHAB FINANCING SETUP'!BT83</f>
        <v>0</v>
      </c>
      <c r="X160" s="3911"/>
    </row>
    <row r="161" spans="8:24" s="2" customFormat="1" ht="25" customHeight="1">
      <c r="H161" s="3908">
        <f>'REHAB FINANCING SETUP'!U84</f>
        <v>6</v>
      </c>
      <c r="I161" s="3894"/>
      <c r="J161" s="3598" t="str">
        <f>T('REHAB FINANCING SETUP'!X84:AO84)</f>
        <v>Investor 6</v>
      </c>
      <c r="K161" s="3598"/>
      <c r="L161" s="3598"/>
      <c r="M161" s="3598"/>
      <c r="N161" s="3909">
        <f>'REHAB FINANCING SETUP'!AP84</f>
        <v>0</v>
      </c>
      <c r="O161" s="3909"/>
      <c r="P161" s="3909"/>
      <c r="Q161" s="3910">
        <f>'REHAB FINANCING SETUP'!AZ84</f>
        <v>0</v>
      </c>
      <c r="R161" s="3894"/>
      <c r="S161" s="3894"/>
      <c r="T161" s="3909">
        <f>'REHAB FINANCING SETUP'!BJ84</f>
        <v>0</v>
      </c>
      <c r="U161" s="3909"/>
      <c r="V161" s="3909"/>
      <c r="W161" s="3910">
        <f>'REHAB FINANCING SETUP'!BT84</f>
        <v>0</v>
      </c>
      <c r="X161" s="3911"/>
    </row>
    <row r="162" spans="8:24" s="2" customFormat="1" ht="25" customHeight="1">
      <c r="H162" s="3908">
        <f>'REHAB FINANCING SETUP'!U85</f>
        <v>7</v>
      </c>
      <c r="I162" s="3894"/>
      <c r="J162" s="3598" t="str">
        <f>T('REHAB FINANCING SETUP'!X85:AO85)</f>
        <v>Investor 7</v>
      </c>
      <c r="K162" s="3598"/>
      <c r="L162" s="3598"/>
      <c r="M162" s="3598"/>
      <c r="N162" s="3909">
        <f>'REHAB FINANCING SETUP'!AP85</f>
        <v>0</v>
      </c>
      <c r="O162" s="3909"/>
      <c r="P162" s="3909"/>
      <c r="Q162" s="3910">
        <f>'REHAB FINANCING SETUP'!AZ85</f>
        <v>0</v>
      </c>
      <c r="R162" s="3894"/>
      <c r="S162" s="3894"/>
      <c r="T162" s="3909">
        <f>'REHAB FINANCING SETUP'!BJ85</f>
        <v>0</v>
      </c>
      <c r="U162" s="3909"/>
      <c r="V162" s="3909"/>
      <c r="W162" s="3910">
        <f>'REHAB FINANCING SETUP'!BT85</f>
        <v>0</v>
      </c>
      <c r="X162" s="3911"/>
    </row>
    <row r="163" spans="8:24" s="2" customFormat="1" ht="25" customHeight="1">
      <c r="H163" s="3908">
        <f>'REHAB FINANCING SETUP'!U86</f>
        <v>8</v>
      </c>
      <c r="I163" s="3894"/>
      <c r="J163" s="3598" t="str">
        <f>T('REHAB FINANCING SETUP'!X86:AO86)</f>
        <v>Investor 8</v>
      </c>
      <c r="K163" s="3598"/>
      <c r="L163" s="3598"/>
      <c r="M163" s="3598"/>
      <c r="N163" s="3909">
        <f>'REHAB FINANCING SETUP'!AP86</f>
        <v>0</v>
      </c>
      <c r="O163" s="3909"/>
      <c r="P163" s="3909"/>
      <c r="Q163" s="3910">
        <f>'REHAB FINANCING SETUP'!AZ86</f>
        <v>0</v>
      </c>
      <c r="R163" s="3894"/>
      <c r="S163" s="3894"/>
      <c r="T163" s="3909">
        <f>'REHAB FINANCING SETUP'!BJ86</f>
        <v>0</v>
      </c>
      <c r="U163" s="3909"/>
      <c r="V163" s="3909"/>
      <c r="W163" s="3910">
        <f>'REHAB FINANCING SETUP'!BT86</f>
        <v>0</v>
      </c>
      <c r="X163" s="3911"/>
    </row>
    <row r="164" spans="8:24" s="2" customFormat="1" ht="25" customHeight="1">
      <c r="H164" s="3908">
        <f>'REHAB FINANCING SETUP'!U87</f>
        <v>9</v>
      </c>
      <c r="I164" s="3894"/>
      <c r="J164" s="3598" t="str">
        <f>T('REHAB FINANCING SETUP'!X87:AO87)</f>
        <v>Investor 9</v>
      </c>
      <c r="K164" s="3598"/>
      <c r="L164" s="3598"/>
      <c r="M164" s="3598"/>
      <c r="N164" s="3909">
        <f>'REHAB FINANCING SETUP'!AP87</f>
        <v>0</v>
      </c>
      <c r="O164" s="3909"/>
      <c r="P164" s="3909"/>
      <c r="Q164" s="3910">
        <f>'REHAB FINANCING SETUP'!AZ87</f>
        <v>0</v>
      </c>
      <c r="R164" s="3894"/>
      <c r="S164" s="3894"/>
      <c r="T164" s="3909">
        <f>'REHAB FINANCING SETUP'!BJ87</f>
        <v>0</v>
      </c>
      <c r="U164" s="3909"/>
      <c r="V164" s="3909"/>
      <c r="W164" s="3910">
        <f>'REHAB FINANCING SETUP'!BT87</f>
        <v>0</v>
      </c>
      <c r="X164" s="3911"/>
    </row>
    <row r="165" spans="8:24" s="2" customFormat="1" ht="25" customHeight="1" thickBot="1">
      <c r="H165" s="3930">
        <f>'REHAB FINANCING SETUP'!U88</f>
        <v>10</v>
      </c>
      <c r="I165" s="3931"/>
      <c r="J165" s="3601" t="str">
        <f>T('REHAB FINANCING SETUP'!X88:AO88)</f>
        <v>Investor 10</v>
      </c>
      <c r="K165" s="3601"/>
      <c r="L165" s="3601"/>
      <c r="M165" s="3601"/>
      <c r="N165" s="3938">
        <f>'REHAB FINANCING SETUP'!AP88</f>
        <v>0</v>
      </c>
      <c r="O165" s="3938"/>
      <c r="P165" s="3938"/>
      <c r="Q165" s="3939">
        <f>'REHAB FINANCING SETUP'!AZ88</f>
        <v>0</v>
      </c>
      <c r="R165" s="3931"/>
      <c r="S165" s="3931"/>
      <c r="T165" s="3938">
        <f>'REHAB FINANCING SETUP'!BJ88</f>
        <v>0</v>
      </c>
      <c r="U165" s="3938"/>
      <c r="V165" s="3938"/>
      <c r="W165" s="3939">
        <f>'REHAB FINANCING SETUP'!BT88</f>
        <v>0</v>
      </c>
      <c r="X165" s="3940"/>
    </row>
    <row r="166" spans="8:24" s="2" customFormat="1" ht="25" customHeight="1" thickTop="1">
      <c r="H166" s="3928" t="s">
        <v>522</v>
      </c>
      <c r="I166" s="3928"/>
      <c r="J166" s="3928"/>
      <c r="K166" s="3928"/>
      <c r="L166" s="3928"/>
      <c r="M166" s="3928"/>
      <c r="N166" s="3549">
        <f>SUM(N156:P165)</f>
        <v>0</v>
      </c>
      <c r="O166" s="3928"/>
      <c r="P166" s="3928"/>
      <c r="Q166" s="3929">
        <f>SUM(Q156:S165)</f>
        <v>0</v>
      </c>
      <c r="R166" s="3928"/>
      <c r="S166" s="3928"/>
      <c r="T166" s="3549">
        <f>SUM(T156:V165)</f>
        <v>0</v>
      </c>
      <c r="U166" s="3928"/>
      <c r="V166" s="3928"/>
      <c r="W166" s="3946">
        <f>'REHAB FINANCING SETUP'!BT89</f>
        <v>0</v>
      </c>
      <c r="X166" s="3946"/>
    </row>
    <row r="167" spans="8:24" s="2" customFormat="1" ht="25" customHeight="1">
      <c r="H167" s="941"/>
      <c r="I167" s="941"/>
      <c r="J167" s="941"/>
      <c r="K167" s="941"/>
      <c r="L167" s="941"/>
      <c r="M167" s="941"/>
      <c r="N167" s="941"/>
      <c r="O167" s="941"/>
      <c r="P167" s="941"/>
      <c r="Q167" s="941"/>
      <c r="R167" s="941"/>
      <c r="S167" s="941"/>
      <c r="T167" s="941"/>
      <c r="U167" s="941"/>
      <c r="V167" s="941"/>
      <c r="W167" s="941"/>
      <c r="X167" s="941"/>
    </row>
    <row r="168" spans="8:24" s="2" customFormat="1" ht="25" customHeight="1">
      <c r="H168" s="941"/>
      <c r="I168" s="941"/>
      <c r="J168" s="941"/>
      <c r="K168" s="941"/>
      <c r="L168" s="941"/>
      <c r="M168" s="941"/>
      <c r="N168" s="941"/>
      <c r="O168" s="3933" t="s">
        <v>1849</v>
      </c>
      <c r="P168" s="3933"/>
      <c r="Q168" s="3933"/>
      <c r="R168" s="3933"/>
      <c r="S168" s="3933"/>
      <c r="T168" s="3932">
        <f>T166</f>
        <v>0</v>
      </c>
      <c r="U168" s="3932"/>
      <c r="V168" s="3932"/>
      <c r="W168" s="3941">
        <f>IFERROR(T168/$T$170,0)</f>
        <v>0</v>
      </c>
      <c r="X168" s="3942"/>
    </row>
    <row r="169" spans="8:24" s="2" customFormat="1" ht="25" customHeight="1" thickBot="1">
      <c r="H169" s="941"/>
      <c r="I169" s="941"/>
      <c r="J169" s="941"/>
      <c r="K169" s="941"/>
      <c r="L169" s="941"/>
      <c r="M169" s="941"/>
      <c r="N169" s="941"/>
      <c r="O169" s="3933" t="s">
        <v>1847</v>
      </c>
      <c r="P169" s="3933"/>
      <c r="Q169" s="3933"/>
      <c r="R169" s="3933"/>
      <c r="S169" s="3933"/>
      <c r="T169" s="3927">
        <f>T170-T168</f>
        <v>0</v>
      </c>
      <c r="U169" s="3927"/>
      <c r="V169" s="3927"/>
      <c r="W169" s="3943">
        <f>IFERROR(T169/$T$170,0)</f>
        <v>0</v>
      </c>
      <c r="X169" s="3944"/>
    </row>
    <row r="170" spans="8:24" s="2" customFormat="1" ht="25" customHeight="1" thickTop="1">
      <c r="H170" s="941"/>
      <c r="I170" s="941"/>
      <c r="J170" s="941"/>
      <c r="K170" s="941"/>
      <c r="L170" s="941"/>
      <c r="M170" s="941"/>
      <c r="N170" s="941"/>
      <c r="O170" s="3550" t="s">
        <v>1850</v>
      </c>
      <c r="P170" s="3550"/>
      <c r="Q170" s="3550"/>
      <c r="R170" s="3550"/>
      <c r="S170" s="3550"/>
      <c r="T170" s="3551">
        <f>O147</f>
        <v>0</v>
      </c>
      <c r="U170" s="3551"/>
      <c r="V170" s="3551"/>
      <c r="W170" s="3945">
        <f>IFERROR(T170/$T$170,0)</f>
        <v>0</v>
      </c>
      <c r="X170" s="3945"/>
    </row>
    <row r="171" spans="8:24" s="2" customFormat="1" ht="25" customHeight="1">
      <c r="H171" s="941"/>
      <c r="I171" s="941"/>
      <c r="J171" s="941"/>
      <c r="K171" s="941"/>
      <c r="L171" s="941"/>
      <c r="M171" s="941"/>
      <c r="N171" s="941"/>
      <c r="O171" s="941"/>
      <c r="P171" s="941"/>
      <c r="Q171" s="941"/>
      <c r="R171" s="941"/>
      <c r="S171" s="941"/>
      <c r="T171" s="941"/>
      <c r="U171" s="941"/>
      <c r="V171" s="941"/>
      <c r="W171" s="941"/>
      <c r="X171" s="941"/>
    </row>
    <row r="172" spans="8:24" s="2" customFormat="1" ht="25" customHeight="1">
      <c r="H172" s="941"/>
      <c r="I172" s="941"/>
      <c r="J172" s="941"/>
      <c r="K172" s="941"/>
      <c r="L172" s="941"/>
      <c r="M172" s="941"/>
      <c r="N172" s="941"/>
      <c r="O172" s="941"/>
      <c r="P172" s="941"/>
      <c r="Q172" s="941"/>
      <c r="R172" s="941"/>
      <c r="S172" s="941"/>
      <c r="T172" s="941"/>
      <c r="U172" s="941"/>
      <c r="V172" s="941"/>
      <c r="W172" s="941"/>
      <c r="X172" s="941"/>
    </row>
    <row r="173" spans="8:24" s="2" customFormat="1" ht="25" customHeight="1">
      <c r="H173" s="941"/>
      <c r="I173" s="941"/>
      <c r="J173" s="941"/>
      <c r="K173" s="941"/>
      <c r="L173" s="941"/>
      <c r="M173" s="941"/>
      <c r="N173" s="941"/>
      <c r="O173" s="941"/>
      <c r="P173" s="941"/>
      <c r="Q173" s="941"/>
      <c r="R173" s="941"/>
      <c r="S173" s="941"/>
      <c r="T173" s="941"/>
      <c r="U173" s="941"/>
      <c r="V173" s="941"/>
      <c r="W173" s="941"/>
      <c r="X173" s="941"/>
    </row>
    <row r="174" spans="8:24" s="2" customFormat="1" ht="25" customHeight="1">
      <c r="H174" s="941"/>
      <c r="I174" s="941"/>
      <c r="J174" s="941"/>
      <c r="K174" s="941"/>
      <c r="L174" s="941"/>
      <c r="M174" s="941"/>
      <c r="N174" s="941"/>
      <c r="O174" s="941"/>
      <c r="P174" s="941"/>
      <c r="Q174" s="941"/>
      <c r="R174" s="941"/>
      <c r="S174" s="941"/>
      <c r="T174" s="941"/>
      <c r="U174" s="941"/>
      <c r="V174" s="941"/>
      <c r="W174" s="941"/>
      <c r="X174" s="941"/>
    </row>
    <row r="175" spans="8:24" s="2" customFormat="1" ht="25" customHeight="1">
      <c r="H175" s="867"/>
      <c r="I175" s="867"/>
      <c r="J175" s="867"/>
      <c r="K175" s="867"/>
      <c r="L175" s="868"/>
      <c r="M175" s="868"/>
      <c r="N175" s="868"/>
      <c r="O175" s="869"/>
      <c r="P175" s="869"/>
      <c r="Q175" s="869"/>
      <c r="R175" s="869"/>
      <c r="S175" s="869"/>
      <c r="T175" s="869"/>
      <c r="U175" s="869"/>
      <c r="V175" s="869"/>
      <c r="W175" s="869"/>
      <c r="X175" s="869"/>
    </row>
    <row r="176" spans="8:24" s="2" customFormat="1" ht="25" customHeight="1">
      <c r="H176" s="867"/>
      <c r="I176" s="867"/>
      <c r="J176" s="867"/>
      <c r="K176" s="867"/>
      <c r="L176" s="868"/>
      <c r="M176" s="868"/>
      <c r="N176" s="868"/>
      <c r="O176" s="869"/>
      <c r="P176" s="869"/>
      <c r="Q176" s="869"/>
      <c r="R176" s="869"/>
      <c r="S176" s="869"/>
      <c r="T176" s="869"/>
      <c r="U176" s="869"/>
      <c r="V176" s="869"/>
      <c r="W176" s="869"/>
      <c r="X176" s="869"/>
    </row>
    <row r="177" spans="8:24" s="2" customFormat="1" ht="25" customHeight="1">
      <c r="H177" s="867"/>
      <c r="I177" s="867"/>
      <c r="J177" s="867"/>
      <c r="K177" s="867"/>
      <c r="L177" s="868"/>
      <c r="M177" s="868"/>
      <c r="N177" s="868"/>
      <c r="O177" s="869"/>
      <c r="P177" s="869"/>
      <c r="Q177" s="869"/>
      <c r="R177" s="869"/>
      <c r="S177" s="869"/>
      <c r="T177" s="869"/>
      <c r="U177" s="869"/>
      <c r="V177" s="869"/>
      <c r="W177" s="869"/>
      <c r="X177" s="869"/>
    </row>
    <row r="178" spans="8:24" s="2" customFormat="1" ht="25" customHeight="1">
      <c r="H178" s="867"/>
      <c r="I178" s="867"/>
      <c r="J178" s="867"/>
      <c r="K178" s="867"/>
      <c r="L178" s="868"/>
      <c r="M178" s="868"/>
      <c r="N178" s="868"/>
      <c r="O178" s="869"/>
      <c r="P178" s="869"/>
      <c r="Q178" s="869"/>
      <c r="R178" s="869"/>
      <c r="S178" s="869"/>
      <c r="T178" s="869"/>
      <c r="U178" s="869"/>
      <c r="V178" s="869"/>
      <c r="W178" s="869"/>
      <c r="X178" s="869"/>
    </row>
    <row r="179" spans="8:24" s="2" customFormat="1" ht="22.7" customHeight="1">
      <c r="H179" s="3544" t="str">
        <f>CONCATENATE("Report Prepared By: ",Investor_Name,"  |  ",Company_Name,"  |  ",Company_Email,"  |  ",Company_Website)</f>
        <v xml:space="preserve">Report Prepared By:   |    |    |  </v>
      </c>
      <c r="I179" s="3544"/>
      <c r="J179" s="3544"/>
      <c r="K179" s="3544"/>
      <c r="L179" s="3544"/>
      <c r="M179" s="3544"/>
      <c r="N179" s="3544"/>
      <c r="O179" s="3544"/>
      <c r="P179" s="3544"/>
      <c r="Q179" s="3544"/>
      <c r="R179" s="3544"/>
      <c r="S179" s="3544"/>
      <c r="T179" s="3544"/>
      <c r="U179" s="3544"/>
      <c r="V179" s="3544"/>
      <c r="W179" s="3561" t="str">
        <f>CONCATENATE("Page ",AK6," of ",$AG$3)</f>
        <v>Page 4 of 8</v>
      </c>
      <c r="X179" s="3561"/>
    </row>
    <row r="180" spans="8:24" s="2" customFormat="1" ht="25" customHeight="1">
      <c r="H180" s="3562" t="str">
        <f>CONCATENATE(Street_Address,", ",City_State_Zip)</f>
        <v>, 0</v>
      </c>
      <c r="I180" s="3562"/>
      <c r="J180" s="3562"/>
      <c r="K180" s="3562"/>
      <c r="L180" s="3562"/>
      <c r="M180" s="3562"/>
      <c r="N180" s="3562"/>
      <c r="O180" s="3562"/>
      <c r="P180" s="3562"/>
      <c r="Q180" s="3562"/>
      <c r="R180" s="3562"/>
      <c r="S180" s="3562"/>
      <c r="T180" s="3562"/>
      <c r="U180" s="3562"/>
      <c r="V180" s="3562"/>
      <c r="W180" s="3562"/>
      <c r="X180" s="3562"/>
    </row>
    <row r="181" spans="8:24" s="2" customFormat="1" ht="25" customHeight="1">
      <c r="H181" s="930"/>
      <c r="I181" s="930"/>
      <c r="J181" s="928"/>
      <c r="K181" s="928"/>
      <c r="L181" s="929"/>
      <c r="M181" s="929"/>
      <c r="N181" s="929"/>
      <c r="O181" s="929"/>
      <c r="P181" s="929"/>
      <c r="Q181" s="929"/>
      <c r="R181" s="929"/>
      <c r="S181" s="929"/>
      <c r="T181" s="929"/>
      <c r="U181" s="929"/>
      <c r="V181" s="929"/>
      <c r="W181" s="929"/>
      <c r="X181" s="929"/>
    </row>
    <row r="182" spans="8:24" s="2" customFormat="1" ht="25" customHeight="1">
      <c r="H182" s="866" t="s">
        <v>1557</v>
      </c>
      <c r="I182" s="930"/>
      <c r="J182" s="928"/>
      <c r="K182" s="928"/>
      <c r="L182" s="929"/>
      <c r="M182" s="929"/>
      <c r="N182" s="929"/>
      <c r="O182" s="929"/>
      <c r="P182" s="929"/>
      <c r="Q182" s="929"/>
      <c r="R182" s="929"/>
      <c r="S182" s="929"/>
      <c r="T182" s="929"/>
      <c r="U182" s="929"/>
      <c r="V182" s="929"/>
      <c r="W182" s="929"/>
      <c r="X182" s="929"/>
    </row>
    <row r="183" spans="8:24" s="2" customFormat="1" ht="25" customHeight="1">
      <c r="H183" s="930"/>
      <c r="I183" s="930"/>
      <c r="J183" s="928"/>
      <c r="K183" s="928"/>
      <c r="L183" s="929"/>
      <c r="M183" s="929"/>
      <c r="N183" s="929"/>
      <c r="O183" s="929"/>
      <c r="P183" s="929"/>
      <c r="Q183" s="932"/>
      <c r="R183" s="932"/>
      <c r="S183" s="929"/>
      <c r="T183" s="929"/>
      <c r="U183" s="929"/>
      <c r="V183" s="929"/>
      <c r="W183" s="929"/>
      <c r="X183" s="929"/>
    </row>
    <row r="184" spans="8:24" s="2" customFormat="1" ht="25" customHeight="1">
      <c r="H184" s="3645" t="s">
        <v>1184</v>
      </c>
      <c r="I184" s="3646"/>
      <c r="J184" s="3646"/>
      <c r="K184" s="3646"/>
      <c r="L184" s="3646"/>
      <c r="M184" s="3646"/>
      <c r="N184" s="3646"/>
      <c r="O184" s="3646"/>
      <c r="P184" s="3646"/>
      <c r="Q184" s="3646"/>
      <c r="R184" s="3646"/>
      <c r="S184" s="3646"/>
      <c r="T184" s="3646"/>
      <c r="U184" s="3646"/>
      <c r="V184" s="3646"/>
      <c r="W184" s="3646"/>
      <c r="X184" s="3647"/>
    </row>
    <row r="185" spans="8:24" s="2" customFormat="1" ht="25" customHeight="1">
      <c r="H185" s="3637" t="s">
        <v>1258</v>
      </c>
      <c r="I185" s="3638"/>
      <c r="J185" s="3638"/>
      <c r="K185" s="3639" t="s">
        <v>1673</v>
      </c>
      <c r="L185" s="3639"/>
      <c r="M185" s="3639" t="s">
        <v>1263</v>
      </c>
      <c r="N185" s="3639"/>
      <c r="O185" s="3639"/>
      <c r="P185" s="3639"/>
      <c r="Q185" s="3639" t="s">
        <v>1264</v>
      </c>
      <c r="R185" s="3639"/>
      <c r="S185" s="3639"/>
      <c r="T185" s="3639"/>
      <c r="U185" s="3639" t="s">
        <v>1265</v>
      </c>
      <c r="V185" s="3639"/>
      <c r="W185" s="3639"/>
      <c r="X185" s="3648"/>
    </row>
    <row r="186" spans="8:24" s="2" customFormat="1" ht="25" customHeight="1">
      <c r="H186" s="3568" t="s">
        <v>609</v>
      </c>
      <c r="I186" s="3569"/>
      <c r="J186" s="3569"/>
      <c r="K186" s="3934" t="str">
        <f>CONCATENATE(COMPS!W6," ,",COMPS!W7)</f>
        <v xml:space="preserve"> ,</v>
      </c>
      <c r="L186" s="3934"/>
      <c r="M186" s="3898" t="str">
        <f>CONCATENATE(COMPS!AJ6," ,",COMPS!AJ7)</f>
        <v xml:space="preserve"> ,</v>
      </c>
      <c r="N186" s="3898"/>
      <c r="O186" s="3898"/>
      <c r="P186" s="3898"/>
      <c r="Q186" s="3898" t="str">
        <f>CONCATENATE(COMPS!AW6," ,",COMPS!AW7)</f>
        <v xml:space="preserve"> ,</v>
      </c>
      <c r="R186" s="3898"/>
      <c r="S186" s="3898"/>
      <c r="T186" s="3898"/>
      <c r="U186" s="3898" t="str">
        <f>CONCATENATE(COMPS!BJ6," ,",COMPS!BJ7)</f>
        <v xml:space="preserve"> ,</v>
      </c>
      <c r="V186" s="3898"/>
      <c r="W186" s="3898"/>
      <c r="X186" s="3936"/>
    </row>
    <row r="187" spans="8:24" s="2" customFormat="1" ht="25" customHeight="1">
      <c r="H187" s="3702"/>
      <c r="I187" s="3703"/>
      <c r="J187" s="3703"/>
      <c r="K187" s="3935"/>
      <c r="L187" s="3935"/>
      <c r="M187" s="3901"/>
      <c r="N187" s="3901"/>
      <c r="O187" s="3901"/>
      <c r="P187" s="3901"/>
      <c r="Q187" s="3901"/>
      <c r="R187" s="3901"/>
      <c r="S187" s="3901"/>
      <c r="T187" s="3901"/>
      <c r="U187" s="3901"/>
      <c r="V187" s="3901"/>
      <c r="W187" s="3901"/>
      <c r="X187" s="3937"/>
    </row>
    <row r="188" spans="8:24" s="2" customFormat="1" ht="25" customHeight="1">
      <c r="H188" s="3583" t="s">
        <v>1266</v>
      </c>
      <c r="I188" s="3584"/>
      <c r="J188" s="3584"/>
      <c r="K188" s="3907" t="str">
        <f>T(COMPS!W8)</f>
        <v/>
      </c>
      <c r="L188" s="3907"/>
      <c r="M188" s="3585" t="str">
        <f>T(COMPS!AJ8)</f>
        <v/>
      </c>
      <c r="N188" s="3585"/>
      <c r="O188" s="3585"/>
      <c r="P188" s="3585"/>
      <c r="Q188" s="3585" t="str">
        <f>T(COMPS!AW8)</f>
        <v/>
      </c>
      <c r="R188" s="3585"/>
      <c r="S188" s="3585"/>
      <c r="T188" s="3585"/>
      <c r="U188" s="3585" t="str">
        <f>T(COMPS!BJ8)</f>
        <v/>
      </c>
      <c r="V188" s="3585"/>
      <c r="W188" s="3585"/>
      <c r="X188" s="3673"/>
    </row>
    <row r="189" spans="8:24" s="2" customFormat="1" ht="25" customHeight="1">
      <c r="H189" s="3583" t="s">
        <v>1674</v>
      </c>
      <c r="I189" s="3584"/>
      <c r="J189" s="3584"/>
      <c r="K189" s="3907" t="str">
        <f>T(COMPS!W9)</f>
        <v/>
      </c>
      <c r="L189" s="3907"/>
      <c r="M189" s="3585" t="str">
        <f>T(COMPS!AJ9)</f>
        <v/>
      </c>
      <c r="N189" s="3585"/>
      <c r="O189" s="3585"/>
      <c r="P189" s="3585"/>
      <c r="Q189" s="3585" t="str">
        <f>T(COMPS!AW9)</f>
        <v/>
      </c>
      <c r="R189" s="3585"/>
      <c r="S189" s="3585"/>
      <c r="T189" s="3585"/>
      <c r="U189" s="3585" t="str">
        <f>T(COMPS!BJ9)</f>
        <v/>
      </c>
      <c r="V189" s="3585"/>
      <c r="W189" s="3585"/>
      <c r="X189" s="3673"/>
    </row>
    <row r="190" spans="8:24" s="2" customFormat="1" ht="25" customHeight="1">
      <c r="H190" s="3583" t="s">
        <v>1269</v>
      </c>
      <c r="I190" s="3584"/>
      <c r="J190" s="3584"/>
      <c r="K190" s="3905">
        <f>(COMPS!W10)</f>
        <v>0</v>
      </c>
      <c r="L190" s="3905"/>
      <c r="M190" s="3628">
        <f>(COMPS!AJ10)</f>
        <v>0</v>
      </c>
      <c r="N190" s="3628"/>
      <c r="O190" s="3628"/>
      <c r="P190" s="3628"/>
      <c r="Q190" s="3628">
        <f>(COMPS!AW10)</f>
        <v>0</v>
      </c>
      <c r="R190" s="3628"/>
      <c r="S190" s="3628"/>
      <c r="T190" s="3628"/>
      <c r="U190" s="3628">
        <f>(COMPS!BJ10)</f>
        <v>0</v>
      </c>
      <c r="V190" s="3628"/>
      <c r="W190" s="3628"/>
      <c r="X190" s="3629"/>
    </row>
    <row r="191" spans="8:24" s="2" customFormat="1" ht="25" customHeight="1">
      <c r="H191" s="3583" t="s">
        <v>1271</v>
      </c>
      <c r="I191" s="3584"/>
      <c r="J191" s="3584"/>
      <c r="K191" s="3906">
        <f>(COMPS!W11)</f>
        <v>0</v>
      </c>
      <c r="L191" s="3906"/>
      <c r="M191" s="3630" t="str">
        <f>T(COMPS!AJ11)</f>
        <v/>
      </c>
      <c r="N191" s="3630"/>
      <c r="O191" s="3630"/>
      <c r="P191" s="3630"/>
      <c r="Q191" s="3630" t="str">
        <f>T(COMPS!AW11)</f>
        <v/>
      </c>
      <c r="R191" s="3630"/>
      <c r="S191" s="3630"/>
      <c r="T191" s="3630"/>
      <c r="U191" s="3630" t="str">
        <f>T(COMPS!BJ11)</f>
        <v/>
      </c>
      <c r="V191" s="3630"/>
      <c r="W191" s="3630"/>
      <c r="X191" s="3631"/>
    </row>
    <row r="192" spans="8:24" s="2" customFormat="1" ht="25" customHeight="1">
      <c r="H192" s="3583" t="s">
        <v>1270</v>
      </c>
      <c r="I192" s="3584"/>
      <c r="J192" s="3584"/>
      <c r="K192" s="3903">
        <f>(COMPS!W12)</f>
        <v>0</v>
      </c>
      <c r="L192" s="3903"/>
      <c r="M192" s="3671" t="str">
        <f>T(COMPS!AJ12)</f>
        <v/>
      </c>
      <c r="N192" s="3671"/>
      <c r="O192" s="3671"/>
      <c r="P192" s="3671"/>
      <c r="Q192" s="3671" t="str">
        <f>T(COMPS!AW12)</f>
        <v/>
      </c>
      <c r="R192" s="3671"/>
      <c r="S192" s="3671"/>
      <c r="T192" s="3671"/>
      <c r="U192" s="3671" t="str">
        <f>T(COMPS!BJ12)</f>
        <v/>
      </c>
      <c r="V192" s="3671"/>
      <c r="W192" s="3671"/>
      <c r="X192" s="3672"/>
    </row>
    <row r="193" spans="8:24" s="2" customFormat="1" ht="25" customHeight="1">
      <c r="H193" s="3583" t="s">
        <v>1268</v>
      </c>
      <c r="I193" s="3584"/>
      <c r="J193" s="3584"/>
      <c r="K193" s="3904">
        <f>(COMPS!W13)</f>
        <v>0</v>
      </c>
      <c r="L193" s="3904"/>
      <c r="M193" s="3632" t="str">
        <f>T(COMPS!AJ13)</f>
        <v/>
      </c>
      <c r="N193" s="3632"/>
      <c r="O193" s="3632"/>
      <c r="P193" s="3632"/>
      <c r="Q193" s="3632" t="str">
        <f>T(COMPS!AW13)</f>
        <v/>
      </c>
      <c r="R193" s="3632"/>
      <c r="S193" s="3632"/>
      <c r="T193" s="3632"/>
      <c r="U193" s="3632" t="str">
        <f>T(COMPS!BJ13)</f>
        <v/>
      </c>
      <c r="V193" s="3632"/>
      <c r="W193" s="3632"/>
      <c r="X193" s="3633"/>
    </row>
    <row r="194" spans="8:24" s="2" customFormat="1" ht="25" customHeight="1">
      <c r="H194" s="3634" t="s">
        <v>1346</v>
      </c>
      <c r="I194" s="3635"/>
      <c r="J194" s="3635"/>
      <c r="K194" s="3635"/>
      <c r="L194" s="3635"/>
      <c r="M194" s="3635"/>
      <c r="N194" s="3635"/>
      <c r="O194" s="3635"/>
      <c r="P194" s="3635"/>
      <c r="Q194" s="3635"/>
      <c r="R194" s="3635"/>
      <c r="S194" s="3635"/>
      <c r="T194" s="3635"/>
      <c r="U194" s="3635"/>
      <c r="V194" s="3635"/>
      <c r="W194" s="3635"/>
      <c r="X194" s="3636"/>
    </row>
    <row r="195" spans="8:24" s="2" customFormat="1" ht="25" customHeight="1">
      <c r="H195" s="3637" t="s">
        <v>1258</v>
      </c>
      <c r="I195" s="3638"/>
      <c r="J195" s="3638"/>
      <c r="K195" s="3639" t="s">
        <v>1673</v>
      </c>
      <c r="L195" s="3639"/>
      <c r="M195" s="3639" t="s">
        <v>1263</v>
      </c>
      <c r="N195" s="3639"/>
      <c r="O195" s="3639"/>
      <c r="P195" s="935" t="s">
        <v>1349</v>
      </c>
      <c r="Q195" s="3638" t="s">
        <v>1264</v>
      </c>
      <c r="R195" s="3638"/>
      <c r="S195" s="3638"/>
      <c r="T195" s="935" t="s">
        <v>1349</v>
      </c>
      <c r="U195" s="3638" t="s">
        <v>1265</v>
      </c>
      <c r="V195" s="3638"/>
      <c r="W195" s="3638"/>
      <c r="X195" s="1461" t="s">
        <v>1349</v>
      </c>
    </row>
    <row r="196" spans="8:24" s="2" customFormat="1" ht="25" customHeight="1">
      <c r="H196" s="3583" t="s">
        <v>984</v>
      </c>
      <c r="I196" s="3584"/>
      <c r="J196" s="3584"/>
      <c r="K196" s="3607">
        <f>COMPS!W16</f>
        <v>0</v>
      </c>
      <c r="L196" s="3609"/>
      <c r="M196" s="3607">
        <f>COMPS!AJ16</f>
        <v>0</v>
      </c>
      <c r="N196" s="3608"/>
      <c r="O196" s="3609"/>
      <c r="P196" s="1430">
        <f>COMPS!AR16</f>
        <v>0</v>
      </c>
      <c r="Q196" s="3613">
        <f>COMPS!AW16</f>
        <v>0</v>
      </c>
      <c r="R196" s="3613"/>
      <c r="S196" s="3613"/>
      <c r="T196" s="1430">
        <f>COMPS!BE16</f>
        <v>0</v>
      </c>
      <c r="U196" s="3607">
        <f>COMPS!BJ16</f>
        <v>0</v>
      </c>
      <c r="V196" s="3608"/>
      <c r="W196" s="3609"/>
      <c r="X196" s="1462">
        <f>COMPS!BR16</f>
        <v>0</v>
      </c>
    </row>
    <row r="197" spans="8:24" s="2" customFormat="1" ht="25" customHeight="1">
      <c r="H197" s="3583" t="s">
        <v>985</v>
      </c>
      <c r="I197" s="3584"/>
      <c r="J197" s="3584"/>
      <c r="K197" s="3585">
        <f>COMPS!W17</f>
        <v>0</v>
      </c>
      <c r="L197" s="3585"/>
      <c r="M197" s="3610">
        <f>COMPS!AJ17</f>
        <v>0</v>
      </c>
      <c r="N197" s="3611"/>
      <c r="O197" s="3612"/>
      <c r="P197" s="1430">
        <f>COMPS!AR17</f>
        <v>0</v>
      </c>
      <c r="Q197" s="3614">
        <f>COMPS!AW17</f>
        <v>0</v>
      </c>
      <c r="R197" s="3614"/>
      <c r="S197" s="3614"/>
      <c r="T197" s="1430">
        <f>COMPS!BE17</f>
        <v>0</v>
      </c>
      <c r="U197" s="3610">
        <f>COMPS!BJ17</f>
        <v>0</v>
      </c>
      <c r="V197" s="3611"/>
      <c r="W197" s="3612"/>
      <c r="X197" s="1462">
        <f>COMPS!BR17</f>
        <v>0</v>
      </c>
    </row>
    <row r="198" spans="8:24" s="2" customFormat="1" ht="25" customHeight="1">
      <c r="H198" s="3583" t="s">
        <v>1277</v>
      </c>
      <c r="I198" s="3584"/>
      <c r="J198" s="3584"/>
      <c r="K198" s="3585">
        <f>COMPS!W18</f>
        <v>0</v>
      </c>
      <c r="L198" s="3585"/>
      <c r="M198" s="3622">
        <f>COMPS!AJ18</f>
        <v>0</v>
      </c>
      <c r="N198" s="3623"/>
      <c r="O198" s="3624"/>
      <c r="P198" s="1430">
        <f>COMPS!AR18</f>
        <v>0</v>
      </c>
      <c r="Q198" s="3615">
        <f>COMPS!AW18</f>
        <v>0</v>
      </c>
      <c r="R198" s="3615"/>
      <c r="S198" s="3615"/>
      <c r="T198" s="1430">
        <f>COMPS!BE18</f>
        <v>0</v>
      </c>
      <c r="U198" s="3622">
        <f>COMPS!BJ18</f>
        <v>0</v>
      </c>
      <c r="V198" s="3623"/>
      <c r="W198" s="3624"/>
      <c r="X198" s="1462">
        <f>COMPS!BR18</f>
        <v>0</v>
      </c>
    </row>
    <row r="199" spans="8:24" s="2" customFormat="1" ht="25" customHeight="1">
      <c r="H199" s="3583" t="s">
        <v>1260</v>
      </c>
      <c r="I199" s="3584"/>
      <c r="J199" s="3584"/>
      <c r="K199" s="3585">
        <f>COMPS!W19</f>
        <v>0</v>
      </c>
      <c r="L199" s="3585"/>
      <c r="M199" s="3625">
        <f>COMPS!AJ19</f>
        <v>0</v>
      </c>
      <c r="N199" s="3626"/>
      <c r="O199" s="3627"/>
      <c r="P199" s="1430">
        <f>COMPS!AR19</f>
        <v>0</v>
      </c>
      <c r="Q199" s="3616">
        <f>COMPS!AW19</f>
        <v>0</v>
      </c>
      <c r="R199" s="3616"/>
      <c r="S199" s="3616"/>
      <c r="T199" s="1430">
        <f>COMPS!BE19</f>
        <v>0</v>
      </c>
      <c r="U199" s="3625">
        <f>COMPS!BJ19</f>
        <v>0</v>
      </c>
      <c r="V199" s="3626"/>
      <c r="W199" s="3627"/>
      <c r="X199" s="1462">
        <f>COMPS!BR19</f>
        <v>0</v>
      </c>
    </row>
    <row r="200" spans="8:24" s="2" customFormat="1" ht="25" customHeight="1">
      <c r="H200" s="3583" t="s">
        <v>1276</v>
      </c>
      <c r="I200" s="3584"/>
      <c r="J200" s="3584"/>
      <c r="K200" s="3585">
        <f>COMPS!W20</f>
        <v>0</v>
      </c>
      <c r="L200" s="3585"/>
      <c r="M200" s="3619">
        <f>COMPS!AJ20</f>
        <v>0</v>
      </c>
      <c r="N200" s="3620"/>
      <c r="O200" s="3621"/>
      <c r="P200" s="1430">
        <f>COMPS!AR20</f>
        <v>0</v>
      </c>
      <c r="Q200" s="3617">
        <f>COMPS!AW20</f>
        <v>0</v>
      </c>
      <c r="R200" s="3617"/>
      <c r="S200" s="3617"/>
      <c r="T200" s="1430">
        <f>COMPS!BE20</f>
        <v>0</v>
      </c>
      <c r="U200" s="3619">
        <f>COMPS!BJ20</f>
        <v>0</v>
      </c>
      <c r="V200" s="3620"/>
      <c r="W200" s="3621"/>
      <c r="X200" s="1462">
        <f>COMPS!BR20</f>
        <v>0</v>
      </c>
    </row>
    <row r="201" spans="8:24" s="2" customFormat="1" ht="25" customHeight="1">
      <c r="H201" s="3583" t="s">
        <v>1675</v>
      </c>
      <c r="I201" s="3584"/>
      <c r="J201" s="3584"/>
      <c r="K201" s="3585">
        <f>COMPS!W21</f>
        <v>0</v>
      </c>
      <c r="L201" s="3585"/>
      <c r="M201" s="3586">
        <f>COMPS!AJ21</f>
        <v>0</v>
      </c>
      <c r="N201" s="3587"/>
      <c r="O201" s="3588"/>
      <c r="P201" s="1430">
        <f>COMPS!AR21</f>
        <v>0</v>
      </c>
      <c r="Q201" s="3618">
        <f>COMPS!AW21</f>
        <v>0</v>
      </c>
      <c r="R201" s="3618"/>
      <c r="S201" s="3618"/>
      <c r="T201" s="1430">
        <f>COMPS!BE21</f>
        <v>0</v>
      </c>
      <c r="U201" s="3586">
        <f>COMPS!BJ21</f>
        <v>0</v>
      </c>
      <c r="V201" s="3587"/>
      <c r="W201" s="3588"/>
      <c r="X201" s="1462">
        <f>COMPS!BR21</f>
        <v>0</v>
      </c>
    </row>
    <row r="202" spans="8:24" s="2" customFormat="1" ht="25" customHeight="1">
      <c r="H202" s="3583" t="s">
        <v>1278</v>
      </c>
      <c r="I202" s="3584"/>
      <c r="J202" s="3584"/>
      <c r="K202" s="3585">
        <f>COMPS!W22</f>
        <v>0</v>
      </c>
      <c r="L202" s="3585"/>
      <c r="M202" s="3586">
        <f>COMPS!AJ22</f>
        <v>0</v>
      </c>
      <c r="N202" s="3587"/>
      <c r="O202" s="3588"/>
      <c r="P202" s="1430">
        <f>COMPS!AR22</f>
        <v>0</v>
      </c>
      <c r="Q202" s="3618">
        <f>COMPS!AW22</f>
        <v>0</v>
      </c>
      <c r="R202" s="3618"/>
      <c r="S202" s="3618"/>
      <c r="T202" s="1430">
        <f>COMPS!BE22</f>
        <v>0</v>
      </c>
      <c r="U202" s="3586">
        <f>COMPS!BJ22</f>
        <v>0</v>
      </c>
      <c r="V202" s="3587"/>
      <c r="W202" s="3588"/>
      <c r="X202" s="1462">
        <f>COMPS!BR22</f>
        <v>0</v>
      </c>
    </row>
    <row r="203" spans="8:24" s="2" customFormat="1" ht="25" customHeight="1">
      <c r="H203" s="3583" t="s">
        <v>1279</v>
      </c>
      <c r="I203" s="3584"/>
      <c r="J203" s="3584"/>
      <c r="K203" s="3585">
        <f>COMPS!W23</f>
        <v>0</v>
      </c>
      <c r="L203" s="3585"/>
      <c r="M203" s="3586">
        <f>COMPS!AJ23</f>
        <v>0</v>
      </c>
      <c r="N203" s="3587"/>
      <c r="O203" s="3588"/>
      <c r="P203" s="1430">
        <f>COMPS!AR23</f>
        <v>0</v>
      </c>
      <c r="Q203" s="3618">
        <f>COMPS!AW23</f>
        <v>0</v>
      </c>
      <c r="R203" s="3618"/>
      <c r="S203" s="3618"/>
      <c r="T203" s="1430">
        <f>COMPS!BE23</f>
        <v>0</v>
      </c>
      <c r="U203" s="3586">
        <f>COMPS!BJ23</f>
        <v>0</v>
      </c>
      <c r="V203" s="3587"/>
      <c r="W203" s="3588"/>
      <c r="X203" s="1462">
        <f>COMPS!BR23</f>
        <v>0</v>
      </c>
    </row>
    <row r="204" spans="8:24" s="2" customFormat="1" ht="25" customHeight="1">
      <c r="H204" s="3583" t="s">
        <v>1280</v>
      </c>
      <c r="I204" s="3584"/>
      <c r="J204" s="3584"/>
      <c r="K204" s="3585">
        <f>COMPS!W24</f>
        <v>0</v>
      </c>
      <c r="L204" s="3585"/>
      <c r="M204" s="3586">
        <f>COMPS!AJ24</f>
        <v>0</v>
      </c>
      <c r="N204" s="3587"/>
      <c r="O204" s="3588"/>
      <c r="P204" s="1430">
        <f>COMPS!AR24</f>
        <v>0</v>
      </c>
      <c r="Q204" s="3618">
        <f>COMPS!AW24</f>
        <v>0</v>
      </c>
      <c r="R204" s="3618"/>
      <c r="S204" s="3618"/>
      <c r="T204" s="1430">
        <f>COMPS!BE24</f>
        <v>0</v>
      </c>
      <c r="U204" s="3586">
        <f>COMPS!BJ24</f>
        <v>0</v>
      </c>
      <c r="V204" s="3587"/>
      <c r="W204" s="3588"/>
      <c r="X204" s="1462">
        <f>COMPS!BR24</f>
        <v>0</v>
      </c>
    </row>
    <row r="205" spans="8:24" s="2" customFormat="1" ht="25" customHeight="1">
      <c r="H205" s="3568" t="s">
        <v>1676</v>
      </c>
      <c r="I205" s="3569"/>
      <c r="J205" s="3569"/>
      <c r="K205" s="3899" t="str">
        <f>T(COMPS!W25)</f>
        <v/>
      </c>
      <c r="L205" s="3899"/>
      <c r="M205" s="3899" t="str">
        <f>T(COMPS!AJ25)</f>
        <v/>
      </c>
      <c r="N205" s="3899"/>
      <c r="O205" s="3899"/>
      <c r="P205" s="3579">
        <v>0</v>
      </c>
      <c r="Q205" s="3902" t="str">
        <f>T(COMPS!AW25)</f>
        <v/>
      </c>
      <c r="R205" s="3902"/>
      <c r="S205" s="3902"/>
      <c r="T205" s="3579">
        <f>COMPS!BE25</f>
        <v>0</v>
      </c>
      <c r="U205" s="3899" t="str">
        <f>T(COMPS!BJ25)</f>
        <v/>
      </c>
      <c r="V205" s="3899"/>
      <c r="W205" s="3899"/>
      <c r="X205" s="3641">
        <f>COMPS!BR25</f>
        <v>0</v>
      </c>
    </row>
    <row r="206" spans="8:24" s="2" customFormat="1" ht="25" customHeight="1">
      <c r="H206" s="3570"/>
      <c r="I206" s="3571"/>
      <c r="J206" s="3571"/>
      <c r="K206" s="3899">
        <f>COMPS!W26</f>
        <v>0</v>
      </c>
      <c r="L206" s="3899"/>
      <c r="M206" s="3899">
        <f>COMPS!AJ26</f>
        <v>0</v>
      </c>
      <c r="N206" s="3899"/>
      <c r="O206" s="3899"/>
      <c r="P206" s="3580">
        <f>COMPS!AR26</f>
        <v>0</v>
      </c>
      <c r="Q206" s="3899"/>
      <c r="R206" s="3899"/>
      <c r="S206" s="3899"/>
      <c r="T206" s="3580">
        <f>COMPS!BE26</f>
        <v>0</v>
      </c>
      <c r="U206" s="3899">
        <f>COMPS!BJ26</f>
        <v>0</v>
      </c>
      <c r="V206" s="3899"/>
      <c r="W206" s="3899"/>
      <c r="X206" s="3642">
        <f>COMPS!BR26</f>
        <v>0</v>
      </c>
    </row>
    <row r="207" spans="8:24" s="2" customFormat="1" ht="25" customHeight="1">
      <c r="H207" s="3570"/>
      <c r="I207" s="3571"/>
      <c r="J207" s="3571"/>
      <c r="K207" s="3899">
        <f>COMPS!W27</f>
        <v>0</v>
      </c>
      <c r="L207" s="3899"/>
      <c r="M207" s="3899">
        <f>COMPS!AJ27</f>
        <v>0</v>
      </c>
      <c r="N207" s="3899"/>
      <c r="O207" s="3899"/>
      <c r="P207" s="3580">
        <f>COMPS!AR27</f>
        <v>0</v>
      </c>
      <c r="Q207" s="3899"/>
      <c r="R207" s="3899"/>
      <c r="S207" s="3899"/>
      <c r="T207" s="3580">
        <f>COMPS!BE27</f>
        <v>0</v>
      </c>
      <c r="U207" s="3899">
        <f>COMPS!BJ27</f>
        <v>0</v>
      </c>
      <c r="V207" s="3899"/>
      <c r="W207" s="3899"/>
      <c r="X207" s="3642">
        <f>COMPS!BR27</f>
        <v>0</v>
      </c>
    </row>
    <row r="208" spans="8:24" s="2" customFormat="1" ht="25" customHeight="1">
      <c r="H208" s="3570"/>
      <c r="I208" s="3571"/>
      <c r="J208" s="3571"/>
      <c r="K208" s="3901">
        <f>COMPS!W28</f>
        <v>0</v>
      </c>
      <c r="L208" s="3901"/>
      <c r="M208" s="3901">
        <f>COMPS!AJ28</f>
        <v>0</v>
      </c>
      <c r="N208" s="3901"/>
      <c r="O208" s="3901"/>
      <c r="P208" s="3582">
        <f>COMPS!AR28</f>
        <v>0</v>
      </c>
      <c r="Q208" s="3901"/>
      <c r="R208" s="3901"/>
      <c r="S208" s="3901"/>
      <c r="T208" s="3582">
        <f>COMPS!BE28</f>
        <v>0</v>
      </c>
      <c r="U208" s="3901">
        <f>COMPS!BJ28</f>
        <v>0</v>
      </c>
      <c r="V208" s="3901"/>
      <c r="W208" s="3901"/>
      <c r="X208" s="3643">
        <f>COMPS!BR28</f>
        <v>0</v>
      </c>
    </row>
    <row r="209" spans="8:24" s="2" customFormat="1" ht="25" customHeight="1">
      <c r="H209" s="3568" t="s">
        <v>150</v>
      </c>
      <c r="I209" s="3569"/>
      <c r="J209" s="3569"/>
      <c r="K209" s="3897" t="str">
        <f>T(COMPS!W26)</f>
        <v/>
      </c>
      <c r="L209" s="3898"/>
      <c r="M209" s="3897" t="str">
        <f>T(COMPS!AJ26)</f>
        <v/>
      </c>
      <c r="N209" s="3898"/>
      <c r="O209" s="3898"/>
      <c r="P209" s="3579">
        <f>COMPS!AR29</f>
        <v>0</v>
      </c>
      <c r="Q209" s="3898" t="str">
        <f>T(COMPS!AW26)</f>
        <v/>
      </c>
      <c r="R209" s="3898"/>
      <c r="S209" s="3898"/>
      <c r="T209" s="3579">
        <f>COMPS!BE29</f>
        <v>0</v>
      </c>
      <c r="U209" s="3898" t="str">
        <f>T(COMPS!BJ26)</f>
        <v/>
      </c>
      <c r="V209" s="3898"/>
      <c r="W209" s="3898"/>
      <c r="X209" s="3641">
        <f>COMPS!BR29</f>
        <v>0</v>
      </c>
    </row>
    <row r="210" spans="8:24" s="2" customFormat="1" ht="25" customHeight="1">
      <c r="H210" s="3570"/>
      <c r="I210" s="3571"/>
      <c r="J210" s="3571"/>
      <c r="K210" s="3899"/>
      <c r="L210" s="3899"/>
      <c r="M210" s="3899"/>
      <c r="N210" s="3899"/>
      <c r="O210" s="3899"/>
      <c r="P210" s="3580">
        <f>COMPS!AR30</f>
        <v>0</v>
      </c>
      <c r="Q210" s="3899"/>
      <c r="R210" s="3899"/>
      <c r="S210" s="3899"/>
      <c r="T210" s="3580">
        <f>COMPS!BE30</f>
        <v>0</v>
      </c>
      <c r="U210" s="3899"/>
      <c r="V210" s="3899"/>
      <c r="W210" s="3899"/>
      <c r="X210" s="3642">
        <f>COMPS!BR30</f>
        <v>0</v>
      </c>
    </row>
    <row r="211" spans="8:24" s="2" customFormat="1" ht="25" customHeight="1">
      <c r="H211" s="3570"/>
      <c r="I211" s="3571"/>
      <c r="J211" s="3571"/>
      <c r="K211" s="3899"/>
      <c r="L211" s="3899"/>
      <c r="M211" s="3899"/>
      <c r="N211" s="3899"/>
      <c r="O211" s="3899"/>
      <c r="P211" s="3580">
        <f>COMPS!AR31</f>
        <v>0</v>
      </c>
      <c r="Q211" s="3899"/>
      <c r="R211" s="3899"/>
      <c r="S211" s="3899"/>
      <c r="T211" s="3580">
        <f>COMPS!BE31</f>
        <v>0</v>
      </c>
      <c r="U211" s="3899"/>
      <c r="V211" s="3899"/>
      <c r="W211" s="3899"/>
      <c r="X211" s="3642">
        <f>COMPS!BR31</f>
        <v>0</v>
      </c>
    </row>
    <row r="212" spans="8:24" s="2" customFormat="1" ht="25" customHeight="1">
      <c r="H212" s="3570"/>
      <c r="I212" s="3571"/>
      <c r="J212" s="3571"/>
      <c r="K212" s="3899"/>
      <c r="L212" s="3899"/>
      <c r="M212" s="3899"/>
      <c r="N212" s="3899"/>
      <c r="O212" s="3899"/>
      <c r="P212" s="3580">
        <f>COMPS!AR32</f>
        <v>0</v>
      </c>
      <c r="Q212" s="3899"/>
      <c r="R212" s="3899"/>
      <c r="S212" s="3899"/>
      <c r="T212" s="3580">
        <f>COMPS!BE32</f>
        <v>0</v>
      </c>
      <c r="U212" s="3899"/>
      <c r="V212" s="3899"/>
      <c r="W212" s="3899"/>
      <c r="X212" s="3642">
        <f>COMPS!BR32</f>
        <v>0</v>
      </c>
    </row>
    <row r="213" spans="8:24" s="2" customFormat="1" ht="25" customHeight="1" thickBot="1">
      <c r="H213" s="3572"/>
      <c r="I213" s="3573"/>
      <c r="J213" s="3573"/>
      <c r="K213" s="3900"/>
      <c r="L213" s="3900"/>
      <c r="M213" s="3900"/>
      <c r="N213" s="3900"/>
      <c r="O213" s="3900"/>
      <c r="P213" s="3581">
        <f>COMPS!AR33</f>
        <v>0</v>
      </c>
      <c r="Q213" s="3900"/>
      <c r="R213" s="3900"/>
      <c r="S213" s="3900"/>
      <c r="T213" s="3581">
        <f>COMPS!BE33</f>
        <v>0</v>
      </c>
      <c r="U213" s="3900"/>
      <c r="V213" s="3900"/>
      <c r="W213" s="3900"/>
      <c r="X213" s="3644">
        <f>COMPS!BR33</f>
        <v>0</v>
      </c>
    </row>
    <row r="214" spans="8:24" s="2" customFormat="1" ht="25" customHeight="1" thickTop="1">
      <c r="H214" s="3674" t="s">
        <v>1677</v>
      </c>
      <c r="I214" s="3675"/>
      <c r="J214" s="3675"/>
      <c r="K214" s="3675"/>
      <c r="L214" s="3675"/>
      <c r="M214" s="3681">
        <f>COMPS!AJ33</f>
        <v>0</v>
      </c>
      <c r="N214" s="3681"/>
      <c r="O214" s="3681"/>
      <c r="P214" s="3681"/>
      <c r="Q214" s="3681">
        <f>COMPS!AW33</f>
        <v>0</v>
      </c>
      <c r="R214" s="3681"/>
      <c r="S214" s="3681"/>
      <c r="T214" s="3681"/>
      <c r="U214" s="3681">
        <f>COMPS!BJ33</f>
        <v>0</v>
      </c>
      <c r="V214" s="3681"/>
      <c r="W214" s="3681"/>
      <c r="X214" s="3682"/>
    </row>
    <row r="215" spans="8:24" s="2" customFormat="1" ht="25" customHeight="1">
      <c r="H215" s="3678" t="s">
        <v>1678</v>
      </c>
      <c r="I215" s="3679"/>
      <c r="J215" s="3679"/>
      <c r="K215" s="3680">
        <f>COMPS!W34</f>
        <v>0</v>
      </c>
      <c r="L215" s="3680"/>
      <c r="M215" s="3676">
        <f>COMPS!AJ34</f>
        <v>0</v>
      </c>
      <c r="N215" s="3676"/>
      <c r="O215" s="3676"/>
      <c r="P215" s="3676"/>
      <c r="Q215" s="3676">
        <f>COMPS!AW34</f>
        <v>0</v>
      </c>
      <c r="R215" s="3676"/>
      <c r="S215" s="3676"/>
      <c r="T215" s="3676"/>
      <c r="U215" s="3676">
        <f>COMPS!BJ34</f>
        <v>0</v>
      </c>
      <c r="V215" s="3676"/>
      <c r="W215" s="3676"/>
      <c r="X215" s="3677"/>
    </row>
    <row r="216" spans="8:24" s="2" customFormat="1" ht="25" customHeight="1">
      <c r="H216" s="934"/>
      <c r="I216" s="934"/>
      <c r="J216" s="934"/>
      <c r="K216" s="934"/>
      <c r="L216" s="934"/>
      <c r="M216" s="934"/>
      <c r="N216" s="934"/>
      <c r="O216" s="934"/>
      <c r="P216" s="934"/>
      <c r="Q216" s="934"/>
      <c r="R216" s="934"/>
      <c r="S216" s="934"/>
      <c r="T216" s="934"/>
      <c r="U216" s="934"/>
      <c r="V216" s="934"/>
      <c r="W216" s="934"/>
      <c r="X216" s="934"/>
    </row>
    <row r="217" spans="8:24" s="2" customFormat="1" ht="25" customHeight="1">
      <c r="H217" s="934"/>
      <c r="I217" s="934"/>
      <c r="J217" s="934"/>
      <c r="K217" s="934"/>
      <c r="L217" s="934"/>
      <c r="M217" s="934"/>
      <c r="N217" s="934"/>
      <c r="O217" s="934"/>
      <c r="P217" s="934"/>
      <c r="Q217" s="934"/>
      <c r="R217" s="934"/>
      <c r="S217" s="934"/>
      <c r="T217" s="934"/>
      <c r="U217" s="934"/>
      <c r="V217" s="934"/>
      <c r="W217" s="934"/>
      <c r="X217" s="934"/>
    </row>
    <row r="218" spans="8:24" s="2" customFormat="1" ht="25" customHeight="1">
      <c r="H218" s="930"/>
      <c r="I218" s="930"/>
      <c r="J218" s="928"/>
      <c r="K218" s="928"/>
      <c r="L218" s="929"/>
      <c r="M218" s="929"/>
      <c r="N218" s="929"/>
      <c r="O218" s="929"/>
      <c r="P218" s="929"/>
      <c r="Q218" s="929"/>
      <c r="R218" s="929"/>
      <c r="S218" s="929"/>
      <c r="T218" s="929"/>
      <c r="U218" s="929"/>
      <c r="V218" s="929"/>
      <c r="W218" s="929"/>
      <c r="X218" s="929"/>
    </row>
    <row r="219" spans="8:24" s="2" customFormat="1" ht="25" customHeight="1">
      <c r="H219" s="867"/>
      <c r="I219" s="867"/>
      <c r="J219" s="868"/>
      <c r="K219" s="868"/>
      <c r="L219" s="869"/>
      <c r="M219" s="869"/>
      <c r="N219" s="869"/>
      <c r="O219" s="869"/>
      <c r="P219" s="869"/>
      <c r="Q219" s="869"/>
      <c r="R219" s="869"/>
      <c r="S219" s="869"/>
      <c r="T219" s="869"/>
      <c r="U219" s="869"/>
      <c r="V219" s="869"/>
      <c r="W219" s="869"/>
      <c r="X219" s="869"/>
    </row>
    <row r="220" spans="8:24" s="2" customFormat="1" ht="22.7" customHeight="1">
      <c r="H220" s="3544" t="str">
        <f>CONCATENATE("Report Prepared By: ",Investor_Name,"  |  ",Company_Name,"  |  ",Company_Email,"  |  ",Company_Website)</f>
        <v xml:space="preserve">Report Prepared By:   |    |    |  </v>
      </c>
      <c r="I220" s="3544"/>
      <c r="J220" s="3544"/>
      <c r="K220" s="3544"/>
      <c r="L220" s="3544"/>
      <c r="M220" s="3544"/>
      <c r="N220" s="3544"/>
      <c r="O220" s="3544"/>
      <c r="P220" s="3544"/>
      <c r="Q220" s="3544"/>
      <c r="R220" s="3544"/>
      <c r="S220" s="3544"/>
      <c r="T220" s="3544"/>
      <c r="U220" s="3544"/>
      <c r="V220" s="931"/>
      <c r="W220" s="3561" t="str">
        <f>CONCATENATE("Page ",AL6," of ",$AG$3)</f>
        <v>Page 5 of 8</v>
      </c>
      <c r="X220" s="3561"/>
    </row>
    <row r="221" spans="8:24" s="2" customFormat="1" ht="25" customHeight="1">
      <c r="H221" s="3562" t="str">
        <f>CONCATENATE(Street_Address,", ",City_State_Zip)</f>
        <v>, 0</v>
      </c>
      <c r="I221" s="3562"/>
      <c r="J221" s="3562"/>
      <c r="K221" s="3562"/>
      <c r="L221" s="3562"/>
      <c r="M221" s="3562"/>
      <c r="N221" s="3562"/>
      <c r="O221" s="3562"/>
      <c r="P221" s="3562"/>
      <c r="Q221" s="3562"/>
      <c r="R221" s="3562"/>
      <c r="S221" s="3562"/>
      <c r="T221" s="3562"/>
      <c r="U221" s="3562"/>
      <c r="V221" s="3562"/>
      <c r="W221" s="3562"/>
      <c r="X221" s="3562"/>
    </row>
    <row r="222" spans="8:24" s="2" customFormat="1" ht="25" customHeight="1">
      <c r="H222" s="930"/>
      <c r="I222" s="930"/>
      <c r="J222" s="930"/>
      <c r="K222" s="930"/>
      <c r="L222" s="928"/>
      <c r="M222" s="928"/>
      <c r="N222" s="928"/>
      <c r="O222" s="929"/>
      <c r="P222" s="929"/>
      <c r="Q222" s="929"/>
      <c r="R222" s="929"/>
      <c r="S222" s="929"/>
      <c r="T222" s="929"/>
      <c r="U222" s="929"/>
      <c r="V222" s="929"/>
      <c r="W222" s="929"/>
      <c r="X222" s="929"/>
    </row>
    <row r="223" spans="8:24" s="2" customFormat="1" ht="25" customHeight="1">
      <c r="H223" s="866" t="s">
        <v>1179</v>
      </c>
      <c r="I223" s="930"/>
      <c r="J223" s="930"/>
      <c r="K223" s="930"/>
      <c r="L223" s="928"/>
      <c r="M223" s="928"/>
      <c r="N223" s="928"/>
      <c r="O223" s="929"/>
      <c r="P223" s="929"/>
      <c r="Q223" s="929"/>
      <c r="R223" s="929"/>
      <c r="S223" s="929"/>
      <c r="T223" s="929"/>
      <c r="U223" s="929"/>
      <c r="V223" s="929"/>
      <c r="W223" s="929"/>
      <c r="X223" s="929"/>
    </row>
    <row r="224" spans="8:24" s="2" customFormat="1" ht="25" customHeight="1">
      <c r="H224" s="930"/>
      <c r="I224" s="930"/>
      <c r="J224" s="930"/>
      <c r="K224" s="930"/>
      <c r="L224" s="928"/>
      <c r="M224" s="928"/>
      <c r="N224" s="928"/>
      <c r="O224" s="929"/>
      <c r="P224" s="929"/>
      <c r="Q224" s="929"/>
      <c r="R224" s="929"/>
      <c r="S224" s="932"/>
      <c r="T224" s="929"/>
      <c r="U224" s="929"/>
      <c r="V224" s="929"/>
      <c r="W224" s="929"/>
      <c r="X224" s="929"/>
    </row>
    <row r="225" spans="8:24" s="2" customFormat="1" ht="25" customHeight="1">
      <c r="H225" s="3706" t="s">
        <v>1608</v>
      </c>
      <c r="I225" s="3707"/>
      <c r="J225" s="3707"/>
      <c r="K225" s="3707"/>
      <c r="L225" s="3707"/>
      <c r="M225" s="3707"/>
      <c r="N225" s="3707"/>
      <c r="O225" s="3707"/>
      <c r="P225" s="3707"/>
      <c r="Q225" s="3707"/>
      <c r="R225" s="3707"/>
      <c r="S225" s="3707"/>
      <c r="T225" s="3707"/>
      <c r="U225" s="3707"/>
      <c r="V225" s="3707"/>
      <c r="W225" s="3707"/>
      <c r="X225" s="3708"/>
    </row>
    <row r="226" spans="8:24" s="2" customFormat="1" ht="25" customHeight="1">
      <c r="H226" s="3709"/>
      <c r="I226" s="3710"/>
      <c r="J226" s="3710"/>
      <c r="K226" s="3710"/>
      <c r="L226" s="3710"/>
      <c r="M226" s="3710"/>
      <c r="N226" s="3710"/>
      <c r="O226" s="3710"/>
      <c r="P226" s="3710"/>
      <c r="Q226" s="3710"/>
      <c r="R226" s="3710"/>
      <c r="S226" s="3710"/>
      <c r="T226" s="3710"/>
      <c r="U226" s="3710"/>
      <c r="V226" s="3710"/>
      <c r="W226" s="3710"/>
      <c r="X226" s="3711"/>
    </row>
    <row r="227" spans="8:24" s="2" customFormat="1" ht="25" customHeight="1">
      <c r="H227" s="3709"/>
      <c r="I227" s="3710"/>
      <c r="J227" s="3710"/>
      <c r="K227" s="3710"/>
      <c r="L227" s="3710"/>
      <c r="M227" s="3710"/>
      <c r="N227" s="3710"/>
      <c r="O227" s="3710"/>
      <c r="P227" s="3710"/>
      <c r="Q227" s="3710"/>
      <c r="R227" s="3710"/>
      <c r="S227" s="3710"/>
      <c r="T227" s="3710"/>
      <c r="U227" s="3710"/>
      <c r="V227" s="3710"/>
      <c r="W227" s="3710"/>
      <c r="X227" s="3711"/>
    </row>
    <row r="228" spans="8:24" s="2" customFormat="1" ht="25" customHeight="1">
      <c r="H228" s="3712"/>
      <c r="I228" s="3713"/>
      <c r="J228" s="3713"/>
      <c r="K228" s="3713"/>
      <c r="L228" s="3713"/>
      <c r="M228" s="3713"/>
      <c r="N228" s="3713"/>
      <c r="O228" s="3713"/>
      <c r="P228" s="3713"/>
      <c r="Q228" s="3713"/>
      <c r="R228" s="3713"/>
      <c r="S228" s="3713"/>
      <c r="T228" s="3713"/>
      <c r="U228" s="3713"/>
      <c r="V228" s="3713"/>
      <c r="W228" s="3713"/>
      <c r="X228" s="3714"/>
    </row>
    <row r="229" spans="8:24" s="2" customFormat="1" ht="25" customHeight="1">
      <c r="H229" s="930"/>
      <c r="I229" s="930"/>
      <c r="J229" s="930"/>
      <c r="K229" s="930"/>
      <c r="L229" s="928"/>
      <c r="M229" s="928"/>
      <c r="N229" s="928"/>
      <c r="O229" s="929"/>
      <c r="P229" s="929"/>
      <c r="Q229" s="929"/>
      <c r="R229" s="929"/>
      <c r="S229" s="932"/>
      <c r="T229" s="929"/>
      <c r="U229" s="929"/>
      <c r="V229" s="929"/>
      <c r="W229" s="929"/>
      <c r="X229" s="929"/>
    </row>
    <row r="230" spans="8:24" s="2" customFormat="1" ht="25" customHeight="1">
      <c r="H230" s="3686" t="s">
        <v>965</v>
      </c>
      <c r="I230" s="3687"/>
      <c r="J230" s="3687"/>
      <c r="K230" s="3687"/>
      <c r="L230" s="3687"/>
      <c r="M230" s="3687"/>
      <c r="N230" s="3687"/>
      <c r="O230" s="3687"/>
      <c r="P230" s="3687"/>
      <c r="Q230" s="3687"/>
      <c r="R230" s="3688" t="s">
        <v>413</v>
      </c>
      <c r="S230" s="3688"/>
      <c r="T230" s="3688"/>
      <c r="U230" s="3688"/>
      <c r="V230" s="3688" t="s">
        <v>1603</v>
      </c>
      <c r="W230" s="3688"/>
      <c r="X230" s="3689"/>
    </row>
    <row r="231" spans="8:24" s="2" customFormat="1" ht="25" customHeight="1">
      <c r="H231" s="3683" t="str">
        <f>PROPER('ANALYSIS DATABASE'!B75)</f>
        <v>General Conditions</v>
      </c>
      <c r="I231" s="3684"/>
      <c r="J231" s="3684"/>
      <c r="K231" s="3684"/>
      <c r="L231" s="3684"/>
      <c r="M231" s="3684"/>
      <c r="N231" s="3684"/>
      <c r="O231" s="3684"/>
      <c r="P231" s="3684"/>
      <c r="Q231" s="3684"/>
      <c r="R231" s="3685">
        <f>'ANALYSIS DATABASE'!C75</f>
        <v>0</v>
      </c>
      <c r="S231" s="3685"/>
      <c r="T231" s="3685"/>
      <c r="U231" s="3685"/>
      <c r="V231" s="3565">
        <f>IFERROR(R231/$R$258,0)</f>
        <v>0</v>
      </c>
      <c r="W231" s="3565"/>
      <c r="X231" s="3566"/>
    </row>
    <row r="232" spans="8:24" s="2" customFormat="1" ht="25" customHeight="1">
      <c r="H232" s="3683" t="str">
        <f>PROPER('ANALYSIS DATABASE'!B76)</f>
        <v>Demolition</v>
      </c>
      <c r="I232" s="3684"/>
      <c r="J232" s="3684"/>
      <c r="K232" s="3684"/>
      <c r="L232" s="3684"/>
      <c r="M232" s="3684"/>
      <c r="N232" s="3684"/>
      <c r="O232" s="3684"/>
      <c r="P232" s="3684"/>
      <c r="Q232" s="3684"/>
      <c r="R232" s="3685">
        <f>'ANALYSIS DATABASE'!C76</f>
        <v>0</v>
      </c>
      <c r="S232" s="3685"/>
      <c r="T232" s="3685"/>
      <c r="U232" s="3685"/>
      <c r="V232" s="3565">
        <f t="shared" ref="V232:V254" si="0">IFERROR(R232/$R$258,0)</f>
        <v>0</v>
      </c>
      <c r="W232" s="3565"/>
      <c r="X232" s="3566"/>
    </row>
    <row r="233" spans="8:24" s="2" customFormat="1" ht="25" customHeight="1">
      <c r="H233" s="3683" t="str">
        <f>PROPER('ANALYSIS DATABASE'!B77)</f>
        <v>Structural Concrete</v>
      </c>
      <c r="I233" s="3684"/>
      <c r="J233" s="3684"/>
      <c r="K233" s="3684"/>
      <c r="L233" s="3684"/>
      <c r="M233" s="3684"/>
      <c r="N233" s="3684"/>
      <c r="O233" s="3684"/>
      <c r="P233" s="3684"/>
      <c r="Q233" s="3684"/>
      <c r="R233" s="3685">
        <f>'ANALYSIS DATABASE'!C77</f>
        <v>0</v>
      </c>
      <c r="S233" s="3685"/>
      <c r="T233" s="3685"/>
      <c r="U233" s="3685"/>
      <c r="V233" s="3565">
        <f t="shared" si="0"/>
        <v>0</v>
      </c>
      <c r="W233" s="3565"/>
      <c r="X233" s="3566"/>
    </row>
    <row r="234" spans="8:24" s="2" customFormat="1" ht="25" customHeight="1">
      <c r="H234" s="3683" t="str">
        <f>PROPER('ANALYSIS DATABASE'!B78)</f>
        <v>Concrete &amp; Flatwork</v>
      </c>
      <c r="I234" s="3684"/>
      <c r="J234" s="3684"/>
      <c r="K234" s="3684"/>
      <c r="L234" s="3684"/>
      <c r="M234" s="3684"/>
      <c r="N234" s="3684"/>
      <c r="O234" s="3684"/>
      <c r="P234" s="3684"/>
      <c r="Q234" s="3684"/>
      <c r="R234" s="3685">
        <f>'ANALYSIS DATABASE'!C78</f>
        <v>0</v>
      </c>
      <c r="S234" s="3685"/>
      <c r="T234" s="3685"/>
      <c r="U234" s="3685"/>
      <c r="V234" s="3565">
        <f t="shared" si="0"/>
        <v>0</v>
      </c>
      <c r="W234" s="3565"/>
      <c r="X234" s="3566"/>
    </row>
    <row r="235" spans="8:24" s="2" customFormat="1" ht="25" customHeight="1">
      <c r="H235" s="3683" t="str">
        <f>PROPER('ANALYSIS DATABASE'!B79)</f>
        <v>Masonry</v>
      </c>
      <c r="I235" s="3684"/>
      <c r="J235" s="3684"/>
      <c r="K235" s="3684"/>
      <c r="L235" s="3684"/>
      <c r="M235" s="3684"/>
      <c r="N235" s="3684"/>
      <c r="O235" s="3684"/>
      <c r="P235" s="3684"/>
      <c r="Q235" s="3684"/>
      <c r="R235" s="3685">
        <f>'ANALYSIS DATABASE'!C79</f>
        <v>0</v>
      </c>
      <c r="S235" s="3685"/>
      <c r="T235" s="3685"/>
      <c r="U235" s="3685"/>
      <c r="V235" s="3565">
        <f t="shared" si="0"/>
        <v>0</v>
      </c>
      <c r="W235" s="3565"/>
      <c r="X235" s="3566"/>
    </row>
    <row r="236" spans="8:24" s="2" customFormat="1" ht="25" customHeight="1">
      <c r="H236" s="3683" t="str">
        <f>PROPER('ANALYSIS DATABASE'!B80)</f>
        <v>Siding</v>
      </c>
      <c r="I236" s="3684"/>
      <c r="J236" s="3684"/>
      <c r="K236" s="3684"/>
      <c r="L236" s="3684"/>
      <c r="M236" s="3684"/>
      <c r="N236" s="3684"/>
      <c r="O236" s="3684"/>
      <c r="P236" s="3684"/>
      <c r="Q236" s="3684"/>
      <c r="R236" s="3685">
        <f>'ANALYSIS DATABASE'!C80</f>
        <v>0</v>
      </c>
      <c r="S236" s="3685"/>
      <c r="T236" s="3685"/>
      <c r="U236" s="3685"/>
      <c r="V236" s="3565">
        <f t="shared" si="0"/>
        <v>0</v>
      </c>
      <c r="W236" s="3565"/>
      <c r="X236" s="3566"/>
    </row>
    <row r="237" spans="8:24" s="2" customFormat="1" ht="25" customHeight="1">
      <c r="H237" s="3683" t="str">
        <f>PROPER('ANALYSIS DATABASE'!B81)</f>
        <v>Decking And Patios</v>
      </c>
      <c r="I237" s="3684"/>
      <c r="J237" s="3684"/>
      <c r="K237" s="3684"/>
      <c r="L237" s="3684"/>
      <c r="M237" s="3684"/>
      <c r="N237" s="3684"/>
      <c r="O237" s="3684"/>
      <c r="P237" s="3684"/>
      <c r="Q237" s="3684"/>
      <c r="R237" s="3685">
        <f>'ANALYSIS DATABASE'!C81</f>
        <v>0</v>
      </c>
      <c r="S237" s="3685"/>
      <c r="T237" s="3685"/>
      <c r="U237" s="3685"/>
      <c r="V237" s="3565">
        <f t="shared" si="0"/>
        <v>0</v>
      </c>
      <c r="W237" s="3565"/>
      <c r="X237" s="3566"/>
    </row>
    <row r="238" spans="8:24" s="2" customFormat="1" ht="25" customHeight="1">
      <c r="H238" s="3683" t="str">
        <f>PROPER('ANALYSIS DATABASE'!B82)</f>
        <v>Roofing</v>
      </c>
      <c r="I238" s="3684"/>
      <c r="J238" s="3684"/>
      <c r="K238" s="3684"/>
      <c r="L238" s="3684"/>
      <c r="M238" s="3684"/>
      <c r="N238" s="3684"/>
      <c r="O238" s="3684"/>
      <c r="P238" s="3684"/>
      <c r="Q238" s="3684"/>
      <c r="R238" s="3685">
        <f>'ANALYSIS DATABASE'!C82</f>
        <v>0</v>
      </c>
      <c r="S238" s="3685"/>
      <c r="T238" s="3685"/>
      <c r="U238" s="3685"/>
      <c r="V238" s="3565">
        <f t="shared" si="0"/>
        <v>0</v>
      </c>
      <c r="W238" s="3565"/>
      <c r="X238" s="3566"/>
    </row>
    <row r="239" spans="8:24" s="2" customFormat="1" ht="25" customHeight="1">
      <c r="H239" s="3683" t="str">
        <f>PROPER('ANALYSIS DATABASE'!B83)</f>
        <v>Exterior Doors &amp; Windows</v>
      </c>
      <c r="I239" s="3684"/>
      <c r="J239" s="3684"/>
      <c r="K239" s="3684"/>
      <c r="L239" s="3684"/>
      <c r="M239" s="3684"/>
      <c r="N239" s="3684"/>
      <c r="O239" s="3684"/>
      <c r="P239" s="3684"/>
      <c r="Q239" s="3684"/>
      <c r="R239" s="3685">
        <f>'ANALYSIS DATABASE'!C83</f>
        <v>0</v>
      </c>
      <c r="S239" s="3685"/>
      <c r="T239" s="3685"/>
      <c r="U239" s="3685"/>
      <c r="V239" s="3565">
        <f t="shared" si="0"/>
        <v>0</v>
      </c>
      <c r="W239" s="3565"/>
      <c r="X239" s="3566"/>
    </row>
    <row r="240" spans="8:24" s="2" customFormat="1" ht="25" customHeight="1">
      <c r="H240" s="3683" t="str">
        <f>PROPER('ANALYSIS DATABASE'!B84)</f>
        <v>Garage Doors</v>
      </c>
      <c r="I240" s="3684"/>
      <c r="J240" s="3684"/>
      <c r="K240" s="3684"/>
      <c r="L240" s="3684"/>
      <c r="M240" s="3684"/>
      <c r="N240" s="3684"/>
      <c r="O240" s="3684"/>
      <c r="P240" s="3684"/>
      <c r="Q240" s="3684"/>
      <c r="R240" s="3685">
        <f>'ANALYSIS DATABASE'!C84</f>
        <v>0</v>
      </c>
      <c r="S240" s="3685"/>
      <c r="T240" s="3685"/>
      <c r="U240" s="3685"/>
      <c r="V240" s="3565">
        <f t="shared" si="0"/>
        <v>0</v>
      </c>
      <c r="W240" s="3565"/>
      <c r="X240" s="3566"/>
    </row>
    <row r="241" spans="8:24" s="2" customFormat="1" ht="25" customHeight="1">
      <c r="H241" s="3683" t="str">
        <f>PROPER('ANALYSIS DATABASE'!B85)</f>
        <v>Landscaping</v>
      </c>
      <c r="I241" s="3684"/>
      <c r="J241" s="3684"/>
      <c r="K241" s="3684"/>
      <c r="L241" s="3684"/>
      <c r="M241" s="3684"/>
      <c r="N241" s="3684"/>
      <c r="O241" s="3684"/>
      <c r="P241" s="3684"/>
      <c r="Q241" s="3684"/>
      <c r="R241" s="3685">
        <f>'ANALYSIS DATABASE'!C85</f>
        <v>0</v>
      </c>
      <c r="S241" s="3685"/>
      <c r="T241" s="3685"/>
      <c r="U241" s="3685"/>
      <c r="V241" s="3565">
        <f t="shared" si="0"/>
        <v>0</v>
      </c>
      <c r="W241" s="3565"/>
      <c r="X241" s="3566"/>
    </row>
    <row r="242" spans="8:24" s="2" customFormat="1" ht="25" customHeight="1">
      <c r="H242" s="3683" t="str">
        <f>PROPER('ANALYSIS DATABASE'!B86)</f>
        <v>Misc. Exterior Items</v>
      </c>
      <c r="I242" s="3684"/>
      <c r="J242" s="3684"/>
      <c r="K242" s="3684"/>
      <c r="L242" s="3684"/>
      <c r="M242" s="3684"/>
      <c r="N242" s="3684"/>
      <c r="O242" s="3684"/>
      <c r="P242" s="3684"/>
      <c r="Q242" s="3684"/>
      <c r="R242" s="3685">
        <f>'ANALYSIS DATABASE'!C86</f>
        <v>0</v>
      </c>
      <c r="S242" s="3685"/>
      <c r="T242" s="3685"/>
      <c r="U242" s="3685"/>
      <c r="V242" s="3565">
        <f t="shared" si="0"/>
        <v>0</v>
      </c>
      <c r="W242" s="3565"/>
      <c r="X242" s="3566"/>
    </row>
    <row r="243" spans="8:24" s="2" customFormat="1" ht="25" customHeight="1">
      <c r="H243" s="3683" t="str">
        <f>PROPER('ANALYSIS DATABASE'!B87)</f>
        <v>Framing &amp; Drywall</v>
      </c>
      <c r="I243" s="3684"/>
      <c r="J243" s="3684"/>
      <c r="K243" s="3684"/>
      <c r="L243" s="3684"/>
      <c r="M243" s="3684"/>
      <c r="N243" s="3684"/>
      <c r="O243" s="3684"/>
      <c r="P243" s="3684"/>
      <c r="Q243" s="3684"/>
      <c r="R243" s="3685">
        <f>'ANALYSIS DATABASE'!C87</f>
        <v>0</v>
      </c>
      <c r="S243" s="3685"/>
      <c r="T243" s="3685"/>
      <c r="U243" s="3685"/>
      <c r="V243" s="3565">
        <f t="shared" si="0"/>
        <v>0</v>
      </c>
      <c r="W243" s="3565"/>
      <c r="X243" s="3566"/>
    </row>
    <row r="244" spans="8:24" s="2" customFormat="1" ht="25" customHeight="1">
      <c r="H244" s="3683" t="str">
        <f>PROPER('ANALYSIS DATABASE'!B88)</f>
        <v>Cabinets &amp; Countertops</v>
      </c>
      <c r="I244" s="3684"/>
      <c r="J244" s="3684"/>
      <c r="K244" s="3684"/>
      <c r="L244" s="3684"/>
      <c r="M244" s="3684"/>
      <c r="N244" s="3684"/>
      <c r="O244" s="3684"/>
      <c r="P244" s="3684"/>
      <c r="Q244" s="3684"/>
      <c r="R244" s="3685">
        <f>'ANALYSIS DATABASE'!C88</f>
        <v>0</v>
      </c>
      <c r="S244" s="3685"/>
      <c r="T244" s="3685"/>
      <c r="U244" s="3685"/>
      <c r="V244" s="3565">
        <f t="shared" si="0"/>
        <v>0</v>
      </c>
      <c r="W244" s="3565"/>
      <c r="X244" s="3566"/>
    </row>
    <row r="245" spans="8:24" s="2" customFormat="1" ht="25" customHeight="1">
      <c r="H245" s="3683" t="str">
        <f>PROPER('ANALYSIS DATABASE'!B89)</f>
        <v>Doors &amp; Trim</v>
      </c>
      <c r="I245" s="3684"/>
      <c r="J245" s="3684"/>
      <c r="K245" s="3684"/>
      <c r="L245" s="3684"/>
      <c r="M245" s="3684"/>
      <c r="N245" s="3684"/>
      <c r="O245" s="3684"/>
      <c r="P245" s="3684"/>
      <c r="Q245" s="3684"/>
      <c r="R245" s="3685">
        <f>'ANALYSIS DATABASE'!C89</f>
        <v>0</v>
      </c>
      <c r="S245" s="3685"/>
      <c r="T245" s="3685"/>
      <c r="U245" s="3685"/>
      <c r="V245" s="3565">
        <f t="shared" si="0"/>
        <v>0</v>
      </c>
      <c r="W245" s="3565"/>
      <c r="X245" s="3566"/>
    </row>
    <row r="246" spans="8:24" s="2" customFormat="1" ht="25" customHeight="1">
      <c r="H246" s="3683" t="str">
        <f>PROPER('ANALYSIS DATABASE'!B90)</f>
        <v>Carpet &amp; Resilient</v>
      </c>
      <c r="I246" s="3684"/>
      <c r="J246" s="3684"/>
      <c r="K246" s="3684"/>
      <c r="L246" s="3684"/>
      <c r="M246" s="3684"/>
      <c r="N246" s="3684"/>
      <c r="O246" s="3684"/>
      <c r="P246" s="3684"/>
      <c r="Q246" s="3684"/>
      <c r="R246" s="3685">
        <f>'ANALYSIS DATABASE'!C90</f>
        <v>0</v>
      </c>
      <c r="S246" s="3685"/>
      <c r="T246" s="3685"/>
      <c r="U246" s="3685"/>
      <c r="V246" s="3565">
        <f t="shared" si="0"/>
        <v>0</v>
      </c>
      <c r="W246" s="3565"/>
      <c r="X246" s="3566"/>
    </row>
    <row r="247" spans="8:24" s="2" customFormat="1" ht="25" customHeight="1">
      <c r="H247" s="3683" t="str">
        <f>PROPER('ANALYSIS DATABASE'!B91)</f>
        <v>Hardwood Flooring</v>
      </c>
      <c r="I247" s="3684"/>
      <c r="J247" s="3684"/>
      <c r="K247" s="3684"/>
      <c r="L247" s="3684"/>
      <c r="M247" s="3684"/>
      <c r="N247" s="3684"/>
      <c r="O247" s="3684"/>
      <c r="P247" s="3684"/>
      <c r="Q247" s="3684"/>
      <c r="R247" s="3685">
        <f>'ANALYSIS DATABASE'!C91</f>
        <v>0</v>
      </c>
      <c r="S247" s="3685"/>
      <c r="T247" s="3685"/>
      <c r="U247" s="3685"/>
      <c r="V247" s="3565">
        <f t="shared" si="0"/>
        <v>0</v>
      </c>
      <c r="W247" s="3565"/>
      <c r="X247" s="3566"/>
    </row>
    <row r="248" spans="8:24" s="2" customFormat="1" ht="25" customHeight="1">
      <c r="H248" s="3683" t="str">
        <f>PROPER('ANALYSIS DATABASE'!B92)</f>
        <v>Tiling</v>
      </c>
      <c r="I248" s="3684"/>
      <c r="J248" s="3684"/>
      <c r="K248" s="3684"/>
      <c r="L248" s="3684"/>
      <c r="M248" s="3684"/>
      <c r="N248" s="3684"/>
      <c r="O248" s="3684"/>
      <c r="P248" s="3684"/>
      <c r="Q248" s="3684"/>
      <c r="R248" s="3685">
        <f>'ANALYSIS DATABASE'!C92</f>
        <v>0</v>
      </c>
      <c r="S248" s="3685"/>
      <c r="T248" s="3685"/>
      <c r="U248" s="3685"/>
      <c r="V248" s="3565">
        <f t="shared" si="0"/>
        <v>0</v>
      </c>
      <c r="W248" s="3565"/>
      <c r="X248" s="3566"/>
    </row>
    <row r="249" spans="8:24" s="2" customFormat="1" ht="25" customHeight="1">
      <c r="H249" s="3683" t="str">
        <f>PROPER('ANALYSIS DATABASE'!B93)</f>
        <v>Painting</v>
      </c>
      <c r="I249" s="3684"/>
      <c r="J249" s="3684"/>
      <c r="K249" s="3684"/>
      <c r="L249" s="3684"/>
      <c r="M249" s="3684"/>
      <c r="N249" s="3684"/>
      <c r="O249" s="3684"/>
      <c r="P249" s="3684"/>
      <c r="Q249" s="3684"/>
      <c r="R249" s="3685">
        <f>'ANALYSIS DATABASE'!C93</f>
        <v>0</v>
      </c>
      <c r="S249" s="3685"/>
      <c r="T249" s="3685"/>
      <c r="U249" s="3685"/>
      <c r="V249" s="3565">
        <f t="shared" si="0"/>
        <v>0</v>
      </c>
      <c r="W249" s="3565"/>
      <c r="X249" s="3566"/>
    </row>
    <row r="250" spans="8:24" s="2" customFormat="1" ht="25" customHeight="1">
      <c r="H250" s="3683" t="str">
        <f>PROPER('ANALYSIS DATABASE'!B94)</f>
        <v>Appliances</v>
      </c>
      <c r="I250" s="3684"/>
      <c r="J250" s="3684"/>
      <c r="K250" s="3684"/>
      <c r="L250" s="3684"/>
      <c r="M250" s="3684"/>
      <c r="N250" s="3684"/>
      <c r="O250" s="3684"/>
      <c r="P250" s="3684"/>
      <c r="Q250" s="3684"/>
      <c r="R250" s="3685">
        <f>'ANALYSIS DATABASE'!C94</f>
        <v>0</v>
      </c>
      <c r="S250" s="3685"/>
      <c r="T250" s="3685"/>
      <c r="U250" s="3685"/>
      <c r="V250" s="3565">
        <f t="shared" si="0"/>
        <v>0</v>
      </c>
      <c r="W250" s="3565"/>
      <c r="X250" s="3566"/>
    </row>
    <row r="251" spans="8:24" s="2" customFormat="1" ht="25" customHeight="1">
      <c r="H251" s="3683" t="str">
        <f>PROPER('ANALYSIS DATABASE'!B95)</f>
        <v>Plumbing</v>
      </c>
      <c r="I251" s="3684"/>
      <c r="J251" s="3684"/>
      <c r="K251" s="3684"/>
      <c r="L251" s="3684"/>
      <c r="M251" s="3684"/>
      <c r="N251" s="3684"/>
      <c r="O251" s="3684"/>
      <c r="P251" s="3684"/>
      <c r="Q251" s="3684"/>
      <c r="R251" s="3685">
        <f>'ANALYSIS DATABASE'!C95</f>
        <v>0</v>
      </c>
      <c r="S251" s="3685"/>
      <c r="T251" s="3685"/>
      <c r="U251" s="3685"/>
      <c r="V251" s="3565">
        <f t="shared" si="0"/>
        <v>0</v>
      </c>
      <c r="W251" s="3565"/>
      <c r="X251" s="3566"/>
    </row>
    <row r="252" spans="8:24" s="2" customFormat="1" ht="25" customHeight="1">
      <c r="H252" s="3683" t="str">
        <f>PROPER('ANALYSIS DATABASE'!B96)</f>
        <v>Hvac</v>
      </c>
      <c r="I252" s="3684"/>
      <c r="J252" s="3684"/>
      <c r="K252" s="3684"/>
      <c r="L252" s="3684"/>
      <c r="M252" s="3684"/>
      <c r="N252" s="3684"/>
      <c r="O252" s="3684"/>
      <c r="P252" s="3684"/>
      <c r="Q252" s="3684"/>
      <c r="R252" s="3685">
        <f>'ANALYSIS DATABASE'!C96</f>
        <v>0</v>
      </c>
      <c r="S252" s="3685"/>
      <c r="T252" s="3685"/>
      <c r="U252" s="3685"/>
      <c r="V252" s="3565">
        <f t="shared" si="0"/>
        <v>0</v>
      </c>
      <c r="W252" s="3565"/>
      <c r="X252" s="3566"/>
    </row>
    <row r="253" spans="8:24" s="2" customFormat="1" ht="25" customHeight="1">
      <c r="H253" s="3683" t="str">
        <f>PROPER('ANALYSIS DATABASE'!B97)</f>
        <v>Electrical</v>
      </c>
      <c r="I253" s="3684"/>
      <c r="J253" s="3684"/>
      <c r="K253" s="3684"/>
      <c r="L253" s="3684"/>
      <c r="M253" s="3684"/>
      <c r="N253" s="3684"/>
      <c r="O253" s="3684"/>
      <c r="P253" s="3684"/>
      <c r="Q253" s="3684"/>
      <c r="R253" s="3685">
        <f>'ANALYSIS DATABASE'!C97</f>
        <v>0</v>
      </c>
      <c r="S253" s="3685"/>
      <c r="T253" s="3685"/>
      <c r="U253" s="3685"/>
      <c r="V253" s="3565">
        <f t="shared" si="0"/>
        <v>0</v>
      </c>
      <c r="W253" s="3565"/>
      <c r="X253" s="3566"/>
    </row>
    <row r="254" spans="8:24" s="2" customFormat="1" ht="25" customHeight="1" thickBot="1">
      <c r="H254" s="3694" t="str">
        <f>PROPER('ANALYSIS DATABASE'!B98)</f>
        <v>Miscellaneous</v>
      </c>
      <c r="I254" s="3695"/>
      <c r="J254" s="3695"/>
      <c r="K254" s="3695"/>
      <c r="L254" s="3695"/>
      <c r="M254" s="3695"/>
      <c r="N254" s="3695"/>
      <c r="O254" s="3695"/>
      <c r="P254" s="3695"/>
      <c r="Q254" s="3695"/>
      <c r="R254" s="3696">
        <f>'ANALYSIS DATABASE'!C98</f>
        <v>0</v>
      </c>
      <c r="S254" s="3696"/>
      <c r="T254" s="3696"/>
      <c r="U254" s="3696"/>
      <c r="V254" s="3563">
        <f t="shared" si="0"/>
        <v>0</v>
      </c>
      <c r="W254" s="3563"/>
      <c r="X254" s="3567"/>
    </row>
    <row r="255" spans="8:24" s="2" customFormat="1" ht="25" customHeight="1" thickTop="1">
      <c r="H255" s="3698" t="s">
        <v>1294</v>
      </c>
      <c r="I255" s="3699"/>
      <c r="J255" s="3699"/>
      <c r="K255" s="3699"/>
      <c r="L255" s="3699"/>
      <c r="M255" s="3699"/>
      <c r="N255" s="3699"/>
      <c r="O255" s="3699"/>
      <c r="P255" s="3699"/>
      <c r="Q255" s="3699"/>
      <c r="R255" s="3697">
        <f>'1 REHAB ANALYZER'!BG57</f>
        <v>0</v>
      </c>
      <c r="S255" s="3697"/>
      <c r="T255" s="3697"/>
      <c r="U255" s="3697"/>
      <c r="V255" s="3886">
        <f>IFERROR(R255/$R$258,0)</f>
        <v>0</v>
      </c>
      <c r="W255" s="3886"/>
      <c r="X255" s="3887"/>
    </row>
    <row r="256" spans="8:24" s="2" customFormat="1" ht="25" customHeight="1">
      <c r="H256" s="870"/>
      <c r="I256" s="870"/>
      <c r="J256" s="870"/>
      <c r="K256" s="870"/>
      <c r="L256" s="870"/>
      <c r="M256" s="870"/>
      <c r="N256" s="870"/>
      <c r="O256" s="870"/>
      <c r="P256" s="870"/>
      <c r="Q256" s="870"/>
      <c r="R256" s="870"/>
      <c r="S256" s="870"/>
      <c r="T256" s="870"/>
      <c r="U256" s="870"/>
      <c r="V256" s="870"/>
      <c r="W256" s="870"/>
      <c r="X256" s="870"/>
    </row>
    <row r="257" spans="8:24" s="2" customFormat="1" ht="25" customHeight="1" thickBot="1">
      <c r="H257" s="3690" t="s">
        <v>1604</v>
      </c>
      <c r="I257" s="3690"/>
      <c r="J257" s="3690"/>
      <c r="K257" s="3690"/>
      <c r="L257" s="3690"/>
      <c r="M257" s="3690"/>
      <c r="N257" s="3690"/>
      <c r="O257" s="3690"/>
      <c r="P257" s="3690"/>
      <c r="Q257" s="3690"/>
      <c r="R257" s="3691">
        <f>Adders_Result</f>
        <v>0</v>
      </c>
      <c r="S257" s="3691"/>
      <c r="T257" s="3691"/>
      <c r="U257" s="3691"/>
      <c r="V257" s="3563">
        <f>IFERROR(R257/$R$258,0)</f>
        <v>0</v>
      </c>
      <c r="W257" s="3563"/>
      <c r="X257" s="3563"/>
    </row>
    <row r="258" spans="8:24" s="2" customFormat="1" ht="25" customHeight="1" thickTop="1">
      <c r="H258" s="3692" t="s">
        <v>1295</v>
      </c>
      <c r="I258" s="3692"/>
      <c r="J258" s="3692"/>
      <c r="K258" s="3692"/>
      <c r="L258" s="3692"/>
      <c r="M258" s="3692"/>
      <c r="N258" s="3692"/>
      <c r="O258" s="3692"/>
      <c r="P258" s="3692"/>
      <c r="Q258" s="3692"/>
      <c r="R258" s="3693">
        <f>R255+R257</f>
        <v>0</v>
      </c>
      <c r="S258" s="3693"/>
      <c r="T258" s="3693"/>
      <c r="U258" s="3693"/>
      <c r="V258" s="3896">
        <f>IFERROR(R258/$R$258,0)</f>
        <v>0</v>
      </c>
      <c r="W258" s="3896"/>
      <c r="X258" s="3896"/>
    </row>
    <row r="259" spans="8:24" s="2" customFormat="1" ht="25" customHeight="1">
      <c r="H259" s="870"/>
      <c r="I259" s="870"/>
      <c r="J259" s="870"/>
      <c r="K259" s="870"/>
      <c r="L259" s="870"/>
      <c r="M259" s="870"/>
      <c r="N259" s="870"/>
      <c r="O259" s="870"/>
      <c r="P259" s="870"/>
      <c r="Q259" s="870"/>
      <c r="R259" s="870"/>
      <c r="S259" s="870"/>
      <c r="T259" s="870"/>
      <c r="U259" s="870"/>
      <c r="V259" s="870"/>
      <c r="W259" s="870"/>
      <c r="X259" s="870"/>
    </row>
    <row r="260" spans="8:24" s="2" customFormat="1" ht="25" customHeight="1">
      <c r="H260" s="871"/>
      <c r="I260" s="871"/>
      <c r="J260" s="871"/>
      <c r="K260" s="871"/>
      <c r="L260" s="872"/>
      <c r="M260" s="872"/>
      <c r="N260" s="872"/>
      <c r="O260" s="873"/>
      <c r="P260" s="873"/>
      <c r="Q260" s="873"/>
      <c r="R260" s="873"/>
      <c r="S260" s="873"/>
      <c r="T260" s="873"/>
      <c r="U260" s="873"/>
      <c r="V260" s="873"/>
      <c r="W260" s="873"/>
      <c r="X260" s="873"/>
    </row>
    <row r="261" spans="8:24" s="2" customFormat="1" ht="22.7" customHeight="1">
      <c r="H261" s="3544" t="str">
        <f>CONCATENATE("Report Prepared By: ",Investor_Name,"  |  ",Company_Name,"  |  ",Company_Email,"  |  ",Company_Website)</f>
        <v xml:space="preserve">Report Prepared By:   |    |    |  </v>
      </c>
      <c r="I261" s="3544"/>
      <c r="J261" s="3544"/>
      <c r="K261" s="3544"/>
      <c r="L261" s="3544"/>
      <c r="M261" s="3544"/>
      <c r="N261" s="3544"/>
      <c r="O261" s="3544"/>
      <c r="P261" s="3544"/>
      <c r="Q261" s="3544"/>
      <c r="R261" s="3544"/>
      <c r="S261" s="3544"/>
      <c r="T261" s="3544"/>
      <c r="U261" s="3544"/>
      <c r="V261" s="3544"/>
      <c r="W261" s="3561" t="str">
        <f>CONCATENATE("Page ",AM6," of ",$AG$3)</f>
        <v>Page 6 of 8</v>
      </c>
      <c r="X261" s="3561"/>
    </row>
    <row r="262" spans="8:24" s="2" customFormat="1" ht="18.600000000000001" customHeight="1">
      <c r="H262" s="3562" t="str">
        <f>CONCATENATE(Street_Address,", ",City_State_Zip)</f>
        <v>, 0</v>
      </c>
      <c r="I262" s="3562"/>
      <c r="J262" s="3562"/>
      <c r="K262" s="3562"/>
      <c r="L262" s="3562"/>
      <c r="M262" s="3562"/>
      <c r="N262" s="3562"/>
      <c r="O262" s="3562"/>
      <c r="P262" s="3562"/>
      <c r="Q262" s="3562"/>
      <c r="R262" s="3562"/>
      <c r="S262" s="3562"/>
      <c r="T262" s="3562"/>
      <c r="U262" s="3562"/>
      <c r="V262" s="3562"/>
      <c r="W262" s="3562"/>
      <c r="X262" s="3562"/>
    </row>
    <row r="263" spans="8:24" s="2" customFormat="1" ht="18.600000000000001" customHeight="1">
      <c r="H263" s="930"/>
      <c r="I263" s="930"/>
      <c r="J263" s="930"/>
      <c r="K263" s="930"/>
      <c r="L263" s="928"/>
      <c r="M263" s="928"/>
      <c r="N263" s="928"/>
      <c r="O263" s="929"/>
      <c r="P263" s="929"/>
      <c r="Q263" s="929"/>
      <c r="R263" s="929"/>
      <c r="S263" s="929"/>
      <c r="T263" s="929"/>
      <c r="U263" s="929"/>
      <c r="V263" s="929"/>
      <c r="W263" s="929"/>
      <c r="X263" s="929"/>
    </row>
    <row r="264" spans="8:24" s="2" customFormat="1" ht="18.600000000000001" customHeight="1">
      <c r="H264" s="866" t="s">
        <v>1609</v>
      </c>
      <c r="I264" s="930"/>
      <c r="J264" s="930"/>
      <c r="K264" s="930"/>
      <c r="L264" s="928"/>
      <c r="M264" s="928"/>
      <c r="N264" s="928"/>
      <c r="O264" s="929"/>
      <c r="P264" s="929"/>
      <c r="Q264" s="929"/>
      <c r="R264" s="929"/>
      <c r="S264" s="929"/>
      <c r="T264" s="929"/>
      <c r="U264" s="929"/>
      <c r="V264" s="929"/>
      <c r="W264" s="929"/>
      <c r="X264" s="929"/>
    </row>
    <row r="265" spans="8:24" s="2" customFormat="1" ht="18.600000000000001" customHeight="1">
      <c r="H265" s="1413"/>
      <c r="I265" s="1412"/>
      <c r="J265" s="1412"/>
      <c r="K265" s="1412"/>
      <c r="L265" s="1410"/>
      <c r="M265" s="1410"/>
      <c r="N265" s="1410"/>
      <c r="O265" s="1411"/>
      <c r="P265" s="1411"/>
      <c r="Q265" s="1411"/>
      <c r="R265" s="1411"/>
      <c r="S265" s="1411"/>
      <c r="T265" s="1411"/>
      <c r="U265" s="1411"/>
      <c r="V265" s="1411"/>
      <c r="W265" s="1411"/>
      <c r="X265" s="1411"/>
    </row>
    <row r="266" spans="8:24" s="2" customFormat="1" ht="18.600000000000001" customHeight="1">
      <c r="H266" s="1413"/>
      <c r="I266" s="1412"/>
      <c r="J266" s="1412"/>
      <c r="K266" s="1412"/>
      <c r="L266" s="1410"/>
      <c r="M266" s="1410"/>
      <c r="N266" s="1410"/>
      <c r="O266" s="1411"/>
      <c r="P266" s="1411"/>
      <c r="Q266" s="1411"/>
      <c r="R266" s="1411"/>
      <c r="S266" s="1411"/>
      <c r="T266" s="1411"/>
      <c r="U266" s="1411"/>
      <c r="V266" s="1411"/>
      <c r="W266" s="1411"/>
      <c r="X266" s="1411"/>
    </row>
    <row r="267" spans="8:24" s="2" customFormat="1" ht="18.600000000000001" customHeight="1">
      <c r="H267" s="1413"/>
      <c r="I267" s="1412"/>
      <c r="J267" s="1412"/>
      <c r="K267" s="1412"/>
      <c r="L267" s="1410"/>
      <c r="M267" s="1410"/>
      <c r="N267" s="1410"/>
      <c r="O267" s="1411"/>
      <c r="P267" s="1411"/>
      <c r="Q267" s="1411"/>
      <c r="R267" s="1411"/>
      <c r="S267" s="1411"/>
      <c r="T267" s="1411"/>
      <c r="U267" s="1411"/>
      <c r="V267" s="1411"/>
      <c r="W267" s="1411"/>
      <c r="X267" s="1411"/>
    </row>
    <row r="268" spans="8:24" s="2" customFormat="1" ht="18.600000000000001" customHeight="1">
      <c r="H268" s="1413"/>
      <c r="I268" s="1412"/>
      <c r="J268" s="1412"/>
      <c r="K268" s="1412"/>
      <c r="L268" s="1410"/>
      <c r="M268" s="1410"/>
      <c r="N268" s="1410"/>
      <c r="O268" s="1411"/>
      <c r="P268" s="1411"/>
      <c r="Q268" s="1411"/>
      <c r="R268" s="1411"/>
      <c r="S268" s="1411"/>
      <c r="T268" s="1411"/>
      <c r="U268" s="1411"/>
      <c r="V268" s="1411"/>
      <c r="W268" s="1411"/>
      <c r="X268" s="1411"/>
    </row>
    <row r="269" spans="8:24" s="2" customFormat="1" ht="18.600000000000001" customHeight="1">
      <c r="H269" s="3640"/>
      <c r="I269" s="3640"/>
      <c r="J269" s="3640"/>
      <c r="K269" s="3640"/>
      <c r="L269" s="3640"/>
      <c r="M269" s="141"/>
      <c r="N269" s="3640"/>
      <c r="O269" s="3640"/>
      <c r="P269" s="3640"/>
      <c r="Q269" s="3640"/>
      <c r="R269" s="3640"/>
      <c r="S269" s="141"/>
      <c r="T269" s="3640"/>
      <c r="U269" s="3640"/>
      <c r="V269" s="3640"/>
      <c r="W269" s="3640"/>
      <c r="X269" s="3640"/>
    </row>
    <row r="270" spans="8:24" s="2" customFormat="1" ht="18.600000000000001" customHeight="1">
      <c r="H270" s="3640"/>
      <c r="I270" s="3640"/>
      <c r="J270" s="3640"/>
      <c r="K270" s="3640"/>
      <c r="L270" s="3640"/>
      <c r="M270" s="141"/>
      <c r="N270" s="3640"/>
      <c r="O270" s="3640"/>
      <c r="P270" s="3640"/>
      <c r="Q270" s="3640"/>
      <c r="R270" s="3640"/>
      <c r="S270" s="141"/>
      <c r="T270" s="3640"/>
      <c r="U270" s="3640"/>
      <c r="V270" s="3640"/>
      <c r="W270" s="3640"/>
      <c r="X270" s="3640"/>
    </row>
    <row r="271" spans="8:24" s="2" customFormat="1" ht="18.600000000000001" customHeight="1">
      <c r="H271" s="3640"/>
      <c r="I271" s="3640"/>
      <c r="J271" s="3640"/>
      <c r="K271" s="3640"/>
      <c r="L271" s="3640"/>
      <c r="M271" s="141"/>
      <c r="N271" s="3640"/>
      <c r="O271" s="3640"/>
      <c r="P271" s="3640"/>
      <c r="Q271" s="3640"/>
      <c r="R271" s="3640"/>
      <c r="S271" s="141"/>
      <c r="T271" s="3640"/>
      <c r="U271" s="3640"/>
      <c r="V271" s="3640"/>
      <c r="W271" s="3640"/>
      <c r="X271" s="3640"/>
    </row>
    <row r="272" spans="8:24" s="2" customFormat="1" ht="18.600000000000001" customHeight="1">
      <c r="H272" s="3640"/>
      <c r="I272" s="3640"/>
      <c r="J272" s="3640"/>
      <c r="K272" s="3640"/>
      <c r="L272" s="3640"/>
      <c r="M272" s="141"/>
      <c r="N272" s="3640"/>
      <c r="O272" s="3640"/>
      <c r="P272" s="3640"/>
      <c r="Q272" s="3640"/>
      <c r="R272" s="3640"/>
      <c r="S272" s="141"/>
      <c r="T272" s="3640"/>
      <c r="U272" s="3640"/>
      <c r="V272" s="3640"/>
      <c r="W272" s="3640"/>
      <c r="X272" s="3640"/>
    </row>
    <row r="273" spans="8:24" s="2" customFormat="1" ht="18.600000000000001" customHeight="1">
      <c r="H273" s="3640"/>
      <c r="I273" s="3640"/>
      <c r="J273" s="3640"/>
      <c r="K273" s="3640"/>
      <c r="L273" s="3640"/>
      <c r="M273" s="141"/>
      <c r="N273" s="3640"/>
      <c r="O273" s="3640"/>
      <c r="P273" s="3640"/>
      <c r="Q273" s="3640"/>
      <c r="R273" s="3640"/>
      <c r="S273" s="141"/>
      <c r="T273" s="3640"/>
      <c r="U273" s="3640"/>
      <c r="V273" s="3640"/>
      <c r="W273" s="3640"/>
      <c r="X273" s="3640"/>
    </row>
    <row r="274" spans="8:24" s="2" customFormat="1" ht="18.600000000000001" customHeight="1">
      <c r="H274" s="3640"/>
      <c r="I274" s="3640"/>
      <c r="J274" s="3640"/>
      <c r="K274" s="3640"/>
      <c r="L274" s="3640"/>
      <c r="M274" s="141"/>
      <c r="N274" s="3640"/>
      <c r="O274" s="3640"/>
      <c r="P274" s="3640"/>
      <c r="Q274" s="3640"/>
      <c r="R274" s="3640"/>
      <c r="S274" s="141"/>
      <c r="T274" s="3640"/>
      <c r="U274" s="3640"/>
      <c r="V274" s="3640"/>
      <c r="W274" s="3640"/>
      <c r="X274" s="3640"/>
    </row>
    <row r="275" spans="8:24" s="2" customFormat="1" ht="18.600000000000001" customHeight="1">
      <c r="H275" s="3640"/>
      <c r="I275" s="3640"/>
      <c r="J275" s="3640"/>
      <c r="K275" s="3640"/>
      <c r="L275" s="3640"/>
      <c r="M275" s="141"/>
      <c r="N275" s="3640"/>
      <c r="O275" s="3640"/>
      <c r="P275" s="3640"/>
      <c r="Q275" s="3640"/>
      <c r="R275" s="3640"/>
      <c r="S275" s="141"/>
      <c r="T275" s="3640"/>
      <c r="U275" s="3640"/>
      <c r="V275" s="3640"/>
      <c r="W275" s="3640"/>
      <c r="X275" s="3640"/>
    </row>
    <row r="276" spans="8:24" s="2" customFormat="1" ht="18.600000000000001" customHeight="1">
      <c r="H276" s="3640"/>
      <c r="I276" s="3640"/>
      <c r="J276" s="3640"/>
      <c r="K276" s="3640"/>
      <c r="L276" s="3640"/>
      <c r="M276" s="141"/>
      <c r="N276" s="3640"/>
      <c r="O276" s="3640"/>
      <c r="P276" s="3640"/>
      <c r="Q276" s="3640"/>
      <c r="R276" s="3640"/>
      <c r="S276" s="141"/>
      <c r="T276" s="3640"/>
      <c r="U276" s="3640"/>
      <c r="V276" s="3640"/>
      <c r="W276" s="3640"/>
      <c r="X276" s="3640"/>
    </row>
    <row r="277" spans="8:24" s="2" customFormat="1" ht="18.600000000000001" customHeight="1">
      <c r="H277" s="3640"/>
      <c r="I277" s="3640"/>
      <c r="J277" s="3640"/>
      <c r="K277" s="3640"/>
      <c r="L277" s="3640"/>
      <c r="M277" s="141"/>
      <c r="N277" s="3640"/>
      <c r="O277" s="3640"/>
      <c r="P277" s="3640"/>
      <c r="Q277" s="3640"/>
      <c r="R277" s="3640"/>
      <c r="S277" s="141"/>
      <c r="T277" s="3640"/>
      <c r="U277" s="3640"/>
      <c r="V277" s="3640"/>
      <c r="W277" s="3640"/>
      <c r="X277" s="3640"/>
    </row>
    <row r="278" spans="8:24" s="2" customFormat="1" ht="18.600000000000001" customHeight="1">
      <c r="H278" s="3650" t="s">
        <v>469</v>
      </c>
      <c r="I278" s="3650"/>
      <c r="J278" s="3650"/>
      <c r="K278" s="3650"/>
      <c r="L278" s="3650"/>
      <c r="M278" s="141"/>
      <c r="N278" s="3650" t="s">
        <v>469</v>
      </c>
      <c r="O278" s="3650"/>
      <c r="P278" s="3650"/>
      <c r="Q278" s="3650"/>
      <c r="R278" s="3650"/>
      <c r="S278" s="141"/>
      <c r="T278" s="3650" t="s">
        <v>469</v>
      </c>
      <c r="U278" s="3650"/>
      <c r="V278" s="3650"/>
      <c r="W278" s="3650"/>
      <c r="X278" s="3650"/>
    </row>
    <row r="279" spans="8:24" s="2" customFormat="1" ht="18.600000000000001" customHeight="1">
      <c r="H279" s="3650"/>
      <c r="I279" s="3650"/>
      <c r="J279" s="3650"/>
      <c r="K279" s="3650"/>
      <c r="L279" s="3650"/>
      <c r="M279" s="140"/>
      <c r="N279" s="3650"/>
      <c r="O279" s="3650"/>
      <c r="P279" s="3650"/>
      <c r="Q279" s="3650"/>
      <c r="R279" s="3650"/>
      <c r="S279" s="140"/>
      <c r="T279" s="3650"/>
      <c r="U279" s="3650"/>
      <c r="V279" s="3650"/>
      <c r="W279" s="3650"/>
      <c r="X279" s="3650"/>
    </row>
    <row r="280" spans="8:24" s="2" customFormat="1" ht="9.75" customHeight="1">
      <c r="H280" s="141"/>
      <c r="I280" s="141"/>
      <c r="J280" s="141"/>
      <c r="K280" s="141"/>
      <c r="L280" s="141"/>
      <c r="M280" s="141"/>
      <c r="N280" s="141"/>
      <c r="O280" s="141"/>
      <c r="P280" s="141"/>
      <c r="Q280" s="141"/>
      <c r="R280" s="141"/>
      <c r="S280" s="141"/>
      <c r="T280" s="141"/>
      <c r="U280" s="141"/>
      <c r="V280" s="141"/>
      <c r="W280" s="141"/>
      <c r="X280" s="141"/>
    </row>
    <row r="281" spans="8:24" s="2" customFormat="1" ht="18" customHeight="1">
      <c r="H281" s="3640"/>
      <c r="I281" s="3640"/>
      <c r="J281" s="3640"/>
      <c r="K281" s="3640"/>
      <c r="L281" s="3640"/>
      <c r="M281" s="141"/>
      <c r="N281" s="3640"/>
      <c r="O281" s="3640"/>
      <c r="P281" s="3640"/>
      <c r="Q281" s="3640"/>
      <c r="R281" s="3640"/>
      <c r="S281" s="141"/>
      <c r="T281" s="3640"/>
      <c r="U281" s="3640"/>
      <c r="V281" s="3640"/>
      <c r="W281" s="3640"/>
      <c r="X281" s="3640"/>
    </row>
    <row r="282" spans="8:24" s="2" customFormat="1" ht="18" customHeight="1">
      <c r="H282" s="3640"/>
      <c r="I282" s="3640"/>
      <c r="J282" s="3640"/>
      <c r="K282" s="3640"/>
      <c r="L282" s="3640"/>
      <c r="M282" s="141"/>
      <c r="N282" s="3640"/>
      <c r="O282" s="3640"/>
      <c r="P282" s="3640"/>
      <c r="Q282" s="3640"/>
      <c r="R282" s="3640"/>
      <c r="S282" s="141"/>
      <c r="T282" s="3640"/>
      <c r="U282" s="3640"/>
      <c r="V282" s="3640"/>
      <c r="W282" s="3640"/>
      <c r="X282" s="3640"/>
    </row>
    <row r="283" spans="8:24" s="2" customFormat="1" ht="18" customHeight="1">
      <c r="H283" s="3640"/>
      <c r="I283" s="3640"/>
      <c r="J283" s="3640"/>
      <c r="K283" s="3640"/>
      <c r="L283" s="3640"/>
      <c r="M283" s="141"/>
      <c r="N283" s="3640"/>
      <c r="O283" s="3640"/>
      <c r="P283" s="3640"/>
      <c r="Q283" s="3640"/>
      <c r="R283" s="3640"/>
      <c r="S283" s="141"/>
      <c r="T283" s="3640"/>
      <c r="U283" s="3640"/>
      <c r="V283" s="3640"/>
      <c r="W283" s="3640"/>
      <c r="X283" s="3640"/>
    </row>
    <row r="284" spans="8:24" s="2" customFormat="1" ht="18" customHeight="1">
      <c r="H284" s="3640"/>
      <c r="I284" s="3640"/>
      <c r="J284" s="3640"/>
      <c r="K284" s="3640"/>
      <c r="L284" s="3640"/>
      <c r="M284" s="141"/>
      <c r="N284" s="3640"/>
      <c r="O284" s="3640"/>
      <c r="P284" s="3640"/>
      <c r="Q284" s="3640"/>
      <c r="R284" s="3640"/>
      <c r="S284" s="141"/>
      <c r="T284" s="3640"/>
      <c r="U284" s="3640"/>
      <c r="V284" s="3640"/>
      <c r="W284" s="3640"/>
      <c r="X284" s="3640"/>
    </row>
    <row r="285" spans="8:24" s="2" customFormat="1" ht="18" customHeight="1">
      <c r="H285" s="3640"/>
      <c r="I285" s="3640"/>
      <c r="J285" s="3640"/>
      <c r="K285" s="3640"/>
      <c r="L285" s="3640"/>
      <c r="M285" s="141"/>
      <c r="N285" s="3640"/>
      <c r="O285" s="3640"/>
      <c r="P285" s="3640"/>
      <c r="Q285" s="3640"/>
      <c r="R285" s="3640"/>
      <c r="S285" s="141"/>
      <c r="T285" s="3640"/>
      <c r="U285" s="3640"/>
      <c r="V285" s="3640"/>
      <c r="W285" s="3640"/>
      <c r="X285" s="3640"/>
    </row>
    <row r="286" spans="8:24" s="2" customFormat="1" ht="18" customHeight="1">
      <c r="H286" s="3640"/>
      <c r="I286" s="3640"/>
      <c r="J286" s="3640"/>
      <c r="K286" s="3640"/>
      <c r="L286" s="3640"/>
      <c r="M286" s="141"/>
      <c r="N286" s="3640"/>
      <c r="O286" s="3640"/>
      <c r="P286" s="3640"/>
      <c r="Q286" s="3640"/>
      <c r="R286" s="3640"/>
      <c r="S286" s="141"/>
      <c r="T286" s="3640"/>
      <c r="U286" s="3640"/>
      <c r="V286" s="3640"/>
      <c r="W286" s="3640"/>
      <c r="X286" s="3640"/>
    </row>
    <row r="287" spans="8:24" s="2" customFormat="1" ht="18" customHeight="1">
      <c r="H287" s="3640"/>
      <c r="I287" s="3640"/>
      <c r="J287" s="3640"/>
      <c r="K287" s="3640"/>
      <c r="L287" s="3640"/>
      <c r="M287" s="141"/>
      <c r="N287" s="3640"/>
      <c r="O287" s="3640"/>
      <c r="P287" s="3640"/>
      <c r="Q287" s="3640"/>
      <c r="R287" s="3640"/>
      <c r="S287" s="141"/>
      <c r="T287" s="3640"/>
      <c r="U287" s="3640"/>
      <c r="V287" s="3640"/>
      <c r="W287" s="3640"/>
      <c r="X287" s="3640"/>
    </row>
    <row r="288" spans="8:24" s="2" customFormat="1" ht="18" customHeight="1">
      <c r="H288" s="3640"/>
      <c r="I288" s="3640"/>
      <c r="J288" s="3640"/>
      <c r="K288" s="3640"/>
      <c r="L288" s="3640"/>
      <c r="M288" s="141"/>
      <c r="N288" s="3640"/>
      <c r="O288" s="3640"/>
      <c r="P288" s="3640"/>
      <c r="Q288" s="3640"/>
      <c r="R288" s="3640"/>
      <c r="S288" s="141"/>
      <c r="T288" s="3640"/>
      <c r="U288" s="3640"/>
      <c r="V288" s="3640"/>
      <c r="W288" s="3640"/>
      <c r="X288" s="3640"/>
    </row>
    <row r="289" spans="8:24" s="2" customFormat="1" ht="18" customHeight="1">
      <c r="H289" s="3640"/>
      <c r="I289" s="3640"/>
      <c r="J289" s="3640"/>
      <c r="K289" s="3640"/>
      <c r="L289" s="3640"/>
      <c r="M289" s="141"/>
      <c r="N289" s="3640"/>
      <c r="O289" s="3640"/>
      <c r="P289" s="3640"/>
      <c r="Q289" s="3640"/>
      <c r="R289" s="3640"/>
      <c r="S289" s="141"/>
      <c r="T289" s="3640"/>
      <c r="U289" s="3640"/>
      <c r="V289" s="3640"/>
      <c r="W289" s="3640"/>
      <c r="X289" s="3640"/>
    </row>
    <row r="290" spans="8:24" s="2" customFormat="1" ht="18" customHeight="1">
      <c r="H290" s="3650" t="s">
        <v>469</v>
      </c>
      <c r="I290" s="3650"/>
      <c r="J290" s="3650"/>
      <c r="K290" s="3650"/>
      <c r="L290" s="3650"/>
      <c r="M290" s="141"/>
      <c r="N290" s="3650" t="s">
        <v>469</v>
      </c>
      <c r="O290" s="3650"/>
      <c r="P290" s="3650"/>
      <c r="Q290" s="3650"/>
      <c r="R290" s="3650"/>
      <c r="S290" s="141"/>
      <c r="T290" s="3650" t="s">
        <v>469</v>
      </c>
      <c r="U290" s="3650"/>
      <c r="V290" s="3650"/>
      <c r="W290" s="3650"/>
      <c r="X290" s="3650"/>
    </row>
    <row r="291" spans="8:24" s="2" customFormat="1" ht="18" customHeight="1">
      <c r="H291" s="3650"/>
      <c r="I291" s="3650"/>
      <c r="J291" s="3650"/>
      <c r="K291" s="3650"/>
      <c r="L291" s="3650"/>
      <c r="M291" s="140"/>
      <c r="N291" s="3650"/>
      <c r="O291" s="3650"/>
      <c r="P291" s="3650"/>
      <c r="Q291" s="3650"/>
      <c r="R291" s="3650"/>
      <c r="S291" s="140"/>
      <c r="T291" s="3650"/>
      <c r="U291" s="3650"/>
      <c r="V291" s="3650"/>
      <c r="W291" s="3650"/>
      <c r="X291" s="3650"/>
    </row>
    <row r="292" spans="8:24" s="2" customFormat="1" ht="18" customHeight="1">
      <c r="H292" s="510"/>
      <c r="I292" s="510"/>
      <c r="J292" s="510"/>
      <c r="K292" s="510"/>
      <c r="L292" s="510"/>
      <c r="M292" s="140"/>
      <c r="N292" s="510"/>
      <c r="O292" s="510"/>
      <c r="P292" s="510"/>
      <c r="Q292" s="510"/>
      <c r="R292" s="510"/>
      <c r="S292" s="140"/>
      <c r="T292" s="510"/>
      <c r="U292" s="510"/>
      <c r="V292" s="510"/>
      <c r="W292" s="510"/>
      <c r="X292" s="510"/>
    </row>
    <row r="293" spans="8:24" s="2" customFormat="1" ht="18" customHeight="1">
      <c r="H293" s="3640"/>
      <c r="I293" s="3640"/>
      <c r="J293" s="3640"/>
      <c r="K293" s="3640"/>
      <c r="L293" s="3640"/>
      <c r="M293" s="141"/>
      <c r="N293" s="3640"/>
      <c r="O293" s="3640"/>
      <c r="P293" s="3640"/>
      <c r="Q293" s="3640"/>
      <c r="R293" s="3640"/>
      <c r="S293" s="141"/>
      <c r="T293" s="3640"/>
      <c r="U293" s="3640"/>
      <c r="V293" s="3640"/>
      <c r="W293" s="3640"/>
      <c r="X293" s="3640"/>
    </row>
    <row r="294" spans="8:24" s="2" customFormat="1" ht="18" customHeight="1">
      <c r="H294" s="3640"/>
      <c r="I294" s="3640"/>
      <c r="J294" s="3640"/>
      <c r="K294" s="3640"/>
      <c r="L294" s="3640"/>
      <c r="M294" s="141"/>
      <c r="N294" s="3640"/>
      <c r="O294" s="3640"/>
      <c r="P294" s="3640"/>
      <c r="Q294" s="3640"/>
      <c r="R294" s="3640"/>
      <c r="S294" s="141"/>
      <c r="T294" s="3640"/>
      <c r="U294" s="3640"/>
      <c r="V294" s="3640"/>
      <c r="W294" s="3640"/>
      <c r="X294" s="3640"/>
    </row>
    <row r="295" spans="8:24" s="2" customFormat="1" ht="18" customHeight="1">
      <c r="H295" s="3640"/>
      <c r="I295" s="3640"/>
      <c r="J295" s="3640"/>
      <c r="K295" s="3640"/>
      <c r="L295" s="3640"/>
      <c r="M295" s="141"/>
      <c r="N295" s="3640"/>
      <c r="O295" s="3640"/>
      <c r="P295" s="3640"/>
      <c r="Q295" s="3640"/>
      <c r="R295" s="3640"/>
      <c r="S295" s="141"/>
      <c r="T295" s="3640"/>
      <c r="U295" s="3640"/>
      <c r="V295" s="3640"/>
      <c r="W295" s="3640"/>
      <c r="X295" s="3640"/>
    </row>
    <row r="296" spans="8:24" s="2" customFormat="1" ht="18" customHeight="1">
      <c r="H296" s="3640"/>
      <c r="I296" s="3640"/>
      <c r="J296" s="3640"/>
      <c r="K296" s="3640"/>
      <c r="L296" s="3640"/>
      <c r="M296" s="141"/>
      <c r="N296" s="3640"/>
      <c r="O296" s="3640"/>
      <c r="P296" s="3640"/>
      <c r="Q296" s="3640"/>
      <c r="R296" s="3640"/>
      <c r="S296" s="141"/>
      <c r="T296" s="3640"/>
      <c r="U296" s="3640"/>
      <c r="V296" s="3640"/>
      <c r="W296" s="3640"/>
      <c r="X296" s="3640"/>
    </row>
    <row r="297" spans="8:24" s="2" customFormat="1" ht="18" customHeight="1">
      <c r="H297" s="3640"/>
      <c r="I297" s="3640"/>
      <c r="J297" s="3640"/>
      <c r="K297" s="3640"/>
      <c r="L297" s="3640"/>
      <c r="M297" s="141"/>
      <c r="N297" s="3640"/>
      <c r="O297" s="3640"/>
      <c r="P297" s="3640"/>
      <c r="Q297" s="3640"/>
      <c r="R297" s="3640"/>
      <c r="S297" s="141"/>
      <c r="T297" s="3640"/>
      <c r="U297" s="3640"/>
      <c r="V297" s="3640"/>
      <c r="W297" s="3640"/>
      <c r="X297" s="3640"/>
    </row>
    <row r="298" spans="8:24" s="2" customFormat="1" ht="18" customHeight="1">
      <c r="H298" s="3640"/>
      <c r="I298" s="3640"/>
      <c r="J298" s="3640"/>
      <c r="K298" s="3640"/>
      <c r="L298" s="3640"/>
      <c r="M298" s="141"/>
      <c r="N298" s="3640"/>
      <c r="O298" s="3640"/>
      <c r="P298" s="3640"/>
      <c r="Q298" s="3640"/>
      <c r="R298" s="3640"/>
      <c r="S298" s="141"/>
      <c r="T298" s="3640"/>
      <c r="U298" s="3640"/>
      <c r="V298" s="3640"/>
      <c r="W298" s="3640"/>
      <c r="X298" s="3640"/>
    </row>
    <row r="299" spans="8:24" s="2" customFormat="1" ht="18" customHeight="1">
      <c r="H299" s="3640"/>
      <c r="I299" s="3640"/>
      <c r="J299" s="3640"/>
      <c r="K299" s="3640"/>
      <c r="L299" s="3640"/>
      <c r="M299" s="141"/>
      <c r="N299" s="3640"/>
      <c r="O299" s="3640"/>
      <c r="P299" s="3640"/>
      <c r="Q299" s="3640"/>
      <c r="R299" s="3640"/>
      <c r="S299" s="141"/>
      <c r="T299" s="3640"/>
      <c r="U299" s="3640"/>
      <c r="V299" s="3640"/>
      <c r="W299" s="3640"/>
      <c r="X299" s="3640"/>
    </row>
    <row r="300" spans="8:24" s="2" customFormat="1" ht="18" customHeight="1">
      <c r="H300" s="3640"/>
      <c r="I300" s="3640"/>
      <c r="J300" s="3640"/>
      <c r="K300" s="3640"/>
      <c r="L300" s="3640"/>
      <c r="M300" s="141"/>
      <c r="N300" s="3640"/>
      <c r="O300" s="3640"/>
      <c r="P300" s="3640"/>
      <c r="Q300" s="3640"/>
      <c r="R300" s="3640"/>
      <c r="S300" s="141"/>
      <c r="T300" s="3640"/>
      <c r="U300" s="3640"/>
      <c r="V300" s="3640"/>
      <c r="W300" s="3640"/>
      <c r="X300" s="3640"/>
    </row>
    <row r="301" spans="8:24" s="2" customFormat="1" ht="18" customHeight="1">
      <c r="H301" s="3640"/>
      <c r="I301" s="3640"/>
      <c r="J301" s="3640"/>
      <c r="K301" s="3640"/>
      <c r="L301" s="3640"/>
      <c r="M301" s="141"/>
      <c r="N301" s="3640"/>
      <c r="O301" s="3640"/>
      <c r="P301" s="3640"/>
      <c r="Q301" s="3640"/>
      <c r="R301" s="3640"/>
      <c r="S301" s="141"/>
      <c r="T301" s="3640"/>
      <c r="U301" s="3640"/>
      <c r="V301" s="3640"/>
      <c r="W301" s="3640"/>
      <c r="X301" s="3640"/>
    </row>
    <row r="302" spans="8:24" s="2" customFormat="1" ht="18" customHeight="1">
      <c r="H302" s="3650" t="s">
        <v>469</v>
      </c>
      <c r="I302" s="3650"/>
      <c r="J302" s="3650"/>
      <c r="K302" s="3650"/>
      <c r="L302" s="3650"/>
      <c r="M302" s="141"/>
      <c r="N302" s="3650" t="s">
        <v>469</v>
      </c>
      <c r="O302" s="3650"/>
      <c r="P302" s="3650"/>
      <c r="Q302" s="3650"/>
      <c r="R302" s="3650"/>
      <c r="S302" s="141"/>
      <c r="T302" s="3650" t="s">
        <v>469</v>
      </c>
      <c r="U302" s="3650"/>
      <c r="V302" s="3650"/>
      <c r="W302" s="3650"/>
      <c r="X302" s="3650"/>
    </row>
    <row r="303" spans="8:24" s="2" customFormat="1" ht="18" customHeight="1">
      <c r="H303" s="3650"/>
      <c r="I303" s="3650"/>
      <c r="J303" s="3650"/>
      <c r="K303" s="3650"/>
      <c r="L303" s="3650"/>
      <c r="M303" s="140"/>
      <c r="N303" s="3650"/>
      <c r="O303" s="3650"/>
      <c r="P303" s="3650"/>
      <c r="Q303" s="3650"/>
      <c r="R303" s="3650"/>
      <c r="S303" s="140"/>
      <c r="T303" s="3650"/>
      <c r="U303" s="3650"/>
      <c r="V303" s="3650"/>
      <c r="W303" s="3650"/>
      <c r="X303" s="3650"/>
    </row>
    <row r="304" spans="8:24" s="2" customFormat="1" ht="18" customHeight="1">
      <c r="H304" s="510"/>
      <c r="I304" s="510"/>
      <c r="J304" s="510"/>
      <c r="K304" s="510"/>
      <c r="L304" s="510"/>
      <c r="M304" s="140"/>
      <c r="N304" s="510"/>
      <c r="O304" s="510"/>
      <c r="P304" s="510"/>
      <c r="Q304" s="510"/>
      <c r="R304" s="510"/>
      <c r="S304" s="140"/>
      <c r="T304" s="510"/>
      <c r="U304" s="510"/>
      <c r="V304" s="510"/>
      <c r="W304" s="510"/>
      <c r="X304" s="510"/>
    </row>
    <row r="305" spans="8:24" s="2" customFormat="1" ht="18" customHeight="1">
      <c r="H305" s="3640"/>
      <c r="I305" s="3640"/>
      <c r="J305" s="3640"/>
      <c r="K305" s="3640"/>
      <c r="L305" s="3640"/>
      <c r="M305" s="141"/>
      <c r="N305" s="3640"/>
      <c r="O305" s="3640"/>
      <c r="P305" s="3640"/>
      <c r="Q305" s="3640"/>
      <c r="R305" s="3640"/>
      <c r="S305" s="141"/>
      <c r="T305" s="3640"/>
      <c r="U305" s="3640"/>
      <c r="V305" s="3640"/>
      <c r="W305" s="3640"/>
      <c r="X305" s="3640"/>
    </row>
    <row r="306" spans="8:24" s="2" customFormat="1" ht="18" customHeight="1">
      <c r="H306" s="3640"/>
      <c r="I306" s="3640"/>
      <c r="J306" s="3640"/>
      <c r="K306" s="3640"/>
      <c r="L306" s="3640"/>
      <c r="M306" s="141"/>
      <c r="N306" s="3640"/>
      <c r="O306" s="3640"/>
      <c r="P306" s="3640"/>
      <c r="Q306" s="3640"/>
      <c r="R306" s="3640"/>
      <c r="S306" s="141"/>
      <c r="T306" s="3640"/>
      <c r="U306" s="3640"/>
      <c r="V306" s="3640"/>
      <c r="W306" s="3640"/>
      <c r="X306" s="3640"/>
    </row>
    <row r="307" spans="8:24" s="2" customFormat="1" ht="18" customHeight="1">
      <c r="H307" s="3640"/>
      <c r="I307" s="3640"/>
      <c r="J307" s="3640"/>
      <c r="K307" s="3640"/>
      <c r="L307" s="3640"/>
      <c r="M307" s="141"/>
      <c r="N307" s="3640"/>
      <c r="O307" s="3640"/>
      <c r="P307" s="3640"/>
      <c r="Q307" s="3640"/>
      <c r="R307" s="3640"/>
      <c r="S307" s="141"/>
      <c r="T307" s="3640"/>
      <c r="U307" s="3640"/>
      <c r="V307" s="3640"/>
      <c r="W307" s="3640"/>
      <c r="X307" s="3640"/>
    </row>
    <row r="308" spans="8:24" s="2" customFormat="1" ht="18" customHeight="1">
      <c r="H308" s="3640"/>
      <c r="I308" s="3640"/>
      <c r="J308" s="3640"/>
      <c r="K308" s="3640"/>
      <c r="L308" s="3640"/>
      <c r="M308" s="141"/>
      <c r="N308" s="3640"/>
      <c r="O308" s="3640"/>
      <c r="P308" s="3640"/>
      <c r="Q308" s="3640"/>
      <c r="R308" s="3640"/>
      <c r="S308" s="141"/>
      <c r="T308" s="3640"/>
      <c r="U308" s="3640"/>
      <c r="V308" s="3640"/>
      <c r="W308" s="3640"/>
      <c r="X308" s="3640"/>
    </row>
    <row r="309" spans="8:24" s="2" customFormat="1" ht="18" customHeight="1">
      <c r="H309" s="3640"/>
      <c r="I309" s="3640"/>
      <c r="J309" s="3640"/>
      <c r="K309" s="3640"/>
      <c r="L309" s="3640"/>
      <c r="M309" s="141"/>
      <c r="N309" s="3640"/>
      <c r="O309" s="3640"/>
      <c r="P309" s="3640"/>
      <c r="Q309" s="3640"/>
      <c r="R309" s="3640"/>
      <c r="S309" s="141"/>
      <c r="T309" s="3640"/>
      <c r="U309" s="3640"/>
      <c r="V309" s="3640"/>
      <c r="W309" s="3640"/>
      <c r="X309" s="3640"/>
    </row>
    <row r="310" spans="8:24" s="2" customFormat="1" ht="18" customHeight="1">
      <c r="H310" s="3640"/>
      <c r="I310" s="3640"/>
      <c r="J310" s="3640"/>
      <c r="K310" s="3640"/>
      <c r="L310" s="3640"/>
      <c r="M310" s="141"/>
      <c r="N310" s="3640"/>
      <c r="O310" s="3640"/>
      <c r="P310" s="3640"/>
      <c r="Q310" s="3640"/>
      <c r="R310" s="3640"/>
      <c r="S310" s="141"/>
      <c r="T310" s="3640"/>
      <c r="U310" s="3640"/>
      <c r="V310" s="3640"/>
      <c r="W310" s="3640"/>
      <c r="X310" s="3640"/>
    </row>
    <row r="311" spans="8:24" s="2" customFormat="1" ht="18" customHeight="1">
      <c r="H311" s="3640"/>
      <c r="I311" s="3640"/>
      <c r="J311" s="3640"/>
      <c r="K311" s="3640"/>
      <c r="L311" s="3640"/>
      <c r="M311" s="141"/>
      <c r="N311" s="3640"/>
      <c r="O311" s="3640"/>
      <c r="P311" s="3640"/>
      <c r="Q311" s="3640"/>
      <c r="R311" s="3640"/>
      <c r="S311" s="141"/>
      <c r="T311" s="3640"/>
      <c r="U311" s="3640"/>
      <c r="V311" s="3640"/>
      <c r="W311" s="3640"/>
      <c r="X311" s="3640"/>
    </row>
    <row r="312" spans="8:24" s="2" customFormat="1" ht="18" customHeight="1">
      <c r="H312" s="3640"/>
      <c r="I312" s="3640"/>
      <c r="J312" s="3640"/>
      <c r="K312" s="3640"/>
      <c r="L312" s="3640"/>
      <c r="M312" s="141"/>
      <c r="N312" s="3640"/>
      <c r="O312" s="3640"/>
      <c r="P312" s="3640"/>
      <c r="Q312" s="3640"/>
      <c r="R312" s="3640"/>
      <c r="S312" s="141"/>
      <c r="T312" s="3640"/>
      <c r="U312" s="3640"/>
      <c r="V312" s="3640"/>
      <c r="W312" s="3640"/>
      <c r="X312" s="3640"/>
    </row>
    <row r="313" spans="8:24" s="2" customFormat="1" ht="18" customHeight="1">
      <c r="H313" s="3640"/>
      <c r="I313" s="3640"/>
      <c r="J313" s="3640"/>
      <c r="K313" s="3640"/>
      <c r="L313" s="3640"/>
      <c r="M313" s="141"/>
      <c r="N313" s="3640"/>
      <c r="O313" s="3640"/>
      <c r="P313" s="3640"/>
      <c r="Q313" s="3640"/>
      <c r="R313" s="3640"/>
      <c r="S313" s="141"/>
      <c r="T313" s="3640"/>
      <c r="U313" s="3640"/>
      <c r="V313" s="3640"/>
      <c r="W313" s="3640"/>
      <c r="X313" s="3640"/>
    </row>
    <row r="314" spans="8:24" s="2" customFormat="1" ht="18" customHeight="1">
      <c r="H314" s="3650" t="s">
        <v>469</v>
      </c>
      <c r="I314" s="3650"/>
      <c r="J314" s="3650"/>
      <c r="K314" s="3650"/>
      <c r="L314" s="3650"/>
      <c r="M314" s="141"/>
      <c r="N314" s="3650" t="s">
        <v>469</v>
      </c>
      <c r="O314" s="3650"/>
      <c r="P314" s="3650"/>
      <c r="Q314" s="3650"/>
      <c r="R314" s="3650"/>
      <c r="S314" s="141"/>
      <c r="T314" s="3650" t="s">
        <v>469</v>
      </c>
      <c r="U314" s="3650"/>
      <c r="V314" s="3650"/>
      <c r="W314" s="3650"/>
      <c r="X314" s="3650"/>
    </row>
    <row r="315" spans="8:24" s="2" customFormat="1" ht="18" customHeight="1">
      <c r="H315" s="3650"/>
      <c r="I315" s="3650"/>
      <c r="J315" s="3650"/>
      <c r="K315" s="3650"/>
      <c r="L315" s="3650"/>
      <c r="M315" s="140"/>
      <c r="N315" s="3650"/>
      <c r="O315" s="3650"/>
      <c r="P315" s="3650"/>
      <c r="Q315" s="3650"/>
      <c r="R315" s="3650"/>
      <c r="S315" s="140"/>
      <c r="T315" s="3650"/>
      <c r="U315" s="3650"/>
      <c r="V315" s="3650"/>
      <c r="W315" s="3650"/>
      <c r="X315" s="3650"/>
    </row>
    <row r="316" spans="8:24" s="2" customFormat="1" ht="18" customHeight="1">
      <c r="H316" s="595"/>
      <c r="I316" s="595"/>
      <c r="J316" s="595"/>
      <c r="K316" s="595"/>
      <c r="L316" s="595"/>
      <c r="M316" s="140"/>
      <c r="N316" s="595"/>
      <c r="O316" s="595"/>
      <c r="P316" s="595"/>
      <c r="Q316" s="595"/>
      <c r="R316" s="595"/>
      <c r="S316" s="140"/>
      <c r="T316" s="595"/>
      <c r="U316" s="595"/>
      <c r="V316" s="595"/>
      <c r="W316" s="595"/>
      <c r="X316" s="595"/>
    </row>
    <row r="317" spans="8:24" s="2" customFormat="1" ht="27.95" customHeight="1">
      <c r="H317" s="141"/>
      <c r="I317" s="141"/>
      <c r="J317" s="141"/>
      <c r="K317" s="141"/>
      <c r="L317" s="141"/>
      <c r="M317" s="141"/>
      <c r="N317" s="141"/>
      <c r="O317" s="141"/>
      <c r="P317" s="141"/>
      <c r="Q317" s="141"/>
      <c r="R317" s="141"/>
      <c r="S317" s="141"/>
      <c r="T317" s="141"/>
      <c r="U317" s="141"/>
      <c r="V317" s="141"/>
      <c r="W317" s="141"/>
      <c r="X317" s="141"/>
    </row>
    <row r="318" spans="8:24" s="2" customFormat="1" ht="18" customHeight="1">
      <c r="H318" s="3544" t="str">
        <f>CONCATENATE("Report Prepared By: ",Investor_Name,"  |  ",Company_Name,"  |  ",Company_Email,"  |  ",Company_Website)</f>
        <v xml:space="preserve">Report Prepared By:   |    |    |  </v>
      </c>
      <c r="I318" s="3544"/>
      <c r="J318" s="3544"/>
      <c r="K318" s="3544"/>
      <c r="L318" s="3544"/>
      <c r="M318" s="3544"/>
      <c r="N318" s="3544"/>
      <c r="O318" s="3544"/>
      <c r="P318" s="3544"/>
      <c r="Q318" s="3544"/>
      <c r="R318" s="3544"/>
      <c r="S318" s="3544"/>
      <c r="T318" s="3544"/>
      <c r="U318" s="3544"/>
      <c r="V318" s="3544"/>
      <c r="W318" s="3561" t="str">
        <f>CONCATENATE("Page ",AN6," of ",$AG$3)</f>
        <v>Page 7 of 8</v>
      </c>
      <c r="X318" s="3561"/>
    </row>
    <row r="319" spans="8:24" s="2" customFormat="1" ht="18.600000000000001" customHeight="1">
      <c r="H319" s="3562" t="str">
        <f>CONCATENATE(Street_Address,", ",City_State_Zip)</f>
        <v>, 0</v>
      </c>
      <c r="I319" s="3562"/>
      <c r="J319" s="3562"/>
      <c r="K319" s="3562"/>
      <c r="L319" s="3562"/>
      <c r="M319" s="3562"/>
      <c r="N319" s="3562"/>
      <c r="O319" s="3562"/>
      <c r="P319" s="3562"/>
      <c r="Q319" s="3562"/>
      <c r="R319" s="3562"/>
      <c r="S319" s="3562"/>
      <c r="T319" s="3562"/>
      <c r="U319" s="3562"/>
      <c r="V319" s="3562"/>
      <c r="W319" s="3562"/>
      <c r="X319" s="3562"/>
    </row>
    <row r="320" spans="8:24" s="2" customFormat="1" ht="18.600000000000001" customHeight="1">
      <c r="H320" s="930"/>
      <c r="I320" s="930"/>
      <c r="J320" s="930"/>
      <c r="K320" s="930"/>
      <c r="L320" s="928"/>
      <c r="M320" s="928"/>
      <c r="N320" s="928"/>
      <c r="O320" s="929"/>
      <c r="P320" s="929"/>
      <c r="Q320" s="929"/>
      <c r="R320" s="929"/>
      <c r="S320" s="929"/>
      <c r="T320" s="929"/>
      <c r="U320" s="929"/>
      <c r="V320" s="929"/>
      <c r="W320" s="929"/>
      <c r="X320" s="929"/>
    </row>
    <row r="321" spans="8:24" s="2" customFormat="1" ht="18.600000000000001" customHeight="1">
      <c r="H321" s="866" t="s">
        <v>1609</v>
      </c>
      <c r="I321" s="930"/>
      <c r="J321" s="930"/>
      <c r="K321" s="930"/>
      <c r="L321" s="928"/>
      <c r="M321" s="928"/>
      <c r="N321" s="928"/>
      <c r="O321" s="929"/>
      <c r="P321" s="929"/>
      <c r="Q321" s="929"/>
      <c r="R321" s="929"/>
      <c r="S321" s="929"/>
      <c r="T321" s="929"/>
      <c r="U321" s="929"/>
      <c r="V321" s="929"/>
      <c r="W321" s="929"/>
      <c r="X321" s="929"/>
    </row>
    <row r="322" spans="8:24" s="2" customFormat="1" ht="18.600000000000001" customHeight="1">
      <c r="H322" s="1413"/>
      <c r="I322" s="1412"/>
      <c r="J322" s="1412"/>
      <c r="K322" s="1412"/>
      <c r="L322" s="1410"/>
      <c r="M322" s="1410"/>
      <c r="N322" s="1410"/>
      <c r="O322" s="1411"/>
      <c r="P322" s="1411"/>
      <c r="Q322" s="1411"/>
      <c r="R322" s="1411"/>
      <c r="S322" s="1411"/>
      <c r="T322" s="1411"/>
      <c r="U322" s="1411"/>
      <c r="V322" s="1411"/>
      <c r="W322" s="1411"/>
      <c r="X322" s="1411"/>
    </row>
    <row r="323" spans="8:24" s="2" customFormat="1" ht="18.600000000000001" customHeight="1">
      <c r="H323" s="1413"/>
      <c r="I323" s="1412"/>
      <c r="J323" s="1412"/>
      <c r="K323" s="1412"/>
      <c r="L323" s="1410"/>
      <c r="M323" s="1410"/>
      <c r="N323" s="1410"/>
      <c r="O323" s="1411"/>
      <c r="P323" s="1411"/>
      <c r="Q323" s="1411"/>
      <c r="R323" s="1411"/>
      <c r="S323" s="1411"/>
      <c r="T323" s="1411"/>
      <c r="U323" s="1411"/>
      <c r="V323" s="1411"/>
      <c r="W323" s="1411"/>
      <c r="X323" s="1411"/>
    </row>
    <row r="324" spans="8:24" s="2" customFormat="1" ht="18.600000000000001" customHeight="1">
      <c r="H324" s="1413"/>
      <c r="I324" s="1412"/>
      <c r="J324" s="1412"/>
      <c r="K324" s="1412"/>
      <c r="L324" s="1410"/>
      <c r="M324" s="1410"/>
      <c r="N324" s="1410"/>
      <c r="O324" s="1411"/>
      <c r="P324" s="1411"/>
      <c r="Q324" s="1411"/>
      <c r="R324" s="1411"/>
      <c r="S324" s="1411"/>
      <c r="T324" s="1411"/>
      <c r="U324" s="1411"/>
      <c r="V324" s="1411"/>
      <c r="W324" s="1411"/>
      <c r="X324" s="1411"/>
    </row>
    <row r="325" spans="8:24" s="2" customFormat="1" ht="18.600000000000001" customHeight="1">
      <c r="H325" s="3640"/>
      <c r="I325" s="3640"/>
      <c r="J325" s="3640"/>
      <c r="K325" s="3640"/>
      <c r="L325" s="3640"/>
      <c r="M325" s="141"/>
      <c r="N325" s="3640"/>
      <c r="O325" s="3640"/>
      <c r="P325" s="3640"/>
      <c r="Q325" s="3640"/>
      <c r="R325" s="3640"/>
      <c r="S325" s="141"/>
      <c r="T325" s="3640"/>
      <c r="U325" s="3640"/>
      <c r="V325" s="3640"/>
      <c r="W325" s="3640"/>
      <c r="X325" s="3640"/>
    </row>
    <row r="326" spans="8:24" s="2" customFormat="1" ht="18.600000000000001" customHeight="1">
      <c r="H326" s="3640"/>
      <c r="I326" s="3640"/>
      <c r="J326" s="3640"/>
      <c r="K326" s="3640"/>
      <c r="L326" s="3640"/>
      <c r="M326" s="141"/>
      <c r="N326" s="3640"/>
      <c r="O326" s="3640"/>
      <c r="P326" s="3640"/>
      <c r="Q326" s="3640"/>
      <c r="R326" s="3640"/>
      <c r="S326" s="141"/>
      <c r="T326" s="3640"/>
      <c r="U326" s="3640"/>
      <c r="V326" s="3640"/>
      <c r="W326" s="3640"/>
      <c r="X326" s="3640"/>
    </row>
    <row r="327" spans="8:24" s="2" customFormat="1" ht="18.600000000000001" customHeight="1">
      <c r="H327" s="3640"/>
      <c r="I327" s="3640"/>
      <c r="J327" s="3640"/>
      <c r="K327" s="3640"/>
      <c r="L327" s="3640"/>
      <c r="M327" s="141"/>
      <c r="N327" s="3640"/>
      <c r="O327" s="3640"/>
      <c r="P327" s="3640"/>
      <c r="Q327" s="3640"/>
      <c r="R327" s="3640"/>
      <c r="S327" s="141"/>
      <c r="T327" s="3640"/>
      <c r="U327" s="3640"/>
      <c r="V327" s="3640"/>
      <c r="W327" s="3640"/>
      <c r="X327" s="3640"/>
    </row>
    <row r="328" spans="8:24" s="2" customFormat="1" ht="18.600000000000001" customHeight="1">
      <c r="H328" s="3640"/>
      <c r="I328" s="3640"/>
      <c r="J328" s="3640"/>
      <c r="K328" s="3640"/>
      <c r="L328" s="3640"/>
      <c r="M328" s="141"/>
      <c r="N328" s="3640"/>
      <c r="O328" s="3640"/>
      <c r="P328" s="3640"/>
      <c r="Q328" s="3640"/>
      <c r="R328" s="3640"/>
      <c r="S328" s="141"/>
      <c r="T328" s="3640"/>
      <c r="U328" s="3640"/>
      <c r="V328" s="3640"/>
      <c r="W328" s="3640"/>
      <c r="X328" s="3640"/>
    </row>
    <row r="329" spans="8:24" s="2" customFormat="1" ht="18.600000000000001" customHeight="1">
      <c r="H329" s="3640"/>
      <c r="I329" s="3640"/>
      <c r="J329" s="3640"/>
      <c r="K329" s="3640"/>
      <c r="L329" s="3640"/>
      <c r="M329" s="141"/>
      <c r="N329" s="3640"/>
      <c r="O329" s="3640"/>
      <c r="P329" s="3640"/>
      <c r="Q329" s="3640"/>
      <c r="R329" s="3640"/>
      <c r="S329" s="141"/>
      <c r="T329" s="3640"/>
      <c r="U329" s="3640"/>
      <c r="V329" s="3640"/>
      <c r="W329" s="3640"/>
      <c r="X329" s="3640"/>
    </row>
    <row r="330" spans="8:24" s="2" customFormat="1" ht="18.600000000000001" customHeight="1">
      <c r="H330" s="3640"/>
      <c r="I330" s="3640"/>
      <c r="J330" s="3640"/>
      <c r="K330" s="3640"/>
      <c r="L330" s="3640"/>
      <c r="M330" s="141"/>
      <c r="N330" s="3640"/>
      <c r="O330" s="3640"/>
      <c r="P330" s="3640"/>
      <c r="Q330" s="3640"/>
      <c r="R330" s="3640"/>
      <c r="S330" s="141"/>
      <c r="T330" s="3640"/>
      <c r="U330" s="3640"/>
      <c r="V330" s="3640"/>
      <c r="W330" s="3640"/>
      <c r="X330" s="3640"/>
    </row>
    <row r="331" spans="8:24" s="2" customFormat="1" ht="18.600000000000001" customHeight="1">
      <c r="H331" s="3640"/>
      <c r="I331" s="3640"/>
      <c r="J331" s="3640"/>
      <c r="K331" s="3640"/>
      <c r="L331" s="3640"/>
      <c r="M331" s="141"/>
      <c r="N331" s="3640"/>
      <c r="O331" s="3640"/>
      <c r="P331" s="3640"/>
      <c r="Q331" s="3640"/>
      <c r="R331" s="3640"/>
      <c r="S331" s="141"/>
      <c r="T331" s="3640"/>
      <c r="U331" s="3640"/>
      <c r="V331" s="3640"/>
      <c r="W331" s="3640"/>
      <c r="X331" s="3640"/>
    </row>
    <row r="332" spans="8:24" s="2" customFormat="1" ht="18.600000000000001" customHeight="1">
      <c r="H332" s="3640"/>
      <c r="I332" s="3640"/>
      <c r="J332" s="3640"/>
      <c r="K332" s="3640"/>
      <c r="L332" s="3640"/>
      <c r="M332" s="141"/>
      <c r="N332" s="3640"/>
      <c r="O332" s="3640"/>
      <c r="P332" s="3640"/>
      <c r="Q332" s="3640"/>
      <c r="R332" s="3640"/>
      <c r="S332" s="141"/>
      <c r="T332" s="3640"/>
      <c r="U332" s="3640"/>
      <c r="V332" s="3640"/>
      <c r="W332" s="3640"/>
      <c r="X332" s="3640"/>
    </row>
    <row r="333" spans="8:24" s="2" customFormat="1" ht="18.600000000000001" customHeight="1">
      <c r="H333" s="3640"/>
      <c r="I333" s="3640"/>
      <c r="J333" s="3640"/>
      <c r="K333" s="3640"/>
      <c r="L333" s="3640"/>
      <c r="M333" s="141"/>
      <c r="N333" s="3640"/>
      <c r="O333" s="3640"/>
      <c r="P333" s="3640"/>
      <c r="Q333" s="3640"/>
      <c r="R333" s="3640"/>
      <c r="S333" s="141"/>
      <c r="T333" s="3640"/>
      <c r="U333" s="3640"/>
      <c r="V333" s="3640"/>
      <c r="W333" s="3640"/>
      <c r="X333" s="3640"/>
    </row>
    <row r="334" spans="8:24" s="2" customFormat="1" ht="18.600000000000001" customHeight="1">
      <c r="H334" s="3650" t="s">
        <v>469</v>
      </c>
      <c r="I334" s="3650"/>
      <c r="J334" s="3650"/>
      <c r="K334" s="3650"/>
      <c r="L334" s="3650"/>
      <c r="M334" s="141"/>
      <c r="N334" s="3650" t="s">
        <v>469</v>
      </c>
      <c r="O334" s="3650"/>
      <c r="P334" s="3650"/>
      <c r="Q334" s="3650"/>
      <c r="R334" s="3650"/>
      <c r="S334" s="141"/>
      <c r="T334" s="3650" t="s">
        <v>469</v>
      </c>
      <c r="U334" s="3650"/>
      <c r="V334" s="3650"/>
      <c r="W334" s="3650"/>
      <c r="X334" s="3650"/>
    </row>
    <row r="335" spans="8:24" s="2" customFormat="1" ht="18.600000000000001" customHeight="1">
      <c r="H335" s="3650"/>
      <c r="I335" s="3650"/>
      <c r="J335" s="3650"/>
      <c r="K335" s="3650"/>
      <c r="L335" s="3650"/>
      <c r="M335" s="140"/>
      <c r="N335" s="3650"/>
      <c r="O335" s="3650"/>
      <c r="P335" s="3650"/>
      <c r="Q335" s="3650"/>
      <c r="R335" s="3650"/>
      <c r="S335" s="140"/>
      <c r="T335" s="3650"/>
      <c r="U335" s="3650"/>
      <c r="V335" s="3650"/>
      <c r="W335" s="3650"/>
      <c r="X335" s="3650"/>
    </row>
    <row r="336" spans="8:24" s="2" customFormat="1" ht="9.75" customHeight="1">
      <c r="H336" s="141"/>
      <c r="I336" s="141"/>
      <c r="J336" s="141"/>
      <c r="K336" s="141"/>
      <c r="L336" s="141"/>
      <c r="M336" s="141"/>
      <c r="N336" s="141"/>
      <c r="O336" s="141"/>
      <c r="P336" s="141"/>
      <c r="Q336" s="141"/>
      <c r="R336" s="141"/>
      <c r="S336" s="141"/>
      <c r="T336" s="141"/>
      <c r="U336" s="141"/>
      <c r="V336" s="141"/>
      <c r="W336" s="141"/>
      <c r="X336" s="141"/>
    </row>
    <row r="337" spans="8:24" s="2" customFormat="1" ht="18" customHeight="1">
      <c r="H337" s="3640"/>
      <c r="I337" s="3640"/>
      <c r="J337" s="3640"/>
      <c r="K337" s="3640"/>
      <c r="L337" s="3640"/>
      <c r="M337" s="141"/>
      <c r="N337" s="3640"/>
      <c r="O337" s="3640"/>
      <c r="P337" s="3640"/>
      <c r="Q337" s="3640"/>
      <c r="R337" s="3640"/>
      <c r="S337" s="141"/>
      <c r="T337" s="3640"/>
      <c r="U337" s="3640"/>
      <c r="V337" s="3640"/>
      <c r="W337" s="3640"/>
      <c r="X337" s="3640"/>
    </row>
    <row r="338" spans="8:24" s="2" customFormat="1" ht="18" customHeight="1">
      <c r="H338" s="3640"/>
      <c r="I338" s="3640"/>
      <c r="J338" s="3640"/>
      <c r="K338" s="3640"/>
      <c r="L338" s="3640"/>
      <c r="M338" s="141"/>
      <c r="N338" s="3640"/>
      <c r="O338" s="3640"/>
      <c r="P338" s="3640"/>
      <c r="Q338" s="3640"/>
      <c r="R338" s="3640"/>
      <c r="S338" s="141"/>
      <c r="T338" s="3640"/>
      <c r="U338" s="3640"/>
      <c r="V338" s="3640"/>
      <c r="W338" s="3640"/>
      <c r="X338" s="3640"/>
    </row>
    <row r="339" spans="8:24" s="2" customFormat="1" ht="18" customHeight="1">
      <c r="H339" s="3640"/>
      <c r="I339" s="3640"/>
      <c r="J339" s="3640"/>
      <c r="K339" s="3640"/>
      <c r="L339" s="3640"/>
      <c r="M339" s="141"/>
      <c r="N339" s="3640"/>
      <c r="O339" s="3640"/>
      <c r="P339" s="3640"/>
      <c r="Q339" s="3640"/>
      <c r="R339" s="3640"/>
      <c r="S339" s="141"/>
      <c r="T339" s="3640"/>
      <c r="U339" s="3640"/>
      <c r="V339" s="3640"/>
      <c r="W339" s="3640"/>
      <c r="X339" s="3640"/>
    </row>
    <row r="340" spans="8:24" s="2" customFormat="1" ht="18" customHeight="1">
      <c r="H340" s="3640"/>
      <c r="I340" s="3640"/>
      <c r="J340" s="3640"/>
      <c r="K340" s="3640"/>
      <c r="L340" s="3640"/>
      <c r="M340" s="141"/>
      <c r="N340" s="3640"/>
      <c r="O340" s="3640"/>
      <c r="P340" s="3640"/>
      <c r="Q340" s="3640"/>
      <c r="R340" s="3640"/>
      <c r="S340" s="141"/>
      <c r="T340" s="3640"/>
      <c r="U340" s="3640"/>
      <c r="V340" s="3640"/>
      <c r="W340" s="3640"/>
      <c r="X340" s="3640"/>
    </row>
    <row r="341" spans="8:24" s="2" customFormat="1" ht="18" customHeight="1">
      <c r="H341" s="3640"/>
      <c r="I341" s="3640"/>
      <c r="J341" s="3640"/>
      <c r="K341" s="3640"/>
      <c r="L341" s="3640"/>
      <c r="M341" s="141"/>
      <c r="N341" s="3640"/>
      <c r="O341" s="3640"/>
      <c r="P341" s="3640"/>
      <c r="Q341" s="3640"/>
      <c r="R341" s="3640"/>
      <c r="S341" s="141"/>
      <c r="T341" s="3640"/>
      <c r="U341" s="3640"/>
      <c r="V341" s="3640"/>
      <c r="W341" s="3640"/>
      <c r="X341" s="3640"/>
    </row>
    <row r="342" spans="8:24" s="2" customFormat="1" ht="18" customHeight="1">
      <c r="H342" s="3640"/>
      <c r="I342" s="3640"/>
      <c r="J342" s="3640"/>
      <c r="K342" s="3640"/>
      <c r="L342" s="3640"/>
      <c r="M342" s="141"/>
      <c r="N342" s="3640"/>
      <c r="O342" s="3640"/>
      <c r="P342" s="3640"/>
      <c r="Q342" s="3640"/>
      <c r="R342" s="3640"/>
      <c r="S342" s="141"/>
      <c r="T342" s="3640"/>
      <c r="U342" s="3640"/>
      <c r="V342" s="3640"/>
      <c r="W342" s="3640"/>
      <c r="X342" s="3640"/>
    </row>
    <row r="343" spans="8:24" s="2" customFormat="1" ht="18" customHeight="1">
      <c r="H343" s="3640"/>
      <c r="I343" s="3640"/>
      <c r="J343" s="3640"/>
      <c r="K343" s="3640"/>
      <c r="L343" s="3640"/>
      <c r="M343" s="141"/>
      <c r="N343" s="3640"/>
      <c r="O343" s="3640"/>
      <c r="P343" s="3640"/>
      <c r="Q343" s="3640"/>
      <c r="R343" s="3640"/>
      <c r="S343" s="141"/>
      <c r="T343" s="3640"/>
      <c r="U343" s="3640"/>
      <c r="V343" s="3640"/>
      <c r="W343" s="3640"/>
      <c r="X343" s="3640"/>
    </row>
    <row r="344" spans="8:24" s="2" customFormat="1" ht="18" customHeight="1">
      <c r="H344" s="3640"/>
      <c r="I344" s="3640"/>
      <c r="J344" s="3640"/>
      <c r="K344" s="3640"/>
      <c r="L344" s="3640"/>
      <c r="M344" s="141"/>
      <c r="N344" s="3640"/>
      <c r="O344" s="3640"/>
      <c r="P344" s="3640"/>
      <c r="Q344" s="3640"/>
      <c r="R344" s="3640"/>
      <c r="S344" s="141"/>
      <c r="T344" s="3640"/>
      <c r="U344" s="3640"/>
      <c r="V344" s="3640"/>
      <c r="W344" s="3640"/>
      <c r="X344" s="3640"/>
    </row>
    <row r="345" spans="8:24" s="2" customFormat="1" ht="18" customHeight="1">
      <c r="H345" s="3640"/>
      <c r="I345" s="3640"/>
      <c r="J345" s="3640"/>
      <c r="K345" s="3640"/>
      <c r="L345" s="3640"/>
      <c r="M345" s="141"/>
      <c r="N345" s="3640"/>
      <c r="O345" s="3640"/>
      <c r="P345" s="3640"/>
      <c r="Q345" s="3640"/>
      <c r="R345" s="3640"/>
      <c r="S345" s="141"/>
      <c r="T345" s="3640"/>
      <c r="U345" s="3640"/>
      <c r="V345" s="3640"/>
      <c r="W345" s="3640"/>
      <c r="X345" s="3640"/>
    </row>
    <row r="346" spans="8:24" s="2" customFormat="1" ht="18" customHeight="1">
      <c r="H346" s="3650" t="s">
        <v>469</v>
      </c>
      <c r="I346" s="3650"/>
      <c r="J346" s="3650"/>
      <c r="K346" s="3650"/>
      <c r="L346" s="3650"/>
      <c r="M346" s="141"/>
      <c r="N346" s="3650" t="s">
        <v>469</v>
      </c>
      <c r="O346" s="3650"/>
      <c r="P346" s="3650"/>
      <c r="Q346" s="3650"/>
      <c r="R346" s="3650"/>
      <c r="S346" s="141"/>
      <c r="T346" s="3650" t="s">
        <v>469</v>
      </c>
      <c r="U346" s="3650"/>
      <c r="V346" s="3650"/>
      <c r="W346" s="3650"/>
      <c r="X346" s="3650"/>
    </row>
    <row r="347" spans="8:24" s="2" customFormat="1" ht="18" customHeight="1">
      <c r="H347" s="3650"/>
      <c r="I347" s="3650"/>
      <c r="J347" s="3650"/>
      <c r="K347" s="3650"/>
      <c r="L347" s="3650"/>
      <c r="M347" s="140"/>
      <c r="N347" s="3650"/>
      <c r="O347" s="3650"/>
      <c r="P347" s="3650"/>
      <c r="Q347" s="3650"/>
      <c r="R347" s="3650"/>
      <c r="S347" s="140"/>
      <c r="T347" s="3650"/>
      <c r="U347" s="3650"/>
      <c r="V347" s="3650"/>
      <c r="W347" s="3650"/>
      <c r="X347" s="3650"/>
    </row>
    <row r="348" spans="8:24" s="2" customFormat="1" ht="18" customHeight="1">
      <c r="H348" s="510"/>
      <c r="I348" s="510"/>
      <c r="J348" s="510"/>
      <c r="K348" s="510"/>
      <c r="L348" s="510"/>
      <c r="M348" s="140"/>
      <c r="N348" s="510"/>
      <c r="O348" s="510"/>
      <c r="P348" s="510"/>
      <c r="Q348" s="510"/>
      <c r="R348" s="510"/>
      <c r="S348" s="140"/>
      <c r="T348" s="510"/>
      <c r="U348" s="510"/>
      <c r="V348" s="510"/>
      <c r="W348" s="510"/>
      <c r="X348" s="510"/>
    </row>
    <row r="349" spans="8:24" s="2" customFormat="1" ht="18" customHeight="1">
      <c r="H349" s="3640"/>
      <c r="I349" s="3640"/>
      <c r="J349" s="3640"/>
      <c r="K349" s="3640"/>
      <c r="L349" s="3640"/>
      <c r="M349" s="141"/>
      <c r="N349" s="3640"/>
      <c r="O349" s="3640"/>
      <c r="P349" s="3640"/>
      <c r="Q349" s="3640"/>
      <c r="R349" s="3640"/>
      <c r="S349" s="141"/>
      <c r="T349" s="3640"/>
      <c r="U349" s="3640"/>
      <c r="V349" s="3640"/>
      <c r="W349" s="3640"/>
      <c r="X349" s="3640"/>
    </row>
    <row r="350" spans="8:24" s="2" customFormat="1" ht="18" customHeight="1">
      <c r="H350" s="3640"/>
      <c r="I350" s="3640"/>
      <c r="J350" s="3640"/>
      <c r="K350" s="3640"/>
      <c r="L350" s="3640"/>
      <c r="M350" s="141"/>
      <c r="N350" s="3640"/>
      <c r="O350" s="3640"/>
      <c r="P350" s="3640"/>
      <c r="Q350" s="3640"/>
      <c r="R350" s="3640"/>
      <c r="S350" s="141"/>
      <c r="T350" s="3640"/>
      <c r="U350" s="3640"/>
      <c r="V350" s="3640"/>
      <c r="W350" s="3640"/>
      <c r="X350" s="3640"/>
    </row>
    <row r="351" spans="8:24" s="2" customFormat="1" ht="18" customHeight="1">
      <c r="H351" s="3640"/>
      <c r="I351" s="3640"/>
      <c r="J351" s="3640"/>
      <c r="K351" s="3640"/>
      <c r="L351" s="3640"/>
      <c r="M351" s="141"/>
      <c r="N351" s="3640"/>
      <c r="O351" s="3640"/>
      <c r="P351" s="3640"/>
      <c r="Q351" s="3640"/>
      <c r="R351" s="3640"/>
      <c r="S351" s="141"/>
      <c r="T351" s="3640"/>
      <c r="U351" s="3640"/>
      <c r="V351" s="3640"/>
      <c r="W351" s="3640"/>
      <c r="X351" s="3640"/>
    </row>
    <row r="352" spans="8:24" s="2" customFormat="1" ht="18" customHeight="1">
      <c r="H352" s="3640"/>
      <c r="I352" s="3640"/>
      <c r="J352" s="3640"/>
      <c r="K352" s="3640"/>
      <c r="L352" s="3640"/>
      <c r="M352" s="141"/>
      <c r="N352" s="3640"/>
      <c r="O352" s="3640"/>
      <c r="P352" s="3640"/>
      <c r="Q352" s="3640"/>
      <c r="R352" s="3640"/>
      <c r="S352" s="141"/>
      <c r="T352" s="3640"/>
      <c r="U352" s="3640"/>
      <c r="V352" s="3640"/>
      <c r="W352" s="3640"/>
      <c r="X352" s="3640"/>
    </row>
    <row r="353" spans="8:24" s="2" customFormat="1" ht="18" customHeight="1">
      <c r="H353" s="3640"/>
      <c r="I353" s="3640"/>
      <c r="J353" s="3640"/>
      <c r="K353" s="3640"/>
      <c r="L353" s="3640"/>
      <c r="M353" s="141"/>
      <c r="N353" s="3640"/>
      <c r="O353" s="3640"/>
      <c r="P353" s="3640"/>
      <c r="Q353" s="3640"/>
      <c r="R353" s="3640"/>
      <c r="S353" s="141"/>
      <c r="T353" s="3640"/>
      <c r="U353" s="3640"/>
      <c r="V353" s="3640"/>
      <c r="W353" s="3640"/>
      <c r="X353" s="3640"/>
    </row>
    <row r="354" spans="8:24" s="2" customFormat="1" ht="18" customHeight="1">
      <c r="H354" s="3640"/>
      <c r="I354" s="3640"/>
      <c r="J354" s="3640"/>
      <c r="K354" s="3640"/>
      <c r="L354" s="3640"/>
      <c r="M354" s="141"/>
      <c r="N354" s="3640"/>
      <c r="O354" s="3640"/>
      <c r="P354" s="3640"/>
      <c r="Q354" s="3640"/>
      <c r="R354" s="3640"/>
      <c r="S354" s="141"/>
      <c r="T354" s="3640"/>
      <c r="U354" s="3640"/>
      <c r="V354" s="3640"/>
      <c r="W354" s="3640"/>
      <c r="X354" s="3640"/>
    </row>
    <row r="355" spans="8:24" s="2" customFormat="1" ht="18" customHeight="1">
      <c r="H355" s="3640"/>
      <c r="I355" s="3640"/>
      <c r="J355" s="3640"/>
      <c r="K355" s="3640"/>
      <c r="L355" s="3640"/>
      <c r="M355" s="141"/>
      <c r="N355" s="3640"/>
      <c r="O355" s="3640"/>
      <c r="P355" s="3640"/>
      <c r="Q355" s="3640"/>
      <c r="R355" s="3640"/>
      <c r="S355" s="141"/>
      <c r="T355" s="3640"/>
      <c r="U355" s="3640"/>
      <c r="V355" s="3640"/>
      <c r="W355" s="3640"/>
      <c r="X355" s="3640"/>
    </row>
    <row r="356" spans="8:24" s="2" customFormat="1" ht="18" customHeight="1">
      <c r="H356" s="3640"/>
      <c r="I356" s="3640"/>
      <c r="J356" s="3640"/>
      <c r="K356" s="3640"/>
      <c r="L356" s="3640"/>
      <c r="M356" s="141"/>
      <c r="N356" s="3640"/>
      <c r="O356" s="3640"/>
      <c r="P356" s="3640"/>
      <c r="Q356" s="3640"/>
      <c r="R356" s="3640"/>
      <c r="S356" s="141"/>
      <c r="T356" s="3640"/>
      <c r="U356" s="3640"/>
      <c r="V356" s="3640"/>
      <c r="W356" s="3640"/>
      <c r="X356" s="3640"/>
    </row>
    <row r="357" spans="8:24" s="2" customFormat="1" ht="18" customHeight="1">
      <c r="H357" s="3640"/>
      <c r="I357" s="3640"/>
      <c r="J357" s="3640"/>
      <c r="K357" s="3640"/>
      <c r="L357" s="3640"/>
      <c r="M357" s="141"/>
      <c r="N357" s="3640"/>
      <c r="O357" s="3640"/>
      <c r="P357" s="3640"/>
      <c r="Q357" s="3640"/>
      <c r="R357" s="3640"/>
      <c r="S357" s="141"/>
      <c r="T357" s="3640"/>
      <c r="U357" s="3640"/>
      <c r="V357" s="3640"/>
      <c r="W357" s="3640"/>
      <c r="X357" s="3640"/>
    </row>
    <row r="358" spans="8:24" s="2" customFormat="1" ht="18" customHeight="1">
      <c r="H358" s="3650" t="s">
        <v>469</v>
      </c>
      <c r="I358" s="3650"/>
      <c r="J358" s="3650"/>
      <c r="K358" s="3650"/>
      <c r="L358" s="3650"/>
      <c r="M358" s="141"/>
      <c r="N358" s="3650" t="s">
        <v>469</v>
      </c>
      <c r="O358" s="3650"/>
      <c r="P358" s="3650"/>
      <c r="Q358" s="3650"/>
      <c r="R358" s="3650"/>
      <c r="S358" s="141"/>
      <c r="T358" s="3650" t="s">
        <v>469</v>
      </c>
      <c r="U358" s="3650"/>
      <c r="V358" s="3650"/>
      <c r="W358" s="3650"/>
      <c r="X358" s="3650"/>
    </row>
    <row r="359" spans="8:24" s="2" customFormat="1" ht="18" customHeight="1">
      <c r="H359" s="3650"/>
      <c r="I359" s="3650"/>
      <c r="J359" s="3650"/>
      <c r="K359" s="3650"/>
      <c r="L359" s="3650"/>
      <c r="M359" s="140"/>
      <c r="N359" s="3650"/>
      <c r="O359" s="3650"/>
      <c r="P359" s="3650"/>
      <c r="Q359" s="3650"/>
      <c r="R359" s="3650"/>
      <c r="S359" s="140"/>
      <c r="T359" s="3650"/>
      <c r="U359" s="3650"/>
      <c r="V359" s="3650"/>
      <c r="W359" s="3650"/>
      <c r="X359" s="3650"/>
    </row>
    <row r="360" spans="8:24" s="2" customFormat="1" ht="18" customHeight="1">
      <c r="H360" s="510"/>
      <c r="I360" s="510"/>
      <c r="J360" s="510"/>
      <c r="K360" s="510"/>
      <c r="L360" s="510"/>
      <c r="M360" s="140"/>
      <c r="N360" s="510"/>
      <c r="O360" s="510"/>
      <c r="P360" s="510"/>
      <c r="Q360" s="510"/>
      <c r="R360" s="510"/>
      <c r="S360" s="140"/>
      <c r="T360" s="510"/>
      <c r="U360" s="510"/>
      <c r="V360" s="510"/>
      <c r="W360" s="510"/>
      <c r="X360" s="510"/>
    </row>
    <row r="361" spans="8:24" s="2" customFormat="1" ht="18" customHeight="1">
      <c r="H361" s="3640"/>
      <c r="I361" s="3640"/>
      <c r="J361" s="3640"/>
      <c r="K361" s="3640"/>
      <c r="L361" s="3640"/>
      <c r="M361" s="141"/>
      <c r="N361" s="3640"/>
      <c r="O361" s="3640"/>
      <c r="P361" s="3640"/>
      <c r="Q361" s="3640"/>
      <c r="R361" s="3640"/>
      <c r="S361" s="141"/>
      <c r="T361" s="3640"/>
      <c r="U361" s="3640"/>
      <c r="V361" s="3640"/>
      <c r="W361" s="3640"/>
      <c r="X361" s="3640"/>
    </row>
    <row r="362" spans="8:24" s="2" customFormat="1" ht="18" customHeight="1">
      <c r="H362" s="3640"/>
      <c r="I362" s="3640"/>
      <c r="J362" s="3640"/>
      <c r="K362" s="3640"/>
      <c r="L362" s="3640"/>
      <c r="M362" s="141"/>
      <c r="N362" s="3640"/>
      <c r="O362" s="3640"/>
      <c r="P362" s="3640"/>
      <c r="Q362" s="3640"/>
      <c r="R362" s="3640"/>
      <c r="S362" s="141"/>
      <c r="T362" s="3640"/>
      <c r="U362" s="3640"/>
      <c r="V362" s="3640"/>
      <c r="W362" s="3640"/>
      <c r="X362" s="3640"/>
    </row>
    <row r="363" spans="8:24" s="2" customFormat="1" ht="18" customHeight="1">
      <c r="H363" s="3640"/>
      <c r="I363" s="3640"/>
      <c r="J363" s="3640"/>
      <c r="K363" s="3640"/>
      <c r="L363" s="3640"/>
      <c r="M363" s="141"/>
      <c r="N363" s="3640"/>
      <c r="O363" s="3640"/>
      <c r="P363" s="3640"/>
      <c r="Q363" s="3640"/>
      <c r="R363" s="3640"/>
      <c r="S363" s="141"/>
      <c r="T363" s="3640"/>
      <c r="U363" s="3640"/>
      <c r="V363" s="3640"/>
      <c r="W363" s="3640"/>
      <c r="X363" s="3640"/>
    </row>
    <row r="364" spans="8:24" s="2" customFormat="1" ht="18" customHeight="1">
      <c r="H364" s="3640"/>
      <c r="I364" s="3640"/>
      <c r="J364" s="3640"/>
      <c r="K364" s="3640"/>
      <c r="L364" s="3640"/>
      <c r="M364" s="141"/>
      <c r="N364" s="3640"/>
      <c r="O364" s="3640"/>
      <c r="P364" s="3640"/>
      <c r="Q364" s="3640"/>
      <c r="R364" s="3640"/>
      <c r="S364" s="141"/>
      <c r="T364" s="3640"/>
      <c r="U364" s="3640"/>
      <c r="V364" s="3640"/>
      <c r="W364" s="3640"/>
      <c r="X364" s="3640"/>
    </row>
    <row r="365" spans="8:24" s="2" customFormat="1" ht="18" customHeight="1">
      <c r="H365" s="3640"/>
      <c r="I365" s="3640"/>
      <c r="J365" s="3640"/>
      <c r="K365" s="3640"/>
      <c r="L365" s="3640"/>
      <c r="M365" s="141"/>
      <c r="N365" s="3640"/>
      <c r="O365" s="3640"/>
      <c r="P365" s="3640"/>
      <c r="Q365" s="3640"/>
      <c r="R365" s="3640"/>
      <c r="S365" s="141"/>
      <c r="T365" s="3640"/>
      <c r="U365" s="3640"/>
      <c r="V365" s="3640"/>
      <c r="W365" s="3640"/>
      <c r="X365" s="3640"/>
    </row>
    <row r="366" spans="8:24" s="2" customFormat="1" ht="18" customHeight="1">
      <c r="H366" s="3640"/>
      <c r="I366" s="3640"/>
      <c r="J366" s="3640"/>
      <c r="K366" s="3640"/>
      <c r="L366" s="3640"/>
      <c r="M366" s="141"/>
      <c r="N366" s="3640"/>
      <c r="O366" s="3640"/>
      <c r="P366" s="3640"/>
      <c r="Q366" s="3640"/>
      <c r="R366" s="3640"/>
      <c r="S366" s="141"/>
      <c r="T366" s="3640"/>
      <c r="U366" s="3640"/>
      <c r="V366" s="3640"/>
      <c r="W366" s="3640"/>
      <c r="X366" s="3640"/>
    </row>
    <row r="367" spans="8:24" s="2" customFormat="1" ht="18" customHeight="1">
      <c r="H367" s="3640"/>
      <c r="I367" s="3640"/>
      <c r="J367" s="3640"/>
      <c r="K367" s="3640"/>
      <c r="L367" s="3640"/>
      <c r="M367" s="141"/>
      <c r="N367" s="3640"/>
      <c r="O367" s="3640"/>
      <c r="P367" s="3640"/>
      <c r="Q367" s="3640"/>
      <c r="R367" s="3640"/>
      <c r="S367" s="141"/>
      <c r="T367" s="3640"/>
      <c r="U367" s="3640"/>
      <c r="V367" s="3640"/>
      <c r="W367" s="3640"/>
      <c r="X367" s="3640"/>
    </row>
    <row r="368" spans="8:24" s="2" customFormat="1" ht="18" customHeight="1">
      <c r="H368" s="3640"/>
      <c r="I368" s="3640"/>
      <c r="J368" s="3640"/>
      <c r="K368" s="3640"/>
      <c r="L368" s="3640"/>
      <c r="M368" s="141"/>
      <c r="N368" s="3640"/>
      <c r="O368" s="3640"/>
      <c r="P368" s="3640"/>
      <c r="Q368" s="3640"/>
      <c r="R368" s="3640"/>
      <c r="S368" s="141"/>
      <c r="T368" s="3640"/>
      <c r="U368" s="3640"/>
      <c r="V368" s="3640"/>
      <c r="W368" s="3640"/>
      <c r="X368" s="3640"/>
    </row>
    <row r="369" spans="8:24" s="2" customFormat="1" ht="18" customHeight="1">
      <c r="H369" s="3640"/>
      <c r="I369" s="3640"/>
      <c r="J369" s="3640"/>
      <c r="K369" s="3640"/>
      <c r="L369" s="3640"/>
      <c r="M369" s="141"/>
      <c r="N369" s="3640"/>
      <c r="O369" s="3640"/>
      <c r="P369" s="3640"/>
      <c r="Q369" s="3640"/>
      <c r="R369" s="3640"/>
      <c r="S369" s="141"/>
      <c r="T369" s="3640"/>
      <c r="U369" s="3640"/>
      <c r="V369" s="3640"/>
      <c r="W369" s="3640"/>
      <c r="X369" s="3640"/>
    </row>
    <row r="370" spans="8:24" s="2" customFormat="1" ht="18" customHeight="1">
      <c r="H370" s="3650" t="s">
        <v>469</v>
      </c>
      <c r="I370" s="3650"/>
      <c r="J370" s="3650"/>
      <c r="K370" s="3650"/>
      <c r="L370" s="3650"/>
      <c r="M370" s="141"/>
      <c r="N370" s="3650" t="s">
        <v>469</v>
      </c>
      <c r="O370" s="3650"/>
      <c r="P370" s="3650"/>
      <c r="Q370" s="3650"/>
      <c r="R370" s="3650"/>
      <c r="S370" s="141"/>
      <c r="T370" s="3650" t="s">
        <v>469</v>
      </c>
      <c r="U370" s="3650"/>
      <c r="V370" s="3650"/>
      <c r="W370" s="3650"/>
      <c r="X370" s="3650"/>
    </row>
    <row r="371" spans="8:24" s="2" customFormat="1" ht="18" customHeight="1">
      <c r="H371" s="3650"/>
      <c r="I371" s="3650"/>
      <c r="J371" s="3650"/>
      <c r="K371" s="3650"/>
      <c r="L371" s="3650"/>
      <c r="M371" s="140"/>
      <c r="N371" s="3650"/>
      <c r="O371" s="3650"/>
      <c r="P371" s="3650"/>
      <c r="Q371" s="3650"/>
      <c r="R371" s="3650"/>
      <c r="S371" s="140"/>
      <c r="T371" s="3650"/>
      <c r="U371" s="3650"/>
      <c r="V371" s="3650"/>
      <c r="W371" s="3650"/>
      <c r="X371" s="3650"/>
    </row>
    <row r="372" spans="8:24" s="2" customFormat="1" ht="18" customHeight="1">
      <c r="H372" s="595"/>
      <c r="I372" s="595"/>
      <c r="J372" s="595"/>
      <c r="K372" s="595"/>
      <c r="L372" s="595"/>
      <c r="M372" s="140"/>
      <c r="N372" s="595"/>
      <c r="O372" s="595"/>
      <c r="P372" s="595"/>
      <c r="Q372" s="595"/>
      <c r="R372" s="595"/>
      <c r="S372" s="140"/>
      <c r="T372" s="595"/>
      <c r="U372" s="595"/>
      <c r="V372" s="595"/>
      <c r="W372" s="595"/>
      <c r="X372" s="595"/>
    </row>
    <row r="373" spans="8:24" s="2" customFormat="1" ht="27.35" customHeight="1">
      <c r="H373" s="141"/>
      <c r="I373" s="141"/>
      <c r="J373" s="141"/>
      <c r="K373" s="141"/>
      <c r="L373" s="141"/>
      <c r="M373" s="141"/>
      <c r="N373" s="141"/>
      <c r="O373" s="141"/>
      <c r="P373" s="141"/>
      <c r="Q373" s="141"/>
      <c r="R373" s="141"/>
      <c r="S373" s="141"/>
      <c r="T373" s="141"/>
      <c r="U373" s="141"/>
      <c r="V373" s="141"/>
      <c r="W373" s="141"/>
      <c r="X373" s="141"/>
    </row>
    <row r="374" spans="8:24" s="2" customFormat="1" ht="18" customHeight="1">
      <c r="H374" s="3544" t="str">
        <f>CONCATENATE("Report Prepared By: ",Investor_Name,"  |  ",Company_Name,"  |  ",Company_Email,"  |  ",Company_Website)</f>
        <v xml:space="preserve">Report Prepared By:   |    |    |  </v>
      </c>
      <c r="I374" s="3544"/>
      <c r="J374" s="3544"/>
      <c r="K374" s="3544"/>
      <c r="L374" s="3544"/>
      <c r="M374" s="3544"/>
      <c r="N374" s="3544"/>
      <c r="O374" s="3544"/>
      <c r="P374" s="3544"/>
      <c r="Q374" s="3544"/>
      <c r="R374" s="3544"/>
      <c r="S374" s="3544"/>
      <c r="T374" s="3544"/>
      <c r="U374" s="3544"/>
      <c r="V374" s="3544"/>
      <c r="W374" s="3561" t="str">
        <f>CONCATENATE("Page ",AO6," of ",$AG$3)</f>
        <v>Page 8 of 8</v>
      </c>
      <c r="X374" s="3561"/>
    </row>
    <row r="375" spans="8:24" ht="14.85" customHeight="1">
      <c r="H375" s="3433" t="s">
        <v>1607</v>
      </c>
      <c r="I375" s="3433"/>
      <c r="J375" s="3433"/>
      <c r="K375" s="3433"/>
      <c r="L375" s="3433"/>
      <c r="M375" s="3433"/>
      <c r="N375" s="3433"/>
      <c r="O375" s="3433"/>
      <c r="P375" s="3433"/>
      <c r="Q375" s="3433"/>
      <c r="R375" s="3433"/>
      <c r="S375" s="3433"/>
      <c r="T375" s="3433"/>
      <c r="U375" s="3433"/>
      <c r="V375" s="3433"/>
      <c r="W375" s="3433"/>
      <c r="X375" s="3433"/>
    </row>
    <row r="376" spans="8:24" ht="14.85" customHeight="1">
      <c r="H376" s="3433"/>
      <c r="I376" s="3433"/>
      <c r="J376" s="3433"/>
      <c r="K376" s="3433"/>
      <c r="L376" s="3433"/>
      <c r="M376" s="3433"/>
      <c r="N376" s="3433"/>
      <c r="O376" s="3433"/>
      <c r="P376" s="3433"/>
      <c r="Q376" s="3433"/>
      <c r="R376" s="3433"/>
      <c r="S376" s="3433"/>
      <c r="T376" s="3433"/>
      <c r="U376" s="3433"/>
      <c r="V376" s="3433"/>
      <c r="W376" s="3433"/>
      <c r="X376" s="3433"/>
    </row>
    <row r="377" spans="8:24" ht="14.85" customHeight="1"/>
    <row r="378" spans="8:24" ht="14.85" customHeight="1"/>
    <row r="379" spans="8:24" ht="14.85" customHeight="1"/>
    <row r="380" spans="8:24" ht="14.85" customHeight="1"/>
    <row r="381" spans="8:24" ht="14.85" customHeight="1"/>
    <row r="382" spans="8:24" ht="14.85" customHeight="1"/>
    <row r="383" spans="8:24" ht="14.85" customHeight="1"/>
    <row r="384" spans="8:24" ht="14.85" customHeight="1"/>
    <row r="385" ht="14.85" customHeight="1"/>
    <row r="386" ht="14.85" customHeight="1"/>
    <row r="387" ht="14.85" customHeight="1"/>
    <row r="388" ht="14.85" customHeight="1"/>
    <row r="389" ht="14.85" customHeight="1"/>
    <row r="390" ht="14.85" customHeight="1"/>
    <row r="391" ht="14.85" customHeight="1"/>
    <row r="392" ht="14.85" customHeight="1"/>
    <row r="393" ht="14.85" customHeight="1"/>
    <row r="394" ht="14.85" customHeight="1"/>
    <row r="395" ht="14.85" customHeight="1"/>
    <row r="396" ht="14.85" customHeight="1"/>
    <row r="397" ht="14.85" customHeight="1"/>
    <row r="398" ht="14.85" customHeight="1"/>
    <row r="399" ht="14.85" customHeight="1"/>
    <row r="400" ht="14.85" customHeight="1"/>
    <row r="401" ht="14.85" customHeight="1"/>
    <row r="402" ht="14.85" customHeight="1"/>
  </sheetData>
  <sheetProtection formatCells="0" formatColumns="0" formatRows="0" insertColumns="0" insertHyperlinks="0" deleteColumns="0" deleteRows="0" selectLockedCells="1" sort="0" autoFilter="0"/>
  <mergeCells count="539">
    <mergeCell ref="W163:X163"/>
    <mergeCell ref="H164:I164"/>
    <mergeCell ref="T170:V170"/>
    <mergeCell ref="T168:V168"/>
    <mergeCell ref="O170:S170"/>
    <mergeCell ref="O168:S168"/>
    <mergeCell ref="O169:S169"/>
    <mergeCell ref="H186:J187"/>
    <mergeCell ref="K186:L187"/>
    <mergeCell ref="M186:P187"/>
    <mergeCell ref="Q186:T187"/>
    <mergeCell ref="U186:X187"/>
    <mergeCell ref="N165:P165"/>
    <mergeCell ref="Q165:S165"/>
    <mergeCell ref="T165:V165"/>
    <mergeCell ref="W165:X165"/>
    <mergeCell ref="W168:X168"/>
    <mergeCell ref="W169:X169"/>
    <mergeCell ref="W170:X170"/>
    <mergeCell ref="T166:V166"/>
    <mergeCell ref="W166:X166"/>
    <mergeCell ref="J164:M164"/>
    <mergeCell ref="N164:P164"/>
    <mergeCell ref="Q164:S164"/>
    <mergeCell ref="T169:V169"/>
    <mergeCell ref="H166:M166"/>
    <mergeCell ref="H143:Q143"/>
    <mergeCell ref="O144:Q144"/>
    <mergeCell ref="H145:N145"/>
    <mergeCell ref="O145:Q145"/>
    <mergeCell ref="H146:N146"/>
    <mergeCell ref="O146:Q146"/>
    <mergeCell ref="H147:N147"/>
    <mergeCell ref="O147:Q147"/>
    <mergeCell ref="H149:N149"/>
    <mergeCell ref="O149:Q149"/>
    <mergeCell ref="H150:N150"/>
    <mergeCell ref="O150:Q150"/>
    <mergeCell ref="N166:P166"/>
    <mergeCell ref="Q166:S166"/>
    <mergeCell ref="H153:Q153"/>
    <mergeCell ref="H165:I165"/>
    <mergeCell ref="J165:M165"/>
    <mergeCell ref="T164:V164"/>
    <mergeCell ref="H159:I159"/>
    <mergeCell ref="J159:M159"/>
    <mergeCell ref="N159:P159"/>
    <mergeCell ref="Q159:S159"/>
    <mergeCell ref="T159:V159"/>
    <mergeCell ref="T156:V156"/>
    <mergeCell ref="J155:M155"/>
    <mergeCell ref="J156:M156"/>
    <mergeCell ref="H163:I163"/>
    <mergeCell ref="J163:M163"/>
    <mergeCell ref="N163:P163"/>
    <mergeCell ref="Q163:S163"/>
    <mergeCell ref="T163:V163"/>
    <mergeCell ref="Q161:S161"/>
    <mergeCell ref="T161:V161"/>
    <mergeCell ref="W161:X161"/>
    <mergeCell ref="H162:I162"/>
    <mergeCell ref="J162:M162"/>
    <mergeCell ref="N162:P162"/>
    <mergeCell ref="Q162:S162"/>
    <mergeCell ref="T162:V162"/>
    <mergeCell ref="W162:X162"/>
    <mergeCell ref="C2:G4"/>
    <mergeCell ref="H111:Q111"/>
    <mergeCell ref="O117:Q117"/>
    <mergeCell ref="H113:Q116"/>
    <mergeCell ref="H121:N121"/>
    <mergeCell ref="S109:X109"/>
    <mergeCell ref="W122:X122"/>
    <mergeCell ref="H119:N119"/>
    <mergeCell ref="O119:Q119"/>
    <mergeCell ref="S117:V117"/>
    <mergeCell ref="W117:X117"/>
    <mergeCell ref="O122:Q122"/>
    <mergeCell ref="H105:N105"/>
    <mergeCell ref="O105:Q105"/>
    <mergeCell ref="H106:N106"/>
    <mergeCell ref="S114:X114"/>
    <mergeCell ref="S115:X116"/>
    <mergeCell ref="AI3:AI4"/>
    <mergeCell ref="AL3:AL4"/>
    <mergeCell ref="AM3:AM4"/>
    <mergeCell ref="AN3:AN4"/>
    <mergeCell ref="H100:Q100"/>
    <mergeCell ref="I20:W20"/>
    <mergeCell ref="I21:T22"/>
    <mergeCell ref="I49:O49"/>
    <mergeCell ref="I50:O50"/>
    <mergeCell ref="I51:O51"/>
    <mergeCell ref="I52:O52"/>
    <mergeCell ref="H56:V56"/>
    <mergeCell ref="W56:X56"/>
    <mergeCell ref="H98:X98"/>
    <mergeCell ref="O68:Q68"/>
    <mergeCell ref="H69:N69"/>
    <mergeCell ref="O69:Q69"/>
    <mergeCell ref="H70:N70"/>
    <mergeCell ref="O70:Q70"/>
    <mergeCell ref="S66:V66"/>
    <mergeCell ref="W66:X66"/>
    <mergeCell ref="O71:Q71"/>
    <mergeCell ref="AJ3:AJ4"/>
    <mergeCell ref="H91:N91"/>
    <mergeCell ref="AP3:AP4"/>
    <mergeCell ref="I6:W9"/>
    <mergeCell ref="H11:X11"/>
    <mergeCell ref="I15:W17"/>
    <mergeCell ref="I18:W19"/>
    <mergeCell ref="S104:X104"/>
    <mergeCell ref="S105:X106"/>
    <mergeCell ref="Z3:AA3"/>
    <mergeCell ref="S107:V107"/>
    <mergeCell ref="W107:X107"/>
    <mergeCell ref="H57:X57"/>
    <mergeCell ref="H59:Q59"/>
    <mergeCell ref="H66:Q66"/>
    <mergeCell ref="S61:X61"/>
    <mergeCell ref="H67:N67"/>
    <mergeCell ref="O67:Q67"/>
    <mergeCell ref="S63:X63"/>
    <mergeCell ref="H68:N68"/>
    <mergeCell ref="S102:X102"/>
    <mergeCell ref="H102:Q102"/>
    <mergeCell ref="O103:Q103"/>
    <mergeCell ref="H104:N104"/>
    <mergeCell ref="O104:Q104"/>
    <mergeCell ref="S64:X65"/>
    <mergeCell ref="S130:X131"/>
    <mergeCell ref="S132:V132"/>
    <mergeCell ref="W132:X132"/>
    <mergeCell ref="H138:V138"/>
    <mergeCell ref="W138:X138"/>
    <mergeCell ref="H180:X180"/>
    <mergeCell ref="H139:X139"/>
    <mergeCell ref="H141:Q141"/>
    <mergeCell ref="H179:V179"/>
    <mergeCell ref="H155:I155"/>
    <mergeCell ref="N155:P155"/>
    <mergeCell ref="Q155:S155"/>
    <mergeCell ref="T155:V155"/>
    <mergeCell ref="W155:X155"/>
    <mergeCell ref="W156:X156"/>
    <mergeCell ref="W159:X159"/>
    <mergeCell ref="H160:I160"/>
    <mergeCell ref="J160:M160"/>
    <mergeCell ref="N160:P160"/>
    <mergeCell ref="Q160:S160"/>
    <mergeCell ref="T160:V160"/>
    <mergeCell ref="W160:X160"/>
    <mergeCell ref="H157:I157"/>
    <mergeCell ref="J157:M157"/>
    <mergeCell ref="W179:X179"/>
    <mergeCell ref="H156:I156"/>
    <mergeCell ref="N156:P156"/>
    <mergeCell ref="Q156:S156"/>
    <mergeCell ref="H184:X184"/>
    <mergeCell ref="H185:J185"/>
    <mergeCell ref="K185:L185"/>
    <mergeCell ref="M185:P185"/>
    <mergeCell ref="Q185:T185"/>
    <mergeCell ref="U185:X185"/>
    <mergeCell ref="N157:P157"/>
    <mergeCell ref="Q157:S157"/>
    <mergeCell ref="T157:V157"/>
    <mergeCell ref="W157:X157"/>
    <mergeCell ref="H158:I158"/>
    <mergeCell ref="J158:M158"/>
    <mergeCell ref="N158:P158"/>
    <mergeCell ref="Q158:S158"/>
    <mergeCell ref="T158:V158"/>
    <mergeCell ref="W158:X158"/>
    <mergeCell ref="W164:X164"/>
    <mergeCell ref="H161:I161"/>
    <mergeCell ref="J161:M161"/>
    <mergeCell ref="N161:P161"/>
    <mergeCell ref="H188:J188"/>
    <mergeCell ref="K188:L188"/>
    <mergeCell ref="M188:P188"/>
    <mergeCell ref="Q188:T188"/>
    <mergeCell ref="U188:X188"/>
    <mergeCell ref="H189:J189"/>
    <mergeCell ref="K189:L189"/>
    <mergeCell ref="M189:P189"/>
    <mergeCell ref="Q189:T189"/>
    <mergeCell ref="U189:X189"/>
    <mergeCell ref="H190:J190"/>
    <mergeCell ref="K190:L190"/>
    <mergeCell ref="M190:P190"/>
    <mergeCell ref="Q190:T190"/>
    <mergeCell ref="U190:X190"/>
    <mergeCell ref="H191:J191"/>
    <mergeCell ref="K191:L191"/>
    <mergeCell ref="M191:P191"/>
    <mergeCell ref="Q191:T191"/>
    <mergeCell ref="U191:X191"/>
    <mergeCell ref="H194:X194"/>
    <mergeCell ref="H195:J195"/>
    <mergeCell ref="K195:L195"/>
    <mergeCell ref="M195:O195"/>
    <mergeCell ref="Q195:S195"/>
    <mergeCell ref="U195:W195"/>
    <mergeCell ref="H192:J192"/>
    <mergeCell ref="K192:L192"/>
    <mergeCell ref="M192:P192"/>
    <mergeCell ref="Q192:T192"/>
    <mergeCell ref="U192:X192"/>
    <mergeCell ref="H193:J193"/>
    <mergeCell ref="K193:L193"/>
    <mergeCell ref="M193:P193"/>
    <mergeCell ref="Q193:T193"/>
    <mergeCell ref="U193:X193"/>
    <mergeCell ref="H196:J196"/>
    <mergeCell ref="K196:L196"/>
    <mergeCell ref="M196:O196"/>
    <mergeCell ref="Q196:S196"/>
    <mergeCell ref="U196:W196"/>
    <mergeCell ref="H197:J197"/>
    <mergeCell ref="K197:L197"/>
    <mergeCell ref="M197:O197"/>
    <mergeCell ref="Q197:S197"/>
    <mergeCell ref="U197:W197"/>
    <mergeCell ref="H198:J198"/>
    <mergeCell ref="K198:L198"/>
    <mergeCell ref="M198:O198"/>
    <mergeCell ref="Q198:S198"/>
    <mergeCell ref="U198:W198"/>
    <mergeCell ref="H199:J199"/>
    <mergeCell ref="K199:L199"/>
    <mergeCell ref="M199:O199"/>
    <mergeCell ref="Q199:S199"/>
    <mergeCell ref="U199:W199"/>
    <mergeCell ref="H200:J200"/>
    <mergeCell ref="K200:L200"/>
    <mergeCell ref="M200:O200"/>
    <mergeCell ref="Q200:S200"/>
    <mergeCell ref="U200:W200"/>
    <mergeCell ref="H201:J201"/>
    <mergeCell ref="K201:L201"/>
    <mergeCell ref="M201:O201"/>
    <mergeCell ref="Q201:S201"/>
    <mergeCell ref="U201:W201"/>
    <mergeCell ref="H202:J202"/>
    <mergeCell ref="K202:L202"/>
    <mergeCell ref="M202:O202"/>
    <mergeCell ref="Q202:S202"/>
    <mergeCell ref="U202:W202"/>
    <mergeCell ref="H203:J203"/>
    <mergeCell ref="K203:L203"/>
    <mergeCell ref="M203:O203"/>
    <mergeCell ref="Q203:S203"/>
    <mergeCell ref="U203:W203"/>
    <mergeCell ref="H204:J204"/>
    <mergeCell ref="K204:L204"/>
    <mergeCell ref="M204:O204"/>
    <mergeCell ref="Q204:S204"/>
    <mergeCell ref="U204:W204"/>
    <mergeCell ref="H205:J208"/>
    <mergeCell ref="K205:L208"/>
    <mergeCell ref="M205:O208"/>
    <mergeCell ref="P205:P208"/>
    <mergeCell ref="Q205:S208"/>
    <mergeCell ref="T205:T208"/>
    <mergeCell ref="U205:W208"/>
    <mergeCell ref="X205:X208"/>
    <mergeCell ref="H209:J213"/>
    <mergeCell ref="K209:L213"/>
    <mergeCell ref="M209:O213"/>
    <mergeCell ref="P209:P213"/>
    <mergeCell ref="Q209:S213"/>
    <mergeCell ref="T209:T213"/>
    <mergeCell ref="U209:W213"/>
    <mergeCell ref="H220:U220"/>
    <mergeCell ref="W220:X220"/>
    <mergeCell ref="X209:X213"/>
    <mergeCell ref="H214:L214"/>
    <mergeCell ref="M214:P214"/>
    <mergeCell ref="Q214:T214"/>
    <mergeCell ref="U214:X214"/>
    <mergeCell ref="H215:J215"/>
    <mergeCell ref="K215:L215"/>
    <mergeCell ref="M215:P215"/>
    <mergeCell ref="Q215:T215"/>
    <mergeCell ref="U215:X215"/>
    <mergeCell ref="H231:Q231"/>
    <mergeCell ref="R231:U231"/>
    <mergeCell ref="V231:X231"/>
    <mergeCell ref="H232:Q232"/>
    <mergeCell ref="R232:U232"/>
    <mergeCell ref="V232:X232"/>
    <mergeCell ref="H221:X221"/>
    <mergeCell ref="H225:X228"/>
    <mergeCell ref="H230:Q230"/>
    <mergeCell ref="R230:U230"/>
    <mergeCell ref="V230:X230"/>
    <mergeCell ref="H235:Q235"/>
    <mergeCell ref="R235:U235"/>
    <mergeCell ref="V235:X235"/>
    <mergeCell ref="H236:Q236"/>
    <mergeCell ref="R236:U236"/>
    <mergeCell ref="V236:X236"/>
    <mergeCell ref="H233:Q233"/>
    <mergeCell ref="R233:U233"/>
    <mergeCell ref="V233:X233"/>
    <mergeCell ref="H234:Q234"/>
    <mergeCell ref="R234:U234"/>
    <mergeCell ref="V234:X234"/>
    <mergeCell ref="H239:Q239"/>
    <mergeCell ref="R239:U239"/>
    <mergeCell ref="V239:X239"/>
    <mergeCell ref="H240:Q240"/>
    <mergeCell ref="R240:U240"/>
    <mergeCell ref="V240:X240"/>
    <mergeCell ref="H237:Q237"/>
    <mergeCell ref="R237:U237"/>
    <mergeCell ref="V237:X237"/>
    <mergeCell ref="H238:Q238"/>
    <mergeCell ref="R238:U238"/>
    <mergeCell ref="V238:X238"/>
    <mergeCell ref="H244:Q244"/>
    <mergeCell ref="R244:U244"/>
    <mergeCell ref="H245:Q245"/>
    <mergeCell ref="R245:U245"/>
    <mergeCell ref="H246:Q246"/>
    <mergeCell ref="R246:U246"/>
    <mergeCell ref="H241:Q241"/>
    <mergeCell ref="R241:U241"/>
    <mergeCell ref="V241:X241"/>
    <mergeCell ref="H242:Q242"/>
    <mergeCell ref="R242:U242"/>
    <mergeCell ref="H243:Q243"/>
    <mergeCell ref="R243:U243"/>
    <mergeCell ref="V244:X244"/>
    <mergeCell ref="V245:X245"/>
    <mergeCell ref="V246:X246"/>
    <mergeCell ref="H250:Q250"/>
    <mergeCell ref="R250:U250"/>
    <mergeCell ref="H251:Q251"/>
    <mergeCell ref="R251:U251"/>
    <mergeCell ref="H252:Q252"/>
    <mergeCell ref="R252:U252"/>
    <mergeCell ref="H247:Q247"/>
    <mergeCell ref="R247:U247"/>
    <mergeCell ref="H248:Q248"/>
    <mergeCell ref="R248:U248"/>
    <mergeCell ref="H249:Q249"/>
    <mergeCell ref="R249:U249"/>
    <mergeCell ref="H257:Q257"/>
    <mergeCell ref="R257:U257"/>
    <mergeCell ref="H258:Q258"/>
    <mergeCell ref="R258:U258"/>
    <mergeCell ref="H261:V261"/>
    <mergeCell ref="W261:X261"/>
    <mergeCell ref="H253:Q253"/>
    <mergeCell ref="R253:U253"/>
    <mergeCell ref="H254:Q254"/>
    <mergeCell ref="R254:U254"/>
    <mergeCell ref="H255:Q255"/>
    <mergeCell ref="R255:U255"/>
    <mergeCell ref="V253:X253"/>
    <mergeCell ref="V254:X254"/>
    <mergeCell ref="V257:X257"/>
    <mergeCell ref="V258:X258"/>
    <mergeCell ref="H281:L289"/>
    <mergeCell ref="N281:R289"/>
    <mergeCell ref="T281:X289"/>
    <mergeCell ref="H290:L291"/>
    <mergeCell ref="N290:R291"/>
    <mergeCell ref="T290:X291"/>
    <mergeCell ref="H262:X262"/>
    <mergeCell ref="H269:L277"/>
    <mergeCell ref="N269:R277"/>
    <mergeCell ref="T269:X277"/>
    <mergeCell ref="H278:L279"/>
    <mergeCell ref="N278:R279"/>
    <mergeCell ref="T278:X279"/>
    <mergeCell ref="H305:L313"/>
    <mergeCell ref="N305:R313"/>
    <mergeCell ref="T305:X313"/>
    <mergeCell ref="H314:L315"/>
    <mergeCell ref="N314:R315"/>
    <mergeCell ref="T314:X315"/>
    <mergeCell ref="H293:L301"/>
    <mergeCell ref="N293:R301"/>
    <mergeCell ref="T293:X301"/>
    <mergeCell ref="H302:L303"/>
    <mergeCell ref="N302:R303"/>
    <mergeCell ref="T302:X303"/>
    <mergeCell ref="H337:L345"/>
    <mergeCell ref="N337:R345"/>
    <mergeCell ref="T337:X345"/>
    <mergeCell ref="H318:V318"/>
    <mergeCell ref="W318:X318"/>
    <mergeCell ref="H319:X319"/>
    <mergeCell ref="H325:L333"/>
    <mergeCell ref="N325:R333"/>
    <mergeCell ref="T325:X333"/>
    <mergeCell ref="S129:X129"/>
    <mergeCell ref="S124:X124"/>
    <mergeCell ref="S125:X126"/>
    <mergeCell ref="H370:L371"/>
    <mergeCell ref="N370:R371"/>
    <mergeCell ref="T370:X371"/>
    <mergeCell ref="H374:V374"/>
    <mergeCell ref="W374:X374"/>
    <mergeCell ref="H375:X376"/>
    <mergeCell ref="H358:L359"/>
    <mergeCell ref="N358:R359"/>
    <mergeCell ref="T358:X359"/>
    <mergeCell ref="H361:L369"/>
    <mergeCell ref="N361:R369"/>
    <mergeCell ref="T361:X369"/>
    <mergeCell ref="H346:L347"/>
    <mergeCell ref="N346:R347"/>
    <mergeCell ref="T346:X347"/>
    <mergeCell ref="H349:L357"/>
    <mergeCell ref="N349:R357"/>
    <mergeCell ref="T349:X357"/>
    <mergeCell ref="H334:L335"/>
    <mergeCell ref="N334:R335"/>
    <mergeCell ref="T334:X335"/>
    <mergeCell ref="H129:N129"/>
    <mergeCell ref="O129:Q129"/>
    <mergeCell ref="H130:N130"/>
    <mergeCell ref="O130:Q130"/>
    <mergeCell ref="H120:N120"/>
    <mergeCell ref="O120:Q120"/>
    <mergeCell ref="H123:Q123"/>
    <mergeCell ref="O124:Q124"/>
    <mergeCell ref="O125:Q125"/>
    <mergeCell ref="H128:N128"/>
    <mergeCell ref="O128:Q128"/>
    <mergeCell ref="L125:N125"/>
    <mergeCell ref="L126:N126"/>
    <mergeCell ref="O126:Q126"/>
    <mergeCell ref="H124:K124"/>
    <mergeCell ref="H125:K125"/>
    <mergeCell ref="H126:K126"/>
    <mergeCell ref="L124:N124"/>
    <mergeCell ref="H127:K127"/>
    <mergeCell ref="L127:N127"/>
    <mergeCell ref="O127:Q127"/>
    <mergeCell ref="S127:V127"/>
    <mergeCell ref="O75:Q75"/>
    <mergeCell ref="H95:N95"/>
    <mergeCell ref="H76:N76"/>
    <mergeCell ref="O76:Q76"/>
    <mergeCell ref="O77:Q77"/>
    <mergeCell ref="O121:Q121"/>
    <mergeCell ref="S119:X119"/>
    <mergeCell ref="S120:X121"/>
    <mergeCell ref="H118:Q118"/>
    <mergeCell ref="S122:V122"/>
    <mergeCell ref="W127:X127"/>
    <mergeCell ref="S76:V76"/>
    <mergeCell ref="W76:X76"/>
    <mergeCell ref="S78:X78"/>
    <mergeCell ref="S86:V86"/>
    <mergeCell ref="W86:X86"/>
    <mergeCell ref="O94:Q94"/>
    <mergeCell ref="H89:N89"/>
    <mergeCell ref="O89:Q89"/>
    <mergeCell ref="H90:N90"/>
    <mergeCell ref="H108:N108"/>
    <mergeCell ref="H109:N109"/>
    <mergeCell ref="O109:Q109"/>
    <mergeCell ref="H92:N92"/>
    <mergeCell ref="O92:Q92"/>
    <mergeCell ref="H94:N94"/>
    <mergeCell ref="O84:Q84"/>
    <mergeCell ref="H85:N85"/>
    <mergeCell ref="O85:Q85"/>
    <mergeCell ref="S83:X83"/>
    <mergeCell ref="H72:N72"/>
    <mergeCell ref="O72:Q72"/>
    <mergeCell ref="S79:X80"/>
    <mergeCell ref="S81:V81"/>
    <mergeCell ref="W81:X81"/>
    <mergeCell ref="S68:X68"/>
    <mergeCell ref="H73:N73"/>
    <mergeCell ref="O73:Q73"/>
    <mergeCell ref="S69:X70"/>
    <mergeCell ref="H74:N74"/>
    <mergeCell ref="O74:Q74"/>
    <mergeCell ref="S71:V71"/>
    <mergeCell ref="W71:X71"/>
    <mergeCell ref="S73:X73"/>
    <mergeCell ref="S74:X75"/>
    <mergeCell ref="H61:Q61"/>
    <mergeCell ref="H62:K62"/>
    <mergeCell ref="L62:Q62"/>
    <mergeCell ref="H63:K63"/>
    <mergeCell ref="L63:Q63"/>
    <mergeCell ref="H64:K64"/>
    <mergeCell ref="L64:Q64"/>
    <mergeCell ref="V242:X242"/>
    <mergeCell ref="V243:X243"/>
    <mergeCell ref="S91:V91"/>
    <mergeCell ref="W91:X91"/>
    <mergeCell ref="H97:V97"/>
    <mergeCell ref="W97:X97"/>
    <mergeCell ref="H77:N77"/>
    <mergeCell ref="H78:N78"/>
    <mergeCell ref="O78:Q78"/>
    <mergeCell ref="O79:Q79"/>
    <mergeCell ref="S84:X85"/>
    <mergeCell ref="H80:Q80"/>
    <mergeCell ref="H82:N82"/>
    <mergeCell ref="O82:Q82"/>
    <mergeCell ref="H83:N83"/>
    <mergeCell ref="O83:Q83"/>
    <mergeCell ref="H84:N84"/>
    <mergeCell ref="AG3:AG4"/>
    <mergeCell ref="AO3:AO4"/>
    <mergeCell ref="V247:X247"/>
    <mergeCell ref="V248:X248"/>
    <mergeCell ref="V249:X249"/>
    <mergeCell ref="V250:X250"/>
    <mergeCell ref="V251:X251"/>
    <mergeCell ref="V252:X252"/>
    <mergeCell ref="V255:X255"/>
    <mergeCell ref="AK3:AK4"/>
    <mergeCell ref="AH3:AH4"/>
    <mergeCell ref="I26:W46"/>
    <mergeCell ref="S110:X111"/>
    <mergeCell ref="S112:V112"/>
    <mergeCell ref="W112:X112"/>
    <mergeCell ref="O90:Q90"/>
    <mergeCell ref="S89:X90"/>
    <mergeCell ref="O91:Q91"/>
    <mergeCell ref="O106:Q106"/>
    <mergeCell ref="O95:Q95"/>
    <mergeCell ref="S88:X88"/>
    <mergeCell ref="O108:Q108"/>
    <mergeCell ref="H87:Q87"/>
    <mergeCell ref="O88:Q88"/>
  </mergeCells>
  <conditionalFormatting sqref="P196:P213">
    <cfRule type="cellIs" dxfId="93" priority="5" operator="lessThan">
      <formula>0</formula>
    </cfRule>
    <cfRule type="cellIs" dxfId="92" priority="6" operator="greaterThan">
      <formula>0</formula>
    </cfRule>
  </conditionalFormatting>
  <conditionalFormatting sqref="T196:T213">
    <cfRule type="cellIs" dxfId="91" priority="3" operator="lessThan">
      <formula>0</formula>
    </cfRule>
    <cfRule type="cellIs" dxfId="90" priority="4" operator="greaterThan">
      <formula>0</formula>
    </cfRule>
  </conditionalFormatting>
  <conditionalFormatting sqref="X196:X213">
    <cfRule type="cellIs" dxfId="89" priority="1" operator="lessThan">
      <formula>0</formula>
    </cfRule>
    <cfRule type="cellIs" dxfId="88" priority="2" operator="greaterThan">
      <formula>0</formula>
    </cfRule>
  </conditionalFormatting>
  <dataValidations disablePrompts="1" count="1">
    <dataValidation type="list" allowBlank="1" showInputMessage="1" showErrorMessage="1" sqref="Z3:AA3" xr:uid="{C41D5063-9682-46BD-AE54-0466B4F75309}">
      <formula1>"Loan 1,Loan 2,Hybrid"</formula1>
    </dataValidation>
  </dataValidations>
  <printOptions horizontalCentered="1" verticalCentered="1"/>
  <pageMargins left="0.25" right="0.25" top="0.5" bottom="0.5" header="0.3" footer="0.3"/>
  <pageSetup scale="70" fitToHeight="3" orientation="portrait" r:id="rId1"/>
  <headerFooter scaleWithDoc="0"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wsHOMEOWNER_REPORT">
    <tabColor theme="4" tint="0.79998168889431442"/>
    <pageSetUpPr fitToPage="1"/>
  </sheetPr>
  <dimension ref="A1:AR110"/>
  <sheetViews>
    <sheetView showGridLines="0" showRowColHeaders="0" zoomScaleNormal="100" workbookViewId="0">
      <pane ySplit="4" topLeftCell="A5" activePane="bottomLeft" state="frozen"/>
      <selection pane="bottomLeft" activeCell="Q3" sqref="Q3:R3"/>
    </sheetView>
  </sheetViews>
  <sheetFormatPr defaultColWidth="8.8984375" defaultRowHeight="15"/>
  <cols>
    <col min="1" max="1" width="6.6484375" style="12" customWidth="1"/>
    <col min="2" max="2" width="5.19921875" style="12" customWidth="1"/>
    <col min="3" max="4" width="5.44921875" style="12" customWidth="1"/>
    <col min="5" max="5" width="7.09765625" style="12" customWidth="1"/>
    <col min="6" max="6" width="12.34765625" style="12" customWidth="1"/>
    <col min="7" max="8" width="6.09765625" style="12" customWidth="1"/>
    <col min="9" max="24" width="6.09765625" style="24" customWidth="1"/>
    <col min="25" max="25" width="6.19921875" style="24" customWidth="1"/>
    <col min="26" max="26" width="5.44921875" style="12" customWidth="1"/>
    <col min="27" max="27" width="2.8984375" style="12" customWidth="1"/>
    <col min="28" max="28" width="6.44921875" style="12" customWidth="1"/>
    <col min="29" max="29" width="7.09765625" style="25" customWidth="1"/>
    <col min="30" max="33" width="7.09765625" style="25" hidden="1" customWidth="1"/>
    <col min="34" max="37" width="7.09765625" style="25" customWidth="1"/>
    <col min="38" max="42" width="7.09765625" style="12" customWidth="1"/>
    <col min="43" max="44" width="5.44921875" style="12" customWidth="1"/>
    <col min="45" max="56" width="5" style="12" customWidth="1"/>
    <col min="57" max="57" width="4.34765625" style="12" customWidth="1"/>
    <col min="58" max="16384" width="8.8984375" style="12"/>
  </cols>
  <sheetData>
    <row r="1" spans="1:44" s="109" customFormat="1" ht="45" customHeight="1"/>
    <row r="2" spans="1:44" s="110" customFormat="1" ht="15" customHeight="1" thickBot="1">
      <c r="B2" s="3966" t="s">
        <v>1578</v>
      </c>
      <c r="C2" s="3966"/>
      <c r="D2" s="3966"/>
      <c r="E2" s="3654" t="s">
        <v>1362</v>
      </c>
      <c r="F2" s="3654"/>
      <c r="G2" s="3654"/>
      <c r="I2" s="111"/>
      <c r="J2" s="111"/>
      <c r="K2" s="111"/>
      <c r="L2" s="111"/>
      <c r="M2" s="111"/>
      <c r="N2" s="111"/>
      <c r="O2" s="111"/>
      <c r="P2" s="4005" t="s">
        <v>480</v>
      </c>
      <c r="Q2" s="4005"/>
      <c r="R2" s="4005"/>
      <c r="S2" s="4005"/>
      <c r="T2" s="4003" t="s">
        <v>481</v>
      </c>
      <c r="U2" s="4003"/>
      <c r="V2" s="4003"/>
      <c r="Y2" s="111"/>
      <c r="AE2" s="112"/>
      <c r="AF2" s="477" t="s">
        <v>796</v>
      </c>
      <c r="AG2" s="112"/>
      <c r="AH2" s="112"/>
      <c r="AI2" s="112"/>
      <c r="AJ2" s="112"/>
      <c r="AK2" s="112"/>
    </row>
    <row r="3" spans="1:44" s="113" customFormat="1" ht="22.5" customHeight="1" thickBot="1">
      <c r="B3" s="3963" t="s">
        <v>1579</v>
      </c>
      <c r="C3" s="3964"/>
      <c r="D3" s="3965"/>
      <c r="E3" s="3654"/>
      <c r="F3" s="3654"/>
      <c r="G3" s="3654"/>
      <c r="I3" s="114"/>
      <c r="J3" s="114"/>
      <c r="K3" s="114"/>
      <c r="L3" s="114"/>
      <c r="M3" s="114"/>
      <c r="Q3" s="3980">
        <v>0</v>
      </c>
      <c r="R3" s="3981"/>
      <c r="T3" s="3982">
        <f>D94</f>
        <v>0</v>
      </c>
      <c r="U3" s="3983"/>
      <c r="V3" s="3984"/>
      <c r="AE3" s="115"/>
      <c r="AF3" s="3970" t="s">
        <v>1541</v>
      </c>
      <c r="AG3" s="115"/>
      <c r="AH3" s="115"/>
      <c r="AI3" s="115"/>
      <c r="AJ3" s="115"/>
      <c r="AK3" s="115"/>
    </row>
    <row r="4" spans="1:44" s="116" customFormat="1" ht="7.5" customHeight="1">
      <c r="E4" s="3655"/>
      <c r="F4" s="3655"/>
      <c r="G4" s="3655"/>
      <c r="I4" s="117"/>
      <c r="J4" s="117"/>
      <c r="K4" s="117"/>
      <c r="L4" s="117"/>
      <c r="M4" s="117"/>
      <c r="N4" s="117"/>
      <c r="O4" s="117"/>
      <c r="P4" s="117"/>
      <c r="Q4" s="117"/>
      <c r="R4" s="117"/>
      <c r="S4" s="117"/>
      <c r="T4" s="117"/>
      <c r="U4" s="117"/>
      <c r="V4" s="117"/>
      <c r="W4" s="117"/>
      <c r="X4" s="117"/>
      <c r="Y4" s="117"/>
      <c r="AC4" s="118"/>
      <c r="AD4" s="118"/>
      <c r="AE4" s="118"/>
      <c r="AF4" s="3971"/>
      <c r="AG4" s="118"/>
      <c r="AH4" s="118"/>
      <c r="AI4" s="118"/>
      <c r="AJ4" s="118"/>
      <c r="AK4" s="118"/>
    </row>
    <row r="5" spans="1:44" ht="15" customHeight="1"/>
    <row r="6" spans="1:44" ht="21" customHeight="1">
      <c r="K6" s="3651" t="s">
        <v>1168</v>
      </c>
      <c r="L6" s="3651"/>
      <c r="M6" s="3651"/>
      <c r="N6" s="3651"/>
      <c r="O6" s="3651"/>
      <c r="P6" s="3651"/>
      <c r="Q6" s="3651"/>
      <c r="R6" s="3651"/>
      <c r="S6" s="3651"/>
      <c r="T6" s="3651"/>
      <c r="U6" s="3651"/>
      <c r="V6" s="3651"/>
      <c r="W6" s="466"/>
      <c r="AF6" s="25" t="s">
        <v>1579</v>
      </c>
    </row>
    <row r="7" spans="1:44" ht="21" customHeight="1">
      <c r="K7" s="3651"/>
      <c r="L7" s="3651"/>
      <c r="M7" s="3651"/>
      <c r="N7" s="3651"/>
      <c r="O7" s="3651"/>
      <c r="P7" s="3651"/>
      <c r="Q7" s="3651"/>
      <c r="R7" s="3651"/>
      <c r="S7" s="3651"/>
      <c r="T7" s="3651"/>
      <c r="U7" s="3651"/>
      <c r="V7" s="3651"/>
      <c r="W7" s="466"/>
      <c r="AF7" s="25" t="s">
        <v>1580</v>
      </c>
    </row>
    <row r="8" spans="1:44" ht="21" customHeight="1">
      <c r="K8" s="3651"/>
      <c r="L8" s="3651"/>
      <c r="M8" s="3651"/>
      <c r="N8" s="3651"/>
      <c r="O8" s="3651"/>
      <c r="P8" s="3651"/>
      <c r="Q8" s="3651"/>
      <c r="R8" s="3651"/>
      <c r="S8" s="3651"/>
      <c r="T8" s="3651"/>
      <c r="U8" s="3651"/>
      <c r="V8" s="3651"/>
      <c r="W8" s="466"/>
    </row>
    <row r="9" spans="1:44" ht="21" customHeight="1">
      <c r="K9" s="3651"/>
      <c r="L9" s="3651"/>
      <c r="M9" s="3651"/>
      <c r="N9" s="3651"/>
      <c r="O9" s="3651"/>
      <c r="P9" s="3651"/>
      <c r="Q9" s="3651"/>
      <c r="R9" s="3651"/>
      <c r="S9" s="3651"/>
      <c r="T9" s="3651"/>
      <c r="U9" s="3651"/>
      <c r="V9" s="3651"/>
      <c r="W9" s="466"/>
    </row>
    <row r="10" spans="1:44" ht="21" customHeight="1">
      <c r="K10" s="948"/>
      <c r="L10" s="948"/>
      <c r="M10" s="948"/>
      <c r="N10" s="948"/>
      <c r="O10" s="948"/>
      <c r="P10" s="948"/>
      <c r="Q10" s="948"/>
      <c r="R10" s="3972" t="s">
        <v>1172</v>
      </c>
      <c r="S10" s="3972"/>
      <c r="T10" s="3972"/>
      <c r="U10" s="3972"/>
      <c r="V10" s="3972"/>
      <c r="W10" s="3972"/>
    </row>
    <row r="11" spans="1:44" ht="21" customHeight="1">
      <c r="K11" s="948"/>
      <c r="L11" s="948"/>
      <c r="M11" s="948"/>
      <c r="N11" s="948"/>
      <c r="O11" s="948"/>
      <c r="P11" s="948"/>
      <c r="Q11" s="948"/>
      <c r="R11" s="3972"/>
      <c r="S11" s="3972"/>
      <c r="T11" s="3972"/>
      <c r="U11" s="3972"/>
      <c r="V11" s="3972"/>
      <c r="W11" s="3972"/>
    </row>
    <row r="12" spans="1:44" ht="15" customHeight="1"/>
    <row r="13" spans="1:44" ht="22.7" customHeight="1">
      <c r="A13" s="26"/>
      <c r="B13" s="26"/>
      <c r="C13" s="26"/>
      <c r="D13" s="26"/>
      <c r="E13" s="26"/>
      <c r="F13" s="26"/>
      <c r="G13" s="26"/>
      <c r="H13" s="26"/>
      <c r="I13" s="3996" t="str">
        <f>CONCATENATE(Street_Address,", ",City_State_Zip)</f>
        <v>, 0</v>
      </c>
      <c r="J13" s="3996"/>
      <c r="K13" s="3996"/>
      <c r="L13" s="3996"/>
      <c r="M13" s="3996"/>
      <c r="N13" s="3996"/>
      <c r="O13" s="3996"/>
      <c r="P13" s="3996"/>
      <c r="Q13" s="3996"/>
      <c r="R13" s="3996"/>
      <c r="S13" s="3996"/>
      <c r="T13" s="3996"/>
      <c r="U13" s="3996"/>
      <c r="V13" s="3996"/>
      <c r="W13" s="3996"/>
      <c r="X13" s="3996"/>
      <c r="Y13" s="3996"/>
      <c r="Z13" s="26"/>
      <c r="AA13" s="26"/>
      <c r="AB13" s="26"/>
      <c r="AC13" s="27"/>
      <c r="AD13" s="27"/>
      <c r="AE13" s="27"/>
      <c r="AF13" s="27"/>
      <c r="AG13" s="27"/>
      <c r="AH13" s="27"/>
      <c r="AI13" s="27"/>
      <c r="AJ13" s="27"/>
      <c r="AK13" s="27"/>
      <c r="AL13" s="26"/>
      <c r="AM13" s="26"/>
      <c r="AN13" s="26"/>
      <c r="AO13" s="26"/>
      <c r="AP13" s="26"/>
      <c r="AQ13" s="26"/>
      <c r="AR13" s="26"/>
    </row>
    <row r="14" spans="1:44" ht="12.7" customHeight="1">
      <c r="A14" s="26"/>
      <c r="B14" s="26"/>
      <c r="C14" s="26"/>
      <c r="D14" s="26"/>
      <c r="E14" s="26"/>
      <c r="F14" s="26"/>
      <c r="G14" s="26"/>
      <c r="H14" s="26"/>
      <c r="I14" s="1393"/>
      <c r="J14" s="1393"/>
      <c r="K14" s="1393"/>
      <c r="L14" s="1393"/>
      <c r="M14" s="1393"/>
      <c r="N14" s="1393"/>
      <c r="O14" s="1393"/>
      <c r="P14" s="1393"/>
      <c r="Q14" s="1393"/>
      <c r="R14" s="204"/>
      <c r="S14" s="204"/>
      <c r="T14" s="204"/>
      <c r="U14" s="205"/>
      <c r="V14" s="205"/>
      <c r="W14" s="205"/>
      <c r="X14" s="205"/>
      <c r="Y14" s="205"/>
      <c r="Z14" s="26"/>
      <c r="AA14" s="26"/>
      <c r="AB14" s="26"/>
      <c r="AC14" s="27"/>
      <c r="AD14" s="27"/>
      <c r="AE14" s="27"/>
      <c r="AF14" s="27"/>
      <c r="AG14" s="27"/>
      <c r="AH14" s="27"/>
      <c r="AI14" s="27"/>
      <c r="AJ14" s="27"/>
      <c r="AK14" s="27"/>
      <c r="AL14" s="26"/>
      <c r="AM14" s="26"/>
      <c r="AN14" s="26"/>
      <c r="AO14" s="26"/>
      <c r="AP14" s="26"/>
      <c r="AQ14" s="26"/>
      <c r="AR14" s="26"/>
    </row>
    <row r="15" spans="1:44" ht="18" customHeight="1">
      <c r="A15" s="26"/>
      <c r="B15" s="26"/>
      <c r="C15" s="26"/>
      <c r="D15" s="26"/>
      <c r="E15" s="26"/>
      <c r="F15" s="26"/>
      <c r="G15" s="26"/>
      <c r="H15" s="26"/>
      <c r="I15" s="3989" t="s">
        <v>479</v>
      </c>
      <c r="J15" s="3989"/>
      <c r="K15" s="3989"/>
      <c r="L15" s="3989"/>
      <c r="M15" s="3989"/>
      <c r="N15" s="3989"/>
      <c r="O15" s="3989"/>
      <c r="P15" s="3989"/>
      <c r="Q15" s="3989"/>
      <c r="R15" s="3989"/>
      <c r="S15" s="3989"/>
      <c r="T15" s="3989"/>
      <c r="U15" s="3989"/>
      <c r="V15" s="3989"/>
      <c r="W15" s="3989"/>
      <c r="X15" s="3989"/>
      <c r="Y15" s="3989"/>
      <c r="Z15" s="26"/>
      <c r="AA15" s="26"/>
      <c r="AB15" s="26"/>
      <c r="AC15" s="27"/>
      <c r="AD15" s="27"/>
      <c r="AE15" s="27"/>
      <c r="AF15" s="27"/>
      <c r="AG15" s="27"/>
      <c r="AH15" s="27"/>
      <c r="AI15" s="27"/>
      <c r="AJ15" s="27"/>
      <c r="AK15" s="27"/>
      <c r="AL15" s="26"/>
      <c r="AM15" s="26"/>
      <c r="AN15" s="26"/>
      <c r="AO15" s="26"/>
      <c r="AP15" s="26"/>
      <c r="AQ15" s="26"/>
      <c r="AR15" s="26"/>
    </row>
    <row r="16" spans="1:44" ht="18" customHeight="1">
      <c r="A16" s="26"/>
      <c r="B16" s="26"/>
      <c r="C16" s="26"/>
      <c r="D16" s="26"/>
      <c r="E16" s="26"/>
      <c r="F16" s="26"/>
      <c r="G16" s="26"/>
      <c r="H16" s="26"/>
      <c r="I16" s="3989"/>
      <c r="J16" s="3989"/>
      <c r="K16" s="3989"/>
      <c r="L16" s="3989"/>
      <c r="M16" s="3989"/>
      <c r="N16" s="3989"/>
      <c r="O16" s="3989"/>
      <c r="P16" s="3989"/>
      <c r="Q16" s="3989"/>
      <c r="R16" s="3989"/>
      <c r="S16" s="3989"/>
      <c r="T16" s="3989"/>
      <c r="U16" s="3989"/>
      <c r="V16" s="3989"/>
      <c r="W16" s="3989"/>
      <c r="X16" s="3989"/>
      <c r="Y16" s="3989"/>
      <c r="Z16" s="26"/>
      <c r="AA16" s="26"/>
      <c r="AB16" s="26"/>
      <c r="AC16" s="27"/>
      <c r="AD16" s="27"/>
      <c r="AE16" s="27"/>
      <c r="AF16" s="27"/>
      <c r="AG16" s="27"/>
      <c r="AH16" s="27"/>
      <c r="AI16" s="27"/>
      <c r="AJ16" s="27"/>
      <c r="AK16" s="27"/>
      <c r="AL16" s="26"/>
      <c r="AM16" s="26"/>
      <c r="AN16" s="26"/>
      <c r="AO16" s="26"/>
      <c r="AP16" s="26"/>
      <c r="AQ16" s="26"/>
      <c r="AR16" s="26"/>
    </row>
    <row r="17" spans="9:25" ht="12.7" customHeight="1">
      <c r="I17" s="142"/>
      <c r="J17" s="142"/>
      <c r="K17" s="142"/>
      <c r="L17" s="142"/>
      <c r="M17" s="144"/>
      <c r="N17" s="144"/>
      <c r="O17" s="455"/>
      <c r="P17" s="456"/>
      <c r="Q17" s="144"/>
      <c r="R17" s="144"/>
      <c r="S17" s="144"/>
      <c r="T17" s="144"/>
      <c r="U17" s="145"/>
      <c r="V17" s="145"/>
      <c r="W17" s="145"/>
      <c r="X17" s="141"/>
      <c r="Y17" s="141"/>
    </row>
    <row r="18" spans="9:25" ht="22.5" customHeight="1">
      <c r="I18" s="3994" t="s">
        <v>477</v>
      </c>
      <c r="J18" s="3994"/>
      <c r="K18" s="3994"/>
      <c r="L18" s="3994"/>
      <c r="M18" s="3994"/>
      <c r="N18" s="3994"/>
      <c r="O18" s="3994"/>
      <c r="P18" s="3994"/>
      <c r="Q18" s="3994"/>
      <c r="R18" s="3994"/>
      <c r="S18" s="3994"/>
      <c r="T18" s="3994"/>
      <c r="U18" s="3994"/>
      <c r="V18" s="3994"/>
      <c r="W18" s="3994"/>
      <c r="X18" s="3994"/>
      <c r="Y18" s="3994"/>
    </row>
    <row r="19" spans="9:25" ht="22.5" customHeight="1">
      <c r="I19" s="3994"/>
      <c r="J19" s="3994"/>
      <c r="K19" s="3994"/>
      <c r="L19" s="3994"/>
      <c r="M19" s="3994"/>
      <c r="N19" s="3994"/>
      <c r="O19" s="3994"/>
      <c r="P19" s="3994"/>
      <c r="Q19" s="3994"/>
      <c r="R19" s="3994"/>
      <c r="S19" s="3994"/>
      <c r="T19" s="3994"/>
      <c r="U19" s="3994"/>
      <c r="V19" s="3994"/>
      <c r="W19" s="3994"/>
      <c r="X19" s="3994"/>
      <c r="Y19" s="3994"/>
    </row>
    <row r="20" spans="9:25" ht="22.5" customHeight="1">
      <c r="I20" s="3994"/>
      <c r="J20" s="3994"/>
      <c r="K20" s="3994"/>
      <c r="L20" s="3994"/>
      <c r="M20" s="3994"/>
      <c r="N20" s="3994"/>
      <c r="O20" s="3994"/>
      <c r="P20" s="3994"/>
      <c r="Q20" s="3994"/>
      <c r="R20" s="3994"/>
      <c r="S20" s="3994"/>
      <c r="T20" s="3994"/>
      <c r="U20" s="3994"/>
      <c r="V20" s="3994"/>
      <c r="W20" s="3994"/>
      <c r="X20" s="3994"/>
      <c r="Y20" s="3994"/>
    </row>
    <row r="21" spans="9:25" ht="9.75" customHeight="1">
      <c r="I21" s="35"/>
      <c r="J21" s="143"/>
      <c r="K21" s="143"/>
      <c r="L21" s="143"/>
      <c r="M21" s="143"/>
      <c r="N21" s="143"/>
      <c r="O21" s="141"/>
      <c r="P21" s="141"/>
      <c r="Q21" s="141"/>
      <c r="R21" s="141"/>
      <c r="S21" s="141"/>
      <c r="T21" s="141"/>
      <c r="U21" s="141"/>
      <c r="V21" s="141"/>
      <c r="W21" s="141"/>
      <c r="X21" s="141"/>
      <c r="Y21" s="141"/>
    </row>
    <row r="22" spans="9:25" ht="18" customHeight="1">
      <c r="I22" s="656" t="s">
        <v>1557</v>
      </c>
      <c r="J22" s="143"/>
      <c r="K22" s="143"/>
      <c r="L22" s="143"/>
      <c r="M22" s="143"/>
      <c r="N22" s="143"/>
      <c r="O22" s="145"/>
      <c r="P22" s="145"/>
      <c r="Q22" s="145"/>
      <c r="R22" s="145"/>
      <c r="S22" s="145"/>
      <c r="T22" s="145"/>
      <c r="U22" s="145"/>
      <c r="V22" s="145"/>
      <c r="W22" s="145"/>
      <c r="X22" s="141"/>
      <c r="Y22" s="141"/>
    </row>
    <row r="23" spans="9:25" ht="18" customHeight="1">
      <c r="I23" s="3995" t="s">
        <v>73</v>
      </c>
      <c r="J23" s="3995"/>
      <c r="K23" s="3995"/>
      <c r="L23" s="3995"/>
      <c r="M23" s="468" t="s">
        <v>332</v>
      </c>
      <c r="N23" s="468" t="s">
        <v>333</v>
      </c>
      <c r="O23" s="3995" t="s">
        <v>334</v>
      </c>
      <c r="P23" s="3995"/>
      <c r="Q23" s="3995" t="s">
        <v>305</v>
      </c>
      <c r="R23" s="3995"/>
      <c r="S23" s="3995" t="s">
        <v>335</v>
      </c>
      <c r="T23" s="3995"/>
      <c r="U23" s="3997" t="s">
        <v>313</v>
      </c>
      <c r="V23" s="3997"/>
      <c r="W23" s="3997"/>
      <c r="X23" s="3997"/>
      <c r="Y23" s="3997"/>
    </row>
    <row r="24" spans="9:25" ht="18" customHeight="1">
      <c r="I24" s="3985" t="str">
        <f>T(Comparable1_Street_Address)</f>
        <v/>
      </c>
      <c r="J24" s="3985"/>
      <c r="K24" s="3985"/>
      <c r="L24" s="3985"/>
      <c r="M24" s="597">
        <f>COMPS!Comparable1_Beds</f>
        <v>0</v>
      </c>
      <c r="N24" s="470">
        <f>COMPS!Comparable1_Baths</f>
        <v>0</v>
      </c>
      <c r="O24" s="3987">
        <f>COMPS!AJ19</f>
        <v>0</v>
      </c>
      <c r="P24" s="3987"/>
      <c r="Q24" s="3988">
        <f>COMPS!AJ10</f>
        <v>0</v>
      </c>
      <c r="R24" s="3988"/>
      <c r="S24" s="3977">
        <f>IF(O24=0,0,Q24/O24)</f>
        <v>0</v>
      </c>
      <c r="T24" s="3977"/>
      <c r="U24" s="3985"/>
      <c r="V24" s="3985"/>
      <c r="W24" s="3985"/>
      <c r="X24" s="3985"/>
      <c r="Y24" s="3985"/>
    </row>
    <row r="25" spans="9:25" ht="18" customHeight="1">
      <c r="I25" s="3976" t="str">
        <f>T(Comparable2_Street_Address)</f>
        <v/>
      </c>
      <c r="J25" s="3976"/>
      <c r="K25" s="3976"/>
      <c r="L25" s="3976"/>
      <c r="M25" s="471">
        <f>COMPS!Comparable2_Beds</f>
        <v>0</v>
      </c>
      <c r="N25" s="472">
        <f>COMPS!Comparable2_Baths</f>
        <v>0</v>
      </c>
      <c r="O25" s="3991">
        <f>COMPS!AW19</f>
        <v>0</v>
      </c>
      <c r="P25" s="3991"/>
      <c r="Q25" s="3992">
        <f>COMPS!AW10</f>
        <v>0</v>
      </c>
      <c r="R25" s="3992"/>
      <c r="S25" s="3993">
        <f>IF(O25=0,0,Q25/O25)</f>
        <v>0</v>
      </c>
      <c r="T25" s="3993"/>
      <c r="U25" s="3976"/>
      <c r="V25" s="3976"/>
      <c r="W25" s="3976"/>
      <c r="X25" s="3976"/>
      <c r="Y25" s="3976"/>
    </row>
    <row r="26" spans="9:25" ht="18" customHeight="1">
      <c r="I26" s="3985" t="str">
        <f>T(Comparable3_Street_Address)</f>
        <v/>
      </c>
      <c r="J26" s="3985"/>
      <c r="K26" s="3985"/>
      <c r="L26" s="3985"/>
      <c r="M26" s="469">
        <f>COMPS!Comparable3_Beds</f>
        <v>0</v>
      </c>
      <c r="N26" s="470">
        <f>COMPS!Comparable3_Baths</f>
        <v>0</v>
      </c>
      <c r="O26" s="3987">
        <f>COMPS!BJ19</f>
        <v>0</v>
      </c>
      <c r="P26" s="3987"/>
      <c r="Q26" s="3988">
        <f>COMPS!BJ10</f>
        <v>0</v>
      </c>
      <c r="R26" s="3988"/>
      <c r="S26" s="3977">
        <f>IF(O26=0,0,Q26/O26)</f>
        <v>0</v>
      </c>
      <c r="T26" s="3977"/>
      <c r="U26" s="3985"/>
      <c r="V26" s="3985"/>
      <c r="W26" s="3985"/>
      <c r="X26" s="3985"/>
      <c r="Y26" s="3985"/>
    </row>
    <row r="27" spans="9:25" ht="18" customHeight="1">
      <c r="I27" s="146"/>
      <c r="J27" s="146"/>
      <c r="K27" s="146"/>
      <c r="L27" s="146"/>
      <c r="M27" s="146"/>
      <c r="N27" s="145"/>
      <c r="O27" s="145"/>
      <c r="P27" s="145"/>
      <c r="Q27" s="145"/>
      <c r="R27" s="145"/>
      <c r="S27" s="145"/>
      <c r="T27" s="145"/>
      <c r="U27" s="145"/>
      <c r="V27" s="145"/>
      <c r="W27" s="145"/>
      <c r="X27" s="141"/>
      <c r="Y27" s="141"/>
    </row>
    <row r="28" spans="9:25" ht="18" customHeight="1">
      <c r="I28" s="3974" t="s">
        <v>864</v>
      </c>
      <c r="J28" s="3974"/>
      <c r="K28" s="3974"/>
      <c r="L28" s="3974"/>
      <c r="M28" s="3974"/>
      <c r="N28" s="657"/>
      <c r="O28" s="657"/>
      <c r="P28" s="657"/>
      <c r="Q28" s="657"/>
      <c r="R28" s="658"/>
      <c r="S28" s="658"/>
      <c r="T28" s="658"/>
      <c r="U28" s="658"/>
      <c r="V28" s="658"/>
      <c r="W28" s="658"/>
      <c r="X28" s="659"/>
      <c r="Y28" s="659"/>
    </row>
    <row r="29" spans="9:25" ht="18" customHeight="1">
      <c r="I29" s="1394"/>
      <c r="J29" s="1394"/>
      <c r="K29" s="1394"/>
      <c r="L29" s="1394"/>
      <c r="M29" s="1394"/>
      <c r="N29" s="1395"/>
      <c r="O29" s="1395"/>
      <c r="P29" s="1395"/>
      <c r="Q29" s="1395"/>
      <c r="R29" s="144"/>
      <c r="S29" s="144"/>
      <c r="T29" s="144"/>
      <c r="U29" s="144"/>
      <c r="V29" s="144"/>
      <c r="W29" s="144"/>
      <c r="X29" s="140"/>
      <c r="Y29" s="140"/>
    </row>
    <row r="30" spans="9:25" ht="20.7">
      <c r="I30" s="3990" t="s">
        <v>1154</v>
      </c>
      <c r="J30" s="3990"/>
      <c r="K30" s="3990"/>
      <c r="L30" s="3990"/>
      <c r="M30" s="3990"/>
      <c r="N30" s="3990"/>
      <c r="O30" s="3990"/>
      <c r="P30" s="3990"/>
      <c r="Q30" s="3990"/>
      <c r="R30" s="3990"/>
      <c r="S30" s="3990"/>
      <c r="T30" s="3990"/>
      <c r="U30" s="3990"/>
      <c r="V30" s="3990"/>
      <c r="W30" s="3986">
        <f>IF(Offer_Deal_Type="Wholesale",'WHOLESALE CALC'!B7,ARV)</f>
        <v>0</v>
      </c>
      <c r="X30" s="3986"/>
      <c r="Y30" s="3986"/>
    </row>
    <row r="31" spans="9:25" ht="13.35" customHeight="1">
      <c r="I31" s="141"/>
      <c r="J31" s="142"/>
      <c r="K31" s="142"/>
      <c r="L31" s="142"/>
      <c r="M31" s="142"/>
      <c r="N31" s="145"/>
      <c r="O31" s="145"/>
      <c r="P31" s="145"/>
      <c r="Q31" s="145"/>
      <c r="R31" s="144"/>
      <c r="S31" s="144"/>
      <c r="T31" s="144"/>
      <c r="U31" s="144"/>
      <c r="V31" s="145"/>
      <c r="W31" s="145"/>
      <c r="X31" s="145"/>
      <c r="Y31" s="141"/>
    </row>
    <row r="32" spans="9:25" ht="18" customHeight="1">
      <c r="I32" s="3975" t="s">
        <v>84</v>
      </c>
      <c r="J32" s="3975"/>
      <c r="K32" s="3975"/>
      <c r="L32" s="3975"/>
      <c r="M32" s="3975"/>
      <c r="N32" s="3975"/>
      <c r="O32" s="3975"/>
      <c r="P32" s="3975"/>
      <c r="Q32" s="3975"/>
      <c r="R32" s="3975"/>
      <c r="S32" s="3975"/>
      <c r="T32" s="3975"/>
      <c r="U32" s="3975"/>
      <c r="V32" s="3975"/>
      <c r="W32" s="1396"/>
      <c r="X32" s="1396"/>
      <c r="Y32" s="1397"/>
    </row>
    <row r="33" spans="9:25" ht="18" customHeight="1">
      <c r="I33" s="3960" t="str">
        <f>PROPER('2 REPAIR ESTIMATOR'!N75)</f>
        <v>General Conditions</v>
      </c>
      <c r="J33" s="3960"/>
      <c r="K33" s="3960"/>
      <c r="L33" s="3960"/>
      <c r="M33" s="3960"/>
      <c r="N33" s="3960"/>
      <c r="O33" s="3960"/>
      <c r="P33" s="3960"/>
      <c r="Q33" s="3960"/>
      <c r="R33" s="3960"/>
      <c r="S33" s="3960"/>
      <c r="T33" s="3960"/>
      <c r="U33" s="3960"/>
      <c r="V33" s="3960"/>
      <c r="W33" s="3973">
        <f t="shared" ref="W33:W56" si="0">IFERROR(AA77,0)</f>
        <v>0</v>
      </c>
      <c r="X33" s="3973"/>
      <c r="Y33" s="3973"/>
    </row>
    <row r="34" spans="9:25" ht="18" customHeight="1">
      <c r="I34" s="3960" t="str">
        <f>PROPER('2 REPAIR ESTIMATOR'!N76)</f>
        <v>Demolition</v>
      </c>
      <c r="J34" s="3960"/>
      <c r="K34" s="3960"/>
      <c r="L34" s="3960"/>
      <c r="M34" s="3960"/>
      <c r="N34" s="3960"/>
      <c r="O34" s="3960"/>
      <c r="P34" s="3960"/>
      <c r="Q34" s="3960"/>
      <c r="R34" s="3960"/>
      <c r="S34" s="3960"/>
      <c r="T34" s="3960"/>
      <c r="U34" s="3960"/>
      <c r="V34" s="3960"/>
      <c r="W34" s="3973">
        <f t="shared" si="0"/>
        <v>0</v>
      </c>
      <c r="X34" s="3973"/>
      <c r="Y34" s="3973"/>
    </row>
    <row r="35" spans="9:25" ht="18" customHeight="1">
      <c r="I35" s="3960" t="str">
        <f>PROPER('2 REPAIR ESTIMATOR'!N77)</f>
        <v>Structural Concrete</v>
      </c>
      <c r="J35" s="3960"/>
      <c r="K35" s="3960"/>
      <c r="L35" s="3960"/>
      <c r="M35" s="3960"/>
      <c r="N35" s="3960"/>
      <c r="O35" s="3960"/>
      <c r="P35" s="3960"/>
      <c r="Q35" s="3960"/>
      <c r="R35" s="3960"/>
      <c r="S35" s="3960"/>
      <c r="T35" s="3960"/>
      <c r="U35" s="3960"/>
      <c r="V35" s="3960"/>
      <c r="W35" s="3973">
        <f t="shared" si="0"/>
        <v>0</v>
      </c>
      <c r="X35" s="3973"/>
      <c r="Y35" s="3973"/>
    </row>
    <row r="36" spans="9:25" ht="18" customHeight="1">
      <c r="I36" s="3960" t="str">
        <f>PROPER('2 REPAIR ESTIMATOR'!N78)</f>
        <v>Concrete &amp; Flatwork</v>
      </c>
      <c r="J36" s="3960"/>
      <c r="K36" s="3960"/>
      <c r="L36" s="3960"/>
      <c r="M36" s="3960"/>
      <c r="N36" s="3960"/>
      <c r="O36" s="3960"/>
      <c r="P36" s="3960"/>
      <c r="Q36" s="3960"/>
      <c r="R36" s="3960"/>
      <c r="S36" s="3960"/>
      <c r="T36" s="3960"/>
      <c r="U36" s="3960"/>
      <c r="V36" s="3960"/>
      <c r="W36" s="3973">
        <f t="shared" si="0"/>
        <v>0</v>
      </c>
      <c r="X36" s="3973"/>
      <c r="Y36" s="3973"/>
    </row>
    <row r="37" spans="9:25" ht="18" customHeight="1">
      <c r="I37" s="3960" t="str">
        <f>PROPER('2 REPAIR ESTIMATOR'!N79)</f>
        <v>Masonry</v>
      </c>
      <c r="J37" s="3960"/>
      <c r="K37" s="3960"/>
      <c r="L37" s="3960"/>
      <c r="M37" s="3960"/>
      <c r="N37" s="3960"/>
      <c r="O37" s="3960"/>
      <c r="P37" s="3960"/>
      <c r="Q37" s="3960"/>
      <c r="R37" s="3960"/>
      <c r="S37" s="3960"/>
      <c r="T37" s="3960"/>
      <c r="U37" s="3960"/>
      <c r="V37" s="3960"/>
      <c r="W37" s="3973">
        <f t="shared" si="0"/>
        <v>0</v>
      </c>
      <c r="X37" s="3973"/>
      <c r="Y37" s="3973"/>
    </row>
    <row r="38" spans="9:25" ht="18" customHeight="1">
      <c r="I38" s="3960" t="str">
        <f>PROPER('2 REPAIR ESTIMATOR'!N80)</f>
        <v>Siding</v>
      </c>
      <c r="J38" s="3960"/>
      <c r="K38" s="3960"/>
      <c r="L38" s="3960"/>
      <c r="M38" s="3960"/>
      <c r="N38" s="3960"/>
      <c r="O38" s="3960"/>
      <c r="P38" s="3960"/>
      <c r="Q38" s="3960"/>
      <c r="R38" s="3960"/>
      <c r="S38" s="3960"/>
      <c r="T38" s="3960"/>
      <c r="U38" s="3960"/>
      <c r="V38" s="3960"/>
      <c r="W38" s="3973">
        <f t="shared" si="0"/>
        <v>0</v>
      </c>
      <c r="X38" s="3973"/>
      <c r="Y38" s="3973"/>
    </row>
    <row r="39" spans="9:25" ht="18" customHeight="1">
      <c r="I39" s="3960" t="str">
        <f>PROPER('2 REPAIR ESTIMATOR'!N81)</f>
        <v>Decking And Patios</v>
      </c>
      <c r="J39" s="3960"/>
      <c r="K39" s="3960"/>
      <c r="L39" s="3960"/>
      <c r="M39" s="3960"/>
      <c r="N39" s="3960"/>
      <c r="O39" s="3960"/>
      <c r="P39" s="3960"/>
      <c r="Q39" s="3960"/>
      <c r="R39" s="3960"/>
      <c r="S39" s="3960"/>
      <c r="T39" s="3960"/>
      <c r="U39" s="3960"/>
      <c r="V39" s="3960"/>
      <c r="W39" s="3973">
        <f t="shared" si="0"/>
        <v>0</v>
      </c>
      <c r="X39" s="3973"/>
      <c r="Y39" s="3973"/>
    </row>
    <row r="40" spans="9:25" ht="18" customHeight="1">
      <c r="I40" s="3960" t="str">
        <f>PROPER('2 REPAIR ESTIMATOR'!N82)</f>
        <v>Roofing</v>
      </c>
      <c r="J40" s="3960"/>
      <c r="K40" s="3960"/>
      <c r="L40" s="3960"/>
      <c r="M40" s="3960"/>
      <c r="N40" s="3960"/>
      <c r="O40" s="3960"/>
      <c r="P40" s="3960"/>
      <c r="Q40" s="3960"/>
      <c r="R40" s="3960"/>
      <c r="S40" s="3960"/>
      <c r="T40" s="3960"/>
      <c r="U40" s="3960"/>
      <c r="V40" s="3960"/>
      <c r="W40" s="3973">
        <f t="shared" si="0"/>
        <v>0</v>
      </c>
      <c r="X40" s="3973"/>
      <c r="Y40" s="3973"/>
    </row>
    <row r="41" spans="9:25" ht="18" customHeight="1">
      <c r="I41" s="3960" t="str">
        <f>PROPER('2 REPAIR ESTIMATOR'!Y75)</f>
        <v>Exterior Doors &amp; Windows</v>
      </c>
      <c r="J41" s="3960"/>
      <c r="K41" s="3960"/>
      <c r="L41" s="3960"/>
      <c r="M41" s="3960"/>
      <c r="N41" s="3960"/>
      <c r="O41" s="3960"/>
      <c r="P41" s="3960"/>
      <c r="Q41" s="3960"/>
      <c r="R41" s="3960"/>
      <c r="S41" s="3960"/>
      <c r="T41" s="3960"/>
      <c r="U41" s="3960"/>
      <c r="V41" s="3960"/>
      <c r="W41" s="3973">
        <f t="shared" si="0"/>
        <v>0</v>
      </c>
      <c r="X41" s="3973"/>
      <c r="Y41" s="3973"/>
    </row>
    <row r="42" spans="9:25" ht="18" customHeight="1">
      <c r="I42" s="3960" t="str">
        <f>PROPER('2 REPAIR ESTIMATOR'!Y76)</f>
        <v>Garage Doors</v>
      </c>
      <c r="J42" s="3960"/>
      <c r="K42" s="3960"/>
      <c r="L42" s="3960"/>
      <c r="M42" s="3960"/>
      <c r="N42" s="3960"/>
      <c r="O42" s="3960"/>
      <c r="P42" s="3960"/>
      <c r="Q42" s="3960"/>
      <c r="R42" s="3960"/>
      <c r="S42" s="3960"/>
      <c r="T42" s="3960"/>
      <c r="U42" s="3960"/>
      <c r="V42" s="3960"/>
      <c r="W42" s="3973">
        <f t="shared" si="0"/>
        <v>0</v>
      </c>
      <c r="X42" s="3973"/>
      <c r="Y42" s="3973"/>
    </row>
    <row r="43" spans="9:25" ht="18" customHeight="1">
      <c r="I43" s="3960" t="str">
        <f>PROPER('2 REPAIR ESTIMATOR'!Y77)</f>
        <v>Landscaping</v>
      </c>
      <c r="J43" s="3960"/>
      <c r="K43" s="3960"/>
      <c r="L43" s="3960"/>
      <c r="M43" s="3960"/>
      <c r="N43" s="3960"/>
      <c r="O43" s="3960"/>
      <c r="P43" s="3960"/>
      <c r="Q43" s="3960"/>
      <c r="R43" s="3960"/>
      <c r="S43" s="3960"/>
      <c r="T43" s="3960"/>
      <c r="U43" s="3960"/>
      <c r="V43" s="3960"/>
      <c r="W43" s="3973">
        <f t="shared" si="0"/>
        <v>0</v>
      </c>
      <c r="X43" s="3973"/>
      <c r="Y43" s="3973"/>
    </row>
    <row r="44" spans="9:25" ht="18" customHeight="1">
      <c r="I44" s="3960" t="str">
        <f>PROPER('2 REPAIR ESTIMATOR'!Y78)</f>
        <v>Misc. Exterior Items</v>
      </c>
      <c r="J44" s="3960"/>
      <c r="K44" s="3960"/>
      <c r="L44" s="3960"/>
      <c r="M44" s="3960"/>
      <c r="N44" s="3960"/>
      <c r="O44" s="3960"/>
      <c r="P44" s="3960"/>
      <c r="Q44" s="3960"/>
      <c r="R44" s="3960"/>
      <c r="S44" s="3960"/>
      <c r="T44" s="3960"/>
      <c r="U44" s="3960"/>
      <c r="V44" s="3960"/>
      <c r="W44" s="3973">
        <f t="shared" si="0"/>
        <v>0</v>
      </c>
      <c r="X44" s="3973"/>
      <c r="Y44" s="3973"/>
    </row>
    <row r="45" spans="9:25" ht="18" customHeight="1">
      <c r="I45" s="3960" t="str">
        <f>PROPER('2 REPAIR ESTIMATOR'!Y79)</f>
        <v>Framing &amp; Drywall</v>
      </c>
      <c r="J45" s="3960"/>
      <c r="K45" s="3960"/>
      <c r="L45" s="3960"/>
      <c r="M45" s="3960"/>
      <c r="N45" s="3960"/>
      <c r="O45" s="3960"/>
      <c r="P45" s="3960"/>
      <c r="Q45" s="3960"/>
      <c r="R45" s="3960"/>
      <c r="S45" s="3960"/>
      <c r="T45" s="3960"/>
      <c r="U45" s="3960"/>
      <c r="V45" s="3960"/>
      <c r="W45" s="3973">
        <f t="shared" si="0"/>
        <v>0</v>
      </c>
      <c r="X45" s="3973"/>
      <c r="Y45" s="3973"/>
    </row>
    <row r="46" spans="9:25" ht="18" customHeight="1">
      <c r="I46" s="3960" t="str">
        <f>PROPER('2 REPAIR ESTIMATOR'!Y80)</f>
        <v>Cabinets &amp; Countertops</v>
      </c>
      <c r="J46" s="3960"/>
      <c r="K46" s="3960"/>
      <c r="L46" s="3960"/>
      <c r="M46" s="3960"/>
      <c r="N46" s="3960"/>
      <c r="O46" s="3960"/>
      <c r="P46" s="3960"/>
      <c r="Q46" s="3960"/>
      <c r="R46" s="3960"/>
      <c r="S46" s="3960"/>
      <c r="T46" s="3960"/>
      <c r="U46" s="3960"/>
      <c r="V46" s="3960"/>
      <c r="W46" s="3973">
        <f t="shared" si="0"/>
        <v>0</v>
      </c>
      <c r="X46" s="3973"/>
      <c r="Y46" s="3973"/>
    </row>
    <row r="47" spans="9:25" ht="18" customHeight="1">
      <c r="I47" s="3960" t="str">
        <f>PROPER('2 REPAIR ESTIMATOR'!Y81)</f>
        <v>Doors &amp; Trim</v>
      </c>
      <c r="J47" s="3960"/>
      <c r="K47" s="3960"/>
      <c r="L47" s="3960"/>
      <c r="M47" s="3960"/>
      <c r="N47" s="3960"/>
      <c r="O47" s="3960"/>
      <c r="P47" s="3960"/>
      <c r="Q47" s="3960"/>
      <c r="R47" s="3960"/>
      <c r="S47" s="3960"/>
      <c r="T47" s="3960"/>
      <c r="U47" s="3960"/>
      <c r="V47" s="3960"/>
      <c r="W47" s="3973">
        <f t="shared" si="0"/>
        <v>0</v>
      </c>
      <c r="X47" s="3973"/>
      <c r="Y47" s="3973"/>
    </row>
    <row r="48" spans="9:25" ht="18" customHeight="1">
      <c r="I48" s="3960" t="str">
        <f>PROPER('2 REPAIR ESTIMATOR'!Y82)</f>
        <v>Carpet &amp; Resilient</v>
      </c>
      <c r="J48" s="3960"/>
      <c r="K48" s="3960"/>
      <c r="L48" s="3960"/>
      <c r="M48" s="3960"/>
      <c r="N48" s="3960"/>
      <c r="O48" s="3960"/>
      <c r="P48" s="3960"/>
      <c r="Q48" s="3960"/>
      <c r="R48" s="3960"/>
      <c r="S48" s="3960"/>
      <c r="T48" s="3960"/>
      <c r="U48" s="3960"/>
      <c r="V48" s="3960"/>
      <c r="W48" s="3973">
        <f t="shared" si="0"/>
        <v>0</v>
      </c>
      <c r="X48" s="3973"/>
      <c r="Y48" s="3973"/>
    </row>
    <row r="49" spans="9:32" ht="18" customHeight="1">
      <c r="I49" s="3960" t="str">
        <f>PROPER('2 REPAIR ESTIMATOR'!AJ75)</f>
        <v>Hardwood Flooring</v>
      </c>
      <c r="J49" s="3960"/>
      <c r="K49" s="3960"/>
      <c r="L49" s="3960"/>
      <c r="M49" s="3960"/>
      <c r="N49" s="3960"/>
      <c r="O49" s="3960"/>
      <c r="P49" s="3960"/>
      <c r="Q49" s="3960"/>
      <c r="R49" s="3960"/>
      <c r="S49" s="3960"/>
      <c r="T49" s="3960"/>
      <c r="U49" s="3960"/>
      <c r="V49" s="3960"/>
      <c r="W49" s="3973">
        <f t="shared" si="0"/>
        <v>0</v>
      </c>
      <c r="X49" s="3973"/>
      <c r="Y49" s="3973"/>
    </row>
    <row r="50" spans="9:32" ht="18" customHeight="1">
      <c r="I50" s="3960" t="str">
        <f>PROPER('2 REPAIR ESTIMATOR'!AJ76)</f>
        <v>Tiling</v>
      </c>
      <c r="J50" s="3960"/>
      <c r="K50" s="3960"/>
      <c r="L50" s="3960"/>
      <c r="M50" s="3960"/>
      <c r="N50" s="3960"/>
      <c r="O50" s="3960"/>
      <c r="P50" s="3960"/>
      <c r="Q50" s="3960"/>
      <c r="R50" s="3960"/>
      <c r="S50" s="3960"/>
      <c r="T50" s="3960"/>
      <c r="U50" s="3960"/>
      <c r="V50" s="3960"/>
      <c r="W50" s="3973">
        <f t="shared" si="0"/>
        <v>0</v>
      </c>
      <c r="X50" s="3973"/>
      <c r="Y50" s="3973"/>
    </row>
    <row r="51" spans="9:32" ht="18" customHeight="1">
      <c r="I51" s="3960" t="str">
        <f>PROPER('2 REPAIR ESTIMATOR'!AJ77)</f>
        <v>Painting</v>
      </c>
      <c r="J51" s="3960"/>
      <c r="K51" s="3960"/>
      <c r="L51" s="3960"/>
      <c r="M51" s="3960"/>
      <c r="N51" s="3960"/>
      <c r="O51" s="3960"/>
      <c r="P51" s="3960"/>
      <c r="Q51" s="3960"/>
      <c r="R51" s="3960"/>
      <c r="S51" s="3960"/>
      <c r="T51" s="3960"/>
      <c r="U51" s="3960"/>
      <c r="V51" s="3960"/>
      <c r="W51" s="3973">
        <f t="shared" si="0"/>
        <v>0</v>
      </c>
      <c r="X51" s="3973"/>
      <c r="Y51" s="3973"/>
    </row>
    <row r="52" spans="9:32" ht="18" customHeight="1">
      <c r="I52" s="3960" t="str">
        <f>PROPER('2 REPAIR ESTIMATOR'!AJ78)</f>
        <v>Appliances</v>
      </c>
      <c r="J52" s="3960"/>
      <c r="K52" s="3960"/>
      <c r="L52" s="3960"/>
      <c r="M52" s="3960"/>
      <c r="N52" s="3960"/>
      <c r="O52" s="3960"/>
      <c r="P52" s="3960"/>
      <c r="Q52" s="3960"/>
      <c r="R52" s="3960"/>
      <c r="S52" s="3960"/>
      <c r="T52" s="3960"/>
      <c r="U52" s="3960"/>
      <c r="V52" s="3960"/>
      <c r="W52" s="3973">
        <f t="shared" si="0"/>
        <v>0</v>
      </c>
      <c r="X52" s="3973"/>
      <c r="Y52" s="3973"/>
    </row>
    <row r="53" spans="9:32" ht="18" customHeight="1">
      <c r="I53" s="3960" t="str">
        <f>PROPER('2 REPAIR ESTIMATOR'!AJ79)</f>
        <v>Plumbing</v>
      </c>
      <c r="J53" s="3960"/>
      <c r="K53" s="3960"/>
      <c r="L53" s="3960"/>
      <c r="M53" s="3960"/>
      <c r="N53" s="3960"/>
      <c r="O53" s="3960"/>
      <c r="P53" s="3960"/>
      <c r="Q53" s="3960"/>
      <c r="R53" s="3960"/>
      <c r="S53" s="3960"/>
      <c r="T53" s="3960"/>
      <c r="U53" s="3960"/>
      <c r="V53" s="3960"/>
      <c r="W53" s="3973">
        <f t="shared" si="0"/>
        <v>0</v>
      </c>
      <c r="X53" s="3973"/>
      <c r="Y53" s="3973"/>
    </row>
    <row r="54" spans="9:32" ht="18" customHeight="1">
      <c r="I54" s="3960" t="str">
        <f>PROPER('2 REPAIR ESTIMATOR'!AJ80)</f>
        <v>Hvac</v>
      </c>
      <c r="J54" s="3960"/>
      <c r="K54" s="3960"/>
      <c r="L54" s="3960"/>
      <c r="M54" s="3960"/>
      <c r="N54" s="3960"/>
      <c r="O54" s="3960"/>
      <c r="P54" s="3960"/>
      <c r="Q54" s="3960"/>
      <c r="R54" s="3960"/>
      <c r="S54" s="3960"/>
      <c r="T54" s="3960"/>
      <c r="U54" s="3960"/>
      <c r="V54" s="3960"/>
      <c r="W54" s="3973">
        <f t="shared" si="0"/>
        <v>0</v>
      </c>
      <c r="X54" s="3973"/>
      <c r="Y54" s="3973"/>
    </row>
    <row r="55" spans="9:32" ht="18" customHeight="1">
      <c r="I55" s="3960" t="str">
        <f>PROPER('2 REPAIR ESTIMATOR'!AJ81)</f>
        <v>Electrical</v>
      </c>
      <c r="J55" s="3960"/>
      <c r="K55" s="3960"/>
      <c r="L55" s="3960"/>
      <c r="M55" s="3960"/>
      <c r="N55" s="3960"/>
      <c r="O55" s="3960"/>
      <c r="P55" s="3960"/>
      <c r="Q55" s="3960"/>
      <c r="R55" s="3960"/>
      <c r="S55" s="3960"/>
      <c r="T55" s="3960"/>
      <c r="U55" s="3960"/>
      <c r="V55" s="3960"/>
      <c r="W55" s="3973">
        <f t="shared" si="0"/>
        <v>0</v>
      </c>
      <c r="X55" s="3973"/>
      <c r="Y55" s="3973"/>
    </row>
    <row r="56" spans="9:32" ht="18" customHeight="1" thickBot="1">
      <c r="I56" s="3955" t="str">
        <f>PROPER('2 REPAIR ESTIMATOR'!AJ82)</f>
        <v>Miscellaneous</v>
      </c>
      <c r="J56" s="3955"/>
      <c r="K56" s="3955"/>
      <c r="L56" s="3955"/>
      <c r="M56" s="3955"/>
      <c r="N56" s="3955"/>
      <c r="O56" s="3955"/>
      <c r="P56" s="3955"/>
      <c r="Q56" s="3955"/>
      <c r="R56" s="3955"/>
      <c r="S56" s="3955"/>
      <c r="T56" s="3955"/>
      <c r="U56" s="3955"/>
      <c r="V56" s="3955"/>
      <c r="W56" s="3956">
        <f t="shared" si="0"/>
        <v>0</v>
      </c>
      <c r="X56" s="3956"/>
      <c r="Y56" s="3956"/>
    </row>
    <row r="57" spans="9:32" ht="18" customHeight="1" thickTop="1">
      <c r="I57" s="3958" t="s">
        <v>345</v>
      </c>
      <c r="J57" s="3958"/>
      <c r="K57" s="3958"/>
      <c r="L57" s="3958"/>
      <c r="M57" s="3958"/>
      <c r="N57" s="3958"/>
      <c r="O57" s="3958"/>
      <c r="P57" s="3958"/>
      <c r="Q57" s="3958"/>
      <c r="R57" s="3958"/>
      <c r="S57" s="3958"/>
      <c r="T57" s="3958"/>
      <c r="U57" s="3958"/>
      <c r="V57" s="3958"/>
      <c r="W57" s="3959">
        <f>IFERROR(AF98,0)</f>
        <v>0</v>
      </c>
      <c r="X57" s="3959"/>
      <c r="Y57" s="3959"/>
    </row>
    <row r="58" spans="9:32" ht="18" customHeight="1">
      <c r="I58" s="1414"/>
      <c r="J58" s="1414"/>
      <c r="K58" s="1414"/>
      <c r="L58" s="1414"/>
      <c r="M58" s="1414"/>
      <c r="N58" s="1414"/>
      <c r="O58" s="1414"/>
      <c r="P58" s="1414"/>
      <c r="Q58" s="1414"/>
      <c r="R58" s="1414"/>
      <c r="S58" s="1414"/>
      <c r="T58" s="1414"/>
      <c r="U58" s="1414"/>
      <c r="V58" s="1414"/>
      <c r="W58" s="1415"/>
      <c r="X58" s="1415"/>
      <c r="Y58" s="1415"/>
    </row>
    <row r="59" spans="9:32" ht="18" customHeight="1">
      <c r="I59" s="3975" t="s">
        <v>1841</v>
      </c>
      <c r="J59" s="3975"/>
      <c r="K59" s="3975"/>
      <c r="L59" s="3975"/>
      <c r="M59" s="3975"/>
      <c r="N59" s="3975"/>
      <c r="O59" s="3975"/>
      <c r="P59" s="3975"/>
      <c r="Q59" s="3975"/>
      <c r="R59" s="3975"/>
      <c r="S59" s="3975"/>
      <c r="T59" s="3975"/>
      <c r="U59" s="3975"/>
      <c r="V59" s="3975"/>
      <c r="W59" s="1396"/>
      <c r="X59" s="1396"/>
      <c r="Y59" s="1397"/>
    </row>
    <row r="60" spans="9:32" ht="18" customHeight="1">
      <c r="I60" s="3960" t="s">
        <v>85</v>
      </c>
      <c r="J60" s="3960"/>
      <c r="K60" s="3960"/>
      <c r="L60" s="3960"/>
      <c r="M60" s="3960"/>
      <c r="N60" s="3960"/>
      <c r="O60" s="3960"/>
      <c r="P60" s="3960"/>
      <c r="Q60" s="3960"/>
      <c r="R60" s="3960"/>
      <c r="S60" s="3960"/>
      <c r="T60" s="3960"/>
      <c r="U60" s="3960"/>
      <c r="V60" s="3960"/>
      <c r="W60" s="3973">
        <f>IFERROR(AA101,0)</f>
        <v>0</v>
      </c>
      <c r="X60" s="3973"/>
      <c r="Y60" s="3973"/>
    </row>
    <row r="61" spans="9:32" ht="18" customHeight="1">
      <c r="I61" s="3960" t="s">
        <v>499</v>
      </c>
      <c r="J61" s="3960"/>
      <c r="K61" s="3960"/>
      <c r="L61" s="3960"/>
      <c r="M61" s="3960"/>
      <c r="N61" s="3960"/>
      <c r="O61" s="3960"/>
      <c r="P61" s="3960"/>
      <c r="Q61" s="3960"/>
      <c r="R61" s="3960"/>
      <c r="S61" s="3960"/>
      <c r="T61" s="3960"/>
      <c r="U61" s="3960"/>
      <c r="V61" s="3960"/>
      <c r="W61" s="3973">
        <f>IFERROR(AA102,0)</f>
        <v>0</v>
      </c>
      <c r="X61" s="3973"/>
      <c r="Y61" s="3973"/>
    </row>
    <row r="62" spans="9:32" ht="18" customHeight="1">
      <c r="I62" s="3960" t="s">
        <v>77</v>
      </c>
      <c r="J62" s="3960"/>
      <c r="K62" s="3960"/>
      <c r="L62" s="3960"/>
      <c r="M62" s="3960"/>
      <c r="N62" s="3960"/>
      <c r="O62" s="3960"/>
      <c r="P62" s="3960"/>
      <c r="Q62" s="3960"/>
      <c r="R62" s="3960"/>
      <c r="S62" s="3960"/>
      <c r="T62" s="3960"/>
      <c r="U62" s="3960"/>
      <c r="V62" s="3960"/>
      <c r="W62" s="3973">
        <f>IFERROR(AA103,0)</f>
        <v>0</v>
      </c>
      <c r="X62" s="3973"/>
      <c r="Y62" s="3973"/>
      <c r="AF62" s="25">
        <f>IF(B110="% OF ARV",1,0)</f>
        <v>0</v>
      </c>
    </row>
    <row r="63" spans="9:32" ht="18" customHeight="1" thickBot="1">
      <c r="I63" s="3955" t="s">
        <v>1591</v>
      </c>
      <c r="J63" s="3955"/>
      <c r="K63" s="3955"/>
      <c r="L63" s="3955"/>
      <c r="M63" s="3955"/>
      <c r="N63" s="3955"/>
      <c r="O63" s="3955"/>
      <c r="P63" s="3955"/>
      <c r="Q63" s="3955"/>
      <c r="R63" s="3955"/>
      <c r="S63" s="3955"/>
      <c r="T63" s="3955"/>
      <c r="U63" s="3955"/>
      <c r="V63" s="3955"/>
      <c r="W63" s="3956">
        <f>IFERROR(IF(AND(Offer_Deal_Type="Wholesale",Wholesale_Calculator_Fixed_Cost_Calculation_Method="% of ARV"),AA104,AA104)*F82,0)</f>
        <v>0</v>
      </c>
      <c r="X63" s="3956"/>
      <c r="Y63" s="3956"/>
    </row>
    <row r="64" spans="9:32" ht="18" customHeight="1" thickTop="1">
      <c r="I64" s="3958" t="str">
        <f>IF(Wholesale_Percent_Algo=1,"BUYING, HOLDING, SELLING &amp; FINANCING COSTS","OTHER COSTS")</f>
        <v>OTHER COSTS</v>
      </c>
      <c r="J64" s="3958"/>
      <c r="K64" s="3958"/>
      <c r="L64" s="3958"/>
      <c r="M64" s="3958"/>
      <c r="N64" s="3958"/>
      <c r="O64" s="3958"/>
      <c r="P64" s="3958"/>
      <c r="Q64" s="3958"/>
      <c r="R64" s="3958"/>
      <c r="S64" s="3958"/>
      <c r="T64" s="3958"/>
      <c r="U64" s="3958"/>
      <c r="V64" s="3958"/>
      <c r="W64" s="3959">
        <f>SUM(W60:Y63)</f>
        <v>0</v>
      </c>
      <c r="X64" s="3959"/>
      <c r="Y64" s="3959"/>
    </row>
    <row r="65" spans="2:37" ht="18" customHeight="1">
      <c r="I65" s="1398"/>
      <c r="J65" s="1398"/>
      <c r="K65" s="1398"/>
      <c r="L65" s="1398"/>
      <c r="M65" s="1398"/>
      <c r="N65" s="1398"/>
      <c r="O65" s="1398"/>
      <c r="P65" s="1398"/>
      <c r="Q65" s="1398"/>
      <c r="R65" s="1398"/>
      <c r="S65" s="1398"/>
      <c r="T65" s="1398"/>
      <c r="U65" s="1398"/>
      <c r="V65" s="1398"/>
      <c r="W65" s="1399"/>
      <c r="X65" s="1399"/>
      <c r="Y65" s="1399"/>
    </row>
    <row r="66" spans="2:37" ht="30" customHeight="1">
      <c r="I66" s="3960" t="s">
        <v>337</v>
      </c>
      <c r="J66" s="3960"/>
      <c r="K66" s="3960"/>
      <c r="L66" s="3960"/>
      <c r="M66" s="3960"/>
      <c r="N66" s="3960"/>
      <c r="O66" s="3960"/>
      <c r="P66" s="3960"/>
      <c r="Q66" s="3960"/>
      <c r="R66" s="3960"/>
      <c r="S66" s="3960"/>
      <c r="T66" s="3960"/>
      <c r="U66" s="3960"/>
      <c r="V66" s="3960"/>
      <c r="W66" s="3979">
        <f>D92</f>
        <v>0</v>
      </c>
      <c r="X66" s="3979"/>
      <c r="Y66" s="3979"/>
      <c r="AC66" s="12"/>
      <c r="AD66" s="12"/>
    </row>
    <row r="67" spans="2:37" ht="18" customHeight="1">
      <c r="I67" s="147"/>
      <c r="J67" s="147"/>
      <c r="K67" s="147"/>
      <c r="L67" s="147"/>
      <c r="M67" s="147"/>
      <c r="N67" s="147"/>
      <c r="O67" s="147"/>
      <c r="P67" s="473"/>
      <c r="Q67" s="147"/>
      <c r="R67" s="142"/>
      <c r="S67" s="142"/>
      <c r="T67" s="142"/>
      <c r="U67" s="142"/>
      <c r="V67" s="142"/>
      <c r="W67" s="142"/>
      <c r="X67" s="142"/>
      <c r="Y67" s="141"/>
    </row>
    <row r="68" spans="2:37" ht="22.7" customHeight="1">
      <c r="I68" s="3962" t="s">
        <v>1842</v>
      </c>
      <c r="J68" s="3962"/>
      <c r="K68" s="3962"/>
      <c r="L68" s="3962"/>
      <c r="M68" s="3962"/>
      <c r="N68" s="3962"/>
      <c r="O68" s="3962"/>
      <c r="P68" s="3962"/>
      <c r="Q68" s="3962"/>
      <c r="R68" s="3962"/>
      <c r="S68" s="3962"/>
      <c r="T68" s="3962"/>
      <c r="U68" s="3962"/>
      <c r="V68" s="3962"/>
      <c r="W68" s="3961">
        <f>W30-W57-W64-W66</f>
        <v>0</v>
      </c>
      <c r="X68" s="3961"/>
      <c r="Y68" s="3961"/>
    </row>
    <row r="69" spans="2:37" ht="22.7" customHeight="1">
      <c r="I69" s="3962"/>
      <c r="J69" s="3962"/>
      <c r="K69" s="3962"/>
      <c r="L69" s="3962"/>
      <c r="M69" s="3962"/>
      <c r="N69" s="3962"/>
      <c r="O69" s="3962"/>
      <c r="P69" s="3962"/>
      <c r="Q69" s="3962"/>
      <c r="R69" s="3962"/>
      <c r="S69" s="3962"/>
      <c r="T69" s="3962"/>
      <c r="U69" s="3962"/>
      <c r="V69" s="3962"/>
      <c r="W69" s="3961"/>
      <c r="X69" s="3961"/>
      <c r="Y69" s="3961"/>
    </row>
    <row r="70" spans="2:37" ht="18" customHeight="1">
      <c r="I70" s="141"/>
      <c r="J70" s="474"/>
      <c r="K70" s="474"/>
      <c r="L70" s="474"/>
      <c r="M70" s="474"/>
      <c r="N70" s="474"/>
      <c r="O70" s="474"/>
      <c r="P70" s="141"/>
      <c r="Q70" s="141"/>
      <c r="R70" s="475"/>
      <c r="S70" s="475"/>
      <c r="T70" s="475"/>
      <c r="U70" s="475"/>
      <c r="V70" s="476"/>
      <c r="W70" s="476"/>
      <c r="X70" s="476"/>
      <c r="Y70" s="141"/>
    </row>
    <row r="71" spans="2:37" ht="47.1" customHeight="1">
      <c r="I71" s="4004" t="s">
        <v>478</v>
      </c>
      <c r="J71" s="4004"/>
      <c r="K71" s="4004"/>
      <c r="L71" s="4004"/>
      <c r="M71" s="4004"/>
      <c r="N71" s="4004"/>
      <c r="O71" s="4004"/>
      <c r="P71" s="4004"/>
      <c r="Q71" s="4004"/>
      <c r="R71" s="4004"/>
      <c r="S71" s="4004"/>
      <c r="T71" s="4004"/>
      <c r="U71" s="4004"/>
      <c r="V71" s="4004"/>
      <c r="W71" s="4004"/>
      <c r="X71" s="4004"/>
      <c r="Y71" s="4004"/>
    </row>
    <row r="72" spans="2:37" ht="18" customHeight="1">
      <c r="I72" s="4000" t="str">
        <f>T(Company_Name)</f>
        <v/>
      </c>
      <c r="J72" s="4000"/>
      <c r="K72" s="4000"/>
      <c r="L72" s="4000"/>
      <c r="M72" s="4001">
        <f>(Company_Phone)</f>
        <v>0</v>
      </c>
      <c r="N72" s="4001"/>
      <c r="O72" s="4001"/>
      <c r="P72" s="3778" t="str">
        <f>T(Company_Email)</f>
        <v/>
      </c>
      <c r="Q72" s="3778"/>
      <c r="R72" s="3778"/>
      <c r="S72" s="3778"/>
      <c r="T72" s="3778"/>
      <c r="U72" s="3778" t="str">
        <f>T(Company_Website)</f>
        <v/>
      </c>
      <c r="V72" s="3778"/>
      <c r="W72" s="3778"/>
      <c r="X72" s="3778"/>
      <c r="Y72" s="3778"/>
      <c r="AC72" s="12"/>
      <c r="AD72" s="12"/>
      <c r="AE72" s="12"/>
      <c r="AF72" s="12"/>
      <c r="AG72" s="12"/>
      <c r="AH72" s="12"/>
      <c r="AI72" s="12"/>
      <c r="AJ72" s="12"/>
      <c r="AK72" s="12"/>
    </row>
    <row r="73" spans="2:37" ht="14.85" customHeight="1">
      <c r="I73" s="3433" t="s">
        <v>1607</v>
      </c>
      <c r="J73" s="3433"/>
      <c r="K73" s="3433"/>
      <c r="L73" s="3433"/>
      <c r="M73" s="3433"/>
      <c r="N73" s="3433"/>
      <c r="O73" s="3433"/>
      <c r="P73" s="3433"/>
      <c r="Q73" s="3433"/>
      <c r="R73" s="3433"/>
      <c r="S73" s="3433"/>
      <c r="T73" s="3433"/>
      <c r="U73" s="3433"/>
      <c r="V73" s="3433"/>
      <c r="W73" s="3433"/>
      <c r="X73" s="3433"/>
      <c r="Y73" s="3433"/>
    </row>
    <row r="74" spans="2:37" ht="14.85" customHeight="1">
      <c r="I74" s="3433"/>
      <c r="J74" s="3433"/>
      <c r="K74" s="3433"/>
      <c r="L74" s="3433"/>
      <c r="M74" s="3433"/>
      <c r="N74" s="3433"/>
      <c r="O74" s="3433"/>
      <c r="P74" s="3433"/>
      <c r="Q74" s="3433"/>
      <c r="R74" s="3433"/>
      <c r="S74" s="3433"/>
      <c r="T74" s="3433"/>
      <c r="U74" s="3433"/>
      <c r="V74" s="3433"/>
      <c r="W74" s="3433"/>
      <c r="X74" s="3433"/>
      <c r="Y74" s="3433"/>
    </row>
    <row r="75" spans="2:37" ht="14.85" hidden="1" customHeight="1"/>
    <row r="76" spans="2:37" ht="14.85" hidden="1" customHeight="1">
      <c r="G76" s="3969" t="s">
        <v>384</v>
      </c>
      <c r="H76" s="3969"/>
      <c r="I76" s="3969" t="s">
        <v>484</v>
      </c>
      <c r="J76" s="3969"/>
      <c r="K76" s="3969" t="s">
        <v>492</v>
      </c>
      <c r="L76" s="3969"/>
      <c r="M76" s="3969" t="s">
        <v>839</v>
      </c>
      <c r="N76" s="3969"/>
      <c r="O76" s="3969" t="s">
        <v>485</v>
      </c>
      <c r="P76" s="3969"/>
      <c r="Q76" s="3969" t="s">
        <v>490</v>
      </c>
      <c r="R76" s="3969"/>
      <c r="S76" s="3969" t="s">
        <v>862</v>
      </c>
      <c r="T76" s="3969"/>
      <c r="U76" s="3969" t="s">
        <v>1159</v>
      </c>
      <c r="V76" s="3969"/>
      <c r="W76" s="3969" t="s">
        <v>487</v>
      </c>
      <c r="X76" s="3969"/>
      <c r="Y76" s="3969" t="s">
        <v>486</v>
      </c>
      <c r="Z76" s="3969"/>
      <c r="AA76" s="3969" t="s">
        <v>489</v>
      </c>
      <c r="AB76" s="3969"/>
      <c r="AC76" s="12"/>
    </row>
    <row r="77" spans="2:37" ht="14.85" hidden="1" customHeight="1">
      <c r="G77" s="3954" t="s">
        <v>97</v>
      </c>
      <c r="H77" s="3954"/>
      <c r="I77" s="3950">
        <f>IF(Offer_Deal_Type="Wholesale",'WHOLESALE CALC'!AS7,'1 REHAB ANALYZER'!AQ98)</f>
        <v>0</v>
      </c>
      <c r="J77" s="3950"/>
      <c r="K77" s="3950">
        <f>IFERROR(IF($D$79=0,0,(I77/$I$105)*$D$79),0)</f>
        <v>0</v>
      </c>
      <c r="L77" s="3950"/>
      <c r="M77" s="3950">
        <f>I77+K77</f>
        <v>0</v>
      </c>
      <c r="N77" s="3950"/>
      <c r="O77" s="3951">
        <f>IF($M$105=0,0,M77/$M$105)</f>
        <v>0</v>
      </c>
      <c r="P77" s="3951"/>
      <c r="Q77" s="3950">
        <f>O77*$D$84</f>
        <v>0</v>
      </c>
      <c r="R77" s="3950"/>
      <c r="S77" s="3953">
        <f t="shared" ref="S77:S100" si="1">IF(Fixed_Costs_Allocation_Selection="Yes",M77+Q77,M77)</f>
        <v>0</v>
      </c>
      <c r="T77" s="3951"/>
      <c r="U77" s="3951">
        <f>IF($S$105=0,0,S77/$S$105)</f>
        <v>0</v>
      </c>
      <c r="V77" s="3951"/>
      <c r="W77" s="3950">
        <f>$D$90*U77</f>
        <v>0</v>
      </c>
      <c r="X77" s="3950"/>
      <c r="Y77" s="3950">
        <f t="shared" ref="Y77:Y105" si="2">Q77+W77</f>
        <v>0</v>
      </c>
      <c r="Z77" s="3950"/>
      <c r="AA77" s="3950">
        <f>M77+Y77</f>
        <v>0</v>
      </c>
      <c r="AB77" s="3950"/>
      <c r="AC77" s="12"/>
    </row>
    <row r="78" spans="2:37" ht="14.85" hidden="1" customHeight="1">
      <c r="B78" s="852"/>
      <c r="C78" s="852"/>
      <c r="D78" s="3949" t="s">
        <v>1178</v>
      </c>
      <c r="E78" s="3949"/>
      <c r="F78" s="852" t="s">
        <v>1584</v>
      </c>
      <c r="G78" s="3954" t="s">
        <v>99</v>
      </c>
      <c r="H78" s="3954"/>
      <c r="I78" s="3950">
        <f>IF(Offer_Deal_Type="Wholesale",'WHOLESALE CALC'!AS9,'1 REHAB ANALYZER'!AQ99)</f>
        <v>0</v>
      </c>
      <c r="J78" s="3950"/>
      <c r="K78" s="3950">
        <f t="shared" ref="K78:K100" si="3">IFERROR(IF($D$79=0,0,(I78/$I$105)*$D$79),0)</f>
        <v>0</v>
      </c>
      <c r="L78" s="3950"/>
      <c r="M78" s="3950">
        <f t="shared" ref="M78:M100" si="4">I78+K78</f>
        <v>0</v>
      </c>
      <c r="N78" s="3950"/>
      <c r="O78" s="3951">
        <f t="shared" ref="O78:O100" si="5">IF($M$105=0,0,M78/$M$105)</f>
        <v>0</v>
      </c>
      <c r="P78" s="3951"/>
      <c r="Q78" s="3950">
        <f t="shared" ref="Q78:Q100" si="6">O78*$D$84</f>
        <v>0</v>
      </c>
      <c r="R78" s="3950"/>
      <c r="S78" s="3953">
        <f t="shared" si="1"/>
        <v>0</v>
      </c>
      <c r="T78" s="3951"/>
      <c r="U78" s="3951">
        <f t="shared" ref="U78:U103" si="7">IF($S$105=0,0,S78/$S$105)</f>
        <v>0</v>
      </c>
      <c r="V78" s="3951"/>
      <c r="W78" s="3950">
        <f t="shared" ref="W78:W103" si="8">$D$90*U78</f>
        <v>0</v>
      </c>
      <c r="X78" s="3950"/>
      <c r="Y78" s="3950">
        <f t="shared" si="2"/>
        <v>0</v>
      </c>
      <c r="Z78" s="3950"/>
      <c r="AA78" s="3950">
        <f t="shared" ref="AA78:AA100" si="9">M78+Y78</f>
        <v>0</v>
      </c>
      <c r="AB78" s="3950"/>
      <c r="AC78" s="12"/>
    </row>
    <row r="79" spans="2:37" ht="14.85" hidden="1" customHeight="1">
      <c r="B79" s="852"/>
      <c r="C79" s="852"/>
      <c r="D79" s="3967">
        <f>IF(Offer_Deal_Type="Wholesale",'WHOLESALE CALC'!BG59,Adders_Result)</f>
        <v>0</v>
      </c>
      <c r="E79" s="3967"/>
      <c r="F79" s="852">
        <f>IF(Offer_Deal_Type="Wholesale",Wholesale_Profit,0)</f>
        <v>0</v>
      </c>
      <c r="G79" s="3954" t="s">
        <v>422</v>
      </c>
      <c r="H79" s="3954"/>
      <c r="I79" s="3950">
        <f>IF(Offer_Deal_Type="Wholesale",'WHOLESALE CALC'!AS11,'1 REHAB ANALYZER'!AQ100)</f>
        <v>0</v>
      </c>
      <c r="J79" s="3950"/>
      <c r="K79" s="3950">
        <f t="shared" si="3"/>
        <v>0</v>
      </c>
      <c r="L79" s="3950"/>
      <c r="M79" s="3950">
        <f t="shared" si="4"/>
        <v>0</v>
      </c>
      <c r="N79" s="3950"/>
      <c r="O79" s="3951">
        <f t="shared" si="5"/>
        <v>0</v>
      </c>
      <c r="P79" s="3951"/>
      <c r="Q79" s="3950">
        <f t="shared" si="6"/>
        <v>0</v>
      </c>
      <c r="R79" s="3950"/>
      <c r="S79" s="3953">
        <f t="shared" si="1"/>
        <v>0</v>
      </c>
      <c r="T79" s="3951"/>
      <c r="U79" s="3951">
        <f t="shared" si="7"/>
        <v>0</v>
      </c>
      <c r="V79" s="3951"/>
      <c r="W79" s="3950">
        <f t="shared" si="8"/>
        <v>0</v>
      </c>
      <c r="X79" s="3950"/>
      <c r="Y79" s="3950">
        <f t="shared" si="2"/>
        <v>0</v>
      </c>
      <c r="Z79" s="3950"/>
      <c r="AA79" s="3950">
        <f t="shared" si="9"/>
        <v>0</v>
      </c>
      <c r="AB79" s="3950"/>
      <c r="AC79" s="12"/>
    </row>
    <row r="80" spans="2:37" ht="14.85" hidden="1" customHeight="1">
      <c r="B80" s="852"/>
      <c r="C80" s="852"/>
      <c r="D80" s="3968" t="s">
        <v>1177</v>
      </c>
      <c r="E80" s="3968"/>
      <c r="F80" s="852"/>
      <c r="G80" s="3954" t="s">
        <v>213</v>
      </c>
      <c r="H80" s="3954"/>
      <c r="I80" s="3950">
        <f>IF(Offer_Deal_Type="Wholesale",'WHOLESALE CALC'!AS13,'1 REHAB ANALYZER'!AQ101)</f>
        <v>0</v>
      </c>
      <c r="J80" s="3950"/>
      <c r="K80" s="3950">
        <f t="shared" si="3"/>
        <v>0</v>
      </c>
      <c r="L80" s="3950"/>
      <c r="M80" s="3950">
        <f t="shared" si="4"/>
        <v>0</v>
      </c>
      <c r="N80" s="3950"/>
      <c r="O80" s="3951">
        <f t="shared" si="5"/>
        <v>0</v>
      </c>
      <c r="P80" s="3951"/>
      <c r="Q80" s="3950">
        <f t="shared" si="6"/>
        <v>0</v>
      </c>
      <c r="R80" s="3950"/>
      <c r="S80" s="3953">
        <f t="shared" si="1"/>
        <v>0</v>
      </c>
      <c r="T80" s="3951"/>
      <c r="U80" s="3951">
        <f t="shared" si="7"/>
        <v>0</v>
      </c>
      <c r="V80" s="3951"/>
      <c r="W80" s="3950">
        <f t="shared" si="8"/>
        <v>0</v>
      </c>
      <c r="X80" s="3950"/>
      <c r="Y80" s="3950">
        <f t="shared" si="2"/>
        <v>0</v>
      </c>
      <c r="Z80" s="3950"/>
      <c r="AA80" s="3950">
        <f t="shared" si="9"/>
        <v>0</v>
      </c>
      <c r="AB80" s="3950"/>
      <c r="AC80" s="12"/>
    </row>
    <row r="81" spans="2:29" ht="14.85" hidden="1" customHeight="1">
      <c r="B81" s="852"/>
      <c r="C81" s="852"/>
      <c r="D81" s="3968"/>
      <c r="E81" s="3968"/>
      <c r="F81" s="852"/>
      <c r="G81" s="3954" t="s">
        <v>1</v>
      </c>
      <c r="H81" s="3954"/>
      <c r="I81" s="3950">
        <f>IF(Offer_Deal_Type="Wholesale",'WHOLESALE CALC'!AS15,'1 REHAB ANALYZER'!AQ102)</f>
        <v>0</v>
      </c>
      <c r="J81" s="3950"/>
      <c r="K81" s="3950">
        <f t="shared" si="3"/>
        <v>0</v>
      </c>
      <c r="L81" s="3950"/>
      <c r="M81" s="3950">
        <f t="shared" si="4"/>
        <v>0</v>
      </c>
      <c r="N81" s="3950"/>
      <c r="O81" s="3951">
        <f t="shared" si="5"/>
        <v>0</v>
      </c>
      <c r="P81" s="3951"/>
      <c r="Q81" s="3950">
        <f t="shared" si="6"/>
        <v>0</v>
      </c>
      <c r="R81" s="3950"/>
      <c r="S81" s="3953">
        <f t="shared" si="1"/>
        <v>0</v>
      </c>
      <c r="T81" s="3951"/>
      <c r="U81" s="3951">
        <f t="shared" si="7"/>
        <v>0</v>
      </c>
      <c r="V81" s="3951"/>
      <c r="W81" s="3950">
        <f t="shared" si="8"/>
        <v>0</v>
      </c>
      <c r="X81" s="3950"/>
      <c r="Y81" s="3950">
        <f t="shared" si="2"/>
        <v>0</v>
      </c>
      <c r="Z81" s="3950"/>
      <c r="AA81" s="3950">
        <f t="shared" si="9"/>
        <v>0</v>
      </c>
      <c r="AB81" s="3950"/>
      <c r="AC81" s="12"/>
    </row>
    <row r="82" spans="2:29" ht="14.85" hidden="1" customHeight="1">
      <c r="B82" s="852"/>
      <c r="C82" s="852"/>
      <c r="D82" s="3967" t="s">
        <v>377</v>
      </c>
      <c r="E82" s="3967"/>
      <c r="F82" s="852">
        <f>IF(Fixed_Costs_Allocation_Selection="Yes",0,1)</f>
        <v>1</v>
      </c>
      <c r="G82" s="3954" t="s">
        <v>13</v>
      </c>
      <c r="H82" s="3954"/>
      <c r="I82" s="3950">
        <f>IF(Offer_Deal_Type="Wholesale",'WHOLESALE CALC'!AS17,'1 REHAB ANALYZER'!AQ103)</f>
        <v>0</v>
      </c>
      <c r="J82" s="3950"/>
      <c r="K82" s="3950">
        <f t="shared" si="3"/>
        <v>0</v>
      </c>
      <c r="L82" s="3950"/>
      <c r="M82" s="3950">
        <f t="shared" si="4"/>
        <v>0</v>
      </c>
      <c r="N82" s="3950"/>
      <c r="O82" s="3951">
        <f t="shared" si="5"/>
        <v>0</v>
      </c>
      <c r="P82" s="3951"/>
      <c r="Q82" s="3950">
        <f t="shared" si="6"/>
        <v>0</v>
      </c>
      <c r="R82" s="3950"/>
      <c r="S82" s="3953">
        <f t="shared" si="1"/>
        <v>0</v>
      </c>
      <c r="T82" s="3951"/>
      <c r="U82" s="3951">
        <f t="shared" si="7"/>
        <v>0</v>
      </c>
      <c r="V82" s="3951"/>
      <c r="W82" s="3950">
        <f t="shared" si="8"/>
        <v>0</v>
      </c>
      <c r="X82" s="3950"/>
      <c r="Y82" s="3950">
        <f t="shared" si="2"/>
        <v>0</v>
      </c>
      <c r="Z82" s="3950"/>
      <c r="AA82" s="3950">
        <f t="shared" si="9"/>
        <v>0</v>
      </c>
      <c r="AB82" s="3950"/>
      <c r="AC82" s="12"/>
    </row>
    <row r="83" spans="2:29" ht="14.85" hidden="1" customHeight="1">
      <c r="B83" s="852"/>
      <c r="C83" s="852"/>
      <c r="D83" s="3949" t="s">
        <v>1175</v>
      </c>
      <c r="E83" s="3949"/>
      <c r="F83" s="852"/>
      <c r="G83" s="3954" t="s">
        <v>271</v>
      </c>
      <c r="H83" s="3954"/>
      <c r="I83" s="3950">
        <f>IF(Offer_Deal_Type="Wholesale",'WHOLESALE CALC'!AS19,'1 REHAB ANALYZER'!AQ104)</f>
        <v>0</v>
      </c>
      <c r="J83" s="3950"/>
      <c r="K83" s="3950">
        <f t="shared" si="3"/>
        <v>0</v>
      </c>
      <c r="L83" s="3950"/>
      <c r="M83" s="3950">
        <f t="shared" si="4"/>
        <v>0</v>
      </c>
      <c r="N83" s="3950"/>
      <c r="O83" s="3951">
        <f t="shared" si="5"/>
        <v>0</v>
      </c>
      <c r="P83" s="3951"/>
      <c r="Q83" s="3950">
        <f t="shared" si="6"/>
        <v>0</v>
      </c>
      <c r="R83" s="3950"/>
      <c r="S83" s="3953">
        <f t="shared" si="1"/>
        <v>0</v>
      </c>
      <c r="T83" s="3951"/>
      <c r="U83" s="3951">
        <f t="shared" si="7"/>
        <v>0</v>
      </c>
      <c r="V83" s="3951"/>
      <c r="W83" s="3950">
        <f t="shared" si="8"/>
        <v>0</v>
      </c>
      <c r="X83" s="3950"/>
      <c r="Y83" s="3950">
        <f t="shared" si="2"/>
        <v>0</v>
      </c>
      <c r="Z83" s="3950"/>
      <c r="AA83" s="3950">
        <f t="shared" si="9"/>
        <v>0</v>
      </c>
      <c r="AB83" s="3950"/>
      <c r="AC83" s="12"/>
    </row>
    <row r="84" spans="2:29" ht="14.85" hidden="1" customHeight="1">
      <c r="B84" s="3947">
        <f>IF(Offer_Deal_Type="Wholesale",TOTAL_FIXED_COSTS_WHOLESALE,TOTAL_FIXED_COSTS_ESTIMATED)</f>
        <v>0</v>
      </c>
      <c r="C84" s="3948"/>
      <c r="D84" s="3967">
        <f>IF(D82="Yes",B84,0)</f>
        <v>0</v>
      </c>
      <c r="E84" s="3967"/>
      <c r="F84" s="852"/>
      <c r="G84" s="3954" t="s">
        <v>8</v>
      </c>
      <c r="H84" s="3954"/>
      <c r="I84" s="3950">
        <f>IF(Offer_Deal_Type="Wholesale",'WHOLESALE CALC'!AS21,'1 REHAB ANALYZER'!AQ105)</f>
        <v>0</v>
      </c>
      <c r="J84" s="3950"/>
      <c r="K84" s="3950">
        <f t="shared" si="3"/>
        <v>0</v>
      </c>
      <c r="L84" s="3950"/>
      <c r="M84" s="3950">
        <f t="shared" si="4"/>
        <v>0</v>
      </c>
      <c r="N84" s="3950"/>
      <c r="O84" s="3951">
        <f t="shared" si="5"/>
        <v>0</v>
      </c>
      <c r="P84" s="3951"/>
      <c r="Q84" s="3950">
        <f t="shared" si="6"/>
        <v>0</v>
      </c>
      <c r="R84" s="3950"/>
      <c r="S84" s="3953">
        <f t="shared" si="1"/>
        <v>0</v>
      </c>
      <c r="T84" s="3951"/>
      <c r="U84" s="3951">
        <f t="shared" si="7"/>
        <v>0</v>
      </c>
      <c r="V84" s="3951"/>
      <c r="W84" s="3950">
        <f t="shared" si="8"/>
        <v>0</v>
      </c>
      <c r="X84" s="3950"/>
      <c r="Y84" s="3950">
        <f t="shared" si="2"/>
        <v>0</v>
      </c>
      <c r="Z84" s="3950"/>
      <c r="AA84" s="3950">
        <f t="shared" si="9"/>
        <v>0</v>
      </c>
      <c r="AB84" s="3950"/>
      <c r="AC84" s="12"/>
    </row>
    <row r="85" spans="2:29" ht="14.85" hidden="1" customHeight="1">
      <c r="B85" s="852"/>
      <c r="C85" s="853"/>
      <c r="D85" s="3968" t="s">
        <v>1176</v>
      </c>
      <c r="E85" s="3968"/>
      <c r="F85" s="852"/>
      <c r="G85" s="3954" t="s">
        <v>98</v>
      </c>
      <c r="H85" s="3954"/>
      <c r="I85" s="3950">
        <f>IF(Offer_Deal_Type="Wholesale",'WHOLESALE CALC'!AS23,'1 REHAB ANALYZER'!AQ106)</f>
        <v>0</v>
      </c>
      <c r="J85" s="3950"/>
      <c r="K85" s="3950">
        <f t="shared" si="3"/>
        <v>0</v>
      </c>
      <c r="L85" s="3950"/>
      <c r="M85" s="3950">
        <f t="shared" si="4"/>
        <v>0</v>
      </c>
      <c r="N85" s="3950"/>
      <c r="O85" s="3951">
        <f t="shared" si="5"/>
        <v>0</v>
      </c>
      <c r="P85" s="3951"/>
      <c r="Q85" s="3950">
        <f t="shared" si="6"/>
        <v>0</v>
      </c>
      <c r="R85" s="3950"/>
      <c r="S85" s="3953">
        <f t="shared" si="1"/>
        <v>0</v>
      </c>
      <c r="T85" s="3951"/>
      <c r="U85" s="3951">
        <f t="shared" si="7"/>
        <v>0</v>
      </c>
      <c r="V85" s="3951"/>
      <c r="W85" s="3950">
        <f t="shared" si="8"/>
        <v>0</v>
      </c>
      <c r="X85" s="3950"/>
      <c r="Y85" s="3950">
        <f t="shared" si="2"/>
        <v>0</v>
      </c>
      <c r="Z85" s="3950"/>
      <c r="AA85" s="3950">
        <f t="shared" si="9"/>
        <v>0</v>
      </c>
      <c r="AB85" s="3950"/>
      <c r="AC85" s="12"/>
    </row>
    <row r="86" spans="2:29" ht="14.85" hidden="1" customHeight="1">
      <c r="B86" s="852"/>
      <c r="C86" s="853"/>
      <c r="D86" s="3968"/>
      <c r="E86" s="3968"/>
      <c r="F86" s="852"/>
      <c r="G86" s="3954" t="s">
        <v>130</v>
      </c>
      <c r="H86" s="3954"/>
      <c r="I86" s="3950">
        <f>IF(Offer_Deal_Type="Wholesale",'WHOLESALE CALC'!AS25,'1 REHAB ANALYZER'!AQ107)</f>
        <v>0</v>
      </c>
      <c r="J86" s="3950"/>
      <c r="K86" s="3950">
        <f t="shared" si="3"/>
        <v>0</v>
      </c>
      <c r="L86" s="3950"/>
      <c r="M86" s="3950">
        <f t="shared" si="4"/>
        <v>0</v>
      </c>
      <c r="N86" s="3950"/>
      <c r="O86" s="3951">
        <f t="shared" si="5"/>
        <v>0</v>
      </c>
      <c r="P86" s="3951"/>
      <c r="Q86" s="3950">
        <f t="shared" si="6"/>
        <v>0</v>
      </c>
      <c r="R86" s="3950"/>
      <c r="S86" s="3953">
        <f t="shared" si="1"/>
        <v>0</v>
      </c>
      <c r="T86" s="3951"/>
      <c r="U86" s="3951">
        <f t="shared" si="7"/>
        <v>0</v>
      </c>
      <c r="V86" s="3951"/>
      <c r="W86" s="3950">
        <f t="shared" si="8"/>
        <v>0</v>
      </c>
      <c r="X86" s="3950"/>
      <c r="Y86" s="3950">
        <f t="shared" si="2"/>
        <v>0</v>
      </c>
      <c r="Z86" s="3950"/>
      <c r="AA86" s="3950">
        <f t="shared" si="9"/>
        <v>0</v>
      </c>
      <c r="AB86" s="3950"/>
      <c r="AC86" s="12"/>
    </row>
    <row r="87" spans="2:29" ht="14.85" hidden="1" customHeight="1">
      <c r="B87" s="852"/>
      <c r="C87" s="853"/>
      <c r="D87" s="3967" t="s">
        <v>376</v>
      </c>
      <c r="E87" s="3967"/>
      <c r="F87" s="852"/>
      <c r="G87" s="3954" t="s">
        <v>217</v>
      </c>
      <c r="H87" s="3954"/>
      <c r="I87" s="3950">
        <f>IF(Offer_Deal_Type="Wholesale",'WHOLESALE CALC'!AS27,'1 REHAB ANALYZER'!AQ108)</f>
        <v>0</v>
      </c>
      <c r="J87" s="3950"/>
      <c r="K87" s="3950">
        <f t="shared" si="3"/>
        <v>0</v>
      </c>
      <c r="L87" s="3950"/>
      <c r="M87" s="3950">
        <f t="shared" si="4"/>
        <v>0</v>
      </c>
      <c r="N87" s="3950"/>
      <c r="O87" s="3951">
        <f t="shared" si="5"/>
        <v>0</v>
      </c>
      <c r="P87" s="3951"/>
      <c r="Q87" s="3950">
        <f t="shared" si="6"/>
        <v>0</v>
      </c>
      <c r="R87" s="3950"/>
      <c r="S87" s="3953">
        <f t="shared" si="1"/>
        <v>0</v>
      </c>
      <c r="T87" s="3951"/>
      <c r="U87" s="3951">
        <f t="shared" si="7"/>
        <v>0</v>
      </c>
      <c r="V87" s="3951"/>
      <c r="W87" s="3950">
        <f t="shared" si="8"/>
        <v>0</v>
      </c>
      <c r="X87" s="3950"/>
      <c r="Y87" s="3950">
        <f t="shared" si="2"/>
        <v>0</v>
      </c>
      <c r="Z87" s="3950"/>
      <c r="AA87" s="3950">
        <f t="shared" si="9"/>
        <v>0</v>
      </c>
      <c r="AB87" s="3950"/>
      <c r="AC87" s="12"/>
    </row>
    <row r="88" spans="2:29" ht="14.85" hidden="1" customHeight="1">
      <c r="B88" s="852"/>
      <c r="C88" s="853"/>
      <c r="D88" s="3968" t="s">
        <v>488</v>
      </c>
      <c r="E88" s="3968"/>
      <c r="F88" s="852"/>
      <c r="G88" s="3954" t="s">
        <v>265</v>
      </c>
      <c r="H88" s="3954"/>
      <c r="I88" s="3950">
        <f>IF(Offer_Deal_Type="Wholesale",'WHOLESALE CALC'!AS29,'1 REHAB ANALYZER'!AQ109)</f>
        <v>0</v>
      </c>
      <c r="J88" s="3950"/>
      <c r="K88" s="3950">
        <f t="shared" si="3"/>
        <v>0</v>
      </c>
      <c r="L88" s="3950"/>
      <c r="M88" s="3950">
        <f t="shared" si="4"/>
        <v>0</v>
      </c>
      <c r="N88" s="3950"/>
      <c r="O88" s="3951">
        <f t="shared" si="5"/>
        <v>0</v>
      </c>
      <c r="P88" s="3951"/>
      <c r="Q88" s="3950">
        <f t="shared" si="6"/>
        <v>0</v>
      </c>
      <c r="R88" s="3950"/>
      <c r="S88" s="3953">
        <f t="shared" si="1"/>
        <v>0</v>
      </c>
      <c r="T88" s="3951"/>
      <c r="U88" s="3951">
        <f t="shared" si="7"/>
        <v>0</v>
      </c>
      <c r="V88" s="3951"/>
      <c r="W88" s="3950">
        <f t="shared" si="8"/>
        <v>0</v>
      </c>
      <c r="X88" s="3950"/>
      <c r="Y88" s="3950">
        <f t="shared" si="2"/>
        <v>0</v>
      </c>
      <c r="Z88" s="3950"/>
      <c r="AA88" s="3950">
        <f t="shared" si="9"/>
        <v>0</v>
      </c>
      <c r="AB88" s="3950"/>
      <c r="AC88" s="12"/>
    </row>
    <row r="89" spans="2:29" ht="14.85" hidden="1" customHeight="1">
      <c r="B89" s="852"/>
      <c r="C89" s="853"/>
      <c r="D89" s="3968"/>
      <c r="E89" s="3968"/>
      <c r="F89" s="852"/>
      <c r="G89" s="3954" t="s">
        <v>221</v>
      </c>
      <c r="H89" s="3954"/>
      <c r="I89" s="3950">
        <f>IF(Offer_Deal_Type="Wholesale",'WHOLESALE CALC'!BH7,'1 REHAB ANALYZER'!AQ110)</f>
        <v>0</v>
      </c>
      <c r="J89" s="3950"/>
      <c r="K89" s="3950">
        <f t="shared" si="3"/>
        <v>0</v>
      </c>
      <c r="L89" s="3950"/>
      <c r="M89" s="3950">
        <f t="shared" si="4"/>
        <v>0</v>
      </c>
      <c r="N89" s="3950"/>
      <c r="O89" s="3951">
        <f t="shared" si="5"/>
        <v>0</v>
      </c>
      <c r="P89" s="3951"/>
      <c r="Q89" s="3950">
        <f t="shared" si="6"/>
        <v>0</v>
      </c>
      <c r="R89" s="3950"/>
      <c r="S89" s="3953">
        <f t="shared" si="1"/>
        <v>0</v>
      </c>
      <c r="T89" s="3951"/>
      <c r="U89" s="3951">
        <f t="shared" si="7"/>
        <v>0</v>
      </c>
      <c r="V89" s="3951"/>
      <c r="W89" s="3950">
        <f t="shared" si="8"/>
        <v>0</v>
      </c>
      <c r="X89" s="3950"/>
      <c r="Y89" s="3950">
        <f t="shared" si="2"/>
        <v>0</v>
      </c>
      <c r="Z89" s="3950"/>
      <c r="AA89" s="3950">
        <f t="shared" si="9"/>
        <v>0</v>
      </c>
      <c r="AB89" s="3950"/>
      <c r="AC89" s="12"/>
    </row>
    <row r="90" spans="2:29" ht="14.85" hidden="1" customHeight="1">
      <c r="B90" s="852"/>
      <c r="C90" s="853">
        <f>IF(Offer_Deal_Type="Wholesale",REHABBER_PROFIT_WHOLESALE,REHAB_PROFIT_ESTIMATED)</f>
        <v>0</v>
      </c>
      <c r="D90" s="3978">
        <f>IF(D87="yes",(C90*Q3)+F79,0)</f>
        <v>0</v>
      </c>
      <c r="E90" s="3978"/>
      <c r="F90" s="852"/>
      <c r="G90" s="3954" t="s">
        <v>266</v>
      </c>
      <c r="H90" s="3954"/>
      <c r="I90" s="3950">
        <f>IF(Offer_Deal_Type="Wholesale",'WHOLESALE CALC'!BH9,'1 REHAB ANALYZER'!AQ111)</f>
        <v>0</v>
      </c>
      <c r="J90" s="3950"/>
      <c r="K90" s="3950">
        <f t="shared" si="3"/>
        <v>0</v>
      </c>
      <c r="L90" s="3950"/>
      <c r="M90" s="3950">
        <f t="shared" si="4"/>
        <v>0</v>
      </c>
      <c r="N90" s="3950"/>
      <c r="O90" s="3951">
        <f t="shared" si="5"/>
        <v>0</v>
      </c>
      <c r="P90" s="3951"/>
      <c r="Q90" s="3950">
        <f t="shared" si="6"/>
        <v>0</v>
      </c>
      <c r="R90" s="3950"/>
      <c r="S90" s="3953">
        <f t="shared" si="1"/>
        <v>0</v>
      </c>
      <c r="T90" s="3951"/>
      <c r="U90" s="3951">
        <f t="shared" si="7"/>
        <v>0</v>
      </c>
      <c r="V90" s="3951"/>
      <c r="W90" s="3950">
        <f t="shared" si="8"/>
        <v>0</v>
      </c>
      <c r="X90" s="3950"/>
      <c r="Y90" s="3950">
        <f t="shared" si="2"/>
        <v>0</v>
      </c>
      <c r="Z90" s="3950"/>
      <c r="AA90" s="3950">
        <f t="shared" si="9"/>
        <v>0</v>
      </c>
      <c r="AB90" s="3950"/>
      <c r="AC90" s="12"/>
    </row>
    <row r="91" spans="2:29" ht="14.85" hidden="1" customHeight="1">
      <c r="B91" s="852"/>
      <c r="C91" s="852"/>
      <c r="D91" s="3949" t="s">
        <v>491</v>
      </c>
      <c r="E91" s="3949"/>
      <c r="F91" s="852"/>
      <c r="G91" s="3954" t="s">
        <v>226</v>
      </c>
      <c r="H91" s="3954"/>
      <c r="I91" s="3950">
        <f>IF(Offer_Deal_Type="Wholesale",'WHOLESALE CALC'!BH11,'1 REHAB ANALYZER'!AQ112)</f>
        <v>0</v>
      </c>
      <c r="J91" s="3950"/>
      <c r="K91" s="3950">
        <f t="shared" si="3"/>
        <v>0</v>
      </c>
      <c r="L91" s="3950"/>
      <c r="M91" s="3950">
        <f t="shared" si="4"/>
        <v>0</v>
      </c>
      <c r="N91" s="3950"/>
      <c r="O91" s="3951">
        <f t="shared" si="5"/>
        <v>0</v>
      </c>
      <c r="P91" s="3951"/>
      <c r="Q91" s="3950">
        <f t="shared" si="6"/>
        <v>0</v>
      </c>
      <c r="R91" s="3950"/>
      <c r="S91" s="3953">
        <f t="shared" si="1"/>
        <v>0</v>
      </c>
      <c r="T91" s="3951"/>
      <c r="U91" s="3951">
        <f t="shared" si="7"/>
        <v>0</v>
      </c>
      <c r="V91" s="3951"/>
      <c r="W91" s="3950">
        <f t="shared" si="8"/>
        <v>0</v>
      </c>
      <c r="X91" s="3950"/>
      <c r="Y91" s="3950">
        <f t="shared" si="2"/>
        <v>0</v>
      </c>
      <c r="Z91" s="3950"/>
      <c r="AA91" s="3950">
        <f t="shared" si="9"/>
        <v>0</v>
      </c>
      <c r="AB91" s="3950"/>
      <c r="AC91" s="12"/>
    </row>
    <row r="92" spans="2:29" ht="14.85" hidden="1" customHeight="1">
      <c r="B92" s="852"/>
      <c r="C92" s="852"/>
      <c r="D92" s="3967">
        <f>IF(Offer_Deal_Type="Wholesale",'WHOLESALE CALC'!BN10,'1 REHAB ANALYZER'!BO12)-D90+F79</f>
        <v>0</v>
      </c>
      <c r="E92" s="3967"/>
      <c r="F92" s="852"/>
      <c r="G92" s="3954" t="s">
        <v>267</v>
      </c>
      <c r="H92" s="3954"/>
      <c r="I92" s="3950">
        <f>IF(Offer_Deal_Type="Wholesale",'WHOLESALE CALC'!BH13,'1 REHAB ANALYZER'!AQ113)</f>
        <v>0</v>
      </c>
      <c r="J92" s="3950"/>
      <c r="K92" s="3950">
        <f t="shared" si="3"/>
        <v>0</v>
      </c>
      <c r="L92" s="3950"/>
      <c r="M92" s="3950">
        <f t="shared" si="4"/>
        <v>0</v>
      </c>
      <c r="N92" s="3950"/>
      <c r="O92" s="3951">
        <f t="shared" si="5"/>
        <v>0</v>
      </c>
      <c r="P92" s="3951"/>
      <c r="Q92" s="3950">
        <f t="shared" si="6"/>
        <v>0</v>
      </c>
      <c r="R92" s="3950"/>
      <c r="S92" s="3953">
        <f t="shared" si="1"/>
        <v>0</v>
      </c>
      <c r="T92" s="3951"/>
      <c r="U92" s="3951">
        <f t="shared" si="7"/>
        <v>0</v>
      </c>
      <c r="V92" s="3951"/>
      <c r="W92" s="3950">
        <f t="shared" si="8"/>
        <v>0</v>
      </c>
      <c r="X92" s="3950"/>
      <c r="Y92" s="3950">
        <f t="shared" si="2"/>
        <v>0</v>
      </c>
      <c r="Z92" s="3950"/>
      <c r="AA92" s="3950">
        <f t="shared" si="9"/>
        <v>0</v>
      </c>
      <c r="AB92" s="3950"/>
      <c r="AC92" s="12"/>
    </row>
    <row r="93" spans="2:29" ht="14.85" hidden="1" customHeight="1">
      <c r="B93" s="852"/>
      <c r="C93" s="852"/>
      <c r="D93" s="3949" t="s">
        <v>486</v>
      </c>
      <c r="E93" s="3949"/>
      <c r="F93" s="852"/>
      <c r="G93" s="3954" t="s">
        <v>231</v>
      </c>
      <c r="H93" s="3954"/>
      <c r="I93" s="3950">
        <f>IF(Offer_Deal_Type="Wholesale",'WHOLESALE CALC'!BH15,'1 REHAB ANALYZER'!AQ114)</f>
        <v>0</v>
      </c>
      <c r="J93" s="3950"/>
      <c r="K93" s="3950">
        <f t="shared" si="3"/>
        <v>0</v>
      </c>
      <c r="L93" s="3950"/>
      <c r="M93" s="3950">
        <f t="shared" si="4"/>
        <v>0</v>
      </c>
      <c r="N93" s="3950"/>
      <c r="O93" s="3951">
        <f t="shared" si="5"/>
        <v>0</v>
      </c>
      <c r="P93" s="3951"/>
      <c r="Q93" s="3950">
        <f t="shared" si="6"/>
        <v>0</v>
      </c>
      <c r="R93" s="3950"/>
      <c r="S93" s="3953">
        <f t="shared" si="1"/>
        <v>0</v>
      </c>
      <c r="T93" s="3951"/>
      <c r="U93" s="3951">
        <f t="shared" si="7"/>
        <v>0</v>
      </c>
      <c r="V93" s="3951"/>
      <c r="W93" s="3950">
        <f t="shared" si="8"/>
        <v>0</v>
      </c>
      <c r="X93" s="3950"/>
      <c r="Y93" s="3950">
        <f t="shared" si="2"/>
        <v>0</v>
      </c>
      <c r="Z93" s="3950"/>
      <c r="AA93" s="3950">
        <f t="shared" si="9"/>
        <v>0</v>
      </c>
      <c r="AB93" s="3950"/>
      <c r="AC93" s="12"/>
    </row>
    <row r="94" spans="2:29" ht="14.85" hidden="1" customHeight="1">
      <c r="B94" s="852"/>
      <c r="C94" s="852"/>
      <c r="D94" s="3967">
        <f>D84+D90</f>
        <v>0</v>
      </c>
      <c r="E94" s="3967"/>
      <c r="F94" s="852"/>
      <c r="G94" s="3954" t="s">
        <v>233</v>
      </c>
      <c r="H94" s="3954"/>
      <c r="I94" s="3950">
        <f>IF(Offer_Deal_Type="Wholesale",'WHOLESALE CALC'!BH17,'1 REHAB ANALYZER'!AQ115)</f>
        <v>0</v>
      </c>
      <c r="J94" s="3950"/>
      <c r="K94" s="3950">
        <f t="shared" si="3"/>
        <v>0</v>
      </c>
      <c r="L94" s="3950"/>
      <c r="M94" s="3950">
        <f t="shared" si="4"/>
        <v>0</v>
      </c>
      <c r="N94" s="3950"/>
      <c r="O94" s="3951">
        <f t="shared" si="5"/>
        <v>0</v>
      </c>
      <c r="P94" s="3951"/>
      <c r="Q94" s="3950">
        <f t="shared" si="6"/>
        <v>0</v>
      </c>
      <c r="R94" s="3950"/>
      <c r="S94" s="3953">
        <f t="shared" si="1"/>
        <v>0</v>
      </c>
      <c r="T94" s="3951"/>
      <c r="U94" s="3951">
        <f t="shared" si="7"/>
        <v>0</v>
      </c>
      <c r="V94" s="3951"/>
      <c r="W94" s="3950">
        <f t="shared" si="8"/>
        <v>0</v>
      </c>
      <c r="X94" s="3950"/>
      <c r="Y94" s="3950">
        <f t="shared" si="2"/>
        <v>0</v>
      </c>
      <c r="Z94" s="3950"/>
      <c r="AA94" s="3950">
        <f t="shared" si="9"/>
        <v>0</v>
      </c>
      <c r="AB94" s="3950"/>
      <c r="AC94" s="12"/>
    </row>
    <row r="95" spans="2:29" ht="14.85" hidden="1" customHeight="1">
      <c r="B95" s="3949" t="s">
        <v>1579</v>
      </c>
      <c r="C95" s="3949"/>
      <c r="D95" s="3949"/>
      <c r="E95" s="3949"/>
      <c r="F95" s="852"/>
      <c r="G95" s="3954" t="s">
        <v>15</v>
      </c>
      <c r="H95" s="3954"/>
      <c r="I95" s="3950">
        <f>IF(Offer_Deal_Type="Wholesale",'WHOLESALE CALC'!BH19,'1 REHAB ANALYZER'!AQ116)</f>
        <v>0</v>
      </c>
      <c r="J95" s="3950"/>
      <c r="K95" s="3950">
        <f t="shared" si="3"/>
        <v>0</v>
      </c>
      <c r="L95" s="3950"/>
      <c r="M95" s="3950">
        <f t="shared" si="4"/>
        <v>0</v>
      </c>
      <c r="N95" s="3950"/>
      <c r="O95" s="3951">
        <f t="shared" si="5"/>
        <v>0</v>
      </c>
      <c r="P95" s="3951"/>
      <c r="Q95" s="3950">
        <f t="shared" si="6"/>
        <v>0</v>
      </c>
      <c r="R95" s="3950"/>
      <c r="S95" s="3953">
        <f t="shared" si="1"/>
        <v>0</v>
      </c>
      <c r="T95" s="3951"/>
      <c r="U95" s="3951">
        <f t="shared" si="7"/>
        <v>0</v>
      </c>
      <c r="V95" s="3951"/>
      <c r="W95" s="3950">
        <f t="shared" si="8"/>
        <v>0</v>
      </c>
      <c r="X95" s="3950"/>
      <c r="Y95" s="3950">
        <f t="shared" si="2"/>
        <v>0</v>
      </c>
      <c r="Z95" s="3950"/>
      <c r="AA95" s="3950">
        <f t="shared" si="9"/>
        <v>0</v>
      </c>
      <c r="AB95" s="3950"/>
      <c r="AC95" s="12"/>
    </row>
    <row r="96" spans="2:29" ht="14.85" hidden="1" customHeight="1">
      <c r="B96" s="3949" t="str">
        <f>'1 REHAB ANALYZER'!X16</f>
        <v>DETAILED</v>
      </c>
      <c r="C96" s="3949"/>
      <c r="D96" s="3949" t="s">
        <v>1583</v>
      </c>
      <c r="E96" s="3949"/>
      <c r="F96" s="852"/>
      <c r="G96" s="3954" t="s">
        <v>240</v>
      </c>
      <c r="H96" s="3954"/>
      <c r="I96" s="3950">
        <f>IF(Offer_Deal_Type="Wholesale",'WHOLESALE CALC'!BH21,'1 REHAB ANALYZER'!AQ117)</f>
        <v>0</v>
      </c>
      <c r="J96" s="3950"/>
      <c r="K96" s="3950">
        <f t="shared" si="3"/>
        <v>0</v>
      </c>
      <c r="L96" s="3950"/>
      <c r="M96" s="3950">
        <f t="shared" si="4"/>
        <v>0</v>
      </c>
      <c r="N96" s="3950"/>
      <c r="O96" s="3951">
        <f t="shared" si="5"/>
        <v>0</v>
      </c>
      <c r="P96" s="3951"/>
      <c r="Q96" s="3950">
        <f t="shared" si="6"/>
        <v>0</v>
      </c>
      <c r="R96" s="3950"/>
      <c r="S96" s="3953">
        <f t="shared" si="1"/>
        <v>0</v>
      </c>
      <c r="T96" s="3951"/>
      <c r="U96" s="3951">
        <f t="shared" si="7"/>
        <v>0</v>
      </c>
      <c r="V96" s="3951"/>
      <c r="W96" s="3950">
        <f t="shared" si="8"/>
        <v>0</v>
      </c>
      <c r="X96" s="3950"/>
      <c r="Y96" s="3950">
        <f t="shared" si="2"/>
        <v>0</v>
      </c>
      <c r="Z96" s="3950"/>
      <c r="AA96" s="3950">
        <f t="shared" si="9"/>
        <v>0</v>
      </c>
      <c r="AB96" s="3950"/>
      <c r="AC96" s="12"/>
    </row>
    <row r="97" spans="2:33" ht="14.85" hidden="1" customHeight="1">
      <c r="B97" s="3949">
        <f>'1 REHAB ANALYZER'!H84</f>
        <v>0</v>
      </c>
      <c r="C97" s="3949"/>
      <c r="D97" s="3949">
        <f>'ANALYSIS DATABASE'!C141</f>
        <v>0</v>
      </c>
      <c r="E97" s="3949"/>
      <c r="F97" s="852"/>
      <c r="G97" s="3954" t="s">
        <v>268</v>
      </c>
      <c r="H97" s="3954"/>
      <c r="I97" s="3950">
        <f>IF(Offer_Deal_Type="Wholesale",'WHOLESALE CALC'!BH23,'1 REHAB ANALYZER'!AQ118)</f>
        <v>0</v>
      </c>
      <c r="J97" s="3950"/>
      <c r="K97" s="3950">
        <f t="shared" si="3"/>
        <v>0</v>
      </c>
      <c r="L97" s="3950"/>
      <c r="M97" s="3950">
        <f t="shared" si="4"/>
        <v>0</v>
      </c>
      <c r="N97" s="3950"/>
      <c r="O97" s="3951">
        <f t="shared" si="5"/>
        <v>0</v>
      </c>
      <c r="P97" s="3951"/>
      <c r="Q97" s="3950">
        <f t="shared" si="6"/>
        <v>0</v>
      </c>
      <c r="R97" s="3950"/>
      <c r="S97" s="3953">
        <f t="shared" si="1"/>
        <v>0</v>
      </c>
      <c r="T97" s="3951"/>
      <c r="U97" s="3951">
        <f t="shared" si="7"/>
        <v>0</v>
      </c>
      <c r="V97" s="3951"/>
      <c r="W97" s="3950">
        <f t="shared" si="8"/>
        <v>0</v>
      </c>
      <c r="X97" s="3950"/>
      <c r="Y97" s="3950">
        <f t="shared" si="2"/>
        <v>0</v>
      </c>
      <c r="Z97" s="3950"/>
      <c r="AA97" s="3950">
        <f t="shared" si="9"/>
        <v>0</v>
      </c>
      <c r="AB97" s="3950"/>
      <c r="AC97" s="12"/>
      <c r="AF97" s="3998" t="s">
        <v>493</v>
      </c>
      <c r="AG97" s="3999"/>
    </row>
    <row r="98" spans="2:33" ht="14.85" hidden="1" customHeight="1">
      <c r="B98" s="3952">
        <f>B97/4</f>
        <v>0</v>
      </c>
      <c r="C98" s="3949"/>
      <c r="D98" s="3949">
        <f>'ANALYSIS DATABASE'!C142</f>
        <v>0</v>
      </c>
      <c r="E98" s="3949"/>
      <c r="F98" s="852"/>
      <c r="G98" s="3954" t="s">
        <v>29</v>
      </c>
      <c r="H98" s="3954"/>
      <c r="I98" s="3950">
        <f>IF(Offer_Deal_Type="Wholesale",'WHOLESALE CALC'!BH25,'1 REHAB ANALYZER'!AQ119)</f>
        <v>0</v>
      </c>
      <c r="J98" s="3950"/>
      <c r="K98" s="3950">
        <f t="shared" si="3"/>
        <v>0</v>
      </c>
      <c r="L98" s="3950"/>
      <c r="M98" s="3950">
        <f t="shared" si="4"/>
        <v>0</v>
      </c>
      <c r="N98" s="3950"/>
      <c r="O98" s="3951">
        <f t="shared" si="5"/>
        <v>0</v>
      </c>
      <c r="P98" s="3951"/>
      <c r="Q98" s="3950">
        <f t="shared" si="6"/>
        <v>0</v>
      </c>
      <c r="R98" s="3950"/>
      <c r="S98" s="3953">
        <f t="shared" si="1"/>
        <v>0</v>
      </c>
      <c r="T98" s="3951"/>
      <c r="U98" s="3951">
        <f t="shared" si="7"/>
        <v>0</v>
      </c>
      <c r="V98" s="3951"/>
      <c r="W98" s="3950">
        <f t="shared" si="8"/>
        <v>0</v>
      </c>
      <c r="X98" s="3950"/>
      <c r="Y98" s="3950">
        <f t="shared" si="2"/>
        <v>0</v>
      </c>
      <c r="Z98" s="3950"/>
      <c r="AA98" s="3950">
        <f t="shared" si="9"/>
        <v>0</v>
      </c>
      <c r="AB98" s="3950"/>
      <c r="AC98" s="12"/>
      <c r="AF98" s="4002">
        <f>SUM(AA77:AB100)</f>
        <v>0</v>
      </c>
      <c r="AG98" s="4002"/>
    </row>
    <row r="99" spans="2:33" ht="14.85" hidden="1" customHeight="1">
      <c r="B99" s="852"/>
      <c r="C99" s="852"/>
      <c r="D99" s="3949">
        <f>'ANALYSIS DATABASE'!C143</f>
        <v>0</v>
      </c>
      <c r="E99" s="3949"/>
      <c r="F99" s="852">
        <f>IF(Fixed_Cost_Calculation_Method="% of ARV",B97,D101)</f>
        <v>0</v>
      </c>
      <c r="G99" s="3954" t="s">
        <v>27</v>
      </c>
      <c r="H99" s="3954"/>
      <c r="I99" s="3950">
        <f>IF(Offer_Deal_Type="Wholesale",'WHOLESALE CALC'!BH27,'1 REHAB ANALYZER'!AQ120)</f>
        <v>0</v>
      </c>
      <c r="J99" s="3950"/>
      <c r="K99" s="3950">
        <f t="shared" si="3"/>
        <v>0</v>
      </c>
      <c r="L99" s="3950"/>
      <c r="M99" s="3950">
        <f t="shared" si="4"/>
        <v>0</v>
      </c>
      <c r="N99" s="3950"/>
      <c r="O99" s="3951">
        <f t="shared" si="5"/>
        <v>0</v>
      </c>
      <c r="P99" s="3951"/>
      <c r="Q99" s="3950">
        <f t="shared" si="6"/>
        <v>0</v>
      </c>
      <c r="R99" s="3950"/>
      <c r="S99" s="3953">
        <f t="shared" si="1"/>
        <v>0</v>
      </c>
      <c r="T99" s="3951"/>
      <c r="U99" s="3951">
        <f t="shared" si="7"/>
        <v>0</v>
      </c>
      <c r="V99" s="3951"/>
      <c r="W99" s="3950">
        <f t="shared" si="8"/>
        <v>0</v>
      </c>
      <c r="X99" s="3950"/>
      <c r="Y99" s="3950">
        <f t="shared" si="2"/>
        <v>0</v>
      </c>
      <c r="Z99" s="3950"/>
      <c r="AA99" s="3950">
        <f t="shared" si="9"/>
        <v>0</v>
      </c>
      <c r="AB99" s="3950"/>
      <c r="AC99" s="12"/>
    </row>
    <row r="100" spans="2:33" ht="14.85" hidden="1" customHeight="1">
      <c r="B100" s="445"/>
      <c r="C100" s="445"/>
      <c r="D100" s="3949">
        <f>'ANALYSIS DATABASE'!C144</f>
        <v>0</v>
      </c>
      <c r="E100" s="3949"/>
      <c r="F100" s="445"/>
      <c r="G100" s="3954" t="s">
        <v>396</v>
      </c>
      <c r="H100" s="3954"/>
      <c r="I100" s="3950">
        <f>IF(Offer_Deal_Type="Wholesale",'WHOLESALE CALC'!BH29,'1 REHAB ANALYZER'!AQ121)</f>
        <v>0</v>
      </c>
      <c r="J100" s="3950"/>
      <c r="K100" s="3950">
        <f t="shared" si="3"/>
        <v>0</v>
      </c>
      <c r="L100" s="3950"/>
      <c r="M100" s="3950">
        <f t="shared" si="4"/>
        <v>0</v>
      </c>
      <c r="N100" s="3950"/>
      <c r="O100" s="3951">
        <f t="shared" si="5"/>
        <v>0</v>
      </c>
      <c r="P100" s="3951"/>
      <c r="Q100" s="3950">
        <f t="shared" si="6"/>
        <v>0</v>
      </c>
      <c r="R100" s="3950"/>
      <c r="S100" s="3953">
        <f t="shared" si="1"/>
        <v>0</v>
      </c>
      <c r="T100" s="3951"/>
      <c r="U100" s="3951">
        <f t="shared" si="7"/>
        <v>0</v>
      </c>
      <c r="V100" s="3951"/>
      <c r="W100" s="3950">
        <f t="shared" si="8"/>
        <v>0</v>
      </c>
      <c r="X100" s="3950"/>
      <c r="Y100" s="3950">
        <f t="shared" si="2"/>
        <v>0</v>
      </c>
      <c r="Z100" s="3950"/>
      <c r="AA100" s="3950">
        <f t="shared" si="9"/>
        <v>0</v>
      </c>
      <c r="AB100" s="3950"/>
      <c r="AC100" s="12"/>
    </row>
    <row r="101" spans="2:33" hidden="1">
      <c r="B101" s="445"/>
      <c r="C101" s="445"/>
      <c r="D101" s="3949">
        <f>SUM(D97:E100)</f>
        <v>0</v>
      </c>
      <c r="E101" s="3949"/>
      <c r="F101" s="445"/>
      <c r="G101" s="3954" t="s">
        <v>74</v>
      </c>
      <c r="H101" s="3954"/>
      <c r="I101" s="3950"/>
      <c r="J101" s="3950"/>
      <c r="K101" s="3957"/>
      <c r="L101" s="3957"/>
      <c r="M101" s="3950"/>
      <c r="N101" s="3950"/>
      <c r="O101" s="3951"/>
      <c r="P101" s="3951"/>
      <c r="Q101" s="3950">
        <f>F104*$D$84</f>
        <v>0</v>
      </c>
      <c r="R101" s="3950"/>
      <c r="S101" s="3953">
        <f>IF(Fixed_Costs_Allocation_Selection="Yes",0,F104)</f>
        <v>0</v>
      </c>
      <c r="T101" s="3951"/>
      <c r="U101" s="3951">
        <f t="shared" si="7"/>
        <v>0</v>
      </c>
      <c r="V101" s="3951"/>
      <c r="W101" s="3950">
        <f t="shared" si="8"/>
        <v>0</v>
      </c>
      <c r="X101" s="3950"/>
      <c r="Y101" s="3950">
        <f t="shared" si="2"/>
        <v>0</v>
      </c>
      <c r="Z101" s="3950"/>
      <c r="AA101" s="3950">
        <f>IF(Fixed_Costs_Allocation_Selection="Yes",0,S101+Y101)</f>
        <v>0</v>
      </c>
      <c r="AB101" s="3950"/>
      <c r="AC101" s="12"/>
    </row>
    <row r="102" spans="2:33" hidden="1">
      <c r="B102" s="3949" t="s">
        <v>1580</v>
      </c>
      <c r="C102" s="3949"/>
      <c r="D102" s="3949"/>
      <c r="E102" s="3949"/>
      <c r="F102" s="852"/>
      <c r="G102" s="3954" t="s">
        <v>75</v>
      </c>
      <c r="H102" s="3954"/>
      <c r="I102" s="3950"/>
      <c r="J102" s="3950"/>
      <c r="K102" s="3957"/>
      <c r="L102" s="3957"/>
      <c r="M102" s="3950"/>
      <c r="N102" s="3950"/>
      <c r="O102" s="3951"/>
      <c r="P102" s="3951"/>
      <c r="Q102" s="3950">
        <f>O102*$F$105</f>
        <v>0</v>
      </c>
      <c r="R102" s="3950"/>
      <c r="S102" s="3953">
        <f>IF(Fixed_Costs_Allocation_Selection="Yes",0,F105)</f>
        <v>0</v>
      </c>
      <c r="T102" s="3951"/>
      <c r="U102" s="3951">
        <f t="shared" si="7"/>
        <v>0</v>
      </c>
      <c r="V102" s="3951"/>
      <c r="W102" s="3950">
        <f t="shared" si="8"/>
        <v>0</v>
      </c>
      <c r="X102" s="3950"/>
      <c r="Y102" s="3950">
        <f t="shared" si="2"/>
        <v>0</v>
      </c>
      <c r="Z102" s="3950"/>
      <c r="AA102" s="3950">
        <f>IF(Fixed_Costs_Allocation_Selection="Yes",0,S102+Y102)</f>
        <v>0</v>
      </c>
      <c r="AB102" s="3950"/>
      <c r="AC102" s="12"/>
    </row>
    <row r="103" spans="2:33" hidden="1">
      <c r="B103" s="3949" t="str">
        <f>'WHOLESALE CALC'!W14</f>
        <v>% OF ARV</v>
      </c>
      <c r="C103" s="3949"/>
      <c r="D103" s="3949" t="s">
        <v>1583</v>
      </c>
      <c r="E103" s="3949"/>
      <c r="F103" s="445" t="s">
        <v>974</v>
      </c>
      <c r="G103" s="3954" t="s">
        <v>77</v>
      </c>
      <c r="H103" s="3954"/>
      <c r="I103" s="3950"/>
      <c r="J103" s="3950"/>
      <c r="K103" s="3957"/>
      <c r="L103" s="3957"/>
      <c r="M103" s="3950"/>
      <c r="N103" s="3950"/>
      <c r="O103" s="3951"/>
      <c r="P103" s="3951"/>
      <c r="Q103" s="3950">
        <f>O103*$F$106</f>
        <v>0</v>
      </c>
      <c r="R103" s="3950"/>
      <c r="S103" s="3953">
        <f>IF(Fixed_Costs_Allocation_Selection="Yes",0,F106)</f>
        <v>0</v>
      </c>
      <c r="T103" s="3951"/>
      <c r="U103" s="3951">
        <f t="shared" si="7"/>
        <v>0</v>
      </c>
      <c r="V103" s="3951"/>
      <c r="W103" s="3950">
        <f t="shared" si="8"/>
        <v>0</v>
      </c>
      <c r="X103" s="3950"/>
      <c r="Y103" s="3950">
        <f t="shared" si="2"/>
        <v>0</v>
      </c>
      <c r="Z103" s="3950"/>
      <c r="AA103" s="3950">
        <f>IF(Fixed_Costs_Allocation_Selection="Yes",0,S103+Y103)</f>
        <v>0</v>
      </c>
      <c r="AB103" s="3950"/>
      <c r="AC103" s="12"/>
    </row>
    <row r="104" spans="2:33" hidden="1">
      <c r="B104" s="3949">
        <f>'WHOLESALE CALC'!B74</f>
        <v>0</v>
      </c>
      <c r="C104" s="3949"/>
      <c r="D104" s="3949">
        <f>IF('WHOLESALE CALC'!$W$14="% OF ARV",'HOMEOWNER REPORT'!$B$104/4,'WHOLESALE CALC'!Z33)</f>
        <v>0</v>
      </c>
      <c r="E104" s="3949"/>
      <c r="F104" s="852">
        <f>IF(Offer_Deal_Type="Wholesale",D104,D97)</f>
        <v>0</v>
      </c>
      <c r="G104" s="3954" t="s">
        <v>1591</v>
      </c>
      <c r="H104" s="3954"/>
      <c r="I104" s="3950"/>
      <c r="J104" s="3950"/>
      <c r="K104" s="3957"/>
      <c r="L104" s="3957"/>
      <c r="M104" s="3950"/>
      <c r="N104" s="3950"/>
      <c r="O104" s="3951"/>
      <c r="P104" s="3951"/>
      <c r="Q104" s="3950">
        <f>O104*$F$106</f>
        <v>0</v>
      </c>
      <c r="R104" s="3950"/>
      <c r="S104" s="3953">
        <f>IF(Fixed_Costs_Allocation_Selection="Yes",0,F107)</f>
        <v>0</v>
      </c>
      <c r="T104" s="3951"/>
      <c r="U104" s="3951">
        <f>IF($S$105=0,0,S104/$S$105)</f>
        <v>0</v>
      </c>
      <c r="V104" s="3951"/>
      <c r="W104" s="3950">
        <f>$D$90*U104</f>
        <v>0</v>
      </c>
      <c r="X104" s="3950"/>
      <c r="Y104" s="3950">
        <f>Q104+W104</f>
        <v>0</v>
      </c>
      <c r="Z104" s="3950"/>
      <c r="AA104" s="3950">
        <f>IF(Fixed_Costs_Allocation_Selection="Yes",0,S104+Y104)</f>
        <v>0</v>
      </c>
      <c r="AB104" s="3950"/>
      <c r="AC104" s="12"/>
    </row>
    <row r="105" spans="2:33" hidden="1">
      <c r="B105" s="3952">
        <f>B104/4</f>
        <v>0</v>
      </c>
      <c r="C105" s="3949"/>
      <c r="D105" s="3949">
        <f>IF('WHOLESALE CALC'!$W$14="% OF ARV",'HOMEOWNER REPORT'!$B$104/4,'WHOLESALE CALC'!Z51)</f>
        <v>0</v>
      </c>
      <c r="E105" s="3949"/>
      <c r="F105" s="852">
        <f>IF(Offer_Deal_Type="Wholesale",D105,D98)</f>
        <v>0</v>
      </c>
      <c r="G105" s="94"/>
      <c r="H105" s="94"/>
      <c r="I105" s="3950">
        <f>SUM(I77:J104)</f>
        <v>0</v>
      </c>
      <c r="J105" s="3950"/>
      <c r="K105" s="3950">
        <f>SUM(K77:L104)</f>
        <v>0</v>
      </c>
      <c r="L105" s="3950"/>
      <c r="M105" s="3950">
        <f>SUM(M77:N104)</f>
        <v>0</v>
      </c>
      <c r="N105" s="3950"/>
      <c r="O105" s="3951">
        <f>SUM(O77:P104)</f>
        <v>0</v>
      </c>
      <c r="P105" s="3951"/>
      <c r="Q105" s="3953">
        <f>SUM(Q77:R104)</f>
        <v>0</v>
      </c>
      <c r="R105" s="3951"/>
      <c r="S105" s="3953">
        <f>SUM(S77:T104)</f>
        <v>0</v>
      </c>
      <c r="T105" s="3951"/>
      <c r="U105" s="3951">
        <f>SUM(U77:V104)</f>
        <v>0</v>
      </c>
      <c r="V105" s="3951"/>
      <c r="W105" s="3950">
        <f>SUM(W77:X104)</f>
        <v>0</v>
      </c>
      <c r="X105" s="3950"/>
      <c r="Y105" s="3950">
        <f t="shared" si="2"/>
        <v>0</v>
      </c>
      <c r="Z105" s="3950"/>
      <c r="AA105" s="3950">
        <f>SUM(AA77:AB104)</f>
        <v>0</v>
      </c>
      <c r="AB105" s="3950"/>
      <c r="AC105" s="12"/>
    </row>
    <row r="106" spans="2:33" hidden="1">
      <c r="B106" s="852"/>
      <c r="C106" s="852"/>
      <c r="D106" s="3949">
        <f>IF('WHOLESALE CALC'!$W$14="% OF ARV",'HOMEOWNER REPORT'!$B$104/4,'WHOLESALE CALC'!Z69-'WHOLESALE CALC'!Z37-'WHOLESALE CALC'!Z29)</f>
        <v>0</v>
      </c>
      <c r="E106" s="3949"/>
      <c r="F106" s="852">
        <f>IF(Offer_Deal_Type="Wholesale",D106,D99)</f>
        <v>0</v>
      </c>
    </row>
    <row r="107" spans="2:33" hidden="1">
      <c r="B107" s="852"/>
      <c r="C107" s="852"/>
      <c r="D107" s="3949">
        <f>IF('WHOLESALE CALC'!$W$14="% OF ARV",'HOMEOWNER REPORT'!$B$104/4,'WHOLESALE CALC'!Z29+'WHOLESALE CALC'!Z37)</f>
        <v>0</v>
      </c>
      <c r="E107" s="3949"/>
      <c r="F107" s="852">
        <f>IF(Offer_Deal_Type="Wholesale",D107,D100)</f>
        <v>0</v>
      </c>
    </row>
    <row r="108" spans="2:33" hidden="1">
      <c r="B108" s="852"/>
      <c r="C108" s="852"/>
      <c r="D108" s="3949">
        <f>SUM(D104:E107)</f>
        <v>0</v>
      </c>
      <c r="E108" s="3949"/>
      <c r="F108" s="852"/>
    </row>
    <row r="109" spans="2:33" hidden="1">
      <c r="B109" s="445"/>
      <c r="C109" s="445"/>
      <c r="D109" s="3949">
        <f>IF(Wholesale_Calculator_Fixed_Cost_Calculation_Method="% of ARV",B104,D108)</f>
        <v>0</v>
      </c>
      <c r="E109" s="3949"/>
      <c r="F109" s="445"/>
    </row>
    <row r="110" spans="2:33" hidden="1">
      <c r="B110" s="3949" t="str">
        <f>IF(Offer_Deal_Type="Wholesale",B103,B96)</f>
        <v>DETAILED</v>
      </c>
      <c r="C110" s="3949"/>
    </row>
  </sheetData>
  <sheetProtection formatCells="0" formatColumns="0" formatRows="0" insertColumns="0" insertHyperlinks="0" deleteColumns="0" deleteRows="0" selectLockedCells="1" sort="0" autoFilter="0"/>
  <mergeCells count="476">
    <mergeCell ref="T2:V2"/>
    <mergeCell ref="I71:Y71"/>
    <mergeCell ref="W60:Y60"/>
    <mergeCell ref="I100:J100"/>
    <mergeCell ref="O77:P77"/>
    <mergeCell ref="O78:P78"/>
    <mergeCell ref="O83:P83"/>
    <mergeCell ref="O84:P84"/>
    <mergeCell ref="O80:P80"/>
    <mergeCell ref="S76:T76"/>
    <mergeCell ref="S77:T77"/>
    <mergeCell ref="Y78:Z78"/>
    <mergeCell ref="Y79:Z79"/>
    <mergeCell ref="P2:S2"/>
    <mergeCell ref="W87:X87"/>
    <mergeCell ref="W90:X90"/>
    <mergeCell ref="W91:X91"/>
    <mergeCell ref="K93:L93"/>
    <mergeCell ref="K94:L94"/>
    <mergeCell ref="O92:P92"/>
    <mergeCell ref="O93:P93"/>
    <mergeCell ref="W88:X88"/>
    <mergeCell ref="Q94:R94"/>
    <mergeCell ref="O89:P89"/>
    <mergeCell ref="G103:H103"/>
    <mergeCell ref="G102:H102"/>
    <mergeCell ref="K102:L102"/>
    <mergeCell ref="G100:H100"/>
    <mergeCell ref="G97:H97"/>
    <mergeCell ref="I85:J85"/>
    <mergeCell ref="I86:J86"/>
    <mergeCell ref="I87:J87"/>
    <mergeCell ref="G101:H101"/>
    <mergeCell ref="G85:H85"/>
    <mergeCell ref="G86:H86"/>
    <mergeCell ref="G87:H87"/>
    <mergeCell ref="K100:L100"/>
    <mergeCell ref="G96:H96"/>
    <mergeCell ref="K87:L87"/>
    <mergeCell ref="G91:H91"/>
    <mergeCell ref="K86:L86"/>
    <mergeCell ref="K89:L89"/>
    <mergeCell ref="I99:J99"/>
    <mergeCell ref="K98:L98"/>
    <mergeCell ref="I101:J101"/>
    <mergeCell ref="G95:H95"/>
    <mergeCell ref="I94:J94"/>
    <mergeCell ref="K92:L92"/>
    <mergeCell ref="AF98:AG98"/>
    <mergeCell ref="S103:T103"/>
    <mergeCell ref="S105:T105"/>
    <mergeCell ref="AA98:AB98"/>
    <mergeCell ref="Q103:R103"/>
    <mergeCell ref="Q105:R105"/>
    <mergeCell ref="Q102:R102"/>
    <mergeCell ref="W101:X101"/>
    <mergeCell ref="M100:N100"/>
    <mergeCell ref="O103:P103"/>
    <mergeCell ref="O101:P101"/>
    <mergeCell ref="M101:N101"/>
    <mergeCell ref="M103:N103"/>
    <mergeCell ref="AA104:AB104"/>
    <mergeCell ref="U102:V102"/>
    <mergeCell ref="U103:V103"/>
    <mergeCell ref="S99:T99"/>
    <mergeCell ref="U99:V99"/>
    <mergeCell ref="Y105:Z105"/>
    <mergeCell ref="AA105:AB105"/>
    <mergeCell ref="W102:X102"/>
    <mergeCell ref="Y102:Z102"/>
    <mergeCell ref="AA102:AB102"/>
    <mergeCell ref="Y99:Z99"/>
    <mergeCell ref="M76:N76"/>
    <mergeCell ref="M77:N77"/>
    <mergeCell ref="K76:L76"/>
    <mergeCell ref="K77:L77"/>
    <mergeCell ref="U79:V79"/>
    <mergeCell ref="M89:N89"/>
    <mergeCell ref="M90:N90"/>
    <mergeCell ref="Q86:R86"/>
    <mergeCell ref="U85:V85"/>
    <mergeCell ref="O97:P97"/>
    <mergeCell ref="U77:V77"/>
    <mergeCell ref="I105:J105"/>
    <mergeCell ref="O105:P105"/>
    <mergeCell ref="K105:L105"/>
    <mergeCell ref="M105:N105"/>
    <mergeCell ref="I98:J98"/>
    <mergeCell ref="I103:J103"/>
    <mergeCell ref="K103:L103"/>
    <mergeCell ref="K101:L101"/>
    <mergeCell ref="U78:V78"/>
    <mergeCell ref="U23:Y23"/>
    <mergeCell ref="I24:L24"/>
    <mergeCell ref="AF97:AG97"/>
    <mergeCell ref="Y82:Z82"/>
    <mergeCell ref="I72:L72"/>
    <mergeCell ref="M72:O72"/>
    <mergeCell ref="I89:J89"/>
    <mergeCell ref="I90:J90"/>
    <mergeCell ref="I91:J91"/>
    <mergeCell ref="O95:P95"/>
    <mergeCell ref="K95:L95"/>
    <mergeCell ref="I82:J82"/>
    <mergeCell ref="I83:J83"/>
    <mergeCell ref="I84:J84"/>
    <mergeCell ref="O81:P81"/>
    <mergeCell ref="O82:P82"/>
    <mergeCell ref="W82:X82"/>
    <mergeCell ref="I88:J88"/>
    <mergeCell ref="Y76:Z76"/>
    <mergeCell ref="Y77:Z77"/>
    <mergeCell ref="Y83:Z83"/>
    <mergeCell ref="U76:V76"/>
    <mergeCell ref="Q97:R97"/>
    <mergeCell ref="I97:J97"/>
    <mergeCell ref="Q3:R3"/>
    <mergeCell ref="T3:V3"/>
    <mergeCell ref="U26:Y26"/>
    <mergeCell ref="W30:Y30"/>
    <mergeCell ref="I26:L26"/>
    <mergeCell ref="O26:P26"/>
    <mergeCell ref="Q26:R26"/>
    <mergeCell ref="K6:V9"/>
    <mergeCell ref="I15:Y16"/>
    <mergeCell ref="I30:V30"/>
    <mergeCell ref="S24:T24"/>
    <mergeCell ref="U24:Y24"/>
    <mergeCell ref="O25:P25"/>
    <mergeCell ref="Q25:R25"/>
    <mergeCell ref="S25:T25"/>
    <mergeCell ref="U25:Y25"/>
    <mergeCell ref="I18:Y20"/>
    <mergeCell ref="I23:L23"/>
    <mergeCell ref="O24:P24"/>
    <mergeCell ref="Q24:R24"/>
    <mergeCell ref="O23:P23"/>
    <mergeCell ref="Q23:R23"/>
    <mergeCell ref="S23:T23"/>
    <mergeCell ref="I13:Y13"/>
    <mergeCell ref="I45:V45"/>
    <mergeCell ref="I47:V47"/>
    <mergeCell ref="W47:Y47"/>
    <mergeCell ref="I48:V48"/>
    <mergeCell ref="W48:Y48"/>
    <mergeCell ref="W49:Y49"/>
    <mergeCell ref="G81:H81"/>
    <mergeCell ref="I76:J76"/>
    <mergeCell ref="I79:J79"/>
    <mergeCell ref="I80:J80"/>
    <mergeCell ref="S78:T78"/>
    <mergeCell ref="S79:T79"/>
    <mergeCell ref="S80:T80"/>
    <mergeCell ref="S81:T81"/>
    <mergeCell ref="G77:H77"/>
    <mergeCell ref="G78:H78"/>
    <mergeCell ref="M78:N78"/>
    <mergeCell ref="M79:N79"/>
    <mergeCell ref="M80:N80"/>
    <mergeCell ref="M81:N81"/>
    <mergeCell ref="K78:L78"/>
    <mergeCell ref="K79:L79"/>
    <mergeCell ref="W76:X76"/>
    <mergeCell ref="W77:X77"/>
    <mergeCell ref="W40:Y40"/>
    <mergeCell ref="I40:V40"/>
    <mergeCell ref="I41:V41"/>
    <mergeCell ref="W41:Y41"/>
    <mergeCell ref="I42:V42"/>
    <mergeCell ref="W42:Y42"/>
    <mergeCell ref="I43:V43"/>
    <mergeCell ref="W43:Y43"/>
    <mergeCell ref="I44:V44"/>
    <mergeCell ref="W44:Y44"/>
    <mergeCell ref="G83:H83"/>
    <mergeCell ref="G84:H84"/>
    <mergeCell ref="K80:L80"/>
    <mergeCell ref="K81:L81"/>
    <mergeCell ref="K82:L82"/>
    <mergeCell ref="P72:T72"/>
    <mergeCell ref="U72:Y72"/>
    <mergeCell ref="W61:Y61"/>
    <mergeCell ref="W62:Y62"/>
    <mergeCell ref="W66:Y66"/>
    <mergeCell ref="K84:L84"/>
    <mergeCell ref="U83:V83"/>
    <mergeCell ref="U84:V84"/>
    <mergeCell ref="S82:T82"/>
    <mergeCell ref="M83:N83"/>
    <mergeCell ref="S83:T83"/>
    <mergeCell ref="M84:N84"/>
    <mergeCell ref="M82:N82"/>
    <mergeCell ref="W78:X78"/>
    <mergeCell ref="W79:X79"/>
    <mergeCell ref="O79:P79"/>
    <mergeCell ref="O76:P76"/>
    <mergeCell ref="I77:J77"/>
    <mergeCell ref="I78:J78"/>
    <mergeCell ref="W50:Y50"/>
    <mergeCell ref="W51:Y51"/>
    <mergeCell ref="W52:Y52"/>
    <mergeCell ref="Q96:R96"/>
    <mergeCell ref="O98:P98"/>
    <mergeCell ref="O99:P99"/>
    <mergeCell ref="D84:E84"/>
    <mergeCell ref="D83:E83"/>
    <mergeCell ref="D85:E86"/>
    <mergeCell ref="D90:E90"/>
    <mergeCell ref="K83:L83"/>
    <mergeCell ref="Q83:R83"/>
    <mergeCell ref="Q84:R84"/>
    <mergeCell ref="Q85:R85"/>
    <mergeCell ref="M92:N92"/>
    <mergeCell ref="M85:N85"/>
    <mergeCell ref="M86:N86"/>
    <mergeCell ref="K85:L85"/>
    <mergeCell ref="D92:E92"/>
    <mergeCell ref="G92:H92"/>
    <mergeCell ref="G88:H88"/>
    <mergeCell ref="G89:H89"/>
    <mergeCell ref="S92:T92"/>
    <mergeCell ref="U89:V89"/>
    <mergeCell ref="O94:P94"/>
    <mergeCell ref="Q92:R92"/>
    <mergeCell ref="O87:P87"/>
    <mergeCell ref="M93:N93"/>
    <mergeCell ref="G94:H94"/>
    <mergeCell ref="G90:H90"/>
    <mergeCell ref="M87:N87"/>
    <mergeCell ref="M88:N88"/>
    <mergeCell ref="Q87:R87"/>
    <mergeCell ref="Q93:R93"/>
    <mergeCell ref="O91:P91"/>
    <mergeCell ref="K88:L88"/>
    <mergeCell ref="K90:L90"/>
    <mergeCell ref="K91:L91"/>
    <mergeCell ref="O88:P88"/>
    <mergeCell ref="M91:N91"/>
    <mergeCell ref="Y85:Z85"/>
    <mergeCell ref="Y86:Z86"/>
    <mergeCell ref="S90:T90"/>
    <mergeCell ref="U90:V90"/>
    <mergeCell ref="Y94:Z94"/>
    <mergeCell ref="AA93:AB93"/>
    <mergeCell ref="U96:V96"/>
    <mergeCell ref="U97:V97"/>
    <mergeCell ref="U98:V98"/>
    <mergeCell ref="S93:T93"/>
    <mergeCell ref="S86:T86"/>
    <mergeCell ref="S87:T87"/>
    <mergeCell ref="Q88:R88"/>
    <mergeCell ref="U87:V87"/>
    <mergeCell ref="U88:V88"/>
    <mergeCell ref="S98:T98"/>
    <mergeCell ref="AA97:AB97"/>
    <mergeCell ref="W97:X97"/>
    <mergeCell ref="AA94:AB94"/>
    <mergeCell ref="Y92:Z92"/>
    <mergeCell ref="S95:T95"/>
    <mergeCell ref="S96:T96"/>
    <mergeCell ref="S97:T97"/>
    <mergeCell ref="AA78:AB78"/>
    <mergeCell ref="AA79:AB79"/>
    <mergeCell ref="AA80:AB80"/>
    <mergeCell ref="AA81:AB81"/>
    <mergeCell ref="AA82:AB82"/>
    <mergeCell ref="AA83:AB83"/>
    <mergeCell ref="AA84:AB84"/>
    <mergeCell ref="Y84:Z84"/>
    <mergeCell ref="W83:X83"/>
    <mergeCell ref="W84:X84"/>
    <mergeCell ref="Y81:Z81"/>
    <mergeCell ref="Y80:Z80"/>
    <mergeCell ref="U80:V80"/>
    <mergeCell ref="U81:V81"/>
    <mergeCell ref="U82:V82"/>
    <mergeCell ref="S84:T84"/>
    <mergeCell ref="W80:X80"/>
    <mergeCell ref="W81:X81"/>
    <mergeCell ref="W92:X92"/>
    <mergeCell ref="AA92:AB92"/>
    <mergeCell ref="U94:V94"/>
    <mergeCell ref="S94:T94"/>
    <mergeCell ref="Y91:Z91"/>
    <mergeCell ref="W93:X93"/>
    <mergeCell ref="U93:V93"/>
    <mergeCell ref="Y90:Z90"/>
    <mergeCell ref="Y87:Z87"/>
    <mergeCell ref="Y88:Z88"/>
    <mergeCell ref="Y93:Z93"/>
    <mergeCell ref="U92:V92"/>
    <mergeCell ref="S91:T91"/>
    <mergeCell ref="S89:T89"/>
    <mergeCell ref="W89:X89"/>
    <mergeCell ref="U91:V91"/>
    <mergeCell ref="U86:V86"/>
    <mergeCell ref="S85:T85"/>
    <mergeCell ref="AA76:AB76"/>
    <mergeCell ref="AA77:AB77"/>
    <mergeCell ref="I25:L25"/>
    <mergeCell ref="I81:J81"/>
    <mergeCell ref="S88:T88"/>
    <mergeCell ref="Y89:Z89"/>
    <mergeCell ref="AA85:AB85"/>
    <mergeCell ref="AA86:AB86"/>
    <mergeCell ref="AA87:AB87"/>
    <mergeCell ref="S26:T26"/>
    <mergeCell ref="I36:V36"/>
    <mergeCell ref="I53:V53"/>
    <mergeCell ref="I54:V54"/>
    <mergeCell ref="I55:V55"/>
    <mergeCell ref="I56:V56"/>
    <mergeCell ref="W53:Y53"/>
    <mergeCell ref="W54:Y54"/>
    <mergeCell ref="W55:Y55"/>
    <mergeCell ref="W57:Y57"/>
    <mergeCell ref="I57:V57"/>
    <mergeCell ref="I59:V59"/>
    <mergeCell ref="I60:V60"/>
    <mergeCell ref="I61:V61"/>
    <mergeCell ref="I62:V62"/>
    <mergeCell ref="W96:X96"/>
    <mergeCell ref="W94:X94"/>
    <mergeCell ref="W95:X95"/>
    <mergeCell ref="W46:Y46"/>
    <mergeCell ref="I28:M28"/>
    <mergeCell ref="W56:Y56"/>
    <mergeCell ref="I49:V49"/>
    <mergeCell ref="I50:V50"/>
    <mergeCell ref="I51:V51"/>
    <mergeCell ref="I52:V52"/>
    <mergeCell ref="W37:Y37"/>
    <mergeCell ref="W38:Y38"/>
    <mergeCell ref="W39:Y39"/>
    <mergeCell ref="I37:V37"/>
    <mergeCell ref="I38:V38"/>
    <mergeCell ref="I39:V39"/>
    <mergeCell ref="I32:V32"/>
    <mergeCell ref="W33:Y33"/>
    <mergeCell ref="W34:Y34"/>
    <mergeCell ref="W35:Y35"/>
    <mergeCell ref="W36:Y36"/>
    <mergeCell ref="I33:V33"/>
    <mergeCell ref="I34:V34"/>
    <mergeCell ref="I35:V35"/>
    <mergeCell ref="U105:V105"/>
    <mergeCell ref="W103:X103"/>
    <mergeCell ref="Y103:Z103"/>
    <mergeCell ref="AA103:AB103"/>
    <mergeCell ref="AA101:AB101"/>
    <mergeCell ref="Y101:Z101"/>
    <mergeCell ref="AA99:AB99"/>
    <mergeCell ref="AA100:AB100"/>
    <mergeCell ref="W100:X100"/>
    <mergeCell ref="Y100:Z100"/>
    <mergeCell ref="W105:X105"/>
    <mergeCell ref="AF3:AF4"/>
    <mergeCell ref="AA88:AB88"/>
    <mergeCell ref="AA89:AB89"/>
    <mergeCell ref="AA90:AB90"/>
    <mergeCell ref="AA91:AB91"/>
    <mergeCell ref="W85:X85"/>
    <mergeCell ref="W86:X86"/>
    <mergeCell ref="R10:W11"/>
    <mergeCell ref="Q76:R76"/>
    <mergeCell ref="Q77:R77"/>
    <mergeCell ref="Q78:R78"/>
    <mergeCell ref="Q79:R79"/>
    <mergeCell ref="Q80:R80"/>
    <mergeCell ref="Q81:R81"/>
    <mergeCell ref="Q82:R82"/>
    <mergeCell ref="I73:Y74"/>
    <mergeCell ref="Q89:R89"/>
    <mergeCell ref="Q90:R90"/>
    <mergeCell ref="Q91:R91"/>
    <mergeCell ref="W45:Y45"/>
    <mergeCell ref="I46:V46"/>
    <mergeCell ref="O85:P85"/>
    <mergeCell ref="O86:P86"/>
    <mergeCell ref="O90:P90"/>
    <mergeCell ref="B3:D3"/>
    <mergeCell ref="B2:D2"/>
    <mergeCell ref="D96:E96"/>
    <mergeCell ref="B96:C96"/>
    <mergeCell ref="B97:C97"/>
    <mergeCell ref="B103:C103"/>
    <mergeCell ref="D103:E103"/>
    <mergeCell ref="B95:E95"/>
    <mergeCell ref="B102:E102"/>
    <mergeCell ref="D78:E78"/>
    <mergeCell ref="D79:E79"/>
    <mergeCell ref="E2:G4"/>
    <mergeCell ref="D80:E81"/>
    <mergeCell ref="D82:E82"/>
    <mergeCell ref="D94:E94"/>
    <mergeCell ref="D93:E93"/>
    <mergeCell ref="D91:E91"/>
    <mergeCell ref="G79:H79"/>
    <mergeCell ref="G80:H80"/>
    <mergeCell ref="G82:H82"/>
    <mergeCell ref="D88:E89"/>
    <mergeCell ref="B98:C98"/>
    <mergeCell ref="G76:H76"/>
    <mergeCell ref="G98:H98"/>
    <mergeCell ref="I63:V63"/>
    <mergeCell ref="W63:Y63"/>
    <mergeCell ref="G104:H104"/>
    <mergeCell ref="I104:J104"/>
    <mergeCell ref="K104:L104"/>
    <mergeCell ref="M104:N104"/>
    <mergeCell ref="O104:P104"/>
    <mergeCell ref="Q104:R104"/>
    <mergeCell ref="S104:T104"/>
    <mergeCell ref="U104:V104"/>
    <mergeCell ref="W104:X104"/>
    <mergeCell ref="Y104:Z104"/>
    <mergeCell ref="Y95:Z95"/>
    <mergeCell ref="Y96:Z96"/>
    <mergeCell ref="Q101:R101"/>
    <mergeCell ref="I95:J95"/>
    <mergeCell ref="I96:J96"/>
    <mergeCell ref="M96:N96"/>
    <mergeCell ref="I64:V64"/>
    <mergeCell ref="W64:Y64"/>
    <mergeCell ref="I66:V66"/>
    <mergeCell ref="W68:Y69"/>
    <mergeCell ref="I68:V69"/>
    <mergeCell ref="S102:T102"/>
    <mergeCell ref="B110:C110"/>
    <mergeCell ref="D109:E109"/>
    <mergeCell ref="D108:E108"/>
    <mergeCell ref="D100:E100"/>
    <mergeCell ref="D101:E101"/>
    <mergeCell ref="Y97:Z97"/>
    <mergeCell ref="Y98:Z98"/>
    <mergeCell ref="AA95:AB95"/>
    <mergeCell ref="AA96:AB96"/>
    <mergeCell ref="S100:T100"/>
    <mergeCell ref="Q100:R100"/>
    <mergeCell ref="W98:X98"/>
    <mergeCell ref="W99:X99"/>
    <mergeCell ref="U100:V100"/>
    <mergeCell ref="U95:V95"/>
    <mergeCell ref="U101:V101"/>
    <mergeCell ref="S101:T101"/>
    <mergeCell ref="D97:E97"/>
    <mergeCell ref="D98:E98"/>
    <mergeCell ref="D99:E99"/>
    <mergeCell ref="Q98:R98"/>
    <mergeCell ref="Q99:R99"/>
    <mergeCell ref="Q95:R95"/>
    <mergeCell ref="G99:H99"/>
    <mergeCell ref="B84:C84"/>
    <mergeCell ref="D107:E107"/>
    <mergeCell ref="D105:E105"/>
    <mergeCell ref="D106:E106"/>
    <mergeCell ref="B104:C104"/>
    <mergeCell ref="I102:J102"/>
    <mergeCell ref="O102:P102"/>
    <mergeCell ref="K99:L99"/>
    <mergeCell ref="M98:N98"/>
    <mergeCell ref="M99:N99"/>
    <mergeCell ref="M97:N97"/>
    <mergeCell ref="K97:L97"/>
    <mergeCell ref="O96:P96"/>
    <mergeCell ref="K96:L96"/>
    <mergeCell ref="D104:E104"/>
    <mergeCell ref="M95:N95"/>
    <mergeCell ref="O100:P100"/>
    <mergeCell ref="M102:N102"/>
    <mergeCell ref="B105:C105"/>
    <mergeCell ref="D87:E87"/>
    <mergeCell ref="I92:J92"/>
    <mergeCell ref="I93:J93"/>
    <mergeCell ref="G93:H93"/>
    <mergeCell ref="M94:N94"/>
  </mergeCells>
  <dataValidations count="2">
    <dataValidation type="decimal" allowBlank="1" showErrorMessage="1" errorTitle="Value Must be b/w 0% and 100%" sqref="Q3:R3" xr:uid="{00000000-0002-0000-2400-000000000000}">
      <formula1>0</formula1>
      <formula2>1</formula2>
    </dataValidation>
    <dataValidation type="list" allowBlank="1" showInputMessage="1" showErrorMessage="1" sqref="B3:D3" xr:uid="{00000000-0002-0000-2400-000001000000}">
      <formula1>$AF$6:$AF$7</formula1>
    </dataValidation>
  </dataValidations>
  <printOptions horizontalCentered="1" verticalCentered="1"/>
  <pageMargins left="0.25" right="0.25" top="0.5" bottom="0.5" header="0.3" footer="0.3"/>
  <pageSetup scale="76" orientation="portrait" r:id="rId1"/>
  <headerFooter scaleWithDoc="0" alignWithMargins="0"/>
  <rowBreaks count="1" manualBreakCount="1">
    <brk id="12" min="8" max="24"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wsCOMPS_REPORT">
    <tabColor theme="4" tint="0.79998168889431442"/>
    <pageSetUpPr fitToPage="1"/>
  </sheetPr>
  <dimension ref="B1:DE153"/>
  <sheetViews>
    <sheetView showGridLines="0" showRowColHeaders="0" zoomScaleNormal="100" workbookViewId="0">
      <pane ySplit="4" topLeftCell="A5" activePane="bottomLeft" state="frozen"/>
      <selection pane="bottomLeft" activeCell="H10" sqref="H10:K10"/>
    </sheetView>
  </sheetViews>
  <sheetFormatPr defaultColWidth="8.8984375" defaultRowHeight="15"/>
  <cols>
    <col min="1" max="2" width="11.6484375" style="12" customWidth="1"/>
    <col min="3" max="3" width="5.44921875" style="12" customWidth="1"/>
    <col min="4" max="7" width="7.6484375" style="24" customWidth="1"/>
    <col min="8" max="10" width="6.6484375" style="24" customWidth="1"/>
    <col min="11" max="11" width="8.6484375" style="24" customWidth="1"/>
    <col min="12" max="14" width="6.6484375" style="24" customWidth="1"/>
    <col min="15" max="15" width="8.546875" style="24" customWidth="1"/>
    <col min="16" max="18" width="6.6484375" style="24" customWidth="1"/>
    <col min="19" max="19" width="8.6484375" style="24" customWidth="1"/>
    <col min="20" max="22" width="6.6484375" style="24" customWidth="1"/>
    <col min="23" max="23" width="8.6484375" style="24" customWidth="1"/>
    <col min="24" max="24" width="7.6484375" style="24" customWidth="1"/>
    <col min="25" max="25" width="3.34765625" style="12" customWidth="1"/>
    <col min="26" max="30" width="9" style="12" customWidth="1"/>
    <col min="31" max="35" width="0" style="12" hidden="1" customWidth="1"/>
    <col min="36" max="16384" width="8.8984375" style="12"/>
  </cols>
  <sheetData>
    <row r="1" spans="2:109" s="109" customFormat="1" ht="45.75" customHeight="1"/>
    <row r="2" spans="2:109" s="158" customFormat="1" ht="15" customHeight="1">
      <c r="B2" s="4095" t="s">
        <v>1363</v>
      </c>
      <c r="C2" s="4095"/>
      <c r="D2" s="4095"/>
      <c r="E2" s="4095"/>
      <c r="AF2" s="598" t="s">
        <v>1163</v>
      </c>
      <c r="AG2" s="598" t="s">
        <v>1164</v>
      </c>
      <c r="AH2" s="598" t="s">
        <v>1325</v>
      </c>
    </row>
    <row r="3" spans="2:109" s="158" customFormat="1" ht="21" customHeight="1">
      <c r="B3" s="4095"/>
      <c r="C3" s="4095"/>
      <c r="D3" s="4095"/>
      <c r="E3" s="4095"/>
      <c r="AF3" s="636" t="s">
        <v>1126</v>
      </c>
      <c r="AG3" s="636" t="s">
        <v>1126</v>
      </c>
      <c r="AH3" s="636" t="s">
        <v>1126</v>
      </c>
    </row>
    <row r="4" spans="2:109" s="599" customFormat="1" ht="9" customHeight="1">
      <c r="B4" s="4096"/>
      <c r="C4" s="4096"/>
      <c r="D4" s="4096"/>
      <c r="E4" s="4096"/>
    </row>
    <row r="5" spans="2:109" ht="14.85" customHeight="1"/>
    <row r="6" spans="2:109" s="635" customFormat="1" ht="28">
      <c r="D6" s="4013" t="s">
        <v>1326</v>
      </c>
      <c r="E6" s="4013"/>
      <c r="F6" s="4013"/>
      <c r="G6" s="4013"/>
      <c r="H6" s="4013"/>
      <c r="I6" s="4013"/>
      <c r="J6" s="4013"/>
      <c r="K6" s="4013"/>
      <c r="L6" s="4013"/>
      <c r="M6" s="4013"/>
      <c r="N6" s="4013"/>
      <c r="O6" s="4013"/>
      <c r="P6" s="4013"/>
      <c r="Q6" s="4013"/>
      <c r="R6" s="4013"/>
      <c r="S6" s="4013"/>
      <c r="T6" s="4023" t="s">
        <v>1327</v>
      </c>
      <c r="U6" s="4023"/>
      <c r="V6" s="4023"/>
      <c r="W6" s="4024">
        <f ca="1">TODAY()</f>
        <v>43691</v>
      </c>
      <c r="X6" s="4024"/>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row>
    <row r="7" spans="2:109" s="635" customFormat="1" ht="15" customHeight="1">
      <c r="D7" s="600"/>
      <c r="E7" s="600"/>
      <c r="F7" s="600"/>
      <c r="G7" s="600"/>
      <c r="H7" s="600"/>
      <c r="I7" s="600"/>
      <c r="J7" s="600"/>
      <c r="K7" s="600"/>
      <c r="L7" s="23"/>
      <c r="M7" s="23"/>
      <c r="N7" s="601"/>
      <c r="O7" s="23"/>
      <c r="P7" s="23"/>
      <c r="Q7" s="23"/>
      <c r="R7" s="23"/>
      <c r="S7" s="23"/>
      <c r="T7" s="23"/>
      <c r="U7" s="23"/>
      <c r="V7" s="23"/>
      <c r="W7" s="23"/>
      <c r="X7" s="23"/>
      <c r="Y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row>
    <row r="8" spans="2:109" s="635" customFormat="1" ht="22.5" customHeight="1" thickBot="1">
      <c r="D8" s="600"/>
      <c r="E8" s="600"/>
      <c r="F8" s="600"/>
      <c r="G8" s="600"/>
      <c r="H8" s="600"/>
      <c r="I8" s="600"/>
      <c r="J8" s="600"/>
      <c r="K8" s="600"/>
      <c r="L8" s="23"/>
      <c r="M8" s="23"/>
      <c r="N8" s="600"/>
      <c r="O8" s="600"/>
      <c r="P8" s="600"/>
      <c r="Q8" s="600"/>
      <c r="R8" s="600"/>
      <c r="S8" s="600"/>
      <c r="T8" s="600"/>
      <c r="U8" s="600"/>
      <c r="V8" s="600"/>
      <c r="W8" s="600"/>
      <c r="X8" s="600"/>
      <c r="Y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row>
    <row r="9" spans="2:109" s="635" customFormat="1" ht="22.5" customHeight="1" thickBot="1">
      <c r="D9" s="602"/>
      <c r="E9" s="4073" t="s">
        <v>1328</v>
      </c>
      <c r="F9" s="4074"/>
      <c r="G9" s="4074"/>
      <c r="H9" s="4074" t="s">
        <v>1329</v>
      </c>
      <c r="I9" s="4074"/>
      <c r="J9" s="4074"/>
      <c r="K9" s="4074"/>
      <c r="L9" s="4074" t="s">
        <v>1263</v>
      </c>
      <c r="M9" s="4074"/>
      <c r="N9" s="4074"/>
      <c r="O9" s="4074"/>
      <c r="P9" s="4074" t="s">
        <v>1264</v>
      </c>
      <c r="Q9" s="4074"/>
      <c r="R9" s="4074"/>
      <c r="S9" s="4074"/>
      <c r="T9" s="4074" t="s">
        <v>1265</v>
      </c>
      <c r="U9" s="4074"/>
      <c r="V9" s="4074"/>
      <c r="W9" s="4075"/>
      <c r="X9" s="600"/>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row>
    <row r="10" spans="2:109" s="635" customFormat="1" ht="18.75" customHeight="1">
      <c r="D10" s="602"/>
      <c r="E10" s="4065" t="s">
        <v>102</v>
      </c>
      <c r="F10" s="4066"/>
      <c r="G10" s="4066"/>
      <c r="H10" s="4044" t="str">
        <f>T(COMPS!W6)</f>
        <v/>
      </c>
      <c r="I10" s="4044"/>
      <c r="J10" s="4044"/>
      <c r="K10" s="4044"/>
      <c r="L10" s="4044" t="str">
        <f>T(COMPS!AJ6)</f>
        <v/>
      </c>
      <c r="M10" s="4044"/>
      <c r="N10" s="4044"/>
      <c r="O10" s="4044"/>
      <c r="P10" s="4044" t="str">
        <f>T(COMPS!AW6)</f>
        <v/>
      </c>
      <c r="Q10" s="4044"/>
      <c r="R10" s="4044"/>
      <c r="S10" s="4044"/>
      <c r="T10" s="4044" t="str">
        <f>T(COMPS!BJ6)</f>
        <v/>
      </c>
      <c r="U10" s="4044"/>
      <c r="V10" s="4044"/>
      <c r="W10" s="4067"/>
      <c r="X10" s="600"/>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row>
    <row r="11" spans="2:109" s="635" customFormat="1" ht="18.75" customHeight="1">
      <c r="D11" s="602"/>
      <c r="E11" s="4065" t="s">
        <v>1340</v>
      </c>
      <c r="F11" s="4066"/>
      <c r="G11" s="4066"/>
      <c r="H11" s="4056" t="str">
        <f>T(COMPS!W7)</f>
        <v/>
      </c>
      <c r="I11" s="4056"/>
      <c r="J11" s="4056"/>
      <c r="K11" s="4056"/>
      <c r="L11" s="4044" t="str">
        <f>T(COMPS!AJ7)</f>
        <v/>
      </c>
      <c r="M11" s="4044"/>
      <c r="N11" s="4044"/>
      <c r="O11" s="4044"/>
      <c r="P11" s="4044" t="str">
        <f>T(COMPS!AW7)</f>
        <v/>
      </c>
      <c r="Q11" s="4044"/>
      <c r="R11" s="4044"/>
      <c r="S11" s="4044"/>
      <c r="T11" s="4044" t="str">
        <f>T(COMPS!BJ7)</f>
        <v/>
      </c>
      <c r="U11" s="4044"/>
      <c r="V11" s="4044"/>
      <c r="W11" s="4067"/>
      <c r="X11" s="600"/>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row>
    <row r="12" spans="2:109" s="635" customFormat="1" ht="18.75" customHeight="1">
      <c r="D12" s="602"/>
      <c r="E12" s="4065" t="s">
        <v>905</v>
      </c>
      <c r="F12" s="4066"/>
      <c r="G12" s="4066"/>
      <c r="H12" s="4056" t="str">
        <f>T(COMPS!W8)</f>
        <v/>
      </c>
      <c r="I12" s="4056"/>
      <c r="J12" s="4056"/>
      <c r="K12" s="4056"/>
      <c r="L12" s="4044" t="str">
        <f>T(COMPS!AJ8)</f>
        <v/>
      </c>
      <c r="M12" s="4044"/>
      <c r="N12" s="4044"/>
      <c r="O12" s="4044"/>
      <c r="P12" s="4044" t="str">
        <f>T(COMPS!AW8)</f>
        <v/>
      </c>
      <c r="Q12" s="4044"/>
      <c r="R12" s="4044"/>
      <c r="S12" s="4044"/>
      <c r="T12" s="4044" t="str">
        <f>T(COMPS!BJ8)</f>
        <v/>
      </c>
      <c r="U12" s="4044"/>
      <c r="V12" s="4044"/>
      <c r="W12" s="4067"/>
      <c r="X12" s="600"/>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row>
    <row r="13" spans="2:109" s="635" customFormat="1" ht="18.75" customHeight="1">
      <c r="D13" s="602"/>
      <c r="E13" s="4065" t="s">
        <v>83</v>
      </c>
      <c r="F13" s="4066"/>
      <c r="G13" s="4066"/>
      <c r="H13" s="4056" t="str">
        <f>T(COMPS!W9)</f>
        <v/>
      </c>
      <c r="I13" s="4056"/>
      <c r="J13" s="4056"/>
      <c r="K13" s="4056"/>
      <c r="L13" s="4044" t="str">
        <f>T(COMPS!AJ9)</f>
        <v/>
      </c>
      <c r="M13" s="4044"/>
      <c r="N13" s="4044"/>
      <c r="O13" s="4044"/>
      <c r="P13" s="4044" t="str">
        <f>T(COMPS!AW9)</f>
        <v/>
      </c>
      <c r="Q13" s="4044"/>
      <c r="R13" s="4044"/>
      <c r="S13" s="4044"/>
      <c r="T13" s="4044" t="str">
        <f>T(COMPS!BJ9)</f>
        <v/>
      </c>
      <c r="U13" s="4044"/>
      <c r="V13" s="4044"/>
      <c r="W13" s="4067"/>
      <c r="X13" s="600"/>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row>
    <row r="14" spans="2:109" s="635" customFormat="1" ht="18.75" customHeight="1">
      <c r="D14" s="602"/>
      <c r="E14" s="4065" t="s">
        <v>1341</v>
      </c>
      <c r="F14" s="4066"/>
      <c r="G14" s="4066"/>
      <c r="H14" s="4080">
        <f>(COMPS!W10)</f>
        <v>0</v>
      </c>
      <c r="I14" s="4080"/>
      <c r="J14" s="4080"/>
      <c r="K14" s="4080"/>
      <c r="L14" s="4080">
        <f>COMPS!AJ10</f>
        <v>0</v>
      </c>
      <c r="M14" s="4080"/>
      <c r="N14" s="4080"/>
      <c r="O14" s="4080"/>
      <c r="P14" s="4080">
        <f>COMPS!AW10</f>
        <v>0</v>
      </c>
      <c r="Q14" s="4080"/>
      <c r="R14" s="4080"/>
      <c r="S14" s="4080"/>
      <c r="T14" s="4080">
        <f>COMPS!BJ10</f>
        <v>0</v>
      </c>
      <c r="U14" s="4080"/>
      <c r="V14" s="4080"/>
      <c r="W14" s="4081"/>
      <c r="X14" s="600"/>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row>
    <row r="15" spans="2:109" s="635" customFormat="1" ht="18.75" customHeight="1">
      <c r="D15" s="602"/>
      <c r="E15" s="4065" t="s">
        <v>1342</v>
      </c>
      <c r="F15" s="4066"/>
      <c r="G15" s="4066"/>
      <c r="H15" s="4078" t="str">
        <f>T(COMPS!W11)</f>
        <v/>
      </c>
      <c r="I15" s="4078"/>
      <c r="J15" s="4078"/>
      <c r="K15" s="4078"/>
      <c r="L15" s="4078" t="str">
        <f>T(COMPS!AJ11)</f>
        <v/>
      </c>
      <c r="M15" s="4078"/>
      <c r="N15" s="4078"/>
      <c r="O15" s="4078"/>
      <c r="P15" s="4078" t="str">
        <f>T(COMPS!AW11)</f>
        <v/>
      </c>
      <c r="Q15" s="4078"/>
      <c r="R15" s="4078"/>
      <c r="S15" s="4078"/>
      <c r="T15" s="4078" t="str">
        <f>T(COMPS!BJ11)</f>
        <v/>
      </c>
      <c r="U15" s="4078"/>
      <c r="V15" s="4078"/>
      <c r="W15" s="4079"/>
      <c r="X15" s="600"/>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row>
    <row r="16" spans="2:109" s="635" customFormat="1" ht="18.75" customHeight="1">
      <c r="D16" s="602"/>
      <c r="E16" s="4065" t="s">
        <v>1343</v>
      </c>
      <c r="F16" s="4066"/>
      <c r="G16" s="4066"/>
      <c r="H16" s="4056" t="str">
        <f>IF((COMPS!W12)=0,"",COMPS!W12)</f>
        <v/>
      </c>
      <c r="I16" s="4056"/>
      <c r="J16" s="4056"/>
      <c r="K16" s="4056"/>
      <c r="L16" s="4056" t="str">
        <f>IF((COMPS!AJ12)=0,"",COMPS!AJ12)</f>
        <v/>
      </c>
      <c r="M16" s="4056"/>
      <c r="N16" s="4056"/>
      <c r="O16" s="4056"/>
      <c r="P16" s="4056" t="str">
        <f>IF((COMPS!AW12)=0,"",COMPS!AW12)</f>
        <v/>
      </c>
      <c r="Q16" s="4056"/>
      <c r="R16" s="4056"/>
      <c r="S16" s="4056"/>
      <c r="T16" s="4056" t="str">
        <f>IF((COMPS!BJ12)=0,"",COMPS!BJ12)</f>
        <v/>
      </c>
      <c r="U16" s="4056"/>
      <c r="V16" s="4056"/>
      <c r="W16" s="4057"/>
      <c r="X16" s="600"/>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row>
    <row r="17" spans="4:109" s="635" customFormat="1" ht="18.75" customHeight="1" thickBot="1">
      <c r="D17" s="602"/>
      <c r="E17" s="4082" t="s">
        <v>1344</v>
      </c>
      <c r="F17" s="4083"/>
      <c r="G17" s="4083"/>
      <c r="H17" s="4072">
        <f>(COMPS!W13)</f>
        <v>0</v>
      </c>
      <c r="I17" s="4072"/>
      <c r="J17" s="4072"/>
      <c r="K17" s="4072"/>
      <c r="L17" s="4072">
        <f>COMPS!AJ13</f>
        <v>0</v>
      </c>
      <c r="M17" s="4072"/>
      <c r="N17" s="4072"/>
      <c r="O17" s="4072"/>
      <c r="P17" s="4072">
        <f>COMPS!AW13</f>
        <v>0</v>
      </c>
      <c r="Q17" s="4072"/>
      <c r="R17" s="4072"/>
      <c r="S17" s="4072"/>
      <c r="T17" s="4072">
        <f>COMPS!BJ13</f>
        <v>0</v>
      </c>
      <c r="U17" s="4072"/>
      <c r="V17" s="4072"/>
      <c r="W17" s="4084"/>
      <c r="X17" s="600"/>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row>
    <row r="18" spans="4:109" s="635" customFormat="1" ht="30.75" customHeight="1" thickBot="1">
      <c r="D18" s="600"/>
      <c r="E18" s="600"/>
      <c r="F18" s="600"/>
      <c r="G18" s="600"/>
      <c r="H18" s="600"/>
      <c r="I18" s="600"/>
      <c r="J18" s="602"/>
      <c r="K18" s="602"/>
      <c r="L18" s="602"/>
      <c r="M18" s="602"/>
      <c r="N18" s="600"/>
      <c r="O18" s="600"/>
      <c r="P18" s="600"/>
      <c r="Q18" s="600"/>
      <c r="R18" s="600"/>
      <c r="S18" s="600"/>
      <c r="T18" s="600"/>
      <c r="U18" s="600"/>
      <c r="V18" s="600"/>
      <c r="W18" s="600"/>
      <c r="X18" s="600"/>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row>
    <row r="19" spans="4:109" ht="22.5" customHeight="1">
      <c r="D19" s="600"/>
      <c r="E19" s="4058" t="s">
        <v>1346</v>
      </c>
      <c r="F19" s="4059"/>
      <c r="G19" s="4059"/>
      <c r="H19" s="4060" t="s">
        <v>1282</v>
      </c>
      <c r="I19" s="4061"/>
      <c r="J19" s="4062"/>
      <c r="K19" s="631" t="s">
        <v>1349</v>
      </c>
      <c r="L19" s="4060" t="s">
        <v>1282</v>
      </c>
      <c r="M19" s="4061"/>
      <c r="N19" s="4062"/>
      <c r="O19" s="631" t="s">
        <v>1349</v>
      </c>
      <c r="P19" s="4060" t="s">
        <v>1282</v>
      </c>
      <c r="Q19" s="4061"/>
      <c r="R19" s="4062"/>
      <c r="S19" s="631" t="s">
        <v>1349</v>
      </c>
      <c r="T19" s="4060" t="s">
        <v>1282</v>
      </c>
      <c r="U19" s="4061"/>
      <c r="V19" s="4062"/>
      <c r="W19" s="630" t="s">
        <v>1349</v>
      </c>
      <c r="X19" s="600"/>
    </row>
    <row r="20" spans="4:109" ht="18.75" customHeight="1">
      <c r="D20" s="600"/>
      <c r="E20" s="4068" t="s">
        <v>984</v>
      </c>
      <c r="F20" s="4069"/>
      <c r="G20" s="4070"/>
      <c r="H20" s="4071">
        <f>COMPS!W16</f>
        <v>0</v>
      </c>
      <c r="I20" s="4071"/>
      <c r="J20" s="4071"/>
      <c r="K20" s="632">
        <f>COMPS!AE16</f>
        <v>0</v>
      </c>
      <c r="L20" s="4071">
        <f>COMPS!AJ16</f>
        <v>0</v>
      </c>
      <c r="M20" s="4071"/>
      <c r="N20" s="4071"/>
      <c r="O20" s="632">
        <f>COMPS!AR16</f>
        <v>0</v>
      </c>
      <c r="P20" s="4071">
        <f>COMPS!AW16</f>
        <v>0</v>
      </c>
      <c r="Q20" s="4071"/>
      <c r="R20" s="4071"/>
      <c r="S20" s="632">
        <f>COMPS!BE16</f>
        <v>0</v>
      </c>
      <c r="T20" s="4071">
        <f>COMPS!BJ16</f>
        <v>0</v>
      </c>
      <c r="U20" s="4071"/>
      <c r="V20" s="4071"/>
      <c r="W20" s="633">
        <f>COMPS!BR16</f>
        <v>0</v>
      </c>
      <c r="X20" s="634"/>
    </row>
    <row r="21" spans="4:109" ht="18.75" customHeight="1">
      <c r="D21" s="600"/>
      <c r="E21" s="4037" t="s">
        <v>985</v>
      </c>
      <c r="F21" s="4038"/>
      <c r="G21" s="4039"/>
      <c r="H21" s="4064">
        <f>COMPS!W17</f>
        <v>0</v>
      </c>
      <c r="I21" s="4064"/>
      <c r="J21" s="4064"/>
      <c r="K21" s="632">
        <f>COMPS!AE17</f>
        <v>0</v>
      </c>
      <c r="L21" s="4064">
        <f>COMPS!AJ17</f>
        <v>0</v>
      </c>
      <c r="M21" s="4064"/>
      <c r="N21" s="4064"/>
      <c r="O21" s="632">
        <f>COMPS!AR17</f>
        <v>0</v>
      </c>
      <c r="P21" s="4064">
        <f>COMPS!AW17</f>
        <v>0</v>
      </c>
      <c r="Q21" s="4064"/>
      <c r="R21" s="4064"/>
      <c r="S21" s="632">
        <f>COMPS!BE17</f>
        <v>0</v>
      </c>
      <c r="T21" s="4064">
        <f>COMPS!BJ17</f>
        <v>0</v>
      </c>
      <c r="U21" s="4064"/>
      <c r="V21" s="4064"/>
      <c r="W21" s="633">
        <f>COMPS!BR17</f>
        <v>0</v>
      </c>
      <c r="X21" s="634"/>
    </row>
    <row r="22" spans="4:109" ht="18.75" customHeight="1">
      <c r="D22" s="600"/>
      <c r="E22" s="4037" t="s">
        <v>1277</v>
      </c>
      <c r="F22" s="4038"/>
      <c r="G22" s="4039"/>
      <c r="H22" s="4063">
        <f>COMPS!W18</f>
        <v>0</v>
      </c>
      <c r="I22" s="4063"/>
      <c r="J22" s="4063"/>
      <c r="K22" s="632">
        <f>COMPS!AE18</f>
        <v>0</v>
      </c>
      <c r="L22" s="4063">
        <f>COMPS!AJ18</f>
        <v>0</v>
      </c>
      <c r="M22" s="4063"/>
      <c r="N22" s="4063"/>
      <c r="O22" s="632">
        <f>COMPS!AR18</f>
        <v>0</v>
      </c>
      <c r="P22" s="4063">
        <f>COMPS!AW18</f>
        <v>0</v>
      </c>
      <c r="Q22" s="4063"/>
      <c r="R22" s="4063"/>
      <c r="S22" s="632">
        <f>COMPS!BE18</f>
        <v>0</v>
      </c>
      <c r="T22" s="4063">
        <f>COMPS!BJ18</f>
        <v>0</v>
      </c>
      <c r="U22" s="4063"/>
      <c r="V22" s="4063"/>
      <c r="W22" s="633">
        <f>COMPS!BR18</f>
        <v>0</v>
      </c>
      <c r="X22" s="634"/>
    </row>
    <row r="23" spans="4:109" ht="15" customHeight="1">
      <c r="D23" s="600"/>
      <c r="E23" s="4037" t="s">
        <v>1260</v>
      </c>
      <c r="F23" s="4038"/>
      <c r="G23" s="4039"/>
      <c r="H23" s="4055">
        <f>COMPS!W19</f>
        <v>0</v>
      </c>
      <c r="I23" s="4055"/>
      <c r="J23" s="4055"/>
      <c r="K23" s="632">
        <f>COMPS!AE19</f>
        <v>0</v>
      </c>
      <c r="L23" s="4055">
        <f>COMPS!AJ19</f>
        <v>0</v>
      </c>
      <c r="M23" s="4055"/>
      <c r="N23" s="4055"/>
      <c r="O23" s="632">
        <f>COMPS!AR19</f>
        <v>0</v>
      </c>
      <c r="P23" s="4055">
        <f>COMPS!AW19</f>
        <v>0</v>
      </c>
      <c r="Q23" s="4055"/>
      <c r="R23" s="4055"/>
      <c r="S23" s="632">
        <f>COMPS!BE19</f>
        <v>0</v>
      </c>
      <c r="T23" s="4055">
        <f>COMPS!BJ19</f>
        <v>0</v>
      </c>
      <c r="U23" s="4055"/>
      <c r="V23" s="4055"/>
      <c r="W23" s="633">
        <f>COMPS!BR19</f>
        <v>0</v>
      </c>
      <c r="X23" s="634"/>
    </row>
    <row r="24" spans="4:109" ht="15" customHeight="1">
      <c r="D24" s="600"/>
      <c r="E24" s="4037" t="s">
        <v>1276</v>
      </c>
      <c r="F24" s="4038"/>
      <c r="G24" s="4039"/>
      <c r="H24" s="4045">
        <f>COMPS!W20</f>
        <v>0</v>
      </c>
      <c r="I24" s="4045"/>
      <c r="J24" s="4045"/>
      <c r="K24" s="632">
        <f>COMPS!AE20</f>
        <v>0</v>
      </c>
      <c r="L24" s="4045">
        <f>COMPS!AJ20</f>
        <v>0</v>
      </c>
      <c r="M24" s="4045"/>
      <c r="N24" s="4045"/>
      <c r="O24" s="632">
        <f>COMPS!AR20</f>
        <v>0</v>
      </c>
      <c r="P24" s="4045">
        <f>COMPS!AW20</f>
        <v>0</v>
      </c>
      <c r="Q24" s="4045"/>
      <c r="R24" s="4045"/>
      <c r="S24" s="632">
        <f>COMPS!BE20</f>
        <v>0</v>
      </c>
      <c r="T24" s="4045">
        <f>COMPS!BJ20</f>
        <v>0</v>
      </c>
      <c r="U24" s="4045"/>
      <c r="V24" s="4045"/>
      <c r="W24" s="633">
        <f>COMPS!BR20</f>
        <v>0</v>
      </c>
      <c r="X24" s="634"/>
      <c r="AE24" s="635"/>
      <c r="AF24" s="635"/>
    </row>
    <row r="25" spans="4:109" ht="15" customHeight="1">
      <c r="D25" s="600"/>
      <c r="E25" s="4037" t="s">
        <v>1285</v>
      </c>
      <c r="F25" s="4038"/>
      <c r="G25" s="4039"/>
      <c r="H25" s="4046" t="str">
        <f>T(COMPS!W21)</f>
        <v/>
      </c>
      <c r="I25" s="4046"/>
      <c r="J25" s="4046"/>
      <c r="K25" s="632">
        <f>COMPS!AE21</f>
        <v>0</v>
      </c>
      <c r="L25" s="4046" t="str">
        <f>T(COMPS!AJ21)</f>
        <v/>
      </c>
      <c r="M25" s="4046"/>
      <c r="N25" s="4046"/>
      <c r="O25" s="632">
        <f>COMPS!AR21</f>
        <v>0</v>
      </c>
      <c r="P25" s="4046" t="str">
        <f>T(COMPS!AW21)</f>
        <v/>
      </c>
      <c r="Q25" s="4046"/>
      <c r="R25" s="4046"/>
      <c r="S25" s="632">
        <f>COMPS!BE21</f>
        <v>0</v>
      </c>
      <c r="T25" s="4046" t="str">
        <f>T(COMPS!BJ21)</f>
        <v/>
      </c>
      <c r="U25" s="4046"/>
      <c r="V25" s="4046"/>
      <c r="W25" s="633">
        <f>COMPS!BR21</f>
        <v>0</v>
      </c>
      <c r="X25" s="634"/>
      <c r="AE25" s="635"/>
      <c r="AF25" s="635"/>
    </row>
    <row r="26" spans="4:109" ht="15" customHeight="1">
      <c r="D26" s="600"/>
      <c r="E26" s="4037" t="s">
        <v>1278</v>
      </c>
      <c r="F26" s="4038"/>
      <c r="G26" s="4039"/>
      <c r="H26" s="4046" t="str">
        <f>T(COMPS!W22)</f>
        <v/>
      </c>
      <c r="I26" s="4046"/>
      <c r="J26" s="4046"/>
      <c r="K26" s="632">
        <f>COMPS!AE22</f>
        <v>0</v>
      </c>
      <c r="L26" s="4046" t="str">
        <f>T(COMPS!AJ22)</f>
        <v/>
      </c>
      <c r="M26" s="4046"/>
      <c r="N26" s="4046"/>
      <c r="O26" s="632">
        <f>COMPS!AR22</f>
        <v>0</v>
      </c>
      <c r="P26" s="4046" t="str">
        <f>T(COMPS!AW22)</f>
        <v/>
      </c>
      <c r="Q26" s="4046"/>
      <c r="R26" s="4046"/>
      <c r="S26" s="632">
        <f>COMPS!BE22</f>
        <v>0</v>
      </c>
      <c r="T26" s="4046" t="str">
        <f>T(COMPS!BJ22)</f>
        <v/>
      </c>
      <c r="U26" s="4046"/>
      <c r="V26" s="4046"/>
      <c r="W26" s="633">
        <f>COMPS!BR22</f>
        <v>0</v>
      </c>
      <c r="X26" s="634"/>
      <c r="AE26" s="635"/>
      <c r="AF26" s="635"/>
    </row>
    <row r="27" spans="4:109" ht="15" customHeight="1">
      <c r="D27" s="600"/>
      <c r="E27" s="4037" t="s">
        <v>1279</v>
      </c>
      <c r="F27" s="4038"/>
      <c r="G27" s="4039"/>
      <c r="H27" s="4046" t="str">
        <f>T(COMPS!W23)</f>
        <v/>
      </c>
      <c r="I27" s="4046"/>
      <c r="J27" s="4046"/>
      <c r="K27" s="632">
        <f>COMPS!AE23</f>
        <v>0</v>
      </c>
      <c r="L27" s="4046" t="str">
        <f>T(COMPS!AJ23)</f>
        <v/>
      </c>
      <c r="M27" s="4046"/>
      <c r="N27" s="4046"/>
      <c r="O27" s="632">
        <f>COMPS!AR23</f>
        <v>0</v>
      </c>
      <c r="P27" s="4046" t="str">
        <f>T(COMPS!AW23)</f>
        <v/>
      </c>
      <c r="Q27" s="4046"/>
      <c r="R27" s="4046"/>
      <c r="S27" s="632">
        <f>COMPS!BE23</f>
        <v>0</v>
      </c>
      <c r="T27" s="4046" t="str">
        <f>T(COMPS!BJ23)</f>
        <v/>
      </c>
      <c r="U27" s="4046"/>
      <c r="V27" s="4046"/>
      <c r="W27" s="633">
        <f>COMPS!BR23</f>
        <v>0</v>
      </c>
      <c r="X27" s="634"/>
      <c r="AE27" s="635"/>
      <c r="AF27" s="635"/>
    </row>
    <row r="28" spans="4:109" ht="15" customHeight="1">
      <c r="D28" s="600"/>
      <c r="E28" s="4040" t="s">
        <v>1280</v>
      </c>
      <c r="F28" s="4041"/>
      <c r="G28" s="4042"/>
      <c r="H28" s="4046" t="str">
        <f>T(COMPS!W24)</f>
        <v/>
      </c>
      <c r="I28" s="4046"/>
      <c r="J28" s="4046"/>
      <c r="K28" s="632">
        <f>COMPS!AE24</f>
        <v>0</v>
      </c>
      <c r="L28" s="4046" t="str">
        <f>T(COMPS!AJ24)</f>
        <v/>
      </c>
      <c r="M28" s="4046"/>
      <c r="N28" s="4046"/>
      <c r="O28" s="632">
        <f>COMPS!AR24</f>
        <v>0</v>
      </c>
      <c r="P28" s="4046" t="str">
        <f>T(COMPS!AW24)</f>
        <v/>
      </c>
      <c r="Q28" s="4046"/>
      <c r="R28" s="4046"/>
      <c r="S28" s="632">
        <f>COMPS!BE24</f>
        <v>0</v>
      </c>
      <c r="T28" s="4046" t="str">
        <f>T(COMPS!BJ24)</f>
        <v/>
      </c>
      <c r="U28" s="4046"/>
      <c r="V28" s="4046"/>
      <c r="W28" s="633">
        <f>COMPS!BR24</f>
        <v>0</v>
      </c>
      <c r="X28" s="634"/>
      <c r="AE28" s="635"/>
      <c r="AF28" s="635"/>
    </row>
    <row r="29" spans="4:109" ht="15" customHeight="1">
      <c r="D29" s="600"/>
      <c r="E29" s="4043" t="s">
        <v>1284</v>
      </c>
      <c r="F29" s="4044"/>
      <c r="G29" s="4044"/>
      <c r="H29" s="4047" t="str">
        <f>T(COMPS!W25)</f>
        <v/>
      </c>
      <c r="I29" s="4048"/>
      <c r="J29" s="4049"/>
      <c r="K29" s="4076">
        <f>COMPS!AE25</f>
        <v>0</v>
      </c>
      <c r="L29" s="4047" t="str">
        <f>T(COMPS!AJ25)</f>
        <v/>
      </c>
      <c r="M29" s="4048"/>
      <c r="N29" s="4049"/>
      <c r="O29" s="4076">
        <f>COMPS!AR25</f>
        <v>0</v>
      </c>
      <c r="P29" s="4047" t="str">
        <f>T(COMPS!AW25)</f>
        <v/>
      </c>
      <c r="Q29" s="4048"/>
      <c r="R29" s="4049"/>
      <c r="S29" s="4076">
        <f>COMPS!BE25</f>
        <v>0</v>
      </c>
      <c r="T29" s="4047" t="str">
        <f>T(COMPS!BJ25)</f>
        <v/>
      </c>
      <c r="U29" s="4048"/>
      <c r="V29" s="4049"/>
      <c r="W29" s="4077">
        <f>COMPS!BR25</f>
        <v>0</v>
      </c>
      <c r="X29" s="634"/>
      <c r="AE29" s="635"/>
      <c r="AF29" s="635"/>
    </row>
    <row r="30" spans="4:109" ht="15" customHeight="1">
      <c r="D30" s="600"/>
      <c r="E30" s="4043"/>
      <c r="F30" s="4044"/>
      <c r="G30" s="4044"/>
      <c r="H30" s="4050"/>
      <c r="I30" s="4033"/>
      <c r="J30" s="4051"/>
      <c r="K30" s="4076"/>
      <c r="L30" s="4050"/>
      <c r="M30" s="4033"/>
      <c r="N30" s="4051"/>
      <c r="O30" s="4076"/>
      <c r="P30" s="4050"/>
      <c r="Q30" s="4033"/>
      <c r="R30" s="4051"/>
      <c r="S30" s="4076"/>
      <c r="T30" s="4050"/>
      <c r="U30" s="4033"/>
      <c r="V30" s="4051"/>
      <c r="W30" s="4077"/>
      <c r="X30" s="634"/>
      <c r="AE30" s="635"/>
      <c r="AF30" s="635"/>
    </row>
    <row r="31" spans="4:109" ht="15" customHeight="1">
      <c r="D31" s="600"/>
      <c r="E31" s="4043"/>
      <c r="F31" s="4044"/>
      <c r="G31" s="4044"/>
      <c r="H31" s="4050"/>
      <c r="I31" s="4033"/>
      <c r="J31" s="4051"/>
      <c r="K31" s="4076"/>
      <c r="L31" s="4050"/>
      <c r="M31" s="4033"/>
      <c r="N31" s="4051"/>
      <c r="O31" s="4076"/>
      <c r="P31" s="4050"/>
      <c r="Q31" s="4033"/>
      <c r="R31" s="4051"/>
      <c r="S31" s="4076"/>
      <c r="T31" s="4050"/>
      <c r="U31" s="4033"/>
      <c r="V31" s="4051"/>
      <c r="W31" s="4077"/>
      <c r="X31" s="634"/>
      <c r="AE31" s="635"/>
      <c r="AF31" s="635"/>
    </row>
    <row r="32" spans="4:109" ht="15" customHeight="1">
      <c r="D32" s="600"/>
      <c r="E32" s="4043"/>
      <c r="F32" s="4044"/>
      <c r="G32" s="4044"/>
      <c r="H32" s="4052"/>
      <c r="I32" s="4053"/>
      <c r="J32" s="4054"/>
      <c r="K32" s="4076"/>
      <c r="L32" s="4052"/>
      <c r="M32" s="4053"/>
      <c r="N32" s="4054"/>
      <c r="O32" s="4076"/>
      <c r="P32" s="4052"/>
      <c r="Q32" s="4053"/>
      <c r="R32" s="4054"/>
      <c r="S32" s="4076"/>
      <c r="T32" s="4052"/>
      <c r="U32" s="4053"/>
      <c r="V32" s="4054"/>
      <c r="W32" s="4077"/>
      <c r="X32" s="634"/>
      <c r="AE32" s="635"/>
      <c r="AF32" s="635"/>
    </row>
    <row r="33" spans="4:32" ht="15" customHeight="1">
      <c r="D33" s="600"/>
      <c r="E33" s="4043" t="s">
        <v>150</v>
      </c>
      <c r="F33" s="4044"/>
      <c r="G33" s="4044"/>
      <c r="H33" s="4047" t="str">
        <f>T(COMPS!W26)</f>
        <v/>
      </c>
      <c r="I33" s="4048"/>
      <c r="J33" s="4049"/>
      <c r="K33" s="4108"/>
      <c r="L33" s="4047" t="str">
        <f>T(COMPS!AJ26)</f>
        <v/>
      </c>
      <c r="M33" s="4048"/>
      <c r="N33" s="4049"/>
      <c r="O33" s="4108"/>
      <c r="P33" s="4047" t="str">
        <f>T(COMPS!AW26)</f>
        <v/>
      </c>
      <c r="Q33" s="4048"/>
      <c r="R33" s="4049"/>
      <c r="S33" s="4108"/>
      <c r="T33" s="4047" t="str">
        <f>T(COMPS!BJ26)</f>
        <v/>
      </c>
      <c r="U33" s="4048"/>
      <c r="V33" s="4049"/>
      <c r="W33" s="4111"/>
      <c r="X33" s="634"/>
      <c r="AE33" s="635"/>
      <c r="AF33" s="635"/>
    </row>
    <row r="34" spans="4:32" ht="15" customHeight="1">
      <c r="D34" s="600"/>
      <c r="E34" s="4043"/>
      <c r="F34" s="4044"/>
      <c r="G34" s="4044"/>
      <c r="H34" s="4050"/>
      <c r="I34" s="4033"/>
      <c r="J34" s="4051"/>
      <c r="K34" s="4109"/>
      <c r="L34" s="4050"/>
      <c r="M34" s="4033"/>
      <c r="N34" s="4051"/>
      <c r="O34" s="4109"/>
      <c r="P34" s="4050"/>
      <c r="Q34" s="4033"/>
      <c r="R34" s="4051"/>
      <c r="S34" s="4109"/>
      <c r="T34" s="4050"/>
      <c r="U34" s="4033"/>
      <c r="V34" s="4051"/>
      <c r="W34" s="4112"/>
      <c r="X34" s="600"/>
      <c r="AE34" s="635"/>
      <c r="AF34" s="635"/>
    </row>
    <row r="35" spans="4:32" ht="15" customHeight="1">
      <c r="D35" s="600"/>
      <c r="E35" s="4043"/>
      <c r="F35" s="4044"/>
      <c r="G35" s="4044"/>
      <c r="H35" s="4050"/>
      <c r="I35" s="4033"/>
      <c r="J35" s="4051"/>
      <c r="K35" s="4109"/>
      <c r="L35" s="4050"/>
      <c r="M35" s="4033"/>
      <c r="N35" s="4051"/>
      <c r="O35" s="4109"/>
      <c r="P35" s="4050"/>
      <c r="Q35" s="4033"/>
      <c r="R35" s="4051"/>
      <c r="S35" s="4109"/>
      <c r="T35" s="4050"/>
      <c r="U35" s="4033"/>
      <c r="V35" s="4051"/>
      <c r="W35" s="4112"/>
      <c r="X35" s="600"/>
      <c r="AE35" s="635"/>
      <c r="AF35" s="635"/>
    </row>
    <row r="36" spans="4:32" ht="15" customHeight="1">
      <c r="D36" s="600"/>
      <c r="E36" s="4043"/>
      <c r="F36" s="4044"/>
      <c r="G36" s="4044"/>
      <c r="H36" s="4050"/>
      <c r="I36" s="4033"/>
      <c r="J36" s="4051"/>
      <c r="K36" s="4109"/>
      <c r="L36" s="4050"/>
      <c r="M36" s="4033"/>
      <c r="N36" s="4051"/>
      <c r="O36" s="4109"/>
      <c r="P36" s="4050"/>
      <c r="Q36" s="4033"/>
      <c r="R36" s="4051"/>
      <c r="S36" s="4109"/>
      <c r="T36" s="4050"/>
      <c r="U36" s="4033"/>
      <c r="V36" s="4051"/>
      <c r="W36" s="4112"/>
      <c r="X36" s="600"/>
      <c r="AE36" s="635"/>
      <c r="AF36" s="635"/>
    </row>
    <row r="37" spans="4:32" ht="15" customHeight="1">
      <c r="D37" s="600"/>
      <c r="E37" s="4043"/>
      <c r="F37" s="4044"/>
      <c r="G37" s="4044"/>
      <c r="H37" s="4050"/>
      <c r="I37" s="4033"/>
      <c r="J37" s="4051"/>
      <c r="K37" s="4109"/>
      <c r="L37" s="4050"/>
      <c r="M37" s="4033"/>
      <c r="N37" s="4051"/>
      <c r="O37" s="4109"/>
      <c r="P37" s="4050"/>
      <c r="Q37" s="4033"/>
      <c r="R37" s="4051"/>
      <c r="S37" s="4109"/>
      <c r="T37" s="4050"/>
      <c r="U37" s="4033"/>
      <c r="V37" s="4051"/>
      <c r="W37" s="4112"/>
      <c r="X37" s="600"/>
      <c r="AE37" s="635"/>
      <c r="AF37" s="635"/>
    </row>
    <row r="38" spans="4:32" ht="15" customHeight="1">
      <c r="D38" s="600"/>
      <c r="E38" s="4043"/>
      <c r="F38" s="4044"/>
      <c r="G38" s="4044"/>
      <c r="H38" s="4050"/>
      <c r="I38" s="4033"/>
      <c r="J38" s="4051"/>
      <c r="K38" s="4109"/>
      <c r="L38" s="4050"/>
      <c r="M38" s="4033"/>
      <c r="N38" s="4051"/>
      <c r="O38" s="4109"/>
      <c r="P38" s="4050"/>
      <c r="Q38" s="4033"/>
      <c r="R38" s="4051"/>
      <c r="S38" s="4109"/>
      <c r="T38" s="4050"/>
      <c r="U38" s="4033"/>
      <c r="V38" s="4051"/>
      <c r="W38" s="4112"/>
      <c r="X38" s="600"/>
      <c r="AE38" s="635"/>
      <c r="AF38" s="635"/>
    </row>
    <row r="39" spans="4:32" ht="15" customHeight="1">
      <c r="D39" s="600"/>
      <c r="E39" s="4043"/>
      <c r="F39" s="4044"/>
      <c r="G39" s="4044"/>
      <c r="H39" s="4050"/>
      <c r="I39" s="4033"/>
      <c r="J39" s="4051"/>
      <c r="K39" s="4109"/>
      <c r="L39" s="4050"/>
      <c r="M39" s="4033"/>
      <c r="N39" s="4051"/>
      <c r="O39" s="4109"/>
      <c r="P39" s="4050"/>
      <c r="Q39" s="4033"/>
      <c r="R39" s="4051"/>
      <c r="S39" s="4109"/>
      <c r="T39" s="4050"/>
      <c r="U39" s="4033"/>
      <c r="V39" s="4051"/>
      <c r="W39" s="4112"/>
      <c r="X39" s="600"/>
    </row>
    <row r="40" spans="4:32" ht="15" customHeight="1" thickBot="1">
      <c r="D40" s="600"/>
      <c r="E40" s="4097"/>
      <c r="F40" s="4098"/>
      <c r="G40" s="4098"/>
      <c r="H40" s="4105"/>
      <c r="I40" s="4106"/>
      <c r="J40" s="4107"/>
      <c r="K40" s="4110"/>
      <c r="L40" s="4105"/>
      <c r="M40" s="4106"/>
      <c r="N40" s="4107"/>
      <c r="O40" s="4110"/>
      <c r="P40" s="4105"/>
      <c r="Q40" s="4106"/>
      <c r="R40" s="4107"/>
      <c r="S40" s="4110"/>
      <c r="T40" s="4105"/>
      <c r="U40" s="4106"/>
      <c r="V40" s="4107"/>
      <c r="W40" s="4113"/>
      <c r="X40" s="600"/>
    </row>
    <row r="41" spans="4:32" ht="15" customHeight="1">
      <c r="D41" s="600"/>
      <c r="E41" s="4114" t="s">
        <v>1293</v>
      </c>
      <c r="F41" s="4115"/>
      <c r="G41" s="4116"/>
      <c r="H41" s="4099">
        <f>COMPS!W33</f>
        <v>0</v>
      </c>
      <c r="I41" s="4100"/>
      <c r="J41" s="4100"/>
      <c r="K41" s="4101"/>
      <c r="L41" s="4099">
        <f>COMPS!AJ33</f>
        <v>0</v>
      </c>
      <c r="M41" s="4100"/>
      <c r="N41" s="4100"/>
      <c r="O41" s="4101"/>
      <c r="P41" s="4099">
        <f>COMPS!AW33</f>
        <v>0</v>
      </c>
      <c r="Q41" s="4100"/>
      <c r="R41" s="4100"/>
      <c r="S41" s="4101"/>
      <c r="T41" s="4099">
        <f>COMPS!BJ33</f>
        <v>0</v>
      </c>
      <c r="U41" s="4100"/>
      <c r="V41" s="4100"/>
      <c r="W41" s="4102"/>
      <c r="X41" s="600"/>
    </row>
    <row r="42" spans="4:32" ht="15" customHeight="1" thickBot="1">
      <c r="D42" s="600"/>
      <c r="E42" s="4097" t="s">
        <v>1350</v>
      </c>
      <c r="F42" s="4098"/>
      <c r="G42" s="4098"/>
      <c r="H42" s="4103">
        <f>COMPS!W34</f>
        <v>0</v>
      </c>
      <c r="I42" s="4103"/>
      <c r="J42" s="4103"/>
      <c r="K42" s="4103"/>
      <c r="L42" s="4103">
        <f>COMPS!AJ34</f>
        <v>0</v>
      </c>
      <c r="M42" s="4103"/>
      <c r="N42" s="4103"/>
      <c r="O42" s="4103"/>
      <c r="P42" s="4103">
        <f>COMPS!AW34</f>
        <v>0</v>
      </c>
      <c r="Q42" s="4103"/>
      <c r="R42" s="4103"/>
      <c r="S42" s="4103"/>
      <c r="T42" s="4103">
        <f>COMPS!BJ34</f>
        <v>0</v>
      </c>
      <c r="U42" s="4103"/>
      <c r="V42" s="4103"/>
      <c r="W42" s="4104"/>
      <c r="X42" s="600"/>
    </row>
    <row r="43" spans="4:32" ht="15" customHeight="1">
      <c r="D43" s="600"/>
      <c r="E43" s="600"/>
      <c r="F43" s="600"/>
      <c r="G43" s="600"/>
      <c r="H43" s="600"/>
      <c r="I43" s="600"/>
      <c r="J43" s="600"/>
      <c r="K43" s="600"/>
      <c r="L43" s="600"/>
      <c r="M43" s="600"/>
      <c r="N43" s="600"/>
      <c r="O43" s="600"/>
      <c r="P43" s="600"/>
      <c r="Q43" s="600"/>
      <c r="R43" s="600"/>
      <c r="S43" s="600"/>
      <c r="T43" s="600"/>
      <c r="U43" s="600"/>
      <c r="V43" s="600"/>
      <c r="W43" s="600"/>
      <c r="X43" s="600"/>
    </row>
    <row r="44" spans="4:32" ht="15" customHeight="1">
      <c r="D44" s="600"/>
      <c r="E44" s="600"/>
      <c r="F44" s="600"/>
      <c r="G44" s="600"/>
      <c r="H44" s="600"/>
      <c r="I44" s="600"/>
      <c r="J44" s="600"/>
      <c r="K44" s="600"/>
      <c r="L44" s="600"/>
      <c r="M44" s="600"/>
      <c r="N44" s="600"/>
      <c r="O44" s="600"/>
      <c r="P44" s="600"/>
      <c r="Q44" s="600"/>
      <c r="R44" s="600"/>
      <c r="S44" s="600"/>
      <c r="T44" s="600"/>
      <c r="U44" s="600"/>
      <c r="V44" s="600"/>
      <c r="W44" s="600"/>
      <c r="X44" s="600"/>
    </row>
    <row r="45" spans="4:32" ht="15" customHeight="1">
      <c r="D45" s="600"/>
      <c r="E45" s="600"/>
      <c r="F45" s="600"/>
      <c r="G45" s="600"/>
      <c r="H45" s="600"/>
      <c r="I45" s="600"/>
      <c r="J45" s="600"/>
      <c r="K45" s="600"/>
      <c r="L45" s="600"/>
      <c r="M45" s="600"/>
      <c r="N45" s="600"/>
      <c r="O45" s="600"/>
      <c r="P45" s="600"/>
      <c r="Q45" s="600"/>
      <c r="R45" s="600"/>
      <c r="S45" s="600"/>
      <c r="T45" s="600"/>
      <c r="U45" s="600"/>
      <c r="V45" s="600"/>
      <c r="W45" s="600"/>
      <c r="X45" s="600"/>
    </row>
    <row r="46" spans="4:32" ht="15" customHeight="1">
      <c r="D46" s="600"/>
      <c r="E46" s="600"/>
      <c r="F46" s="600"/>
      <c r="G46" s="600"/>
      <c r="H46" s="600"/>
      <c r="I46" s="600"/>
      <c r="J46" s="600"/>
      <c r="K46" s="600"/>
      <c r="L46" s="600"/>
      <c r="M46" s="600"/>
      <c r="N46" s="600"/>
      <c r="O46" s="600"/>
      <c r="P46" s="600"/>
      <c r="Q46" s="600"/>
      <c r="R46" s="600"/>
      <c r="S46" s="600"/>
      <c r="T46" s="600"/>
      <c r="U46" s="600"/>
      <c r="V46" s="600"/>
      <c r="W46" s="600"/>
      <c r="X46" s="600"/>
    </row>
    <row r="47" spans="4:32" ht="15" customHeight="1">
      <c r="D47" s="622"/>
      <c r="E47" s="622"/>
      <c r="F47" s="622"/>
      <c r="G47" s="622"/>
      <c r="H47" s="622"/>
      <c r="I47" s="622"/>
      <c r="J47" s="622"/>
      <c r="K47" s="622"/>
      <c r="L47" s="622"/>
      <c r="M47" s="622"/>
      <c r="N47" s="622"/>
      <c r="O47" s="622"/>
      <c r="P47" s="622"/>
      <c r="Q47" s="622"/>
      <c r="R47" s="622"/>
      <c r="S47" s="622"/>
      <c r="T47" s="622"/>
      <c r="U47" s="622"/>
      <c r="V47" s="622"/>
      <c r="W47" s="622"/>
      <c r="X47" s="622"/>
    </row>
    <row r="48" spans="4:32">
      <c r="D48" s="445"/>
      <c r="E48" s="4025" t="str">
        <f>T(Company_Name)</f>
        <v/>
      </c>
      <c r="F48" s="4025"/>
      <c r="G48" s="4025"/>
      <c r="H48" s="4025"/>
      <c r="I48" s="621"/>
      <c r="J48" s="4086">
        <f>Company_Phone</f>
        <v>0</v>
      </c>
      <c r="K48" s="4086"/>
      <c r="L48" s="4086"/>
      <c r="M48" s="4086"/>
      <c r="N48" s="4025" t="str">
        <f>T(Company_Email)</f>
        <v/>
      </c>
      <c r="O48" s="4025"/>
      <c r="P48" s="4025"/>
      <c r="Q48" s="4025"/>
      <c r="R48" s="4025"/>
      <c r="S48" s="4025" t="str">
        <f>T(Company_Website)</f>
        <v/>
      </c>
      <c r="T48" s="4025"/>
      <c r="U48" s="4025"/>
      <c r="V48" s="4025"/>
      <c r="W48" s="4025"/>
      <c r="X48" s="445"/>
    </row>
    <row r="49" spans="4:109" s="635" customFormat="1" ht="28">
      <c r="D49" s="4013" t="s">
        <v>1330</v>
      </c>
      <c r="E49" s="4013"/>
      <c r="F49" s="4013"/>
      <c r="G49" s="4013"/>
      <c r="H49" s="4013"/>
      <c r="I49" s="4013"/>
      <c r="J49" s="4013"/>
      <c r="K49" s="4013"/>
      <c r="L49" s="4013"/>
      <c r="M49" s="4013"/>
      <c r="N49" s="4013"/>
      <c r="O49" s="4013"/>
      <c r="P49" s="4013"/>
      <c r="Q49" s="4013"/>
      <c r="R49" s="4013"/>
      <c r="S49" s="4013"/>
      <c r="T49" s="4023" t="s">
        <v>1327</v>
      </c>
      <c r="U49" s="4023"/>
      <c r="V49" s="4023"/>
      <c r="W49" s="4024">
        <f ca="1">TODAY()</f>
        <v>43691</v>
      </c>
      <c r="X49" s="4024"/>
      <c r="Y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row>
    <row r="50" spans="4:109" s="635" customFormat="1" ht="9" customHeight="1" thickBot="1">
      <c r="D50" s="600"/>
      <c r="E50" s="600"/>
      <c r="F50" s="600"/>
      <c r="G50" s="600"/>
      <c r="H50" s="600"/>
      <c r="I50" s="600"/>
      <c r="J50" s="600"/>
      <c r="K50" s="600"/>
      <c r="L50" s="23"/>
      <c r="M50" s="23"/>
      <c r="N50" s="601"/>
      <c r="O50" s="23"/>
      <c r="P50" s="23"/>
      <c r="Q50" s="23"/>
      <c r="R50" s="23"/>
      <c r="S50" s="23"/>
      <c r="T50" s="23"/>
      <c r="U50" s="23"/>
      <c r="V50" s="23"/>
      <c r="W50" s="23"/>
      <c r="X50" s="23"/>
      <c r="Y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row>
    <row r="51" spans="4:109" s="635" customFormat="1" ht="16.7">
      <c r="D51" s="602"/>
      <c r="E51" s="4026">
        <v>1</v>
      </c>
      <c r="F51" s="4029">
        <f>Comparable1_Street_Address</f>
        <v>0</v>
      </c>
      <c r="G51" s="4030"/>
      <c r="H51" s="4030"/>
      <c r="I51" s="4030"/>
      <c r="J51" s="4030"/>
      <c r="K51" s="4030"/>
      <c r="L51" s="4030"/>
      <c r="M51" s="445"/>
      <c r="N51" s="445"/>
      <c r="O51" s="445"/>
      <c r="P51" s="445"/>
      <c r="Q51" s="445"/>
      <c r="R51" s="445"/>
      <c r="S51" s="445"/>
      <c r="T51" s="600"/>
      <c r="U51" s="600"/>
      <c r="V51" s="600"/>
      <c r="W51" s="600"/>
      <c r="X51" s="600"/>
      <c r="Y51" s="12"/>
      <c r="Z51" s="12"/>
      <c r="AA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row>
    <row r="52" spans="4:109" s="635" customFormat="1" ht="16.7">
      <c r="D52" s="602"/>
      <c r="E52" s="4027"/>
      <c r="F52" s="4029"/>
      <c r="G52" s="4030"/>
      <c r="H52" s="4030"/>
      <c r="I52" s="4030"/>
      <c r="J52" s="4030"/>
      <c r="K52" s="4030"/>
      <c r="L52" s="4030"/>
      <c r="M52" s="445"/>
      <c r="N52" s="445"/>
      <c r="O52" s="445"/>
      <c r="P52" s="445"/>
      <c r="Q52" s="445"/>
      <c r="R52" s="445"/>
      <c r="S52" s="445"/>
      <c r="T52" s="600"/>
      <c r="U52" s="600"/>
      <c r="V52" s="600"/>
      <c r="W52" s="600"/>
      <c r="X52" s="600"/>
      <c r="Y52" s="12"/>
      <c r="Z52" s="12"/>
      <c r="AA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row>
    <row r="53" spans="4:109" s="635" customFormat="1" ht="18.350000000000001" thickBot="1">
      <c r="D53" s="602"/>
      <c r="E53" s="4028"/>
      <c r="F53" s="4031" t="str">
        <f>T(Comparable1_City_State_Zip)</f>
        <v/>
      </c>
      <c r="G53" s="4032"/>
      <c r="H53" s="4032"/>
      <c r="I53" s="4032"/>
      <c r="J53" s="4032"/>
      <c r="K53" s="4032"/>
      <c r="L53" s="4032"/>
      <c r="M53" s="445"/>
      <c r="N53" s="445"/>
      <c r="O53" s="445"/>
      <c r="P53" s="445"/>
      <c r="Q53" s="445"/>
      <c r="R53" s="445"/>
      <c r="S53" s="445"/>
      <c r="T53" s="600"/>
      <c r="U53" s="600"/>
      <c r="V53" s="600"/>
      <c r="W53" s="600"/>
      <c r="X53" s="600"/>
      <c r="Y53" s="12"/>
      <c r="Z53" s="12"/>
      <c r="AA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row>
    <row r="54" spans="4:109" s="635" customFormat="1" ht="7.5" customHeight="1">
      <c r="D54" s="602"/>
      <c r="E54" s="600"/>
      <c r="F54" s="600"/>
      <c r="G54" s="600"/>
      <c r="H54" s="600"/>
      <c r="I54" s="600"/>
      <c r="J54" s="600"/>
      <c r="K54" s="600"/>
      <c r="L54" s="600"/>
      <c r="M54" s="445"/>
      <c r="N54" s="445"/>
      <c r="O54" s="445"/>
      <c r="P54" s="445"/>
      <c r="Q54" s="445"/>
      <c r="R54" s="445"/>
      <c r="S54" s="445"/>
      <c r="T54" s="600"/>
      <c r="U54" s="600"/>
      <c r="V54" s="600"/>
      <c r="W54" s="600"/>
      <c r="X54" s="600"/>
      <c r="Y54" s="12"/>
      <c r="Z54" s="12"/>
      <c r="AA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row>
    <row r="55" spans="4:109" s="635" customFormat="1" ht="16.7">
      <c r="D55" s="602"/>
      <c r="E55" s="600"/>
      <c r="F55" s="625" t="s">
        <v>331</v>
      </c>
      <c r="G55" s="604"/>
      <c r="H55" s="604"/>
      <c r="I55" s="604"/>
      <c r="J55" s="604"/>
      <c r="K55" s="604"/>
      <c r="L55" s="605"/>
      <c r="M55" s="445"/>
      <c r="N55" s="445"/>
      <c r="O55" s="445"/>
      <c r="P55" s="445"/>
      <c r="Q55" s="445"/>
      <c r="R55" s="445"/>
      <c r="S55" s="445"/>
      <c r="T55" s="600"/>
      <c r="U55" s="600"/>
      <c r="V55" s="600"/>
      <c r="W55" s="600"/>
      <c r="X55" s="600"/>
      <c r="Y55" s="12"/>
      <c r="Z55" s="12"/>
      <c r="AA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row>
    <row r="56" spans="4:109" s="635" customFormat="1" ht="7.5" customHeight="1">
      <c r="D56" s="602"/>
      <c r="E56" s="600"/>
      <c r="F56" s="606"/>
      <c r="G56" s="600"/>
      <c r="H56" s="600"/>
      <c r="I56" s="600"/>
      <c r="J56" s="607"/>
      <c r="K56" s="607"/>
      <c r="L56" s="608"/>
      <c r="M56" s="445"/>
      <c r="N56" s="445"/>
      <c r="O56" s="445"/>
      <c r="P56" s="445"/>
      <c r="Q56" s="445"/>
      <c r="R56" s="445"/>
      <c r="S56" s="445"/>
      <c r="T56" s="600"/>
      <c r="U56" s="600"/>
      <c r="V56" s="600"/>
      <c r="W56" s="600"/>
      <c r="X56" s="600"/>
      <c r="Y56" s="12"/>
      <c r="Z56" s="12"/>
      <c r="AA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row>
    <row r="57" spans="4:109" s="635" customFormat="1" ht="18" customHeight="1">
      <c r="D57" s="602"/>
      <c r="E57" s="600"/>
      <c r="F57" s="4019" t="s">
        <v>905</v>
      </c>
      <c r="G57" s="4020"/>
      <c r="H57" s="4020"/>
      <c r="I57" s="4033" t="str">
        <f>T(Comparable1_Neighborhood)</f>
        <v/>
      </c>
      <c r="J57" s="4033"/>
      <c r="K57" s="4033"/>
      <c r="L57" s="4034"/>
      <c r="M57" s="445"/>
      <c r="N57" s="445"/>
      <c r="O57" s="445"/>
      <c r="P57" s="445"/>
      <c r="Q57" s="445"/>
      <c r="R57" s="445"/>
      <c r="S57" s="445"/>
      <c r="T57" s="600"/>
      <c r="U57" s="600"/>
      <c r="V57" s="600"/>
      <c r="W57" s="600"/>
      <c r="X57" s="600"/>
      <c r="Y57" s="12"/>
      <c r="Z57" s="12"/>
      <c r="AA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row>
    <row r="58" spans="4:109" s="635" customFormat="1" ht="18" customHeight="1">
      <c r="D58" s="602"/>
      <c r="E58" s="600"/>
      <c r="F58" s="4019" t="s">
        <v>83</v>
      </c>
      <c r="G58" s="4020"/>
      <c r="H58" s="4020"/>
      <c r="I58" s="4033" t="str">
        <f>T(Comparable1_School_District)</f>
        <v/>
      </c>
      <c r="J58" s="4033"/>
      <c r="K58" s="4033"/>
      <c r="L58" s="4034"/>
      <c r="M58" s="445"/>
      <c r="N58" s="445"/>
      <c r="O58" s="445"/>
      <c r="P58" s="445"/>
      <c r="Q58" s="445"/>
      <c r="R58" s="445"/>
      <c r="S58" s="445"/>
      <c r="T58" s="600"/>
      <c r="U58" s="600"/>
      <c r="V58" s="600"/>
      <c r="W58" s="600"/>
      <c r="X58" s="600"/>
      <c r="Y58" s="12"/>
      <c r="Z58" s="12"/>
      <c r="AA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row>
    <row r="59" spans="4:109" s="635" customFormat="1" ht="18" customHeight="1">
      <c r="D59" s="602"/>
      <c r="E59" s="600"/>
      <c r="F59" s="4019" t="s">
        <v>1341</v>
      </c>
      <c r="G59" s="4020"/>
      <c r="H59" s="4020"/>
      <c r="I59" s="4035">
        <f>Comparable1_List_Price</f>
        <v>0</v>
      </c>
      <c r="J59" s="4035"/>
      <c r="K59" s="4035"/>
      <c r="L59" s="4036"/>
      <c r="M59" s="445"/>
      <c r="N59" s="445"/>
      <c r="O59" s="445"/>
      <c r="P59" s="445"/>
      <c r="Q59" s="445"/>
      <c r="R59" s="445"/>
      <c r="S59" s="445"/>
      <c r="T59" s="600"/>
      <c r="U59" s="600"/>
      <c r="V59" s="600"/>
      <c r="W59" s="600"/>
      <c r="X59" s="600"/>
      <c r="Y59" s="12"/>
      <c r="Z59" s="12"/>
      <c r="AA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row>
    <row r="60" spans="4:109" s="635" customFormat="1" ht="18" customHeight="1">
      <c r="D60" s="602"/>
      <c r="E60" s="600"/>
      <c r="F60" s="4019" t="s">
        <v>1342</v>
      </c>
      <c r="G60" s="4020"/>
      <c r="H60" s="4020"/>
      <c r="I60" s="4033" t="str">
        <f>T(Comparable1_Status)</f>
        <v/>
      </c>
      <c r="J60" s="4033"/>
      <c r="K60" s="4033"/>
      <c r="L60" s="4034"/>
      <c r="M60" s="445"/>
      <c r="N60" s="445"/>
      <c r="O60" s="445"/>
      <c r="P60" s="445"/>
      <c r="Q60" s="445"/>
      <c r="R60" s="445"/>
      <c r="S60" s="445"/>
      <c r="T60" s="600"/>
      <c r="U60" s="600"/>
      <c r="V60" s="600"/>
      <c r="W60" s="600"/>
      <c r="X60" s="600"/>
      <c r="Y60" s="12"/>
      <c r="Z60" s="12"/>
      <c r="AA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row>
    <row r="61" spans="4:109" s="635" customFormat="1" ht="18" customHeight="1">
      <c r="D61" s="602"/>
      <c r="E61" s="600"/>
      <c r="F61" s="4019" t="s">
        <v>1344</v>
      </c>
      <c r="G61" s="4020"/>
      <c r="H61" s="4020"/>
      <c r="I61" s="4021">
        <f>Comparable1_DOM</f>
        <v>0</v>
      </c>
      <c r="J61" s="4021"/>
      <c r="K61" s="4021"/>
      <c r="L61" s="4022"/>
      <c r="M61" s="445"/>
      <c r="N61" s="445"/>
      <c r="O61" s="445"/>
      <c r="P61" s="445"/>
      <c r="Q61" s="445"/>
      <c r="R61" s="445"/>
      <c r="S61" s="445"/>
      <c r="T61" s="600"/>
      <c r="U61" s="600"/>
      <c r="V61" s="600"/>
      <c r="W61" s="600"/>
      <c r="X61" s="600"/>
      <c r="Y61" s="12"/>
      <c r="Z61" s="12"/>
      <c r="AA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row>
    <row r="62" spans="4:109" s="635" customFormat="1" ht="18" customHeight="1">
      <c r="D62" s="602"/>
      <c r="E62" s="600"/>
      <c r="F62" s="4019" t="s">
        <v>1345</v>
      </c>
      <c r="G62" s="4020"/>
      <c r="H62" s="4020"/>
      <c r="I62" s="4021" t="str">
        <f>CONCATENATE(COMPS!AJ16," beds, ",COMPS!AJ17," baths, ",COMPS!AJ19," sf")</f>
        <v xml:space="preserve"> beds,  baths,  sf</v>
      </c>
      <c r="J62" s="4021"/>
      <c r="K62" s="4021"/>
      <c r="L62" s="4022"/>
      <c r="M62" s="445"/>
      <c r="N62" s="445"/>
      <c r="O62" s="445"/>
      <c r="P62" s="445"/>
      <c r="Q62" s="445"/>
      <c r="R62" s="445"/>
      <c r="S62" s="445"/>
      <c r="T62" s="600"/>
      <c r="U62" s="600"/>
      <c r="V62" s="600"/>
      <c r="W62" s="600"/>
      <c r="X62" s="600"/>
      <c r="Y62" s="12"/>
      <c r="Z62" s="12"/>
      <c r="AA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row>
    <row r="63" spans="4:109" s="635" customFormat="1" ht="7.5" customHeight="1">
      <c r="D63" s="602"/>
      <c r="E63" s="600"/>
      <c r="F63" s="609"/>
      <c r="G63" s="610"/>
      <c r="H63" s="610"/>
      <c r="I63" s="611"/>
      <c r="J63" s="611"/>
      <c r="K63" s="611"/>
      <c r="L63" s="612"/>
      <c r="M63" s="445"/>
      <c r="N63" s="445"/>
      <c r="O63" s="445"/>
      <c r="P63" s="445"/>
      <c r="Q63" s="445"/>
      <c r="R63" s="445"/>
      <c r="S63" s="445"/>
      <c r="T63" s="600"/>
      <c r="U63" s="600"/>
      <c r="V63" s="600"/>
      <c r="W63" s="600"/>
      <c r="X63" s="600"/>
      <c r="Y63" s="12"/>
      <c r="Z63" s="12"/>
      <c r="AA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row>
    <row r="64" spans="4:109" s="635" customFormat="1" ht="15.75" customHeight="1">
      <c r="D64" s="602"/>
      <c r="E64" s="600"/>
      <c r="F64" s="600"/>
      <c r="G64" s="600"/>
      <c r="H64" s="600"/>
      <c r="I64" s="600"/>
      <c r="J64" s="600"/>
      <c r="K64" s="600"/>
      <c r="L64" s="23"/>
      <c r="M64" s="602"/>
      <c r="N64" s="600"/>
      <c r="O64" s="600"/>
      <c r="P64" s="600"/>
      <c r="Q64" s="600"/>
      <c r="R64" s="600"/>
      <c r="S64" s="600"/>
      <c r="T64" s="600"/>
      <c r="U64" s="600"/>
      <c r="V64" s="600"/>
      <c r="W64" s="600"/>
      <c r="X64" s="600"/>
      <c r="Y64" s="12"/>
      <c r="Z64" s="12"/>
      <c r="AA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row>
    <row r="65" spans="4:109" s="635" customFormat="1" ht="15.75" customHeight="1" thickBot="1">
      <c r="D65" s="602"/>
      <c r="E65" s="600"/>
      <c r="F65" s="600"/>
      <c r="G65" s="600"/>
      <c r="H65" s="600"/>
      <c r="I65" s="600"/>
      <c r="J65" s="600"/>
      <c r="K65" s="600"/>
      <c r="L65" s="23"/>
      <c r="M65" s="602"/>
      <c r="N65" s="600"/>
      <c r="O65" s="600"/>
      <c r="P65" s="600"/>
      <c r="Q65" s="600"/>
      <c r="R65" s="600"/>
      <c r="S65" s="600"/>
      <c r="T65" s="600"/>
      <c r="U65" s="600"/>
      <c r="V65" s="600"/>
      <c r="W65" s="600"/>
      <c r="X65" s="600"/>
      <c r="Y65" s="12"/>
      <c r="Z65" s="12"/>
      <c r="AA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row>
    <row r="66" spans="4:109" s="635" customFormat="1" ht="16.7">
      <c r="D66" s="602"/>
      <c r="E66" s="4026">
        <v>2</v>
      </c>
      <c r="F66" s="4029">
        <f>Comparable2_Street_Address</f>
        <v>0</v>
      </c>
      <c r="G66" s="4030"/>
      <c r="H66" s="4030"/>
      <c r="I66" s="4030"/>
      <c r="J66" s="4030"/>
      <c r="K66" s="4030"/>
      <c r="L66" s="4030"/>
      <c r="M66" s="602"/>
      <c r="N66" s="600"/>
      <c r="O66" s="600"/>
      <c r="P66" s="600"/>
      <c r="Q66" s="600"/>
      <c r="R66" s="600"/>
      <c r="S66" s="600"/>
      <c r="T66" s="600"/>
      <c r="U66" s="600"/>
      <c r="V66" s="600"/>
      <c r="W66" s="600"/>
      <c r="X66" s="600"/>
      <c r="Y66" s="12"/>
      <c r="Z66" s="12"/>
      <c r="AA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row>
    <row r="67" spans="4:109" s="635" customFormat="1" ht="16.7">
      <c r="D67" s="602"/>
      <c r="E67" s="4027"/>
      <c r="F67" s="4029"/>
      <c r="G67" s="4030"/>
      <c r="H67" s="4030"/>
      <c r="I67" s="4030"/>
      <c r="J67" s="4030"/>
      <c r="K67" s="4030"/>
      <c r="L67" s="4030"/>
      <c r="M67" s="602"/>
      <c r="N67" s="600"/>
      <c r="O67" s="600"/>
      <c r="P67" s="600"/>
      <c r="Q67" s="600"/>
      <c r="R67" s="600"/>
      <c r="S67" s="600"/>
      <c r="T67" s="600"/>
      <c r="U67" s="600"/>
      <c r="V67" s="600"/>
      <c r="W67" s="600"/>
      <c r="X67" s="600"/>
      <c r="Y67" s="12"/>
      <c r="Z67" s="12"/>
      <c r="AA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row>
    <row r="68" spans="4:109" s="635" customFormat="1" ht="18.350000000000001" thickBot="1">
      <c r="D68" s="602"/>
      <c r="E68" s="4028"/>
      <c r="F68" s="4031" t="str">
        <f>T(Comparable2_City_State_Zip)</f>
        <v/>
      </c>
      <c r="G68" s="4032"/>
      <c r="H68" s="4032"/>
      <c r="I68" s="4032"/>
      <c r="J68" s="4032"/>
      <c r="K68" s="4032"/>
      <c r="L68" s="4032"/>
      <c r="M68" s="602"/>
      <c r="N68" s="600"/>
      <c r="O68" s="600"/>
      <c r="P68" s="600"/>
      <c r="Q68" s="600"/>
      <c r="R68" s="600"/>
      <c r="S68" s="600"/>
      <c r="T68" s="600"/>
      <c r="U68" s="600"/>
      <c r="V68" s="600"/>
      <c r="W68" s="600"/>
      <c r="X68" s="600"/>
      <c r="Y68" s="12"/>
      <c r="Z68" s="12"/>
      <c r="AA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row>
    <row r="69" spans="4:109" s="635" customFormat="1" ht="16.7">
      <c r="D69" s="602"/>
      <c r="E69" s="600"/>
      <c r="F69" s="600"/>
      <c r="G69" s="600"/>
      <c r="H69" s="600"/>
      <c r="I69" s="600"/>
      <c r="J69" s="600"/>
      <c r="K69" s="600"/>
      <c r="L69" s="600"/>
      <c r="M69" s="602"/>
      <c r="N69" s="600"/>
      <c r="O69" s="600"/>
      <c r="P69" s="600"/>
      <c r="Q69" s="600"/>
      <c r="R69" s="600"/>
      <c r="S69" s="600"/>
      <c r="T69" s="600"/>
      <c r="U69" s="600"/>
      <c r="V69" s="600"/>
      <c r="W69" s="600"/>
      <c r="X69" s="600"/>
      <c r="Y69" s="12"/>
      <c r="Z69" s="12"/>
      <c r="AA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row>
    <row r="70" spans="4:109" s="635" customFormat="1" ht="16.7">
      <c r="D70" s="602"/>
      <c r="E70" s="600"/>
      <c r="F70" s="603" t="s">
        <v>331</v>
      </c>
      <c r="G70" s="604"/>
      <c r="H70" s="604"/>
      <c r="I70" s="604"/>
      <c r="J70" s="604"/>
      <c r="K70" s="604"/>
      <c r="L70" s="605"/>
      <c r="M70" s="602"/>
      <c r="N70" s="600"/>
      <c r="O70" s="600"/>
      <c r="P70" s="600"/>
      <c r="Q70" s="600"/>
      <c r="R70" s="600"/>
      <c r="S70" s="600"/>
      <c r="T70" s="600"/>
      <c r="U70" s="600"/>
      <c r="V70" s="600"/>
      <c r="W70" s="600"/>
      <c r="X70" s="600"/>
      <c r="Y70" s="12"/>
      <c r="Z70" s="12"/>
      <c r="AA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row>
    <row r="71" spans="4:109" s="635" customFormat="1" ht="8.25" customHeight="1">
      <c r="D71" s="602"/>
      <c r="E71" s="600"/>
      <c r="F71" s="606"/>
      <c r="G71" s="600"/>
      <c r="H71" s="600"/>
      <c r="I71" s="600"/>
      <c r="J71" s="607"/>
      <c r="K71" s="607"/>
      <c r="L71" s="608"/>
      <c r="M71" s="602"/>
      <c r="N71" s="600"/>
      <c r="O71" s="600"/>
      <c r="P71" s="600"/>
      <c r="Q71" s="600"/>
      <c r="R71" s="600"/>
      <c r="S71" s="600"/>
      <c r="T71" s="600"/>
      <c r="U71" s="600"/>
      <c r="V71" s="600"/>
      <c r="W71" s="600"/>
      <c r="X71" s="600"/>
      <c r="Y71" s="12"/>
      <c r="Z71" s="12"/>
      <c r="AA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row>
    <row r="72" spans="4:109" s="635" customFormat="1" ht="16.7">
      <c r="D72" s="602"/>
      <c r="E72" s="600"/>
      <c r="F72" s="4019" t="s">
        <v>905</v>
      </c>
      <c r="G72" s="4020"/>
      <c r="H72" s="4020"/>
      <c r="I72" s="4033" t="str">
        <f>T(Comparable2_Neighborhood)</f>
        <v/>
      </c>
      <c r="J72" s="4033"/>
      <c r="K72" s="4033"/>
      <c r="L72" s="4034"/>
      <c r="M72" s="602"/>
      <c r="N72" s="600"/>
      <c r="O72" s="600"/>
      <c r="P72" s="600"/>
      <c r="Q72" s="600"/>
      <c r="R72" s="600"/>
      <c r="S72" s="600"/>
      <c r="T72" s="600"/>
      <c r="U72" s="600"/>
      <c r="V72" s="600"/>
      <c r="W72" s="600"/>
      <c r="X72" s="600"/>
      <c r="Y72" s="12"/>
      <c r="Z72" s="12"/>
      <c r="AA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row>
    <row r="73" spans="4:109" s="635" customFormat="1" ht="16.7">
      <c r="D73" s="602"/>
      <c r="E73" s="600"/>
      <c r="F73" s="4019" t="s">
        <v>83</v>
      </c>
      <c r="G73" s="4020"/>
      <c r="H73" s="4020"/>
      <c r="I73" s="4033" t="str">
        <f>T(Comparable2_School_District)</f>
        <v/>
      </c>
      <c r="J73" s="4033"/>
      <c r="K73" s="4033"/>
      <c r="L73" s="4034"/>
      <c r="M73" s="602"/>
      <c r="N73" s="600"/>
      <c r="O73" s="600"/>
      <c r="P73" s="600"/>
      <c r="Q73" s="600"/>
      <c r="R73" s="600"/>
      <c r="S73" s="600"/>
      <c r="T73" s="600"/>
      <c r="U73" s="600"/>
      <c r="V73" s="600"/>
      <c r="W73" s="600"/>
      <c r="X73" s="600"/>
      <c r="Y73" s="12"/>
      <c r="Z73" s="12"/>
      <c r="AA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row>
    <row r="74" spans="4:109" s="635" customFormat="1" ht="16.7">
      <c r="D74" s="602"/>
      <c r="E74" s="600"/>
      <c r="F74" s="4019" t="s">
        <v>1341</v>
      </c>
      <c r="G74" s="4020"/>
      <c r="H74" s="4020"/>
      <c r="I74" s="4035">
        <f>Comparable2_List_Price</f>
        <v>0</v>
      </c>
      <c r="J74" s="4035"/>
      <c r="K74" s="4035"/>
      <c r="L74" s="4036"/>
      <c r="M74" s="602"/>
      <c r="N74" s="600"/>
      <c r="O74" s="600"/>
      <c r="P74" s="600"/>
      <c r="Q74" s="600"/>
      <c r="R74" s="600"/>
      <c r="S74" s="600"/>
      <c r="T74" s="600"/>
      <c r="U74" s="600"/>
      <c r="V74" s="600"/>
      <c r="W74" s="600"/>
      <c r="X74" s="600"/>
      <c r="Y74" s="12"/>
      <c r="Z74" s="12"/>
      <c r="AA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row>
    <row r="75" spans="4:109" s="635" customFormat="1" ht="16.7">
      <c r="D75" s="602"/>
      <c r="E75" s="600"/>
      <c r="F75" s="4019" t="s">
        <v>1342</v>
      </c>
      <c r="G75" s="4020"/>
      <c r="H75" s="4020"/>
      <c r="I75" s="4033" t="str">
        <f>T(Comparable2_Status)</f>
        <v/>
      </c>
      <c r="J75" s="4033"/>
      <c r="K75" s="4033"/>
      <c r="L75" s="4034"/>
      <c r="M75" s="602"/>
      <c r="N75" s="600"/>
      <c r="O75" s="600"/>
      <c r="P75" s="600"/>
      <c r="Q75" s="600"/>
      <c r="R75" s="600"/>
      <c r="S75" s="600"/>
      <c r="T75" s="600"/>
      <c r="U75" s="600"/>
      <c r="V75" s="600"/>
      <c r="W75" s="600"/>
      <c r="X75" s="600"/>
      <c r="Y75" s="12"/>
      <c r="Z75" s="12"/>
      <c r="AA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row>
    <row r="76" spans="4:109" s="635" customFormat="1" ht="16.7">
      <c r="D76" s="602"/>
      <c r="E76" s="600"/>
      <c r="F76" s="4019" t="s">
        <v>1344</v>
      </c>
      <c r="G76" s="4020"/>
      <c r="H76" s="4020"/>
      <c r="I76" s="4021">
        <f>Comparable2_DOM</f>
        <v>0</v>
      </c>
      <c r="J76" s="4021"/>
      <c r="K76" s="4021"/>
      <c r="L76" s="4022"/>
      <c r="M76" s="602"/>
      <c r="N76" s="600"/>
      <c r="O76" s="600"/>
      <c r="P76" s="600"/>
      <c r="Q76" s="600"/>
      <c r="R76" s="600"/>
      <c r="S76" s="600"/>
      <c r="T76" s="600"/>
      <c r="U76" s="600"/>
      <c r="V76" s="600"/>
      <c r="W76" s="600"/>
      <c r="X76" s="600"/>
      <c r="Y76" s="12"/>
      <c r="Z76" s="12"/>
      <c r="AA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row>
    <row r="77" spans="4:109" s="635" customFormat="1" ht="16.7">
      <c r="D77" s="602"/>
      <c r="E77" s="600"/>
      <c r="F77" s="4019" t="s">
        <v>1345</v>
      </c>
      <c r="G77" s="4020"/>
      <c r="H77" s="4020"/>
      <c r="I77" s="4021" t="str">
        <f>CONCATENATE(COMPS!AW16," beds, ",COMPS!AW17," baths, ",COMPS!AW19," sf")</f>
        <v xml:space="preserve"> beds,  baths,  sf</v>
      </c>
      <c r="J77" s="4021"/>
      <c r="K77" s="4021"/>
      <c r="L77" s="4022"/>
      <c r="M77" s="602"/>
      <c r="N77" s="600"/>
      <c r="O77" s="600"/>
      <c r="P77" s="600"/>
      <c r="Q77" s="600"/>
      <c r="R77" s="600"/>
      <c r="S77" s="600"/>
      <c r="T77" s="600"/>
      <c r="U77" s="600"/>
      <c r="V77" s="600"/>
      <c r="W77" s="600"/>
      <c r="X77" s="600"/>
      <c r="Y77" s="12"/>
      <c r="Z77" s="12"/>
      <c r="AA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row>
    <row r="78" spans="4:109" s="635" customFormat="1" ht="6.75" customHeight="1">
      <c r="D78" s="602"/>
      <c r="E78" s="600"/>
      <c r="F78" s="609"/>
      <c r="G78" s="610"/>
      <c r="H78" s="610"/>
      <c r="I78" s="611"/>
      <c r="J78" s="611"/>
      <c r="K78" s="611"/>
      <c r="L78" s="612"/>
      <c r="M78" s="602"/>
      <c r="N78" s="601"/>
      <c r="O78" s="23"/>
      <c r="P78" s="23"/>
      <c r="Q78" s="23"/>
      <c r="R78" s="23"/>
      <c r="S78" s="23"/>
      <c r="T78" s="23"/>
      <c r="U78" s="23"/>
      <c r="V78" s="23"/>
      <c r="W78" s="23"/>
      <c r="X78" s="23"/>
      <c r="Y78" s="12"/>
      <c r="Z78" s="12"/>
      <c r="AA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row>
    <row r="79" spans="4:109" s="635" customFormat="1" ht="15.75" customHeight="1">
      <c r="D79" s="602"/>
      <c r="E79" s="600"/>
      <c r="F79" s="600"/>
      <c r="G79" s="600"/>
      <c r="H79" s="600"/>
      <c r="I79" s="600"/>
      <c r="J79" s="600"/>
      <c r="K79" s="600"/>
      <c r="L79" s="23"/>
      <c r="M79" s="602"/>
      <c r="N79" s="600"/>
      <c r="O79" s="600"/>
      <c r="P79" s="600"/>
      <c r="Q79" s="600"/>
      <c r="R79" s="600"/>
      <c r="S79" s="600"/>
      <c r="T79" s="600"/>
      <c r="U79" s="600"/>
      <c r="V79" s="600"/>
      <c r="W79" s="600"/>
      <c r="X79" s="600"/>
      <c r="Y79" s="12"/>
      <c r="Z79" s="12"/>
      <c r="AA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row>
    <row r="80" spans="4:109" s="635" customFormat="1" ht="15.75" customHeight="1" thickBot="1">
      <c r="D80" s="602"/>
      <c r="E80" s="600"/>
      <c r="F80" s="600"/>
      <c r="G80" s="600"/>
      <c r="H80" s="600"/>
      <c r="I80" s="600"/>
      <c r="J80" s="600"/>
      <c r="K80" s="600"/>
      <c r="L80" s="23"/>
      <c r="M80" s="602"/>
      <c r="N80" s="600"/>
      <c r="O80" s="600"/>
      <c r="P80" s="600"/>
      <c r="Q80" s="600"/>
      <c r="R80" s="600"/>
      <c r="S80" s="600"/>
      <c r="T80" s="600"/>
      <c r="U80" s="600"/>
      <c r="V80" s="600"/>
      <c r="W80" s="600"/>
      <c r="X80" s="600"/>
      <c r="Y80" s="12"/>
      <c r="Z80" s="12"/>
      <c r="AA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row>
    <row r="81" spans="4:109" s="635" customFormat="1" ht="16.7">
      <c r="D81" s="602"/>
      <c r="E81" s="4026">
        <v>3</v>
      </c>
      <c r="F81" s="4029">
        <f>Comparable3_Street_Address</f>
        <v>0</v>
      </c>
      <c r="G81" s="4030"/>
      <c r="H81" s="4030"/>
      <c r="I81" s="4030"/>
      <c r="J81" s="4030"/>
      <c r="K81" s="4030"/>
      <c r="L81" s="4030"/>
      <c r="M81" s="602"/>
      <c r="N81" s="600"/>
      <c r="O81" s="600"/>
      <c r="P81" s="600"/>
      <c r="Q81" s="600"/>
      <c r="R81" s="600"/>
      <c r="S81" s="600"/>
      <c r="T81" s="600"/>
      <c r="U81" s="600"/>
      <c r="V81" s="600"/>
      <c r="W81" s="600"/>
      <c r="X81" s="600"/>
      <c r="Y81" s="12"/>
      <c r="Z81" s="12"/>
      <c r="AA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row>
    <row r="82" spans="4:109" s="635" customFormat="1" ht="16.7">
      <c r="D82" s="602"/>
      <c r="E82" s="4027"/>
      <c r="F82" s="4029"/>
      <c r="G82" s="4030"/>
      <c r="H82" s="4030"/>
      <c r="I82" s="4030"/>
      <c r="J82" s="4030"/>
      <c r="K82" s="4030"/>
      <c r="L82" s="4030"/>
      <c r="M82" s="602"/>
      <c r="N82" s="600"/>
      <c r="O82" s="600"/>
      <c r="P82" s="600"/>
      <c r="Q82" s="600"/>
      <c r="R82" s="600"/>
      <c r="S82" s="600"/>
      <c r="T82" s="600"/>
      <c r="U82" s="600"/>
      <c r="V82" s="600"/>
      <c r="W82" s="600"/>
      <c r="X82" s="600"/>
      <c r="Y82" s="12"/>
      <c r="Z82" s="12"/>
      <c r="AA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row>
    <row r="83" spans="4:109" s="635" customFormat="1" ht="18.350000000000001" thickBot="1">
      <c r="D83" s="602"/>
      <c r="E83" s="4028"/>
      <c r="F83" s="4031" t="str">
        <f>T(Comparable3_City_State_Zip)</f>
        <v/>
      </c>
      <c r="G83" s="4032"/>
      <c r="H83" s="4032"/>
      <c r="I83" s="4032"/>
      <c r="J83" s="4032"/>
      <c r="K83" s="4032"/>
      <c r="L83" s="4032"/>
      <c r="M83" s="602"/>
      <c r="N83" s="600"/>
      <c r="O83" s="600"/>
      <c r="P83" s="600"/>
      <c r="Q83" s="600"/>
      <c r="R83" s="600"/>
      <c r="S83" s="600"/>
      <c r="T83" s="600"/>
      <c r="U83" s="600"/>
      <c r="V83" s="600"/>
      <c r="W83" s="600"/>
      <c r="X83" s="600"/>
      <c r="Y83" s="12"/>
      <c r="Z83" s="12"/>
      <c r="AA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row>
    <row r="84" spans="4:109" s="635" customFormat="1" ht="16.7">
      <c r="D84" s="602"/>
      <c r="E84" s="600"/>
      <c r="F84" s="600"/>
      <c r="G84" s="600"/>
      <c r="H84" s="600"/>
      <c r="I84" s="600"/>
      <c r="J84" s="600"/>
      <c r="K84" s="600"/>
      <c r="L84" s="600"/>
      <c r="M84" s="602"/>
      <c r="N84" s="600"/>
      <c r="O84" s="600"/>
      <c r="P84" s="600"/>
      <c r="Q84" s="600"/>
      <c r="R84" s="600"/>
      <c r="S84" s="600"/>
      <c r="T84" s="600"/>
      <c r="U84" s="600"/>
      <c r="V84" s="600"/>
      <c r="W84" s="600"/>
      <c r="X84" s="600"/>
      <c r="Y84" s="12"/>
      <c r="Z84" s="12"/>
      <c r="AA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row>
    <row r="85" spans="4:109" s="635" customFormat="1" ht="16.7">
      <c r="D85" s="602"/>
      <c r="E85" s="600"/>
      <c r="F85" s="603" t="s">
        <v>331</v>
      </c>
      <c r="G85" s="604"/>
      <c r="H85" s="604"/>
      <c r="I85" s="604"/>
      <c r="J85" s="604"/>
      <c r="K85" s="604"/>
      <c r="L85" s="605"/>
      <c r="M85" s="602"/>
      <c r="N85" s="600"/>
      <c r="O85" s="600"/>
      <c r="P85" s="600"/>
      <c r="Q85" s="600"/>
      <c r="R85" s="600"/>
      <c r="S85" s="600"/>
      <c r="T85" s="600"/>
      <c r="U85" s="600"/>
      <c r="V85" s="600"/>
      <c r="W85" s="600"/>
      <c r="X85" s="600"/>
      <c r="Y85" s="12"/>
      <c r="Z85" s="12"/>
      <c r="AA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row>
    <row r="86" spans="4:109" s="635" customFormat="1" ht="16.7">
      <c r="D86" s="602"/>
      <c r="E86" s="600"/>
      <c r="F86" s="606"/>
      <c r="G86" s="600"/>
      <c r="H86" s="600"/>
      <c r="I86" s="600"/>
      <c r="J86" s="607"/>
      <c r="K86" s="607"/>
      <c r="L86" s="608"/>
      <c r="M86" s="602"/>
      <c r="N86" s="600"/>
      <c r="O86" s="600"/>
      <c r="P86" s="600"/>
      <c r="Q86" s="600"/>
      <c r="R86" s="600"/>
      <c r="S86" s="600"/>
      <c r="T86" s="600"/>
      <c r="U86" s="600"/>
      <c r="V86" s="600"/>
      <c r="W86" s="600"/>
      <c r="X86" s="600"/>
      <c r="Y86" s="12"/>
      <c r="Z86" s="12"/>
      <c r="AA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row>
    <row r="87" spans="4:109" s="635" customFormat="1" ht="16.7">
      <c r="D87" s="602"/>
      <c r="E87" s="600"/>
      <c r="F87" s="4019" t="s">
        <v>905</v>
      </c>
      <c r="G87" s="4020"/>
      <c r="H87" s="4020"/>
      <c r="I87" s="4033" t="str">
        <f>T(Comparable3_Neighborhood)</f>
        <v/>
      </c>
      <c r="J87" s="4033"/>
      <c r="K87" s="4033"/>
      <c r="L87" s="4034"/>
      <c r="M87" s="602"/>
      <c r="N87" s="600"/>
      <c r="O87" s="600"/>
      <c r="P87" s="600"/>
      <c r="Q87" s="600"/>
      <c r="R87" s="600"/>
      <c r="S87" s="600"/>
      <c r="T87" s="600"/>
      <c r="U87" s="600"/>
      <c r="V87" s="600"/>
      <c r="W87" s="600"/>
      <c r="X87" s="600"/>
      <c r="Y87" s="12"/>
      <c r="Z87" s="12"/>
      <c r="AA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row>
    <row r="88" spans="4:109" s="635" customFormat="1" ht="16.7">
      <c r="D88" s="602"/>
      <c r="E88" s="600"/>
      <c r="F88" s="4019" t="s">
        <v>83</v>
      </c>
      <c r="G88" s="4020"/>
      <c r="H88" s="4020"/>
      <c r="I88" s="4033" t="str">
        <f>T(Comparable3_School_District)</f>
        <v/>
      </c>
      <c r="J88" s="4033"/>
      <c r="K88" s="4033"/>
      <c r="L88" s="4034"/>
      <c r="M88" s="602"/>
      <c r="N88" s="600"/>
      <c r="O88" s="600"/>
      <c r="P88" s="600"/>
      <c r="Q88" s="600"/>
      <c r="R88" s="600"/>
      <c r="S88" s="600"/>
      <c r="T88" s="600"/>
      <c r="U88" s="600"/>
      <c r="V88" s="600"/>
      <c r="W88" s="600"/>
      <c r="X88" s="600"/>
      <c r="Y88" s="12"/>
      <c r="Z88" s="12"/>
      <c r="AA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row>
    <row r="89" spans="4:109" s="635" customFormat="1" ht="16.7">
      <c r="D89" s="602"/>
      <c r="E89" s="600"/>
      <c r="F89" s="4019" t="s">
        <v>1341</v>
      </c>
      <c r="G89" s="4020"/>
      <c r="H89" s="4020"/>
      <c r="I89" s="4035">
        <f>Comparable3_List_Price</f>
        <v>0</v>
      </c>
      <c r="J89" s="4035"/>
      <c r="K89" s="4035"/>
      <c r="L89" s="4036"/>
      <c r="M89" s="602"/>
      <c r="N89" s="600"/>
      <c r="O89" s="600"/>
      <c r="P89" s="600"/>
      <c r="Q89" s="600"/>
      <c r="R89" s="600"/>
      <c r="S89" s="600"/>
      <c r="T89" s="600"/>
      <c r="U89" s="600"/>
      <c r="V89" s="600"/>
      <c r="W89" s="600"/>
      <c r="X89" s="600"/>
      <c r="Y89" s="12"/>
      <c r="Z89" s="12"/>
      <c r="AA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row>
    <row r="90" spans="4:109" s="635" customFormat="1" ht="16.7">
      <c r="D90" s="602"/>
      <c r="E90" s="600"/>
      <c r="F90" s="4019" t="s">
        <v>1342</v>
      </c>
      <c r="G90" s="4020"/>
      <c r="H90" s="4020"/>
      <c r="I90" s="4033" t="str">
        <f>T(Comparable3_Status)</f>
        <v/>
      </c>
      <c r="J90" s="4033"/>
      <c r="K90" s="4033"/>
      <c r="L90" s="4034"/>
      <c r="M90" s="602"/>
      <c r="N90" s="600"/>
      <c r="O90" s="600"/>
      <c r="P90" s="600"/>
      <c r="Q90" s="600"/>
      <c r="R90" s="600"/>
      <c r="S90" s="600"/>
      <c r="T90" s="600"/>
      <c r="U90" s="600"/>
      <c r="V90" s="600"/>
      <c r="W90" s="600"/>
      <c r="X90" s="600"/>
      <c r="Y90" s="12"/>
      <c r="Z90" s="12"/>
      <c r="AA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row>
    <row r="91" spans="4:109" s="635" customFormat="1" ht="16.7">
      <c r="D91" s="602"/>
      <c r="E91" s="600"/>
      <c r="F91" s="4019" t="s">
        <v>1344</v>
      </c>
      <c r="G91" s="4020"/>
      <c r="H91" s="4020"/>
      <c r="I91" s="4021">
        <f>Comparable3_DOM</f>
        <v>0</v>
      </c>
      <c r="J91" s="4021"/>
      <c r="K91" s="4021"/>
      <c r="L91" s="4022"/>
      <c r="M91" s="602"/>
      <c r="N91" s="600"/>
      <c r="O91" s="600"/>
      <c r="P91" s="600"/>
      <c r="Q91" s="600"/>
      <c r="R91" s="600"/>
      <c r="S91" s="600"/>
      <c r="T91" s="600"/>
      <c r="U91" s="600"/>
      <c r="V91" s="600"/>
      <c r="W91" s="600"/>
      <c r="X91" s="600"/>
      <c r="Y91" s="12"/>
      <c r="Z91" s="12"/>
      <c r="AA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row>
    <row r="92" spans="4:109" s="635" customFormat="1" ht="16.7">
      <c r="D92" s="602"/>
      <c r="E92" s="600"/>
      <c r="F92" s="4019" t="s">
        <v>1345</v>
      </c>
      <c r="G92" s="4020"/>
      <c r="H92" s="4020"/>
      <c r="I92" s="4021" t="str">
        <f>CONCATENATE(COMPS!BJ16," beds, ",COMPS!BJ17," baths, ",COMPS!BJ19," sf")</f>
        <v xml:space="preserve"> beds,  baths,  sf</v>
      </c>
      <c r="J92" s="4021"/>
      <c r="K92" s="4021"/>
      <c r="L92" s="4022"/>
      <c r="M92" s="602"/>
      <c r="N92" s="600"/>
      <c r="O92" s="600"/>
      <c r="P92" s="600"/>
      <c r="Q92" s="600"/>
      <c r="R92" s="600"/>
      <c r="S92" s="600"/>
      <c r="T92" s="600"/>
      <c r="U92" s="600"/>
      <c r="V92" s="600"/>
      <c r="W92" s="600"/>
      <c r="X92" s="600"/>
      <c r="Y92" s="12"/>
      <c r="Z92" s="12"/>
      <c r="AA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row>
    <row r="93" spans="4:109" s="635" customFormat="1" ht="16.7">
      <c r="D93" s="602"/>
      <c r="E93" s="600"/>
      <c r="F93" s="609"/>
      <c r="G93" s="610"/>
      <c r="H93" s="610"/>
      <c r="I93" s="611"/>
      <c r="J93" s="611"/>
      <c r="K93" s="611"/>
      <c r="L93" s="612"/>
      <c r="M93" s="602"/>
      <c r="N93" s="600"/>
      <c r="O93" s="600"/>
      <c r="P93" s="600"/>
      <c r="Q93" s="600"/>
      <c r="R93" s="600"/>
      <c r="S93" s="600"/>
      <c r="T93" s="600"/>
      <c r="U93" s="600"/>
      <c r="V93" s="600"/>
      <c r="W93" s="600"/>
      <c r="X93" s="600"/>
      <c r="Y93" s="12"/>
      <c r="Z93" s="12"/>
      <c r="AA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row>
    <row r="94" spans="4:109" ht="11.25" customHeight="1">
      <c r="D94" s="613"/>
      <c r="E94" s="613"/>
      <c r="F94" s="613"/>
      <c r="G94" s="613"/>
      <c r="H94" s="613"/>
      <c r="I94" s="613"/>
      <c r="J94" s="623"/>
      <c r="K94" s="623"/>
      <c r="L94" s="623"/>
      <c r="M94" s="623"/>
      <c r="N94" s="623"/>
      <c r="O94" s="623"/>
      <c r="P94" s="623"/>
      <c r="Q94" s="623"/>
      <c r="R94" s="623"/>
      <c r="S94" s="629"/>
      <c r="T94" s="629"/>
      <c r="U94" s="629"/>
      <c r="V94" s="629"/>
      <c r="W94" s="624"/>
      <c r="X94" s="624"/>
    </row>
    <row r="95" spans="4:109">
      <c r="D95" s="445"/>
      <c r="E95" s="4025" t="str">
        <f>T(Company_Name)</f>
        <v/>
      </c>
      <c r="F95" s="4025"/>
      <c r="G95" s="4025"/>
      <c r="H95" s="4025"/>
      <c r="I95" s="621"/>
      <c r="J95" s="4086">
        <f>Company_Phone</f>
        <v>0</v>
      </c>
      <c r="K95" s="4086"/>
      <c r="L95" s="4086"/>
      <c r="M95" s="4086"/>
      <c r="N95" s="4025" t="str">
        <f>T(Company_Email)</f>
        <v/>
      </c>
      <c r="O95" s="4025"/>
      <c r="P95" s="4025"/>
      <c r="Q95" s="4025"/>
      <c r="R95" s="4025"/>
      <c r="S95" s="4025" t="str">
        <f>T(Company_Website)</f>
        <v/>
      </c>
      <c r="T95" s="4025"/>
      <c r="U95" s="4025"/>
      <c r="V95" s="4025"/>
      <c r="W95" s="4025"/>
      <c r="X95" s="445"/>
    </row>
    <row r="96" spans="4:109" s="635" customFormat="1" ht="28">
      <c r="D96" s="4013" t="s">
        <v>1331</v>
      </c>
      <c r="E96" s="4013"/>
      <c r="F96" s="4013"/>
      <c r="G96" s="4013"/>
      <c r="H96" s="4013"/>
      <c r="I96" s="4013"/>
      <c r="J96" s="4013"/>
      <c r="K96" s="4013"/>
      <c r="L96" s="4013"/>
      <c r="M96" s="4013"/>
      <c r="N96" s="4013"/>
      <c r="O96" s="4013"/>
      <c r="P96" s="4013"/>
      <c r="Q96" s="4013"/>
      <c r="R96" s="4013"/>
      <c r="S96" s="4013"/>
      <c r="T96" s="4023" t="s">
        <v>1327</v>
      </c>
      <c r="U96" s="4023"/>
      <c r="V96" s="4023"/>
      <c r="W96" s="4024">
        <f ca="1">TODAY()</f>
        <v>43691</v>
      </c>
      <c r="X96" s="4024"/>
      <c r="Y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row>
    <row r="97" spans="4:109" s="635" customFormat="1" ht="15" customHeight="1">
      <c r="D97" s="600"/>
      <c r="E97" s="600"/>
      <c r="F97" s="600"/>
      <c r="G97" s="600"/>
      <c r="H97" s="600"/>
      <c r="I97" s="600"/>
      <c r="J97" s="600"/>
      <c r="K97" s="600"/>
      <c r="L97" s="23"/>
      <c r="M97" s="23"/>
      <c r="N97" s="601"/>
      <c r="O97" s="23"/>
      <c r="P97" s="23"/>
      <c r="Q97" s="23"/>
      <c r="R97" s="23"/>
      <c r="S97" s="23"/>
      <c r="T97" s="23"/>
      <c r="U97" s="23"/>
      <c r="V97" s="23"/>
      <c r="W97" s="23"/>
      <c r="X97" s="23"/>
      <c r="Y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row>
    <row r="98" spans="4:109" s="635" customFormat="1" ht="18" customHeight="1">
      <c r="D98" s="614"/>
      <c r="E98" s="614"/>
      <c r="F98" s="614"/>
      <c r="G98" s="614"/>
      <c r="H98" s="614"/>
      <c r="I98" s="614"/>
      <c r="J98" s="614"/>
      <c r="K98" s="614"/>
      <c r="L98" s="614"/>
      <c r="M98" s="614"/>
      <c r="N98" s="614"/>
      <c r="O98" s="614"/>
      <c r="P98" s="614"/>
      <c r="Q98" s="614"/>
      <c r="R98" s="614"/>
      <c r="S98" s="614"/>
      <c r="T98" s="614"/>
      <c r="U98" s="614"/>
      <c r="V98" s="614"/>
      <c r="W98" s="614"/>
      <c r="X98" s="600"/>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row>
    <row r="99" spans="4:109" s="635" customFormat="1" ht="18" customHeight="1">
      <c r="D99" s="614"/>
      <c r="E99" s="614"/>
      <c r="F99" s="614"/>
      <c r="G99" s="614"/>
      <c r="H99" s="614"/>
      <c r="I99" s="614"/>
      <c r="J99" s="614"/>
      <c r="K99" s="614"/>
      <c r="L99" s="614"/>
      <c r="M99" s="614"/>
      <c r="N99" s="614"/>
      <c r="O99" s="614"/>
      <c r="P99" s="614"/>
      <c r="Q99" s="614"/>
      <c r="R99" s="614"/>
      <c r="S99" s="614"/>
      <c r="T99" s="614"/>
      <c r="U99" s="614"/>
      <c r="V99" s="614"/>
      <c r="W99" s="614"/>
      <c r="X99" s="600"/>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row>
    <row r="100" spans="4:109" s="635" customFormat="1" ht="18" customHeight="1">
      <c r="D100" s="614"/>
      <c r="E100" s="614"/>
      <c r="F100" s="614"/>
      <c r="G100" s="614"/>
      <c r="H100" s="614"/>
      <c r="I100" s="614"/>
      <c r="J100" s="614"/>
      <c r="K100" s="614"/>
      <c r="L100" s="614"/>
      <c r="M100" s="614"/>
      <c r="N100" s="614"/>
      <c r="O100" s="614"/>
      <c r="P100" s="614"/>
      <c r="Q100" s="614"/>
      <c r="R100" s="614"/>
      <c r="S100" s="614"/>
      <c r="T100" s="614"/>
      <c r="U100" s="614"/>
      <c r="V100" s="614"/>
      <c r="W100" s="614"/>
      <c r="X100" s="600"/>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row>
    <row r="101" spans="4:109" s="635" customFormat="1" ht="18" customHeight="1">
      <c r="D101" s="614"/>
      <c r="E101" s="614"/>
      <c r="F101" s="614"/>
      <c r="G101" s="614"/>
      <c r="H101" s="614"/>
      <c r="I101" s="614"/>
      <c r="J101" s="614"/>
      <c r="K101" s="614"/>
      <c r="L101" s="614"/>
      <c r="M101" s="614"/>
      <c r="N101" s="614"/>
      <c r="O101" s="614"/>
      <c r="P101" s="614"/>
      <c r="Q101" s="614"/>
      <c r="R101" s="614"/>
      <c r="S101" s="614"/>
      <c r="T101" s="614"/>
      <c r="U101" s="614"/>
      <c r="V101" s="614"/>
      <c r="W101" s="614"/>
      <c r="X101" s="600"/>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row>
    <row r="102" spans="4:109" s="635" customFormat="1" ht="18" customHeight="1">
      <c r="D102" s="614"/>
      <c r="E102" s="614"/>
      <c r="F102" s="614"/>
      <c r="G102" s="614"/>
      <c r="H102" s="614"/>
      <c r="I102" s="614"/>
      <c r="J102" s="614"/>
      <c r="K102" s="614"/>
      <c r="L102" s="614"/>
      <c r="M102" s="614"/>
      <c r="N102" s="614"/>
      <c r="O102" s="614"/>
      <c r="P102" s="614"/>
      <c r="Q102" s="614"/>
      <c r="R102" s="614"/>
      <c r="S102" s="614"/>
      <c r="T102" s="614"/>
      <c r="U102" s="614"/>
      <c r="V102" s="614"/>
      <c r="W102" s="614"/>
      <c r="X102" s="600"/>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row>
    <row r="103" spans="4:109" s="635" customFormat="1" ht="18" customHeight="1">
      <c r="D103" s="614"/>
      <c r="E103" s="614"/>
      <c r="F103" s="614"/>
      <c r="G103" s="614"/>
      <c r="H103" s="614"/>
      <c r="I103" s="614"/>
      <c r="J103" s="614"/>
      <c r="K103" s="614"/>
      <c r="L103" s="614"/>
      <c r="M103" s="614"/>
      <c r="N103" s="614"/>
      <c r="O103" s="614"/>
      <c r="P103" s="614"/>
      <c r="Q103" s="614"/>
      <c r="R103" s="614"/>
      <c r="S103" s="614"/>
      <c r="T103" s="614"/>
      <c r="U103" s="614"/>
      <c r="V103" s="614"/>
      <c r="W103" s="614"/>
      <c r="X103" s="600"/>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row>
    <row r="104" spans="4:109" s="635" customFormat="1" ht="18" customHeight="1" thickBot="1">
      <c r="D104" s="614"/>
      <c r="E104" s="614"/>
      <c r="F104" s="614"/>
      <c r="G104" s="614"/>
      <c r="H104" s="614"/>
      <c r="I104" s="614"/>
      <c r="J104" s="614"/>
      <c r="K104" s="614"/>
      <c r="L104" s="614"/>
      <c r="M104" s="614"/>
      <c r="N104" s="614"/>
      <c r="O104" s="614"/>
      <c r="P104" s="614"/>
      <c r="Q104" s="614"/>
      <c r="R104" s="614"/>
      <c r="S104" s="614"/>
      <c r="T104" s="614"/>
      <c r="U104" s="614"/>
      <c r="V104" s="614"/>
      <c r="W104" s="614"/>
      <c r="X104" s="600"/>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row>
    <row r="105" spans="4:109" s="635" customFormat="1" ht="18" customHeight="1">
      <c r="D105" s="614"/>
      <c r="E105" s="614"/>
      <c r="F105" s="614"/>
      <c r="G105" s="614"/>
      <c r="H105" s="614"/>
      <c r="I105" s="614"/>
      <c r="J105" s="614"/>
      <c r="K105" s="614"/>
      <c r="L105" s="614"/>
      <c r="M105" s="614"/>
      <c r="N105" s="614"/>
      <c r="O105" s="614"/>
      <c r="P105" s="614"/>
      <c r="Q105" s="614"/>
      <c r="R105" s="614"/>
      <c r="S105" s="614"/>
      <c r="T105" s="614"/>
      <c r="U105" s="614"/>
      <c r="V105" s="614"/>
      <c r="W105" s="614"/>
      <c r="X105" s="600"/>
      <c r="Y105" s="12"/>
      <c r="Z105" s="4006" t="s">
        <v>1332</v>
      </c>
      <c r="AA105" s="4007"/>
      <c r="AB105" s="4007"/>
      <c r="AC105" s="4008"/>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row>
    <row r="106" spans="4:109" s="635" customFormat="1" ht="18" customHeight="1">
      <c r="D106" s="614"/>
      <c r="E106" s="614"/>
      <c r="F106" s="614"/>
      <c r="G106" s="614"/>
      <c r="H106" s="614"/>
      <c r="I106" s="614"/>
      <c r="J106" s="614"/>
      <c r="K106" s="614"/>
      <c r="L106" s="614"/>
      <c r="M106" s="614"/>
      <c r="N106" s="614"/>
      <c r="O106" s="614"/>
      <c r="P106" s="614"/>
      <c r="Q106" s="614"/>
      <c r="R106" s="614"/>
      <c r="S106" s="614"/>
      <c r="T106" s="614"/>
      <c r="U106" s="614"/>
      <c r="V106" s="614"/>
      <c r="W106" s="614"/>
      <c r="X106" s="600"/>
      <c r="Y106" s="12"/>
      <c r="Z106" s="4009"/>
      <c r="AA106" s="4010"/>
      <c r="AB106" s="4010"/>
      <c r="AC106" s="4011"/>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row>
    <row r="107" spans="4:109" s="635" customFormat="1" ht="18" customHeight="1">
      <c r="D107" s="614"/>
      <c r="E107" s="614"/>
      <c r="F107" s="614"/>
      <c r="G107" s="614"/>
      <c r="H107" s="614"/>
      <c r="I107" s="614"/>
      <c r="J107" s="614"/>
      <c r="K107" s="614"/>
      <c r="L107" s="614"/>
      <c r="M107" s="614"/>
      <c r="N107" s="614"/>
      <c r="O107" s="614"/>
      <c r="P107" s="614"/>
      <c r="Q107" s="614"/>
      <c r="R107" s="614"/>
      <c r="S107" s="614"/>
      <c r="T107" s="614"/>
      <c r="U107" s="614"/>
      <c r="V107" s="614"/>
      <c r="W107" s="614"/>
      <c r="X107" s="600"/>
      <c r="Y107" s="12"/>
      <c r="Z107" s="4009"/>
      <c r="AA107" s="4010"/>
      <c r="AB107" s="4010"/>
      <c r="AC107" s="4011"/>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row>
    <row r="108" spans="4:109" s="635" customFormat="1" ht="18" customHeight="1">
      <c r="D108" s="614"/>
      <c r="E108" s="614"/>
      <c r="F108" s="614"/>
      <c r="G108" s="614"/>
      <c r="H108" s="614"/>
      <c r="I108" s="614"/>
      <c r="J108" s="614"/>
      <c r="K108" s="614"/>
      <c r="L108" s="614"/>
      <c r="M108" s="614"/>
      <c r="N108" s="614"/>
      <c r="O108" s="614"/>
      <c r="P108" s="614"/>
      <c r="Q108" s="614"/>
      <c r="R108" s="614"/>
      <c r="S108" s="614"/>
      <c r="T108" s="614"/>
      <c r="U108" s="614"/>
      <c r="V108" s="614"/>
      <c r="W108" s="614"/>
      <c r="X108" s="600"/>
      <c r="Y108" s="12"/>
      <c r="Z108" s="4009"/>
      <c r="AA108" s="4010"/>
      <c r="AB108" s="4010"/>
      <c r="AC108" s="4011"/>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row>
    <row r="109" spans="4:109" s="635" customFormat="1" ht="18" customHeight="1">
      <c r="D109" s="614"/>
      <c r="E109" s="614"/>
      <c r="F109" s="614"/>
      <c r="G109" s="614"/>
      <c r="H109" s="614"/>
      <c r="I109" s="614"/>
      <c r="J109" s="614"/>
      <c r="K109" s="614"/>
      <c r="L109" s="614"/>
      <c r="M109" s="614"/>
      <c r="N109" s="614"/>
      <c r="O109" s="614"/>
      <c r="P109" s="614"/>
      <c r="Q109" s="614"/>
      <c r="R109" s="614"/>
      <c r="S109" s="614"/>
      <c r="T109" s="614"/>
      <c r="U109" s="614"/>
      <c r="V109" s="614"/>
      <c r="W109" s="614"/>
      <c r="X109" s="600"/>
      <c r="Y109" s="12"/>
      <c r="Z109" s="615"/>
      <c r="AA109" s="89"/>
      <c r="AB109" s="89"/>
      <c r="AC109" s="616"/>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row>
    <row r="110" spans="4:109" s="635" customFormat="1" ht="18" customHeight="1">
      <c r="D110" s="614"/>
      <c r="E110" s="614"/>
      <c r="F110" s="614"/>
      <c r="G110" s="614"/>
      <c r="H110" s="614"/>
      <c r="I110" s="614"/>
      <c r="J110" s="614"/>
      <c r="K110" s="614"/>
      <c r="L110" s="614"/>
      <c r="M110" s="614"/>
      <c r="N110" s="614"/>
      <c r="O110" s="614"/>
      <c r="P110" s="614"/>
      <c r="Q110" s="614"/>
      <c r="R110" s="614"/>
      <c r="S110" s="614"/>
      <c r="T110" s="614"/>
      <c r="U110" s="614"/>
      <c r="V110" s="614"/>
      <c r="W110" s="614"/>
      <c r="X110" s="600"/>
      <c r="Y110" s="12"/>
      <c r="Z110" s="615"/>
      <c r="AA110" s="89"/>
      <c r="AB110" s="89"/>
      <c r="AC110" s="616"/>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row>
    <row r="111" spans="4:109" ht="18" customHeight="1">
      <c r="D111" s="614"/>
      <c r="E111" s="614"/>
      <c r="F111" s="614"/>
      <c r="G111" s="614"/>
      <c r="H111" s="614"/>
      <c r="I111" s="614"/>
      <c r="J111" s="614"/>
      <c r="K111" s="614"/>
      <c r="L111" s="614"/>
      <c r="M111" s="614"/>
      <c r="N111" s="614"/>
      <c r="O111" s="614"/>
      <c r="P111" s="614"/>
      <c r="Q111" s="614"/>
      <c r="R111" s="614"/>
      <c r="S111" s="614"/>
      <c r="T111" s="614"/>
      <c r="U111" s="614"/>
      <c r="V111" s="614"/>
      <c r="W111" s="614"/>
      <c r="X111" s="600"/>
      <c r="Z111" s="615"/>
      <c r="AA111" s="89"/>
      <c r="AB111" s="89"/>
      <c r="AC111" s="616"/>
    </row>
    <row r="112" spans="4:109" ht="18" customHeight="1">
      <c r="D112" s="614"/>
      <c r="E112" s="614"/>
      <c r="F112" s="614"/>
      <c r="G112" s="614"/>
      <c r="H112" s="614"/>
      <c r="I112" s="614"/>
      <c r="J112" s="614"/>
      <c r="K112" s="614"/>
      <c r="L112" s="614"/>
      <c r="M112" s="614"/>
      <c r="N112" s="614"/>
      <c r="O112" s="614"/>
      <c r="P112" s="614"/>
      <c r="Q112" s="614"/>
      <c r="R112" s="614"/>
      <c r="S112" s="614"/>
      <c r="T112" s="614"/>
      <c r="U112" s="614"/>
      <c r="V112" s="614"/>
      <c r="W112" s="614"/>
      <c r="X112" s="600"/>
      <c r="Z112" s="615"/>
      <c r="AA112" s="89"/>
      <c r="AB112" s="89"/>
      <c r="AC112" s="616"/>
    </row>
    <row r="113" spans="4:109" ht="18" customHeight="1" thickBot="1">
      <c r="D113" s="614"/>
      <c r="E113" s="614"/>
      <c r="F113" s="614"/>
      <c r="G113" s="614"/>
      <c r="H113" s="614"/>
      <c r="I113" s="614"/>
      <c r="J113" s="614"/>
      <c r="K113" s="614"/>
      <c r="L113" s="614"/>
      <c r="M113" s="614"/>
      <c r="N113" s="614"/>
      <c r="O113" s="614"/>
      <c r="P113" s="614"/>
      <c r="Q113" s="614"/>
      <c r="R113" s="614"/>
      <c r="S113" s="614"/>
      <c r="T113" s="614"/>
      <c r="U113" s="614"/>
      <c r="V113" s="614"/>
      <c r="W113" s="614"/>
      <c r="X113" s="600"/>
      <c r="Y113" s="6"/>
      <c r="Z113" s="617"/>
      <c r="AA113" s="618"/>
      <c r="AB113" s="618"/>
      <c r="AC113" s="619"/>
    </row>
    <row r="114" spans="4:109" ht="18" customHeight="1">
      <c r="D114" s="614"/>
      <c r="E114" s="614"/>
      <c r="F114" s="614"/>
      <c r="G114" s="614"/>
      <c r="H114" s="614"/>
      <c r="I114" s="614"/>
      <c r="J114" s="614"/>
      <c r="K114" s="614"/>
      <c r="L114" s="614"/>
      <c r="M114" s="614"/>
      <c r="N114" s="614"/>
      <c r="O114" s="614"/>
      <c r="P114" s="614"/>
      <c r="Q114" s="614"/>
      <c r="R114" s="614"/>
      <c r="S114" s="614"/>
      <c r="T114" s="614"/>
      <c r="U114" s="614"/>
      <c r="V114" s="614"/>
      <c r="W114" s="614"/>
      <c r="X114" s="600"/>
    </row>
    <row r="115" spans="4:109" ht="18" customHeight="1">
      <c r="D115" s="614"/>
      <c r="E115" s="614"/>
      <c r="F115" s="614"/>
      <c r="G115" s="614"/>
      <c r="H115" s="614"/>
      <c r="I115" s="614"/>
      <c r="J115" s="614"/>
      <c r="K115" s="614"/>
      <c r="L115" s="614"/>
      <c r="M115" s="614"/>
      <c r="N115" s="614"/>
      <c r="O115" s="614"/>
      <c r="P115" s="614"/>
      <c r="Q115" s="614"/>
      <c r="R115" s="614"/>
      <c r="S115" s="614"/>
      <c r="T115" s="614"/>
      <c r="U115" s="614"/>
      <c r="V115" s="614"/>
      <c r="W115" s="614"/>
      <c r="X115" s="600"/>
    </row>
    <row r="116" spans="4:109" ht="18" customHeight="1">
      <c r="D116" s="614"/>
      <c r="E116" s="614"/>
      <c r="F116" s="614"/>
      <c r="G116" s="614"/>
      <c r="H116" s="614"/>
      <c r="I116" s="614"/>
      <c r="J116" s="614"/>
      <c r="K116" s="614"/>
      <c r="L116" s="614"/>
      <c r="M116" s="614"/>
      <c r="N116" s="614"/>
      <c r="O116" s="614"/>
      <c r="P116" s="614"/>
      <c r="Q116" s="614"/>
      <c r="R116" s="614"/>
      <c r="S116" s="614"/>
      <c r="T116" s="614"/>
      <c r="U116" s="614"/>
      <c r="V116" s="614"/>
      <c r="W116" s="614"/>
      <c r="X116" s="600"/>
    </row>
    <row r="117" spans="4:109" ht="18" customHeight="1">
      <c r="D117" s="614"/>
      <c r="E117" s="614"/>
      <c r="F117" s="614"/>
      <c r="G117" s="614"/>
      <c r="H117" s="614"/>
      <c r="I117" s="614"/>
      <c r="J117" s="614"/>
      <c r="K117" s="614"/>
      <c r="L117" s="614"/>
      <c r="M117" s="614"/>
      <c r="N117" s="614"/>
      <c r="O117" s="614"/>
      <c r="P117" s="614"/>
      <c r="Q117" s="614"/>
      <c r="R117" s="614"/>
      <c r="S117" s="614"/>
      <c r="T117" s="614"/>
      <c r="U117" s="614"/>
      <c r="V117" s="614"/>
      <c r="W117" s="614"/>
      <c r="X117" s="600"/>
    </row>
    <row r="118" spans="4:109" s="635" customFormat="1" ht="18" customHeight="1">
      <c r="D118" s="4087" t="s">
        <v>1333</v>
      </c>
      <c r="E118" s="4087"/>
      <c r="F118" s="4087"/>
      <c r="G118" s="4087"/>
      <c r="H118" s="4089" t="s">
        <v>1334</v>
      </c>
      <c r="I118" s="4089"/>
      <c r="J118" s="4089"/>
      <c r="K118" s="4089"/>
      <c r="L118" s="4089"/>
      <c r="M118" s="620"/>
      <c r="N118" s="614"/>
      <c r="O118" s="614"/>
      <c r="P118" s="614"/>
      <c r="Q118" s="614"/>
      <c r="R118" s="614"/>
      <c r="S118" s="614"/>
      <c r="T118" s="614"/>
      <c r="U118" s="600"/>
      <c r="V118" s="602"/>
      <c r="W118" s="602"/>
      <c r="X118" s="60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row>
    <row r="119" spans="4:109" ht="18" customHeight="1">
      <c r="D119" s="4088"/>
      <c r="E119" s="4088"/>
      <c r="F119" s="4088"/>
      <c r="G119" s="4088"/>
      <c r="H119" s="4090"/>
      <c r="I119" s="4090"/>
      <c r="J119" s="4090"/>
      <c r="K119" s="4090"/>
      <c r="L119" s="4090"/>
      <c r="M119" s="4012" t="s">
        <v>1339</v>
      </c>
      <c r="N119" s="4012"/>
      <c r="O119" s="4012"/>
      <c r="P119" s="4012"/>
      <c r="Q119" s="4012" t="s">
        <v>1335</v>
      </c>
      <c r="R119" s="4012"/>
      <c r="S119" s="4012" t="s">
        <v>305</v>
      </c>
      <c r="T119" s="4012"/>
      <c r="U119" s="4012"/>
      <c r="V119" s="4012" t="s">
        <v>1347</v>
      </c>
      <c r="W119" s="4012"/>
      <c r="X119" s="4012"/>
    </row>
    <row r="120" spans="4:109" ht="18.75" customHeight="1">
      <c r="D120" s="4092" t="s">
        <v>1262</v>
      </c>
      <c r="E120" s="4092"/>
      <c r="F120" s="4092"/>
      <c r="G120" s="4092"/>
      <c r="H120" s="4094" t="str">
        <f>CONCATENATE(Property_Street_Address,", ",Property_City_State_Zip)</f>
        <v xml:space="preserve">, </v>
      </c>
      <c r="I120" s="4094"/>
      <c r="J120" s="4094"/>
      <c r="K120" s="4094"/>
      <c r="L120" s="4094"/>
      <c r="M120" s="4014" t="str">
        <f>CONCATENATE(Number_of_Beds," beds, ",Number_of_Baths," baths, ",Property_Size," sf")</f>
        <v xml:space="preserve"> beds,  baths, 0 sf</v>
      </c>
      <c r="N120" s="4014"/>
      <c r="O120" s="4014"/>
      <c r="P120" s="4014"/>
      <c r="Q120" s="4017" t="s">
        <v>1348</v>
      </c>
      <c r="R120" s="4017"/>
      <c r="S120" s="4018">
        <f>COMPS!W10</f>
        <v>0</v>
      </c>
      <c r="T120" s="4018"/>
      <c r="U120" s="4018"/>
      <c r="V120" s="4091" t="str">
        <f>IFERROR(S120/Property_Size,"")</f>
        <v/>
      </c>
      <c r="W120" s="4018"/>
      <c r="X120" s="4018"/>
    </row>
    <row r="121" spans="4:109" ht="18">
      <c r="D121" s="4093" t="s">
        <v>1336</v>
      </c>
      <c r="E121" s="4093"/>
      <c r="F121" s="4093"/>
      <c r="G121" s="4093"/>
      <c r="H121" s="4014" t="str">
        <f>CONCATENATE(Comparable1_Street_Address,", ",Comparable1_City_State_Zip)</f>
        <v xml:space="preserve">, </v>
      </c>
      <c r="I121" s="4014"/>
      <c r="J121" s="4014"/>
      <c r="K121" s="4014"/>
      <c r="L121" s="4014"/>
      <c r="M121" s="4014" t="str">
        <f>CONCATENATE(COMPS!AJ16," beds, ",COMPS!AJ17," baths, ",COMPS!AJ19," sf")</f>
        <v xml:space="preserve"> beds,  baths,  sf</v>
      </c>
      <c r="N121" s="4014"/>
      <c r="O121" s="4014"/>
      <c r="P121" s="4014"/>
      <c r="Q121" s="4015" t="str">
        <f>IF(COMPS!AJ12=0,"",COMPS!AJ12)</f>
        <v/>
      </c>
      <c r="R121" s="4015"/>
      <c r="S121" s="4016">
        <f>COMPS!AJ10</f>
        <v>0</v>
      </c>
      <c r="T121" s="4016"/>
      <c r="U121" s="4016"/>
      <c r="V121" s="4016" t="str">
        <f>IFERROR(S121/COMPS!AJ19,"")</f>
        <v/>
      </c>
      <c r="W121" s="4016"/>
      <c r="X121" s="4016"/>
    </row>
    <row r="122" spans="4:109" ht="18">
      <c r="D122" s="4093" t="s">
        <v>1337</v>
      </c>
      <c r="E122" s="4093"/>
      <c r="F122" s="4093"/>
      <c r="G122" s="4093"/>
      <c r="H122" s="4014" t="str">
        <f>CONCATENATE(Comparable2_Street_Address,", ",Comparable2_City_State_Zip)</f>
        <v xml:space="preserve">, </v>
      </c>
      <c r="I122" s="4014"/>
      <c r="J122" s="4014"/>
      <c r="K122" s="4014"/>
      <c r="L122" s="4014"/>
      <c r="M122" s="4014" t="str">
        <f>CONCATENATE(COMPS!AW16," beds, ",COMPS!AW17," baths, ",COMPS!AW19," sf")</f>
        <v xml:space="preserve"> beds,  baths,  sf</v>
      </c>
      <c r="N122" s="4014"/>
      <c r="O122" s="4014"/>
      <c r="P122" s="4014"/>
      <c r="Q122" s="4015" t="str">
        <f>IF(COMPS!AW12=0,"",COMPS!AW12)</f>
        <v/>
      </c>
      <c r="R122" s="4015"/>
      <c r="S122" s="4016">
        <f>COMPS!AW10</f>
        <v>0</v>
      </c>
      <c r="T122" s="4016"/>
      <c r="U122" s="4016"/>
      <c r="V122" s="4033" t="str">
        <f>IFERROR(S122/COMPS!AW19,"")</f>
        <v/>
      </c>
      <c r="W122" s="4016"/>
      <c r="X122" s="4016"/>
    </row>
    <row r="123" spans="4:109" ht="18">
      <c r="D123" s="4093" t="s">
        <v>1338</v>
      </c>
      <c r="E123" s="4093"/>
      <c r="F123" s="4093"/>
      <c r="G123" s="4093"/>
      <c r="H123" s="4014" t="str">
        <f>CONCATENATE(Comparable3_Street_Address,", ",Comparable3_City_State_Zip)</f>
        <v xml:space="preserve">, </v>
      </c>
      <c r="I123" s="4014"/>
      <c r="J123" s="4014"/>
      <c r="K123" s="4014"/>
      <c r="L123" s="4014"/>
      <c r="M123" s="4014" t="str">
        <f>CONCATENATE(COMPS!BJ16," beds, ",COMPS!BJ17," baths, ",COMPS!BJ19," sf")</f>
        <v xml:space="preserve"> beds,  baths,  sf</v>
      </c>
      <c r="N123" s="4014"/>
      <c r="O123" s="4014"/>
      <c r="P123" s="4014"/>
      <c r="Q123" s="4015" t="str">
        <f>IF(COMPS!BJ12=0,"",COMPS!BJ12)</f>
        <v/>
      </c>
      <c r="R123" s="4015"/>
      <c r="S123" s="4016">
        <f>COMPS!BJ10</f>
        <v>0</v>
      </c>
      <c r="T123" s="4016"/>
      <c r="U123" s="4016"/>
      <c r="V123" s="4033" t="str">
        <f>IFERROR(S123/COMPS!BJ19,"")</f>
        <v/>
      </c>
      <c r="W123" s="4016"/>
      <c r="X123" s="4016"/>
    </row>
    <row r="124" spans="4:109" ht="18" customHeight="1">
      <c r="D124" s="613"/>
      <c r="E124" s="613"/>
      <c r="F124" s="613"/>
      <c r="G124" s="613"/>
      <c r="H124" s="613"/>
      <c r="I124" s="626"/>
      <c r="J124" s="627"/>
      <c r="K124" s="627"/>
      <c r="L124" s="627"/>
      <c r="M124" s="627"/>
      <c r="N124" s="627"/>
      <c r="O124" s="627"/>
      <c r="P124" s="627"/>
      <c r="Q124" s="637"/>
      <c r="R124" s="637"/>
      <c r="S124" s="637"/>
      <c r="T124" s="628"/>
      <c r="U124" s="628"/>
      <c r="V124" s="637"/>
      <c r="W124" s="628"/>
      <c r="X124" s="628"/>
    </row>
    <row r="125" spans="4:109">
      <c r="D125" s="445"/>
      <c r="E125" s="4025" t="str">
        <f>T(Company_Name)</f>
        <v/>
      </c>
      <c r="F125" s="4025"/>
      <c r="G125" s="4025"/>
      <c r="H125" s="4025"/>
      <c r="I125" s="621"/>
      <c r="J125" s="4085">
        <f>Company_Phone</f>
        <v>0</v>
      </c>
      <c r="K125" s="4085"/>
      <c r="L125" s="4085"/>
      <c r="M125" s="4085"/>
      <c r="N125" s="4025" t="str">
        <f>T(Company_Email)</f>
        <v/>
      </c>
      <c r="O125" s="4025"/>
      <c r="P125" s="4025"/>
      <c r="Q125" s="4025"/>
      <c r="R125" s="4025"/>
      <c r="S125" s="4025" t="str">
        <f>T(Company_Website)</f>
        <v/>
      </c>
      <c r="T125" s="4025"/>
      <c r="U125" s="4025"/>
      <c r="V125" s="4025"/>
      <c r="W125" s="4025"/>
      <c r="X125" s="445"/>
    </row>
    <row r="126" spans="4:109" ht="14.85" customHeight="1">
      <c r="D126" s="3433" t="s">
        <v>1004</v>
      </c>
      <c r="E126" s="3433"/>
      <c r="F126" s="3433"/>
      <c r="G126" s="3433"/>
      <c r="H126" s="3433"/>
      <c r="I126" s="3433"/>
      <c r="J126" s="3433"/>
      <c r="K126" s="3433"/>
      <c r="L126" s="3433"/>
      <c r="M126" s="3433"/>
      <c r="N126" s="3433"/>
      <c r="O126" s="3433"/>
      <c r="P126" s="3433"/>
      <c r="Q126" s="3433"/>
      <c r="R126" s="3433"/>
      <c r="S126" s="3433"/>
      <c r="T126" s="3433"/>
      <c r="U126" s="3433"/>
      <c r="V126" s="3433"/>
      <c r="W126" s="3433"/>
      <c r="X126" s="3433"/>
    </row>
    <row r="127" spans="4:109" ht="14.85" customHeight="1">
      <c r="D127" s="3433"/>
      <c r="E127" s="3433"/>
      <c r="F127" s="3433"/>
      <c r="G127" s="3433"/>
      <c r="H127" s="3433"/>
      <c r="I127" s="3433"/>
      <c r="J127" s="3433"/>
      <c r="K127" s="3433"/>
      <c r="L127" s="3433"/>
      <c r="M127" s="3433"/>
      <c r="N127" s="3433"/>
      <c r="O127" s="3433"/>
      <c r="P127" s="3433"/>
      <c r="Q127" s="3433"/>
      <c r="R127" s="3433"/>
      <c r="S127" s="3433"/>
      <c r="T127" s="3433"/>
      <c r="U127" s="3433"/>
      <c r="V127" s="3433"/>
      <c r="W127" s="3433"/>
      <c r="X127" s="3433"/>
    </row>
    <row r="128" spans="4:109" ht="14.85" customHeight="1"/>
    <row r="129" spans="3:30" ht="14.85" customHeight="1"/>
    <row r="130" spans="3:30" ht="14.85" customHeight="1"/>
    <row r="131" spans="3:30" ht="14.85" customHeight="1"/>
    <row r="132" spans="3:30" ht="14.85" customHeight="1"/>
    <row r="133" spans="3:30" ht="14.85" customHeight="1"/>
    <row r="134" spans="3:30" ht="14.85" customHeight="1"/>
    <row r="135" spans="3:30" ht="14.85" customHeight="1"/>
    <row r="136" spans="3:30" s="24" customFormat="1" ht="14.85" customHeight="1">
      <c r="C136" s="12"/>
      <c r="Y136" s="12"/>
      <c r="Z136" s="12"/>
      <c r="AA136" s="12"/>
      <c r="AB136" s="12"/>
      <c r="AC136" s="12"/>
      <c r="AD136" s="12"/>
    </row>
    <row r="137" spans="3:30" s="24" customFormat="1" ht="14.85" customHeight="1">
      <c r="C137" s="12"/>
      <c r="Y137" s="12"/>
      <c r="Z137" s="12"/>
      <c r="AA137" s="12"/>
      <c r="AB137" s="12"/>
      <c r="AC137" s="12"/>
      <c r="AD137" s="12"/>
    </row>
    <row r="138" spans="3:30" s="24" customFormat="1" ht="14.85" customHeight="1">
      <c r="C138" s="12"/>
      <c r="Y138" s="12"/>
      <c r="Z138" s="12"/>
      <c r="AA138" s="12"/>
      <c r="AB138" s="12"/>
      <c r="AC138" s="12"/>
      <c r="AD138" s="12"/>
    </row>
    <row r="139" spans="3:30" s="24" customFormat="1" ht="14.85" customHeight="1">
      <c r="C139" s="12"/>
      <c r="Y139" s="12"/>
      <c r="Z139" s="12"/>
      <c r="AA139" s="12"/>
      <c r="AB139" s="12"/>
      <c r="AC139" s="12"/>
      <c r="AD139" s="12"/>
    </row>
    <row r="140" spans="3:30" s="24" customFormat="1" ht="14.85" customHeight="1">
      <c r="C140" s="12"/>
      <c r="Y140" s="12"/>
      <c r="Z140" s="12"/>
      <c r="AA140" s="12"/>
      <c r="AB140" s="12"/>
      <c r="AC140" s="12"/>
      <c r="AD140" s="12"/>
    </row>
    <row r="141" spans="3:30" s="24" customFormat="1" ht="14.85" customHeight="1">
      <c r="C141" s="12"/>
      <c r="Y141" s="12"/>
      <c r="Z141" s="12"/>
      <c r="AA141" s="12"/>
      <c r="AB141" s="12"/>
      <c r="AC141" s="12"/>
      <c r="AD141" s="12"/>
    </row>
    <row r="142" spans="3:30" s="24" customFormat="1" ht="14.85" customHeight="1">
      <c r="C142" s="12"/>
      <c r="Y142" s="12"/>
      <c r="Z142" s="12"/>
      <c r="AA142" s="12"/>
      <c r="AB142" s="12"/>
      <c r="AC142" s="12"/>
      <c r="AD142" s="12"/>
    </row>
    <row r="143" spans="3:30" s="24" customFormat="1" ht="14.85" customHeight="1">
      <c r="C143" s="12"/>
      <c r="Y143" s="12"/>
      <c r="Z143" s="12"/>
      <c r="AA143" s="12"/>
      <c r="AB143" s="12"/>
      <c r="AC143" s="12"/>
      <c r="AD143" s="12"/>
    </row>
    <row r="144" spans="3:30" s="24" customFormat="1" ht="14.85" customHeight="1">
      <c r="C144" s="12"/>
      <c r="Y144" s="12"/>
      <c r="Z144" s="12"/>
      <c r="AA144" s="12"/>
      <c r="AB144" s="12"/>
      <c r="AC144" s="12"/>
      <c r="AD144" s="12"/>
    </row>
    <row r="145" spans="3:30" s="24" customFormat="1" ht="14.85" customHeight="1">
      <c r="C145" s="12"/>
      <c r="Y145" s="12"/>
      <c r="Z145" s="12"/>
      <c r="AA145" s="12"/>
      <c r="AB145" s="12"/>
      <c r="AC145" s="12"/>
      <c r="AD145" s="12"/>
    </row>
    <row r="146" spans="3:30" s="24" customFormat="1" ht="14.85" customHeight="1">
      <c r="C146" s="12"/>
      <c r="Y146" s="12"/>
      <c r="Z146" s="12"/>
      <c r="AA146" s="12"/>
      <c r="AB146" s="12"/>
      <c r="AC146" s="12"/>
      <c r="AD146" s="12"/>
    </row>
    <row r="147" spans="3:30" s="24" customFormat="1" ht="14.85" customHeight="1">
      <c r="C147" s="12"/>
      <c r="Y147" s="12"/>
      <c r="Z147" s="12"/>
      <c r="AA147" s="12"/>
      <c r="AB147" s="12"/>
      <c r="AC147" s="12"/>
      <c r="AD147" s="12"/>
    </row>
    <row r="148" spans="3:30" s="24" customFormat="1" ht="14.85" customHeight="1">
      <c r="C148" s="12"/>
      <c r="Y148" s="12"/>
      <c r="Z148" s="12"/>
      <c r="AA148" s="12"/>
      <c r="AB148" s="12"/>
      <c r="AC148" s="12"/>
      <c r="AD148" s="12"/>
    </row>
    <row r="149" spans="3:30" s="24" customFormat="1" ht="14.85" customHeight="1">
      <c r="C149" s="12"/>
      <c r="Y149" s="12"/>
      <c r="Z149" s="12"/>
      <c r="AA149" s="12"/>
      <c r="AB149" s="12"/>
      <c r="AC149" s="12"/>
      <c r="AD149" s="12"/>
    </row>
    <row r="150" spans="3:30" s="24" customFormat="1" ht="14.85" customHeight="1">
      <c r="C150" s="12"/>
      <c r="Y150" s="12"/>
      <c r="Z150" s="12"/>
      <c r="AA150" s="12"/>
      <c r="AB150" s="12"/>
      <c r="AC150" s="12"/>
      <c r="AD150" s="12"/>
    </row>
    <row r="151" spans="3:30" s="24" customFormat="1" ht="14.85" customHeight="1">
      <c r="C151" s="12"/>
      <c r="Y151" s="12"/>
      <c r="Z151" s="12"/>
      <c r="AA151" s="12"/>
      <c r="AB151" s="12"/>
      <c r="AC151" s="12"/>
      <c r="AD151" s="12"/>
    </row>
    <row r="152" spans="3:30" s="24" customFormat="1" ht="14.85" customHeight="1">
      <c r="C152" s="12"/>
      <c r="Y152" s="12"/>
      <c r="Z152" s="12"/>
      <c r="AA152" s="12"/>
      <c r="AB152" s="12"/>
      <c r="AC152" s="12"/>
      <c r="AD152" s="12"/>
    </row>
    <row r="153" spans="3:30" s="24" customFormat="1" ht="14.85" customHeight="1">
      <c r="C153" s="12"/>
      <c r="Y153" s="12"/>
      <c r="Z153" s="12"/>
      <c r="AA153" s="12"/>
      <c r="AB153" s="12"/>
      <c r="AC153" s="12"/>
      <c r="AD153" s="12"/>
    </row>
  </sheetData>
  <sheetProtection formatCells="0" formatColumns="0" formatRows="0" insertColumns="0" insertHyperlinks="0" deleteColumns="0" deleteRows="0" selectLockedCells="1" sort="0" autoFilter="0"/>
  <mergeCells count="222">
    <mergeCell ref="B2:E4"/>
    <mergeCell ref="E42:G42"/>
    <mergeCell ref="H41:K41"/>
    <mergeCell ref="L41:O41"/>
    <mergeCell ref="P41:S41"/>
    <mergeCell ref="T41:W41"/>
    <mergeCell ref="H42:K42"/>
    <mergeCell ref="L42:O42"/>
    <mergeCell ref="P42:S42"/>
    <mergeCell ref="T42:W42"/>
    <mergeCell ref="E33:G40"/>
    <mergeCell ref="H33:J40"/>
    <mergeCell ref="L33:N40"/>
    <mergeCell ref="P33:R40"/>
    <mergeCell ref="T33:V40"/>
    <mergeCell ref="K33:K40"/>
    <mergeCell ref="O33:O40"/>
    <mergeCell ref="S33:S40"/>
    <mergeCell ref="W33:W40"/>
    <mergeCell ref="E41:G41"/>
    <mergeCell ref="K29:K32"/>
    <mergeCell ref="L29:N32"/>
    <mergeCell ref="O29:O32"/>
    <mergeCell ref="P29:R32"/>
    <mergeCell ref="J125:M125"/>
    <mergeCell ref="J95:M95"/>
    <mergeCell ref="J48:M48"/>
    <mergeCell ref="D118:G119"/>
    <mergeCell ref="H118:L119"/>
    <mergeCell ref="V119:X119"/>
    <mergeCell ref="V120:X120"/>
    <mergeCell ref="V121:X121"/>
    <mergeCell ref="V122:X122"/>
    <mergeCell ref="V123:X123"/>
    <mergeCell ref="E125:H125"/>
    <mergeCell ref="N125:R125"/>
    <mergeCell ref="S125:W125"/>
    <mergeCell ref="D120:G120"/>
    <mergeCell ref="D121:G121"/>
    <mergeCell ref="D122:G122"/>
    <mergeCell ref="D123:G123"/>
    <mergeCell ref="H120:L120"/>
    <mergeCell ref="H121:L121"/>
    <mergeCell ref="H122:L122"/>
    <mergeCell ref="H123:L123"/>
    <mergeCell ref="F90:H90"/>
    <mergeCell ref="I90:L90"/>
    <mergeCell ref="F91:H91"/>
    <mergeCell ref="S29:S32"/>
    <mergeCell ref="T29:V32"/>
    <mergeCell ref="W29:W32"/>
    <mergeCell ref="E13:G13"/>
    <mergeCell ref="H13:K13"/>
    <mergeCell ref="L13:O13"/>
    <mergeCell ref="P13:S13"/>
    <mergeCell ref="T13:W13"/>
    <mergeCell ref="E15:G15"/>
    <mergeCell ref="H15:K15"/>
    <mergeCell ref="L15:O15"/>
    <mergeCell ref="P15:S15"/>
    <mergeCell ref="T15:W15"/>
    <mergeCell ref="E14:G14"/>
    <mergeCell ref="H14:K14"/>
    <mergeCell ref="L14:O14"/>
    <mergeCell ref="P14:S14"/>
    <mergeCell ref="T14:W14"/>
    <mergeCell ref="E17:G17"/>
    <mergeCell ref="H17:K17"/>
    <mergeCell ref="P17:S17"/>
    <mergeCell ref="T17:W17"/>
    <mergeCell ref="E16:G16"/>
    <mergeCell ref="H16:K16"/>
    <mergeCell ref="I91:L91"/>
    <mergeCell ref="F92:H92"/>
    <mergeCell ref="I92:L92"/>
    <mergeCell ref="T6:V6"/>
    <mergeCell ref="W6:X6"/>
    <mergeCell ref="E9:G9"/>
    <mergeCell ref="H9:K9"/>
    <mergeCell ref="L9:O9"/>
    <mergeCell ref="P9:S9"/>
    <mergeCell ref="T9:W9"/>
    <mergeCell ref="N48:R48"/>
    <mergeCell ref="E81:E83"/>
    <mergeCell ref="F81:L82"/>
    <mergeCell ref="F83:L83"/>
    <mergeCell ref="E51:E53"/>
    <mergeCell ref="F51:L52"/>
    <mergeCell ref="F53:L53"/>
    <mergeCell ref="F57:H57"/>
    <mergeCell ref="F58:H58"/>
    <mergeCell ref="I57:L57"/>
    <mergeCell ref="I58:L58"/>
    <mergeCell ref="F61:H61"/>
    <mergeCell ref="F59:H59"/>
    <mergeCell ref="F60:H60"/>
    <mergeCell ref="I59:L59"/>
    <mergeCell ref="I60:L60"/>
    <mergeCell ref="I61:L61"/>
    <mergeCell ref="E12:G12"/>
    <mergeCell ref="H12:K12"/>
    <mergeCell ref="L12:O12"/>
    <mergeCell ref="P12:S12"/>
    <mergeCell ref="T12:W12"/>
    <mergeCell ref="E10:G10"/>
    <mergeCell ref="H10:K10"/>
    <mergeCell ref="L10:O10"/>
    <mergeCell ref="E11:G11"/>
    <mergeCell ref="H11:K11"/>
    <mergeCell ref="L11:O11"/>
    <mergeCell ref="P11:S11"/>
    <mergeCell ref="T11:W11"/>
    <mergeCell ref="P10:S10"/>
    <mergeCell ref="T10:W10"/>
    <mergeCell ref="E20:G20"/>
    <mergeCell ref="H20:J20"/>
    <mergeCell ref="L20:N20"/>
    <mergeCell ref="P20:R20"/>
    <mergeCell ref="T20:V20"/>
    <mergeCell ref="L17:O17"/>
    <mergeCell ref="L16:O16"/>
    <mergeCell ref="P16:S16"/>
    <mergeCell ref="T16:W16"/>
    <mergeCell ref="E19:G19"/>
    <mergeCell ref="H19:J19"/>
    <mergeCell ref="L19:N19"/>
    <mergeCell ref="P19:R19"/>
    <mergeCell ref="T19:V19"/>
    <mergeCell ref="E22:G22"/>
    <mergeCell ref="H22:J22"/>
    <mergeCell ref="L22:N22"/>
    <mergeCell ref="P22:R22"/>
    <mergeCell ref="T22:V22"/>
    <mergeCell ref="E21:G21"/>
    <mergeCell ref="H21:J21"/>
    <mergeCell ref="L21:N21"/>
    <mergeCell ref="P21:R21"/>
    <mergeCell ref="T21:V21"/>
    <mergeCell ref="P25:R25"/>
    <mergeCell ref="T25:V25"/>
    <mergeCell ref="E26:G26"/>
    <mergeCell ref="H26:J26"/>
    <mergeCell ref="L26:N26"/>
    <mergeCell ref="P26:R26"/>
    <mergeCell ref="T26:V26"/>
    <mergeCell ref="E23:G23"/>
    <mergeCell ref="H23:J23"/>
    <mergeCell ref="L23:N23"/>
    <mergeCell ref="P23:R23"/>
    <mergeCell ref="T23:V23"/>
    <mergeCell ref="T49:V49"/>
    <mergeCell ref="W49:X49"/>
    <mergeCell ref="S48:W48"/>
    <mergeCell ref="E24:G24"/>
    <mergeCell ref="E28:G28"/>
    <mergeCell ref="E29:G32"/>
    <mergeCell ref="H24:J24"/>
    <mergeCell ref="H28:J28"/>
    <mergeCell ref="L24:N24"/>
    <mergeCell ref="L28:N28"/>
    <mergeCell ref="P24:R24"/>
    <mergeCell ref="P28:R28"/>
    <mergeCell ref="T24:V24"/>
    <mergeCell ref="T28:V28"/>
    <mergeCell ref="H29:J32"/>
    <mergeCell ref="E48:H48"/>
    <mergeCell ref="E27:G27"/>
    <mergeCell ref="H27:J27"/>
    <mergeCell ref="L27:N27"/>
    <mergeCell ref="P27:R27"/>
    <mergeCell ref="T27:V27"/>
    <mergeCell ref="E25:G25"/>
    <mergeCell ref="H25:J25"/>
    <mergeCell ref="L25:N25"/>
    <mergeCell ref="M121:P121"/>
    <mergeCell ref="Q121:R121"/>
    <mergeCell ref="S121:U121"/>
    <mergeCell ref="I62:L62"/>
    <mergeCell ref="F72:H72"/>
    <mergeCell ref="E66:E68"/>
    <mergeCell ref="F66:L67"/>
    <mergeCell ref="F68:L68"/>
    <mergeCell ref="I72:L72"/>
    <mergeCell ref="F76:H76"/>
    <mergeCell ref="F73:H73"/>
    <mergeCell ref="F74:H74"/>
    <mergeCell ref="F75:H75"/>
    <mergeCell ref="I73:L73"/>
    <mergeCell ref="I74:L74"/>
    <mergeCell ref="I75:L75"/>
    <mergeCell ref="I76:L76"/>
    <mergeCell ref="F87:H87"/>
    <mergeCell ref="I87:L87"/>
    <mergeCell ref="F88:H88"/>
    <mergeCell ref="I88:L88"/>
    <mergeCell ref="F89:H89"/>
    <mergeCell ref="I89:L89"/>
    <mergeCell ref="F62:H62"/>
    <mergeCell ref="Z105:AC108"/>
    <mergeCell ref="M119:P119"/>
    <mergeCell ref="Q119:R119"/>
    <mergeCell ref="S119:U119"/>
    <mergeCell ref="D126:X127"/>
    <mergeCell ref="D6:S6"/>
    <mergeCell ref="D49:S49"/>
    <mergeCell ref="D96:S96"/>
    <mergeCell ref="M122:P122"/>
    <mergeCell ref="Q122:R122"/>
    <mergeCell ref="S122:U122"/>
    <mergeCell ref="M123:P123"/>
    <mergeCell ref="Q123:R123"/>
    <mergeCell ref="S123:U123"/>
    <mergeCell ref="M120:P120"/>
    <mergeCell ref="Q120:R120"/>
    <mergeCell ref="S120:U120"/>
    <mergeCell ref="F77:H77"/>
    <mergeCell ref="I77:L77"/>
    <mergeCell ref="T96:V96"/>
    <mergeCell ref="W96:X96"/>
    <mergeCell ref="E95:H95"/>
    <mergeCell ref="N95:R95"/>
    <mergeCell ref="S95:W95"/>
  </mergeCells>
  <conditionalFormatting sqref="K20:K32">
    <cfRule type="cellIs" dxfId="87" priority="7" operator="lessThan">
      <formula>0</formula>
    </cfRule>
    <cfRule type="cellIs" dxfId="86" priority="8" operator="greaterThan">
      <formula>0</formula>
    </cfRule>
  </conditionalFormatting>
  <conditionalFormatting sqref="O20:O32">
    <cfRule type="cellIs" dxfId="85" priority="5" operator="lessThan">
      <formula>0</formula>
    </cfRule>
    <cfRule type="cellIs" dxfId="84" priority="6" operator="greaterThan">
      <formula>0</formula>
    </cfRule>
  </conditionalFormatting>
  <conditionalFormatting sqref="S20:S32">
    <cfRule type="cellIs" dxfId="83" priority="3" operator="lessThan">
      <formula>0</formula>
    </cfRule>
    <cfRule type="cellIs" dxfId="82" priority="4" operator="greaterThan">
      <formula>0</formula>
    </cfRule>
  </conditionalFormatting>
  <conditionalFormatting sqref="W20:W32">
    <cfRule type="cellIs" dxfId="81" priority="1" operator="lessThan">
      <formula>0</formula>
    </cfRule>
    <cfRule type="cellIs" dxfId="80" priority="2" operator="greaterThan">
      <formula>0</formula>
    </cfRule>
  </conditionalFormatting>
  <printOptions horizontalCentered="1" verticalCentered="1"/>
  <pageMargins left="0.25" right="0.25" top="0.5" bottom="0.5" header="0.3" footer="0.3"/>
  <pageSetup scale="74" fitToHeight="0" orientation="landscape" r:id="rId1"/>
  <headerFooter scaleWithDoc="0" alignWithMargins="0"/>
  <rowBreaks count="2" manualBreakCount="2">
    <brk id="48" min="3" max="23" man="1"/>
    <brk id="95" min="3" max="2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CC126-CA27-4437-9B3C-B4A377FE3FA1}">
  <sheetPr codeName="wsRENTAL_PACKET">
    <tabColor rgb="FFDBE5F1"/>
    <pageSetUpPr fitToPage="1"/>
  </sheetPr>
  <dimension ref="A1:AB299"/>
  <sheetViews>
    <sheetView showGridLines="0" showRowColHeaders="0" zoomScaleNormal="100" workbookViewId="0">
      <pane ySplit="4" topLeftCell="A5" activePane="bottomLeft" state="frozen"/>
      <selection pane="bottomLeft" activeCell="X8" sqref="X8"/>
    </sheetView>
  </sheetViews>
  <sheetFormatPr defaultColWidth="11.19921875" defaultRowHeight="15" customHeight="1"/>
  <cols>
    <col min="1" max="1" width="21.6484375" style="1346" customWidth="1"/>
    <col min="2" max="6" width="6.09765625" style="1346" customWidth="1"/>
    <col min="7" max="21" width="7.44921875" style="1346" customWidth="1"/>
    <col min="22" max="23" width="5.44921875" style="1346" customWidth="1"/>
    <col min="24" max="26" width="7" style="1346" customWidth="1"/>
    <col min="27" max="27" width="10.44921875" style="1346" customWidth="1"/>
    <col min="28" max="28" width="10.19921875" style="1346" customWidth="1"/>
    <col min="29" max="16384" width="11.19921875" style="1346"/>
  </cols>
  <sheetData>
    <row r="1" spans="1:28" ht="46.5" customHeight="1">
      <c r="A1" s="1013"/>
      <c r="B1" s="1013"/>
      <c r="C1" s="1013"/>
      <c r="D1" s="1013"/>
      <c r="E1" s="1013"/>
      <c r="F1" s="1013"/>
      <c r="G1" s="1013"/>
      <c r="H1" s="1013"/>
      <c r="I1" s="1013"/>
      <c r="J1" s="1013"/>
      <c r="K1" s="1013"/>
      <c r="L1" s="1013"/>
      <c r="M1" s="1013"/>
      <c r="N1" s="1013"/>
      <c r="O1" s="1013"/>
      <c r="P1" s="1013"/>
      <c r="Q1" s="1013"/>
      <c r="R1" s="1013"/>
      <c r="S1" s="1013"/>
      <c r="T1" s="1013"/>
      <c r="U1" s="1013"/>
      <c r="V1" s="1013"/>
      <c r="W1" s="1013"/>
      <c r="X1" s="1013"/>
      <c r="Y1" s="1013"/>
      <c r="Z1" s="1013"/>
      <c r="AA1" s="1013"/>
      <c r="AB1" s="1013"/>
    </row>
    <row r="2" spans="1:28" ht="7.5" customHeight="1">
      <c r="A2" s="1288"/>
      <c r="B2" s="4225" t="s">
        <v>1836</v>
      </c>
      <c r="C2" s="4226"/>
      <c r="D2" s="4226"/>
      <c r="E2" s="4226"/>
      <c r="F2" s="4226"/>
      <c r="G2" s="1289"/>
      <c r="H2" s="1288"/>
      <c r="I2" s="1288"/>
      <c r="J2" s="1288"/>
      <c r="K2" s="1288"/>
      <c r="L2" s="1288"/>
      <c r="M2" s="1288"/>
      <c r="N2" s="1290"/>
      <c r="O2" s="1290"/>
      <c r="P2" s="1291"/>
      <c r="Q2" s="1288"/>
      <c r="R2" s="1288"/>
      <c r="S2" s="4229" t="s">
        <v>1799</v>
      </c>
      <c r="T2" s="4229"/>
      <c r="U2" s="4229"/>
      <c r="V2" s="1288"/>
      <c r="W2" s="1288"/>
      <c r="X2" s="1288"/>
      <c r="Y2" s="1288"/>
      <c r="Z2" s="1288"/>
      <c r="AA2" s="1288"/>
      <c r="AB2" s="1288"/>
    </row>
    <row r="3" spans="1:28" ht="22.5" customHeight="1">
      <c r="A3" s="1288"/>
      <c r="B3" s="4226"/>
      <c r="C3" s="4227"/>
      <c r="D3" s="4227"/>
      <c r="E3" s="4227"/>
      <c r="F3" s="4226"/>
      <c r="G3" s="1292"/>
      <c r="H3" s="1288"/>
      <c r="I3" s="1288"/>
      <c r="J3" s="1288"/>
      <c r="K3" s="1288"/>
      <c r="L3" s="1288"/>
      <c r="M3" s="1288"/>
      <c r="N3" s="1290"/>
      <c r="O3" s="1290"/>
      <c r="P3" s="1291"/>
      <c r="Q3" s="1288"/>
      <c r="R3" s="1288"/>
      <c r="S3" s="4229"/>
      <c r="T3" s="4229"/>
      <c r="U3" s="4229"/>
      <c r="V3" s="1288"/>
      <c r="W3" s="1288"/>
      <c r="X3" s="1288"/>
      <c r="Y3" s="1288"/>
      <c r="Z3" s="1288"/>
      <c r="AA3" s="1288"/>
      <c r="AB3" s="1288"/>
    </row>
    <row r="4" spans="1:28" ht="7.5" customHeight="1">
      <c r="A4" s="1293"/>
      <c r="B4" s="4228"/>
      <c r="C4" s="4228"/>
      <c r="D4" s="4228"/>
      <c r="E4" s="4228"/>
      <c r="F4" s="4228"/>
      <c r="G4" s="1294"/>
      <c r="H4" s="1295"/>
      <c r="I4" s="1295"/>
      <c r="J4" s="1295"/>
      <c r="K4" s="1295"/>
      <c r="L4" s="1295"/>
      <c r="M4" s="1295"/>
      <c r="N4" s="1296"/>
      <c r="O4" s="1296"/>
      <c r="P4" s="1297"/>
      <c r="Q4" s="1293"/>
      <c r="R4" s="1293"/>
      <c r="S4" s="4230"/>
      <c r="T4" s="4230"/>
      <c r="U4" s="4230"/>
      <c r="V4" s="1293"/>
      <c r="W4" s="1293"/>
      <c r="X4" s="1293"/>
      <c r="Y4" s="1293"/>
      <c r="Z4" s="1293"/>
      <c r="AA4" s="1293"/>
      <c r="AB4" s="1293"/>
    </row>
    <row r="5" spans="1:28" ht="14.25" customHeight="1">
      <c r="A5" s="1288"/>
      <c r="B5" s="1288"/>
      <c r="C5" s="1288"/>
      <c r="D5" s="1288"/>
      <c r="E5" s="1288"/>
      <c r="F5" s="1288"/>
      <c r="G5" s="1288"/>
      <c r="H5" s="1288"/>
      <c r="I5" s="1288"/>
      <c r="J5" s="1288"/>
      <c r="K5" s="1288"/>
      <c r="L5" s="1288"/>
      <c r="M5" s="1288"/>
      <c r="N5" s="1288"/>
      <c r="O5" s="1288"/>
      <c r="P5" s="1288"/>
      <c r="Q5" s="1288"/>
      <c r="R5" s="1288"/>
      <c r="S5" s="1288"/>
      <c r="T5" s="1288"/>
      <c r="U5" s="1288"/>
      <c r="V5" s="1288"/>
      <c r="W5" s="1288"/>
      <c r="X5" s="1288"/>
      <c r="Y5" s="1288"/>
      <c r="Z5" s="1288"/>
      <c r="AA5" s="1288"/>
      <c r="AB5" s="1288"/>
    </row>
    <row r="6" spans="1:28" ht="21.75" customHeight="1">
      <c r="A6" s="1288"/>
      <c r="B6" s="1288"/>
      <c r="C6" s="1288"/>
      <c r="D6" s="1288"/>
      <c r="E6" s="1288"/>
      <c r="F6" s="1288"/>
      <c r="G6" s="4134" t="str">
        <f>CONCATENATE(Street_Address,", ",City_State_Zip)</f>
        <v>, 0</v>
      </c>
      <c r="H6" s="4135"/>
      <c r="I6" s="4135"/>
      <c r="J6" s="4135"/>
      <c r="K6" s="4135"/>
      <c r="L6" s="4135"/>
      <c r="M6" s="4135"/>
      <c r="N6" s="4135"/>
      <c r="O6" s="4135"/>
      <c r="P6" s="4135"/>
      <c r="Q6" s="4135"/>
      <c r="R6" s="4135"/>
      <c r="S6" s="4135"/>
      <c r="T6" s="4135"/>
      <c r="U6" s="4135"/>
      <c r="V6" s="1288"/>
      <c r="W6" s="1288"/>
      <c r="X6" s="1288"/>
      <c r="Y6" s="1288"/>
      <c r="Z6" s="1288"/>
      <c r="AA6" s="1288"/>
      <c r="AB6" s="1288"/>
    </row>
    <row r="7" spans="1:28" ht="14.25" customHeight="1">
      <c r="A7" s="1288"/>
      <c r="B7" s="1288"/>
      <c r="C7" s="1288"/>
      <c r="D7" s="1288"/>
      <c r="E7" s="1288"/>
      <c r="F7" s="1288"/>
      <c r="G7" s="1298"/>
      <c r="H7" s="1299"/>
      <c r="I7" s="1299"/>
      <c r="J7" s="1299"/>
      <c r="K7" s="1299"/>
      <c r="L7" s="1299"/>
      <c r="M7" s="1299"/>
      <c r="N7" s="1299"/>
      <c r="O7" s="1299"/>
      <c r="P7" s="1299"/>
      <c r="Q7" s="1347"/>
      <c r="R7" s="1347"/>
      <c r="S7" s="1347"/>
      <c r="T7" s="1347"/>
      <c r="U7" s="1347"/>
      <c r="V7" s="1288"/>
      <c r="W7" s="1288"/>
      <c r="X7" s="1288"/>
      <c r="Y7" s="1288"/>
      <c r="Z7" s="1288"/>
      <c r="AA7" s="1288"/>
      <c r="AB7" s="1288"/>
    </row>
    <row r="8" spans="1:28" ht="28.5" customHeight="1">
      <c r="A8" s="1288"/>
      <c r="B8" s="1288"/>
      <c r="C8" s="1288"/>
      <c r="D8" s="1288"/>
      <c r="E8" s="1288"/>
      <c r="F8" s="1288"/>
      <c r="G8" s="1401" t="s">
        <v>1800</v>
      </c>
      <c r="H8" s="1299"/>
      <c r="I8" s="1299"/>
      <c r="J8" s="1299"/>
      <c r="K8" s="1299"/>
      <c r="L8" s="1299"/>
      <c r="M8" s="1299"/>
      <c r="N8" s="1299"/>
      <c r="O8" s="1299"/>
      <c r="P8" s="1299"/>
      <c r="Q8" s="4136"/>
      <c r="R8" s="3083"/>
      <c r="S8" s="3083"/>
      <c r="T8" s="3083"/>
      <c r="U8" s="3083"/>
      <c r="V8" s="1288"/>
      <c r="W8" s="1288"/>
      <c r="X8" s="1288"/>
      <c r="Y8" s="1288"/>
      <c r="Z8" s="1288"/>
      <c r="AA8" s="1288"/>
      <c r="AB8" s="1288"/>
    </row>
    <row r="9" spans="1:28" ht="15" customHeight="1">
      <c r="A9" s="1288"/>
      <c r="B9" s="1288"/>
      <c r="C9" s="1288"/>
      <c r="D9" s="1288"/>
      <c r="E9" s="1288"/>
      <c r="F9" s="1288"/>
      <c r="G9" s="4137"/>
      <c r="H9" s="3083"/>
      <c r="I9" s="3083"/>
      <c r="J9" s="3083"/>
      <c r="K9" s="3083"/>
      <c r="L9" s="3083"/>
      <c r="M9" s="3083"/>
      <c r="N9" s="1300"/>
      <c r="O9" s="1300"/>
      <c r="P9" s="1300"/>
      <c r="Q9" s="3083"/>
      <c r="R9" s="3083"/>
      <c r="S9" s="3083"/>
      <c r="T9" s="3083"/>
      <c r="U9" s="3083"/>
      <c r="V9" s="1288"/>
      <c r="W9" s="1288"/>
      <c r="X9" s="1288"/>
      <c r="Y9" s="1288"/>
      <c r="Z9" s="1288"/>
      <c r="AA9" s="1288"/>
      <c r="AB9" s="1288"/>
    </row>
    <row r="10" spans="1:28" ht="15" customHeight="1">
      <c r="A10" s="1288"/>
      <c r="B10" s="1288"/>
      <c r="C10" s="1288"/>
      <c r="D10" s="1288"/>
      <c r="E10" s="1288"/>
      <c r="F10" s="1288"/>
      <c r="G10" s="1348"/>
      <c r="N10" s="1300"/>
      <c r="O10" s="1300"/>
      <c r="P10" s="1300"/>
      <c r="V10" s="1288"/>
      <c r="W10" s="1288"/>
      <c r="X10" s="1288"/>
      <c r="Y10" s="1288"/>
      <c r="Z10" s="1288"/>
      <c r="AA10" s="1288"/>
      <c r="AB10" s="1288"/>
    </row>
    <row r="11" spans="1:28" ht="20.7">
      <c r="A11" s="1288"/>
      <c r="B11" s="1288"/>
      <c r="C11" s="1288"/>
      <c r="D11" s="1288"/>
      <c r="E11" s="1288"/>
      <c r="F11" s="1288"/>
      <c r="G11" s="4231" t="s">
        <v>1801</v>
      </c>
      <c r="H11" s="4232"/>
      <c r="I11" s="4232"/>
      <c r="J11" s="4232"/>
      <c r="K11" s="4232"/>
      <c r="N11" s="1300"/>
      <c r="O11" s="1300"/>
      <c r="P11" s="1300"/>
      <c r="V11" s="1288"/>
      <c r="W11" s="1288"/>
      <c r="X11" s="1288"/>
      <c r="Y11" s="1288"/>
      <c r="Z11" s="1288"/>
      <c r="AA11" s="1288"/>
      <c r="AB11" s="1288"/>
    </row>
    <row r="12" spans="1:28" ht="18" customHeight="1">
      <c r="A12" s="1288"/>
      <c r="B12" s="1288"/>
      <c r="C12" s="1288"/>
      <c r="D12" s="1288"/>
      <c r="E12" s="1288"/>
      <c r="F12" s="1288"/>
      <c r="L12" s="1362"/>
      <c r="M12" s="1362"/>
      <c r="N12" s="1299"/>
      <c r="O12" s="1302"/>
      <c r="P12" s="1299"/>
      <c r="V12" s="1288"/>
      <c r="W12" s="1288"/>
      <c r="X12" s="1288"/>
      <c r="Y12" s="1288"/>
      <c r="Z12" s="1288"/>
      <c r="AA12" s="1288"/>
      <c r="AB12" s="1288"/>
    </row>
    <row r="13" spans="1:28" ht="18" customHeight="1">
      <c r="A13" s="1288"/>
      <c r="B13" s="1288"/>
      <c r="C13" s="1288"/>
      <c r="D13" s="1288"/>
      <c r="E13" s="1288"/>
      <c r="F13" s="1288"/>
      <c r="G13" s="4219" t="s">
        <v>1203</v>
      </c>
      <c r="H13" s="3151"/>
      <c r="I13" s="3151"/>
      <c r="J13" s="3151"/>
      <c r="K13" s="3151"/>
      <c r="L13" s="4220">
        <f>'RENTAL PURCHASE SETUP'!AA7</f>
        <v>0</v>
      </c>
      <c r="M13" s="3151"/>
      <c r="N13" s="4221"/>
      <c r="O13" s="4221"/>
      <c r="P13" s="1299"/>
      <c r="V13" s="1288"/>
      <c r="W13" s="1288"/>
      <c r="X13" s="1288"/>
      <c r="Y13" s="1288"/>
      <c r="Z13" s="1288"/>
      <c r="AA13" s="1288"/>
      <c r="AB13" s="1288"/>
    </row>
    <row r="14" spans="1:28" ht="18" customHeight="1">
      <c r="A14" s="1288"/>
      <c r="B14" s="1288"/>
      <c r="C14" s="1288"/>
      <c r="D14" s="1288"/>
      <c r="E14" s="1288"/>
      <c r="F14" s="1288"/>
      <c r="G14" s="1363"/>
      <c r="H14" s="1363"/>
      <c r="I14" s="1363"/>
      <c r="J14" s="1363"/>
      <c r="K14" s="1363"/>
      <c r="L14" s="4221"/>
      <c r="M14" s="4222"/>
      <c r="N14" s="4221" t="s">
        <v>962</v>
      </c>
      <c r="O14" s="4221"/>
      <c r="P14" s="1299"/>
      <c r="Q14" s="4173" t="s">
        <v>343</v>
      </c>
      <c r="R14" s="3398"/>
      <c r="S14" s="3398"/>
      <c r="T14" s="3398"/>
      <c r="U14" s="3399"/>
      <c r="V14" s="1288"/>
      <c r="W14" s="1288"/>
      <c r="X14" s="1288"/>
      <c r="Y14" s="1288"/>
      <c r="Z14" s="1288"/>
      <c r="AA14" s="1288"/>
      <c r="AB14" s="1288"/>
    </row>
    <row r="15" spans="1:28" ht="18" customHeight="1">
      <c r="A15" s="1288"/>
      <c r="B15" s="1288"/>
      <c r="C15" s="1288"/>
      <c r="D15" s="1288"/>
      <c r="E15" s="1288"/>
      <c r="F15" s="1288"/>
      <c r="G15" s="4216" t="s">
        <v>794</v>
      </c>
      <c r="H15" s="4217"/>
      <c r="I15" s="4217"/>
      <c r="J15" s="4217"/>
      <c r="K15" s="4217"/>
      <c r="L15" s="4218">
        <f>'RENTAL PURCHASE SETUP'!AA10</f>
        <v>0</v>
      </c>
      <c r="M15" s="4217"/>
      <c r="N15" s="4224">
        <f>IFERROR(L15/'RENTAL PURCHASE SETUP'!$AA$7,0)</f>
        <v>0</v>
      </c>
      <c r="O15" s="4224"/>
      <c r="P15" s="1299"/>
      <c r="Q15" s="4223">
        <f>L13</f>
        <v>0</v>
      </c>
      <c r="R15" s="4180"/>
      <c r="S15" s="4180"/>
      <c r="T15" s="4180"/>
      <c r="U15" s="4181"/>
      <c r="V15" s="1288"/>
      <c r="W15" s="1288"/>
      <c r="X15" s="1288"/>
      <c r="Y15" s="1288"/>
      <c r="Z15" s="1288"/>
      <c r="AA15" s="1288"/>
      <c r="AB15" s="1288"/>
    </row>
    <row r="16" spans="1:28" ht="18" customHeight="1">
      <c r="A16" s="1288"/>
      <c r="B16" s="1288"/>
      <c r="C16" s="1288"/>
      <c r="D16" s="1288"/>
      <c r="E16" s="1288"/>
      <c r="F16" s="1288"/>
      <c r="G16" s="4216" t="s">
        <v>74</v>
      </c>
      <c r="H16" s="4217"/>
      <c r="I16" s="4217"/>
      <c r="J16" s="4217"/>
      <c r="K16" s="4217"/>
      <c r="L16" s="4218">
        <f>'RENTAL PURCHASE SETUP'!AA11</f>
        <v>0</v>
      </c>
      <c r="M16" s="4217"/>
      <c r="N16" s="4224">
        <f>IFERROR(L16/'RENTAL PURCHASE SETUP'!$AA$7,0)</f>
        <v>0</v>
      </c>
      <c r="O16" s="4224"/>
      <c r="P16" s="1299"/>
      <c r="Q16" s="4179"/>
      <c r="R16" s="4180"/>
      <c r="S16" s="4180"/>
      <c r="T16" s="4180"/>
      <c r="U16" s="4181"/>
      <c r="V16" s="1288"/>
      <c r="W16" s="1288"/>
      <c r="X16" s="1288"/>
      <c r="Y16" s="1288"/>
      <c r="Z16" s="1288"/>
      <c r="AA16" s="1288"/>
      <c r="AB16" s="1288"/>
    </row>
    <row r="17" spans="1:28" ht="18" customHeight="1">
      <c r="A17" s="1288"/>
      <c r="B17" s="1288"/>
      <c r="C17" s="1288"/>
      <c r="D17" s="1288"/>
      <c r="E17" s="1288"/>
      <c r="F17" s="1288"/>
      <c r="G17" s="4216" t="s">
        <v>1708</v>
      </c>
      <c r="H17" s="4217"/>
      <c r="I17" s="4217"/>
      <c r="J17" s="4217"/>
      <c r="K17" s="4217"/>
      <c r="L17" s="4218">
        <f>'RENTAL PURCHASE SETUP'!AA15</f>
        <v>0</v>
      </c>
      <c r="M17" s="4217"/>
      <c r="N17" s="4224">
        <f>IFERROR(L17/'RENTAL PURCHASE SETUP'!$AA$7,0)</f>
        <v>0</v>
      </c>
      <c r="O17" s="4224"/>
      <c r="P17" s="1299"/>
      <c r="Q17" s="4182"/>
      <c r="R17" s="4183"/>
      <c r="S17" s="4183"/>
      <c r="T17" s="4183"/>
      <c r="U17" s="4184"/>
      <c r="V17" s="1288"/>
      <c r="W17" s="1288"/>
      <c r="X17" s="1288"/>
      <c r="Y17" s="1288"/>
      <c r="Z17" s="1288"/>
      <c r="AA17" s="1288"/>
      <c r="AB17" s="1288"/>
    </row>
    <row r="18" spans="1:28" ht="18" customHeight="1">
      <c r="A18" s="1288"/>
      <c r="B18" s="1288"/>
      <c r="C18" s="1288"/>
      <c r="D18" s="1288"/>
      <c r="E18" s="1288"/>
      <c r="F18" s="1288"/>
      <c r="G18" s="4216" t="s">
        <v>75</v>
      </c>
      <c r="H18" s="4217"/>
      <c r="I18" s="4217"/>
      <c r="J18" s="4217"/>
      <c r="K18" s="4217"/>
      <c r="L18" s="4218">
        <f>'RENTAL PURCHASE SETUP'!AA24</f>
        <v>0</v>
      </c>
      <c r="M18" s="4217"/>
      <c r="N18" s="4224">
        <f>IFERROR(L18/'RENTAL PURCHASE SETUP'!$AA$7,0)</f>
        <v>0</v>
      </c>
      <c r="O18" s="4224"/>
      <c r="P18" s="1299"/>
      <c r="Q18" s="1300"/>
      <c r="R18" s="1300"/>
      <c r="S18" s="1300"/>
      <c r="T18" s="1300"/>
      <c r="U18" s="1300"/>
      <c r="V18" s="1288"/>
      <c r="W18" s="1288"/>
      <c r="X18" s="1288"/>
      <c r="Y18" s="1288"/>
      <c r="Z18" s="1288"/>
      <c r="AA18" s="1288"/>
      <c r="AB18" s="1288"/>
    </row>
    <row r="19" spans="1:28" ht="18" customHeight="1">
      <c r="A19" s="1288"/>
      <c r="B19" s="1288"/>
      <c r="C19" s="1288"/>
      <c r="D19" s="1288"/>
      <c r="E19" s="1288"/>
      <c r="F19" s="1288"/>
      <c r="G19" s="4216" t="s">
        <v>1591</v>
      </c>
      <c r="H19" s="4217"/>
      <c r="I19" s="4217"/>
      <c r="J19" s="4217"/>
      <c r="K19" s="4217"/>
      <c r="L19" s="4218">
        <f>'RENTAL PURCHASE SETUP'!AA53</f>
        <v>0</v>
      </c>
      <c r="M19" s="4217"/>
      <c r="N19" s="4224">
        <f>IFERROR(L19/'RENTAL PURCHASE SETUP'!$AA$7,0)</f>
        <v>0</v>
      </c>
      <c r="O19" s="4224"/>
      <c r="P19" s="1299"/>
      <c r="Q19" s="4173" t="s">
        <v>953</v>
      </c>
      <c r="R19" s="3398"/>
      <c r="S19" s="3398"/>
      <c r="T19" s="3398"/>
      <c r="U19" s="3399"/>
      <c r="V19" s="1288"/>
      <c r="W19" s="1288"/>
      <c r="X19" s="1288"/>
      <c r="Y19" s="1288"/>
      <c r="Z19" s="1288"/>
      <c r="AA19" s="1288"/>
      <c r="AB19" s="1288"/>
    </row>
    <row r="20" spans="1:28" ht="18" customHeight="1" thickBot="1">
      <c r="A20" s="1288"/>
      <c r="B20" s="1288"/>
      <c r="C20" s="1288"/>
      <c r="D20" s="1288"/>
      <c r="E20" s="1288"/>
      <c r="F20" s="1288"/>
      <c r="G20" s="4186" t="s">
        <v>77</v>
      </c>
      <c r="H20" s="4209"/>
      <c r="I20" s="4209"/>
      <c r="J20" s="4209"/>
      <c r="K20" s="4209"/>
      <c r="L20" s="4188">
        <f>'RENTAL PURCHASE SETUP'!AA28</f>
        <v>0</v>
      </c>
      <c r="M20" s="4209"/>
      <c r="N20" s="4212">
        <f>IFERROR(L20/'RENTAL PURCHASE SETUP'!$AA$7,0)</f>
        <v>0</v>
      </c>
      <c r="O20" s="4212"/>
      <c r="P20" s="1299"/>
      <c r="Q20" s="4201">
        <f>L21</f>
        <v>0</v>
      </c>
      <c r="R20" s="4202"/>
      <c r="S20" s="4202"/>
      <c r="T20" s="4202"/>
      <c r="U20" s="4203"/>
      <c r="V20" s="1288"/>
      <c r="W20" s="1288"/>
      <c r="X20" s="1288"/>
      <c r="Y20" s="1288"/>
      <c r="Z20" s="1288"/>
      <c r="AA20" s="1288"/>
      <c r="AB20" s="1288"/>
    </row>
    <row r="21" spans="1:28" ht="18" customHeight="1" thickTop="1">
      <c r="A21" s="1288"/>
      <c r="B21" s="1288"/>
      <c r="C21" s="1288"/>
      <c r="D21" s="1288"/>
      <c r="E21" s="1288"/>
      <c r="F21" s="1288"/>
      <c r="G21" s="4210" t="s">
        <v>1205</v>
      </c>
      <c r="H21" s="4171"/>
      <c r="I21" s="4171"/>
      <c r="J21" s="4171"/>
      <c r="K21" s="4171"/>
      <c r="L21" s="4211">
        <f>SUM(L15:M20)</f>
        <v>0</v>
      </c>
      <c r="M21" s="4171"/>
      <c r="N21" s="4213">
        <f>IFERROR(L21/'RENTAL PURCHASE SETUP'!$AA$7,0)</f>
        <v>0</v>
      </c>
      <c r="O21" s="4213"/>
      <c r="P21" s="1299"/>
      <c r="Q21" s="4179"/>
      <c r="R21" s="4180"/>
      <c r="S21" s="4180"/>
      <c r="T21" s="4180"/>
      <c r="U21" s="4181"/>
      <c r="V21" s="1288"/>
      <c r="W21" s="1288"/>
      <c r="X21" s="1288"/>
      <c r="Y21" s="1288"/>
      <c r="Z21" s="1288"/>
      <c r="AA21" s="1288"/>
      <c r="AB21" s="1288"/>
    </row>
    <row r="22" spans="1:28" ht="18" customHeight="1">
      <c r="A22" s="1288"/>
      <c r="B22" s="1288"/>
      <c r="C22" s="1288"/>
      <c r="D22" s="1288"/>
      <c r="E22" s="1288"/>
      <c r="F22" s="1288"/>
      <c r="G22" s="1365"/>
      <c r="H22" s="1365"/>
      <c r="I22" s="1365"/>
      <c r="J22" s="1365"/>
      <c r="K22" s="1365"/>
      <c r="L22" s="1352"/>
      <c r="M22" s="1352"/>
      <c r="N22" s="1366"/>
      <c r="O22" s="1303"/>
      <c r="P22" s="1299"/>
      <c r="Q22" s="4182"/>
      <c r="R22" s="4183"/>
      <c r="S22" s="4183"/>
      <c r="T22" s="4183"/>
      <c r="U22" s="4184"/>
      <c r="V22" s="1288"/>
      <c r="W22" s="1288"/>
      <c r="X22" s="1288"/>
      <c r="Y22" s="1288"/>
      <c r="Z22" s="1288"/>
      <c r="AA22" s="1288"/>
      <c r="AB22" s="1288"/>
    </row>
    <row r="23" spans="1:28" ht="18" customHeight="1">
      <c r="A23" s="1288"/>
      <c r="B23" s="1288"/>
      <c r="C23" s="1288"/>
      <c r="D23" s="1288"/>
      <c r="E23" s="1288"/>
      <c r="F23" s="1288"/>
      <c r="G23" s="4174" t="s">
        <v>1802</v>
      </c>
      <c r="H23" s="4171"/>
      <c r="I23" s="4171"/>
      <c r="J23" s="4171"/>
      <c r="K23" s="4171"/>
      <c r="L23" s="4175">
        <f>L13-L21</f>
        <v>0</v>
      </c>
      <c r="M23" s="4171"/>
      <c r="N23" s="4214">
        <f>1-N21</f>
        <v>1</v>
      </c>
      <c r="O23" s="4214"/>
      <c r="P23" s="1299"/>
      <c r="V23" s="1288"/>
      <c r="W23" s="1288"/>
      <c r="X23" s="1288"/>
      <c r="Y23" s="1288"/>
      <c r="Z23" s="1288"/>
      <c r="AA23" s="1288"/>
      <c r="AB23" s="1288"/>
    </row>
    <row r="24" spans="1:28" ht="18" customHeight="1">
      <c r="A24" s="1288"/>
      <c r="B24" s="1288"/>
      <c r="C24" s="1288"/>
      <c r="D24" s="1288"/>
      <c r="E24" s="1288"/>
      <c r="F24" s="1288"/>
      <c r="G24" s="1365"/>
      <c r="H24" s="1365"/>
      <c r="I24" s="1365"/>
      <c r="J24" s="1365"/>
      <c r="K24" s="1365"/>
      <c r="L24" s="1352"/>
      <c r="M24" s="1352"/>
      <c r="N24" s="1366"/>
      <c r="O24" s="1303"/>
      <c r="P24" s="1299"/>
      <c r="Q24" s="4173" t="s">
        <v>1802</v>
      </c>
      <c r="R24" s="3398"/>
      <c r="S24" s="3398"/>
      <c r="T24" s="3398"/>
      <c r="U24" s="3399"/>
      <c r="V24" s="1288"/>
      <c r="W24" s="1288"/>
      <c r="X24" s="1288"/>
      <c r="Y24" s="1288"/>
      <c r="Z24" s="1288"/>
      <c r="AA24" s="1288"/>
      <c r="AB24" s="1288"/>
    </row>
    <row r="25" spans="1:28" ht="18" customHeight="1">
      <c r="A25" s="1288"/>
      <c r="B25" s="1288"/>
      <c r="C25" s="1288"/>
      <c r="D25" s="1288"/>
      <c r="E25" s="1288"/>
      <c r="F25" s="1288"/>
      <c r="G25" s="4206" t="s">
        <v>1840</v>
      </c>
      <c r="H25" s="4207"/>
      <c r="I25" s="4207"/>
      <c r="J25" s="4207"/>
      <c r="K25" s="4207"/>
      <c r="L25" s="1301"/>
      <c r="M25" s="1301"/>
      <c r="N25" s="1367"/>
      <c r="O25" s="1303"/>
      <c r="P25" s="1299"/>
      <c r="Q25" s="4208">
        <f>L23</f>
        <v>0</v>
      </c>
      <c r="R25" s="4177"/>
      <c r="S25" s="4177"/>
      <c r="T25" s="4177"/>
      <c r="U25" s="4178"/>
      <c r="V25" s="1288"/>
      <c r="W25" s="1288"/>
      <c r="X25" s="1288"/>
      <c r="Y25" s="1288"/>
      <c r="Z25" s="1288"/>
      <c r="AA25" s="1288"/>
      <c r="AB25" s="1288"/>
    </row>
    <row r="26" spans="1:28" ht="18" customHeight="1">
      <c r="A26" s="1288"/>
      <c r="B26" s="1288"/>
      <c r="C26" s="1288"/>
      <c r="D26" s="1288"/>
      <c r="E26" s="1288"/>
      <c r="F26" s="1288"/>
      <c r="G26" s="4189" t="s">
        <v>1692</v>
      </c>
      <c r="H26" s="4190"/>
      <c r="I26" s="4190"/>
      <c r="J26" s="4190"/>
      <c r="K26" s="4190"/>
      <c r="L26" s="4191">
        <f>L21-L20</f>
        <v>0</v>
      </c>
      <c r="M26" s="4190"/>
      <c r="N26" s="4215">
        <f>IFERROR(L26/'RENTAL PURCHASE SETUP'!$AA$7,0)</f>
        <v>0</v>
      </c>
      <c r="O26" s="4215"/>
      <c r="P26" s="1299"/>
      <c r="Q26" s="4179"/>
      <c r="R26" s="4180"/>
      <c r="S26" s="4180"/>
      <c r="T26" s="4180"/>
      <c r="U26" s="4181"/>
      <c r="V26" s="1288"/>
      <c r="W26" s="1288"/>
      <c r="X26" s="1288"/>
      <c r="Y26" s="1288"/>
      <c r="Z26" s="1288"/>
      <c r="AA26" s="1288"/>
      <c r="AB26" s="1288"/>
    </row>
    <row r="27" spans="1:28" ht="18" customHeight="1" thickBot="1">
      <c r="A27" s="1288"/>
      <c r="B27" s="1288"/>
      <c r="C27" s="1288"/>
      <c r="D27" s="1288"/>
      <c r="E27" s="1288"/>
      <c r="F27" s="1288"/>
      <c r="G27" s="4189" t="s">
        <v>1803</v>
      </c>
      <c r="H27" s="4190"/>
      <c r="I27" s="4190"/>
      <c r="J27" s="4190"/>
      <c r="K27" s="4190"/>
      <c r="L27" s="4191">
        <f>-'RENTAL LOAN SETUP'!AA9</f>
        <v>0</v>
      </c>
      <c r="M27" s="4190"/>
      <c r="N27" s="4215"/>
      <c r="O27" s="4215"/>
      <c r="P27" s="1299"/>
      <c r="Q27" s="4182"/>
      <c r="R27" s="4183"/>
      <c r="S27" s="4183"/>
      <c r="T27" s="4183"/>
      <c r="U27" s="4184"/>
      <c r="V27" s="1288"/>
      <c r="W27" s="1288"/>
      <c r="X27" s="1288"/>
      <c r="Y27" s="1288"/>
      <c r="Z27" s="1288"/>
      <c r="AA27" s="1288"/>
      <c r="AB27" s="1288"/>
    </row>
    <row r="28" spans="1:28" ht="18" customHeight="1" thickTop="1">
      <c r="A28" s="1288"/>
      <c r="B28" s="1288"/>
      <c r="C28" s="1288"/>
      <c r="D28" s="1288"/>
      <c r="E28" s="1288"/>
      <c r="F28" s="1288"/>
      <c r="G28" s="4198" t="s">
        <v>1804</v>
      </c>
      <c r="H28" s="4198"/>
      <c r="I28" s="4198"/>
      <c r="J28" s="4198"/>
      <c r="K28" s="4198"/>
      <c r="L28" s="4199">
        <f>SUM(L26:M27)</f>
        <v>0</v>
      </c>
      <c r="M28" s="4199"/>
      <c r="N28" s="4205">
        <f>1-N26</f>
        <v>1</v>
      </c>
      <c r="O28" s="4205"/>
      <c r="P28" s="1299"/>
      <c r="Q28" s="1300"/>
      <c r="R28" s="1300"/>
      <c r="S28" s="1300"/>
      <c r="T28" s="1300"/>
      <c r="U28" s="1300"/>
      <c r="V28" s="1288"/>
      <c r="W28" s="1288"/>
      <c r="X28" s="1288"/>
      <c r="Y28" s="1288"/>
      <c r="Z28" s="1288"/>
      <c r="AA28" s="1288"/>
      <c r="AB28" s="1288"/>
    </row>
    <row r="29" spans="1:28" ht="18" customHeight="1">
      <c r="A29" s="1288"/>
      <c r="B29" s="1288"/>
      <c r="C29" s="1288"/>
      <c r="D29" s="1288"/>
      <c r="E29" s="1288"/>
      <c r="F29" s="1288"/>
      <c r="G29" s="1350"/>
      <c r="H29" s="1304"/>
      <c r="I29" s="1304"/>
      <c r="J29" s="1304"/>
      <c r="K29" s="1304"/>
      <c r="L29" s="1304"/>
      <c r="M29" s="1304"/>
      <c r="N29" s="1304"/>
      <c r="O29" s="1304"/>
      <c r="P29" s="1305"/>
      <c r="Q29" s="4173" t="s">
        <v>1804</v>
      </c>
      <c r="R29" s="3398"/>
      <c r="S29" s="3398"/>
      <c r="T29" s="3398"/>
      <c r="U29" s="3399"/>
      <c r="V29" s="1288"/>
      <c r="W29" s="1288"/>
      <c r="X29" s="1288"/>
      <c r="Y29" s="1288"/>
      <c r="Z29" s="1288"/>
      <c r="AA29" s="1288"/>
      <c r="AB29" s="1288"/>
    </row>
    <row r="30" spans="1:28" ht="18" customHeight="1">
      <c r="A30" s="1288"/>
      <c r="B30" s="1288"/>
      <c r="C30" s="1288"/>
      <c r="D30" s="1288"/>
      <c r="E30" s="1288"/>
      <c r="F30" s="1288"/>
      <c r="G30" s="4200" t="s">
        <v>1843</v>
      </c>
      <c r="H30" s="4200"/>
      <c r="I30" s="4200"/>
      <c r="J30" s="4200"/>
      <c r="K30" s="4200"/>
      <c r="L30" s="4200"/>
      <c r="M30" s="4200"/>
      <c r="N30" s="4200"/>
      <c r="O30" s="4200"/>
      <c r="P30" s="1305"/>
      <c r="Q30" s="4201">
        <f>L28</f>
        <v>0</v>
      </c>
      <c r="R30" s="4202"/>
      <c r="S30" s="4202"/>
      <c r="T30" s="4202"/>
      <c r="U30" s="4203"/>
      <c r="V30" s="1288"/>
      <c r="W30" s="1288"/>
      <c r="X30" s="1288"/>
      <c r="Y30" s="1288"/>
      <c r="Z30" s="1288"/>
      <c r="AA30" s="1288"/>
      <c r="AB30" s="1288"/>
    </row>
    <row r="31" spans="1:28" ht="18" customHeight="1">
      <c r="A31" s="1288"/>
      <c r="B31" s="1288"/>
      <c r="C31" s="1288"/>
      <c r="D31" s="1288"/>
      <c r="E31" s="1288"/>
      <c r="F31" s="1288"/>
      <c r="G31" s="4200"/>
      <c r="H31" s="4200"/>
      <c r="I31" s="4200"/>
      <c r="J31" s="4200"/>
      <c r="K31" s="4200"/>
      <c r="L31" s="4200"/>
      <c r="M31" s="4200"/>
      <c r="N31" s="4200"/>
      <c r="O31" s="4200"/>
      <c r="P31" s="1305"/>
      <c r="Q31" s="4179"/>
      <c r="R31" s="4180"/>
      <c r="S31" s="4180"/>
      <c r="T31" s="4180"/>
      <c r="U31" s="4181"/>
      <c r="V31" s="1288"/>
      <c r="W31" s="1288"/>
      <c r="X31" s="1288"/>
      <c r="Y31" s="1288"/>
      <c r="Z31" s="1288"/>
      <c r="AA31" s="1288"/>
      <c r="AB31" s="1288"/>
    </row>
    <row r="32" spans="1:28" ht="18" customHeight="1">
      <c r="A32" s="1288"/>
      <c r="B32" s="1288"/>
      <c r="C32" s="1288"/>
      <c r="D32" s="1288"/>
      <c r="E32" s="1288"/>
      <c r="F32" s="1288"/>
      <c r="G32" s="1368" t="s">
        <v>590</v>
      </c>
      <c r="H32" s="1369"/>
      <c r="I32" s="1369"/>
      <c r="J32" s="1369"/>
      <c r="K32" s="1370"/>
      <c r="L32" s="4204" t="s">
        <v>906</v>
      </c>
      <c r="M32" s="4194"/>
      <c r="N32" s="4204" t="s">
        <v>907</v>
      </c>
      <c r="O32" s="4194"/>
      <c r="P32" s="1305"/>
      <c r="Q32" s="4182"/>
      <c r="R32" s="4183"/>
      <c r="S32" s="4183"/>
      <c r="T32" s="4183"/>
      <c r="U32" s="4184"/>
      <c r="V32" s="1288"/>
      <c r="W32" s="1288"/>
      <c r="X32" s="1288"/>
      <c r="Y32" s="1288"/>
      <c r="Z32" s="1288"/>
      <c r="AA32" s="1288"/>
      <c r="AB32" s="1288"/>
    </row>
    <row r="33" spans="1:28" ht="18" customHeight="1">
      <c r="A33" s="1288"/>
      <c r="B33" s="1288"/>
      <c r="C33" s="1288"/>
      <c r="D33" s="1288"/>
      <c r="E33" s="1288"/>
      <c r="F33" s="1288"/>
      <c r="G33" s="4189" t="s">
        <v>909</v>
      </c>
      <c r="H33" s="4190"/>
      <c r="I33" s="4190"/>
      <c r="J33" s="4190"/>
      <c r="K33" s="1351"/>
      <c r="L33" s="4191">
        <f>'RENTAL ANALYSIS'!U23</f>
        <v>0</v>
      </c>
      <c r="M33" s="4190"/>
      <c r="N33" s="4191">
        <f>'RENTAL ANALYSIS'!V23</f>
        <v>0</v>
      </c>
      <c r="O33" s="4190"/>
      <c r="P33" s="1305"/>
      <c r="V33" s="1288"/>
      <c r="W33" s="1288"/>
      <c r="X33" s="1288"/>
      <c r="Y33" s="1288"/>
      <c r="Z33" s="1288"/>
      <c r="AA33" s="1288"/>
      <c r="AB33" s="1288"/>
    </row>
    <row r="34" spans="1:28" ht="19.5" customHeight="1">
      <c r="A34" s="1288"/>
      <c r="B34" s="1288"/>
      <c r="C34" s="1288"/>
      <c r="D34" s="1288"/>
      <c r="E34" s="1288"/>
      <c r="F34" s="1288"/>
      <c r="G34" s="4189" t="s">
        <v>592</v>
      </c>
      <c r="H34" s="4190"/>
      <c r="I34" s="4190"/>
      <c r="J34" s="1371"/>
      <c r="K34" s="1351"/>
      <c r="L34" s="4196">
        <f>N34/12</f>
        <v>0</v>
      </c>
      <c r="M34" s="4190"/>
      <c r="N34" s="4196">
        <f>'RENTAL ANALYSIS'!Y24</f>
        <v>0</v>
      </c>
      <c r="O34" s="4190"/>
      <c r="P34" s="1305"/>
      <c r="Q34" s="4173" t="s">
        <v>933</v>
      </c>
      <c r="R34" s="3398"/>
      <c r="S34" s="3398"/>
      <c r="T34" s="3398"/>
      <c r="U34" s="3399"/>
      <c r="V34" s="1288"/>
      <c r="W34" s="1288"/>
      <c r="X34" s="1288"/>
      <c r="Y34" s="1288"/>
      <c r="Z34" s="1288"/>
      <c r="AA34" s="1288"/>
      <c r="AB34" s="1288"/>
    </row>
    <row r="35" spans="1:28" ht="19.5" customHeight="1">
      <c r="A35" s="1288"/>
      <c r="B35" s="1288"/>
      <c r="C35" s="1288"/>
      <c r="D35" s="1288"/>
      <c r="E35" s="1288"/>
      <c r="F35" s="1288"/>
      <c r="G35" s="4189" t="s">
        <v>1741</v>
      </c>
      <c r="H35" s="4190"/>
      <c r="I35" s="4190"/>
      <c r="J35" s="1371"/>
      <c r="K35" s="1351"/>
      <c r="L35" s="4196">
        <f>N35/12</f>
        <v>0</v>
      </c>
      <c r="M35" s="4190"/>
      <c r="N35" s="4196">
        <f>'RENTAL ANALYSIS'!Y25</f>
        <v>0</v>
      </c>
      <c r="O35" s="4190"/>
      <c r="P35" s="1305"/>
      <c r="Q35" s="4192">
        <f>L37</f>
        <v>0</v>
      </c>
      <c r="R35" s="4177"/>
      <c r="S35" s="4177"/>
      <c r="T35" s="4177"/>
      <c r="U35" s="4178"/>
      <c r="V35" s="1288"/>
      <c r="W35" s="1288"/>
      <c r="X35" s="1288"/>
      <c r="Y35" s="1288"/>
      <c r="Z35" s="1288"/>
      <c r="AA35" s="1288"/>
      <c r="AB35" s="1288"/>
    </row>
    <row r="36" spans="1:28" ht="19.5" customHeight="1" thickBot="1">
      <c r="A36" s="1288"/>
      <c r="B36" s="1288"/>
      <c r="C36" s="1288"/>
      <c r="D36" s="1288"/>
      <c r="E36" s="1288"/>
      <c r="F36" s="1288"/>
      <c r="G36" s="4186" t="s">
        <v>1742</v>
      </c>
      <c r="H36" s="4187"/>
      <c r="I36" s="4187"/>
      <c r="J36" s="1372"/>
      <c r="K36" s="1373"/>
      <c r="L36" s="4197">
        <f>N36/12</f>
        <v>0</v>
      </c>
      <c r="M36" s="4187"/>
      <c r="N36" s="4197">
        <f>'RENTAL ANALYSIS'!Y26</f>
        <v>0</v>
      </c>
      <c r="O36" s="4187"/>
      <c r="P36" s="1305"/>
      <c r="Q36" s="4179"/>
      <c r="R36" s="4180"/>
      <c r="S36" s="4180"/>
      <c r="T36" s="4180"/>
      <c r="U36" s="4181"/>
      <c r="V36" s="1288"/>
      <c r="W36" s="1288"/>
      <c r="X36" s="1288"/>
      <c r="Y36" s="1288"/>
      <c r="Z36" s="1288"/>
      <c r="AA36" s="1288"/>
      <c r="AB36" s="1288"/>
    </row>
    <row r="37" spans="1:28" ht="16.5" customHeight="1" thickTop="1">
      <c r="A37" s="1288"/>
      <c r="B37" s="1288"/>
      <c r="C37" s="1288"/>
      <c r="D37" s="1288"/>
      <c r="E37" s="1288"/>
      <c r="F37" s="1288"/>
      <c r="G37" s="4174" t="s">
        <v>593</v>
      </c>
      <c r="H37" s="4171"/>
      <c r="I37" s="4171"/>
      <c r="J37" s="4171"/>
      <c r="K37" s="4171"/>
      <c r="L37" s="4175">
        <f>'RENTAL ANALYSIS'!U27</f>
        <v>0</v>
      </c>
      <c r="M37" s="4171"/>
      <c r="N37" s="4175">
        <f>'RENTAL ANALYSIS'!V27</f>
        <v>0</v>
      </c>
      <c r="O37" s="4171"/>
      <c r="P37" s="1305"/>
      <c r="Q37" s="4182"/>
      <c r="R37" s="4183"/>
      <c r="S37" s="4183"/>
      <c r="T37" s="4183"/>
      <c r="U37" s="4184"/>
      <c r="V37" s="1288"/>
      <c r="W37" s="1288"/>
      <c r="X37" s="1288"/>
      <c r="Y37" s="1288"/>
      <c r="Z37" s="1288"/>
      <c r="AA37" s="1288"/>
      <c r="AB37" s="1288"/>
    </row>
    <row r="38" spans="1:28" ht="16.5" customHeight="1">
      <c r="A38" s="1288"/>
      <c r="B38" s="1288"/>
      <c r="C38" s="1288"/>
      <c r="D38" s="1288"/>
      <c r="E38" s="1288"/>
      <c r="F38" s="1288"/>
      <c r="G38" s="1306"/>
      <c r="H38" s="1306"/>
      <c r="I38" s="1306"/>
      <c r="J38" s="1306"/>
      <c r="K38" s="1306"/>
      <c r="L38" s="1307"/>
      <c r="M38" s="1307"/>
      <c r="N38" s="1307"/>
      <c r="O38" s="1307"/>
      <c r="P38" s="1305"/>
      <c r="V38" s="1288"/>
      <c r="W38" s="1288"/>
      <c r="X38" s="1288"/>
      <c r="Y38" s="1288"/>
      <c r="Z38" s="1288"/>
      <c r="AA38" s="1288"/>
      <c r="AB38" s="1288"/>
    </row>
    <row r="39" spans="1:28" ht="18" customHeight="1">
      <c r="A39" s="1288"/>
      <c r="B39" s="1288"/>
      <c r="C39" s="1288"/>
      <c r="D39" s="1288"/>
      <c r="E39" s="1288"/>
      <c r="F39" s="1288"/>
      <c r="G39" s="4174" t="s">
        <v>594</v>
      </c>
      <c r="H39" s="4171"/>
      <c r="I39" s="4171"/>
      <c r="J39" s="4171"/>
      <c r="K39" s="4171"/>
      <c r="L39" s="4175">
        <f>'RENTAL ANALYSIS'!U48</f>
        <v>0</v>
      </c>
      <c r="M39" s="4171"/>
      <c r="N39" s="4175">
        <f>'RENTAL ANALYSIS'!V48</f>
        <v>0</v>
      </c>
      <c r="O39" s="4171"/>
      <c r="P39" s="1305"/>
      <c r="Q39" s="4173" t="s">
        <v>908</v>
      </c>
      <c r="R39" s="3398"/>
      <c r="S39" s="3398"/>
      <c r="T39" s="3398"/>
      <c r="U39" s="3399"/>
      <c r="V39" s="1288"/>
      <c r="W39" s="1288"/>
      <c r="X39" s="1288"/>
      <c r="Y39" s="1288"/>
      <c r="Z39" s="1288"/>
      <c r="AA39" s="1288"/>
      <c r="AB39" s="1288"/>
    </row>
    <row r="40" spans="1:28" ht="18" customHeight="1">
      <c r="A40" s="1288"/>
      <c r="B40" s="1288"/>
      <c r="C40" s="1288"/>
      <c r="D40" s="1288"/>
      <c r="E40" s="1288"/>
      <c r="F40" s="1288"/>
      <c r="G40" s="1306"/>
      <c r="H40" s="1306"/>
      <c r="I40" s="1306"/>
      <c r="J40" s="1306"/>
      <c r="K40" s="1306"/>
      <c r="L40" s="1307"/>
      <c r="M40" s="1307"/>
      <c r="N40" s="1307"/>
      <c r="O40" s="1307"/>
      <c r="P40" s="1308"/>
      <c r="Q40" s="4192">
        <f>L49</f>
        <v>0</v>
      </c>
      <c r="R40" s="4177"/>
      <c r="S40" s="4177"/>
      <c r="T40" s="4177"/>
      <c r="U40" s="4178"/>
      <c r="V40" s="1288"/>
      <c r="W40" s="1288"/>
      <c r="X40" s="1288"/>
      <c r="Y40" s="1288"/>
      <c r="Z40" s="1288"/>
      <c r="AA40" s="1288"/>
      <c r="AB40" s="1288"/>
    </row>
    <row r="41" spans="1:28" ht="18" customHeight="1">
      <c r="A41" s="1288"/>
      <c r="B41" s="1288"/>
      <c r="C41" s="1288"/>
      <c r="D41" s="1288"/>
      <c r="E41" s="1288"/>
      <c r="F41" s="1288"/>
      <c r="G41" s="4174" t="s">
        <v>597</v>
      </c>
      <c r="H41" s="4171"/>
      <c r="I41" s="4171"/>
      <c r="J41" s="4171"/>
      <c r="K41" s="4171"/>
      <c r="L41" s="4175">
        <f>'RENTAL ANALYSIS'!U50</f>
        <v>0</v>
      </c>
      <c r="M41" s="4171"/>
      <c r="N41" s="4175">
        <f>'RENTAL ANALYSIS'!V50</f>
        <v>0</v>
      </c>
      <c r="O41" s="4171"/>
      <c r="P41" s="1308"/>
      <c r="Q41" s="4179"/>
      <c r="R41" s="4180"/>
      <c r="S41" s="4180"/>
      <c r="T41" s="4180"/>
      <c r="U41" s="4181"/>
      <c r="V41" s="1288"/>
      <c r="W41" s="1288"/>
      <c r="X41" s="1288"/>
      <c r="Y41" s="1288"/>
      <c r="Z41" s="1288"/>
      <c r="AA41" s="1288"/>
      <c r="AB41" s="1288"/>
    </row>
    <row r="42" spans="1:28" ht="18" customHeight="1">
      <c r="A42" s="1288"/>
      <c r="B42" s="1288"/>
      <c r="C42" s="1288"/>
      <c r="D42" s="1288"/>
      <c r="E42" s="1288"/>
      <c r="F42" s="1288"/>
      <c r="G42" s="1304"/>
      <c r="H42" s="1304"/>
      <c r="I42" s="1304"/>
      <c r="J42" s="1304"/>
      <c r="K42" s="1304"/>
      <c r="L42" s="1309"/>
      <c r="M42" s="1309"/>
      <c r="N42" s="1309"/>
      <c r="O42" s="1309"/>
      <c r="P42" s="1308"/>
      <c r="Q42" s="4182"/>
      <c r="R42" s="4183"/>
      <c r="S42" s="4183"/>
      <c r="T42" s="4183"/>
      <c r="U42" s="4184"/>
      <c r="V42" s="1288"/>
      <c r="W42" s="1288"/>
      <c r="X42" s="1288"/>
      <c r="Y42" s="1288"/>
      <c r="Z42" s="1288"/>
      <c r="AA42" s="1288"/>
      <c r="AB42" s="1288"/>
    </row>
    <row r="43" spans="1:28" ht="18" customHeight="1">
      <c r="A43" s="1288"/>
      <c r="B43" s="1288"/>
      <c r="C43" s="1288"/>
      <c r="D43" s="1288"/>
      <c r="E43" s="1288"/>
      <c r="F43" s="1288"/>
      <c r="G43" s="4193" t="s">
        <v>598</v>
      </c>
      <c r="H43" s="4194"/>
      <c r="I43" s="4194"/>
      <c r="J43" s="4194"/>
      <c r="K43" s="1370"/>
      <c r="L43" s="1374"/>
      <c r="M43" s="1374"/>
      <c r="N43" s="1374"/>
      <c r="O43" s="1374"/>
      <c r="P43" s="1308"/>
      <c r="V43" s="1288"/>
      <c r="W43" s="1288"/>
      <c r="X43" s="1288"/>
      <c r="Y43" s="1288"/>
      <c r="Z43" s="1288"/>
      <c r="AA43" s="1288"/>
      <c r="AB43" s="1288"/>
    </row>
    <row r="44" spans="1:28" ht="18" customHeight="1">
      <c r="A44" s="1288"/>
      <c r="B44" s="1288"/>
      <c r="C44" s="1288"/>
      <c r="D44" s="1288"/>
      <c r="E44" s="1288"/>
      <c r="F44" s="1288"/>
      <c r="G44" s="4189" t="s">
        <v>910</v>
      </c>
      <c r="H44" s="4190"/>
      <c r="I44" s="4190"/>
      <c r="J44" s="4190"/>
      <c r="K44" s="1351"/>
      <c r="L44" s="4191" t="str">
        <f>IFERROR(N44/12,"")</f>
        <v/>
      </c>
      <c r="M44" s="4190"/>
      <c r="N44" s="4191" t="str">
        <f>'RENTAL ANALYSIS'!Y53</f>
        <v/>
      </c>
      <c r="O44" s="4190"/>
      <c r="P44" s="1308"/>
      <c r="Q44" s="4173" t="s">
        <v>1805</v>
      </c>
      <c r="R44" s="3398"/>
      <c r="S44" s="3398"/>
      <c r="T44" s="3398"/>
      <c r="U44" s="3399"/>
      <c r="V44" s="1288"/>
      <c r="W44" s="1288"/>
      <c r="X44" s="1288"/>
      <c r="Y44" s="1288"/>
      <c r="Z44" s="1288"/>
      <c r="AA44" s="1288"/>
      <c r="AB44" s="1288"/>
    </row>
    <row r="45" spans="1:28" ht="18" customHeight="1" thickBot="1">
      <c r="A45" s="1288"/>
      <c r="B45" s="1288"/>
      <c r="C45" s="1288"/>
      <c r="D45" s="1288"/>
      <c r="E45" s="1288"/>
      <c r="F45" s="1288"/>
      <c r="G45" s="4186" t="s">
        <v>911</v>
      </c>
      <c r="H45" s="4187"/>
      <c r="I45" s="4187"/>
      <c r="J45" s="4187"/>
      <c r="K45" s="1373"/>
      <c r="L45" s="4188" t="str">
        <f>IFERROR(N45/12,"")</f>
        <v/>
      </c>
      <c r="M45" s="4187"/>
      <c r="N45" s="4188" t="str">
        <f>'RENTAL ANALYSIS'!Y54</f>
        <v/>
      </c>
      <c r="O45" s="4187"/>
      <c r="P45" s="1305"/>
      <c r="Q45" s="4176" t="str">
        <f>N50</f>
        <v/>
      </c>
      <c r="R45" s="4177"/>
      <c r="S45" s="4177"/>
      <c r="T45" s="4177"/>
      <c r="U45" s="4178"/>
      <c r="V45" s="1288"/>
      <c r="W45" s="1288"/>
      <c r="X45" s="1288"/>
      <c r="Y45" s="1288"/>
      <c r="Z45" s="1288"/>
      <c r="AA45" s="1288"/>
      <c r="AB45" s="1288"/>
    </row>
    <row r="46" spans="1:28" ht="18" customHeight="1" thickTop="1">
      <c r="A46" s="1288"/>
      <c r="B46" s="1288"/>
      <c r="C46" s="1288"/>
      <c r="D46" s="1288"/>
      <c r="E46" s="1288"/>
      <c r="F46" s="1288"/>
      <c r="G46" s="4174" t="s">
        <v>601</v>
      </c>
      <c r="H46" s="4171"/>
      <c r="I46" s="4171"/>
      <c r="J46" s="4171"/>
      <c r="K46" s="4171"/>
      <c r="L46" s="4175">
        <f>N46/12</f>
        <v>0</v>
      </c>
      <c r="M46" s="4171"/>
      <c r="N46" s="4175">
        <f>SUM(N44:O45)</f>
        <v>0</v>
      </c>
      <c r="O46" s="4171"/>
      <c r="P46" s="1305"/>
      <c r="Q46" s="4179"/>
      <c r="R46" s="4180"/>
      <c r="S46" s="4180"/>
      <c r="T46" s="4180"/>
      <c r="U46" s="4181"/>
      <c r="V46" s="1288"/>
      <c r="W46" s="1288"/>
      <c r="X46" s="1288"/>
      <c r="Y46" s="1288"/>
      <c r="Z46" s="1288"/>
      <c r="AA46" s="1288"/>
      <c r="AB46" s="1288"/>
    </row>
    <row r="47" spans="1:28" ht="18" customHeight="1">
      <c r="A47" s="1288"/>
      <c r="B47" s="1288"/>
      <c r="C47" s="1288"/>
      <c r="D47" s="1288"/>
      <c r="E47" s="1288"/>
      <c r="F47" s="1288"/>
      <c r="G47" s="1350"/>
      <c r="H47" s="1350"/>
      <c r="I47" s="1350"/>
      <c r="J47" s="1350"/>
      <c r="K47" s="1350"/>
      <c r="L47" s="1375"/>
      <c r="M47" s="1375"/>
      <c r="N47" s="1375"/>
      <c r="O47" s="1375"/>
      <c r="P47" s="1305"/>
      <c r="Q47" s="4182"/>
      <c r="R47" s="4183"/>
      <c r="S47" s="4183"/>
      <c r="T47" s="4183"/>
      <c r="U47" s="4184"/>
      <c r="V47" s="1288"/>
      <c r="W47" s="1288"/>
      <c r="X47" s="1288"/>
      <c r="Y47" s="1288"/>
      <c r="Z47" s="1288"/>
      <c r="AA47" s="1288"/>
      <c r="AB47" s="1288"/>
    </row>
    <row r="48" spans="1:28" ht="18" customHeight="1">
      <c r="A48" s="1288"/>
      <c r="B48" s="1288"/>
      <c r="C48" s="1288"/>
      <c r="D48" s="1288"/>
      <c r="E48" s="1288"/>
      <c r="F48" s="1288"/>
      <c r="G48" s="4195" t="s">
        <v>913</v>
      </c>
      <c r="H48" s="4190"/>
      <c r="I48" s="4190"/>
      <c r="J48" s="4190"/>
      <c r="K48" s="1351"/>
      <c r="L48" s="1376"/>
      <c r="M48" s="1376"/>
      <c r="N48" s="1376"/>
      <c r="O48" s="1376"/>
      <c r="P48" s="1305"/>
      <c r="Q48" s="1300"/>
      <c r="R48" s="1300"/>
      <c r="S48" s="1300"/>
      <c r="T48" s="1300"/>
      <c r="U48" s="1300"/>
      <c r="V48" s="1288"/>
      <c r="W48" s="1288"/>
      <c r="X48" s="1288"/>
      <c r="Y48" s="1288"/>
      <c r="Z48" s="1288"/>
      <c r="AA48" s="1288"/>
      <c r="AB48" s="1288"/>
    </row>
    <row r="49" spans="1:28" ht="18" customHeight="1">
      <c r="A49" s="1288"/>
      <c r="B49" s="1288"/>
      <c r="C49" s="1288"/>
      <c r="D49" s="1288"/>
      <c r="E49" s="1288"/>
      <c r="F49" s="1288"/>
      <c r="G49" s="4170" t="s">
        <v>1806</v>
      </c>
      <c r="H49" s="4171"/>
      <c r="I49" s="4171"/>
      <c r="J49" s="4171"/>
      <c r="K49" s="1364"/>
      <c r="L49" s="4185">
        <f>N49/12</f>
        <v>0</v>
      </c>
      <c r="M49" s="4171"/>
      <c r="N49" s="4185">
        <f>'RENTAL ANALYSIS'!Y70</f>
        <v>0</v>
      </c>
      <c r="O49" s="4171"/>
      <c r="P49" s="1305"/>
      <c r="Q49" s="4173" t="s">
        <v>912</v>
      </c>
      <c r="R49" s="3398"/>
      <c r="S49" s="3398"/>
      <c r="T49" s="3398"/>
      <c r="U49" s="3399"/>
      <c r="V49" s="1288"/>
      <c r="W49" s="1288"/>
      <c r="X49" s="1288"/>
      <c r="Y49" s="1288"/>
      <c r="Z49" s="1288"/>
      <c r="AA49" s="1288"/>
      <c r="AB49" s="1288"/>
    </row>
    <row r="50" spans="1:28" ht="18" customHeight="1">
      <c r="A50" s="1288"/>
      <c r="B50" s="1288"/>
      <c r="C50" s="1288"/>
      <c r="D50" s="1288"/>
      <c r="E50" s="1288"/>
      <c r="F50" s="1288"/>
      <c r="G50" s="4170" t="s">
        <v>1807</v>
      </c>
      <c r="H50" s="4171"/>
      <c r="I50" s="4171"/>
      <c r="J50" s="4171"/>
      <c r="K50" s="1364"/>
      <c r="L50" s="4172" t="str">
        <f>IFERROR(IF(N50="inf %","inf %",N50/12),"")</f>
        <v/>
      </c>
      <c r="M50" s="4171"/>
      <c r="N50" s="4172" t="str">
        <f>'RENTAL ANALYSIS'!Y72</f>
        <v/>
      </c>
      <c r="O50" s="4171"/>
      <c r="P50" s="1305"/>
      <c r="Q50" s="4192">
        <f>L57</f>
        <v>0</v>
      </c>
      <c r="R50" s="4177"/>
      <c r="S50" s="4177"/>
      <c r="T50" s="4177"/>
      <c r="U50" s="4178"/>
      <c r="V50" s="1288"/>
      <c r="W50" s="1288"/>
      <c r="X50" s="1288"/>
      <c r="Y50" s="1288"/>
      <c r="Z50" s="1288"/>
      <c r="AA50" s="1288"/>
      <c r="AB50" s="1288"/>
    </row>
    <row r="51" spans="1:28" ht="18" customHeight="1">
      <c r="A51" s="1288"/>
      <c r="B51" s="1288"/>
      <c r="C51" s="1288"/>
      <c r="D51" s="1288"/>
      <c r="E51" s="1288"/>
      <c r="F51" s="1288"/>
      <c r="G51" s="1350"/>
      <c r="H51" s="1350"/>
      <c r="I51" s="1350"/>
      <c r="J51" s="1350"/>
      <c r="K51" s="1350"/>
      <c r="L51" s="1375"/>
      <c r="M51" s="1375"/>
      <c r="N51" s="1375"/>
      <c r="O51" s="1375"/>
      <c r="P51" s="1305"/>
      <c r="Q51" s="4179"/>
      <c r="R51" s="4180"/>
      <c r="S51" s="4180"/>
      <c r="T51" s="4180"/>
      <c r="U51" s="4181"/>
      <c r="V51" s="1288"/>
      <c r="W51" s="1288"/>
      <c r="X51" s="1288"/>
      <c r="Y51" s="1288"/>
      <c r="Z51" s="1288"/>
      <c r="AA51" s="1288"/>
      <c r="AB51" s="1288"/>
    </row>
    <row r="52" spans="1:28" ht="18" customHeight="1">
      <c r="A52" s="1288"/>
      <c r="B52" s="1288"/>
      <c r="C52" s="1288"/>
      <c r="D52" s="1288"/>
      <c r="E52" s="1288"/>
      <c r="F52" s="1288"/>
      <c r="G52" s="4193" t="s">
        <v>603</v>
      </c>
      <c r="H52" s="4194"/>
      <c r="I52" s="4194"/>
      <c r="J52" s="4194"/>
      <c r="K52" s="1370"/>
      <c r="L52" s="1377"/>
      <c r="M52" s="1377"/>
      <c r="N52" s="1377"/>
      <c r="O52" s="1377"/>
      <c r="P52" s="1305"/>
      <c r="Q52" s="4182"/>
      <c r="R52" s="4183"/>
      <c r="S52" s="4183"/>
      <c r="T52" s="4183"/>
      <c r="U52" s="4184"/>
      <c r="V52" s="1288"/>
      <c r="W52" s="1288"/>
      <c r="X52" s="1288"/>
      <c r="Y52" s="1288"/>
      <c r="Z52" s="1288"/>
      <c r="AA52" s="1288"/>
      <c r="AB52" s="1288"/>
    </row>
    <row r="53" spans="1:28" ht="18" customHeight="1">
      <c r="A53" s="1288"/>
      <c r="B53" s="1288"/>
      <c r="C53" s="1288"/>
      <c r="D53" s="1288"/>
      <c r="E53" s="1288"/>
      <c r="F53" s="1288"/>
      <c r="G53" s="4189" t="s">
        <v>915</v>
      </c>
      <c r="H53" s="4190"/>
      <c r="I53" s="4190"/>
      <c r="J53" s="4190"/>
      <c r="K53" s="4190"/>
      <c r="L53" s="4191">
        <f>'RENTAL ANALYSIS'!U76</f>
        <v>0</v>
      </c>
      <c r="M53" s="4190"/>
      <c r="N53" s="4191">
        <f>L53*12</f>
        <v>0</v>
      </c>
      <c r="O53" s="4190"/>
      <c r="P53" s="1310"/>
      <c r="V53" s="1288"/>
      <c r="W53" s="1288"/>
      <c r="X53" s="1288"/>
      <c r="Y53" s="1288"/>
      <c r="Z53" s="1288"/>
      <c r="AA53" s="1288"/>
      <c r="AB53" s="1288"/>
    </row>
    <row r="54" spans="1:28" ht="18" customHeight="1" thickBot="1">
      <c r="A54" s="1288"/>
      <c r="B54" s="1288"/>
      <c r="C54" s="1288"/>
      <c r="D54" s="1288"/>
      <c r="E54" s="1288"/>
      <c r="F54" s="1288"/>
      <c r="G54" s="4186" t="s">
        <v>1808</v>
      </c>
      <c r="H54" s="4187"/>
      <c r="I54" s="4187"/>
      <c r="J54" s="4187"/>
      <c r="K54" s="4187"/>
      <c r="L54" s="4188">
        <f>'RENTAL ANALYSIS'!U77</f>
        <v>0</v>
      </c>
      <c r="M54" s="4187"/>
      <c r="N54" s="4188">
        <f>L54*12</f>
        <v>0</v>
      </c>
      <c r="O54" s="4187"/>
      <c r="P54" s="1302"/>
      <c r="Q54" s="4173" t="s">
        <v>1809</v>
      </c>
      <c r="R54" s="3398"/>
      <c r="S54" s="3398"/>
      <c r="T54" s="3398"/>
      <c r="U54" s="3399"/>
      <c r="V54" s="1288"/>
      <c r="W54" s="1288"/>
      <c r="X54" s="1288"/>
      <c r="Y54" s="1288"/>
      <c r="Z54" s="1288"/>
      <c r="AA54" s="1288"/>
      <c r="AB54" s="1288"/>
    </row>
    <row r="55" spans="1:28" ht="18" customHeight="1" thickTop="1">
      <c r="A55" s="1288"/>
      <c r="B55" s="1288"/>
      <c r="C55" s="1288"/>
      <c r="D55" s="1288"/>
      <c r="E55" s="1288"/>
      <c r="F55" s="1288"/>
      <c r="G55" s="4174" t="s">
        <v>1810</v>
      </c>
      <c r="H55" s="4171"/>
      <c r="I55" s="4171"/>
      <c r="J55" s="4171"/>
      <c r="K55" s="4171"/>
      <c r="L55" s="4175">
        <f>SUM(L53:M54)</f>
        <v>0</v>
      </c>
      <c r="M55" s="4171"/>
      <c r="N55" s="4175">
        <f>SUM(N53:O54)</f>
        <v>0</v>
      </c>
      <c r="O55" s="4171"/>
      <c r="P55" s="1302"/>
      <c r="Q55" s="4176">
        <f>IFERROR(N58,0)</f>
        <v>0</v>
      </c>
      <c r="R55" s="4177"/>
      <c r="S55" s="4177"/>
      <c r="T55" s="4177"/>
      <c r="U55" s="4178"/>
      <c r="V55" s="1288"/>
      <c r="W55" s="1288"/>
      <c r="X55" s="1288"/>
      <c r="Y55" s="1288"/>
      <c r="Z55" s="1288"/>
      <c r="AA55" s="1288"/>
      <c r="AB55" s="1288"/>
    </row>
    <row r="56" spans="1:28" ht="18" customHeight="1">
      <c r="A56" s="1288"/>
      <c r="B56" s="1288"/>
      <c r="C56" s="1288"/>
      <c r="D56" s="1288"/>
      <c r="E56" s="1288"/>
      <c r="F56" s="1288"/>
      <c r="G56" s="1378"/>
      <c r="H56" s="1378"/>
      <c r="I56" s="1378"/>
      <c r="J56" s="1378"/>
      <c r="K56" s="1379"/>
      <c r="L56" s="1380"/>
      <c r="M56" s="1380"/>
      <c r="N56" s="1381"/>
      <c r="O56" s="1381"/>
      <c r="P56" s="1302"/>
      <c r="Q56" s="4179"/>
      <c r="R56" s="4180"/>
      <c r="S56" s="4180"/>
      <c r="T56" s="4180"/>
      <c r="U56" s="4181"/>
      <c r="V56" s="1288"/>
      <c r="W56" s="1288"/>
      <c r="X56" s="1288"/>
      <c r="Y56" s="1288"/>
      <c r="Z56" s="1288"/>
      <c r="AA56" s="1288"/>
      <c r="AB56" s="1288"/>
    </row>
    <row r="57" spans="1:28" ht="18" customHeight="1">
      <c r="A57" s="1288"/>
      <c r="B57" s="1288"/>
      <c r="C57" s="1288"/>
      <c r="D57" s="1288"/>
      <c r="E57" s="1288"/>
      <c r="F57" s="1288"/>
      <c r="G57" s="4170" t="s">
        <v>916</v>
      </c>
      <c r="H57" s="4171"/>
      <c r="I57" s="4171"/>
      <c r="J57" s="4171"/>
      <c r="K57" s="1364"/>
      <c r="L57" s="4185">
        <f>L55+L49</f>
        <v>0</v>
      </c>
      <c r="M57" s="4171"/>
      <c r="N57" s="4185">
        <f>N55+N49</f>
        <v>0</v>
      </c>
      <c r="O57" s="4171"/>
      <c r="P57" s="1299"/>
      <c r="Q57" s="4182"/>
      <c r="R57" s="4183"/>
      <c r="S57" s="4183"/>
      <c r="T57" s="4183"/>
      <c r="U57" s="4184"/>
      <c r="V57" s="1288"/>
      <c r="W57" s="1288"/>
      <c r="X57" s="1288"/>
      <c r="Y57" s="1288"/>
      <c r="Z57" s="1288"/>
      <c r="AA57" s="1288"/>
      <c r="AB57" s="1288"/>
    </row>
    <row r="58" spans="1:28" ht="18" customHeight="1">
      <c r="A58" s="1288"/>
      <c r="B58" s="1288"/>
      <c r="C58" s="1288"/>
      <c r="D58" s="1288"/>
      <c r="E58" s="1288"/>
      <c r="F58" s="1288"/>
      <c r="G58" s="4170" t="s">
        <v>1811</v>
      </c>
      <c r="H58" s="4171"/>
      <c r="I58" s="4171"/>
      <c r="J58" s="4171"/>
      <c r="K58" s="1364"/>
      <c r="L58" s="4172">
        <f>IFERROR(IF($Q$30&lt;0,"inf %",L57/$Q$30),0)</f>
        <v>0</v>
      </c>
      <c r="M58" s="4171"/>
      <c r="N58" s="4172">
        <f>IFERROR(IF($Q$30&lt;0,"inf %",N57/$Q$30),0)</f>
        <v>0</v>
      </c>
      <c r="O58" s="4171"/>
      <c r="P58" s="1302"/>
      <c r="V58" s="1288"/>
      <c r="W58" s="1288"/>
      <c r="X58" s="1288"/>
      <c r="Y58" s="1288"/>
      <c r="Z58" s="1288"/>
      <c r="AA58" s="1288"/>
      <c r="AB58" s="1288"/>
    </row>
    <row r="59" spans="1:28" ht="19.5" customHeight="1">
      <c r="A59" s="1288"/>
      <c r="B59" s="1288"/>
      <c r="C59" s="1288"/>
      <c r="D59" s="1288"/>
      <c r="E59" s="1288"/>
      <c r="F59" s="1288"/>
      <c r="G59" s="1311"/>
      <c r="H59" s="1311"/>
      <c r="I59" s="1311"/>
      <c r="J59" s="1311"/>
      <c r="K59" s="1312"/>
      <c r="L59" s="1312"/>
      <c r="M59" s="1312"/>
      <c r="N59" s="1313"/>
      <c r="O59" s="1313"/>
      <c r="P59" s="1313"/>
      <c r="Q59" s="1313"/>
      <c r="R59" s="1313"/>
      <c r="S59" s="1313"/>
      <c r="T59" s="1313"/>
      <c r="U59" s="1313"/>
      <c r="V59" s="1288"/>
      <c r="W59" s="1288"/>
      <c r="X59" s="1288"/>
      <c r="Y59" s="1288"/>
      <c r="Z59" s="1288"/>
      <c r="AA59" s="1288"/>
      <c r="AB59" s="1288"/>
    </row>
    <row r="60" spans="1:28" ht="19.5" customHeight="1">
      <c r="A60" s="1288"/>
      <c r="B60" s="1288"/>
      <c r="C60" s="1288"/>
      <c r="D60" s="1288"/>
      <c r="E60" s="1288"/>
      <c r="F60" s="1288"/>
      <c r="G60" s="1311"/>
      <c r="H60" s="1311"/>
      <c r="I60" s="1311"/>
      <c r="J60" s="1311"/>
      <c r="K60" s="1312"/>
      <c r="L60" s="1312"/>
      <c r="M60" s="1312"/>
      <c r="N60" s="1313"/>
      <c r="O60" s="1313"/>
      <c r="P60" s="1313"/>
      <c r="Q60" s="1313"/>
      <c r="R60" s="1313"/>
      <c r="S60" s="1313"/>
      <c r="T60" s="1313"/>
      <c r="U60" s="1313"/>
      <c r="V60" s="1288"/>
      <c r="W60" s="1288"/>
      <c r="X60" s="1288"/>
      <c r="Y60" s="1288"/>
      <c r="Z60" s="1288"/>
      <c r="AA60" s="1288"/>
      <c r="AB60" s="1288"/>
    </row>
    <row r="61" spans="1:28" ht="19.5" customHeight="1">
      <c r="A61" s="1288"/>
      <c r="B61" s="1288"/>
      <c r="C61" s="1288"/>
      <c r="D61" s="1288"/>
      <c r="E61" s="1288"/>
      <c r="F61" s="1288"/>
      <c r="G61" s="1311"/>
      <c r="H61" s="1311"/>
      <c r="I61" s="1311"/>
      <c r="J61" s="1311"/>
      <c r="K61" s="1312"/>
      <c r="L61" s="1312"/>
      <c r="M61" s="1312"/>
      <c r="N61" s="1313"/>
      <c r="O61" s="1313"/>
      <c r="P61" s="1313"/>
      <c r="Q61" s="1313"/>
      <c r="R61" s="1313"/>
      <c r="S61" s="1313"/>
      <c r="T61" s="1313"/>
      <c r="U61" s="1313"/>
      <c r="V61" s="1288"/>
      <c r="W61" s="1288"/>
      <c r="X61" s="1288"/>
      <c r="Y61" s="1288"/>
      <c r="Z61" s="1288"/>
      <c r="AA61" s="1288"/>
      <c r="AB61" s="1288"/>
    </row>
    <row r="62" spans="1:28" ht="18" customHeight="1">
      <c r="A62" s="1288"/>
      <c r="B62" s="1288"/>
      <c r="C62" s="1288"/>
      <c r="D62" s="1288"/>
      <c r="E62" s="1288"/>
      <c r="F62" s="1288"/>
      <c r="G62" s="4133" t="str">
        <f>CONCATENATE("Report Prepared By: ",Investor_Name,"  |  ",Company_Name,"  |  ",Company_Email,"  |  ",Company_Email)</f>
        <v xml:space="preserve">Report Prepared By:   |    |    |  </v>
      </c>
      <c r="H62" s="4133"/>
      <c r="I62" s="4133"/>
      <c r="J62" s="4133"/>
      <c r="K62" s="4133"/>
      <c r="L62" s="4133"/>
      <c r="M62" s="4133"/>
      <c r="N62" s="4133"/>
      <c r="O62" s="4133"/>
      <c r="P62" s="4133"/>
      <c r="Q62" s="4133"/>
      <c r="R62" s="4133"/>
      <c r="S62" s="4133"/>
      <c r="T62" s="4133"/>
      <c r="U62" s="4133"/>
      <c r="V62" s="1288"/>
      <c r="W62" s="1288"/>
      <c r="X62" s="1288"/>
      <c r="Y62" s="1288"/>
      <c r="Z62" s="1288"/>
      <c r="AA62" s="1288"/>
      <c r="AB62" s="1288"/>
    </row>
    <row r="63" spans="1:28" ht="21.75" customHeight="1">
      <c r="A63" s="1288"/>
      <c r="B63" s="1288"/>
      <c r="C63" s="1288"/>
      <c r="D63" s="1288"/>
      <c r="E63" s="1288"/>
      <c r="F63" s="1288"/>
      <c r="G63" s="4134" t="str">
        <f>CONCATENATE(Street_Address,", ",City_State_Zip)</f>
        <v>, 0</v>
      </c>
      <c r="H63" s="4135"/>
      <c r="I63" s="4135"/>
      <c r="J63" s="4135"/>
      <c r="K63" s="4135"/>
      <c r="L63" s="4135"/>
      <c r="M63" s="4135"/>
      <c r="N63" s="4135"/>
      <c r="O63" s="4135"/>
      <c r="P63" s="4135"/>
      <c r="Q63" s="4135"/>
      <c r="R63" s="4135"/>
      <c r="S63" s="4135"/>
      <c r="T63" s="4135"/>
      <c r="U63" s="4135"/>
      <c r="V63" s="1288"/>
      <c r="W63" s="1288"/>
      <c r="X63" s="1288"/>
      <c r="Y63" s="1288"/>
      <c r="Z63" s="1288"/>
      <c r="AA63" s="1288"/>
      <c r="AB63" s="1288"/>
    </row>
    <row r="64" spans="1:28" ht="14.25" customHeight="1">
      <c r="A64" s="1288"/>
      <c r="B64" s="1288"/>
      <c r="C64" s="1288"/>
      <c r="D64" s="1288"/>
      <c r="E64" s="1288"/>
      <c r="F64" s="1288"/>
      <c r="G64" s="1298"/>
      <c r="H64" s="1299"/>
      <c r="I64" s="1299"/>
      <c r="J64" s="1299"/>
      <c r="K64" s="1299"/>
      <c r="L64" s="1299"/>
      <c r="M64" s="1299"/>
      <c r="N64" s="1299"/>
      <c r="O64" s="1299"/>
      <c r="P64" s="1299"/>
      <c r="Q64" s="1347"/>
      <c r="R64" s="1347"/>
      <c r="S64" s="1347"/>
      <c r="T64" s="1347"/>
      <c r="U64" s="1347"/>
      <c r="V64" s="1288"/>
      <c r="W64" s="1288"/>
      <c r="X64" s="1288"/>
      <c r="Y64" s="1288"/>
      <c r="Z64" s="1288"/>
      <c r="AA64" s="1288"/>
      <c r="AB64" s="1288"/>
    </row>
    <row r="65" spans="1:28" ht="28.5" customHeight="1">
      <c r="A65" s="1288"/>
      <c r="B65" s="1288"/>
      <c r="C65" s="1288"/>
      <c r="D65" s="1288"/>
      <c r="E65" s="1288"/>
      <c r="F65" s="1288"/>
      <c r="G65" s="1405" t="s">
        <v>871</v>
      </c>
      <c r="H65" s="1299"/>
      <c r="I65" s="1299"/>
      <c r="J65" s="1299"/>
      <c r="K65" s="1299"/>
      <c r="L65" s="1299"/>
      <c r="M65" s="1299"/>
      <c r="N65" s="1299"/>
      <c r="O65" s="1299"/>
      <c r="P65" s="1299"/>
      <c r="Q65" s="4136"/>
      <c r="R65" s="3083"/>
      <c r="S65" s="3083"/>
      <c r="T65" s="3083"/>
      <c r="U65" s="3083"/>
      <c r="V65" s="1288"/>
      <c r="W65" s="1288"/>
      <c r="X65" s="1288"/>
      <c r="Y65" s="1288"/>
      <c r="Z65" s="1288"/>
      <c r="AA65" s="1288"/>
      <c r="AB65" s="1288"/>
    </row>
    <row r="66" spans="1:28" ht="16.5" customHeight="1">
      <c r="A66" s="1288"/>
      <c r="B66" s="1288"/>
      <c r="C66" s="1288"/>
      <c r="D66" s="1288"/>
      <c r="E66" s="1288"/>
      <c r="F66" s="1288"/>
      <c r="G66" s="1314"/>
      <c r="H66" s="1314"/>
      <c r="I66" s="1314"/>
      <c r="J66" s="1314"/>
      <c r="K66" s="1314"/>
      <c r="L66" s="1310"/>
      <c r="M66" s="1314"/>
      <c r="N66" s="1310"/>
      <c r="O66" s="1310"/>
      <c r="P66" s="1310"/>
      <c r="Q66" s="1310"/>
      <c r="R66" s="1310"/>
      <c r="S66" s="1310"/>
      <c r="T66" s="1300"/>
      <c r="U66" s="1300"/>
      <c r="V66" s="1288"/>
      <c r="W66" s="1288"/>
      <c r="X66" s="1288"/>
      <c r="Y66" s="1288"/>
      <c r="Z66" s="1288"/>
      <c r="AA66" s="1288"/>
      <c r="AB66" s="1288"/>
    </row>
    <row r="67" spans="1:28" ht="17.100000000000001" customHeight="1">
      <c r="A67" s="1315"/>
      <c r="B67" s="1315"/>
      <c r="C67" s="1315"/>
      <c r="D67" s="1315"/>
      <c r="E67" s="1315"/>
      <c r="F67" s="1315"/>
      <c r="G67" s="4138" t="s">
        <v>590</v>
      </c>
      <c r="H67" s="3083"/>
      <c r="I67" s="3083"/>
      <c r="J67" s="3083"/>
      <c r="K67" s="1314"/>
      <c r="L67" s="1316">
        <v>1</v>
      </c>
      <c r="M67" s="1316">
        <v>2</v>
      </c>
      <c r="N67" s="1316">
        <v>3</v>
      </c>
      <c r="O67" s="1316">
        <v>4</v>
      </c>
      <c r="P67" s="1316">
        <v>5</v>
      </c>
      <c r="Q67" s="1316">
        <v>6</v>
      </c>
      <c r="R67" s="1316">
        <v>7</v>
      </c>
      <c r="S67" s="1316">
        <v>8</v>
      </c>
      <c r="T67" s="1316">
        <v>9</v>
      </c>
      <c r="U67" s="1316">
        <v>10</v>
      </c>
      <c r="V67" s="1288"/>
      <c r="W67" s="1288"/>
      <c r="X67" s="1288"/>
      <c r="Y67" s="1288"/>
      <c r="Z67" s="1288"/>
      <c r="AA67" s="1288"/>
      <c r="AB67" s="1288"/>
    </row>
    <row r="68" spans="1:28" ht="17.100000000000001" customHeight="1">
      <c r="A68" s="1315"/>
      <c r="B68" s="1315"/>
      <c r="C68" s="1315"/>
      <c r="D68" s="1315"/>
      <c r="E68" s="1315"/>
      <c r="F68" s="1315"/>
      <c r="G68" s="4156" t="str">
        <f>T('RENTAL ANALYSIS'!D18:M18)</f>
        <v>Rental Unit 1  -  ( units, square feet, beds, baths)</v>
      </c>
      <c r="H68" s="3398"/>
      <c r="I68" s="3398"/>
      <c r="J68" s="3398"/>
      <c r="K68" s="3399"/>
      <c r="L68" s="1317">
        <f>'RENTAL ANALYSIS'!Y18</f>
        <v>0</v>
      </c>
      <c r="M68" s="1317">
        <f>'RENTAL ANALYSIS'!Z18</f>
        <v>0</v>
      </c>
      <c r="N68" s="1317">
        <f>'RENTAL ANALYSIS'!AA18</f>
        <v>0</v>
      </c>
      <c r="O68" s="1317">
        <f>'RENTAL ANALYSIS'!AB18</f>
        <v>0</v>
      </c>
      <c r="P68" s="1317">
        <f>'RENTAL ANALYSIS'!AC18</f>
        <v>0</v>
      </c>
      <c r="Q68" s="1317">
        <f>'RENTAL ANALYSIS'!AD18</f>
        <v>0</v>
      </c>
      <c r="R68" s="1317">
        <f>'RENTAL ANALYSIS'!AE18</f>
        <v>0</v>
      </c>
      <c r="S68" s="1317">
        <f>'RENTAL ANALYSIS'!AF18</f>
        <v>0</v>
      </c>
      <c r="T68" s="1317">
        <f>'RENTAL ANALYSIS'!AG18</f>
        <v>0</v>
      </c>
      <c r="U68" s="1317">
        <f>'RENTAL ANALYSIS'!AH18</f>
        <v>0</v>
      </c>
      <c r="V68" s="1288"/>
      <c r="W68" s="1288"/>
      <c r="X68" s="1288"/>
      <c r="Y68" s="1288"/>
      <c r="Z68" s="1288"/>
      <c r="AA68" s="1288"/>
      <c r="AB68" s="1288"/>
    </row>
    <row r="69" spans="1:28" s="1383" customFormat="1" ht="17.100000000000001" customHeight="1">
      <c r="A69" s="1315"/>
      <c r="B69" s="1315"/>
      <c r="C69" s="1315"/>
      <c r="D69" s="1315"/>
      <c r="E69" s="1315"/>
      <c r="F69" s="1315"/>
      <c r="G69" s="4156" t="str">
        <f>T('RENTAL ANALYSIS'!D19:M19)</f>
        <v>Rental Unit 2  -  ( units, square feet, beds, baths)</v>
      </c>
      <c r="H69" s="3398"/>
      <c r="I69" s="3398"/>
      <c r="J69" s="3398"/>
      <c r="K69" s="3399"/>
      <c r="L69" s="1317">
        <f>'RENTAL ANALYSIS'!Y19</f>
        <v>0</v>
      </c>
      <c r="M69" s="1317">
        <f>'RENTAL ANALYSIS'!Z19</f>
        <v>0</v>
      </c>
      <c r="N69" s="1317">
        <f>'RENTAL ANALYSIS'!AA19</f>
        <v>0</v>
      </c>
      <c r="O69" s="1317">
        <f>'RENTAL ANALYSIS'!AB19</f>
        <v>0</v>
      </c>
      <c r="P69" s="1317">
        <f>'RENTAL ANALYSIS'!AC19</f>
        <v>0</v>
      </c>
      <c r="Q69" s="1317">
        <f>'RENTAL ANALYSIS'!AD19</f>
        <v>0</v>
      </c>
      <c r="R69" s="1317">
        <f>'RENTAL ANALYSIS'!AE19</f>
        <v>0</v>
      </c>
      <c r="S69" s="1317">
        <f>'RENTAL ANALYSIS'!AF19</f>
        <v>0</v>
      </c>
      <c r="T69" s="1317">
        <f>'RENTAL ANALYSIS'!AG19</f>
        <v>0</v>
      </c>
      <c r="U69" s="1317">
        <f>'RENTAL ANALYSIS'!AH19</f>
        <v>0</v>
      </c>
      <c r="V69" s="1288"/>
      <c r="W69" s="1288"/>
      <c r="X69" s="1288"/>
      <c r="Y69" s="1288"/>
      <c r="Z69" s="1288"/>
      <c r="AA69" s="1288"/>
      <c r="AB69" s="1288"/>
    </row>
    <row r="70" spans="1:28" s="1383" customFormat="1" ht="17.100000000000001" customHeight="1">
      <c r="A70" s="1315"/>
      <c r="B70" s="1315"/>
      <c r="C70" s="1315"/>
      <c r="D70" s="1315"/>
      <c r="E70" s="1315"/>
      <c r="F70" s="1315"/>
      <c r="G70" s="4156" t="str">
        <f>T('RENTAL ANALYSIS'!D20:M20)</f>
        <v>Rental Unit 3  -  ( units, square feet, beds, baths)</v>
      </c>
      <c r="H70" s="3398"/>
      <c r="I70" s="3398"/>
      <c r="J70" s="3398"/>
      <c r="K70" s="3399"/>
      <c r="L70" s="1317">
        <f>'RENTAL ANALYSIS'!Y20</f>
        <v>0</v>
      </c>
      <c r="M70" s="1317">
        <f>'RENTAL ANALYSIS'!Z20</f>
        <v>0</v>
      </c>
      <c r="N70" s="1317">
        <f>'RENTAL ANALYSIS'!AA20</f>
        <v>0</v>
      </c>
      <c r="O70" s="1317">
        <f>'RENTAL ANALYSIS'!AB20</f>
        <v>0</v>
      </c>
      <c r="P70" s="1317">
        <f>'RENTAL ANALYSIS'!AC20</f>
        <v>0</v>
      </c>
      <c r="Q70" s="1317">
        <f>'RENTAL ANALYSIS'!AD20</f>
        <v>0</v>
      </c>
      <c r="R70" s="1317">
        <f>'RENTAL ANALYSIS'!AE20</f>
        <v>0</v>
      </c>
      <c r="S70" s="1317">
        <f>'RENTAL ANALYSIS'!AF20</f>
        <v>0</v>
      </c>
      <c r="T70" s="1317">
        <f>'RENTAL ANALYSIS'!AG20</f>
        <v>0</v>
      </c>
      <c r="U70" s="1317">
        <f>'RENTAL ANALYSIS'!AH20</f>
        <v>0</v>
      </c>
      <c r="V70" s="1288"/>
      <c r="W70" s="1288"/>
      <c r="X70" s="1288"/>
      <c r="Y70" s="1288"/>
      <c r="Z70" s="1288"/>
      <c r="AA70" s="1288"/>
      <c r="AB70" s="1288"/>
    </row>
    <row r="71" spans="1:28" s="1383" customFormat="1" ht="17.100000000000001" customHeight="1">
      <c r="A71" s="1315"/>
      <c r="B71" s="1315"/>
      <c r="C71" s="1315"/>
      <c r="D71" s="1315"/>
      <c r="E71" s="1315"/>
      <c r="F71" s="1315"/>
      <c r="G71" s="4156" t="str">
        <f>T('RENTAL ANALYSIS'!D21:M21)</f>
        <v>Rental Unit 4  -  ( units, square feet, beds, baths)</v>
      </c>
      <c r="H71" s="3398"/>
      <c r="I71" s="3398"/>
      <c r="J71" s="3398"/>
      <c r="K71" s="3399"/>
      <c r="L71" s="1317">
        <f>'RENTAL ANALYSIS'!Y21</f>
        <v>0</v>
      </c>
      <c r="M71" s="1317">
        <f>'RENTAL ANALYSIS'!Z21</f>
        <v>0</v>
      </c>
      <c r="N71" s="1317">
        <f>'RENTAL ANALYSIS'!AA21</f>
        <v>0</v>
      </c>
      <c r="O71" s="1317">
        <f>'RENTAL ANALYSIS'!AB21</f>
        <v>0</v>
      </c>
      <c r="P71" s="1317">
        <f>'RENTAL ANALYSIS'!AC21</f>
        <v>0</v>
      </c>
      <c r="Q71" s="1317">
        <f>'RENTAL ANALYSIS'!AD21</f>
        <v>0</v>
      </c>
      <c r="R71" s="1317">
        <f>'RENTAL ANALYSIS'!AE21</f>
        <v>0</v>
      </c>
      <c r="S71" s="1317">
        <f>'RENTAL ANALYSIS'!AF21</f>
        <v>0</v>
      </c>
      <c r="T71" s="1317">
        <f>'RENTAL ANALYSIS'!AG21</f>
        <v>0</v>
      </c>
      <c r="U71" s="1317">
        <f>'RENTAL ANALYSIS'!AH21</f>
        <v>0</v>
      </c>
      <c r="V71" s="1288"/>
      <c r="W71" s="1288"/>
      <c r="X71" s="1288"/>
      <c r="Y71" s="1288"/>
      <c r="Z71" s="1288"/>
      <c r="AA71" s="1288"/>
      <c r="AB71" s="1288"/>
    </row>
    <row r="72" spans="1:28" s="1383" customFormat="1" ht="17.100000000000001" customHeight="1" thickBot="1">
      <c r="A72" s="1315"/>
      <c r="B72" s="1315"/>
      <c r="C72" s="1315"/>
      <c r="D72" s="1315"/>
      <c r="E72" s="1315"/>
      <c r="F72" s="1315"/>
      <c r="G72" s="4162" t="str">
        <f>T('RENTAL ANALYSIS'!D22:M22)</f>
        <v>Rental Unit 5  -  ( units, square feet, beds, baths)</v>
      </c>
      <c r="H72" s="4163"/>
      <c r="I72" s="4163"/>
      <c r="J72" s="4163"/>
      <c r="K72" s="4164"/>
      <c r="L72" s="1400">
        <f>'RENTAL ANALYSIS'!Y22</f>
        <v>0</v>
      </c>
      <c r="M72" s="1400">
        <f>'RENTAL ANALYSIS'!Z22</f>
        <v>0</v>
      </c>
      <c r="N72" s="1400">
        <f>'RENTAL ANALYSIS'!AA22</f>
        <v>0</v>
      </c>
      <c r="O72" s="1400">
        <f>'RENTAL ANALYSIS'!AB22</f>
        <v>0</v>
      </c>
      <c r="P72" s="1400">
        <f>'RENTAL ANALYSIS'!AC22</f>
        <v>0</v>
      </c>
      <c r="Q72" s="1400">
        <f>'RENTAL ANALYSIS'!AD22</f>
        <v>0</v>
      </c>
      <c r="R72" s="1400">
        <f>'RENTAL ANALYSIS'!AE22</f>
        <v>0</v>
      </c>
      <c r="S72" s="1400">
        <f>'RENTAL ANALYSIS'!AF22</f>
        <v>0</v>
      </c>
      <c r="T72" s="1400">
        <f>'RENTAL ANALYSIS'!AG22</f>
        <v>0</v>
      </c>
      <c r="U72" s="1400">
        <f>'RENTAL ANALYSIS'!AH22</f>
        <v>0</v>
      </c>
      <c r="V72" s="1288"/>
      <c r="W72" s="1288"/>
      <c r="X72" s="1288"/>
      <c r="Y72" s="1288"/>
      <c r="Z72" s="1288"/>
      <c r="AA72" s="1288"/>
      <c r="AB72" s="1288"/>
    </row>
    <row r="73" spans="1:28" s="1383" customFormat="1" ht="17.100000000000001" customHeight="1" thickTop="1">
      <c r="A73" s="1315"/>
      <c r="B73" s="1315"/>
      <c r="C73" s="1315"/>
      <c r="D73" s="1315"/>
      <c r="E73" s="1315"/>
      <c r="F73" s="1315"/>
      <c r="G73" s="4151" t="s">
        <v>1740</v>
      </c>
      <c r="H73" s="4165"/>
      <c r="I73" s="4165"/>
      <c r="J73" s="4165"/>
      <c r="K73" s="4165"/>
      <c r="L73" s="1327">
        <f>'RENTAL ANALYSIS'!Y23</f>
        <v>0</v>
      </c>
      <c r="M73" s="1327">
        <f>'RENTAL ANALYSIS'!Z23</f>
        <v>0</v>
      </c>
      <c r="N73" s="1327">
        <f>'RENTAL ANALYSIS'!AA23</f>
        <v>0</v>
      </c>
      <c r="O73" s="1327">
        <f>'RENTAL ANALYSIS'!AB23</f>
        <v>0</v>
      </c>
      <c r="P73" s="1327">
        <f>'RENTAL ANALYSIS'!AC23</f>
        <v>0</v>
      </c>
      <c r="Q73" s="1327">
        <f>'RENTAL ANALYSIS'!AD23</f>
        <v>0</v>
      </c>
      <c r="R73" s="1327">
        <f>'RENTAL ANALYSIS'!AE23</f>
        <v>0</v>
      </c>
      <c r="S73" s="1327">
        <f>'RENTAL ANALYSIS'!AF23</f>
        <v>0</v>
      </c>
      <c r="T73" s="1327">
        <f>'RENTAL ANALYSIS'!AG23</f>
        <v>0</v>
      </c>
      <c r="U73" s="1327">
        <f>'RENTAL ANALYSIS'!AH23</f>
        <v>0</v>
      </c>
      <c r="V73" s="1288"/>
      <c r="W73" s="1288"/>
      <c r="X73" s="1288"/>
      <c r="Y73" s="1288"/>
      <c r="Z73" s="1288"/>
      <c r="AA73" s="1288"/>
      <c r="AB73" s="1288"/>
    </row>
    <row r="74" spans="1:28" ht="17.100000000000001" customHeight="1">
      <c r="A74" s="1315"/>
      <c r="B74" s="1315"/>
      <c r="C74" s="1315"/>
      <c r="D74" s="1315"/>
      <c r="E74" s="1315"/>
      <c r="F74" s="1315"/>
      <c r="G74" s="4156" t="s">
        <v>591</v>
      </c>
      <c r="H74" s="3398"/>
      <c r="I74" s="3398"/>
      <c r="J74" s="3398"/>
      <c r="K74" s="3398"/>
      <c r="L74" s="1318">
        <f>'RENTAL ANALYSIS'!Y24</f>
        <v>0</v>
      </c>
      <c r="M74" s="1318">
        <f>'RENTAL ANALYSIS'!Z24</f>
        <v>0</v>
      </c>
      <c r="N74" s="1318">
        <f>'RENTAL ANALYSIS'!AA24</f>
        <v>0</v>
      </c>
      <c r="O74" s="1318">
        <f>'RENTAL ANALYSIS'!AB24</f>
        <v>0</v>
      </c>
      <c r="P74" s="1318">
        <f>'RENTAL ANALYSIS'!AC24</f>
        <v>0</v>
      </c>
      <c r="Q74" s="1318">
        <f>'RENTAL ANALYSIS'!AD24</f>
        <v>0</v>
      </c>
      <c r="R74" s="1318">
        <f>'RENTAL ANALYSIS'!AE24</f>
        <v>0</v>
      </c>
      <c r="S74" s="1318">
        <f>'RENTAL ANALYSIS'!AF24</f>
        <v>0</v>
      </c>
      <c r="T74" s="1318">
        <f>'RENTAL ANALYSIS'!AG24</f>
        <v>0</v>
      </c>
      <c r="U74" s="1318">
        <f>'RENTAL ANALYSIS'!AH24</f>
        <v>0</v>
      </c>
      <c r="V74" s="1288"/>
      <c r="W74" s="1288"/>
      <c r="X74" s="1288"/>
      <c r="Y74" s="1288"/>
      <c r="Z74" s="1288"/>
      <c r="AA74" s="1288"/>
      <c r="AB74" s="1288"/>
    </row>
    <row r="75" spans="1:28" ht="17.100000000000001" customHeight="1">
      <c r="A75" s="1315"/>
      <c r="B75" s="1315"/>
      <c r="C75" s="1315"/>
      <c r="D75" s="1315"/>
      <c r="E75" s="1315"/>
      <c r="F75" s="1315"/>
      <c r="G75" s="4156" t="s">
        <v>1741</v>
      </c>
      <c r="H75" s="3398"/>
      <c r="I75" s="3398"/>
      <c r="J75" s="3398"/>
      <c r="K75" s="3398"/>
      <c r="L75" s="1318">
        <f>'RENTAL ANALYSIS'!Y25</f>
        <v>0</v>
      </c>
      <c r="M75" s="1318">
        <f>'RENTAL ANALYSIS'!Z25</f>
        <v>0</v>
      </c>
      <c r="N75" s="1318">
        <f>'RENTAL ANALYSIS'!AA25</f>
        <v>0</v>
      </c>
      <c r="O75" s="1318">
        <f>'RENTAL ANALYSIS'!AB25</f>
        <v>0</v>
      </c>
      <c r="P75" s="1318">
        <f>'RENTAL ANALYSIS'!AC25</f>
        <v>0</v>
      </c>
      <c r="Q75" s="1318">
        <f>'RENTAL ANALYSIS'!AD25</f>
        <v>0</v>
      </c>
      <c r="R75" s="1318">
        <f>'RENTAL ANALYSIS'!AE25</f>
        <v>0</v>
      </c>
      <c r="S75" s="1318">
        <f>'RENTAL ANALYSIS'!AF25</f>
        <v>0</v>
      </c>
      <c r="T75" s="1318">
        <f>'RENTAL ANALYSIS'!AG25</f>
        <v>0</v>
      </c>
      <c r="U75" s="1318">
        <f>'RENTAL ANALYSIS'!AH25</f>
        <v>0</v>
      </c>
      <c r="V75" s="1288"/>
      <c r="W75" s="1288"/>
      <c r="X75" s="1288"/>
      <c r="Y75" s="1288"/>
      <c r="Z75" s="1288"/>
      <c r="AA75" s="1288"/>
      <c r="AB75" s="1288"/>
    </row>
    <row r="76" spans="1:28" ht="17.100000000000001" customHeight="1" thickBot="1">
      <c r="A76" s="1315"/>
      <c r="B76" s="1315"/>
      <c r="C76" s="1315"/>
      <c r="D76" s="1315"/>
      <c r="E76" s="1315"/>
      <c r="F76" s="1315"/>
      <c r="G76" s="4159" t="s">
        <v>1742</v>
      </c>
      <c r="H76" s="4160"/>
      <c r="I76" s="4160"/>
      <c r="J76" s="4160"/>
      <c r="K76" s="4161"/>
      <c r="L76" s="1319">
        <f>'RENTAL ANALYSIS'!Y26</f>
        <v>0</v>
      </c>
      <c r="M76" s="1319">
        <f>'RENTAL ANALYSIS'!Z26</f>
        <v>0</v>
      </c>
      <c r="N76" s="1319">
        <f>'RENTAL ANALYSIS'!AA26</f>
        <v>0</v>
      </c>
      <c r="O76" s="1319">
        <f>'RENTAL ANALYSIS'!AB26</f>
        <v>0</v>
      </c>
      <c r="P76" s="1319">
        <f>'RENTAL ANALYSIS'!AC26</f>
        <v>0</v>
      </c>
      <c r="Q76" s="1319">
        <f>'RENTAL ANALYSIS'!AD26</f>
        <v>0</v>
      </c>
      <c r="R76" s="1319">
        <f>'RENTAL ANALYSIS'!AE26</f>
        <v>0</v>
      </c>
      <c r="S76" s="1319">
        <f>'RENTAL ANALYSIS'!AF26</f>
        <v>0</v>
      </c>
      <c r="T76" s="1319">
        <f>'RENTAL ANALYSIS'!AG26</f>
        <v>0</v>
      </c>
      <c r="U76" s="1319">
        <f>'RENTAL ANALYSIS'!AH26</f>
        <v>0</v>
      </c>
      <c r="V76" s="1288"/>
      <c r="W76" s="1288"/>
      <c r="X76" s="1288"/>
      <c r="Y76" s="1288"/>
      <c r="Z76" s="1288"/>
      <c r="AA76" s="1288"/>
      <c r="AB76" s="1288"/>
    </row>
    <row r="77" spans="1:28" ht="17.100000000000001" customHeight="1" thickBot="1">
      <c r="A77" s="1315"/>
      <c r="B77" s="1315"/>
      <c r="C77" s="1315"/>
      <c r="D77" s="1315"/>
      <c r="E77" s="1315"/>
      <c r="F77" s="1315"/>
      <c r="G77" s="4153" t="s">
        <v>593</v>
      </c>
      <c r="H77" s="4154"/>
      <c r="I77" s="4154"/>
      <c r="J77" s="4154"/>
      <c r="K77" s="4155"/>
      <c r="L77" s="1320">
        <f>'RENTAL ANALYSIS'!Y27</f>
        <v>0</v>
      </c>
      <c r="M77" s="1321">
        <f>'RENTAL ANALYSIS'!Z27</f>
        <v>0</v>
      </c>
      <c r="N77" s="1321">
        <f>'RENTAL ANALYSIS'!AA27</f>
        <v>0</v>
      </c>
      <c r="O77" s="1321">
        <f>'RENTAL ANALYSIS'!AB27</f>
        <v>0</v>
      </c>
      <c r="P77" s="1321">
        <f>'RENTAL ANALYSIS'!AC27</f>
        <v>0</v>
      </c>
      <c r="Q77" s="1321">
        <f>'RENTAL ANALYSIS'!AD27</f>
        <v>0</v>
      </c>
      <c r="R77" s="1321">
        <f>'RENTAL ANALYSIS'!AE27</f>
        <v>0</v>
      </c>
      <c r="S77" s="1321">
        <f>'RENTAL ANALYSIS'!AF27</f>
        <v>0</v>
      </c>
      <c r="T77" s="1321">
        <f>'RENTAL ANALYSIS'!AG27</f>
        <v>0</v>
      </c>
      <c r="U77" s="1322">
        <f>'RENTAL ANALYSIS'!AH27</f>
        <v>0</v>
      </c>
      <c r="V77" s="1288"/>
      <c r="W77" s="1288"/>
      <c r="X77" s="1288"/>
      <c r="Y77" s="1288"/>
      <c r="Z77" s="1288"/>
      <c r="AA77" s="1288"/>
      <c r="AB77" s="1288"/>
    </row>
    <row r="78" spans="1:28" ht="17.100000000000001" customHeight="1">
      <c r="A78" s="1315"/>
      <c r="B78" s="1315"/>
      <c r="C78" s="1315"/>
      <c r="D78" s="1315"/>
      <c r="E78" s="1315"/>
      <c r="F78" s="1315"/>
      <c r="G78" s="1349"/>
      <c r="H78" s="1349"/>
      <c r="I78" s="1349"/>
      <c r="J78" s="1349"/>
      <c r="K78" s="1323"/>
      <c r="L78" s="1324"/>
      <c r="M78" s="1324"/>
      <c r="N78" s="1324"/>
      <c r="O78" s="1324"/>
      <c r="P78" s="1324"/>
      <c r="Q78" s="1324"/>
      <c r="R78" s="1324"/>
      <c r="S78" s="1324"/>
      <c r="T78" s="1324"/>
      <c r="U78" s="1324"/>
      <c r="V78" s="1288"/>
      <c r="W78" s="1288"/>
      <c r="X78" s="1288"/>
      <c r="Y78" s="1288"/>
      <c r="Z78" s="1288"/>
      <c r="AA78" s="1288"/>
      <c r="AB78" s="1288"/>
    </row>
    <row r="79" spans="1:28" ht="17.100000000000001" customHeight="1">
      <c r="A79" s="1315"/>
      <c r="B79" s="1315"/>
      <c r="C79" s="1315"/>
      <c r="D79" s="1315"/>
      <c r="E79" s="1315"/>
      <c r="F79" s="1315"/>
      <c r="G79" s="4138" t="s">
        <v>594</v>
      </c>
      <c r="H79" s="3083"/>
      <c r="I79" s="3083"/>
      <c r="J79" s="3083"/>
      <c r="K79" s="1323"/>
      <c r="L79" s="1324"/>
      <c r="M79" s="1324"/>
      <c r="N79" s="1324"/>
      <c r="O79" s="1324"/>
      <c r="P79" s="1324"/>
      <c r="Q79" s="1324"/>
      <c r="R79" s="1324"/>
      <c r="S79" s="1324"/>
      <c r="T79" s="1324"/>
      <c r="U79" s="1324"/>
      <c r="V79" s="1288"/>
      <c r="W79" s="1288"/>
      <c r="X79" s="1288"/>
      <c r="Y79" s="1288"/>
      <c r="Z79" s="1288"/>
      <c r="AA79" s="1288"/>
      <c r="AB79" s="1288"/>
    </row>
    <row r="80" spans="1:28" ht="17.100000000000001" customHeight="1">
      <c r="A80" s="1315"/>
      <c r="B80" s="1315"/>
      <c r="C80" s="1315"/>
      <c r="D80" s="1315"/>
      <c r="E80" s="1315"/>
      <c r="F80" s="1315"/>
      <c r="G80" s="4156" t="str">
        <f>T('RENTAL ANALYSIS'!D31:M31)</f>
        <v>Property Taxes</v>
      </c>
      <c r="H80" s="3398"/>
      <c r="I80" s="3398"/>
      <c r="J80" s="3398"/>
      <c r="K80" s="3399"/>
      <c r="L80" s="1325">
        <f>'RENTAL ANALYSIS'!Y31</f>
        <v>0</v>
      </c>
      <c r="M80" s="1317">
        <f>'RENTAL ANALYSIS'!Z31</f>
        <v>0</v>
      </c>
      <c r="N80" s="1317">
        <f>'RENTAL ANALYSIS'!AA31</f>
        <v>0</v>
      </c>
      <c r="O80" s="1317">
        <f>'RENTAL ANALYSIS'!AB31</f>
        <v>0</v>
      </c>
      <c r="P80" s="1317">
        <f>'RENTAL ANALYSIS'!AC31</f>
        <v>0</v>
      </c>
      <c r="Q80" s="1317">
        <f>'RENTAL ANALYSIS'!AD31</f>
        <v>0</v>
      </c>
      <c r="R80" s="1317">
        <f>'RENTAL ANALYSIS'!AE31</f>
        <v>0</v>
      </c>
      <c r="S80" s="1317">
        <f>'RENTAL ANALYSIS'!AF31</f>
        <v>0</v>
      </c>
      <c r="T80" s="1317">
        <f>'RENTAL ANALYSIS'!AG31</f>
        <v>0</v>
      </c>
      <c r="U80" s="1317">
        <f>'RENTAL ANALYSIS'!AH31</f>
        <v>0</v>
      </c>
      <c r="V80" s="1288"/>
      <c r="W80" s="1288"/>
      <c r="X80" s="1288"/>
      <c r="Y80" s="1288"/>
      <c r="Z80" s="1288"/>
      <c r="AA80" s="1288"/>
      <c r="AB80" s="1288"/>
    </row>
    <row r="81" spans="1:28" ht="17.100000000000001" customHeight="1">
      <c r="A81" s="1315"/>
      <c r="B81" s="1315"/>
      <c r="C81" s="1315"/>
      <c r="D81" s="1315"/>
      <c r="E81" s="1315"/>
      <c r="F81" s="1315"/>
      <c r="G81" s="4156" t="str">
        <f>T('RENTAL ANALYSIS'!D32:M32)</f>
        <v>Property Insurance</v>
      </c>
      <c r="H81" s="3398"/>
      <c r="I81" s="3398"/>
      <c r="J81" s="3398"/>
      <c r="K81" s="3399"/>
      <c r="L81" s="1317">
        <f>'RENTAL ANALYSIS'!Y32</f>
        <v>0</v>
      </c>
      <c r="M81" s="1317">
        <f>'RENTAL ANALYSIS'!Z32</f>
        <v>0</v>
      </c>
      <c r="N81" s="1317">
        <f>'RENTAL ANALYSIS'!AA32</f>
        <v>0</v>
      </c>
      <c r="O81" s="1317">
        <f>'RENTAL ANALYSIS'!AB32</f>
        <v>0</v>
      </c>
      <c r="P81" s="1317">
        <f>'RENTAL ANALYSIS'!AC32</f>
        <v>0</v>
      </c>
      <c r="Q81" s="1317">
        <f>'RENTAL ANALYSIS'!AD32</f>
        <v>0</v>
      </c>
      <c r="R81" s="1317">
        <f>'RENTAL ANALYSIS'!AE32</f>
        <v>0</v>
      </c>
      <c r="S81" s="1317">
        <f>'RENTAL ANALYSIS'!AF32</f>
        <v>0</v>
      </c>
      <c r="T81" s="1317">
        <f>'RENTAL ANALYSIS'!AG32</f>
        <v>0</v>
      </c>
      <c r="U81" s="1317">
        <f>'RENTAL ANALYSIS'!AH32</f>
        <v>0</v>
      </c>
      <c r="V81" s="1288"/>
      <c r="W81" s="1288"/>
      <c r="X81" s="1288"/>
      <c r="Y81" s="1288"/>
      <c r="Z81" s="1288"/>
      <c r="AA81" s="1288"/>
      <c r="AB81" s="1288"/>
    </row>
    <row r="82" spans="1:28" ht="17.100000000000001" customHeight="1">
      <c r="A82" s="1315"/>
      <c r="B82" s="1315"/>
      <c r="C82" s="1315"/>
      <c r="D82" s="1315"/>
      <c r="E82" s="1315"/>
      <c r="F82" s="1315"/>
      <c r="G82" s="4156" t="str">
        <f>T('RENTAL ANALYSIS'!D33:M33)</f>
        <v>Cleaning and Maintenance:</v>
      </c>
      <c r="H82" s="3398"/>
      <c r="I82" s="3398"/>
      <c r="J82" s="3398"/>
      <c r="K82" s="3399"/>
      <c r="L82" s="1317">
        <f>'RENTAL ANALYSIS'!Y33</f>
        <v>0</v>
      </c>
      <c r="M82" s="1317">
        <f>'RENTAL ANALYSIS'!Z33</f>
        <v>0</v>
      </c>
      <c r="N82" s="1317">
        <f>'RENTAL ANALYSIS'!AA33</f>
        <v>0</v>
      </c>
      <c r="O82" s="1317">
        <f>'RENTAL ANALYSIS'!AB33</f>
        <v>0</v>
      </c>
      <c r="P82" s="1317">
        <f>'RENTAL ANALYSIS'!AC33</f>
        <v>0</v>
      </c>
      <c r="Q82" s="1317">
        <f>'RENTAL ANALYSIS'!AD33</f>
        <v>0</v>
      </c>
      <c r="R82" s="1317">
        <f>'RENTAL ANALYSIS'!AE33</f>
        <v>0</v>
      </c>
      <c r="S82" s="1317">
        <f>'RENTAL ANALYSIS'!AF33</f>
        <v>0</v>
      </c>
      <c r="T82" s="1317">
        <f>'RENTAL ANALYSIS'!AG33</f>
        <v>0</v>
      </c>
      <c r="U82" s="1317">
        <f>'RENTAL ANALYSIS'!AH33</f>
        <v>0</v>
      </c>
      <c r="V82" s="1288"/>
      <c r="W82" s="1288"/>
      <c r="X82" s="1288"/>
      <c r="Y82" s="1288"/>
      <c r="Z82" s="1288"/>
      <c r="AA82" s="1288"/>
      <c r="AB82" s="1288"/>
    </row>
    <row r="83" spans="1:28" ht="17.100000000000001" customHeight="1">
      <c r="A83" s="1315"/>
      <c r="B83" s="1315"/>
      <c r="C83" s="1315"/>
      <c r="D83" s="1315"/>
      <c r="E83" s="1315"/>
      <c r="F83" s="1315"/>
      <c r="G83" s="4156" t="str">
        <f>T('RENTAL ANALYSIS'!D34:M34)</f>
        <v>HOA Dues:</v>
      </c>
      <c r="H83" s="3398"/>
      <c r="I83" s="3398"/>
      <c r="J83" s="3398"/>
      <c r="K83" s="3399"/>
      <c r="L83" s="1317">
        <f>'RENTAL ANALYSIS'!Y34</f>
        <v>0</v>
      </c>
      <c r="M83" s="1317">
        <f>'RENTAL ANALYSIS'!Z34</f>
        <v>0</v>
      </c>
      <c r="N83" s="1317">
        <f>'RENTAL ANALYSIS'!AA34</f>
        <v>0</v>
      </c>
      <c r="O83" s="1317">
        <f>'RENTAL ANALYSIS'!AB34</f>
        <v>0</v>
      </c>
      <c r="P83" s="1317">
        <f>'RENTAL ANALYSIS'!AC34</f>
        <v>0</v>
      </c>
      <c r="Q83" s="1317">
        <f>'RENTAL ANALYSIS'!AD34</f>
        <v>0</v>
      </c>
      <c r="R83" s="1317">
        <f>'RENTAL ANALYSIS'!AE34</f>
        <v>0</v>
      </c>
      <c r="S83" s="1317">
        <f>'RENTAL ANALYSIS'!AF34</f>
        <v>0</v>
      </c>
      <c r="T83" s="1317">
        <f>'RENTAL ANALYSIS'!AG34</f>
        <v>0</v>
      </c>
      <c r="U83" s="1317">
        <f>'RENTAL ANALYSIS'!AH34</f>
        <v>0</v>
      </c>
      <c r="V83" s="1288"/>
      <c r="W83" s="1288"/>
      <c r="X83" s="1288"/>
      <c r="Y83" s="1288"/>
      <c r="Z83" s="1288"/>
      <c r="AA83" s="1288"/>
      <c r="AB83" s="1288"/>
    </row>
    <row r="84" spans="1:28" ht="17.100000000000001" customHeight="1">
      <c r="A84" s="1315"/>
      <c r="B84" s="1315"/>
      <c r="C84" s="1315"/>
      <c r="D84" s="1315"/>
      <c r="E84" s="1315"/>
      <c r="F84" s="1315"/>
      <c r="G84" s="4156" t="str">
        <f>T('RENTAL ANALYSIS'!D35:M35)</f>
        <v>Lawn and Groundskeeping:</v>
      </c>
      <c r="H84" s="3398"/>
      <c r="I84" s="3398"/>
      <c r="J84" s="3398"/>
      <c r="K84" s="3399"/>
      <c r="L84" s="1317">
        <f>'RENTAL ANALYSIS'!Y35</f>
        <v>0</v>
      </c>
      <c r="M84" s="1317">
        <f>'RENTAL ANALYSIS'!Z35</f>
        <v>0</v>
      </c>
      <c r="N84" s="1317">
        <f>'RENTAL ANALYSIS'!AA35</f>
        <v>0</v>
      </c>
      <c r="O84" s="1317">
        <f>'RENTAL ANALYSIS'!AB35</f>
        <v>0</v>
      </c>
      <c r="P84" s="1317">
        <f>'RENTAL ANALYSIS'!AC35</f>
        <v>0</v>
      </c>
      <c r="Q84" s="1317">
        <f>'RENTAL ANALYSIS'!AD35</f>
        <v>0</v>
      </c>
      <c r="R84" s="1317">
        <f>'RENTAL ANALYSIS'!AE35</f>
        <v>0</v>
      </c>
      <c r="S84" s="1317">
        <f>'RENTAL ANALYSIS'!AF35</f>
        <v>0</v>
      </c>
      <c r="T84" s="1317">
        <f>'RENTAL ANALYSIS'!AG35</f>
        <v>0</v>
      </c>
      <c r="U84" s="1317">
        <f>'RENTAL ANALYSIS'!AH35</f>
        <v>0</v>
      </c>
      <c r="V84" s="1288"/>
      <c r="W84" s="1288"/>
      <c r="X84" s="1288"/>
      <c r="Y84" s="1288"/>
      <c r="Z84" s="1288"/>
      <c r="AA84" s="1288"/>
      <c r="AB84" s="1288"/>
    </row>
    <row r="85" spans="1:28" ht="17.100000000000001" customHeight="1">
      <c r="A85" s="1315"/>
      <c r="B85" s="1315"/>
      <c r="C85" s="1315"/>
      <c r="D85" s="1315"/>
      <c r="E85" s="1315"/>
      <c r="F85" s="1315"/>
      <c r="G85" s="4156" t="str">
        <f>T('RENTAL ANALYSIS'!D36:M36)</f>
        <v>Auto and Travel:</v>
      </c>
      <c r="H85" s="3398"/>
      <c r="I85" s="3398"/>
      <c r="J85" s="3398"/>
      <c r="K85" s="3399"/>
      <c r="L85" s="1317">
        <f>'RENTAL ANALYSIS'!Y36</f>
        <v>0</v>
      </c>
      <c r="M85" s="1317">
        <f>'RENTAL ANALYSIS'!Z36</f>
        <v>0</v>
      </c>
      <c r="N85" s="1317">
        <f>'RENTAL ANALYSIS'!AA36</f>
        <v>0</v>
      </c>
      <c r="O85" s="1317">
        <f>'RENTAL ANALYSIS'!AB36</f>
        <v>0</v>
      </c>
      <c r="P85" s="1317">
        <f>'RENTAL ANALYSIS'!AC36</f>
        <v>0</v>
      </c>
      <c r="Q85" s="1317">
        <f>'RENTAL ANALYSIS'!AD36</f>
        <v>0</v>
      </c>
      <c r="R85" s="1317">
        <f>'RENTAL ANALYSIS'!AE36</f>
        <v>0</v>
      </c>
      <c r="S85" s="1317">
        <f>'RENTAL ANALYSIS'!AF36</f>
        <v>0</v>
      </c>
      <c r="T85" s="1317">
        <f>'RENTAL ANALYSIS'!AG36</f>
        <v>0</v>
      </c>
      <c r="U85" s="1317">
        <f>'RENTAL ANALYSIS'!AH36</f>
        <v>0</v>
      </c>
      <c r="V85" s="1315"/>
      <c r="W85" s="1288"/>
      <c r="X85" s="1288"/>
      <c r="Y85" s="1288"/>
      <c r="Z85" s="1288"/>
      <c r="AA85" s="1288"/>
      <c r="AB85" s="1288"/>
    </row>
    <row r="86" spans="1:28" ht="17.100000000000001" customHeight="1">
      <c r="A86" s="1315"/>
      <c r="B86" s="1315"/>
      <c r="C86" s="1315"/>
      <c r="D86" s="1315"/>
      <c r="E86" s="1315"/>
      <c r="F86" s="1315"/>
      <c r="G86" s="4156" t="str">
        <f>T('RENTAL ANALYSIS'!D37:M37)</f>
        <v>Electrical Utilities:</v>
      </c>
      <c r="H86" s="3398"/>
      <c r="I86" s="3398"/>
      <c r="J86" s="3398"/>
      <c r="K86" s="3399"/>
      <c r="L86" s="1317">
        <f>'RENTAL ANALYSIS'!Y37</f>
        <v>0</v>
      </c>
      <c r="M86" s="1317">
        <f>'RENTAL ANALYSIS'!Z37</f>
        <v>0</v>
      </c>
      <c r="N86" s="1317">
        <f>'RENTAL ANALYSIS'!AA37</f>
        <v>0</v>
      </c>
      <c r="O86" s="1317">
        <f>'RENTAL ANALYSIS'!AB37</f>
        <v>0</v>
      </c>
      <c r="P86" s="1317">
        <f>'RENTAL ANALYSIS'!AC37</f>
        <v>0</v>
      </c>
      <c r="Q86" s="1317">
        <f>'RENTAL ANALYSIS'!AD37</f>
        <v>0</v>
      </c>
      <c r="R86" s="1317">
        <f>'RENTAL ANALYSIS'!AE37</f>
        <v>0</v>
      </c>
      <c r="S86" s="1317">
        <f>'RENTAL ANALYSIS'!AF37</f>
        <v>0</v>
      </c>
      <c r="T86" s="1317">
        <f>'RENTAL ANALYSIS'!AG37</f>
        <v>0</v>
      </c>
      <c r="U86" s="1317">
        <f>'RENTAL ANALYSIS'!AH37</f>
        <v>0</v>
      </c>
      <c r="V86" s="1315"/>
      <c r="W86" s="1288"/>
      <c r="X86" s="1288"/>
      <c r="Y86" s="1288"/>
      <c r="Z86" s="1288"/>
      <c r="AA86" s="1288"/>
      <c r="AB86" s="1288"/>
    </row>
    <row r="87" spans="1:28" ht="17.100000000000001" customHeight="1">
      <c r="A87" s="1315"/>
      <c r="B87" s="1315"/>
      <c r="C87" s="1315"/>
      <c r="D87" s="1315"/>
      <c r="E87" s="1315"/>
      <c r="F87" s="1315"/>
      <c r="G87" s="4156" t="str">
        <f>T('RENTAL ANALYSIS'!D38:M38)</f>
        <v>Water Utilities:</v>
      </c>
      <c r="H87" s="3398"/>
      <c r="I87" s="3398"/>
      <c r="J87" s="3398"/>
      <c r="K87" s="3399"/>
      <c r="L87" s="1317">
        <f>'RENTAL ANALYSIS'!Y38</f>
        <v>0</v>
      </c>
      <c r="M87" s="1317">
        <f>'RENTAL ANALYSIS'!Z38</f>
        <v>0</v>
      </c>
      <c r="N87" s="1317">
        <f>'RENTAL ANALYSIS'!AA38</f>
        <v>0</v>
      </c>
      <c r="O87" s="1317">
        <f>'RENTAL ANALYSIS'!AB38</f>
        <v>0</v>
      </c>
      <c r="P87" s="1317">
        <f>'RENTAL ANALYSIS'!AC38</f>
        <v>0</v>
      </c>
      <c r="Q87" s="1317">
        <f>'RENTAL ANALYSIS'!AD38</f>
        <v>0</v>
      </c>
      <c r="R87" s="1317">
        <f>'RENTAL ANALYSIS'!AE38</f>
        <v>0</v>
      </c>
      <c r="S87" s="1317">
        <f>'RENTAL ANALYSIS'!AF38</f>
        <v>0</v>
      </c>
      <c r="T87" s="1317">
        <f>'RENTAL ANALYSIS'!AG38</f>
        <v>0</v>
      </c>
      <c r="U87" s="1317">
        <f>'RENTAL ANALYSIS'!AH38</f>
        <v>0</v>
      </c>
      <c r="V87" s="1315"/>
      <c r="W87" s="1288"/>
      <c r="X87" s="1288"/>
      <c r="Y87" s="1288"/>
      <c r="Z87" s="1288"/>
      <c r="AA87" s="1288"/>
      <c r="AB87" s="1288"/>
    </row>
    <row r="88" spans="1:28" ht="17.100000000000001" customHeight="1">
      <c r="A88" s="1315"/>
      <c r="B88" s="1315"/>
      <c r="C88" s="1315"/>
      <c r="D88" s="1315"/>
      <c r="E88" s="1315"/>
      <c r="F88" s="1315"/>
      <c r="G88" s="4156" t="str">
        <f>T('RENTAL ANALYSIS'!D39:M39)</f>
        <v>Gas Utilities:</v>
      </c>
      <c r="H88" s="3398"/>
      <c r="I88" s="3398"/>
      <c r="J88" s="3398"/>
      <c r="K88" s="3399"/>
      <c r="L88" s="1317">
        <f>'RENTAL ANALYSIS'!Y39</f>
        <v>0</v>
      </c>
      <c r="M88" s="1317">
        <f>'RENTAL ANALYSIS'!Z39</f>
        <v>0</v>
      </c>
      <c r="N88" s="1317">
        <f>'RENTAL ANALYSIS'!AA39</f>
        <v>0</v>
      </c>
      <c r="O88" s="1317">
        <f>'RENTAL ANALYSIS'!AB39</f>
        <v>0</v>
      </c>
      <c r="P88" s="1317">
        <f>'RENTAL ANALYSIS'!AC39</f>
        <v>0</v>
      </c>
      <c r="Q88" s="1317">
        <f>'RENTAL ANALYSIS'!AD39</f>
        <v>0</v>
      </c>
      <c r="R88" s="1317">
        <f>'RENTAL ANALYSIS'!AE39</f>
        <v>0</v>
      </c>
      <c r="S88" s="1317">
        <f>'RENTAL ANALYSIS'!AF39</f>
        <v>0</v>
      </c>
      <c r="T88" s="1317">
        <f>'RENTAL ANALYSIS'!AG39</f>
        <v>0</v>
      </c>
      <c r="U88" s="1317">
        <f>'RENTAL ANALYSIS'!AH39</f>
        <v>0</v>
      </c>
      <c r="V88" s="1315"/>
      <c r="W88" s="1288"/>
      <c r="X88" s="1288"/>
      <c r="Y88" s="1288"/>
      <c r="Z88" s="1288"/>
      <c r="AA88" s="1288"/>
      <c r="AB88" s="1288"/>
    </row>
    <row r="89" spans="1:28" ht="17.100000000000001" customHeight="1">
      <c r="A89" s="1315"/>
      <c r="B89" s="1315"/>
      <c r="C89" s="1315"/>
      <c r="D89" s="1315"/>
      <c r="E89" s="1315"/>
      <c r="F89" s="1315"/>
      <c r="G89" s="4156" t="str">
        <f>T('RENTAL ANALYSIS'!D40:M40)</f>
        <v>Garbage:</v>
      </c>
      <c r="H89" s="3398"/>
      <c r="I89" s="3398"/>
      <c r="J89" s="3398"/>
      <c r="K89" s="3399"/>
      <c r="L89" s="1317">
        <f>'RENTAL ANALYSIS'!Y40</f>
        <v>0</v>
      </c>
      <c r="M89" s="1317">
        <f>'RENTAL ANALYSIS'!Z40</f>
        <v>0</v>
      </c>
      <c r="N89" s="1317">
        <f>'RENTAL ANALYSIS'!AA40</f>
        <v>0</v>
      </c>
      <c r="O89" s="1317">
        <f>'RENTAL ANALYSIS'!AB40</f>
        <v>0</v>
      </c>
      <c r="P89" s="1317">
        <f>'RENTAL ANALYSIS'!AC40</f>
        <v>0</v>
      </c>
      <c r="Q89" s="1317">
        <f>'RENTAL ANALYSIS'!AD40</f>
        <v>0</v>
      </c>
      <c r="R89" s="1317">
        <f>'RENTAL ANALYSIS'!AE40</f>
        <v>0</v>
      </c>
      <c r="S89" s="1317">
        <f>'RENTAL ANALYSIS'!AF40</f>
        <v>0</v>
      </c>
      <c r="T89" s="1317">
        <f>'RENTAL ANALYSIS'!AG40</f>
        <v>0</v>
      </c>
      <c r="U89" s="1317">
        <f>'RENTAL ANALYSIS'!AH40</f>
        <v>0</v>
      </c>
      <c r="V89" s="1315"/>
      <c r="W89" s="1288"/>
      <c r="X89" s="1288"/>
      <c r="Y89" s="1288"/>
      <c r="Z89" s="1288"/>
      <c r="AA89" s="1288"/>
      <c r="AB89" s="1288"/>
    </row>
    <row r="90" spans="1:28" ht="17.100000000000001" customHeight="1">
      <c r="A90" s="1315"/>
      <c r="B90" s="1315"/>
      <c r="C90" s="1315"/>
      <c r="D90" s="1315"/>
      <c r="E90" s="1315"/>
      <c r="F90" s="1315"/>
      <c r="G90" s="4156" t="str">
        <f>T('RENTAL ANALYSIS'!D41:M41)</f>
        <v>Advertising:</v>
      </c>
      <c r="H90" s="3398"/>
      <c r="I90" s="3398"/>
      <c r="J90" s="3398"/>
      <c r="K90" s="3399"/>
      <c r="L90" s="1317">
        <f>'RENTAL ANALYSIS'!Y41</f>
        <v>0</v>
      </c>
      <c r="M90" s="1317">
        <f>'RENTAL ANALYSIS'!Z41</f>
        <v>0</v>
      </c>
      <c r="N90" s="1317">
        <f>'RENTAL ANALYSIS'!AA41</f>
        <v>0</v>
      </c>
      <c r="O90" s="1317">
        <f>'RENTAL ANALYSIS'!AB41</f>
        <v>0</v>
      </c>
      <c r="P90" s="1317">
        <f>'RENTAL ANALYSIS'!AC41</f>
        <v>0</v>
      </c>
      <c r="Q90" s="1317">
        <f>'RENTAL ANALYSIS'!AD41</f>
        <v>0</v>
      </c>
      <c r="R90" s="1317">
        <f>'RENTAL ANALYSIS'!AE41</f>
        <v>0</v>
      </c>
      <c r="S90" s="1317">
        <f>'RENTAL ANALYSIS'!AF41</f>
        <v>0</v>
      </c>
      <c r="T90" s="1317">
        <f>'RENTAL ANALYSIS'!AG41</f>
        <v>0</v>
      </c>
      <c r="U90" s="1317">
        <f>'RENTAL ANALYSIS'!AH41</f>
        <v>0</v>
      </c>
      <c r="V90" s="1315"/>
      <c r="W90" s="1288"/>
      <c r="X90" s="1288"/>
      <c r="Y90" s="1288"/>
      <c r="Z90" s="1288"/>
      <c r="AA90" s="1288"/>
      <c r="AB90" s="1288"/>
    </row>
    <row r="91" spans="1:28" ht="17.100000000000001" customHeight="1">
      <c r="A91" s="1315"/>
      <c r="B91" s="1315"/>
      <c r="C91" s="1315"/>
      <c r="D91" s="1315"/>
      <c r="E91" s="1315"/>
      <c r="F91" s="1315"/>
      <c r="G91" s="4156" t="str">
        <f>T('RENTAL ANALYSIS'!D42:M42)</f>
        <v>Accounting &amp; Legal:</v>
      </c>
      <c r="H91" s="3398"/>
      <c r="I91" s="3398"/>
      <c r="J91" s="3398"/>
      <c r="K91" s="3399"/>
      <c r="L91" s="1317">
        <f>'RENTAL ANALYSIS'!Y42</f>
        <v>0</v>
      </c>
      <c r="M91" s="1317">
        <f>'RENTAL ANALYSIS'!Z42</f>
        <v>0</v>
      </c>
      <c r="N91" s="1317">
        <f>'RENTAL ANALYSIS'!AA42</f>
        <v>0</v>
      </c>
      <c r="O91" s="1317">
        <f>'RENTAL ANALYSIS'!AB42</f>
        <v>0</v>
      </c>
      <c r="P91" s="1317">
        <f>'RENTAL ANALYSIS'!AC42</f>
        <v>0</v>
      </c>
      <c r="Q91" s="1317">
        <f>'RENTAL ANALYSIS'!AD42</f>
        <v>0</v>
      </c>
      <c r="R91" s="1317">
        <f>'RENTAL ANALYSIS'!AE42</f>
        <v>0</v>
      </c>
      <c r="S91" s="1317">
        <f>'RENTAL ANALYSIS'!AF42</f>
        <v>0</v>
      </c>
      <c r="T91" s="1317">
        <f>'RENTAL ANALYSIS'!AG42</f>
        <v>0</v>
      </c>
      <c r="U91" s="1317">
        <f>'RENTAL ANALYSIS'!AH42</f>
        <v>0</v>
      </c>
      <c r="V91" s="1315"/>
      <c r="W91" s="1288"/>
      <c r="X91" s="1288"/>
      <c r="Y91" s="1288"/>
      <c r="Z91" s="1288"/>
      <c r="AA91" s="1288"/>
      <c r="AB91" s="1288"/>
    </row>
    <row r="92" spans="1:28" ht="17.100000000000001" customHeight="1">
      <c r="A92" s="1315"/>
      <c r="B92" s="1315"/>
      <c r="C92" s="1315"/>
      <c r="D92" s="1315"/>
      <c r="E92" s="1315"/>
      <c r="F92" s="1315"/>
      <c r="G92" s="4156" t="str">
        <f>T('RENTAL ANALYSIS'!D43:M43)</f>
        <v>Other 1:</v>
      </c>
      <c r="H92" s="3398"/>
      <c r="I92" s="3398"/>
      <c r="J92" s="3398"/>
      <c r="K92" s="3399"/>
      <c r="L92" s="1317">
        <f>'RENTAL ANALYSIS'!Y43</f>
        <v>0</v>
      </c>
      <c r="M92" s="1317">
        <f>'RENTAL ANALYSIS'!Z43</f>
        <v>0</v>
      </c>
      <c r="N92" s="1317">
        <f>'RENTAL ANALYSIS'!AA43</f>
        <v>0</v>
      </c>
      <c r="O92" s="1317">
        <f>'RENTAL ANALYSIS'!AB43</f>
        <v>0</v>
      </c>
      <c r="P92" s="1317">
        <f>'RENTAL ANALYSIS'!AC43</f>
        <v>0</v>
      </c>
      <c r="Q92" s="1317">
        <f>'RENTAL ANALYSIS'!AD43</f>
        <v>0</v>
      </c>
      <c r="R92" s="1317">
        <f>'RENTAL ANALYSIS'!AE43</f>
        <v>0</v>
      </c>
      <c r="S92" s="1317">
        <f>'RENTAL ANALYSIS'!AF43</f>
        <v>0</v>
      </c>
      <c r="T92" s="1317">
        <f>'RENTAL ANALYSIS'!AG43</f>
        <v>0</v>
      </c>
      <c r="U92" s="1317">
        <f>'RENTAL ANALYSIS'!AH43</f>
        <v>0</v>
      </c>
      <c r="V92" s="1315"/>
      <c r="W92" s="1315"/>
      <c r="X92" s="1315"/>
      <c r="Y92" s="1288"/>
      <c r="Z92" s="1315"/>
      <c r="AA92" s="1315"/>
      <c r="AB92" s="1315"/>
    </row>
    <row r="93" spans="1:28" ht="17.100000000000001" customHeight="1">
      <c r="A93" s="1315"/>
      <c r="B93" s="1315"/>
      <c r="C93" s="1315"/>
      <c r="D93" s="1315"/>
      <c r="E93" s="1315"/>
      <c r="F93" s="1315"/>
      <c r="G93" s="4156" t="str">
        <f>T('RENTAL ANALYSIS'!D44:M44)</f>
        <v>Other 2:</v>
      </c>
      <c r="H93" s="3398"/>
      <c r="I93" s="3398"/>
      <c r="J93" s="3398"/>
      <c r="K93" s="3399"/>
      <c r="L93" s="1317">
        <f>'RENTAL ANALYSIS'!Y44</f>
        <v>0</v>
      </c>
      <c r="M93" s="1317">
        <f>'RENTAL ANALYSIS'!Z44</f>
        <v>0</v>
      </c>
      <c r="N93" s="1317">
        <f>'RENTAL ANALYSIS'!AA44</f>
        <v>0</v>
      </c>
      <c r="O93" s="1317">
        <f>'RENTAL ANALYSIS'!AB44</f>
        <v>0</v>
      </c>
      <c r="P93" s="1317">
        <f>'RENTAL ANALYSIS'!AC44</f>
        <v>0</v>
      </c>
      <c r="Q93" s="1317">
        <f>'RENTAL ANALYSIS'!AD44</f>
        <v>0</v>
      </c>
      <c r="R93" s="1317">
        <f>'RENTAL ANALYSIS'!AE44</f>
        <v>0</v>
      </c>
      <c r="S93" s="1317">
        <f>'RENTAL ANALYSIS'!AF44</f>
        <v>0</v>
      </c>
      <c r="T93" s="1317">
        <f>'RENTAL ANALYSIS'!AG44</f>
        <v>0</v>
      </c>
      <c r="U93" s="1317">
        <f>'RENTAL ANALYSIS'!AH44</f>
        <v>0</v>
      </c>
      <c r="V93" s="1315"/>
      <c r="W93" s="1315"/>
      <c r="X93" s="1315"/>
      <c r="Y93" s="1288"/>
      <c r="Z93" s="1315"/>
      <c r="AA93" s="1315"/>
      <c r="AB93" s="1315"/>
    </row>
    <row r="94" spans="1:28" ht="17.100000000000001" customHeight="1">
      <c r="A94" s="1315"/>
      <c r="B94" s="1315"/>
      <c r="C94" s="1315"/>
      <c r="D94" s="1315"/>
      <c r="E94" s="1315"/>
      <c r="F94" s="1315"/>
      <c r="G94" s="4156" t="str">
        <f>T('RENTAL ANALYSIS'!D45:M45)</f>
        <v>Property Management:</v>
      </c>
      <c r="H94" s="3398"/>
      <c r="I94" s="3398"/>
      <c r="J94" s="3398"/>
      <c r="K94" s="3399"/>
      <c r="L94" s="1317">
        <f>'RENTAL ANALYSIS'!Y45</f>
        <v>0</v>
      </c>
      <c r="M94" s="1317">
        <f>'RENTAL ANALYSIS'!Z45</f>
        <v>0</v>
      </c>
      <c r="N94" s="1317">
        <f>'RENTAL ANALYSIS'!AA45</f>
        <v>0</v>
      </c>
      <c r="O94" s="1317">
        <f>'RENTAL ANALYSIS'!AB45</f>
        <v>0</v>
      </c>
      <c r="P94" s="1317">
        <f>'RENTAL ANALYSIS'!AC45</f>
        <v>0</v>
      </c>
      <c r="Q94" s="1317">
        <f>'RENTAL ANALYSIS'!AD45</f>
        <v>0</v>
      </c>
      <c r="R94" s="1317">
        <f>'RENTAL ANALYSIS'!AE45</f>
        <v>0</v>
      </c>
      <c r="S94" s="1317">
        <f>'RENTAL ANALYSIS'!AF45</f>
        <v>0</v>
      </c>
      <c r="T94" s="1317">
        <f>'RENTAL ANALYSIS'!AG45</f>
        <v>0</v>
      </c>
      <c r="U94" s="1317">
        <f>'RENTAL ANALYSIS'!AH45</f>
        <v>0</v>
      </c>
      <c r="V94" s="1315"/>
      <c r="W94" s="1315"/>
      <c r="X94" s="1315"/>
      <c r="Y94" s="1288"/>
      <c r="Z94" s="1315"/>
      <c r="AA94" s="1315"/>
      <c r="AB94" s="1315"/>
    </row>
    <row r="95" spans="1:28" ht="17.100000000000001" customHeight="1">
      <c r="A95" s="1315"/>
      <c r="B95" s="1315"/>
      <c r="C95" s="1315"/>
      <c r="D95" s="1315"/>
      <c r="E95" s="1315"/>
      <c r="F95" s="1315"/>
      <c r="G95" s="4156" t="str">
        <f>T('RENTAL ANALYSIS'!D46:M46)</f>
        <v>Repairs:</v>
      </c>
      <c r="H95" s="3398"/>
      <c r="I95" s="3398"/>
      <c r="J95" s="3398"/>
      <c r="K95" s="3399"/>
      <c r="L95" s="1317">
        <f>'RENTAL ANALYSIS'!Y46</f>
        <v>0</v>
      </c>
      <c r="M95" s="1317">
        <f>'RENTAL ANALYSIS'!Z46</f>
        <v>0</v>
      </c>
      <c r="N95" s="1317">
        <f>'RENTAL ANALYSIS'!AA46</f>
        <v>0</v>
      </c>
      <c r="O95" s="1317">
        <f>'RENTAL ANALYSIS'!AB46</f>
        <v>0</v>
      </c>
      <c r="P95" s="1317">
        <f>'RENTAL ANALYSIS'!AC46</f>
        <v>0</v>
      </c>
      <c r="Q95" s="1317">
        <f>'RENTAL ANALYSIS'!AD46</f>
        <v>0</v>
      </c>
      <c r="R95" s="1317">
        <f>'RENTAL ANALYSIS'!AE46</f>
        <v>0</v>
      </c>
      <c r="S95" s="1317">
        <f>'RENTAL ANALYSIS'!AF46</f>
        <v>0</v>
      </c>
      <c r="T95" s="1317">
        <f>'RENTAL ANALYSIS'!AG46</f>
        <v>0</v>
      </c>
      <c r="U95" s="1317">
        <f>'RENTAL ANALYSIS'!AH46</f>
        <v>0</v>
      </c>
      <c r="V95" s="1315"/>
      <c r="W95" s="1315"/>
      <c r="X95" s="1315"/>
      <c r="Y95" s="1288"/>
      <c r="Z95" s="1315"/>
      <c r="AA95" s="1315"/>
      <c r="AB95" s="1315"/>
    </row>
    <row r="96" spans="1:28" ht="17.100000000000001" customHeight="1" thickBot="1">
      <c r="A96" s="1315"/>
      <c r="B96" s="1315"/>
      <c r="C96" s="1315"/>
      <c r="D96" s="1315"/>
      <c r="E96" s="1315"/>
      <c r="F96" s="1315"/>
      <c r="G96" s="4159" t="str">
        <f>T('RENTAL ANALYSIS'!D47:M47)</f>
        <v>Cap Ex:</v>
      </c>
      <c r="H96" s="4160"/>
      <c r="I96" s="4160"/>
      <c r="J96" s="4160"/>
      <c r="K96" s="4161"/>
      <c r="L96" s="1319">
        <f>'RENTAL ANALYSIS'!Y47</f>
        <v>0</v>
      </c>
      <c r="M96" s="1319">
        <f>'RENTAL ANALYSIS'!Z47</f>
        <v>0</v>
      </c>
      <c r="N96" s="1319">
        <f>'RENTAL ANALYSIS'!AA47</f>
        <v>0</v>
      </c>
      <c r="O96" s="1319">
        <f>'RENTAL ANALYSIS'!AB47</f>
        <v>0</v>
      </c>
      <c r="P96" s="1319">
        <f>'RENTAL ANALYSIS'!AC47</f>
        <v>0</v>
      </c>
      <c r="Q96" s="1319">
        <f>'RENTAL ANALYSIS'!AD47</f>
        <v>0</v>
      </c>
      <c r="R96" s="1319">
        <f>'RENTAL ANALYSIS'!AE47</f>
        <v>0</v>
      </c>
      <c r="S96" s="1319">
        <f>'RENTAL ANALYSIS'!AF47</f>
        <v>0</v>
      </c>
      <c r="T96" s="1319">
        <f>'RENTAL ANALYSIS'!AG47</f>
        <v>0</v>
      </c>
      <c r="U96" s="1319">
        <f>'RENTAL ANALYSIS'!AH47</f>
        <v>0</v>
      </c>
      <c r="V96" s="1315"/>
      <c r="W96" s="1315"/>
      <c r="X96" s="1315"/>
      <c r="Y96" s="1288"/>
      <c r="Z96" s="1315"/>
      <c r="AA96" s="1315"/>
      <c r="AB96" s="1315"/>
    </row>
    <row r="97" spans="1:28" ht="17.100000000000001" customHeight="1" thickBot="1">
      <c r="A97" s="1315"/>
      <c r="B97" s="1315"/>
      <c r="C97" s="1315"/>
      <c r="D97" s="1315"/>
      <c r="E97" s="1315"/>
      <c r="F97" s="1315"/>
      <c r="G97" s="4153" t="s">
        <v>596</v>
      </c>
      <c r="H97" s="4154"/>
      <c r="I97" s="4154"/>
      <c r="J97" s="4154"/>
      <c r="K97" s="4155"/>
      <c r="L97" s="1320">
        <f>'RENTAL ANALYSIS'!Y48</f>
        <v>0</v>
      </c>
      <c r="M97" s="1321">
        <f>'RENTAL ANALYSIS'!Z48</f>
        <v>0</v>
      </c>
      <c r="N97" s="1321">
        <f>'RENTAL ANALYSIS'!AA48</f>
        <v>0</v>
      </c>
      <c r="O97" s="1321">
        <f>'RENTAL ANALYSIS'!AB48</f>
        <v>0</v>
      </c>
      <c r="P97" s="1321">
        <f>'RENTAL ANALYSIS'!AC48</f>
        <v>0</v>
      </c>
      <c r="Q97" s="1321">
        <f>'RENTAL ANALYSIS'!AD48</f>
        <v>0</v>
      </c>
      <c r="R97" s="1321">
        <f>'RENTAL ANALYSIS'!AE48</f>
        <v>0</v>
      </c>
      <c r="S97" s="1321">
        <f>'RENTAL ANALYSIS'!AF48</f>
        <v>0</v>
      </c>
      <c r="T97" s="1321">
        <f>'RENTAL ANALYSIS'!AG48</f>
        <v>0</v>
      </c>
      <c r="U97" s="1322">
        <f>'RENTAL ANALYSIS'!AH48</f>
        <v>0</v>
      </c>
      <c r="V97" s="1315"/>
      <c r="W97" s="1315"/>
      <c r="X97" s="1315"/>
      <c r="Y97" s="1288"/>
      <c r="Z97" s="1315"/>
      <c r="AA97" s="1315"/>
      <c r="AB97" s="1315"/>
    </row>
    <row r="98" spans="1:28" ht="17.100000000000001" customHeight="1" thickBot="1">
      <c r="A98" s="1315"/>
      <c r="B98" s="1315"/>
      <c r="C98" s="1315"/>
      <c r="D98" s="1315"/>
      <c r="E98" s="1315"/>
      <c r="F98" s="1315"/>
      <c r="G98" s="4152"/>
      <c r="H98" s="3083"/>
      <c r="I98" s="3083"/>
      <c r="J98" s="3083"/>
      <c r="K98" s="1323"/>
      <c r="L98" s="1324"/>
      <c r="M98" s="1324"/>
      <c r="N98" s="1324"/>
      <c r="O98" s="1324"/>
      <c r="P98" s="1324"/>
      <c r="Q98" s="1324"/>
      <c r="R98" s="1324"/>
      <c r="S98" s="1324"/>
      <c r="T98" s="1324"/>
      <c r="U98" s="1324"/>
      <c r="V98" s="1315"/>
      <c r="W98" s="1315"/>
      <c r="X98" s="1315"/>
      <c r="Y98" s="1288"/>
      <c r="Z98" s="1315"/>
      <c r="AA98" s="1315"/>
      <c r="AB98" s="1315"/>
    </row>
    <row r="99" spans="1:28" ht="17.100000000000001" customHeight="1" thickBot="1">
      <c r="A99" s="1315"/>
      <c r="B99" s="1315"/>
      <c r="C99" s="1315"/>
      <c r="D99" s="1315"/>
      <c r="E99" s="1315"/>
      <c r="F99" s="1315"/>
      <c r="G99" s="4153" t="s">
        <v>597</v>
      </c>
      <c r="H99" s="4154"/>
      <c r="I99" s="4154"/>
      <c r="J99" s="4154"/>
      <c r="K99" s="4155"/>
      <c r="L99" s="1320">
        <f>'RENTAL ANALYSIS'!Y50</f>
        <v>0</v>
      </c>
      <c r="M99" s="1321">
        <f>'RENTAL ANALYSIS'!Z50</f>
        <v>0</v>
      </c>
      <c r="N99" s="1321">
        <f>'RENTAL ANALYSIS'!AA50</f>
        <v>0</v>
      </c>
      <c r="O99" s="1321">
        <f>'RENTAL ANALYSIS'!AB50</f>
        <v>0</v>
      </c>
      <c r="P99" s="1321">
        <f>'RENTAL ANALYSIS'!AC50</f>
        <v>0</v>
      </c>
      <c r="Q99" s="1321">
        <f>'RENTAL ANALYSIS'!AD50</f>
        <v>0</v>
      </c>
      <c r="R99" s="1321">
        <f>'RENTAL ANALYSIS'!AE50</f>
        <v>0</v>
      </c>
      <c r="S99" s="1321">
        <f>'RENTAL ANALYSIS'!AF50</f>
        <v>0</v>
      </c>
      <c r="T99" s="1321">
        <f>'RENTAL ANALYSIS'!AG50</f>
        <v>0</v>
      </c>
      <c r="U99" s="1322">
        <f>'RENTAL ANALYSIS'!AH50</f>
        <v>0</v>
      </c>
      <c r="V99" s="1315"/>
      <c r="W99" s="1315"/>
      <c r="X99" s="1315"/>
      <c r="Y99" s="1315"/>
      <c r="Z99" s="1315"/>
      <c r="AA99" s="1315"/>
      <c r="AB99" s="1315"/>
    </row>
    <row r="100" spans="1:28" s="1383" customFormat="1" ht="17.100000000000001" customHeight="1">
      <c r="A100" s="1315"/>
      <c r="B100" s="1315"/>
      <c r="C100" s="1315"/>
      <c r="D100" s="1315"/>
      <c r="E100" s="1315"/>
      <c r="F100" s="1315"/>
      <c r="G100" s="1402"/>
      <c r="H100" s="1403"/>
      <c r="I100" s="1403"/>
      <c r="J100" s="1403"/>
      <c r="K100" s="1403"/>
      <c r="L100" s="1404"/>
      <c r="M100" s="1404"/>
      <c r="N100" s="1404"/>
      <c r="O100" s="1404"/>
      <c r="P100" s="1404"/>
      <c r="Q100" s="1404"/>
      <c r="R100" s="1404"/>
      <c r="S100" s="1404"/>
      <c r="T100" s="1404"/>
      <c r="U100" s="1404"/>
      <c r="V100" s="1315"/>
      <c r="W100" s="1315"/>
      <c r="X100" s="1315"/>
      <c r="Y100" s="1315"/>
      <c r="Z100" s="1315"/>
      <c r="AA100" s="1315"/>
      <c r="AB100" s="1315"/>
    </row>
    <row r="101" spans="1:28" ht="17.100000000000001" customHeight="1">
      <c r="A101" s="1315"/>
      <c r="B101" s="1315"/>
      <c r="C101" s="1315"/>
      <c r="D101" s="1315"/>
      <c r="E101" s="1315"/>
      <c r="F101" s="1315"/>
      <c r="G101" s="4138" t="s">
        <v>598</v>
      </c>
      <c r="H101" s="3083"/>
      <c r="I101" s="3083"/>
      <c r="J101" s="3083"/>
      <c r="K101" s="1323"/>
      <c r="L101" s="1324"/>
      <c r="M101" s="1324"/>
      <c r="N101" s="1324"/>
      <c r="O101" s="1324"/>
      <c r="P101" s="1324"/>
      <c r="Q101" s="1324"/>
      <c r="R101" s="1324"/>
      <c r="S101" s="1324"/>
      <c r="T101" s="1324"/>
      <c r="U101" s="1324"/>
      <c r="V101" s="1315"/>
      <c r="W101" s="1315"/>
      <c r="X101" s="1315"/>
      <c r="Y101" s="1315"/>
      <c r="Z101" s="1315"/>
      <c r="AA101" s="1315"/>
      <c r="AB101" s="1315"/>
    </row>
    <row r="102" spans="1:28" ht="17.100000000000001" customHeight="1">
      <c r="A102" s="1315"/>
      <c r="B102" s="1315"/>
      <c r="C102" s="1315"/>
      <c r="D102" s="1315"/>
      <c r="E102" s="1315"/>
      <c r="F102" s="1315"/>
      <c r="G102" s="4156" t="s">
        <v>869</v>
      </c>
      <c r="H102" s="3398"/>
      <c r="I102" s="3398"/>
      <c r="J102" s="3398"/>
      <c r="K102" s="3399"/>
      <c r="L102" s="1317" t="str">
        <f>'RENTAL ANALYSIS'!Y53</f>
        <v/>
      </c>
      <c r="M102" s="1317" t="str">
        <f>'RENTAL ANALYSIS'!Z53</f>
        <v/>
      </c>
      <c r="N102" s="1317" t="str">
        <f>'RENTAL ANALYSIS'!AA53</f>
        <v/>
      </c>
      <c r="O102" s="1317" t="str">
        <f>'RENTAL ANALYSIS'!AB53</f>
        <v/>
      </c>
      <c r="P102" s="1317" t="str">
        <f>'RENTAL ANALYSIS'!AC53</f>
        <v/>
      </c>
      <c r="Q102" s="1317" t="str">
        <f>'RENTAL ANALYSIS'!AD53</f>
        <v/>
      </c>
      <c r="R102" s="1317" t="str">
        <f>'RENTAL ANALYSIS'!AE53</f>
        <v/>
      </c>
      <c r="S102" s="1317" t="str">
        <f>'RENTAL ANALYSIS'!AF53</f>
        <v/>
      </c>
      <c r="T102" s="1317" t="str">
        <f>'RENTAL ANALYSIS'!AG53</f>
        <v/>
      </c>
      <c r="U102" s="1317" t="str">
        <f>'RENTAL ANALYSIS'!AH53</f>
        <v/>
      </c>
      <c r="V102" s="1315"/>
      <c r="W102" s="1315"/>
      <c r="X102" s="1315"/>
      <c r="Y102" s="1288"/>
      <c r="Z102" s="1315"/>
      <c r="AA102" s="1315"/>
      <c r="AB102" s="1315"/>
    </row>
    <row r="103" spans="1:28" ht="17.100000000000001" customHeight="1" thickBot="1">
      <c r="A103" s="1315"/>
      <c r="B103" s="1315"/>
      <c r="C103" s="1315"/>
      <c r="D103" s="1315"/>
      <c r="E103" s="1315"/>
      <c r="F103" s="1315"/>
      <c r="G103" s="4157" t="s">
        <v>870</v>
      </c>
      <c r="H103" s="3417"/>
      <c r="I103" s="3417"/>
      <c r="J103" s="3417"/>
      <c r="K103" s="4158"/>
      <c r="L103" s="1326" t="str">
        <f>'RENTAL ANALYSIS'!Y54</f>
        <v/>
      </c>
      <c r="M103" s="1326" t="str">
        <f>'RENTAL ANALYSIS'!Z54</f>
        <v/>
      </c>
      <c r="N103" s="1326" t="str">
        <f>'RENTAL ANALYSIS'!AA54</f>
        <v/>
      </c>
      <c r="O103" s="1326" t="str">
        <f>'RENTAL ANALYSIS'!AB54</f>
        <v/>
      </c>
      <c r="P103" s="1326" t="str">
        <f>'RENTAL ANALYSIS'!AC54</f>
        <v/>
      </c>
      <c r="Q103" s="1326" t="str">
        <f>'RENTAL ANALYSIS'!AD54</f>
        <v/>
      </c>
      <c r="R103" s="1326" t="str">
        <f>'RENTAL ANALYSIS'!AE54</f>
        <v/>
      </c>
      <c r="S103" s="1326" t="str">
        <f>'RENTAL ANALYSIS'!AF54</f>
        <v/>
      </c>
      <c r="T103" s="1326" t="str">
        <f>'RENTAL ANALYSIS'!AG54</f>
        <v/>
      </c>
      <c r="U103" s="1326" t="str">
        <f>'RENTAL ANALYSIS'!AH54</f>
        <v/>
      </c>
      <c r="V103" s="1315"/>
      <c r="W103" s="1315"/>
      <c r="X103" s="1315"/>
      <c r="Y103" s="1288"/>
      <c r="Z103" s="1315"/>
      <c r="AA103" s="1315"/>
      <c r="AB103" s="1315"/>
    </row>
    <row r="104" spans="1:28" ht="17.100000000000001" customHeight="1" thickTop="1">
      <c r="A104" s="1315"/>
      <c r="B104" s="1315"/>
      <c r="C104" s="1315"/>
      <c r="D104" s="1315"/>
      <c r="E104" s="1315"/>
      <c r="F104" s="1315"/>
      <c r="G104" s="4151" t="s">
        <v>601</v>
      </c>
      <c r="H104" s="3102"/>
      <c r="I104" s="3102"/>
      <c r="J104" s="3102"/>
      <c r="K104" s="3392"/>
      <c r="L104" s="1327">
        <f>'RENTAL ANALYSIS'!Y55</f>
        <v>0</v>
      </c>
      <c r="M104" s="1327">
        <f>'RENTAL ANALYSIS'!Z55</f>
        <v>0</v>
      </c>
      <c r="N104" s="1327">
        <f>'RENTAL ANALYSIS'!AA55</f>
        <v>0</v>
      </c>
      <c r="O104" s="1327">
        <f>'RENTAL ANALYSIS'!AB55</f>
        <v>0</v>
      </c>
      <c r="P104" s="1327">
        <f>'RENTAL ANALYSIS'!AC55</f>
        <v>0</v>
      </c>
      <c r="Q104" s="1327">
        <f>'RENTAL ANALYSIS'!AD55</f>
        <v>0</v>
      </c>
      <c r="R104" s="1327">
        <f>'RENTAL ANALYSIS'!AE55</f>
        <v>0</v>
      </c>
      <c r="S104" s="1327">
        <f>'RENTAL ANALYSIS'!AF55</f>
        <v>0</v>
      </c>
      <c r="T104" s="1327">
        <f>'RENTAL ANALYSIS'!AG55</f>
        <v>0</v>
      </c>
      <c r="U104" s="1327">
        <f>'RENTAL ANALYSIS'!AH55</f>
        <v>0</v>
      </c>
      <c r="V104" s="1315"/>
      <c r="W104" s="1315"/>
      <c r="X104" s="1315"/>
      <c r="Y104" s="1288"/>
      <c r="Z104" s="1315"/>
      <c r="AA104" s="1315"/>
      <c r="AB104" s="1315"/>
    </row>
    <row r="105" spans="1:28" ht="17.100000000000001" customHeight="1">
      <c r="A105" s="1315"/>
      <c r="B105" s="1315"/>
      <c r="C105" s="1315"/>
      <c r="D105" s="1315"/>
      <c r="E105" s="1315"/>
      <c r="F105" s="1315"/>
      <c r="G105" s="4151" t="s">
        <v>607</v>
      </c>
      <c r="H105" s="3102"/>
      <c r="I105" s="3102"/>
      <c r="J105" s="3102"/>
      <c r="K105" s="3392"/>
      <c r="L105" s="1328" t="str">
        <f>'RENTAL ANALYSIS'!Y56</f>
        <v/>
      </c>
      <c r="M105" s="1328" t="str">
        <f>'RENTAL ANALYSIS'!Z56</f>
        <v/>
      </c>
      <c r="N105" s="1328" t="str">
        <f>'RENTAL ANALYSIS'!AA56</f>
        <v/>
      </c>
      <c r="O105" s="1328" t="str">
        <f>'RENTAL ANALYSIS'!AB56</f>
        <v/>
      </c>
      <c r="P105" s="1328" t="str">
        <f>'RENTAL ANALYSIS'!AC56</f>
        <v/>
      </c>
      <c r="Q105" s="1328" t="str">
        <f>'RENTAL ANALYSIS'!AD56</f>
        <v/>
      </c>
      <c r="R105" s="1328" t="str">
        <f>'RENTAL ANALYSIS'!AE56</f>
        <v/>
      </c>
      <c r="S105" s="1328" t="str">
        <f>'RENTAL ANALYSIS'!AF56</f>
        <v/>
      </c>
      <c r="T105" s="1328" t="str">
        <f>'RENTAL ANALYSIS'!AG56</f>
        <v/>
      </c>
      <c r="U105" s="1328" t="str">
        <f>'RENTAL ANALYSIS'!AH56</f>
        <v/>
      </c>
      <c r="V105" s="1315"/>
      <c r="W105" s="1315"/>
      <c r="X105" s="1315"/>
      <c r="Y105" s="1288"/>
      <c r="Z105" s="1315"/>
      <c r="AA105" s="1315"/>
      <c r="AB105" s="1315"/>
    </row>
    <row r="106" spans="1:28" ht="17.100000000000001" customHeight="1" thickBot="1">
      <c r="A106" s="1315"/>
      <c r="B106" s="1315"/>
      <c r="C106" s="1315"/>
      <c r="D106" s="1315"/>
      <c r="E106" s="1315"/>
      <c r="F106" s="1315"/>
      <c r="G106" s="4152"/>
      <c r="H106" s="3083"/>
      <c r="I106" s="3083"/>
      <c r="J106" s="3083"/>
      <c r="K106" s="1323"/>
      <c r="L106" s="1324"/>
      <c r="M106" s="1324"/>
      <c r="N106" s="1324"/>
      <c r="O106" s="1324"/>
      <c r="P106" s="1324"/>
      <c r="Q106" s="1324"/>
      <c r="R106" s="1324"/>
      <c r="S106" s="1324"/>
      <c r="T106" s="1324"/>
      <c r="U106" s="1324"/>
      <c r="V106" s="1315"/>
      <c r="W106" s="1315"/>
      <c r="X106" s="1315"/>
      <c r="Y106" s="1288"/>
      <c r="Z106" s="1315"/>
      <c r="AA106" s="1315"/>
      <c r="AB106" s="1315"/>
    </row>
    <row r="107" spans="1:28" ht="17.100000000000001" customHeight="1" thickBot="1">
      <c r="A107" s="1315"/>
      <c r="B107" s="1315"/>
      <c r="C107" s="1315"/>
      <c r="D107" s="1315"/>
      <c r="E107" s="1315"/>
      <c r="F107" s="1315"/>
      <c r="G107" s="4153" t="s">
        <v>1703</v>
      </c>
      <c r="H107" s="4154"/>
      <c r="I107" s="4154"/>
      <c r="J107" s="4154"/>
      <c r="K107" s="4155"/>
      <c r="L107" s="1320">
        <f>'RENTAL ANALYSIS'!Y63</f>
        <v>0</v>
      </c>
      <c r="M107" s="1321">
        <f>'RENTAL ANALYSIS'!Z63</f>
        <v>0</v>
      </c>
      <c r="N107" s="1321">
        <f>'RENTAL ANALYSIS'!AA63</f>
        <v>0</v>
      </c>
      <c r="O107" s="1321">
        <f>'RENTAL ANALYSIS'!AB63</f>
        <v>0</v>
      </c>
      <c r="P107" s="1321">
        <f>'RENTAL ANALYSIS'!AC63</f>
        <v>0</v>
      </c>
      <c r="Q107" s="1321">
        <f>'RENTAL ANALYSIS'!AD63</f>
        <v>0</v>
      </c>
      <c r="R107" s="1321">
        <f>'RENTAL ANALYSIS'!AE63</f>
        <v>0</v>
      </c>
      <c r="S107" s="1321">
        <f>'RENTAL ANALYSIS'!AF63</f>
        <v>0</v>
      </c>
      <c r="T107" s="1321">
        <f>'RENTAL ANALYSIS'!AG63</f>
        <v>0</v>
      </c>
      <c r="U107" s="1322">
        <f>'RENTAL ANALYSIS'!AH63</f>
        <v>0</v>
      </c>
      <c r="V107" s="1315"/>
      <c r="W107" s="1315"/>
      <c r="X107" s="1315"/>
      <c r="Y107" s="1288"/>
      <c r="Z107" s="1315"/>
      <c r="AA107" s="1315"/>
      <c r="AB107" s="1315"/>
    </row>
    <row r="108" spans="1:28" s="1383" customFormat="1" ht="17.100000000000001" customHeight="1">
      <c r="A108" s="1315"/>
      <c r="B108" s="1315"/>
      <c r="C108" s="1315"/>
      <c r="D108" s="1315"/>
      <c r="E108" s="1315"/>
      <c r="F108" s="1315"/>
      <c r="G108" s="1402"/>
      <c r="H108" s="1403"/>
      <c r="I108" s="1403"/>
      <c r="J108" s="1403"/>
      <c r="K108" s="1403"/>
      <c r="L108" s="1404"/>
      <c r="M108" s="1404"/>
      <c r="N108" s="1404"/>
      <c r="O108" s="1404"/>
      <c r="P108" s="1404"/>
      <c r="Q108" s="1404"/>
      <c r="R108" s="1404"/>
      <c r="S108" s="1404"/>
      <c r="T108" s="1404"/>
      <c r="U108" s="1404"/>
      <c r="V108" s="1315"/>
      <c r="W108" s="1315"/>
      <c r="X108" s="1315"/>
      <c r="Y108" s="1288"/>
      <c r="Z108" s="1315"/>
      <c r="AA108" s="1315"/>
      <c r="AB108" s="1315"/>
    </row>
    <row r="109" spans="1:28" ht="17.100000000000001" customHeight="1" thickBot="1">
      <c r="A109" s="1315"/>
      <c r="B109" s="1315"/>
      <c r="C109" s="1315"/>
      <c r="D109" s="1315"/>
      <c r="E109" s="1315"/>
      <c r="F109" s="1315"/>
      <c r="G109" s="4138" t="s">
        <v>602</v>
      </c>
      <c r="H109" s="3083"/>
      <c r="I109" s="3083"/>
      <c r="J109" s="3083"/>
      <c r="K109" s="1323"/>
      <c r="L109" s="1324"/>
      <c r="M109" s="1324"/>
      <c r="N109" s="1324"/>
      <c r="O109" s="1324"/>
      <c r="P109" s="1324"/>
      <c r="Q109" s="1324"/>
      <c r="R109" s="1324"/>
      <c r="S109" s="1324"/>
      <c r="T109" s="1324"/>
      <c r="U109" s="1324"/>
      <c r="V109" s="1315"/>
      <c r="W109" s="1315"/>
      <c r="X109" s="1315"/>
      <c r="Y109" s="1288"/>
      <c r="Z109" s="1315"/>
      <c r="AA109" s="1315"/>
      <c r="AB109" s="1315"/>
    </row>
    <row r="110" spans="1:28" ht="17.100000000000001" customHeight="1">
      <c r="A110" s="1315"/>
      <c r="B110" s="1315"/>
      <c r="C110" s="1315"/>
      <c r="D110" s="1315"/>
      <c r="E110" s="1315"/>
      <c r="F110" s="1315"/>
      <c r="G110" s="4139" t="s">
        <v>913</v>
      </c>
      <c r="H110" s="4140"/>
      <c r="I110" s="4140"/>
      <c r="J110" s="4140"/>
      <c r="K110" s="4141"/>
      <c r="L110" s="1329">
        <f>'RENTAL ANALYSIS'!Y70</f>
        <v>0</v>
      </c>
      <c r="M110" s="1329">
        <f>'RENTAL ANALYSIS'!Z70</f>
        <v>0</v>
      </c>
      <c r="N110" s="1329">
        <f>'RENTAL ANALYSIS'!AA70</f>
        <v>0</v>
      </c>
      <c r="O110" s="1329">
        <f>'RENTAL ANALYSIS'!AB70</f>
        <v>0</v>
      </c>
      <c r="P110" s="1329">
        <f>'RENTAL ANALYSIS'!AC70</f>
        <v>0</v>
      </c>
      <c r="Q110" s="1329">
        <f>'RENTAL ANALYSIS'!AD70</f>
        <v>0</v>
      </c>
      <c r="R110" s="1329">
        <f>'RENTAL ANALYSIS'!AE70</f>
        <v>0</v>
      </c>
      <c r="S110" s="1329">
        <f>'RENTAL ANALYSIS'!AF70</f>
        <v>0</v>
      </c>
      <c r="T110" s="1329">
        <f>'RENTAL ANALYSIS'!AG70</f>
        <v>0</v>
      </c>
      <c r="U110" s="1330">
        <f>'RENTAL ANALYSIS'!AH70</f>
        <v>0</v>
      </c>
      <c r="V110" s="1315"/>
      <c r="W110" s="1315"/>
      <c r="X110" s="1315"/>
      <c r="Y110" s="1315"/>
      <c r="Z110" s="1315"/>
      <c r="AA110" s="1315"/>
      <c r="AB110" s="1315"/>
    </row>
    <row r="111" spans="1:28" ht="17.100000000000001" customHeight="1" thickBot="1">
      <c r="A111" s="1315"/>
      <c r="B111" s="1315"/>
      <c r="C111" s="1315"/>
      <c r="D111" s="1315"/>
      <c r="E111" s="1315"/>
      <c r="F111" s="1315"/>
      <c r="G111" s="4142" t="s">
        <v>1812</v>
      </c>
      <c r="H111" s="4143"/>
      <c r="I111" s="4143"/>
      <c r="J111" s="4143"/>
      <c r="K111" s="4144"/>
      <c r="L111" s="1331" t="str">
        <f>'RENTAL ANALYSIS'!Y72</f>
        <v/>
      </c>
      <c r="M111" s="1331" t="str">
        <f>'RENTAL ANALYSIS'!Z72</f>
        <v/>
      </c>
      <c r="N111" s="1331" t="str">
        <f>'RENTAL ANALYSIS'!AA72</f>
        <v/>
      </c>
      <c r="O111" s="1331" t="str">
        <f>'RENTAL ANALYSIS'!AB72</f>
        <v/>
      </c>
      <c r="P111" s="1331" t="str">
        <f>'RENTAL ANALYSIS'!AC72</f>
        <v/>
      </c>
      <c r="Q111" s="1331" t="str">
        <f>'RENTAL ANALYSIS'!AD72</f>
        <v/>
      </c>
      <c r="R111" s="1331" t="str">
        <f>'RENTAL ANALYSIS'!AE72</f>
        <v/>
      </c>
      <c r="S111" s="1331" t="str">
        <f>'RENTAL ANALYSIS'!AF72</f>
        <v/>
      </c>
      <c r="T111" s="1331" t="str">
        <f>'RENTAL ANALYSIS'!AG72</f>
        <v/>
      </c>
      <c r="U111" s="1332" t="str">
        <f>'RENTAL ANALYSIS'!AH72</f>
        <v/>
      </c>
      <c r="V111" s="1315"/>
      <c r="W111" s="1315"/>
      <c r="X111" s="1315"/>
      <c r="Y111" s="1288"/>
      <c r="Z111" s="1315"/>
      <c r="AA111" s="1315"/>
      <c r="AB111" s="1315"/>
    </row>
    <row r="112" spans="1:28" ht="17.100000000000001" customHeight="1" thickBot="1">
      <c r="A112" s="1315"/>
      <c r="B112" s="1315"/>
      <c r="C112" s="1315"/>
      <c r="D112" s="1315"/>
      <c r="E112" s="1315"/>
      <c r="F112" s="1315"/>
      <c r="G112" s="4138" t="s">
        <v>603</v>
      </c>
      <c r="H112" s="3083"/>
      <c r="I112" s="3083"/>
      <c r="J112" s="3083"/>
      <c r="K112" s="1323"/>
      <c r="L112" s="1324"/>
      <c r="M112" s="1324"/>
      <c r="N112" s="1324"/>
      <c r="O112" s="1324"/>
      <c r="P112" s="1324"/>
      <c r="Q112" s="1324"/>
      <c r="R112" s="1324"/>
      <c r="S112" s="1324"/>
      <c r="T112" s="1324"/>
      <c r="U112" s="1324"/>
      <c r="V112" s="1315"/>
      <c r="W112" s="1315"/>
      <c r="X112" s="1288"/>
      <c r="Y112" s="1288"/>
      <c r="Z112" s="1315"/>
      <c r="AA112" s="1315"/>
      <c r="AB112" s="1315"/>
    </row>
    <row r="113" spans="1:28" ht="17.100000000000001" customHeight="1">
      <c r="A113" s="1315"/>
      <c r="B113" s="1315"/>
      <c r="C113" s="1315"/>
      <c r="D113" s="1315"/>
      <c r="E113" s="1315"/>
      <c r="F113" s="1315"/>
      <c r="G113" s="4139" t="s">
        <v>1765</v>
      </c>
      <c r="H113" s="4140"/>
      <c r="I113" s="4140"/>
      <c r="J113" s="4140"/>
      <c r="K113" s="4141"/>
      <c r="L113" s="1333">
        <f>'RENTAL ANALYSIS'!Y75</f>
        <v>0</v>
      </c>
      <c r="M113" s="1333">
        <f>'RENTAL ANALYSIS'!Z75</f>
        <v>0</v>
      </c>
      <c r="N113" s="1333">
        <f>'RENTAL ANALYSIS'!AA75</f>
        <v>0</v>
      </c>
      <c r="O113" s="1333">
        <f>'RENTAL ANALYSIS'!AB75</f>
        <v>0</v>
      </c>
      <c r="P113" s="1333">
        <f>'RENTAL ANALYSIS'!AC75</f>
        <v>0</v>
      </c>
      <c r="Q113" s="1333">
        <f>'RENTAL ANALYSIS'!AD75</f>
        <v>0</v>
      </c>
      <c r="R113" s="1333">
        <f>'RENTAL ANALYSIS'!AE75</f>
        <v>0</v>
      </c>
      <c r="S113" s="1333">
        <f>'RENTAL ANALYSIS'!AF75</f>
        <v>0</v>
      </c>
      <c r="T113" s="1333">
        <f>'RENTAL ANALYSIS'!AG75</f>
        <v>0</v>
      </c>
      <c r="U113" s="1334">
        <f>'RENTAL ANALYSIS'!AH75</f>
        <v>0</v>
      </c>
      <c r="V113" s="1315"/>
      <c r="W113" s="1315"/>
      <c r="X113" s="1288"/>
      <c r="Y113" s="1288"/>
      <c r="Z113" s="1315"/>
      <c r="AA113" s="1315"/>
      <c r="AB113" s="1315"/>
    </row>
    <row r="114" spans="1:28" ht="17.100000000000001" customHeight="1">
      <c r="A114" s="1315"/>
      <c r="B114" s="1315"/>
      <c r="C114" s="1315"/>
      <c r="D114" s="1315"/>
      <c r="E114" s="1315"/>
      <c r="F114" s="1315"/>
      <c r="G114" s="4167" t="s">
        <v>1766</v>
      </c>
      <c r="H114" s="3398"/>
      <c r="I114" s="3398"/>
      <c r="J114" s="3398"/>
      <c r="K114" s="3399"/>
      <c r="L114" s="1335" t="str">
        <f>'RENTAL ANALYSIS'!Y76</f>
        <v/>
      </c>
      <c r="M114" s="1335" t="str">
        <f>'RENTAL ANALYSIS'!Z76</f>
        <v/>
      </c>
      <c r="N114" s="1335" t="str">
        <f>'RENTAL ANALYSIS'!AA76</f>
        <v/>
      </c>
      <c r="O114" s="1335" t="str">
        <f>'RENTAL ANALYSIS'!AB76</f>
        <v/>
      </c>
      <c r="P114" s="1335" t="str">
        <f>'RENTAL ANALYSIS'!AC76</f>
        <v/>
      </c>
      <c r="Q114" s="1335" t="str">
        <f>'RENTAL ANALYSIS'!AD76</f>
        <v/>
      </c>
      <c r="R114" s="1335" t="str">
        <f>'RENTAL ANALYSIS'!AE76</f>
        <v/>
      </c>
      <c r="S114" s="1335" t="str">
        <f>'RENTAL ANALYSIS'!AF76</f>
        <v/>
      </c>
      <c r="T114" s="1335" t="str">
        <f>'RENTAL ANALYSIS'!AG76</f>
        <v/>
      </c>
      <c r="U114" s="1336" t="str">
        <f>'RENTAL ANALYSIS'!AH76</f>
        <v/>
      </c>
      <c r="V114" s="1315"/>
      <c r="W114" s="1315"/>
      <c r="X114" s="1288"/>
      <c r="Y114" s="1288"/>
      <c r="Z114" s="1315"/>
      <c r="AA114" s="1315"/>
      <c r="AB114" s="1315"/>
    </row>
    <row r="115" spans="1:28" ht="17.100000000000001" customHeight="1" thickBot="1">
      <c r="A115" s="1315"/>
      <c r="B115" s="1315"/>
      <c r="C115" s="1315"/>
      <c r="D115" s="1315"/>
      <c r="E115" s="1315"/>
      <c r="F115" s="1315"/>
      <c r="G115" s="4168" t="s">
        <v>1813</v>
      </c>
      <c r="H115" s="3365"/>
      <c r="I115" s="3365"/>
      <c r="J115" s="3365"/>
      <c r="K115" s="3366"/>
      <c r="L115" s="1337">
        <f>'RENTAL ANALYSIS'!Y77</f>
        <v>0</v>
      </c>
      <c r="M115" s="1337">
        <f>'RENTAL ANALYSIS'!Z77</f>
        <v>0</v>
      </c>
      <c r="N115" s="1337">
        <f>'RENTAL ANALYSIS'!AA77</f>
        <v>0</v>
      </c>
      <c r="O115" s="1337">
        <f>'RENTAL ANALYSIS'!AB77</f>
        <v>0</v>
      </c>
      <c r="P115" s="1337">
        <f>'RENTAL ANALYSIS'!AC77</f>
        <v>0</v>
      </c>
      <c r="Q115" s="1337">
        <f>'RENTAL ANALYSIS'!AD77</f>
        <v>0</v>
      </c>
      <c r="R115" s="1337">
        <f>'RENTAL ANALYSIS'!AE77</f>
        <v>0</v>
      </c>
      <c r="S115" s="1337">
        <f>'RENTAL ANALYSIS'!AF77</f>
        <v>0</v>
      </c>
      <c r="T115" s="1337">
        <f>'RENTAL ANALYSIS'!AG77</f>
        <v>0</v>
      </c>
      <c r="U115" s="1338">
        <f>'RENTAL ANALYSIS'!AH77</f>
        <v>0</v>
      </c>
      <c r="V115" s="1315"/>
      <c r="W115" s="1315"/>
      <c r="X115" s="1288"/>
      <c r="Y115" s="1288"/>
      <c r="Z115" s="1315"/>
      <c r="AA115" s="1315"/>
      <c r="AB115" s="1315"/>
    </row>
    <row r="116" spans="1:28" ht="17.100000000000001" customHeight="1" thickTop="1" thickBot="1">
      <c r="A116" s="1315"/>
      <c r="B116" s="1315"/>
      <c r="C116" s="1315"/>
      <c r="D116" s="1315"/>
      <c r="E116" s="1315"/>
      <c r="F116" s="1315"/>
      <c r="G116" s="4169" t="s">
        <v>1810</v>
      </c>
      <c r="H116" s="4149"/>
      <c r="I116" s="4149"/>
      <c r="J116" s="4149"/>
      <c r="K116" s="4150"/>
      <c r="L116" s="1339">
        <f>'RENTAL ANALYSIS'!Y78</f>
        <v>0</v>
      </c>
      <c r="M116" s="1340">
        <f>'RENTAL ANALYSIS'!Z78</f>
        <v>0</v>
      </c>
      <c r="N116" s="1340">
        <f>'RENTAL ANALYSIS'!AA78</f>
        <v>0</v>
      </c>
      <c r="O116" s="1340">
        <f>'RENTAL ANALYSIS'!AB78</f>
        <v>0</v>
      </c>
      <c r="P116" s="1340">
        <f>'RENTAL ANALYSIS'!AC78</f>
        <v>0</v>
      </c>
      <c r="Q116" s="1340">
        <f>'RENTAL ANALYSIS'!AD78</f>
        <v>0</v>
      </c>
      <c r="R116" s="1340">
        <f>'RENTAL ANALYSIS'!AE78</f>
        <v>0</v>
      </c>
      <c r="S116" s="1340">
        <f>'RENTAL ANALYSIS'!AF78</f>
        <v>0</v>
      </c>
      <c r="T116" s="1340">
        <f>'RENTAL ANALYSIS'!AG78</f>
        <v>0</v>
      </c>
      <c r="U116" s="1341">
        <f>'RENTAL ANALYSIS'!AH78</f>
        <v>0</v>
      </c>
      <c r="V116" s="1315"/>
      <c r="W116" s="1315"/>
      <c r="X116" s="1315"/>
      <c r="Y116" s="1288"/>
      <c r="Z116" s="1315"/>
      <c r="AA116" s="1315"/>
      <c r="AB116" s="1315"/>
    </row>
    <row r="117" spans="1:28" s="1383" customFormat="1" ht="17.100000000000001" customHeight="1" thickBot="1">
      <c r="A117" s="1315"/>
      <c r="B117" s="1315"/>
      <c r="C117" s="1315"/>
      <c r="D117" s="1315"/>
      <c r="E117" s="1315"/>
      <c r="F117" s="1315"/>
      <c r="G117" s="1402"/>
      <c r="H117" s="1403"/>
      <c r="I117" s="1403"/>
      <c r="J117" s="1403"/>
      <c r="K117" s="1403"/>
      <c r="L117" s="1404"/>
      <c r="M117" s="1404"/>
      <c r="N117" s="1404"/>
      <c r="O117" s="1404"/>
      <c r="P117" s="1404"/>
      <c r="Q117" s="1404"/>
      <c r="R117" s="1404"/>
      <c r="S117" s="1404"/>
      <c r="T117" s="1404"/>
      <c r="U117" s="1404"/>
      <c r="V117" s="1315"/>
      <c r="W117" s="1315"/>
      <c r="X117" s="1315"/>
      <c r="Y117" s="1288"/>
      <c r="Z117" s="1315"/>
      <c r="AA117" s="1315"/>
      <c r="AB117" s="1315"/>
    </row>
    <row r="118" spans="1:28" ht="17.100000000000001" customHeight="1">
      <c r="A118" s="1315"/>
      <c r="B118" s="1315"/>
      <c r="C118" s="1315"/>
      <c r="D118" s="1315"/>
      <c r="E118" s="1315"/>
      <c r="F118" s="1315"/>
      <c r="G118" s="4139" t="s">
        <v>605</v>
      </c>
      <c r="H118" s="4140"/>
      <c r="I118" s="4140"/>
      <c r="J118" s="4140"/>
      <c r="K118" s="4141"/>
      <c r="L118" s="1329">
        <f>'RENTAL ANALYSIS'!Y82</f>
        <v>0</v>
      </c>
      <c r="M118" s="1329">
        <f>'RENTAL ANALYSIS'!Z82</f>
        <v>0</v>
      </c>
      <c r="N118" s="1329">
        <f>'RENTAL ANALYSIS'!AA82</f>
        <v>0</v>
      </c>
      <c r="O118" s="1329">
        <f>'RENTAL ANALYSIS'!AB82</f>
        <v>0</v>
      </c>
      <c r="P118" s="1329">
        <f>'RENTAL ANALYSIS'!AC82</f>
        <v>0</v>
      </c>
      <c r="Q118" s="1329">
        <f>'RENTAL ANALYSIS'!AD82</f>
        <v>0</v>
      </c>
      <c r="R118" s="1329">
        <f>'RENTAL ANALYSIS'!AE82</f>
        <v>0</v>
      </c>
      <c r="S118" s="1329">
        <f>'RENTAL ANALYSIS'!AF82</f>
        <v>0</v>
      </c>
      <c r="T118" s="1329">
        <f>'RENTAL ANALYSIS'!AG82</f>
        <v>0</v>
      </c>
      <c r="U118" s="1330">
        <f>'RENTAL ANALYSIS'!AH82</f>
        <v>0</v>
      </c>
      <c r="V118" s="1315"/>
      <c r="W118" s="1315"/>
      <c r="X118" s="1315"/>
      <c r="Y118" s="1315"/>
      <c r="Z118" s="1315"/>
      <c r="AA118" s="1315"/>
      <c r="AB118" s="1315"/>
    </row>
    <row r="119" spans="1:28" ht="17.100000000000001" customHeight="1" thickBot="1">
      <c r="A119" s="1315"/>
      <c r="B119" s="1315"/>
      <c r="C119" s="1315"/>
      <c r="D119" s="1315"/>
      <c r="E119" s="1315"/>
      <c r="F119" s="1315"/>
      <c r="G119" s="4142" t="s">
        <v>606</v>
      </c>
      <c r="H119" s="4143"/>
      <c r="I119" s="4143"/>
      <c r="J119" s="4143"/>
      <c r="K119" s="4144"/>
      <c r="L119" s="1331" t="str">
        <f>'RENTAL ANALYSIS'!Y85</f>
        <v/>
      </c>
      <c r="M119" s="1331" t="str">
        <f>'RENTAL ANALYSIS'!Z85</f>
        <v/>
      </c>
      <c r="N119" s="1331" t="str">
        <f>'RENTAL ANALYSIS'!AA85</f>
        <v/>
      </c>
      <c r="O119" s="1331" t="str">
        <f>'RENTAL ANALYSIS'!AB85</f>
        <v/>
      </c>
      <c r="P119" s="1331" t="str">
        <f>'RENTAL ANALYSIS'!AC85</f>
        <v/>
      </c>
      <c r="Q119" s="1331" t="str">
        <f>'RENTAL ANALYSIS'!AD85</f>
        <v/>
      </c>
      <c r="R119" s="1331" t="str">
        <f>'RENTAL ANALYSIS'!AE85</f>
        <v/>
      </c>
      <c r="S119" s="1331" t="str">
        <f>'RENTAL ANALYSIS'!AF85</f>
        <v/>
      </c>
      <c r="T119" s="1331" t="str">
        <f>'RENTAL ANALYSIS'!AG85</f>
        <v/>
      </c>
      <c r="U119" s="1332" t="str">
        <f>'RENTAL ANALYSIS'!AH85</f>
        <v/>
      </c>
      <c r="V119" s="1315"/>
      <c r="W119" s="1315"/>
      <c r="X119" s="1315"/>
      <c r="Y119" s="1315"/>
      <c r="Z119" s="1315"/>
      <c r="AA119" s="1315"/>
      <c r="AB119" s="1315"/>
    </row>
    <row r="120" spans="1:28" ht="19.5" customHeight="1">
      <c r="A120" s="1288"/>
      <c r="B120" s="1288"/>
      <c r="C120" s="1288"/>
      <c r="D120" s="1288"/>
      <c r="E120" s="1288"/>
      <c r="F120" s="1288"/>
      <c r="G120" s="1311"/>
      <c r="H120" s="1311"/>
      <c r="I120" s="1311"/>
      <c r="J120" s="1311"/>
      <c r="K120" s="1312"/>
      <c r="L120" s="1312"/>
      <c r="M120" s="1312"/>
      <c r="N120" s="1313"/>
      <c r="O120" s="1313"/>
      <c r="P120" s="1313"/>
      <c r="Q120" s="1313"/>
      <c r="R120" s="1313"/>
      <c r="S120" s="1313"/>
      <c r="T120" s="1313"/>
      <c r="U120" s="1313"/>
      <c r="V120" s="1288"/>
      <c r="W120" s="1288"/>
      <c r="X120" s="1288"/>
      <c r="Y120" s="1288"/>
      <c r="Z120" s="1288"/>
      <c r="AA120" s="1288"/>
      <c r="AB120" s="1288"/>
    </row>
    <row r="121" spans="1:28" ht="18" customHeight="1">
      <c r="A121" s="1288"/>
      <c r="B121" s="1288"/>
      <c r="C121" s="1288"/>
      <c r="D121" s="1288"/>
      <c r="E121" s="1288"/>
      <c r="F121" s="1288"/>
      <c r="G121" s="4133" t="str">
        <f>CONCATENATE("Report Prepared By: ",Investor_Name,"  |  ",Company_Name,"  |  ",Company_Email,"  |  ",Company_Email)</f>
        <v xml:space="preserve">Report Prepared By:   |    |    |  </v>
      </c>
      <c r="H121" s="4133"/>
      <c r="I121" s="4133"/>
      <c r="J121" s="4133"/>
      <c r="K121" s="4133"/>
      <c r="L121" s="4133"/>
      <c r="M121" s="4133"/>
      <c r="N121" s="4133"/>
      <c r="O121" s="4133"/>
      <c r="P121" s="4133"/>
      <c r="Q121" s="4133"/>
      <c r="R121" s="4133"/>
      <c r="S121" s="4133"/>
      <c r="T121" s="4133"/>
      <c r="U121" s="4133"/>
      <c r="V121" s="1288"/>
      <c r="W121" s="1288"/>
      <c r="X121" s="1288"/>
      <c r="Y121" s="1288"/>
      <c r="Z121" s="1288"/>
      <c r="AA121" s="1288"/>
      <c r="AB121" s="1288"/>
    </row>
    <row r="122" spans="1:28" ht="18" customHeight="1">
      <c r="A122" s="1288"/>
      <c r="B122" s="1288"/>
      <c r="C122" s="1288"/>
      <c r="D122" s="1288"/>
      <c r="E122" s="1288"/>
      <c r="F122" s="1288"/>
      <c r="G122" s="4134" t="str">
        <f>CONCATENATE(Street_Address,", ",City_State_Zip)</f>
        <v>, 0</v>
      </c>
      <c r="H122" s="4135"/>
      <c r="I122" s="4135"/>
      <c r="J122" s="4135"/>
      <c r="K122" s="4135"/>
      <c r="L122" s="4135"/>
      <c r="M122" s="4135"/>
      <c r="N122" s="4135"/>
      <c r="O122" s="4135"/>
      <c r="P122" s="4135"/>
      <c r="Q122" s="4135"/>
      <c r="R122" s="4135"/>
      <c r="S122" s="4135"/>
      <c r="T122" s="4135"/>
      <c r="U122" s="4135"/>
      <c r="V122" s="1288"/>
      <c r="W122" s="1288"/>
      <c r="X122" s="1288"/>
      <c r="Y122" s="1288"/>
      <c r="Z122" s="1288"/>
      <c r="AA122" s="1288"/>
      <c r="AB122" s="1288"/>
    </row>
    <row r="123" spans="1:28" ht="14.25" customHeight="1">
      <c r="A123" s="1288"/>
      <c r="B123" s="1288"/>
      <c r="C123" s="1288"/>
      <c r="D123" s="1288"/>
      <c r="E123" s="1288"/>
      <c r="F123" s="1288"/>
      <c r="G123" s="1382"/>
      <c r="H123" s="1299"/>
      <c r="I123" s="1299"/>
      <c r="J123" s="1299"/>
      <c r="K123" s="1299"/>
      <c r="L123" s="1299"/>
      <c r="M123" s="1299"/>
      <c r="N123" s="1299"/>
      <c r="O123" s="1299"/>
      <c r="P123" s="1299"/>
      <c r="Q123" s="1347"/>
      <c r="R123" s="1347"/>
      <c r="S123" s="1347"/>
      <c r="T123" s="1347"/>
      <c r="U123" s="1347"/>
      <c r="V123" s="1288"/>
      <c r="W123" s="1288"/>
      <c r="X123" s="1288"/>
      <c r="Y123" s="1288"/>
      <c r="Z123" s="1288"/>
      <c r="AA123" s="1288"/>
      <c r="AB123" s="1288"/>
    </row>
    <row r="124" spans="1:28" ht="28.5" customHeight="1">
      <c r="A124" s="1288"/>
      <c r="B124" s="1288"/>
      <c r="C124" s="1288"/>
      <c r="D124" s="1288"/>
      <c r="E124" s="1288"/>
      <c r="F124" s="1288"/>
      <c r="G124" s="1405" t="s">
        <v>871</v>
      </c>
      <c r="H124" s="1299"/>
      <c r="I124" s="1299"/>
      <c r="J124" s="1299"/>
      <c r="K124" s="1299"/>
      <c r="L124" s="1299"/>
      <c r="M124" s="1299"/>
      <c r="N124" s="1299"/>
      <c r="O124" s="1299"/>
      <c r="P124" s="1299"/>
      <c r="Q124" s="4136"/>
      <c r="R124" s="3083"/>
      <c r="S124" s="3083"/>
      <c r="T124" s="3083"/>
      <c r="U124" s="3083"/>
      <c r="V124" s="1288"/>
      <c r="W124" s="1288"/>
      <c r="X124" s="1288"/>
      <c r="Y124" s="1288"/>
      <c r="Z124" s="1288"/>
      <c r="AA124" s="1288"/>
      <c r="AB124" s="1288"/>
    </row>
    <row r="125" spans="1:28" ht="16.5" customHeight="1">
      <c r="A125" s="1288"/>
      <c r="B125" s="1288"/>
      <c r="C125" s="1288"/>
      <c r="D125" s="1288"/>
      <c r="E125" s="1288"/>
      <c r="F125" s="1288"/>
      <c r="G125" s="1314"/>
      <c r="H125" s="1314"/>
      <c r="I125" s="1314"/>
      <c r="J125" s="1314"/>
      <c r="K125" s="1314"/>
      <c r="L125" s="1310"/>
      <c r="M125" s="1314"/>
      <c r="N125" s="1310"/>
      <c r="O125" s="1310"/>
      <c r="P125" s="1310"/>
      <c r="Q125" s="1310"/>
      <c r="R125" s="1310"/>
      <c r="S125" s="1310"/>
      <c r="T125" s="1300"/>
      <c r="U125" s="1300"/>
      <c r="V125" s="1288"/>
      <c r="W125" s="1288"/>
      <c r="X125" s="1288"/>
      <c r="Y125" s="1288"/>
      <c r="Z125" s="1288"/>
      <c r="AA125" s="1288"/>
      <c r="AB125" s="1288"/>
    </row>
    <row r="126" spans="1:28" ht="17.100000000000001" customHeight="1">
      <c r="A126" s="1288"/>
      <c r="B126" s="1288"/>
      <c r="C126" s="1288"/>
      <c r="D126" s="1288"/>
      <c r="E126" s="1288"/>
      <c r="F126" s="1288"/>
      <c r="G126" s="4138" t="s">
        <v>590</v>
      </c>
      <c r="H126" s="3083"/>
      <c r="I126" s="3083"/>
      <c r="J126" s="3083"/>
      <c r="K126" s="1314"/>
      <c r="L126" s="1316">
        <v>11</v>
      </c>
      <c r="M126" s="1316">
        <v>12</v>
      </c>
      <c r="N126" s="1316">
        <v>13</v>
      </c>
      <c r="O126" s="1316">
        <v>14</v>
      </c>
      <c r="P126" s="1316">
        <v>15</v>
      </c>
      <c r="Q126" s="1316">
        <v>16</v>
      </c>
      <c r="R126" s="1316">
        <v>17</v>
      </c>
      <c r="S126" s="1316">
        <v>18</v>
      </c>
      <c r="T126" s="1316">
        <v>19</v>
      </c>
      <c r="U126" s="1316">
        <v>20</v>
      </c>
      <c r="V126" s="1288"/>
      <c r="W126" s="1288"/>
      <c r="X126" s="1288"/>
      <c r="Y126" s="1288"/>
      <c r="Z126" s="1288"/>
      <c r="AA126" s="1288"/>
      <c r="AB126" s="1288"/>
    </row>
    <row r="127" spans="1:28" ht="17.100000000000001" customHeight="1">
      <c r="A127" s="1288"/>
      <c r="B127" s="1288"/>
      <c r="C127" s="1288"/>
      <c r="D127" s="1288"/>
      <c r="E127" s="1288"/>
      <c r="F127" s="1288"/>
      <c r="G127" s="4156" t="str">
        <f>T('RENTAL ANALYSIS'!D18:M18)</f>
        <v>Rental Unit 1  -  ( units, square feet, beds, baths)</v>
      </c>
      <c r="H127" s="3398"/>
      <c r="I127" s="3398"/>
      <c r="J127" s="3398"/>
      <c r="K127" s="3399"/>
      <c r="L127" s="1317">
        <f>'RENTAL ANALYSIS'!AI18</f>
        <v>0</v>
      </c>
      <c r="M127" s="1317">
        <f>'RENTAL ANALYSIS'!AJ18</f>
        <v>0</v>
      </c>
      <c r="N127" s="1317">
        <f>'RENTAL ANALYSIS'!AK18</f>
        <v>0</v>
      </c>
      <c r="O127" s="1317">
        <f>'RENTAL ANALYSIS'!AL18</f>
        <v>0</v>
      </c>
      <c r="P127" s="1317">
        <f>'RENTAL ANALYSIS'!AM18</f>
        <v>0</v>
      </c>
      <c r="Q127" s="1317">
        <f>'RENTAL ANALYSIS'!AN18</f>
        <v>0</v>
      </c>
      <c r="R127" s="1317">
        <f>'RENTAL ANALYSIS'!AO18</f>
        <v>0</v>
      </c>
      <c r="S127" s="1317">
        <f>'RENTAL ANALYSIS'!AP18</f>
        <v>0</v>
      </c>
      <c r="T127" s="1317">
        <f>'RENTAL ANALYSIS'!AQ18</f>
        <v>0</v>
      </c>
      <c r="U127" s="1317">
        <f>'RENTAL ANALYSIS'!AR18</f>
        <v>0</v>
      </c>
      <c r="V127" s="1288"/>
      <c r="W127" s="1288"/>
      <c r="X127" s="1288"/>
      <c r="Y127" s="1288"/>
      <c r="Z127" s="1288"/>
      <c r="AA127" s="1288"/>
      <c r="AB127" s="1288"/>
    </row>
    <row r="128" spans="1:28" s="1383" customFormat="1" ht="17.100000000000001" customHeight="1">
      <c r="A128" s="1288"/>
      <c r="B128" s="1288"/>
      <c r="C128" s="1288"/>
      <c r="D128" s="1288"/>
      <c r="E128" s="1288"/>
      <c r="F128" s="1288"/>
      <c r="G128" s="4156" t="str">
        <f>T('RENTAL ANALYSIS'!D19:M19)</f>
        <v>Rental Unit 2  -  ( units, square feet, beds, baths)</v>
      </c>
      <c r="H128" s="3398"/>
      <c r="I128" s="3398"/>
      <c r="J128" s="3398"/>
      <c r="K128" s="3399"/>
      <c r="L128" s="1317">
        <f>'RENTAL ANALYSIS'!AI19</f>
        <v>0</v>
      </c>
      <c r="M128" s="1317">
        <f>'RENTAL ANALYSIS'!AJ19</f>
        <v>0</v>
      </c>
      <c r="N128" s="1317">
        <f>'RENTAL ANALYSIS'!AK19</f>
        <v>0</v>
      </c>
      <c r="O128" s="1317">
        <f>'RENTAL ANALYSIS'!AL19</f>
        <v>0</v>
      </c>
      <c r="P128" s="1317">
        <f>'RENTAL ANALYSIS'!AM19</f>
        <v>0</v>
      </c>
      <c r="Q128" s="1317">
        <f>'RENTAL ANALYSIS'!AN19</f>
        <v>0</v>
      </c>
      <c r="R128" s="1317">
        <f>'RENTAL ANALYSIS'!AO19</f>
        <v>0</v>
      </c>
      <c r="S128" s="1317">
        <f>'RENTAL ANALYSIS'!AP19</f>
        <v>0</v>
      </c>
      <c r="T128" s="1317">
        <f>'RENTAL ANALYSIS'!AQ19</f>
        <v>0</v>
      </c>
      <c r="U128" s="1317">
        <f>'RENTAL ANALYSIS'!AR19</f>
        <v>0</v>
      </c>
      <c r="V128" s="1288"/>
      <c r="W128" s="1288"/>
      <c r="X128" s="1288"/>
      <c r="Y128" s="1288"/>
      <c r="Z128" s="1288"/>
      <c r="AA128" s="1288"/>
      <c r="AB128" s="1288"/>
    </row>
    <row r="129" spans="1:28" s="1383" customFormat="1" ht="17.100000000000001" customHeight="1">
      <c r="A129" s="1288"/>
      <c r="B129" s="1288"/>
      <c r="C129" s="1288"/>
      <c r="D129" s="1288"/>
      <c r="E129" s="1288"/>
      <c r="F129" s="1288"/>
      <c r="G129" s="4156" t="str">
        <f>T('RENTAL ANALYSIS'!D20:M20)</f>
        <v>Rental Unit 3  -  ( units, square feet, beds, baths)</v>
      </c>
      <c r="H129" s="3398"/>
      <c r="I129" s="3398"/>
      <c r="J129" s="3398"/>
      <c r="K129" s="3399"/>
      <c r="L129" s="1317">
        <f>'RENTAL ANALYSIS'!AI20</f>
        <v>0</v>
      </c>
      <c r="M129" s="1317">
        <f>'RENTAL ANALYSIS'!AJ20</f>
        <v>0</v>
      </c>
      <c r="N129" s="1317">
        <f>'RENTAL ANALYSIS'!AK20</f>
        <v>0</v>
      </c>
      <c r="O129" s="1317">
        <f>'RENTAL ANALYSIS'!AL20</f>
        <v>0</v>
      </c>
      <c r="P129" s="1317">
        <f>'RENTAL ANALYSIS'!AM20</f>
        <v>0</v>
      </c>
      <c r="Q129" s="1317">
        <f>'RENTAL ANALYSIS'!AN20</f>
        <v>0</v>
      </c>
      <c r="R129" s="1317">
        <f>'RENTAL ANALYSIS'!AO20</f>
        <v>0</v>
      </c>
      <c r="S129" s="1317">
        <f>'RENTAL ANALYSIS'!AP20</f>
        <v>0</v>
      </c>
      <c r="T129" s="1317">
        <f>'RENTAL ANALYSIS'!AQ20</f>
        <v>0</v>
      </c>
      <c r="U129" s="1317">
        <f>'RENTAL ANALYSIS'!AR20</f>
        <v>0</v>
      </c>
      <c r="V129" s="1288"/>
      <c r="W129" s="1288"/>
      <c r="X129" s="1288"/>
      <c r="Y129" s="1288"/>
      <c r="Z129" s="1288"/>
      <c r="AA129" s="1288"/>
      <c r="AB129" s="1288"/>
    </row>
    <row r="130" spans="1:28" s="1383" customFormat="1" ht="17.100000000000001" customHeight="1">
      <c r="A130" s="1288"/>
      <c r="B130" s="1288"/>
      <c r="C130" s="1288"/>
      <c r="D130" s="1288"/>
      <c r="E130" s="1288"/>
      <c r="F130" s="1288"/>
      <c r="G130" s="4156" t="str">
        <f>T('RENTAL ANALYSIS'!D21:M21)</f>
        <v>Rental Unit 4  -  ( units, square feet, beds, baths)</v>
      </c>
      <c r="H130" s="3398"/>
      <c r="I130" s="3398"/>
      <c r="J130" s="3398"/>
      <c r="K130" s="3399"/>
      <c r="L130" s="1317">
        <f>'RENTAL ANALYSIS'!AI21</f>
        <v>0</v>
      </c>
      <c r="M130" s="1317">
        <f>'RENTAL ANALYSIS'!AJ21</f>
        <v>0</v>
      </c>
      <c r="N130" s="1317">
        <f>'RENTAL ANALYSIS'!AK21</f>
        <v>0</v>
      </c>
      <c r="O130" s="1317">
        <f>'RENTAL ANALYSIS'!AL21</f>
        <v>0</v>
      </c>
      <c r="P130" s="1317">
        <f>'RENTAL ANALYSIS'!AM21</f>
        <v>0</v>
      </c>
      <c r="Q130" s="1317">
        <f>'RENTAL ANALYSIS'!AN21</f>
        <v>0</v>
      </c>
      <c r="R130" s="1317">
        <f>'RENTAL ANALYSIS'!AO21</f>
        <v>0</v>
      </c>
      <c r="S130" s="1317">
        <f>'RENTAL ANALYSIS'!AP21</f>
        <v>0</v>
      </c>
      <c r="T130" s="1317">
        <f>'RENTAL ANALYSIS'!AQ21</f>
        <v>0</v>
      </c>
      <c r="U130" s="1317">
        <f>'RENTAL ANALYSIS'!AR21</f>
        <v>0</v>
      </c>
      <c r="V130" s="1288"/>
      <c r="W130" s="1288"/>
      <c r="X130" s="1288"/>
      <c r="Y130" s="1288"/>
      <c r="Z130" s="1288"/>
      <c r="AA130" s="1288"/>
      <c r="AB130" s="1288"/>
    </row>
    <row r="131" spans="1:28" s="1383" customFormat="1" ht="17.100000000000001" customHeight="1" thickBot="1">
      <c r="A131" s="1288"/>
      <c r="B131" s="1288"/>
      <c r="C131" s="1288"/>
      <c r="D131" s="1288"/>
      <c r="E131" s="1288"/>
      <c r="F131" s="1288"/>
      <c r="G131" s="4162" t="str">
        <f>T('RENTAL ANALYSIS'!D22:M22)</f>
        <v>Rental Unit 5  -  ( units, square feet, beds, baths)</v>
      </c>
      <c r="H131" s="4163"/>
      <c r="I131" s="4163"/>
      <c r="J131" s="4163"/>
      <c r="K131" s="4164"/>
      <c r="L131" s="1400">
        <f>'RENTAL ANALYSIS'!AI22</f>
        <v>0</v>
      </c>
      <c r="M131" s="1400">
        <f>'RENTAL ANALYSIS'!AJ22</f>
        <v>0</v>
      </c>
      <c r="N131" s="1400">
        <f>'RENTAL ANALYSIS'!AK22</f>
        <v>0</v>
      </c>
      <c r="O131" s="1400">
        <f>'RENTAL ANALYSIS'!AL22</f>
        <v>0</v>
      </c>
      <c r="P131" s="1400">
        <f>'RENTAL ANALYSIS'!AM22</f>
        <v>0</v>
      </c>
      <c r="Q131" s="1400">
        <f>'RENTAL ANALYSIS'!AN22</f>
        <v>0</v>
      </c>
      <c r="R131" s="1400">
        <f>'RENTAL ANALYSIS'!AO22</f>
        <v>0</v>
      </c>
      <c r="S131" s="1400">
        <f>'RENTAL ANALYSIS'!AP22</f>
        <v>0</v>
      </c>
      <c r="T131" s="1400">
        <f>'RENTAL ANALYSIS'!AQ22</f>
        <v>0</v>
      </c>
      <c r="U131" s="1400">
        <f>'RENTAL ANALYSIS'!AR22</f>
        <v>0</v>
      </c>
      <c r="V131" s="1288"/>
      <c r="W131" s="1288"/>
      <c r="X131" s="1288"/>
      <c r="Y131" s="1288"/>
      <c r="Z131" s="1288"/>
      <c r="AA131" s="1288"/>
      <c r="AB131" s="1288"/>
    </row>
    <row r="132" spans="1:28" s="1383" customFormat="1" ht="17.100000000000001" customHeight="1" thickTop="1">
      <c r="A132" s="1288"/>
      <c r="B132" s="1288"/>
      <c r="C132" s="1288"/>
      <c r="D132" s="1288"/>
      <c r="E132" s="1288"/>
      <c r="F132" s="1288"/>
      <c r="G132" s="4151" t="str">
        <f>T('RENTAL ANALYSIS'!D23:M23)</f>
        <v>GROSS SCHEDULED INCOME</v>
      </c>
      <c r="H132" s="4165"/>
      <c r="I132" s="4165"/>
      <c r="J132" s="4165"/>
      <c r="K132" s="4166"/>
      <c r="L132" s="1327">
        <f>'RENTAL ANALYSIS'!AI23</f>
        <v>0</v>
      </c>
      <c r="M132" s="1327">
        <f>'RENTAL ANALYSIS'!AJ23</f>
        <v>0</v>
      </c>
      <c r="N132" s="1327">
        <f>'RENTAL ANALYSIS'!AK23</f>
        <v>0</v>
      </c>
      <c r="O132" s="1327">
        <f>'RENTAL ANALYSIS'!AL23</f>
        <v>0</v>
      </c>
      <c r="P132" s="1327">
        <f>'RENTAL ANALYSIS'!AM23</f>
        <v>0</v>
      </c>
      <c r="Q132" s="1327">
        <f>'RENTAL ANALYSIS'!AN23</f>
        <v>0</v>
      </c>
      <c r="R132" s="1327">
        <f>'RENTAL ANALYSIS'!AO23</f>
        <v>0</v>
      </c>
      <c r="S132" s="1327">
        <f>'RENTAL ANALYSIS'!AP23</f>
        <v>0</v>
      </c>
      <c r="T132" s="1327">
        <f>'RENTAL ANALYSIS'!AQ23</f>
        <v>0</v>
      </c>
      <c r="U132" s="1327">
        <f>'RENTAL ANALYSIS'!AR23</f>
        <v>0</v>
      </c>
      <c r="V132" s="1288"/>
      <c r="W132" s="1288"/>
      <c r="X132" s="1288"/>
      <c r="Y132" s="1288"/>
      <c r="Z132" s="1288"/>
      <c r="AA132" s="1288"/>
      <c r="AB132" s="1288"/>
    </row>
    <row r="133" spans="1:28" ht="17.100000000000001" customHeight="1">
      <c r="A133" s="1288"/>
      <c r="B133" s="1288"/>
      <c r="C133" s="1288"/>
      <c r="D133" s="1288"/>
      <c r="E133" s="1288"/>
      <c r="F133" s="1288"/>
      <c r="G133" s="4156" t="s">
        <v>591</v>
      </c>
      <c r="H133" s="3398"/>
      <c r="I133" s="3398"/>
      <c r="J133" s="3398"/>
      <c r="K133" s="3398"/>
      <c r="L133" s="1318">
        <f>'RENTAL ANALYSIS'!AI24</f>
        <v>0</v>
      </c>
      <c r="M133" s="1318">
        <f>'RENTAL ANALYSIS'!AJ24</f>
        <v>0</v>
      </c>
      <c r="N133" s="1318">
        <f>'RENTAL ANALYSIS'!AK24</f>
        <v>0</v>
      </c>
      <c r="O133" s="1318">
        <f>'RENTAL ANALYSIS'!AL24</f>
        <v>0</v>
      </c>
      <c r="P133" s="1318">
        <f>'RENTAL ANALYSIS'!AM24</f>
        <v>0</v>
      </c>
      <c r="Q133" s="1318">
        <f>'RENTAL ANALYSIS'!AN24</f>
        <v>0</v>
      </c>
      <c r="R133" s="1318">
        <f>'RENTAL ANALYSIS'!AO24</f>
        <v>0</v>
      </c>
      <c r="S133" s="1318">
        <f>'RENTAL ANALYSIS'!AP24</f>
        <v>0</v>
      </c>
      <c r="T133" s="1318">
        <f>'RENTAL ANALYSIS'!AQ24</f>
        <v>0</v>
      </c>
      <c r="U133" s="1318">
        <f>'RENTAL ANALYSIS'!AR24</f>
        <v>0</v>
      </c>
      <c r="V133" s="1288"/>
      <c r="W133" s="1288"/>
      <c r="X133" s="1288"/>
      <c r="Y133" s="1288"/>
      <c r="Z133" s="1288"/>
      <c r="AA133" s="1288"/>
      <c r="AB133" s="1288"/>
    </row>
    <row r="134" spans="1:28" ht="17.100000000000001" customHeight="1">
      <c r="A134" s="1288"/>
      <c r="B134" s="1288"/>
      <c r="C134" s="1288"/>
      <c r="D134" s="1288"/>
      <c r="E134" s="1288"/>
      <c r="F134" s="1288"/>
      <c r="G134" s="4156" t="s">
        <v>1741</v>
      </c>
      <c r="H134" s="3398"/>
      <c r="I134" s="3398"/>
      <c r="J134" s="3398"/>
      <c r="K134" s="3398"/>
      <c r="L134" s="1318">
        <f>'RENTAL ANALYSIS'!AI25</f>
        <v>0</v>
      </c>
      <c r="M134" s="1318">
        <f>'RENTAL ANALYSIS'!AJ25</f>
        <v>0</v>
      </c>
      <c r="N134" s="1318">
        <f>'RENTAL ANALYSIS'!AK25</f>
        <v>0</v>
      </c>
      <c r="O134" s="1318">
        <f>'RENTAL ANALYSIS'!AL25</f>
        <v>0</v>
      </c>
      <c r="P134" s="1318">
        <f>'RENTAL ANALYSIS'!AM25</f>
        <v>0</v>
      </c>
      <c r="Q134" s="1318">
        <f>'RENTAL ANALYSIS'!AN25</f>
        <v>0</v>
      </c>
      <c r="R134" s="1318">
        <f>'RENTAL ANALYSIS'!AO25</f>
        <v>0</v>
      </c>
      <c r="S134" s="1318">
        <f>'RENTAL ANALYSIS'!AP25</f>
        <v>0</v>
      </c>
      <c r="T134" s="1318">
        <f>'RENTAL ANALYSIS'!AQ25</f>
        <v>0</v>
      </c>
      <c r="U134" s="1318">
        <f>'RENTAL ANALYSIS'!AR25</f>
        <v>0</v>
      </c>
      <c r="V134" s="1288"/>
      <c r="W134" s="1288"/>
      <c r="X134" s="1288"/>
      <c r="Y134" s="1288"/>
      <c r="Z134" s="1288"/>
      <c r="AA134" s="1288"/>
      <c r="AB134" s="1288"/>
    </row>
    <row r="135" spans="1:28" ht="17.100000000000001" customHeight="1" thickBot="1">
      <c r="A135" s="1288"/>
      <c r="B135" s="1288"/>
      <c r="C135" s="1288"/>
      <c r="D135" s="1288"/>
      <c r="E135" s="1288"/>
      <c r="F135" s="1288"/>
      <c r="G135" s="4159" t="s">
        <v>1742</v>
      </c>
      <c r="H135" s="4160"/>
      <c r="I135" s="4160"/>
      <c r="J135" s="4160"/>
      <c r="K135" s="4161"/>
      <c r="L135" s="1319">
        <f>'RENTAL ANALYSIS'!AI26</f>
        <v>0</v>
      </c>
      <c r="M135" s="1319">
        <f>'RENTAL ANALYSIS'!AJ26</f>
        <v>0</v>
      </c>
      <c r="N135" s="1319">
        <f>'RENTAL ANALYSIS'!AK26</f>
        <v>0</v>
      </c>
      <c r="O135" s="1319">
        <f>'RENTAL ANALYSIS'!AL26</f>
        <v>0</v>
      </c>
      <c r="P135" s="1319">
        <f>'RENTAL ANALYSIS'!AM26</f>
        <v>0</v>
      </c>
      <c r="Q135" s="1319">
        <f>'RENTAL ANALYSIS'!AN26</f>
        <v>0</v>
      </c>
      <c r="R135" s="1319">
        <f>'RENTAL ANALYSIS'!AO26</f>
        <v>0</v>
      </c>
      <c r="S135" s="1319">
        <f>'RENTAL ANALYSIS'!AP26</f>
        <v>0</v>
      </c>
      <c r="T135" s="1319">
        <f>'RENTAL ANALYSIS'!AQ26</f>
        <v>0</v>
      </c>
      <c r="U135" s="1319">
        <f>'RENTAL ANALYSIS'!AR26</f>
        <v>0</v>
      </c>
      <c r="V135" s="1288"/>
      <c r="W135" s="1288"/>
      <c r="X135" s="1288"/>
      <c r="Y135" s="1288"/>
      <c r="Z135" s="1288"/>
      <c r="AA135" s="1288"/>
      <c r="AB135" s="1288"/>
    </row>
    <row r="136" spans="1:28" ht="17.100000000000001" customHeight="1" thickBot="1">
      <c r="A136" s="1288"/>
      <c r="B136" s="1288"/>
      <c r="C136" s="1288"/>
      <c r="D136" s="1288"/>
      <c r="E136" s="1288"/>
      <c r="F136" s="1288"/>
      <c r="G136" s="4153" t="s">
        <v>593</v>
      </c>
      <c r="H136" s="4154"/>
      <c r="I136" s="4154"/>
      <c r="J136" s="4154"/>
      <c r="K136" s="4155"/>
      <c r="L136" s="1320">
        <f>'RENTAL ANALYSIS'!AI27</f>
        <v>0</v>
      </c>
      <c r="M136" s="1321">
        <f>'RENTAL ANALYSIS'!AJ27</f>
        <v>0</v>
      </c>
      <c r="N136" s="1321">
        <f>'RENTAL ANALYSIS'!AK27</f>
        <v>0</v>
      </c>
      <c r="O136" s="1321">
        <f>'RENTAL ANALYSIS'!AL27</f>
        <v>0</v>
      </c>
      <c r="P136" s="1321">
        <f>'RENTAL ANALYSIS'!AM27</f>
        <v>0</v>
      </c>
      <c r="Q136" s="1321">
        <f>'RENTAL ANALYSIS'!AN27</f>
        <v>0</v>
      </c>
      <c r="R136" s="1321">
        <f>'RENTAL ANALYSIS'!AO27</f>
        <v>0</v>
      </c>
      <c r="S136" s="1321">
        <f>'RENTAL ANALYSIS'!AP27</f>
        <v>0</v>
      </c>
      <c r="T136" s="1321">
        <f>'RENTAL ANALYSIS'!AQ27</f>
        <v>0</v>
      </c>
      <c r="U136" s="1322">
        <f>'RENTAL ANALYSIS'!AR27</f>
        <v>0</v>
      </c>
      <c r="V136" s="1288"/>
      <c r="W136" s="1288"/>
      <c r="X136" s="1288"/>
      <c r="Y136" s="1288"/>
      <c r="Z136" s="1288"/>
      <c r="AA136" s="1288"/>
      <c r="AB136" s="1288"/>
    </row>
    <row r="137" spans="1:28" ht="17.100000000000001" customHeight="1">
      <c r="A137" s="1288"/>
      <c r="B137" s="1288"/>
      <c r="C137" s="1288"/>
      <c r="D137" s="1288"/>
      <c r="E137" s="1288"/>
      <c r="F137" s="1288"/>
      <c r="G137" s="1349"/>
      <c r="H137" s="1349"/>
      <c r="I137" s="1349"/>
      <c r="J137" s="1349"/>
      <c r="K137" s="1323"/>
      <c r="L137" s="1324"/>
      <c r="M137" s="1324"/>
      <c r="N137" s="1324"/>
      <c r="O137" s="1324"/>
      <c r="P137" s="1324"/>
      <c r="Q137" s="1324"/>
      <c r="R137" s="1324"/>
      <c r="S137" s="1324"/>
      <c r="T137" s="1324"/>
      <c r="U137" s="1324"/>
      <c r="V137" s="1288"/>
      <c r="W137" s="1288"/>
      <c r="X137" s="1288"/>
      <c r="Y137" s="1288"/>
      <c r="Z137" s="1288"/>
      <c r="AA137" s="1288"/>
      <c r="AB137" s="1288"/>
    </row>
    <row r="138" spans="1:28" ht="17.100000000000001" customHeight="1">
      <c r="A138" s="1288"/>
      <c r="B138" s="1288"/>
      <c r="C138" s="1288"/>
      <c r="D138" s="1288"/>
      <c r="E138" s="1288"/>
      <c r="F138" s="1288"/>
      <c r="G138" s="4138" t="s">
        <v>594</v>
      </c>
      <c r="H138" s="3083"/>
      <c r="I138" s="3083"/>
      <c r="J138" s="3083"/>
      <c r="K138" s="1323"/>
      <c r="L138" s="1324"/>
      <c r="M138" s="1324"/>
      <c r="N138" s="1324"/>
      <c r="O138" s="1324"/>
      <c r="P138" s="1324"/>
      <c r="Q138" s="1324"/>
      <c r="R138" s="1324"/>
      <c r="S138" s="1324"/>
      <c r="T138" s="1324"/>
      <c r="U138" s="1324"/>
      <c r="V138" s="1288"/>
      <c r="W138" s="1288"/>
      <c r="X138" s="1288"/>
      <c r="Y138" s="1288"/>
      <c r="Z138" s="1288"/>
      <c r="AA138" s="1288"/>
      <c r="AB138" s="1288"/>
    </row>
    <row r="139" spans="1:28" ht="17.100000000000001" customHeight="1">
      <c r="A139" s="1288"/>
      <c r="B139" s="1288"/>
      <c r="C139" s="1288"/>
      <c r="D139" s="1288"/>
      <c r="E139" s="1288"/>
      <c r="F139" s="1288"/>
      <c r="G139" s="4156" t="str">
        <f>T('RENTAL ANALYSIS'!D31:M31)</f>
        <v>Property Taxes</v>
      </c>
      <c r="H139" s="3398"/>
      <c r="I139" s="3398"/>
      <c r="J139" s="3398"/>
      <c r="K139" s="3399"/>
      <c r="L139" s="1325">
        <f>'RENTAL ANALYSIS'!AI31</f>
        <v>0</v>
      </c>
      <c r="M139" s="1317">
        <f>'RENTAL ANALYSIS'!AJ31</f>
        <v>0</v>
      </c>
      <c r="N139" s="1317">
        <f>'RENTAL ANALYSIS'!AK31</f>
        <v>0</v>
      </c>
      <c r="O139" s="1317">
        <f>'RENTAL ANALYSIS'!AL31</f>
        <v>0</v>
      </c>
      <c r="P139" s="1317">
        <f>'RENTAL ANALYSIS'!AM31</f>
        <v>0</v>
      </c>
      <c r="Q139" s="1317">
        <f>'RENTAL ANALYSIS'!AN31</f>
        <v>0</v>
      </c>
      <c r="R139" s="1317">
        <f>'RENTAL ANALYSIS'!AO31</f>
        <v>0</v>
      </c>
      <c r="S139" s="1317">
        <f>'RENTAL ANALYSIS'!AP31</f>
        <v>0</v>
      </c>
      <c r="T139" s="1317">
        <f>'RENTAL ANALYSIS'!AQ31</f>
        <v>0</v>
      </c>
      <c r="U139" s="1317">
        <f>'RENTAL ANALYSIS'!AR31</f>
        <v>0</v>
      </c>
      <c r="V139" s="1288"/>
      <c r="W139" s="1288"/>
      <c r="X139" s="1288"/>
      <c r="Y139" s="1288"/>
      <c r="Z139" s="1288"/>
      <c r="AA139" s="1288"/>
      <c r="AB139" s="1288"/>
    </row>
    <row r="140" spans="1:28" ht="17.100000000000001" customHeight="1">
      <c r="A140" s="1288"/>
      <c r="B140" s="1288"/>
      <c r="C140" s="1288"/>
      <c r="D140" s="1288"/>
      <c r="E140" s="1288"/>
      <c r="F140" s="1288"/>
      <c r="G140" s="4156" t="str">
        <f>T('RENTAL ANALYSIS'!D32:M32)</f>
        <v>Property Insurance</v>
      </c>
      <c r="H140" s="3398"/>
      <c r="I140" s="3398"/>
      <c r="J140" s="3398"/>
      <c r="K140" s="3399"/>
      <c r="L140" s="1317">
        <f>'RENTAL ANALYSIS'!AI32</f>
        <v>0</v>
      </c>
      <c r="M140" s="1317">
        <f>'RENTAL ANALYSIS'!AJ32</f>
        <v>0</v>
      </c>
      <c r="N140" s="1317">
        <f>'RENTAL ANALYSIS'!AK32</f>
        <v>0</v>
      </c>
      <c r="O140" s="1317">
        <f>'RENTAL ANALYSIS'!AL32</f>
        <v>0</v>
      </c>
      <c r="P140" s="1317">
        <f>'RENTAL ANALYSIS'!AM32</f>
        <v>0</v>
      </c>
      <c r="Q140" s="1317">
        <f>'RENTAL ANALYSIS'!AN32</f>
        <v>0</v>
      </c>
      <c r="R140" s="1317">
        <f>'RENTAL ANALYSIS'!AO32</f>
        <v>0</v>
      </c>
      <c r="S140" s="1317">
        <f>'RENTAL ANALYSIS'!AP32</f>
        <v>0</v>
      </c>
      <c r="T140" s="1317">
        <f>'RENTAL ANALYSIS'!AQ32</f>
        <v>0</v>
      </c>
      <c r="U140" s="1317">
        <f>'RENTAL ANALYSIS'!AR32</f>
        <v>0</v>
      </c>
      <c r="V140" s="1288"/>
      <c r="W140" s="1288"/>
      <c r="X140" s="1288"/>
      <c r="Y140" s="1288"/>
      <c r="Z140" s="1288"/>
      <c r="AA140" s="1288"/>
      <c r="AB140" s="1288"/>
    </row>
    <row r="141" spans="1:28" ht="17.100000000000001" customHeight="1">
      <c r="A141" s="1288"/>
      <c r="B141" s="1288"/>
      <c r="C141" s="1288"/>
      <c r="D141" s="1288"/>
      <c r="E141" s="1288"/>
      <c r="F141" s="1288"/>
      <c r="G141" s="4156" t="str">
        <f>T('RENTAL ANALYSIS'!D33:M33)</f>
        <v>Cleaning and Maintenance:</v>
      </c>
      <c r="H141" s="3398"/>
      <c r="I141" s="3398"/>
      <c r="J141" s="3398"/>
      <c r="K141" s="3399"/>
      <c r="L141" s="1317">
        <f>'RENTAL ANALYSIS'!AI33</f>
        <v>0</v>
      </c>
      <c r="M141" s="1317">
        <f>'RENTAL ANALYSIS'!AJ33</f>
        <v>0</v>
      </c>
      <c r="N141" s="1317">
        <f>'RENTAL ANALYSIS'!AK33</f>
        <v>0</v>
      </c>
      <c r="O141" s="1317">
        <f>'RENTAL ANALYSIS'!AL33</f>
        <v>0</v>
      </c>
      <c r="P141" s="1317">
        <f>'RENTAL ANALYSIS'!AM33</f>
        <v>0</v>
      </c>
      <c r="Q141" s="1317">
        <f>'RENTAL ANALYSIS'!AN33</f>
        <v>0</v>
      </c>
      <c r="R141" s="1317">
        <f>'RENTAL ANALYSIS'!AO33</f>
        <v>0</v>
      </c>
      <c r="S141" s="1317">
        <f>'RENTAL ANALYSIS'!AP33</f>
        <v>0</v>
      </c>
      <c r="T141" s="1317">
        <f>'RENTAL ANALYSIS'!AQ33</f>
        <v>0</v>
      </c>
      <c r="U141" s="1317">
        <f>'RENTAL ANALYSIS'!AR33</f>
        <v>0</v>
      </c>
      <c r="V141" s="1288"/>
      <c r="W141" s="1288"/>
      <c r="X141" s="1288"/>
      <c r="Y141" s="1288"/>
      <c r="Z141" s="1288"/>
      <c r="AA141" s="1288"/>
      <c r="AB141" s="1288"/>
    </row>
    <row r="142" spans="1:28" ht="17.100000000000001" customHeight="1">
      <c r="A142" s="1288"/>
      <c r="B142" s="1288"/>
      <c r="C142" s="1288"/>
      <c r="D142" s="1288"/>
      <c r="E142" s="1288"/>
      <c r="F142" s="1288"/>
      <c r="G142" s="4156" t="str">
        <f>T('RENTAL ANALYSIS'!D34:M34)</f>
        <v>HOA Dues:</v>
      </c>
      <c r="H142" s="3398"/>
      <c r="I142" s="3398"/>
      <c r="J142" s="3398"/>
      <c r="K142" s="3399"/>
      <c r="L142" s="1317">
        <f>'RENTAL ANALYSIS'!AI34</f>
        <v>0</v>
      </c>
      <c r="M142" s="1317">
        <f>'RENTAL ANALYSIS'!AJ34</f>
        <v>0</v>
      </c>
      <c r="N142" s="1317">
        <f>'RENTAL ANALYSIS'!AK34</f>
        <v>0</v>
      </c>
      <c r="O142" s="1317">
        <f>'RENTAL ANALYSIS'!AL34</f>
        <v>0</v>
      </c>
      <c r="P142" s="1317">
        <f>'RENTAL ANALYSIS'!AM34</f>
        <v>0</v>
      </c>
      <c r="Q142" s="1317">
        <f>'RENTAL ANALYSIS'!AN34</f>
        <v>0</v>
      </c>
      <c r="R142" s="1317">
        <f>'RENTAL ANALYSIS'!AO34</f>
        <v>0</v>
      </c>
      <c r="S142" s="1317">
        <f>'RENTAL ANALYSIS'!AP34</f>
        <v>0</v>
      </c>
      <c r="T142" s="1317">
        <f>'RENTAL ANALYSIS'!AQ34</f>
        <v>0</v>
      </c>
      <c r="U142" s="1317">
        <f>'RENTAL ANALYSIS'!AR34</f>
        <v>0</v>
      </c>
      <c r="V142" s="1288"/>
      <c r="W142" s="1288"/>
      <c r="X142" s="1288"/>
      <c r="Y142" s="1288"/>
      <c r="Z142" s="1288"/>
      <c r="AA142" s="1288"/>
      <c r="AB142" s="1288"/>
    </row>
    <row r="143" spans="1:28" ht="17.100000000000001" customHeight="1">
      <c r="A143" s="1288"/>
      <c r="B143" s="1288"/>
      <c r="C143" s="1288"/>
      <c r="D143" s="1288"/>
      <c r="E143" s="1288"/>
      <c r="F143" s="1288"/>
      <c r="G143" s="4156" t="str">
        <f>T('RENTAL ANALYSIS'!D35:M35)</f>
        <v>Lawn and Groundskeeping:</v>
      </c>
      <c r="H143" s="3398"/>
      <c r="I143" s="3398"/>
      <c r="J143" s="3398"/>
      <c r="K143" s="3399"/>
      <c r="L143" s="1317">
        <f>'RENTAL ANALYSIS'!AI35</f>
        <v>0</v>
      </c>
      <c r="M143" s="1317">
        <f>'RENTAL ANALYSIS'!AJ35</f>
        <v>0</v>
      </c>
      <c r="N143" s="1317">
        <f>'RENTAL ANALYSIS'!AK35</f>
        <v>0</v>
      </c>
      <c r="O143" s="1317">
        <f>'RENTAL ANALYSIS'!AL35</f>
        <v>0</v>
      </c>
      <c r="P143" s="1317">
        <f>'RENTAL ANALYSIS'!AM35</f>
        <v>0</v>
      </c>
      <c r="Q143" s="1317">
        <f>'RENTAL ANALYSIS'!AN35</f>
        <v>0</v>
      </c>
      <c r="R143" s="1317">
        <f>'RENTAL ANALYSIS'!AO35</f>
        <v>0</v>
      </c>
      <c r="S143" s="1317">
        <f>'RENTAL ANALYSIS'!AP35</f>
        <v>0</v>
      </c>
      <c r="T143" s="1317">
        <f>'RENTAL ANALYSIS'!AQ35</f>
        <v>0</v>
      </c>
      <c r="U143" s="1317">
        <f>'RENTAL ANALYSIS'!AR35</f>
        <v>0</v>
      </c>
      <c r="V143" s="1288"/>
      <c r="W143" s="1288"/>
      <c r="X143" s="1288"/>
      <c r="Y143" s="1288"/>
      <c r="Z143" s="1288"/>
      <c r="AA143" s="1288"/>
      <c r="AB143" s="1288"/>
    </row>
    <row r="144" spans="1:28" ht="17.100000000000001" customHeight="1">
      <c r="A144" s="1288"/>
      <c r="B144" s="1288"/>
      <c r="C144" s="1288"/>
      <c r="D144" s="1288"/>
      <c r="E144" s="1288"/>
      <c r="F144" s="1288"/>
      <c r="G144" s="4156" t="str">
        <f>T('RENTAL ANALYSIS'!D36:M36)</f>
        <v>Auto and Travel:</v>
      </c>
      <c r="H144" s="3398"/>
      <c r="I144" s="3398"/>
      <c r="J144" s="3398"/>
      <c r="K144" s="3399"/>
      <c r="L144" s="1317">
        <f>'RENTAL ANALYSIS'!AI36</f>
        <v>0</v>
      </c>
      <c r="M144" s="1317">
        <f>'RENTAL ANALYSIS'!AJ36</f>
        <v>0</v>
      </c>
      <c r="N144" s="1317">
        <f>'RENTAL ANALYSIS'!AK36</f>
        <v>0</v>
      </c>
      <c r="O144" s="1317">
        <f>'RENTAL ANALYSIS'!AL36</f>
        <v>0</v>
      </c>
      <c r="P144" s="1317">
        <f>'RENTAL ANALYSIS'!AM36</f>
        <v>0</v>
      </c>
      <c r="Q144" s="1317">
        <f>'RENTAL ANALYSIS'!AN36</f>
        <v>0</v>
      </c>
      <c r="R144" s="1317">
        <f>'RENTAL ANALYSIS'!AO36</f>
        <v>0</v>
      </c>
      <c r="S144" s="1317">
        <f>'RENTAL ANALYSIS'!AP36</f>
        <v>0</v>
      </c>
      <c r="T144" s="1317">
        <f>'RENTAL ANALYSIS'!AQ36</f>
        <v>0</v>
      </c>
      <c r="U144" s="1317">
        <f>'RENTAL ANALYSIS'!AR36</f>
        <v>0</v>
      </c>
      <c r="V144" s="1288"/>
      <c r="W144" s="1288"/>
      <c r="X144" s="1288"/>
      <c r="Y144" s="1288"/>
      <c r="Z144" s="1288"/>
      <c r="AA144" s="1288"/>
      <c r="AB144" s="1288"/>
    </row>
    <row r="145" spans="1:28" ht="17.100000000000001" customHeight="1">
      <c r="A145" s="1288"/>
      <c r="B145" s="1288"/>
      <c r="C145" s="1288"/>
      <c r="D145" s="1288"/>
      <c r="E145" s="1288"/>
      <c r="F145" s="1288"/>
      <c r="G145" s="4156" t="str">
        <f>T('RENTAL ANALYSIS'!D37:M37)</f>
        <v>Electrical Utilities:</v>
      </c>
      <c r="H145" s="3398"/>
      <c r="I145" s="3398"/>
      <c r="J145" s="3398"/>
      <c r="K145" s="3399"/>
      <c r="L145" s="1317">
        <f>'RENTAL ANALYSIS'!AI37</f>
        <v>0</v>
      </c>
      <c r="M145" s="1317">
        <f>'RENTAL ANALYSIS'!AJ37</f>
        <v>0</v>
      </c>
      <c r="N145" s="1317">
        <f>'RENTAL ANALYSIS'!AK37</f>
        <v>0</v>
      </c>
      <c r="O145" s="1317">
        <f>'RENTAL ANALYSIS'!AL37</f>
        <v>0</v>
      </c>
      <c r="P145" s="1317">
        <f>'RENTAL ANALYSIS'!AM37</f>
        <v>0</v>
      </c>
      <c r="Q145" s="1317">
        <f>'RENTAL ANALYSIS'!AN37</f>
        <v>0</v>
      </c>
      <c r="R145" s="1317">
        <f>'RENTAL ANALYSIS'!AO37</f>
        <v>0</v>
      </c>
      <c r="S145" s="1317">
        <f>'RENTAL ANALYSIS'!AP37</f>
        <v>0</v>
      </c>
      <c r="T145" s="1317">
        <f>'RENTAL ANALYSIS'!AQ37</f>
        <v>0</v>
      </c>
      <c r="U145" s="1317">
        <f>'RENTAL ANALYSIS'!AR37</f>
        <v>0</v>
      </c>
      <c r="V145" s="1288"/>
      <c r="W145" s="1288"/>
      <c r="X145" s="1288"/>
      <c r="Y145" s="1288"/>
      <c r="Z145" s="1288"/>
      <c r="AA145" s="1288"/>
      <c r="AB145" s="1288"/>
    </row>
    <row r="146" spans="1:28" ht="17.100000000000001" customHeight="1">
      <c r="A146" s="1288"/>
      <c r="B146" s="1288"/>
      <c r="C146" s="1288"/>
      <c r="D146" s="1288"/>
      <c r="E146" s="1288"/>
      <c r="F146" s="1288"/>
      <c r="G146" s="4156" t="str">
        <f>T('RENTAL ANALYSIS'!D38:M38)</f>
        <v>Water Utilities:</v>
      </c>
      <c r="H146" s="3398"/>
      <c r="I146" s="3398"/>
      <c r="J146" s="3398"/>
      <c r="K146" s="3399"/>
      <c r="L146" s="1317">
        <f>'RENTAL ANALYSIS'!AI38</f>
        <v>0</v>
      </c>
      <c r="M146" s="1317">
        <f>'RENTAL ANALYSIS'!AJ38</f>
        <v>0</v>
      </c>
      <c r="N146" s="1317">
        <f>'RENTAL ANALYSIS'!AK38</f>
        <v>0</v>
      </c>
      <c r="O146" s="1317">
        <f>'RENTAL ANALYSIS'!AL38</f>
        <v>0</v>
      </c>
      <c r="P146" s="1317">
        <f>'RENTAL ANALYSIS'!AM38</f>
        <v>0</v>
      </c>
      <c r="Q146" s="1317">
        <f>'RENTAL ANALYSIS'!AN38</f>
        <v>0</v>
      </c>
      <c r="R146" s="1317">
        <f>'RENTAL ANALYSIS'!AO38</f>
        <v>0</v>
      </c>
      <c r="S146" s="1317">
        <f>'RENTAL ANALYSIS'!AP38</f>
        <v>0</v>
      </c>
      <c r="T146" s="1317">
        <f>'RENTAL ANALYSIS'!AQ38</f>
        <v>0</v>
      </c>
      <c r="U146" s="1317">
        <f>'RENTAL ANALYSIS'!AR38</f>
        <v>0</v>
      </c>
      <c r="V146" s="1288"/>
      <c r="W146" s="1288"/>
      <c r="X146" s="1288"/>
      <c r="Y146" s="1288"/>
      <c r="Z146" s="1288"/>
      <c r="AA146" s="1288"/>
      <c r="AB146" s="1288"/>
    </row>
    <row r="147" spans="1:28" ht="17.100000000000001" customHeight="1">
      <c r="A147" s="1288"/>
      <c r="B147" s="1288"/>
      <c r="C147" s="1288"/>
      <c r="D147" s="1288"/>
      <c r="E147" s="1288"/>
      <c r="F147" s="1288"/>
      <c r="G147" s="4156" t="str">
        <f>T('RENTAL ANALYSIS'!D39:M39)</f>
        <v>Gas Utilities:</v>
      </c>
      <c r="H147" s="3398"/>
      <c r="I147" s="3398"/>
      <c r="J147" s="3398"/>
      <c r="K147" s="3399"/>
      <c r="L147" s="1317">
        <f>'RENTAL ANALYSIS'!AI39</f>
        <v>0</v>
      </c>
      <c r="M147" s="1317">
        <f>'RENTAL ANALYSIS'!AJ39</f>
        <v>0</v>
      </c>
      <c r="N147" s="1317">
        <f>'RENTAL ANALYSIS'!AK39</f>
        <v>0</v>
      </c>
      <c r="O147" s="1317">
        <f>'RENTAL ANALYSIS'!AL39</f>
        <v>0</v>
      </c>
      <c r="P147" s="1317">
        <f>'RENTAL ANALYSIS'!AM39</f>
        <v>0</v>
      </c>
      <c r="Q147" s="1317">
        <f>'RENTAL ANALYSIS'!AN39</f>
        <v>0</v>
      </c>
      <c r="R147" s="1317">
        <f>'RENTAL ANALYSIS'!AO39</f>
        <v>0</v>
      </c>
      <c r="S147" s="1317">
        <f>'RENTAL ANALYSIS'!AP39</f>
        <v>0</v>
      </c>
      <c r="T147" s="1317">
        <f>'RENTAL ANALYSIS'!AQ39</f>
        <v>0</v>
      </c>
      <c r="U147" s="1317">
        <f>'RENTAL ANALYSIS'!AR39</f>
        <v>0</v>
      </c>
      <c r="V147" s="1288"/>
      <c r="W147" s="1288"/>
      <c r="X147" s="1288"/>
      <c r="Y147" s="1288"/>
      <c r="Z147" s="1288"/>
      <c r="AA147" s="1288"/>
      <c r="AB147" s="1288"/>
    </row>
    <row r="148" spans="1:28" ht="17.100000000000001" customHeight="1">
      <c r="A148" s="1288"/>
      <c r="B148" s="1288"/>
      <c r="C148" s="1288"/>
      <c r="D148" s="1288"/>
      <c r="E148" s="1288"/>
      <c r="F148" s="1288"/>
      <c r="G148" s="4156" t="str">
        <f>T('RENTAL ANALYSIS'!D40:M40)</f>
        <v>Garbage:</v>
      </c>
      <c r="H148" s="3398"/>
      <c r="I148" s="3398"/>
      <c r="J148" s="3398"/>
      <c r="K148" s="3399"/>
      <c r="L148" s="1317">
        <f>'RENTAL ANALYSIS'!AI40</f>
        <v>0</v>
      </c>
      <c r="M148" s="1317">
        <f>'RENTAL ANALYSIS'!AJ40</f>
        <v>0</v>
      </c>
      <c r="N148" s="1317">
        <f>'RENTAL ANALYSIS'!AK40</f>
        <v>0</v>
      </c>
      <c r="O148" s="1317">
        <f>'RENTAL ANALYSIS'!AL40</f>
        <v>0</v>
      </c>
      <c r="P148" s="1317">
        <f>'RENTAL ANALYSIS'!AM40</f>
        <v>0</v>
      </c>
      <c r="Q148" s="1317">
        <f>'RENTAL ANALYSIS'!AN40</f>
        <v>0</v>
      </c>
      <c r="R148" s="1317">
        <f>'RENTAL ANALYSIS'!AO40</f>
        <v>0</v>
      </c>
      <c r="S148" s="1317">
        <f>'RENTAL ANALYSIS'!AP40</f>
        <v>0</v>
      </c>
      <c r="T148" s="1317">
        <f>'RENTAL ANALYSIS'!AQ40</f>
        <v>0</v>
      </c>
      <c r="U148" s="1317">
        <f>'RENTAL ANALYSIS'!AR40</f>
        <v>0</v>
      </c>
      <c r="V148" s="1288"/>
      <c r="W148" s="1288"/>
      <c r="X148" s="1288"/>
      <c r="Y148" s="1288"/>
      <c r="Z148" s="1288"/>
      <c r="AA148" s="1288"/>
      <c r="AB148" s="1288"/>
    </row>
    <row r="149" spans="1:28" ht="17.100000000000001" customHeight="1">
      <c r="A149" s="1288"/>
      <c r="B149" s="1288"/>
      <c r="C149" s="1288"/>
      <c r="D149" s="1288"/>
      <c r="E149" s="1288"/>
      <c r="F149" s="1288"/>
      <c r="G149" s="4156" t="str">
        <f>T('RENTAL ANALYSIS'!D41:M41)</f>
        <v>Advertising:</v>
      </c>
      <c r="H149" s="3398"/>
      <c r="I149" s="3398"/>
      <c r="J149" s="3398"/>
      <c r="K149" s="3399"/>
      <c r="L149" s="1317">
        <f>'RENTAL ANALYSIS'!AI41</f>
        <v>0</v>
      </c>
      <c r="M149" s="1317">
        <f>'RENTAL ANALYSIS'!AJ41</f>
        <v>0</v>
      </c>
      <c r="N149" s="1317">
        <f>'RENTAL ANALYSIS'!AK41</f>
        <v>0</v>
      </c>
      <c r="O149" s="1317">
        <f>'RENTAL ANALYSIS'!AL41</f>
        <v>0</v>
      </c>
      <c r="P149" s="1317">
        <f>'RENTAL ANALYSIS'!AM41</f>
        <v>0</v>
      </c>
      <c r="Q149" s="1317">
        <f>'RENTAL ANALYSIS'!AN41</f>
        <v>0</v>
      </c>
      <c r="R149" s="1317">
        <f>'RENTAL ANALYSIS'!AO41</f>
        <v>0</v>
      </c>
      <c r="S149" s="1317">
        <f>'RENTAL ANALYSIS'!AP41</f>
        <v>0</v>
      </c>
      <c r="T149" s="1317">
        <f>'RENTAL ANALYSIS'!AQ41</f>
        <v>0</v>
      </c>
      <c r="U149" s="1317">
        <f>'RENTAL ANALYSIS'!AR41</f>
        <v>0</v>
      </c>
      <c r="V149" s="1288"/>
      <c r="W149" s="1288"/>
      <c r="X149" s="1288"/>
      <c r="Y149" s="1288"/>
      <c r="Z149" s="1288"/>
      <c r="AA149" s="1288"/>
      <c r="AB149" s="1288"/>
    </row>
    <row r="150" spans="1:28" ht="17.100000000000001" customHeight="1">
      <c r="A150" s="1288"/>
      <c r="B150" s="1288"/>
      <c r="C150" s="1288"/>
      <c r="D150" s="1288"/>
      <c r="E150" s="1288"/>
      <c r="F150" s="1288"/>
      <c r="G150" s="4156" t="str">
        <f>T('RENTAL ANALYSIS'!D42:M42)</f>
        <v>Accounting &amp; Legal:</v>
      </c>
      <c r="H150" s="3398"/>
      <c r="I150" s="3398"/>
      <c r="J150" s="3398"/>
      <c r="K150" s="3399"/>
      <c r="L150" s="1317">
        <f>'RENTAL ANALYSIS'!AI42</f>
        <v>0</v>
      </c>
      <c r="M150" s="1317">
        <f>'RENTAL ANALYSIS'!AJ42</f>
        <v>0</v>
      </c>
      <c r="N150" s="1317">
        <f>'RENTAL ANALYSIS'!AK42</f>
        <v>0</v>
      </c>
      <c r="O150" s="1317">
        <f>'RENTAL ANALYSIS'!AL42</f>
        <v>0</v>
      </c>
      <c r="P150" s="1317">
        <f>'RENTAL ANALYSIS'!AM42</f>
        <v>0</v>
      </c>
      <c r="Q150" s="1317">
        <f>'RENTAL ANALYSIS'!AN42</f>
        <v>0</v>
      </c>
      <c r="R150" s="1317">
        <f>'RENTAL ANALYSIS'!AO42</f>
        <v>0</v>
      </c>
      <c r="S150" s="1317">
        <f>'RENTAL ANALYSIS'!AP42</f>
        <v>0</v>
      </c>
      <c r="T150" s="1317">
        <f>'RENTAL ANALYSIS'!AQ42</f>
        <v>0</v>
      </c>
      <c r="U150" s="1317">
        <f>'RENTAL ANALYSIS'!AR42</f>
        <v>0</v>
      </c>
      <c r="V150" s="1288"/>
      <c r="W150" s="1288"/>
      <c r="X150" s="1288"/>
      <c r="Y150" s="1288"/>
      <c r="Z150" s="1288"/>
      <c r="AA150" s="1288"/>
      <c r="AB150" s="1288"/>
    </row>
    <row r="151" spans="1:28" ht="17.100000000000001" customHeight="1">
      <c r="A151" s="1288"/>
      <c r="B151" s="1288"/>
      <c r="C151" s="1288"/>
      <c r="D151" s="1288"/>
      <c r="E151" s="1288"/>
      <c r="F151" s="1288"/>
      <c r="G151" s="4156" t="str">
        <f>T('RENTAL ANALYSIS'!D43:M43)</f>
        <v>Other 1:</v>
      </c>
      <c r="H151" s="3398"/>
      <c r="I151" s="3398"/>
      <c r="J151" s="3398"/>
      <c r="K151" s="3399"/>
      <c r="L151" s="1317">
        <f>'RENTAL ANALYSIS'!AI43</f>
        <v>0</v>
      </c>
      <c r="M151" s="1317">
        <f>'RENTAL ANALYSIS'!AJ43</f>
        <v>0</v>
      </c>
      <c r="N151" s="1317">
        <f>'RENTAL ANALYSIS'!AK43</f>
        <v>0</v>
      </c>
      <c r="O151" s="1317">
        <f>'RENTAL ANALYSIS'!AL43</f>
        <v>0</v>
      </c>
      <c r="P151" s="1317">
        <f>'RENTAL ANALYSIS'!AM43</f>
        <v>0</v>
      </c>
      <c r="Q151" s="1317">
        <f>'RENTAL ANALYSIS'!AN43</f>
        <v>0</v>
      </c>
      <c r="R151" s="1317">
        <f>'RENTAL ANALYSIS'!AO43</f>
        <v>0</v>
      </c>
      <c r="S151" s="1317">
        <f>'RENTAL ANALYSIS'!AP43</f>
        <v>0</v>
      </c>
      <c r="T151" s="1317">
        <f>'RENTAL ANALYSIS'!AQ43</f>
        <v>0</v>
      </c>
      <c r="U151" s="1317">
        <f>'RENTAL ANALYSIS'!AR43</f>
        <v>0</v>
      </c>
      <c r="V151" s="1288"/>
      <c r="W151" s="1288"/>
      <c r="X151" s="1288"/>
      <c r="Y151" s="1288"/>
      <c r="Z151" s="1288"/>
      <c r="AA151" s="1288"/>
      <c r="AB151" s="1288"/>
    </row>
    <row r="152" spans="1:28" ht="17.100000000000001" customHeight="1">
      <c r="A152" s="1288"/>
      <c r="B152" s="1288"/>
      <c r="C152" s="1288"/>
      <c r="D152" s="1288"/>
      <c r="E152" s="1288"/>
      <c r="F152" s="1288"/>
      <c r="G152" s="4156" t="str">
        <f>T('RENTAL ANALYSIS'!D44:M44)</f>
        <v>Other 2:</v>
      </c>
      <c r="H152" s="3398"/>
      <c r="I152" s="3398"/>
      <c r="J152" s="3398"/>
      <c r="K152" s="3399"/>
      <c r="L152" s="1317">
        <f>'RENTAL ANALYSIS'!AI44</f>
        <v>0</v>
      </c>
      <c r="M152" s="1317">
        <f>'RENTAL ANALYSIS'!AJ44</f>
        <v>0</v>
      </c>
      <c r="N152" s="1317">
        <f>'RENTAL ANALYSIS'!AK44</f>
        <v>0</v>
      </c>
      <c r="O152" s="1317">
        <f>'RENTAL ANALYSIS'!AL44</f>
        <v>0</v>
      </c>
      <c r="P152" s="1317">
        <f>'RENTAL ANALYSIS'!AM44</f>
        <v>0</v>
      </c>
      <c r="Q152" s="1317">
        <f>'RENTAL ANALYSIS'!AN44</f>
        <v>0</v>
      </c>
      <c r="R152" s="1317">
        <f>'RENTAL ANALYSIS'!AO44</f>
        <v>0</v>
      </c>
      <c r="S152" s="1317">
        <f>'RENTAL ANALYSIS'!AP44</f>
        <v>0</v>
      </c>
      <c r="T152" s="1317">
        <f>'RENTAL ANALYSIS'!AQ44</f>
        <v>0</v>
      </c>
      <c r="U152" s="1317">
        <f>'RENTAL ANALYSIS'!AR44</f>
        <v>0</v>
      </c>
      <c r="V152" s="1288"/>
      <c r="W152" s="1288"/>
      <c r="X152" s="1288"/>
      <c r="Y152" s="1288"/>
      <c r="Z152" s="1288"/>
      <c r="AA152" s="1288"/>
      <c r="AB152" s="1288"/>
    </row>
    <row r="153" spans="1:28" ht="17.100000000000001" customHeight="1">
      <c r="A153" s="1288"/>
      <c r="B153" s="1288"/>
      <c r="C153" s="1288"/>
      <c r="D153" s="1288"/>
      <c r="E153" s="1288"/>
      <c r="F153" s="1288"/>
      <c r="G153" s="4156" t="str">
        <f>T('RENTAL ANALYSIS'!D45:M45)</f>
        <v>Property Management:</v>
      </c>
      <c r="H153" s="3398"/>
      <c r="I153" s="3398"/>
      <c r="J153" s="3398"/>
      <c r="K153" s="3399"/>
      <c r="L153" s="1317">
        <f>'RENTAL ANALYSIS'!AI45</f>
        <v>0</v>
      </c>
      <c r="M153" s="1317">
        <f>'RENTAL ANALYSIS'!AJ45</f>
        <v>0</v>
      </c>
      <c r="N153" s="1317">
        <f>'RENTAL ANALYSIS'!AK45</f>
        <v>0</v>
      </c>
      <c r="O153" s="1317">
        <f>'RENTAL ANALYSIS'!AL45</f>
        <v>0</v>
      </c>
      <c r="P153" s="1317">
        <f>'RENTAL ANALYSIS'!AM45</f>
        <v>0</v>
      </c>
      <c r="Q153" s="1317">
        <f>'RENTAL ANALYSIS'!AN45</f>
        <v>0</v>
      </c>
      <c r="R153" s="1317">
        <f>'RENTAL ANALYSIS'!AO45</f>
        <v>0</v>
      </c>
      <c r="S153" s="1317">
        <f>'RENTAL ANALYSIS'!AP45</f>
        <v>0</v>
      </c>
      <c r="T153" s="1317">
        <f>'RENTAL ANALYSIS'!AQ45</f>
        <v>0</v>
      </c>
      <c r="U153" s="1317">
        <f>'RENTAL ANALYSIS'!AR45</f>
        <v>0</v>
      </c>
      <c r="V153" s="1288"/>
      <c r="W153" s="1288"/>
      <c r="X153" s="1288"/>
      <c r="Y153" s="1288"/>
      <c r="Z153" s="1288"/>
      <c r="AA153" s="1288"/>
      <c r="AB153" s="1288"/>
    </row>
    <row r="154" spans="1:28" ht="17.100000000000001" customHeight="1">
      <c r="A154" s="1288"/>
      <c r="B154" s="1288"/>
      <c r="C154" s="1288"/>
      <c r="D154" s="1288"/>
      <c r="E154" s="1288"/>
      <c r="F154" s="1288"/>
      <c r="G154" s="4156" t="str">
        <f>T('RENTAL ANALYSIS'!D46:M46)</f>
        <v>Repairs:</v>
      </c>
      <c r="H154" s="3398"/>
      <c r="I154" s="3398"/>
      <c r="J154" s="3398"/>
      <c r="K154" s="3399"/>
      <c r="L154" s="1317">
        <f>'RENTAL ANALYSIS'!AI46</f>
        <v>0</v>
      </c>
      <c r="M154" s="1317">
        <f>'RENTAL ANALYSIS'!AJ46</f>
        <v>0</v>
      </c>
      <c r="N154" s="1317">
        <f>'RENTAL ANALYSIS'!AK46</f>
        <v>0</v>
      </c>
      <c r="O154" s="1317">
        <f>'RENTAL ANALYSIS'!AL46</f>
        <v>0</v>
      </c>
      <c r="P154" s="1317">
        <f>'RENTAL ANALYSIS'!AM46</f>
        <v>0</v>
      </c>
      <c r="Q154" s="1317">
        <f>'RENTAL ANALYSIS'!AN46</f>
        <v>0</v>
      </c>
      <c r="R154" s="1317">
        <f>'RENTAL ANALYSIS'!AO46</f>
        <v>0</v>
      </c>
      <c r="S154" s="1317">
        <f>'RENTAL ANALYSIS'!AP46</f>
        <v>0</v>
      </c>
      <c r="T154" s="1317">
        <f>'RENTAL ANALYSIS'!AQ46</f>
        <v>0</v>
      </c>
      <c r="U154" s="1317">
        <f>'RENTAL ANALYSIS'!AR46</f>
        <v>0</v>
      </c>
      <c r="V154" s="1288"/>
      <c r="W154" s="1288"/>
      <c r="X154" s="1288"/>
      <c r="Y154" s="1288"/>
      <c r="Z154" s="1288"/>
      <c r="AA154" s="1288"/>
      <c r="AB154" s="1288"/>
    </row>
    <row r="155" spans="1:28" ht="17.100000000000001" customHeight="1" thickBot="1">
      <c r="A155" s="1288"/>
      <c r="B155" s="1288"/>
      <c r="C155" s="1288"/>
      <c r="D155" s="1288"/>
      <c r="E155" s="1288"/>
      <c r="F155" s="1288"/>
      <c r="G155" s="4159" t="str">
        <f>T('RENTAL ANALYSIS'!D47:M47)</f>
        <v>Cap Ex:</v>
      </c>
      <c r="H155" s="4160"/>
      <c r="I155" s="4160"/>
      <c r="J155" s="4160"/>
      <c r="K155" s="4161"/>
      <c r="L155" s="1319">
        <f>'RENTAL ANALYSIS'!AI47</f>
        <v>0</v>
      </c>
      <c r="M155" s="1319">
        <f>'RENTAL ANALYSIS'!AJ47</f>
        <v>0</v>
      </c>
      <c r="N155" s="1319">
        <f>'RENTAL ANALYSIS'!AK47</f>
        <v>0</v>
      </c>
      <c r="O155" s="1319">
        <f>'RENTAL ANALYSIS'!AL47</f>
        <v>0</v>
      </c>
      <c r="P155" s="1319">
        <f>'RENTAL ANALYSIS'!AM47</f>
        <v>0</v>
      </c>
      <c r="Q155" s="1319">
        <f>'RENTAL ANALYSIS'!AN47</f>
        <v>0</v>
      </c>
      <c r="R155" s="1319">
        <f>'RENTAL ANALYSIS'!AO47</f>
        <v>0</v>
      </c>
      <c r="S155" s="1319">
        <f>'RENTAL ANALYSIS'!AP47</f>
        <v>0</v>
      </c>
      <c r="T155" s="1319">
        <f>'RENTAL ANALYSIS'!AQ47</f>
        <v>0</v>
      </c>
      <c r="U155" s="1319">
        <f>'RENTAL ANALYSIS'!AR47</f>
        <v>0</v>
      </c>
      <c r="V155" s="1288"/>
      <c r="W155" s="1288"/>
      <c r="X155" s="1288"/>
      <c r="Y155" s="1288"/>
      <c r="Z155" s="1288"/>
      <c r="AA155" s="1288"/>
      <c r="AB155" s="1288"/>
    </row>
    <row r="156" spans="1:28" ht="17.100000000000001" customHeight="1" thickBot="1">
      <c r="A156" s="1288"/>
      <c r="B156" s="1288"/>
      <c r="C156" s="1288"/>
      <c r="D156" s="1288"/>
      <c r="E156" s="1288"/>
      <c r="F156" s="1288"/>
      <c r="G156" s="4153" t="s">
        <v>596</v>
      </c>
      <c r="H156" s="4154"/>
      <c r="I156" s="4154"/>
      <c r="J156" s="4154"/>
      <c r="K156" s="4155"/>
      <c r="L156" s="1320">
        <f>'RENTAL ANALYSIS'!AI48</f>
        <v>0</v>
      </c>
      <c r="M156" s="1321">
        <f>'RENTAL ANALYSIS'!AJ48</f>
        <v>0</v>
      </c>
      <c r="N156" s="1321">
        <f>'RENTAL ANALYSIS'!AK48</f>
        <v>0</v>
      </c>
      <c r="O156" s="1321">
        <f>'RENTAL ANALYSIS'!AL48</f>
        <v>0</v>
      </c>
      <c r="P156" s="1321">
        <f>'RENTAL ANALYSIS'!AM48</f>
        <v>0</v>
      </c>
      <c r="Q156" s="1321">
        <f>'RENTAL ANALYSIS'!AN48</f>
        <v>0</v>
      </c>
      <c r="R156" s="1321">
        <f>'RENTAL ANALYSIS'!AO48</f>
        <v>0</v>
      </c>
      <c r="S156" s="1321">
        <f>'RENTAL ANALYSIS'!AP48</f>
        <v>0</v>
      </c>
      <c r="T156" s="1321">
        <f>'RENTAL ANALYSIS'!AQ48</f>
        <v>0</v>
      </c>
      <c r="U156" s="1322">
        <f>'RENTAL ANALYSIS'!AR48</f>
        <v>0</v>
      </c>
      <c r="V156" s="1288"/>
      <c r="W156" s="1288"/>
      <c r="X156" s="1288"/>
      <c r="Y156" s="1288"/>
      <c r="Z156" s="1288"/>
      <c r="AA156" s="1288"/>
      <c r="AB156" s="1288"/>
    </row>
    <row r="157" spans="1:28" ht="17.100000000000001" customHeight="1" thickBot="1">
      <c r="A157" s="1288"/>
      <c r="B157" s="1288"/>
      <c r="C157" s="1288"/>
      <c r="D157" s="1288"/>
      <c r="E157" s="1288"/>
      <c r="F157" s="1288"/>
      <c r="G157" s="4152"/>
      <c r="H157" s="3083"/>
      <c r="I157" s="3083"/>
      <c r="J157" s="3083"/>
      <c r="K157" s="1323"/>
      <c r="L157" s="1324"/>
      <c r="M157" s="1324"/>
      <c r="N157" s="1324"/>
      <c r="O157" s="1324"/>
      <c r="P157" s="1324"/>
      <c r="Q157" s="1324"/>
      <c r="R157" s="1324"/>
      <c r="S157" s="1324"/>
      <c r="T157" s="1324"/>
      <c r="U157" s="1324"/>
      <c r="V157" s="1288"/>
      <c r="W157" s="1288"/>
      <c r="X157" s="1288"/>
      <c r="Y157" s="1288"/>
      <c r="Z157" s="1288"/>
      <c r="AA157" s="1288"/>
      <c r="AB157" s="1288"/>
    </row>
    <row r="158" spans="1:28" ht="17.100000000000001" customHeight="1" thickBot="1">
      <c r="A158" s="1288"/>
      <c r="B158" s="1288"/>
      <c r="C158" s="1288"/>
      <c r="D158" s="1288"/>
      <c r="E158" s="1288"/>
      <c r="F158" s="1288"/>
      <c r="G158" s="4153" t="s">
        <v>597</v>
      </c>
      <c r="H158" s="4154"/>
      <c r="I158" s="4154"/>
      <c r="J158" s="4154"/>
      <c r="K158" s="4155"/>
      <c r="L158" s="1320">
        <f>'RENTAL ANALYSIS'!AI50</f>
        <v>0</v>
      </c>
      <c r="M158" s="1321">
        <f>'RENTAL ANALYSIS'!AJ50</f>
        <v>0</v>
      </c>
      <c r="N158" s="1321">
        <f>'RENTAL ANALYSIS'!AK50</f>
        <v>0</v>
      </c>
      <c r="O158" s="1321">
        <f>'RENTAL ANALYSIS'!AL50</f>
        <v>0</v>
      </c>
      <c r="P158" s="1321">
        <f>'RENTAL ANALYSIS'!AM50</f>
        <v>0</v>
      </c>
      <c r="Q158" s="1321">
        <f>'RENTAL ANALYSIS'!AN50</f>
        <v>0</v>
      </c>
      <c r="R158" s="1321">
        <f>'RENTAL ANALYSIS'!AO50</f>
        <v>0</v>
      </c>
      <c r="S158" s="1321">
        <f>'RENTAL ANALYSIS'!AP50</f>
        <v>0</v>
      </c>
      <c r="T158" s="1321">
        <f>'RENTAL ANALYSIS'!AQ50</f>
        <v>0</v>
      </c>
      <c r="U158" s="1322">
        <f>'RENTAL ANALYSIS'!AR50</f>
        <v>0</v>
      </c>
      <c r="V158" s="1288"/>
      <c r="W158" s="1288"/>
      <c r="X158" s="1288"/>
      <c r="Y158" s="1288"/>
      <c r="Z158" s="1288"/>
      <c r="AA158" s="1288"/>
      <c r="AB158" s="1288"/>
    </row>
    <row r="159" spans="1:28" ht="17.100000000000001" customHeight="1">
      <c r="A159" s="1288"/>
      <c r="B159" s="1288"/>
      <c r="C159" s="1288"/>
      <c r="D159" s="1288"/>
      <c r="E159" s="1288"/>
      <c r="F159" s="1288"/>
      <c r="G159" s="1349"/>
      <c r="H159" s="1349"/>
      <c r="I159" s="1349"/>
      <c r="J159" s="1349"/>
      <c r="K159" s="1323"/>
      <c r="L159" s="1324"/>
      <c r="M159" s="1324"/>
      <c r="N159" s="1324"/>
      <c r="O159" s="1324"/>
      <c r="P159" s="1324"/>
      <c r="Q159" s="1324"/>
      <c r="R159" s="1324"/>
      <c r="S159" s="1324"/>
      <c r="T159" s="1324"/>
      <c r="U159" s="1324"/>
      <c r="V159" s="1288"/>
      <c r="W159" s="1288"/>
      <c r="X159" s="1288"/>
      <c r="Y159" s="1288"/>
      <c r="Z159" s="1288"/>
      <c r="AA159" s="1288"/>
      <c r="AB159" s="1288"/>
    </row>
    <row r="160" spans="1:28" ht="17.100000000000001" customHeight="1">
      <c r="A160" s="1288"/>
      <c r="B160" s="1288"/>
      <c r="C160" s="1288"/>
      <c r="D160" s="1288"/>
      <c r="E160" s="1288"/>
      <c r="F160" s="1288"/>
      <c r="G160" s="4138" t="s">
        <v>598</v>
      </c>
      <c r="H160" s="3083"/>
      <c r="I160" s="3083"/>
      <c r="J160" s="3083"/>
      <c r="K160" s="1323"/>
      <c r="L160" s="1324"/>
      <c r="M160" s="1324"/>
      <c r="N160" s="1324"/>
      <c r="O160" s="1324"/>
      <c r="P160" s="1324"/>
      <c r="Q160" s="1324"/>
      <c r="R160" s="1324"/>
      <c r="S160" s="1324"/>
      <c r="T160" s="1324"/>
      <c r="U160" s="1324"/>
      <c r="V160" s="1288"/>
      <c r="W160" s="1288"/>
      <c r="X160" s="1288"/>
      <c r="Y160" s="1288"/>
      <c r="Z160" s="1288"/>
      <c r="AA160" s="1288"/>
      <c r="AB160" s="1288"/>
    </row>
    <row r="161" spans="1:28" ht="17.100000000000001" customHeight="1">
      <c r="A161" s="1288"/>
      <c r="B161" s="1288"/>
      <c r="C161" s="1288"/>
      <c r="D161" s="1288"/>
      <c r="E161" s="1288"/>
      <c r="F161" s="1288"/>
      <c r="G161" s="4156" t="s">
        <v>869</v>
      </c>
      <c r="H161" s="3398"/>
      <c r="I161" s="3398"/>
      <c r="J161" s="3398"/>
      <c r="K161" s="3399"/>
      <c r="L161" s="1317" t="str">
        <f>'RENTAL ANALYSIS'!AI53</f>
        <v/>
      </c>
      <c r="M161" s="1317" t="str">
        <f>'RENTAL ANALYSIS'!AJ53</f>
        <v/>
      </c>
      <c r="N161" s="1317" t="str">
        <f>'RENTAL ANALYSIS'!AK53</f>
        <v/>
      </c>
      <c r="O161" s="1317" t="str">
        <f>'RENTAL ANALYSIS'!AL53</f>
        <v/>
      </c>
      <c r="P161" s="1317" t="str">
        <f>'RENTAL ANALYSIS'!AM53</f>
        <v/>
      </c>
      <c r="Q161" s="1317" t="str">
        <f>'RENTAL ANALYSIS'!AN53</f>
        <v/>
      </c>
      <c r="R161" s="1317" t="str">
        <f>'RENTAL ANALYSIS'!AO53</f>
        <v/>
      </c>
      <c r="S161" s="1317" t="str">
        <f>'RENTAL ANALYSIS'!AP53</f>
        <v/>
      </c>
      <c r="T161" s="1317" t="str">
        <f>'RENTAL ANALYSIS'!AQ53</f>
        <v/>
      </c>
      <c r="U161" s="1317" t="str">
        <f>'RENTAL ANALYSIS'!AR53</f>
        <v/>
      </c>
      <c r="V161" s="1288"/>
      <c r="W161" s="1288"/>
      <c r="X161" s="1288"/>
      <c r="Y161" s="1288"/>
      <c r="Z161" s="1288"/>
      <c r="AA161" s="1288"/>
      <c r="AB161" s="1288"/>
    </row>
    <row r="162" spans="1:28" ht="17.100000000000001" customHeight="1" thickBot="1">
      <c r="A162" s="1288"/>
      <c r="B162" s="1288"/>
      <c r="C162" s="1288"/>
      <c r="D162" s="1288"/>
      <c r="E162" s="1288"/>
      <c r="F162" s="1288"/>
      <c r="G162" s="4157" t="s">
        <v>870</v>
      </c>
      <c r="H162" s="3417"/>
      <c r="I162" s="3417"/>
      <c r="J162" s="3417"/>
      <c r="K162" s="4158"/>
      <c r="L162" s="1326" t="str">
        <f>'RENTAL ANALYSIS'!AI54</f>
        <v/>
      </c>
      <c r="M162" s="1326" t="str">
        <f>'RENTAL ANALYSIS'!AJ54</f>
        <v/>
      </c>
      <c r="N162" s="1326" t="str">
        <f>'RENTAL ANALYSIS'!AK54</f>
        <v/>
      </c>
      <c r="O162" s="1326" t="str">
        <f>'RENTAL ANALYSIS'!AL54</f>
        <v/>
      </c>
      <c r="P162" s="1326" t="str">
        <f>'RENTAL ANALYSIS'!AM54</f>
        <v/>
      </c>
      <c r="Q162" s="1326" t="str">
        <f>'RENTAL ANALYSIS'!AN54</f>
        <v/>
      </c>
      <c r="R162" s="1326" t="str">
        <f>'RENTAL ANALYSIS'!AO54</f>
        <v/>
      </c>
      <c r="S162" s="1326" t="str">
        <f>'RENTAL ANALYSIS'!AP54</f>
        <v/>
      </c>
      <c r="T162" s="1326" t="str">
        <f>'RENTAL ANALYSIS'!AQ54</f>
        <v/>
      </c>
      <c r="U162" s="1326" t="str">
        <f>'RENTAL ANALYSIS'!AR54</f>
        <v/>
      </c>
      <c r="V162" s="1288"/>
      <c r="W162" s="1288"/>
      <c r="X162" s="1288"/>
      <c r="Y162" s="1288"/>
      <c r="Z162" s="1288"/>
      <c r="AA162" s="1288"/>
      <c r="AB162" s="1288"/>
    </row>
    <row r="163" spans="1:28" ht="17.100000000000001" customHeight="1" thickTop="1">
      <c r="A163" s="1288"/>
      <c r="B163" s="1288"/>
      <c r="C163" s="1288"/>
      <c r="D163" s="1288"/>
      <c r="E163" s="1288"/>
      <c r="F163" s="1288"/>
      <c r="G163" s="4151" t="s">
        <v>601</v>
      </c>
      <c r="H163" s="3102"/>
      <c r="I163" s="3102"/>
      <c r="J163" s="3102"/>
      <c r="K163" s="3392"/>
      <c r="L163" s="1327">
        <f>'RENTAL ANALYSIS'!AI55</f>
        <v>0</v>
      </c>
      <c r="M163" s="1327">
        <f>'RENTAL ANALYSIS'!AJ55</f>
        <v>0</v>
      </c>
      <c r="N163" s="1327">
        <f>'RENTAL ANALYSIS'!AK55</f>
        <v>0</v>
      </c>
      <c r="O163" s="1327">
        <f>'RENTAL ANALYSIS'!AL55</f>
        <v>0</v>
      </c>
      <c r="P163" s="1327">
        <f>'RENTAL ANALYSIS'!AM55</f>
        <v>0</v>
      </c>
      <c r="Q163" s="1327">
        <f>'RENTAL ANALYSIS'!AN55</f>
        <v>0</v>
      </c>
      <c r="R163" s="1327">
        <f>'RENTAL ANALYSIS'!AO55</f>
        <v>0</v>
      </c>
      <c r="S163" s="1327">
        <f>'RENTAL ANALYSIS'!AP55</f>
        <v>0</v>
      </c>
      <c r="T163" s="1327">
        <f>'RENTAL ANALYSIS'!AQ55</f>
        <v>0</v>
      </c>
      <c r="U163" s="1327">
        <f>'RENTAL ANALYSIS'!AR55</f>
        <v>0</v>
      </c>
      <c r="V163" s="1288"/>
      <c r="W163" s="1288"/>
      <c r="X163" s="1288"/>
      <c r="Y163" s="1288"/>
      <c r="Z163" s="1288"/>
      <c r="AA163" s="1288"/>
      <c r="AB163" s="1288"/>
    </row>
    <row r="164" spans="1:28" ht="17.100000000000001" customHeight="1">
      <c r="A164" s="1288"/>
      <c r="B164" s="1288"/>
      <c r="C164" s="1288"/>
      <c r="D164" s="1288"/>
      <c r="E164" s="1288"/>
      <c r="F164" s="1288"/>
      <c r="G164" s="4151" t="s">
        <v>607</v>
      </c>
      <c r="H164" s="3102"/>
      <c r="I164" s="3102"/>
      <c r="J164" s="3102"/>
      <c r="K164" s="3392"/>
      <c r="L164" s="1328" t="str">
        <f>'RENTAL ANALYSIS'!AI56</f>
        <v/>
      </c>
      <c r="M164" s="1328" t="str">
        <f>'RENTAL ANALYSIS'!AJ56</f>
        <v/>
      </c>
      <c r="N164" s="1328" t="str">
        <f>'RENTAL ANALYSIS'!AK56</f>
        <v/>
      </c>
      <c r="O164" s="1328" t="str">
        <f>'RENTAL ANALYSIS'!AL56</f>
        <v/>
      </c>
      <c r="P164" s="1328" t="str">
        <f>'RENTAL ANALYSIS'!AM56</f>
        <v/>
      </c>
      <c r="Q164" s="1328" t="str">
        <f>'RENTAL ANALYSIS'!AN56</f>
        <v/>
      </c>
      <c r="R164" s="1328" t="str">
        <f>'RENTAL ANALYSIS'!AO56</f>
        <v/>
      </c>
      <c r="S164" s="1328" t="str">
        <f>'RENTAL ANALYSIS'!AP56</f>
        <v/>
      </c>
      <c r="T164" s="1328" t="str">
        <f>'RENTAL ANALYSIS'!AQ56</f>
        <v/>
      </c>
      <c r="U164" s="1328" t="str">
        <f>'RENTAL ANALYSIS'!AR56</f>
        <v/>
      </c>
      <c r="V164" s="1288"/>
      <c r="W164" s="1288"/>
      <c r="X164" s="1288"/>
      <c r="Y164" s="1288"/>
      <c r="Z164" s="1288"/>
      <c r="AA164" s="1288"/>
      <c r="AB164" s="1288"/>
    </row>
    <row r="165" spans="1:28" ht="17.100000000000001" customHeight="1" thickBot="1">
      <c r="A165" s="1288"/>
      <c r="B165" s="1288"/>
      <c r="C165" s="1288"/>
      <c r="D165" s="1288"/>
      <c r="E165" s="1288"/>
      <c r="F165" s="1288"/>
      <c r="G165" s="4152"/>
      <c r="H165" s="3083"/>
      <c r="I165" s="3083"/>
      <c r="J165" s="3083"/>
      <c r="K165" s="1323"/>
      <c r="L165" s="1324"/>
      <c r="M165" s="1324"/>
      <c r="N165" s="1324"/>
      <c r="O165" s="1324"/>
      <c r="P165" s="1324"/>
      <c r="Q165" s="1324"/>
      <c r="R165" s="1324"/>
      <c r="S165" s="1324"/>
      <c r="T165" s="1324"/>
      <c r="U165" s="1324"/>
      <c r="V165" s="1288"/>
      <c r="W165" s="1288"/>
      <c r="X165" s="1288"/>
      <c r="Y165" s="1288"/>
      <c r="Z165" s="1288"/>
      <c r="AA165" s="1288"/>
      <c r="AB165" s="1288"/>
    </row>
    <row r="166" spans="1:28" ht="17.100000000000001" customHeight="1" thickBot="1">
      <c r="A166" s="1288"/>
      <c r="B166" s="1288"/>
      <c r="C166" s="1288"/>
      <c r="D166" s="1288"/>
      <c r="E166" s="1288"/>
      <c r="F166" s="1288"/>
      <c r="G166" s="4153" t="s">
        <v>1703</v>
      </c>
      <c r="H166" s="4154"/>
      <c r="I166" s="4154"/>
      <c r="J166" s="4154"/>
      <c r="K166" s="4155"/>
      <c r="L166" s="1320">
        <f>'RENTAL ANALYSIS'!AI63</f>
        <v>0</v>
      </c>
      <c r="M166" s="1321">
        <f>'RENTAL ANALYSIS'!AJ63</f>
        <v>0</v>
      </c>
      <c r="N166" s="1321">
        <f>'RENTAL ANALYSIS'!AK63</f>
        <v>0</v>
      </c>
      <c r="O166" s="1321">
        <f>'RENTAL ANALYSIS'!AL63</f>
        <v>0</v>
      </c>
      <c r="P166" s="1321">
        <f>'RENTAL ANALYSIS'!AM63</f>
        <v>0</v>
      </c>
      <c r="Q166" s="1321">
        <f>'RENTAL ANALYSIS'!AN63</f>
        <v>0</v>
      </c>
      <c r="R166" s="1321">
        <f>'RENTAL ANALYSIS'!AO63</f>
        <v>0</v>
      </c>
      <c r="S166" s="1321">
        <f>'RENTAL ANALYSIS'!AP63</f>
        <v>0</v>
      </c>
      <c r="T166" s="1321">
        <f>'RENTAL ANALYSIS'!AQ63</f>
        <v>0</v>
      </c>
      <c r="U166" s="1322">
        <f>'RENTAL ANALYSIS'!AR63</f>
        <v>0</v>
      </c>
      <c r="V166" s="1288"/>
      <c r="W166" s="1288"/>
      <c r="X166" s="1288"/>
      <c r="Y166" s="1288"/>
      <c r="Z166" s="1288"/>
      <c r="AA166" s="1288"/>
      <c r="AB166" s="1288"/>
    </row>
    <row r="167" spans="1:28" ht="17.100000000000001" customHeight="1">
      <c r="A167" s="1288"/>
      <c r="B167" s="1288"/>
      <c r="C167" s="1288"/>
      <c r="D167" s="1288"/>
      <c r="E167" s="1288"/>
      <c r="F167" s="1288"/>
      <c r="G167" s="1349"/>
      <c r="H167" s="1349"/>
      <c r="I167" s="1349"/>
      <c r="J167" s="1349"/>
      <c r="K167" s="1323"/>
      <c r="L167" s="1324"/>
      <c r="M167" s="1324"/>
      <c r="N167" s="1324"/>
      <c r="O167" s="1324"/>
      <c r="P167" s="1324"/>
      <c r="Q167" s="1324"/>
      <c r="R167" s="1324"/>
      <c r="S167" s="1324"/>
      <c r="T167" s="1324"/>
      <c r="U167" s="1324"/>
      <c r="V167" s="1288"/>
      <c r="W167" s="1288"/>
      <c r="X167" s="1288"/>
      <c r="Y167" s="1288"/>
      <c r="Z167" s="1288"/>
      <c r="AA167" s="1288"/>
      <c r="AB167" s="1288"/>
    </row>
    <row r="168" spans="1:28" ht="17.100000000000001" customHeight="1" thickBot="1">
      <c r="A168" s="1288"/>
      <c r="B168" s="1288"/>
      <c r="C168" s="1288"/>
      <c r="D168" s="1288"/>
      <c r="E168" s="1288"/>
      <c r="F168" s="1288"/>
      <c r="G168" s="4138" t="s">
        <v>602</v>
      </c>
      <c r="H168" s="3083"/>
      <c r="I168" s="3083"/>
      <c r="J168" s="3083"/>
      <c r="K168" s="1323"/>
      <c r="L168" s="1324"/>
      <c r="M168" s="1324"/>
      <c r="N168" s="1324"/>
      <c r="O168" s="1324"/>
      <c r="P168" s="1324"/>
      <c r="Q168" s="1324"/>
      <c r="R168" s="1324"/>
      <c r="S168" s="1324"/>
      <c r="T168" s="1324"/>
      <c r="U168" s="1324"/>
      <c r="V168" s="1288"/>
      <c r="W168" s="1288"/>
      <c r="X168" s="1288"/>
      <c r="Y168" s="1288"/>
      <c r="Z168" s="1288"/>
      <c r="AA168" s="1288"/>
      <c r="AB168" s="1288"/>
    </row>
    <row r="169" spans="1:28" ht="17.100000000000001" customHeight="1">
      <c r="A169" s="1288"/>
      <c r="B169" s="1288"/>
      <c r="C169" s="1288"/>
      <c r="D169" s="1288"/>
      <c r="E169" s="1288"/>
      <c r="F169" s="1288"/>
      <c r="G169" s="4139" t="s">
        <v>913</v>
      </c>
      <c r="H169" s="4140"/>
      <c r="I169" s="4140"/>
      <c r="J169" s="4140"/>
      <c r="K169" s="4141"/>
      <c r="L169" s="1329">
        <f>'RENTAL ANALYSIS'!AI70</f>
        <v>0</v>
      </c>
      <c r="M169" s="1329">
        <f>'RENTAL ANALYSIS'!AJ70</f>
        <v>0</v>
      </c>
      <c r="N169" s="1329">
        <f>'RENTAL ANALYSIS'!AK70</f>
        <v>0</v>
      </c>
      <c r="O169" s="1329">
        <f>'RENTAL ANALYSIS'!AL70</f>
        <v>0</v>
      </c>
      <c r="P169" s="1329">
        <f>'RENTAL ANALYSIS'!AM70</f>
        <v>0</v>
      </c>
      <c r="Q169" s="1329">
        <f>'RENTAL ANALYSIS'!AN70</f>
        <v>0</v>
      </c>
      <c r="R169" s="1329">
        <f>'RENTAL ANALYSIS'!AO70</f>
        <v>0</v>
      </c>
      <c r="S169" s="1329">
        <f>'RENTAL ANALYSIS'!AP70</f>
        <v>0</v>
      </c>
      <c r="T169" s="1329">
        <f>'RENTAL ANALYSIS'!AQ70</f>
        <v>0</v>
      </c>
      <c r="U169" s="1330">
        <f>'RENTAL ANALYSIS'!AR70</f>
        <v>0</v>
      </c>
      <c r="V169" s="1288"/>
      <c r="W169" s="1288"/>
      <c r="X169" s="1288"/>
      <c r="Y169" s="1288"/>
      <c r="Z169" s="1288"/>
      <c r="AA169" s="1288"/>
      <c r="AB169" s="1288"/>
    </row>
    <row r="170" spans="1:28" ht="17.100000000000001" customHeight="1" thickBot="1">
      <c r="A170" s="1288"/>
      <c r="B170" s="1288"/>
      <c r="C170" s="1288"/>
      <c r="D170" s="1288"/>
      <c r="E170" s="1288"/>
      <c r="F170" s="1288"/>
      <c r="G170" s="4142" t="s">
        <v>1812</v>
      </c>
      <c r="H170" s="4143"/>
      <c r="I170" s="4143"/>
      <c r="J170" s="4143"/>
      <c r="K170" s="4144"/>
      <c r="L170" s="1331" t="str">
        <f>'RENTAL ANALYSIS'!AI72</f>
        <v/>
      </c>
      <c r="M170" s="1331" t="str">
        <f>'RENTAL ANALYSIS'!AJ72</f>
        <v/>
      </c>
      <c r="N170" s="1331" t="str">
        <f>'RENTAL ANALYSIS'!AK72</f>
        <v/>
      </c>
      <c r="O170" s="1331" t="str">
        <f>'RENTAL ANALYSIS'!AL72</f>
        <v/>
      </c>
      <c r="P170" s="1331" t="str">
        <f>'RENTAL ANALYSIS'!AM72</f>
        <v/>
      </c>
      <c r="Q170" s="1331" t="str">
        <f>'RENTAL ANALYSIS'!AN72</f>
        <v/>
      </c>
      <c r="R170" s="1331" t="str">
        <f>'RENTAL ANALYSIS'!AO72</f>
        <v/>
      </c>
      <c r="S170" s="1331" t="str">
        <f>'RENTAL ANALYSIS'!AP72</f>
        <v/>
      </c>
      <c r="T170" s="1331" t="str">
        <f>'RENTAL ANALYSIS'!AQ72</f>
        <v/>
      </c>
      <c r="U170" s="1332" t="str">
        <f>'RENTAL ANALYSIS'!AR72</f>
        <v/>
      </c>
      <c r="V170" s="1288"/>
      <c r="W170" s="1288"/>
      <c r="X170" s="1288"/>
      <c r="Y170" s="1288"/>
      <c r="Z170" s="1288"/>
      <c r="AA170" s="1288"/>
      <c r="AB170" s="1288"/>
    </row>
    <row r="171" spans="1:28" ht="17.100000000000001" customHeight="1" thickBot="1">
      <c r="A171" s="1288"/>
      <c r="B171" s="1288"/>
      <c r="C171" s="1288"/>
      <c r="D171" s="1288"/>
      <c r="E171" s="1288"/>
      <c r="F171" s="1288"/>
      <c r="G171" s="4138" t="s">
        <v>603</v>
      </c>
      <c r="H171" s="3083"/>
      <c r="I171" s="3083"/>
      <c r="J171" s="3083"/>
      <c r="K171" s="1323"/>
      <c r="L171" s="1324"/>
      <c r="M171" s="1324"/>
      <c r="N171" s="1324"/>
      <c r="O171" s="1324"/>
      <c r="P171" s="1324"/>
      <c r="Q171" s="1324"/>
      <c r="R171" s="1324"/>
      <c r="S171" s="1324"/>
      <c r="T171" s="1324"/>
      <c r="U171" s="1324"/>
      <c r="V171" s="1288"/>
      <c r="W171" s="1288"/>
      <c r="X171" s="1288"/>
      <c r="Y171" s="1288"/>
      <c r="Z171" s="1288"/>
      <c r="AA171" s="1288"/>
      <c r="AB171" s="1288"/>
    </row>
    <row r="172" spans="1:28" ht="17.100000000000001" customHeight="1">
      <c r="A172" s="1288"/>
      <c r="B172" s="1288"/>
      <c r="C172" s="1288"/>
      <c r="D172" s="1288"/>
      <c r="E172" s="1288"/>
      <c r="F172" s="1288"/>
      <c r="G172" s="4145" t="s">
        <v>1765</v>
      </c>
      <c r="H172" s="4140"/>
      <c r="I172" s="4140"/>
      <c r="J172" s="4140"/>
      <c r="K172" s="4141"/>
      <c r="L172" s="1333">
        <f>'RENTAL ANALYSIS'!AI75</f>
        <v>0</v>
      </c>
      <c r="M172" s="1333">
        <f>'RENTAL ANALYSIS'!AJ75</f>
        <v>0</v>
      </c>
      <c r="N172" s="1333">
        <f>'RENTAL ANALYSIS'!AK75</f>
        <v>0</v>
      </c>
      <c r="O172" s="1333">
        <f>'RENTAL ANALYSIS'!AL75</f>
        <v>0</v>
      </c>
      <c r="P172" s="1333">
        <f>'RENTAL ANALYSIS'!AM75</f>
        <v>0</v>
      </c>
      <c r="Q172" s="1333">
        <f>'RENTAL ANALYSIS'!AN75</f>
        <v>0</v>
      </c>
      <c r="R172" s="1333">
        <f>'RENTAL ANALYSIS'!AO75</f>
        <v>0</v>
      </c>
      <c r="S172" s="1333">
        <f>'RENTAL ANALYSIS'!AP75</f>
        <v>0</v>
      </c>
      <c r="T172" s="1333">
        <f>'RENTAL ANALYSIS'!AQ75</f>
        <v>0</v>
      </c>
      <c r="U172" s="1334">
        <f>'RENTAL ANALYSIS'!AR75</f>
        <v>0</v>
      </c>
      <c r="V172" s="1288"/>
      <c r="W172" s="1288"/>
      <c r="X172" s="1288"/>
      <c r="Y172" s="1288"/>
      <c r="Z172" s="1288"/>
      <c r="AA172" s="1288"/>
      <c r="AB172" s="1288"/>
    </row>
    <row r="173" spans="1:28" ht="17.100000000000001" customHeight="1">
      <c r="A173" s="1288"/>
      <c r="B173" s="1288"/>
      <c r="C173" s="1288"/>
      <c r="D173" s="1288"/>
      <c r="E173" s="1288"/>
      <c r="F173" s="1288"/>
      <c r="G173" s="4146" t="s">
        <v>1766</v>
      </c>
      <c r="H173" s="3398"/>
      <c r="I173" s="3398"/>
      <c r="J173" s="3398"/>
      <c r="K173" s="3399"/>
      <c r="L173" s="1335" t="str">
        <f>'RENTAL ANALYSIS'!AI76</f>
        <v/>
      </c>
      <c r="M173" s="1335" t="str">
        <f>'RENTAL ANALYSIS'!AJ76</f>
        <v/>
      </c>
      <c r="N173" s="1335" t="str">
        <f>'RENTAL ANALYSIS'!AK76</f>
        <v/>
      </c>
      <c r="O173" s="1335" t="str">
        <f>'RENTAL ANALYSIS'!AL76</f>
        <v/>
      </c>
      <c r="P173" s="1335" t="str">
        <f>'RENTAL ANALYSIS'!AM76</f>
        <v/>
      </c>
      <c r="Q173" s="1335" t="str">
        <f>'RENTAL ANALYSIS'!AN76</f>
        <v/>
      </c>
      <c r="R173" s="1335" t="str">
        <f>'RENTAL ANALYSIS'!AO76</f>
        <v/>
      </c>
      <c r="S173" s="1335" t="str">
        <f>'RENTAL ANALYSIS'!AP76</f>
        <v/>
      </c>
      <c r="T173" s="1335" t="str">
        <f>'RENTAL ANALYSIS'!AQ76</f>
        <v/>
      </c>
      <c r="U173" s="1336" t="str">
        <f>'RENTAL ANALYSIS'!AR76</f>
        <v/>
      </c>
      <c r="V173" s="1288"/>
      <c r="W173" s="1288"/>
      <c r="X173" s="1288"/>
      <c r="Y173" s="1288"/>
      <c r="Z173" s="1288"/>
      <c r="AA173" s="1288"/>
      <c r="AB173" s="1288"/>
    </row>
    <row r="174" spans="1:28" ht="17.100000000000001" customHeight="1" thickBot="1">
      <c r="A174" s="1288"/>
      <c r="B174" s="1288"/>
      <c r="C174" s="1288"/>
      <c r="D174" s="1288"/>
      <c r="E174" s="1288"/>
      <c r="F174" s="1288"/>
      <c r="G174" s="4147" t="s">
        <v>1813</v>
      </c>
      <c r="H174" s="3365"/>
      <c r="I174" s="3365"/>
      <c r="J174" s="3365"/>
      <c r="K174" s="3366"/>
      <c r="L174" s="1337">
        <f>'RENTAL ANALYSIS'!AI77</f>
        <v>0</v>
      </c>
      <c r="M174" s="1337">
        <f>'RENTAL ANALYSIS'!AJ77</f>
        <v>0</v>
      </c>
      <c r="N174" s="1337">
        <f>'RENTAL ANALYSIS'!AK77</f>
        <v>0</v>
      </c>
      <c r="O174" s="1337">
        <f>'RENTAL ANALYSIS'!AL77</f>
        <v>0</v>
      </c>
      <c r="P174" s="1337">
        <f>'RENTAL ANALYSIS'!AM77</f>
        <v>0</v>
      </c>
      <c r="Q174" s="1337">
        <f>'RENTAL ANALYSIS'!AN77</f>
        <v>0</v>
      </c>
      <c r="R174" s="1337">
        <f>'RENTAL ANALYSIS'!AO77</f>
        <v>0</v>
      </c>
      <c r="S174" s="1337">
        <f>'RENTAL ANALYSIS'!AP77</f>
        <v>0</v>
      </c>
      <c r="T174" s="1337">
        <f>'RENTAL ANALYSIS'!AQ77</f>
        <v>0</v>
      </c>
      <c r="U174" s="1338">
        <f>'RENTAL ANALYSIS'!AR77</f>
        <v>0</v>
      </c>
      <c r="V174" s="1288"/>
      <c r="W174" s="1288"/>
      <c r="X174" s="1288"/>
      <c r="Y174" s="1288"/>
      <c r="Z174" s="1288"/>
      <c r="AA174" s="1288"/>
      <c r="AB174" s="1288"/>
    </row>
    <row r="175" spans="1:28" ht="17.100000000000001" customHeight="1" thickTop="1" thickBot="1">
      <c r="A175" s="1288"/>
      <c r="B175" s="1288"/>
      <c r="C175" s="1288"/>
      <c r="D175" s="1288"/>
      <c r="E175" s="1288"/>
      <c r="F175" s="1288"/>
      <c r="G175" s="4148" t="s">
        <v>1810</v>
      </c>
      <c r="H175" s="4149"/>
      <c r="I175" s="4149"/>
      <c r="J175" s="4149"/>
      <c r="K175" s="4150"/>
      <c r="L175" s="1339">
        <f>'RENTAL ANALYSIS'!AI78</f>
        <v>0</v>
      </c>
      <c r="M175" s="1340">
        <f>'RENTAL ANALYSIS'!AJ78</f>
        <v>0</v>
      </c>
      <c r="N175" s="1340">
        <f>'RENTAL ANALYSIS'!AK78</f>
        <v>0</v>
      </c>
      <c r="O175" s="1340">
        <f>'RENTAL ANALYSIS'!AL78</f>
        <v>0</v>
      </c>
      <c r="P175" s="1340">
        <f>'RENTAL ANALYSIS'!AM78</f>
        <v>0</v>
      </c>
      <c r="Q175" s="1340">
        <f>'RENTAL ANALYSIS'!AN78</f>
        <v>0</v>
      </c>
      <c r="R175" s="1340">
        <f>'RENTAL ANALYSIS'!AO78</f>
        <v>0</v>
      </c>
      <c r="S175" s="1340">
        <f>'RENTAL ANALYSIS'!AP78</f>
        <v>0</v>
      </c>
      <c r="T175" s="1340">
        <f>'RENTAL ANALYSIS'!AQ78</f>
        <v>0</v>
      </c>
      <c r="U175" s="1341">
        <f>'RENTAL ANALYSIS'!AR78</f>
        <v>0</v>
      </c>
      <c r="V175" s="1288"/>
      <c r="W175" s="1288"/>
      <c r="X175" s="1288"/>
      <c r="Y175" s="1288"/>
      <c r="Z175" s="1288"/>
      <c r="AA175" s="1288"/>
      <c r="AB175" s="1288"/>
    </row>
    <row r="176" spans="1:28" ht="17.100000000000001" customHeight="1" thickBot="1">
      <c r="A176" s="1288"/>
      <c r="B176" s="1288"/>
      <c r="C176" s="1288"/>
      <c r="D176" s="1288"/>
      <c r="E176" s="1288"/>
      <c r="F176" s="1288"/>
      <c r="G176" s="4138" t="s">
        <v>605</v>
      </c>
      <c r="H176" s="3083"/>
      <c r="I176" s="3083"/>
      <c r="J176" s="3083"/>
      <c r="K176" s="1323"/>
      <c r="L176" s="1324"/>
      <c r="M176" s="1324"/>
      <c r="N176" s="1324"/>
      <c r="O176" s="1324"/>
      <c r="P176" s="1324"/>
      <c r="Q176" s="1324"/>
      <c r="R176" s="1324"/>
      <c r="S176" s="1324"/>
      <c r="T176" s="1324"/>
      <c r="U176" s="1324"/>
      <c r="V176" s="1288"/>
      <c r="W176" s="1288"/>
      <c r="X176" s="1288"/>
      <c r="Y176" s="1288"/>
      <c r="Z176" s="1288"/>
      <c r="AA176" s="1288"/>
      <c r="AB176" s="1288"/>
    </row>
    <row r="177" spans="1:28" ht="17.100000000000001" customHeight="1">
      <c r="A177" s="1288"/>
      <c r="B177" s="1288"/>
      <c r="C177" s="1288"/>
      <c r="D177" s="1288"/>
      <c r="E177" s="1288"/>
      <c r="F177" s="1288"/>
      <c r="G177" s="4139" t="s">
        <v>605</v>
      </c>
      <c r="H177" s="4140"/>
      <c r="I177" s="4140"/>
      <c r="J177" s="4140"/>
      <c r="K177" s="4141"/>
      <c r="L177" s="1329">
        <f>'RENTAL ANALYSIS'!AI82</f>
        <v>0</v>
      </c>
      <c r="M177" s="1329">
        <f>'RENTAL ANALYSIS'!AJ82</f>
        <v>0</v>
      </c>
      <c r="N177" s="1329">
        <f>'RENTAL ANALYSIS'!AK82</f>
        <v>0</v>
      </c>
      <c r="O177" s="1329">
        <f>'RENTAL ANALYSIS'!AL82</f>
        <v>0</v>
      </c>
      <c r="P177" s="1329">
        <f>'RENTAL ANALYSIS'!AM82</f>
        <v>0</v>
      </c>
      <c r="Q177" s="1329">
        <f>'RENTAL ANALYSIS'!AN82</f>
        <v>0</v>
      </c>
      <c r="R177" s="1329">
        <f>'RENTAL ANALYSIS'!AO82</f>
        <v>0</v>
      </c>
      <c r="S177" s="1329">
        <f>'RENTAL ANALYSIS'!AP82</f>
        <v>0</v>
      </c>
      <c r="T177" s="1329">
        <f>'RENTAL ANALYSIS'!AQ82</f>
        <v>0</v>
      </c>
      <c r="U177" s="1330">
        <f>'RENTAL ANALYSIS'!AR82</f>
        <v>0</v>
      </c>
      <c r="V177" s="1288"/>
      <c r="W177" s="1288"/>
      <c r="X177" s="1288"/>
      <c r="Y177" s="1288"/>
      <c r="Z177" s="1288"/>
      <c r="AA177" s="1288"/>
      <c r="AB177" s="1288"/>
    </row>
    <row r="178" spans="1:28" ht="17.100000000000001" customHeight="1" thickBot="1">
      <c r="A178" s="1288"/>
      <c r="B178" s="1288"/>
      <c r="C178" s="1288"/>
      <c r="D178" s="1288"/>
      <c r="E178" s="1288"/>
      <c r="F178" s="1288"/>
      <c r="G178" s="4142" t="s">
        <v>606</v>
      </c>
      <c r="H178" s="4143"/>
      <c r="I178" s="4143"/>
      <c r="J178" s="4143"/>
      <c r="K178" s="4144"/>
      <c r="L178" s="1331" t="str">
        <f>'RENTAL ANALYSIS'!AI85</f>
        <v/>
      </c>
      <c r="M178" s="1331" t="str">
        <f>'RENTAL ANALYSIS'!AJ85</f>
        <v/>
      </c>
      <c r="N178" s="1331" t="str">
        <f>'RENTAL ANALYSIS'!AK85</f>
        <v/>
      </c>
      <c r="O178" s="1331" t="str">
        <f>'RENTAL ANALYSIS'!AL85</f>
        <v/>
      </c>
      <c r="P178" s="1331" t="str">
        <f>'RENTAL ANALYSIS'!AM85</f>
        <v/>
      </c>
      <c r="Q178" s="1331" t="str">
        <f>'RENTAL ANALYSIS'!AN85</f>
        <v/>
      </c>
      <c r="R178" s="1331" t="str">
        <f>'RENTAL ANALYSIS'!AO85</f>
        <v/>
      </c>
      <c r="S178" s="1331" t="str">
        <f>'RENTAL ANALYSIS'!AP85</f>
        <v/>
      </c>
      <c r="T178" s="1331" t="str">
        <f>'RENTAL ANALYSIS'!AQ85</f>
        <v/>
      </c>
      <c r="U178" s="1332" t="str">
        <f>'RENTAL ANALYSIS'!AR85</f>
        <v/>
      </c>
      <c r="V178" s="1288"/>
      <c r="W178" s="1288"/>
      <c r="X178" s="1288"/>
      <c r="Y178" s="1288"/>
      <c r="Z178" s="1288"/>
      <c r="AA178" s="1288"/>
      <c r="AB178" s="1288"/>
    </row>
    <row r="179" spans="1:28" ht="19.5" customHeight="1">
      <c r="A179" s="1288"/>
      <c r="B179" s="1288"/>
      <c r="C179" s="1288"/>
      <c r="D179" s="1288"/>
      <c r="E179" s="1288"/>
      <c r="F179" s="1288"/>
      <c r="G179" s="1311"/>
      <c r="H179" s="1311"/>
      <c r="I179" s="1311"/>
      <c r="J179" s="1311"/>
      <c r="K179" s="1312"/>
      <c r="L179" s="1312"/>
      <c r="M179" s="1312"/>
      <c r="N179" s="1313"/>
      <c r="O179" s="1313"/>
      <c r="P179" s="1313"/>
      <c r="Q179" s="1313"/>
      <c r="R179" s="1313"/>
      <c r="S179" s="1313"/>
      <c r="T179" s="1313"/>
      <c r="U179" s="1313"/>
      <c r="V179" s="1288"/>
      <c r="W179" s="1288"/>
      <c r="X179" s="1288"/>
      <c r="Y179" s="1288"/>
      <c r="Z179" s="1288"/>
      <c r="AA179" s="1288"/>
      <c r="AB179" s="1288"/>
    </row>
    <row r="180" spans="1:28" ht="18" customHeight="1">
      <c r="A180" s="1288"/>
      <c r="B180" s="1288"/>
      <c r="C180" s="1288"/>
      <c r="D180" s="1288"/>
      <c r="E180" s="1288"/>
      <c r="F180" s="1288"/>
      <c r="G180" s="4133" t="str">
        <f>CONCATENATE("Report Prepared By: ",Investor_Name,"  |  ",Company_Name,"  |  ",Company_Email,"  |  ",Company_Email)</f>
        <v xml:space="preserve">Report Prepared By:   |    |    |  </v>
      </c>
      <c r="H180" s="4133"/>
      <c r="I180" s="4133"/>
      <c r="J180" s="4133"/>
      <c r="K180" s="4133"/>
      <c r="L180" s="4133"/>
      <c r="M180" s="4133"/>
      <c r="N180" s="4133"/>
      <c r="O180" s="4133"/>
      <c r="P180" s="4133"/>
      <c r="Q180" s="4133"/>
      <c r="R180" s="4133"/>
      <c r="S180" s="4133"/>
      <c r="T180" s="4133"/>
      <c r="U180" s="4133"/>
      <c r="V180" s="1288"/>
      <c r="W180" s="1288"/>
      <c r="X180" s="1288"/>
      <c r="Y180" s="1288"/>
      <c r="Z180" s="1288"/>
      <c r="AA180" s="1288"/>
      <c r="AB180" s="1288"/>
    </row>
    <row r="181" spans="1:28" ht="18" customHeight="1">
      <c r="A181" s="1288"/>
      <c r="B181" s="1288"/>
      <c r="C181" s="1288"/>
      <c r="D181" s="1288"/>
      <c r="E181" s="1288"/>
      <c r="F181" s="1288"/>
      <c r="G181" s="4134" t="str">
        <f>CONCATENATE(Street_Address,", ",City_State_Zip)</f>
        <v>, 0</v>
      </c>
      <c r="H181" s="4135"/>
      <c r="I181" s="4135"/>
      <c r="J181" s="4135"/>
      <c r="K181" s="4135"/>
      <c r="L181" s="4135"/>
      <c r="M181" s="4135"/>
      <c r="N181" s="4135"/>
      <c r="O181" s="4135"/>
      <c r="P181" s="4135"/>
      <c r="Q181" s="4135"/>
      <c r="R181" s="4135"/>
      <c r="S181" s="4135"/>
      <c r="T181" s="4135"/>
      <c r="U181" s="4135"/>
      <c r="V181" s="1288"/>
      <c r="W181" s="1288"/>
      <c r="X181" s="1288"/>
      <c r="Y181" s="1288"/>
      <c r="Z181" s="1288"/>
      <c r="AA181" s="1288"/>
      <c r="AB181" s="1288"/>
    </row>
    <row r="182" spans="1:28" ht="14.25" customHeight="1">
      <c r="A182" s="1288"/>
      <c r="B182" s="1288"/>
      <c r="C182" s="1288"/>
      <c r="D182" s="1288"/>
      <c r="E182" s="1288"/>
      <c r="F182" s="1288"/>
      <c r="G182" s="1298"/>
      <c r="H182" s="1299"/>
      <c r="I182" s="1299"/>
      <c r="J182" s="1299"/>
      <c r="K182" s="1299"/>
      <c r="L182" s="1299"/>
      <c r="M182" s="1299"/>
      <c r="N182" s="1299"/>
      <c r="O182" s="1299"/>
      <c r="P182" s="1299"/>
      <c r="Q182" s="1347"/>
      <c r="R182" s="1347"/>
      <c r="S182" s="1347"/>
      <c r="T182" s="1347"/>
      <c r="U182" s="1347"/>
      <c r="V182" s="1288"/>
      <c r="W182" s="1288"/>
      <c r="X182" s="1288"/>
      <c r="Y182" s="1288"/>
      <c r="Z182" s="1288"/>
      <c r="AA182" s="1288"/>
      <c r="AB182" s="1288"/>
    </row>
    <row r="183" spans="1:28" ht="28.5" customHeight="1">
      <c r="A183" s="1288"/>
      <c r="B183" s="1288"/>
      <c r="C183" s="1288"/>
      <c r="D183" s="1288"/>
      <c r="E183" s="1288"/>
      <c r="F183" s="1288"/>
      <c r="G183" s="1405" t="s">
        <v>871</v>
      </c>
      <c r="H183" s="1299"/>
      <c r="I183" s="1299"/>
      <c r="J183" s="1299"/>
      <c r="K183" s="1299"/>
      <c r="L183" s="1299"/>
      <c r="M183" s="1299"/>
      <c r="N183" s="1299"/>
      <c r="O183" s="1299"/>
      <c r="P183" s="1299"/>
      <c r="Q183" s="4136"/>
      <c r="R183" s="3083"/>
      <c r="S183" s="3083"/>
      <c r="T183" s="3083"/>
      <c r="U183" s="3083"/>
      <c r="V183" s="1288"/>
      <c r="W183" s="1288"/>
      <c r="X183" s="1288"/>
      <c r="Y183" s="1288"/>
      <c r="Z183" s="1288"/>
      <c r="AA183" s="1288"/>
      <c r="AB183" s="1288"/>
    </row>
    <row r="184" spans="1:28" ht="16.5" customHeight="1">
      <c r="A184" s="1288"/>
      <c r="B184" s="1288"/>
      <c r="C184" s="1288"/>
      <c r="D184" s="1288"/>
      <c r="E184" s="1288"/>
      <c r="F184" s="1288"/>
      <c r="G184" s="1314"/>
      <c r="H184" s="1314"/>
      <c r="I184" s="1314"/>
      <c r="J184" s="1314"/>
      <c r="K184" s="1314"/>
      <c r="L184" s="1310"/>
      <c r="M184" s="1314"/>
      <c r="N184" s="1310"/>
      <c r="O184" s="1310"/>
      <c r="P184" s="1310"/>
      <c r="Q184" s="1310"/>
      <c r="R184" s="1310"/>
      <c r="S184" s="1310"/>
      <c r="T184" s="1300"/>
      <c r="U184" s="1300"/>
      <c r="V184" s="1288"/>
      <c r="W184" s="1288"/>
      <c r="X184" s="1288"/>
      <c r="Y184" s="1288"/>
      <c r="Z184" s="1288"/>
      <c r="AA184" s="1288"/>
      <c r="AB184" s="1288"/>
    </row>
    <row r="185" spans="1:28" ht="17.100000000000001" customHeight="1">
      <c r="A185" s="1288"/>
      <c r="B185" s="1288"/>
      <c r="C185" s="1288"/>
      <c r="D185" s="1288"/>
      <c r="E185" s="1288"/>
      <c r="F185" s="1288"/>
      <c r="G185" s="4138" t="s">
        <v>590</v>
      </c>
      <c r="H185" s="3083"/>
      <c r="I185" s="3083"/>
      <c r="J185" s="3083"/>
      <c r="K185" s="1314"/>
      <c r="L185" s="1316">
        <v>21</v>
      </c>
      <c r="M185" s="1316">
        <v>22</v>
      </c>
      <c r="N185" s="1316">
        <v>23</v>
      </c>
      <c r="O185" s="1316">
        <v>24</v>
      </c>
      <c r="P185" s="1316">
        <v>25</v>
      </c>
      <c r="Q185" s="1316">
        <v>26</v>
      </c>
      <c r="R185" s="1316">
        <v>27</v>
      </c>
      <c r="S185" s="1316">
        <v>28</v>
      </c>
      <c r="T185" s="1316">
        <v>29</v>
      </c>
      <c r="U185" s="1316">
        <v>30</v>
      </c>
      <c r="V185" s="1288"/>
      <c r="W185" s="1288"/>
      <c r="X185" s="1288"/>
      <c r="Y185" s="1288"/>
      <c r="Z185" s="1288"/>
      <c r="AA185" s="1288"/>
      <c r="AB185" s="1288"/>
    </row>
    <row r="186" spans="1:28" ht="17.100000000000001" customHeight="1">
      <c r="A186" s="1288"/>
      <c r="B186" s="1288"/>
      <c r="C186" s="1288"/>
      <c r="D186" s="1288"/>
      <c r="E186" s="1288"/>
      <c r="F186" s="1288"/>
      <c r="G186" s="4156" t="str">
        <f>T('RENTAL ANALYSIS'!D18:M18)</f>
        <v>Rental Unit 1  -  ( units, square feet, beds, baths)</v>
      </c>
      <c r="H186" s="3398"/>
      <c r="I186" s="3398"/>
      <c r="J186" s="3398"/>
      <c r="K186" s="3399"/>
      <c r="L186" s="1317">
        <f>'RENTAL ANALYSIS'!AS18</f>
        <v>0</v>
      </c>
      <c r="M186" s="1317">
        <f>'RENTAL ANALYSIS'!AT18</f>
        <v>0</v>
      </c>
      <c r="N186" s="1317">
        <f>'RENTAL ANALYSIS'!AU18</f>
        <v>0</v>
      </c>
      <c r="O186" s="1317">
        <f>'RENTAL ANALYSIS'!AV18</f>
        <v>0</v>
      </c>
      <c r="P186" s="1317">
        <f>'RENTAL ANALYSIS'!AW18</f>
        <v>0</v>
      </c>
      <c r="Q186" s="1317">
        <f>'RENTAL ANALYSIS'!AX18</f>
        <v>0</v>
      </c>
      <c r="R186" s="1317">
        <f>'RENTAL ANALYSIS'!AY18</f>
        <v>0</v>
      </c>
      <c r="S186" s="1317">
        <f>'RENTAL ANALYSIS'!AZ18</f>
        <v>0</v>
      </c>
      <c r="T186" s="1317">
        <f>'RENTAL ANALYSIS'!BA18</f>
        <v>0</v>
      </c>
      <c r="U186" s="1317">
        <f>'RENTAL ANALYSIS'!BB18</f>
        <v>0</v>
      </c>
      <c r="V186" s="1288"/>
      <c r="W186" s="1288"/>
      <c r="X186" s="1288"/>
      <c r="Y186" s="1288"/>
      <c r="Z186" s="1288"/>
      <c r="AA186" s="1288"/>
      <c r="AB186" s="1288"/>
    </row>
    <row r="187" spans="1:28" s="1383" customFormat="1" ht="17.100000000000001" customHeight="1">
      <c r="A187" s="1288"/>
      <c r="B187" s="1288"/>
      <c r="C187" s="1288"/>
      <c r="D187" s="1288"/>
      <c r="E187" s="1288"/>
      <c r="F187" s="1288"/>
      <c r="G187" s="4156" t="str">
        <f>T('RENTAL ANALYSIS'!D19:M19)</f>
        <v>Rental Unit 2  -  ( units, square feet, beds, baths)</v>
      </c>
      <c r="H187" s="3398"/>
      <c r="I187" s="3398"/>
      <c r="J187" s="3398"/>
      <c r="K187" s="3399"/>
      <c r="L187" s="1317">
        <f>'RENTAL ANALYSIS'!AS19</f>
        <v>0</v>
      </c>
      <c r="M187" s="1317">
        <f>'RENTAL ANALYSIS'!AT19</f>
        <v>0</v>
      </c>
      <c r="N187" s="1317">
        <f>'RENTAL ANALYSIS'!AU19</f>
        <v>0</v>
      </c>
      <c r="O187" s="1317">
        <f>'RENTAL ANALYSIS'!AV19</f>
        <v>0</v>
      </c>
      <c r="P187" s="1317">
        <f>'RENTAL ANALYSIS'!AW19</f>
        <v>0</v>
      </c>
      <c r="Q187" s="1317">
        <f>'RENTAL ANALYSIS'!AX19</f>
        <v>0</v>
      </c>
      <c r="R187" s="1317">
        <f>'RENTAL ANALYSIS'!AY19</f>
        <v>0</v>
      </c>
      <c r="S187" s="1317">
        <f>'RENTAL ANALYSIS'!AZ19</f>
        <v>0</v>
      </c>
      <c r="T187" s="1317">
        <f>'RENTAL ANALYSIS'!BA19</f>
        <v>0</v>
      </c>
      <c r="U187" s="1317">
        <f>'RENTAL ANALYSIS'!BB19</f>
        <v>0</v>
      </c>
      <c r="V187" s="1288"/>
      <c r="W187" s="1288"/>
      <c r="X187" s="1288"/>
      <c r="Y187" s="1288"/>
      <c r="Z187" s="1288"/>
      <c r="AA187" s="1288"/>
      <c r="AB187" s="1288"/>
    </row>
    <row r="188" spans="1:28" s="1383" customFormat="1" ht="17.100000000000001" customHeight="1">
      <c r="A188" s="1288"/>
      <c r="B188" s="1288"/>
      <c r="C188" s="1288"/>
      <c r="D188" s="1288"/>
      <c r="E188" s="1288"/>
      <c r="F188" s="1288"/>
      <c r="G188" s="4156" t="str">
        <f>T('RENTAL ANALYSIS'!D20:M20)</f>
        <v>Rental Unit 3  -  ( units, square feet, beds, baths)</v>
      </c>
      <c r="H188" s="3398"/>
      <c r="I188" s="3398"/>
      <c r="J188" s="3398"/>
      <c r="K188" s="3399"/>
      <c r="L188" s="1317">
        <f>'RENTAL ANALYSIS'!AS20</f>
        <v>0</v>
      </c>
      <c r="M188" s="1317">
        <f>'RENTAL ANALYSIS'!AT20</f>
        <v>0</v>
      </c>
      <c r="N188" s="1317">
        <f>'RENTAL ANALYSIS'!AU20</f>
        <v>0</v>
      </c>
      <c r="O188" s="1317">
        <f>'RENTAL ANALYSIS'!AV20</f>
        <v>0</v>
      </c>
      <c r="P188" s="1317">
        <f>'RENTAL ANALYSIS'!AW20</f>
        <v>0</v>
      </c>
      <c r="Q188" s="1317">
        <f>'RENTAL ANALYSIS'!AX20</f>
        <v>0</v>
      </c>
      <c r="R188" s="1317">
        <f>'RENTAL ANALYSIS'!AY20</f>
        <v>0</v>
      </c>
      <c r="S188" s="1317">
        <f>'RENTAL ANALYSIS'!AZ20</f>
        <v>0</v>
      </c>
      <c r="T188" s="1317">
        <f>'RENTAL ANALYSIS'!BA20</f>
        <v>0</v>
      </c>
      <c r="U188" s="1317">
        <f>'RENTAL ANALYSIS'!BB20</f>
        <v>0</v>
      </c>
      <c r="V188" s="1288"/>
      <c r="W188" s="1288"/>
      <c r="X188" s="1288"/>
      <c r="Y188" s="1288"/>
      <c r="Z188" s="1288"/>
      <c r="AA188" s="1288"/>
      <c r="AB188" s="1288"/>
    </row>
    <row r="189" spans="1:28" s="1383" customFormat="1" ht="17.100000000000001" customHeight="1">
      <c r="A189" s="1288"/>
      <c r="B189" s="1288"/>
      <c r="C189" s="1288"/>
      <c r="D189" s="1288"/>
      <c r="E189" s="1288"/>
      <c r="F189" s="1288"/>
      <c r="G189" s="4156" t="str">
        <f>T('RENTAL ANALYSIS'!D21:M21)</f>
        <v>Rental Unit 4  -  ( units, square feet, beds, baths)</v>
      </c>
      <c r="H189" s="3398"/>
      <c r="I189" s="3398"/>
      <c r="J189" s="3398"/>
      <c r="K189" s="3399"/>
      <c r="L189" s="1317">
        <f>'RENTAL ANALYSIS'!AS21</f>
        <v>0</v>
      </c>
      <c r="M189" s="1317">
        <f>'RENTAL ANALYSIS'!AT21</f>
        <v>0</v>
      </c>
      <c r="N189" s="1317">
        <f>'RENTAL ANALYSIS'!AU21</f>
        <v>0</v>
      </c>
      <c r="O189" s="1317">
        <f>'RENTAL ANALYSIS'!AV21</f>
        <v>0</v>
      </c>
      <c r="P189" s="1317">
        <f>'RENTAL ANALYSIS'!AW21</f>
        <v>0</v>
      </c>
      <c r="Q189" s="1317">
        <f>'RENTAL ANALYSIS'!AX21</f>
        <v>0</v>
      </c>
      <c r="R189" s="1317">
        <f>'RENTAL ANALYSIS'!AY21</f>
        <v>0</v>
      </c>
      <c r="S189" s="1317">
        <f>'RENTAL ANALYSIS'!AZ21</f>
        <v>0</v>
      </c>
      <c r="T189" s="1317">
        <f>'RENTAL ANALYSIS'!BA21</f>
        <v>0</v>
      </c>
      <c r="U189" s="1317">
        <f>'RENTAL ANALYSIS'!BB21</f>
        <v>0</v>
      </c>
      <c r="V189" s="1288"/>
      <c r="W189" s="1288"/>
      <c r="X189" s="1288"/>
      <c r="Y189" s="1288"/>
      <c r="Z189" s="1288"/>
      <c r="AA189" s="1288"/>
      <c r="AB189" s="1288"/>
    </row>
    <row r="190" spans="1:28" s="1383" customFormat="1" ht="17.100000000000001" customHeight="1" thickBot="1">
      <c r="A190" s="1288"/>
      <c r="B190" s="1288"/>
      <c r="C190" s="1288"/>
      <c r="D190" s="1288"/>
      <c r="E190" s="1288"/>
      <c r="F190" s="1288"/>
      <c r="G190" s="4162" t="str">
        <f>T('RENTAL ANALYSIS'!D22:M22)</f>
        <v>Rental Unit 5  -  ( units, square feet, beds, baths)</v>
      </c>
      <c r="H190" s="4163"/>
      <c r="I190" s="4163"/>
      <c r="J190" s="4163"/>
      <c r="K190" s="4164"/>
      <c r="L190" s="1400">
        <f>'RENTAL ANALYSIS'!AS22</f>
        <v>0</v>
      </c>
      <c r="M190" s="1400">
        <f>'RENTAL ANALYSIS'!AT22</f>
        <v>0</v>
      </c>
      <c r="N190" s="1400">
        <f>'RENTAL ANALYSIS'!AU22</f>
        <v>0</v>
      </c>
      <c r="O190" s="1400">
        <f>'RENTAL ANALYSIS'!AV22</f>
        <v>0</v>
      </c>
      <c r="P190" s="1400">
        <f>'RENTAL ANALYSIS'!AW22</f>
        <v>0</v>
      </c>
      <c r="Q190" s="1400">
        <f>'RENTAL ANALYSIS'!AX22</f>
        <v>0</v>
      </c>
      <c r="R190" s="1400">
        <f>'RENTAL ANALYSIS'!AY22</f>
        <v>0</v>
      </c>
      <c r="S190" s="1400">
        <f>'RENTAL ANALYSIS'!AZ22</f>
        <v>0</v>
      </c>
      <c r="T190" s="1400">
        <f>'RENTAL ANALYSIS'!BA22</f>
        <v>0</v>
      </c>
      <c r="U190" s="1400">
        <f>'RENTAL ANALYSIS'!BB22</f>
        <v>0</v>
      </c>
      <c r="V190" s="1288"/>
      <c r="W190" s="1288"/>
      <c r="X190" s="1288"/>
      <c r="Y190" s="1288"/>
      <c r="Z190" s="1288"/>
      <c r="AA190" s="1288"/>
      <c r="AB190" s="1288"/>
    </row>
    <row r="191" spans="1:28" s="1383" customFormat="1" ht="17.100000000000001" customHeight="1" thickTop="1">
      <c r="A191" s="1288"/>
      <c r="B191" s="1288"/>
      <c r="C191" s="1288"/>
      <c r="D191" s="1288"/>
      <c r="E191" s="1288"/>
      <c r="F191" s="1288"/>
      <c r="G191" s="4151" t="str">
        <f>T('RENTAL ANALYSIS'!D23:M23)</f>
        <v>GROSS SCHEDULED INCOME</v>
      </c>
      <c r="H191" s="4165"/>
      <c r="I191" s="4165"/>
      <c r="J191" s="4165"/>
      <c r="K191" s="4166"/>
      <c r="L191" s="1327">
        <f>'RENTAL ANALYSIS'!AS23</f>
        <v>0</v>
      </c>
      <c r="M191" s="1327">
        <f>'RENTAL ANALYSIS'!AT23</f>
        <v>0</v>
      </c>
      <c r="N191" s="1327">
        <f>'RENTAL ANALYSIS'!AU23</f>
        <v>0</v>
      </c>
      <c r="O191" s="1327">
        <f>'RENTAL ANALYSIS'!AV23</f>
        <v>0</v>
      </c>
      <c r="P191" s="1327">
        <f>'RENTAL ANALYSIS'!AW23</f>
        <v>0</v>
      </c>
      <c r="Q191" s="1327">
        <f>'RENTAL ANALYSIS'!AX23</f>
        <v>0</v>
      </c>
      <c r="R191" s="1327">
        <f>'RENTAL ANALYSIS'!AY23</f>
        <v>0</v>
      </c>
      <c r="S191" s="1327">
        <f>'RENTAL ANALYSIS'!AZ23</f>
        <v>0</v>
      </c>
      <c r="T191" s="1327">
        <f>'RENTAL ANALYSIS'!BA23</f>
        <v>0</v>
      </c>
      <c r="U191" s="1327">
        <f>'RENTAL ANALYSIS'!BB23</f>
        <v>0</v>
      </c>
      <c r="V191" s="1288"/>
      <c r="W191" s="1288"/>
      <c r="X191" s="1288"/>
      <c r="Y191" s="1288"/>
      <c r="Z191" s="1288"/>
      <c r="AA191" s="1288"/>
      <c r="AB191" s="1288"/>
    </row>
    <row r="192" spans="1:28" ht="17.100000000000001" customHeight="1">
      <c r="A192" s="1288"/>
      <c r="B192" s="1288"/>
      <c r="C192" s="1288"/>
      <c r="D192" s="1288"/>
      <c r="E192" s="1288"/>
      <c r="F192" s="1288"/>
      <c r="G192" s="4156" t="s">
        <v>591</v>
      </c>
      <c r="H192" s="3398"/>
      <c r="I192" s="3398"/>
      <c r="J192" s="3398"/>
      <c r="K192" s="3398"/>
      <c r="L192" s="1318">
        <f>'RENTAL ANALYSIS'!AS24</f>
        <v>0</v>
      </c>
      <c r="M192" s="1318">
        <f>'RENTAL ANALYSIS'!AT24</f>
        <v>0</v>
      </c>
      <c r="N192" s="1318">
        <f>'RENTAL ANALYSIS'!AU24</f>
        <v>0</v>
      </c>
      <c r="O192" s="1318">
        <f>'RENTAL ANALYSIS'!AV24</f>
        <v>0</v>
      </c>
      <c r="P192" s="1318">
        <f>'RENTAL ANALYSIS'!AW24</f>
        <v>0</v>
      </c>
      <c r="Q192" s="1318">
        <f>'RENTAL ANALYSIS'!AX24</f>
        <v>0</v>
      </c>
      <c r="R192" s="1318">
        <f>'RENTAL ANALYSIS'!AY24</f>
        <v>0</v>
      </c>
      <c r="S192" s="1318">
        <f>'RENTAL ANALYSIS'!AZ24</f>
        <v>0</v>
      </c>
      <c r="T192" s="1318">
        <f>'RENTAL ANALYSIS'!BA24</f>
        <v>0</v>
      </c>
      <c r="U192" s="1318">
        <f>'RENTAL ANALYSIS'!BB24</f>
        <v>0</v>
      </c>
      <c r="V192" s="1288"/>
      <c r="W192" s="1288"/>
      <c r="X192" s="1288"/>
      <c r="Y192" s="1288"/>
      <c r="Z192" s="1288"/>
      <c r="AA192" s="1288"/>
      <c r="AB192" s="1288"/>
    </row>
    <row r="193" spans="1:28" ht="17.100000000000001" customHeight="1">
      <c r="A193" s="1288"/>
      <c r="B193" s="1288"/>
      <c r="C193" s="1288"/>
      <c r="D193" s="1288"/>
      <c r="E193" s="1288"/>
      <c r="F193" s="1288"/>
      <c r="G193" s="4156" t="s">
        <v>1741</v>
      </c>
      <c r="H193" s="3398"/>
      <c r="I193" s="3398"/>
      <c r="J193" s="3398"/>
      <c r="K193" s="3398"/>
      <c r="L193" s="1318">
        <f>'RENTAL ANALYSIS'!AS25</f>
        <v>0</v>
      </c>
      <c r="M193" s="1318">
        <f>'RENTAL ANALYSIS'!AT25</f>
        <v>0</v>
      </c>
      <c r="N193" s="1318">
        <f>'RENTAL ANALYSIS'!AU25</f>
        <v>0</v>
      </c>
      <c r="O193" s="1318">
        <f>'RENTAL ANALYSIS'!AV25</f>
        <v>0</v>
      </c>
      <c r="P193" s="1318">
        <f>'RENTAL ANALYSIS'!AW25</f>
        <v>0</v>
      </c>
      <c r="Q193" s="1318">
        <f>'RENTAL ANALYSIS'!AX25</f>
        <v>0</v>
      </c>
      <c r="R193" s="1318">
        <f>'RENTAL ANALYSIS'!AY25</f>
        <v>0</v>
      </c>
      <c r="S193" s="1318">
        <f>'RENTAL ANALYSIS'!AZ25</f>
        <v>0</v>
      </c>
      <c r="T193" s="1318">
        <f>'RENTAL ANALYSIS'!BA25</f>
        <v>0</v>
      </c>
      <c r="U193" s="1318">
        <f>'RENTAL ANALYSIS'!BB25</f>
        <v>0</v>
      </c>
      <c r="V193" s="1288"/>
      <c r="W193" s="1288"/>
      <c r="X193" s="1288"/>
      <c r="Y193" s="1288"/>
      <c r="Z193" s="1288"/>
      <c r="AA193" s="1288"/>
      <c r="AB193" s="1288"/>
    </row>
    <row r="194" spans="1:28" ht="17.100000000000001" customHeight="1" thickBot="1">
      <c r="A194" s="1288"/>
      <c r="B194" s="1288"/>
      <c r="C194" s="1288"/>
      <c r="D194" s="1288"/>
      <c r="E194" s="1288"/>
      <c r="F194" s="1288"/>
      <c r="G194" s="4159" t="s">
        <v>1742</v>
      </c>
      <c r="H194" s="4160"/>
      <c r="I194" s="4160"/>
      <c r="J194" s="4160"/>
      <c r="K194" s="4161"/>
      <c r="L194" s="1319">
        <f>'RENTAL ANALYSIS'!AS26</f>
        <v>0</v>
      </c>
      <c r="M194" s="1319">
        <f>'RENTAL ANALYSIS'!AT26</f>
        <v>0</v>
      </c>
      <c r="N194" s="1319">
        <f>'RENTAL ANALYSIS'!AU26</f>
        <v>0</v>
      </c>
      <c r="O194" s="1319">
        <f>'RENTAL ANALYSIS'!AV26</f>
        <v>0</v>
      </c>
      <c r="P194" s="1319">
        <f>'RENTAL ANALYSIS'!AW26</f>
        <v>0</v>
      </c>
      <c r="Q194" s="1319">
        <f>'RENTAL ANALYSIS'!AX26</f>
        <v>0</v>
      </c>
      <c r="R194" s="1319">
        <f>'RENTAL ANALYSIS'!AY26</f>
        <v>0</v>
      </c>
      <c r="S194" s="1319">
        <f>'RENTAL ANALYSIS'!AZ26</f>
        <v>0</v>
      </c>
      <c r="T194" s="1319">
        <f>'RENTAL ANALYSIS'!BA26</f>
        <v>0</v>
      </c>
      <c r="U194" s="1319">
        <f>'RENTAL ANALYSIS'!BB26</f>
        <v>0</v>
      </c>
      <c r="V194" s="1288"/>
      <c r="W194" s="1288"/>
      <c r="X194" s="1288"/>
      <c r="Y194" s="1288"/>
      <c r="Z194" s="1288"/>
      <c r="AA194" s="1288"/>
      <c r="AB194" s="1288"/>
    </row>
    <row r="195" spans="1:28" ht="17.100000000000001" customHeight="1" thickBot="1">
      <c r="A195" s="1288"/>
      <c r="B195" s="1288"/>
      <c r="C195" s="1288"/>
      <c r="D195" s="1288"/>
      <c r="E195" s="1288"/>
      <c r="F195" s="1288"/>
      <c r="G195" s="4153" t="s">
        <v>593</v>
      </c>
      <c r="H195" s="4154"/>
      <c r="I195" s="4154"/>
      <c r="J195" s="4154"/>
      <c r="K195" s="4155"/>
      <c r="L195" s="1320">
        <f>'RENTAL ANALYSIS'!AS27</f>
        <v>0</v>
      </c>
      <c r="M195" s="1321">
        <f>'RENTAL ANALYSIS'!AT27</f>
        <v>0</v>
      </c>
      <c r="N195" s="1321">
        <f>'RENTAL ANALYSIS'!AU27</f>
        <v>0</v>
      </c>
      <c r="O195" s="1321">
        <f>'RENTAL ANALYSIS'!AV27</f>
        <v>0</v>
      </c>
      <c r="P195" s="1321">
        <f>'RENTAL ANALYSIS'!AW27</f>
        <v>0</v>
      </c>
      <c r="Q195" s="1321">
        <f>'RENTAL ANALYSIS'!AX27</f>
        <v>0</v>
      </c>
      <c r="R195" s="1321">
        <f>'RENTAL ANALYSIS'!AY27</f>
        <v>0</v>
      </c>
      <c r="S195" s="1321">
        <f>'RENTAL ANALYSIS'!AZ27</f>
        <v>0</v>
      </c>
      <c r="T195" s="1321">
        <f>'RENTAL ANALYSIS'!BA27</f>
        <v>0</v>
      </c>
      <c r="U195" s="1322">
        <f>'RENTAL ANALYSIS'!BB27</f>
        <v>0</v>
      </c>
      <c r="V195" s="1288"/>
      <c r="W195" s="1288"/>
      <c r="X195" s="1288"/>
      <c r="Y195" s="1288"/>
      <c r="Z195" s="1288"/>
      <c r="AA195" s="1288"/>
      <c r="AB195" s="1288"/>
    </row>
    <row r="196" spans="1:28" ht="17.100000000000001" customHeight="1">
      <c r="A196" s="1288"/>
      <c r="B196" s="1288"/>
      <c r="C196" s="1288"/>
      <c r="D196" s="1288"/>
      <c r="E196" s="1288"/>
      <c r="F196" s="1288"/>
      <c r="G196" s="1349"/>
      <c r="H196" s="1349"/>
      <c r="I196" s="1349"/>
      <c r="J196" s="1349"/>
      <c r="K196" s="1323"/>
      <c r="L196" s="1324"/>
      <c r="M196" s="1324"/>
      <c r="N196" s="1324"/>
      <c r="O196" s="1324"/>
      <c r="P196" s="1324"/>
      <c r="Q196" s="1324"/>
      <c r="R196" s="1324"/>
      <c r="S196" s="1324"/>
      <c r="T196" s="1324"/>
      <c r="U196" s="1324"/>
      <c r="V196" s="1288"/>
      <c r="W196" s="1288"/>
      <c r="X196" s="1288"/>
      <c r="Y196" s="1288"/>
      <c r="Z196" s="1288"/>
      <c r="AA196" s="1288"/>
      <c r="AB196" s="1288"/>
    </row>
    <row r="197" spans="1:28" ht="17.100000000000001" customHeight="1">
      <c r="A197" s="1288"/>
      <c r="B197" s="1288"/>
      <c r="C197" s="1288"/>
      <c r="D197" s="1288"/>
      <c r="E197" s="1288"/>
      <c r="F197" s="1288"/>
      <c r="G197" s="4138" t="s">
        <v>594</v>
      </c>
      <c r="H197" s="3083"/>
      <c r="I197" s="3083"/>
      <c r="J197" s="3083"/>
      <c r="K197" s="1323"/>
      <c r="L197" s="1324"/>
      <c r="M197" s="1324"/>
      <c r="N197" s="1324"/>
      <c r="O197" s="1324"/>
      <c r="P197" s="1324"/>
      <c r="Q197" s="1324"/>
      <c r="R197" s="1324"/>
      <c r="S197" s="1324"/>
      <c r="T197" s="1324"/>
      <c r="U197" s="1324"/>
      <c r="V197" s="1288"/>
      <c r="W197" s="1288"/>
      <c r="X197" s="1288"/>
      <c r="Y197" s="1288"/>
      <c r="Z197" s="1288"/>
      <c r="AA197" s="1288"/>
      <c r="AB197" s="1288"/>
    </row>
    <row r="198" spans="1:28" ht="17.100000000000001" customHeight="1">
      <c r="A198" s="1288"/>
      <c r="B198" s="1288"/>
      <c r="C198" s="1288"/>
      <c r="D198" s="1288"/>
      <c r="E198" s="1288"/>
      <c r="F198" s="1288"/>
      <c r="G198" s="4156" t="str">
        <f>T('RENTAL ANALYSIS'!D31:M31)</f>
        <v>Property Taxes</v>
      </c>
      <c r="H198" s="3398"/>
      <c r="I198" s="3398"/>
      <c r="J198" s="3398"/>
      <c r="K198" s="3399"/>
      <c r="L198" s="1325">
        <f>'RENTAL ANALYSIS'!AS31</f>
        <v>0</v>
      </c>
      <c r="M198" s="1317">
        <f>'RENTAL ANALYSIS'!AT31</f>
        <v>0</v>
      </c>
      <c r="N198" s="1317">
        <f>'RENTAL ANALYSIS'!AU31</f>
        <v>0</v>
      </c>
      <c r="O198" s="1317">
        <f>'RENTAL ANALYSIS'!AV31</f>
        <v>0</v>
      </c>
      <c r="P198" s="1317">
        <f>'RENTAL ANALYSIS'!AW31</f>
        <v>0</v>
      </c>
      <c r="Q198" s="1317">
        <f>'RENTAL ANALYSIS'!AX31</f>
        <v>0</v>
      </c>
      <c r="R198" s="1317">
        <f>'RENTAL ANALYSIS'!AY31</f>
        <v>0</v>
      </c>
      <c r="S198" s="1317">
        <f>'RENTAL ANALYSIS'!AZ31</f>
        <v>0</v>
      </c>
      <c r="T198" s="1317">
        <f>'RENTAL ANALYSIS'!BA31</f>
        <v>0</v>
      </c>
      <c r="U198" s="1317">
        <f>'RENTAL ANALYSIS'!BB31</f>
        <v>0</v>
      </c>
      <c r="V198" s="1288"/>
      <c r="W198" s="1288"/>
      <c r="X198" s="1288"/>
      <c r="Y198" s="1288"/>
      <c r="Z198" s="1288"/>
      <c r="AA198" s="1288"/>
      <c r="AB198" s="1288"/>
    </row>
    <row r="199" spans="1:28" ht="17.100000000000001" customHeight="1">
      <c r="A199" s="1288"/>
      <c r="B199" s="1288"/>
      <c r="C199" s="1288"/>
      <c r="D199" s="1288"/>
      <c r="E199" s="1288"/>
      <c r="F199" s="1288"/>
      <c r="G199" s="4156" t="str">
        <f>T('RENTAL ANALYSIS'!D32:M32)</f>
        <v>Property Insurance</v>
      </c>
      <c r="H199" s="3398"/>
      <c r="I199" s="3398"/>
      <c r="J199" s="3398"/>
      <c r="K199" s="3399"/>
      <c r="L199" s="1317">
        <f>'RENTAL ANALYSIS'!AS32</f>
        <v>0</v>
      </c>
      <c r="M199" s="1317">
        <f>'RENTAL ANALYSIS'!AT32</f>
        <v>0</v>
      </c>
      <c r="N199" s="1317">
        <f>'RENTAL ANALYSIS'!AU32</f>
        <v>0</v>
      </c>
      <c r="O199" s="1317">
        <f>'RENTAL ANALYSIS'!AV32</f>
        <v>0</v>
      </c>
      <c r="P199" s="1317">
        <f>'RENTAL ANALYSIS'!AW32</f>
        <v>0</v>
      </c>
      <c r="Q199" s="1317">
        <f>'RENTAL ANALYSIS'!AX32</f>
        <v>0</v>
      </c>
      <c r="R199" s="1317">
        <f>'RENTAL ANALYSIS'!AY32</f>
        <v>0</v>
      </c>
      <c r="S199" s="1317">
        <f>'RENTAL ANALYSIS'!AZ32</f>
        <v>0</v>
      </c>
      <c r="T199" s="1317">
        <f>'RENTAL ANALYSIS'!BA32</f>
        <v>0</v>
      </c>
      <c r="U199" s="1317">
        <f>'RENTAL ANALYSIS'!BB32</f>
        <v>0</v>
      </c>
      <c r="V199" s="1288"/>
      <c r="W199" s="1288"/>
      <c r="X199" s="1288"/>
      <c r="Y199" s="1288"/>
      <c r="Z199" s="1288"/>
      <c r="AA199" s="1288"/>
      <c r="AB199" s="1288"/>
    </row>
    <row r="200" spans="1:28" ht="17.100000000000001" customHeight="1">
      <c r="A200" s="1288"/>
      <c r="B200" s="1288"/>
      <c r="C200" s="1288"/>
      <c r="D200" s="1288"/>
      <c r="E200" s="1288"/>
      <c r="F200" s="1288"/>
      <c r="G200" s="4156" t="str">
        <f>T('RENTAL ANALYSIS'!D33:M33)</f>
        <v>Cleaning and Maintenance:</v>
      </c>
      <c r="H200" s="3398"/>
      <c r="I200" s="3398"/>
      <c r="J200" s="3398"/>
      <c r="K200" s="3399"/>
      <c r="L200" s="1317">
        <f>'RENTAL ANALYSIS'!AS33</f>
        <v>0</v>
      </c>
      <c r="M200" s="1317">
        <f>'RENTAL ANALYSIS'!AT33</f>
        <v>0</v>
      </c>
      <c r="N200" s="1317">
        <f>'RENTAL ANALYSIS'!AU33</f>
        <v>0</v>
      </c>
      <c r="O200" s="1317">
        <f>'RENTAL ANALYSIS'!AV33</f>
        <v>0</v>
      </c>
      <c r="P200" s="1317">
        <f>'RENTAL ANALYSIS'!AW33</f>
        <v>0</v>
      </c>
      <c r="Q200" s="1317">
        <f>'RENTAL ANALYSIS'!AX33</f>
        <v>0</v>
      </c>
      <c r="R200" s="1317">
        <f>'RENTAL ANALYSIS'!AY33</f>
        <v>0</v>
      </c>
      <c r="S200" s="1317">
        <f>'RENTAL ANALYSIS'!AZ33</f>
        <v>0</v>
      </c>
      <c r="T200" s="1317">
        <f>'RENTAL ANALYSIS'!BA33</f>
        <v>0</v>
      </c>
      <c r="U200" s="1317">
        <f>'RENTAL ANALYSIS'!BB33</f>
        <v>0</v>
      </c>
      <c r="V200" s="1288"/>
      <c r="W200" s="1288"/>
      <c r="X200" s="1288"/>
      <c r="Y200" s="1288"/>
      <c r="Z200" s="1288"/>
      <c r="AA200" s="1288"/>
      <c r="AB200" s="1288"/>
    </row>
    <row r="201" spans="1:28" ht="17.100000000000001" customHeight="1">
      <c r="A201" s="1288"/>
      <c r="B201" s="1288"/>
      <c r="C201" s="1288"/>
      <c r="D201" s="1288"/>
      <c r="E201" s="1288"/>
      <c r="F201" s="1288"/>
      <c r="G201" s="4156" t="str">
        <f>T('RENTAL ANALYSIS'!D34:M34)</f>
        <v>HOA Dues:</v>
      </c>
      <c r="H201" s="3398"/>
      <c r="I201" s="3398"/>
      <c r="J201" s="3398"/>
      <c r="K201" s="3399"/>
      <c r="L201" s="1317">
        <f>'RENTAL ANALYSIS'!AS34</f>
        <v>0</v>
      </c>
      <c r="M201" s="1317">
        <f>'RENTAL ANALYSIS'!AT34</f>
        <v>0</v>
      </c>
      <c r="N201" s="1317">
        <f>'RENTAL ANALYSIS'!AU34</f>
        <v>0</v>
      </c>
      <c r="O201" s="1317">
        <f>'RENTAL ANALYSIS'!AV34</f>
        <v>0</v>
      </c>
      <c r="P201" s="1317">
        <f>'RENTAL ANALYSIS'!AW34</f>
        <v>0</v>
      </c>
      <c r="Q201" s="1317">
        <f>'RENTAL ANALYSIS'!AX34</f>
        <v>0</v>
      </c>
      <c r="R201" s="1317">
        <f>'RENTAL ANALYSIS'!AY34</f>
        <v>0</v>
      </c>
      <c r="S201" s="1317">
        <f>'RENTAL ANALYSIS'!AZ34</f>
        <v>0</v>
      </c>
      <c r="T201" s="1317">
        <f>'RENTAL ANALYSIS'!BA34</f>
        <v>0</v>
      </c>
      <c r="U201" s="1317">
        <f>'RENTAL ANALYSIS'!BB34</f>
        <v>0</v>
      </c>
      <c r="V201" s="1288"/>
      <c r="W201" s="1288"/>
      <c r="X201" s="1288"/>
      <c r="Y201" s="1288"/>
      <c r="Z201" s="1288"/>
      <c r="AA201" s="1288"/>
      <c r="AB201" s="1288"/>
    </row>
    <row r="202" spans="1:28" ht="17.100000000000001" customHeight="1">
      <c r="A202" s="1288"/>
      <c r="B202" s="1288"/>
      <c r="C202" s="1288"/>
      <c r="D202" s="1288"/>
      <c r="E202" s="1288"/>
      <c r="F202" s="1288"/>
      <c r="G202" s="4156" t="str">
        <f>T('RENTAL ANALYSIS'!D35:M35)</f>
        <v>Lawn and Groundskeeping:</v>
      </c>
      <c r="H202" s="3398"/>
      <c r="I202" s="3398"/>
      <c r="J202" s="3398"/>
      <c r="K202" s="3399"/>
      <c r="L202" s="1317">
        <f>'RENTAL ANALYSIS'!AS35</f>
        <v>0</v>
      </c>
      <c r="M202" s="1317">
        <f>'RENTAL ANALYSIS'!AT35</f>
        <v>0</v>
      </c>
      <c r="N202" s="1317">
        <f>'RENTAL ANALYSIS'!AU35</f>
        <v>0</v>
      </c>
      <c r="O202" s="1317">
        <f>'RENTAL ANALYSIS'!AV35</f>
        <v>0</v>
      </c>
      <c r="P202" s="1317">
        <f>'RENTAL ANALYSIS'!AW35</f>
        <v>0</v>
      </c>
      <c r="Q202" s="1317">
        <f>'RENTAL ANALYSIS'!AX35</f>
        <v>0</v>
      </c>
      <c r="R202" s="1317">
        <f>'RENTAL ANALYSIS'!AY35</f>
        <v>0</v>
      </c>
      <c r="S202" s="1317">
        <f>'RENTAL ANALYSIS'!AZ35</f>
        <v>0</v>
      </c>
      <c r="T202" s="1317">
        <f>'RENTAL ANALYSIS'!BA35</f>
        <v>0</v>
      </c>
      <c r="U202" s="1317">
        <f>'RENTAL ANALYSIS'!BB35</f>
        <v>0</v>
      </c>
      <c r="V202" s="1288"/>
      <c r="W202" s="1288"/>
      <c r="X202" s="1288"/>
      <c r="Y202" s="1288"/>
      <c r="Z202" s="1288"/>
      <c r="AA202" s="1288"/>
      <c r="AB202" s="1288"/>
    </row>
    <row r="203" spans="1:28" ht="17.100000000000001" customHeight="1">
      <c r="A203" s="1288"/>
      <c r="B203" s="1288"/>
      <c r="C203" s="1288"/>
      <c r="D203" s="1288"/>
      <c r="E203" s="1288"/>
      <c r="F203" s="1288"/>
      <c r="G203" s="4156" t="str">
        <f>T('RENTAL ANALYSIS'!D36:M36)</f>
        <v>Auto and Travel:</v>
      </c>
      <c r="H203" s="3398"/>
      <c r="I203" s="3398"/>
      <c r="J203" s="3398"/>
      <c r="K203" s="3399"/>
      <c r="L203" s="1317">
        <f>'RENTAL ANALYSIS'!AS36</f>
        <v>0</v>
      </c>
      <c r="M203" s="1317">
        <f>'RENTAL ANALYSIS'!AT36</f>
        <v>0</v>
      </c>
      <c r="N203" s="1317">
        <f>'RENTAL ANALYSIS'!AU36</f>
        <v>0</v>
      </c>
      <c r="O203" s="1317">
        <f>'RENTAL ANALYSIS'!AV36</f>
        <v>0</v>
      </c>
      <c r="P203" s="1317">
        <f>'RENTAL ANALYSIS'!AW36</f>
        <v>0</v>
      </c>
      <c r="Q203" s="1317">
        <f>'RENTAL ANALYSIS'!AX36</f>
        <v>0</v>
      </c>
      <c r="R203" s="1317">
        <f>'RENTAL ANALYSIS'!AY36</f>
        <v>0</v>
      </c>
      <c r="S203" s="1317">
        <f>'RENTAL ANALYSIS'!AZ36</f>
        <v>0</v>
      </c>
      <c r="T203" s="1317">
        <f>'RENTAL ANALYSIS'!BA36</f>
        <v>0</v>
      </c>
      <c r="U203" s="1317">
        <f>'RENTAL ANALYSIS'!BB36</f>
        <v>0</v>
      </c>
      <c r="V203" s="1288"/>
      <c r="W203" s="1288"/>
      <c r="X203" s="1288"/>
      <c r="Y203" s="1288"/>
      <c r="Z203" s="1288"/>
      <c r="AA203" s="1288"/>
      <c r="AB203" s="1288"/>
    </row>
    <row r="204" spans="1:28" ht="17.100000000000001" customHeight="1">
      <c r="A204" s="1288"/>
      <c r="B204" s="1288"/>
      <c r="C204" s="1288"/>
      <c r="D204" s="1288"/>
      <c r="E204" s="1288"/>
      <c r="F204" s="1288"/>
      <c r="G204" s="4156" t="str">
        <f>T('RENTAL ANALYSIS'!D37:M37)</f>
        <v>Electrical Utilities:</v>
      </c>
      <c r="H204" s="3398"/>
      <c r="I204" s="3398"/>
      <c r="J204" s="3398"/>
      <c r="K204" s="3399"/>
      <c r="L204" s="1317">
        <f>'RENTAL ANALYSIS'!AS37</f>
        <v>0</v>
      </c>
      <c r="M204" s="1317">
        <f>'RENTAL ANALYSIS'!AT37</f>
        <v>0</v>
      </c>
      <c r="N204" s="1317">
        <f>'RENTAL ANALYSIS'!AU37</f>
        <v>0</v>
      </c>
      <c r="O204" s="1317">
        <f>'RENTAL ANALYSIS'!AV37</f>
        <v>0</v>
      </c>
      <c r="P204" s="1317">
        <f>'RENTAL ANALYSIS'!AW37</f>
        <v>0</v>
      </c>
      <c r="Q204" s="1317">
        <f>'RENTAL ANALYSIS'!AX37</f>
        <v>0</v>
      </c>
      <c r="R204" s="1317">
        <f>'RENTAL ANALYSIS'!AY37</f>
        <v>0</v>
      </c>
      <c r="S204" s="1317">
        <f>'RENTAL ANALYSIS'!AZ37</f>
        <v>0</v>
      </c>
      <c r="T204" s="1317">
        <f>'RENTAL ANALYSIS'!BA37</f>
        <v>0</v>
      </c>
      <c r="U204" s="1317">
        <f>'RENTAL ANALYSIS'!BB37</f>
        <v>0</v>
      </c>
      <c r="V204" s="1288"/>
      <c r="W204" s="1288"/>
      <c r="X204" s="1288"/>
      <c r="Y204" s="1288"/>
      <c r="Z204" s="1288"/>
      <c r="AA204" s="1288"/>
      <c r="AB204" s="1288"/>
    </row>
    <row r="205" spans="1:28" ht="17.100000000000001" customHeight="1">
      <c r="A205" s="1288"/>
      <c r="B205" s="1288"/>
      <c r="C205" s="1288"/>
      <c r="D205" s="1288"/>
      <c r="E205" s="1288"/>
      <c r="F205" s="1288"/>
      <c r="G205" s="4156" t="str">
        <f>T('RENTAL ANALYSIS'!D38:M38)</f>
        <v>Water Utilities:</v>
      </c>
      <c r="H205" s="3398"/>
      <c r="I205" s="3398"/>
      <c r="J205" s="3398"/>
      <c r="K205" s="3399"/>
      <c r="L205" s="1317">
        <f>'RENTAL ANALYSIS'!AS38</f>
        <v>0</v>
      </c>
      <c r="M205" s="1317">
        <f>'RENTAL ANALYSIS'!AT38</f>
        <v>0</v>
      </c>
      <c r="N205" s="1317">
        <f>'RENTAL ANALYSIS'!AU38</f>
        <v>0</v>
      </c>
      <c r="O205" s="1317">
        <f>'RENTAL ANALYSIS'!AV38</f>
        <v>0</v>
      </c>
      <c r="P205" s="1317">
        <f>'RENTAL ANALYSIS'!AW38</f>
        <v>0</v>
      </c>
      <c r="Q205" s="1317">
        <f>'RENTAL ANALYSIS'!AX38</f>
        <v>0</v>
      </c>
      <c r="R205" s="1317">
        <f>'RENTAL ANALYSIS'!AY38</f>
        <v>0</v>
      </c>
      <c r="S205" s="1317">
        <f>'RENTAL ANALYSIS'!AZ38</f>
        <v>0</v>
      </c>
      <c r="T205" s="1317">
        <f>'RENTAL ANALYSIS'!BA38</f>
        <v>0</v>
      </c>
      <c r="U205" s="1317">
        <f>'RENTAL ANALYSIS'!BB38</f>
        <v>0</v>
      </c>
      <c r="V205" s="1288"/>
      <c r="W205" s="1288"/>
      <c r="X205" s="1288"/>
      <c r="Y205" s="1288"/>
      <c r="Z205" s="1288"/>
      <c r="AA205" s="1288"/>
      <c r="AB205" s="1288"/>
    </row>
    <row r="206" spans="1:28" ht="17.100000000000001" customHeight="1">
      <c r="A206" s="1288"/>
      <c r="B206" s="1288"/>
      <c r="C206" s="1288"/>
      <c r="D206" s="1288"/>
      <c r="E206" s="1288"/>
      <c r="F206" s="1288"/>
      <c r="G206" s="4156" t="str">
        <f>T('RENTAL ANALYSIS'!D39:M39)</f>
        <v>Gas Utilities:</v>
      </c>
      <c r="H206" s="3398"/>
      <c r="I206" s="3398"/>
      <c r="J206" s="3398"/>
      <c r="K206" s="3399"/>
      <c r="L206" s="1317">
        <f>'RENTAL ANALYSIS'!AS39</f>
        <v>0</v>
      </c>
      <c r="M206" s="1317">
        <f>'RENTAL ANALYSIS'!AT39</f>
        <v>0</v>
      </c>
      <c r="N206" s="1317">
        <f>'RENTAL ANALYSIS'!AU39</f>
        <v>0</v>
      </c>
      <c r="O206" s="1317">
        <f>'RENTAL ANALYSIS'!AV39</f>
        <v>0</v>
      </c>
      <c r="P206" s="1317">
        <f>'RENTAL ANALYSIS'!AW39</f>
        <v>0</v>
      </c>
      <c r="Q206" s="1317">
        <f>'RENTAL ANALYSIS'!AX39</f>
        <v>0</v>
      </c>
      <c r="R206" s="1317">
        <f>'RENTAL ANALYSIS'!AY39</f>
        <v>0</v>
      </c>
      <c r="S206" s="1317">
        <f>'RENTAL ANALYSIS'!AZ39</f>
        <v>0</v>
      </c>
      <c r="T206" s="1317">
        <f>'RENTAL ANALYSIS'!BA39</f>
        <v>0</v>
      </c>
      <c r="U206" s="1317">
        <f>'RENTAL ANALYSIS'!BB39</f>
        <v>0</v>
      </c>
      <c r="V206" s="1288"/>
      <c r="W206" s="1288"/>
      <c r="X206" s="1288"/>
      <c r="Y206" s="1288"/>
      <c r="Z206" s="1288"/>
      <c r="AA206" s="1288"/>
      <c r="AB206" s="1288"/>
    </row>
    <row r="207" spans="1:28" ht="17.100000000000001" customHeight="1">
      <c r="A207" s="1288"/>
      <c r="B207" s="1288"/>
      <c r="C207" s="1288"/>
      <c r="D207" s="1288"/>
      <c r="E207" s="1288"/>
      <c r="F207" s="1288"/>
      <c r="G207" s="4156" t="str">
        <f>T('RENTAL ANALYSIS'!D40:M40)</f>
        <v>Garbage:</v>
      </c>
      <c r="H207" s="3398"/>
      <c r="I207" s="3398"/>
      <c r="J207" s="3398"/>
      <c r="K207" s="3399"/>
      <c r="L207" s="1317">
        <f>'RENTAL ANALYSIS'!AS40</f>
        <v>0</v>
      </c>
      <c r="M207" s="1317">
        <f>'RENTAL ANALYSIS'!AT40</f>
        <v>0</v>
      </c>
      <c r="N207" s="1317">
        <f>'RENTAL ANALYSIS'!AU40</f>
        <v>0</v>
      </c>
      <c r="O207" s="1317">
        <f>'RENTAL ANALYSIS'!AV40</f>
        <v>0</v>
      </c>
      <c r="P207" s="1317">
        <f>'RENTAL ANALYSIS'!AW40</f>
        <v>0</v>
      </c>
      <c r="Q207" s="1317">
        <f>'RENTAL ANALYSIS'!AX40</f>
        <v>0</v>
      </c>
      <c r="R207" s="1317">
        <f>'RENTAL ANALYSIS'!AY40</f>
        <v>0</v>
      </c>
      <c r="S207" s="1317">
        <f>'RENTAL ANALYSIS'!AZ40</f>
        <v>0</v>
      </c>
      <c r="T207" s="1317">
        <f>'RENTAL ANALYSIS'!BA40</f>
        <v>0</v>
      </c>
      <c r="U207" s="1317">
        <f>'RENTAL ANALYSIS'!BB40</f>
        <v>0</v>
      </c>
      <c r="V207" s="1288"/>
      <c r="W207" s="1288"/>
      <c r="X207" s="1288"/>
      <c r="Y207" s="1288"/>
      <c r="Z207" s="1288"/>
      <c r="AA207" s="1288"/>
      <c r="AB207" s="1288"/>
    </row>
    <row r="208" spans="1:28" ht="17.100000000000001" customHeight="1">
      <c r="A208" s="1288"/>
      <c r="B208" s="1288"/>
      <c r="C208" s="1288"/>
      <c r="D208" s="1288"/>
      <c r="E208" s="1288"/>
      <c r="F208" s="1288"/>
      <c r="G208" s="4156" t="str">
        <f>T('RENTAL ANALYSIS'!D41:M41)</f>
        <v>Advertising:</v>
      </c>
      <c r="H208" s="3398"/>
      <c r="I208" s="3398"/>
      <c r="J208" s="3398"/>
      <c r="K208" s="3399"/>
      <c r="L208" s="1317">
        <f>'RENTAL ANALYSIS'!AS41</f>
        <v>0</v>
      </c>
      <c r="M208" s="1317">
        <f>'RENTAL ANALYSIS'!AT41</f>
        <v>0</v>
      </c>
      <c r="N208" s="1317">
        <f>'RENTAL ANALYSIS'!AU41</f>
        <v>0</v>
      </c>
      <c r="O208" s="1317">
        <f>'RENTAL ANALYSIS'!AV41</f>
        <v>0</v>
      </c>
      <c r="P208" s="1317">
        <f>'RENTAL ANALYSIS'!AW41</f>
        <v>0</v>
      </c>
      <c r="Q208" s="1317">
        <f>'RENTAL ANALYSIS'!AX41</f>
        <v>0</v>
      </c>
      <c r="R208" s="1317">
        <f>'RENTAL ANALYSIS'!AY41</f>
        <v>0</v>
      </c>
      <c r="S208" s="1317">
        <f>'RENTAL ANALYSIS'!AZ41</f>
        <v>0</v>
      </c>
      <c r="T208" s="1317">
        <f>'RENTAL ANALYSIS'!BA41</f>
        <v>0</v>
      </c>
      <c r="U208" s="1317">
        <f>'RENTAL ANALYSIS'!BB41</f>
        <v>0</v>
      </c>
      <c r="V208" s="1288"/>
      <c r="W208" s="1288"/>
      <c r="X208" s="1288"/>
      <c r="Y208" s="1288"/>
      <c r="Z208" s="1288"/>
      <c r="AA208" s="1288"/>
      <c r="AB208" s="1288"/>
    </row>
    <row r="209" spans="1:28" ht="17.100000000000001" customHeight="1">
      <c r="A209" s="1288"/>
      <c r="B209" s="1288"/>
      <c r="C209" s="1288"/>
      <c r="D209" s="1288"/>
      <c r="E209" s="1288"/>
      <c r="F209" s="1288"/>
      <c r="G209" s="4156" t="str">
        <f>T('RENTAL ANALYSIS'!D42:M42)</f>
        <v>Accounting &amp; Legal:</v>
      </c>
      <c r="H209" s="3398"/>
      <c r="I209" s="3398"/>
      <c r="J209" s="3398"/>
      <c r="K209" s="3399"/>
      <c r="L209" s="1317">
        <f>'RENTAL ANALYSIS'!AS42</f>
        <v>0</v>
      </c>
      <c r="M209" s="1317">
        <f>'RENTAL ANALYSIS'!AT42</f>
        <v>0</v>
      </c>
      <c r="N209" s="1317">
        <f>'RENTAL ANALYSIS'!AU42</f>
        <v>0</v>
      </c>
      <c r="O209" s="1317">
        <f>'RENTAL ANALYSIS'!AV42</f>
        <v>0</v>
      </c>
      <c r="P209" s="1317">
        <f>'RENTAL ANALYSIS'!AW42</f>
        <v>0</v>
      </c>
      <c r="Q209" s="1317">
        <f>'RENTAL ANALYSIS'!AX42</f>
        <v>0</v>
      </c>
      <c r="R209" s="1317">
        <f>'RENTAL ANALYSIS'!AY42</f>
        <v>0</v>
      </c>
      <c r="S209" s="1317">
        <f>'RENTAL ANALYSIS'!AZ42</f>
        <v>0</v>
      </c>
      <c r="T209" s="1317">
        <f>'RENTAL ANALYSIS'!BA42</f>
        <v>0</v>
      </c>
      <c r="U209" s="1317">
        <f>'RENTAL ANALYSIS'!BB42</f>
        <v>0</v>
      </c>
      <c r="V209" s="1288"/>
      <c r="W209" s="1288"/>
      <c r="X209" s="1288"/>
      <c r="Y209" s="1288"/>
      <c r="Z209" s="1288"/>
      <c r="AA209" s="1288"/>
      <c r="AB209" s="1288"/>
    </row>
    <row r="210" spans="1:28" ht="17.100000000000001" customHeight="1">
      <c r="A210" s="1288"/>
      <c r="B210" s="1288"/>
      <c r="C210" s="1288"/>
      <c r="D210" s="1288"/>
      <c r="E210" s="1288"/>
      <c r="F210" s="1288"/>
      <c r="G210" s="4156" t="str">
        <f>T('RENTAL ANALYSIS'!D43:M43)</f>
        <v>Other 1:</v>
      </c>
      <c r="H210" s="3398"/>
      <c r="I210" s="3398"/>
      <c r="J210" s="3398"/>
      <c r="K210" s="3399"/>
      <c r="L210" s="1317">
        <f>'RENTAL ANALYSIS'!AS43</f>
        <v>0</v>
      </c>
      <c r="M210" s="1317">
        <f>'RENTAL ANALYSIS'!AT43</f>
        <v>0</v>
      </c>
      <c r="N210" s="1317">
        <f>'RENTAL ANALYSIS'!AU43</f>
        <v>0</v>
      </c>
      <c r="O210" s="1317">
        <f>'RENTAL ANALYSIS'!AV43</f>
        <v>0</v>
      </c>
      <c r="P210" s="1317">
        <f>'RENTAL ANALYSIS'!AW43</f>
        <v>0</v>
      </c>
      <c r="Q210" s="1317">
        <f>'RENTAL ANALYSIS'!AX43</f>
        <v>0</v>
      </c>
      <c r="R210" s="1317">
        <f>'RENTAL ANALYSIS'!AY43</f>
        <v>0</v>
      </c>
      <c r="S210" s="1317">
        <f>'RENTAL ANALYSIS'!AZ43</f>
        <v>0</v>
      </c>
      <c r="T210" s="1317">
        <f>'RENTAL ANALYSIS'!BA43</f>
        <v>0</v>
      </c>
      <c r="U210" s="1317">
        <f>'RENTAL ANALYSIS'!BB43</f>
        <v>0</v>
      </c>
      <c r="V210" s="1288"/>
      <c r="W210" s="1288"/>
      <c r="X210" s="1288"/>
      <c r="Y210" s="1288"/>
      <c r="Z210" s="1288"/>
      <c r="AA210" s="1288"/>
      <c r="AB210" s="1288"/>
    </row>
    <row r="211" spans="1:28" ht="17.100000000000001" customHeight="1">
      <c r="A211" s="1288"/>
      <c r="B211" s="1288"/>
      <c r="C211" s="1288"/>
      <c r="D211" s="1288"/>
      <c r="E211" s="1288"/>
      <c r="F211" s="1288"/>
      <c r="G211" s="4156" t="str">
        <f>T('RENTAL ANALYSIS'!D44:M44)</f>
        <v>Other 2:</v>
      </c>
      <c r="H211" s="3398"/>
      <c r="I211" s="3398"/>
      <c r="J211" s="3398"/>
      <c r="K211" s="3399"/>
      <c r="L211" s="1317">
        <f>'RENTAL ANALYSIS'!AS44</f>
        <v>0</v>
      </c>
      <c r="M211" s="1317">
        <f>'RENTAL ANALYSIS'!AT44</f>
        <v>0</v>
      </c>
      <c r="N211" s="1317">
        <f>'RENTAL ANALYSIS'!AU44</f>
        <v>0</v>
      </c>
      <c r="O211" s="1317">
        <f>'RENTAL ANALYSIS'!AV44</f>
        <v>0</v>
      </c>
      <c r="P211" s="1317">
        <f>'RENTAL ANALYSIS'!AW44</f>
        <v>0</v>
      </c>
      <c r="Q211" s="1317">
        <f>'RENTAL ANALYSIS'!AX44</f>
        <v>0</v>
      </c>
      <c r="R211" s="1317">
        <f>'RENTAL ANALYSIS'!AY44</f>
        <v>0</v>
      </c>
      <c r="S211" s="1317">
        <f>'RENTAL ANALYSIS'!AZ44</f>
        <v>0</v>
      </c>
      <c r="T211" s="1317">
        <f>'RENTAL ANALYSIS'!BA44</f>
        <v>0</v>
      </c>
      <c r="U211" s="1317">
        <f>'RENTAL ANALYSIS'!BB44</f>
        <v>0</v>
      </c>
      <c r="V211" s="1288"/>
      <c r="W211" s="1288"/>
      <c r="X211" s="1288"/>
      <c r="Y211" s="1288"/>
      <c r="Z211" s="1288"/>
      <c r="AA211" s="1288"/>
      <c r="AB211" s="1288"/>
    </row>
    <row r="212" spans="1:28" ht="17.100000000000001" customHeight="1">
      <c r="A212" s="1288"/>
      <c r="B212" s="1288"/>
      <c r="C212" s="1288"/>
      <c r="D212" s="1288"/>
      <c r="E212" s="1288"/>
      <c r="F212" s="1288"/>
      <c r="G212" s="4156" t="str">
        <f>T('RENTAL ANALYSIS'!D45:M45)</f>
        <v>Property Management:</v>
      </c>
      <c r="H212" s="3398"/>
      <c r="I212" s="3398"/>
      <c r="J212" s="3398"/>
      <c r="K212" s="3399"/>
      <c r="L212" s="1317">
        <f>'RENTAL ANALYSIS'!AS45</f>
        <v>0</v>
      </c>
      <c r="M212" s="1317">
        <f>'RENTAL ANALYSIS'!AT45</f>
        <v>0</v>
      </c>
      <c r="N212" s="1317">
        <f>'RENTAL ANALYSIS'!AU45</f>
        <v>0</v>
      </c>
      <c r="O212" s="1317">
        <f>'RENTAL ANALYSIS'!AV45</f>
        <v>0</v>
      </c>
      <c r="P212" s="1317">
        <f>'RENTAL ANALYSIS'!AW45</f>
        <v>0</v>
      </c>
      <c r="Q212" s="1317">
        <f>'RENTAL ANALYSIS'!AX45</f>
        <v>0</v>
      </c>
      <c r="R212" s="1317">
        <f>'RENTAL ANALYSIS'!AY45</f>
        <v>0</v>
      </c>
      <c r="S212" s="1317">
        <f>'RENTAL ANALYSIS'!AZ45</f>
        <v>0</v>
      </c>
      <c r="T212" s="1317">
        <f>'RENTAL ANALYSIS'!BA45</f>
        <v>0</v>
      </c>
      <c r="U212" s="1317">
        <f>'RENTAL ANALYSIS'!BB45</f>
        <v>0</v>
      </c>
      <c r="V212" s="1288"/>
      <c r="W212" s="1288"/>
      <c r="X212" s="1288"/>
      <c r="Y212" s="1288"/>
      <c r="Z212" s="1288"/>
      <c r="AA212" s="1288"/>
      <c r="AB212" s="1288"/>
    </row>
    <row r="213" spans="1:28" ht="17.100000000000001" customHeight="1">
      <c r="A213" s="1288"/>
      <c r="B213" s="1288"/>
      <c r="C213" s="1288"/>
      <c r="D213" s="1288"/>
      <c r="E213" s="1288"/>
      <c r="F213" s="1288"/>
      <c r="G213" s="4156" t="str">
        <f>T('RENTAL ANALYSIS'!D46:M46)</f>
        <v>Repairs:</v>
      </c>
      <c r="H213" s="3398"/>
      <c r="I213" s="3398"/>
      <c r="J213" s="3398"/>
      <c r="K213" s="3399"/>
      <c r="L213" s="1317">
        <f>'RENTAL ANALYSIS'!AS46</f>
        <v>0</v>
      </c>
      <c r="M213" s="1317">
        <f>'RENTAL ANALYSIS'!AT46</f>
        <v>0</v>
      </c>
      <c r="N213" s="1317">
        <f>'RENTAL ANALYSIS'!AU46</f>
        <v>0</v>
      </c>
      <c r="O213" s="1317">
        <f>'RENTAL ANALYSIS'!AV46</f>
        <v>0</v>
      </c>
      <c r="P213" s="1317">
        <f>'RENTAL ANALYSIS'!AW46</f>
        <v>0</v>
      </c>
      <c r="Q213" s="1317">
        <f>'RENTAL ANALYSIS'!AX46</f>
        <v>0</v>
      </c>
      <c r="R213" s="1317">
        <f>'RENTAL ANALYSIS'!AY46</f>
        <v>0</v>
      </c>
      <c r="S213" s="1317">
        <f>'RENTAL ANALYSIS'!AZ46</f>
        <v>0</v>
      </c>
      <c r="T213" s="1317">
        <f>'RENTAL ANALYSIS'!BA46</f>
        <v>0</v>
      </c>
      <c r="U213" s="1317">
        <f>'RENTAL ANALYSIS'!BB46</f>
        <v>0</v>
      </c>
      <c r="V213" s="1288"/>
      <c r="W213" s="1288"/>
      <c r="X213" s="1288"/>
      <c r="Y213" s="1288"/>
      <c r="Z213" s="1288"/>
      <c r="AA213" s="1288"/>
      <c r="AB213" s="1288"/>
    </row>
    <row r="214" spans="1:28" ht="17.100000000000001" customHeight="1" thickBot="1">
      <c r="A214" s="1288"/>
      <c r="B214" s="1288"/>
      <c r="C214" s="1288"/>
      <c r="D214" s="1288"/>
      <c r="E214" s="1288"/>
      <c r="F214" s="1288"/>
      <c r="G214" s="4159" t="str">
        <f>T('RENTAL ANALYSIS'!D47:M47)</f>
        <v>Cap Ex:</v>
      </c>
      <c r="H214" s="4160"/>
      <c r="I214" s="4160"/>
      <c r="J214" s="4160"/>
      <c r="K214" s="4161"/>
      <c r="L214" s="1319">
        <f>'RENTAL ANALYSIS'!AS47</f>
        <v>0</v>
      </c>
      <c r="M214" s="1319">
        <f>'RENTAL ANALYSIS'!AT47</f>
        <v>0</v>
      </c>
      <c r="N214" s="1319">
        <f>'RENTAL ANALYSIS'!AU47</f>
        <v>0</v>
      </c>
      <c r="O214" s="1319">
        <f>'RENTAL ANALYSIS'!AV47</f>
        <v>0</v>
      </c>
      <c r="P214" s="1319">
        <f>'RENTAL ANALYSIS'!AW47</f>
        <v>0</v>
      </c>
      <c r="Q214" s="1319">
        <f>'RENTAL ANALYSIS'!AX47</f>
        <v>0</v>
      </c>
      <c r="R214" s="1319">
        <f>'RENTAL ANALYSIS'!AY47</f>
        <v>0</v>
      </c>
      <c r="S214" s="1319">
        <f>'RENTAL ANALYSIS'!AZ47</f>
        <v>0</v>
      </c>
      <c r="T214" s="1319">
        <f>'RENTAL ANALYSIS'!BA47</f>
        <v>0</v>
      </c>
      <c r="U214" s="1319">
        <f>'RENTAL ANALYSIS'!BB47</f>
        <v>0</v>
      </c>
      <c r="V214" s="1288"/>
      <c r="W214" s="1288"/>
      <c r="X214" s="1288"/>
      <c r="Y214" s="1288"/>
      <c r="Z214" s="1288"/>
      <c r="AA214" s="1288"/>
      <c r="AB214" s="1288"/>
    </row>
    <row r="215" spans="1:28" ht="17.100000000000001" customHeight="1" thickBot="1">
      <c r="A215" s="1288"/>
      <c r="B215" s="1288"/>
      <c r="C215" s="1288"/>
      <c r="D215" s="1288"/>
      <c r="E215" s="1288"/>
      <c r="F215" s="1288"/>
      <c r="G215" s="4153" t="s">
        <v>596</v>
      </c>
      <c r="H215" s="4154"/>
      <c r="I215" s="4154"/>
      <c r="J215" s="4154"/>
      <c r="K215" s="4155"/>
      <c r="L215" s="1320">
        <f>'RENTAL ANALYSIS'!AS48</f>
        <v>0</v>
      </c>
      <c r="M215" s="1321">
        <f>'RENTAL ANALYSIS'!AT48</f>
        <v>0</v>
      </c>
      <c r="N215" s="1321">
        <f>'RENTAL ANALYSIS'!AU48</f>
        <v>0</v>
      </c>
      <c r="O215" s="1321">
        <f>'RENTAL ANALYSIS'!AV48</f>
        <v>0</v>
      </c>
      <c r="P215" s="1321">
        <f>'RENTAL ANALYSIS'!AW48</f>
        <v>0</v>
      </c>
      <c r="Q215" s="1321">
        <f>'RENTAL ANALYSIS'!AX48</f>
        <v>0</v>
      </c>
      <c r="R215" s="1321">
        <f>'RENTAL ANALYSIS'!AY48</f>
        <v>0</v>
      </c>
      <c r="S215" s="1321">
        <f>'RENTAL ANALYSIS'!AZ48</f>
        <v>0</v>
      </c>
      <c r="T215" s="1321">
        <f>'RENTAL ANALYSIS'!BA48</f>
        <v>0</v>
      </c>
      <c r="U215" s="1322">
        <f>'RENTAL ANALYSIS'!BB48</f>
        <v>0</v>
      </c>
      <c r="V215" s="1288"/>
      <c r="W215" s="1288"/>
      <c r="X215" s="1288"/>
      <c r="Y215" s="1288"/>
      <c r="Z215" s="1288"/>
      <c r="AA215" s="1288"/>
      <c r="AB215" s="1288"/>
    </row>
    <row r="216" spans="1:28" ht="17.100000000000001" customHeight="1" thickBot="1">
      <c r="A216" s="1288"/>
      <c r="B216" s="1288"/>
      <c r="C216" s="1288"/>
      <c r="D216" s="1288"/>
      <c r="E216" s="1288"/>
      <c r="F216" s="1288"/>
      <c r="G216" s="4152"/>
      <c r="H216" s="3083"/>
      <c r="I216" s="3083"/>
      <c r="J216" s="3083"/>
      <c r="K216" s="1323"/>
      <c r="L216" s="1324"/>
      <c r="M216" s="1324"/>
      <c r="N216" s="1324"/>
      <c r="O216" s="1324"/>
      <c r="P216" s="1324"/>
      <c r="Q216" s="1324"/>
      <c r="R216" s="1324"/>
      <c r="S216" s="1324"/>
      <c r="T216" s="1324"/>
      <c r="U216" s="1324"/>
      <c r="V216" s="1288"/>
      <c r="W216" s="1288"/>
      <c r="X216" s="1288"/>
      <c r="Y216" s="1288"/>
      <c r="Z216" s="1288"/>
      <c r="AA216" s="1288"/>
      <c r="AB216" s="1288"/>
    </row>
    <row r="217" spans="1:28" ht="17.100000000000001" customHeight="1" thickBot="1">
      <c r="A217" s="1288"/>
      <c r="B217" s="1288"/>
      <c r="C217" s="1288"/>
      <c r="D217" s="1288"/>
      <c r="E217" s="1288"/>
      <c r="F217" s="1288"/>
      <c r="G217" s="4153" t="s">
        <v>597</v>
      </c>
      <c r="H217" s="4154"/>
      <c r="I217" s="4154"/>
      <c r="J217" s="4154"/>
      <c r="K217" s="4154"/>
      <c r="L217" s="1320">
        <f>'RENTAL ANALYSIS'!AS50</f>
        <v>0</v>
      </c>
      <c r="M217" s="1321">
        <f>'RENTAL ANALYSIS'!AT50</f>
        <v>0</v>
      </c>
      <c r="N217" s="1321">
        <f>'RENTAL ANALYSIS'!AU50</f>
        <v>0</v>
      </c>
      <c r="O217" s="1321">
        <f>'RENTAL ANALYSIS'!AV50</f>
        <v>0</v>
      </c>
      <c r="P217" s="1321">
        <f>'RENTAL ANALYSIS'!AW50</f>
        <v>0</v>
      </c>
      <c r="Q217" s="1321">
        <f>'RENTAL ANALYSIS'!AX50</f>
        <v>0</v>
      </c>
      <c r="R217" s="1321">
        <f>'RENTAL ANALYSIS'!AY50</f>
        <v>0</v>
      </c>
      <c r="S217" s="1321">
        <f>'RENTAL ANALYSIS'!AZ50</f>
        <v>0</v>
      </c>
      <c r="T217" s="1321">
        <f>'RENTAL ANALYSIS'!BA50</f>
        <v>0</v>
      </c>
      <c r="U217" s="1322">
        <f>'RENTAL ANALYSIS'!BB50</f>
        <v>0</v>
      </c>
      <c r="V217" s="1288"/>
      <c r="W217" s="1288"/>
      <c r="X217" s="1288"/>
      <c r="Y217" s="1288"/>
      <c r="Z217" s="1288"/>
      <c r="AA217" s="1288"/>
      <c r="AB217" s="1288"/>
    </row>
    <row r="218" spans="1:28" ht="17.100000000000001" customHeight="1">
      <c r="A218" s="1288"/>
      <c r="B218" s="1288"/>
      <c r="C218" s="1288"/>
      <c r="D218" s="1288"/>
      <c r="E218" s="1288"/>
      <c r="F218" s="1288"/>
      <c r="G218" s="1349"/>
      <c r="H218" s="1349"/>
      <c r="I218" s="1349"/>
      <c r="J218" s="1349"/>
      <c r="K218" s="1323"/>
      <c r="L218" s="1324"/>
      <c r="M218" s="1324"/>
      <c r="N218" s="1324"/>
      <c r="O218" s="1324"/>
      <c r="P218" s="1324"/>
      <c r="Q218" s="1324"/>
      <c r="R218" s="1324"/>
      <c r="S218" s="1324"/>
      <c r="T218" s="1324"/>
      <c r="U218" s="1324"/>
      <c r="V218" s="1288"/>
      <c r="W218" s="1288"/>
      <c r="X218" s="1288"/>
      <c r="Y218" s="1288"/>
      <c r="Z218" s="1288"/>
      <c r="AA218" s="1288"/>
      <c r="AB218" s="1288"/>
    </row>
    <row r="219" spans="1:28" ht="17.100000000000001" customHeight="1">
      <c r="A219" s="1288"/>
      <c r="B219" s="1288"/>
      <c r="C219" s="1288"/>
      <c r="D219" s="1288"/>
      <c r="E219" s="1288"/>
      <c r="F219" s="1288"/>
      <c r="G219" s="4138" t="s">
        <v>598</v>
      </c>
      <c r="H219" s="3083"/>
      <c r="I219" s="3083"/>
      <c r="J219" s="3083"/>
      <c r="K219" s="1323"/>
      <c r="L219" s="1324"/>
      <c r="M219" s="1324"/>
      <c r="N219" s="1324"/>
      <c r="O219" s="1324"/>
      <c r="P219" s="1324"/>
      <c r="Q219" s="1324"/>
      <c r="R219" s="1324"/>
      <c r="S219" s="1324"/>
      <c r="T219" s="1324"/>
      <c r="U219" s="1324"/>
      <c r="V219" s="1288"/>
      <c r="W219" s="1288"/>
      <c r="X219" s="1288"/>
      <c r="Y219" s="1288"/>
      <c r="Z219" s="1288"/>
      <c r="AA219" s="1288"/>
      <c r="AB219" s="1288"/>
    </row>
    <row r="220" spans="1:28" ht="17.100000000000001" customHeight="1">
      <c r="A220" s="1288"/>
      <c r="B220" s="1288"/>
      <c r="C220" s="1288"/>
      <c r="D220" s="1288"/>
      <c r="E220" s="1288"/>
      <c r="F220" s="1288"/>
      <c r="G220" s="4156" t="s">
        <v>869</v>
      </c>
      <c r="H220" s="3398"/>
      <c r="I220" s="3398"/>
      <c r="J220" s="3398"/>
      <c r="K220" s="3399"/>
      <c r="L220" s="1317" t="str">
        <f>'RENTAL ANALYSIS'!AS53</f>
        <v/>
      </c>
      <c r="M220" s="1317" t="str">
        <f>'RENTAL ANALYSIS'!AT53</f>
        <v/>
      </c>
      <c r="N220" s="1317" t="str">
        <f>'RENTAL ANALYSIS'!AU53</f>
        <v/>
      </c>
      <c r="O220" s="1317" t="str">
        <f>'RENTAL ANALYSIS'!AV53</f>
        <v/>
      </c>
      <c r="P220" s="1317" t="str">
        <f>'RENTAL ANALYSIS'!AW53</f>
        <v/>
      </c>
      <c r="Q220" s="1317" t="str">
        <f>'RENTAL ANALYSIS'!AX53</f>
        <v/>
      </c>
      <c r="R220" s="1317" t="str">
        <f>'RENTAL ANALYSIS'!AY53</f>
        <v/>
      </c>
      <c r="S220" s="1317" t="str">
        <f>'RENTAL ANALYSIS'!AZ53</f>
        <v/>
      </c>
      <c r="T220" s="1317" t="str">
        <f>'RENTAL ANALYSIS'!BA53</f>
        <v/>
      </c>
      <c r="U220" s="1317" t="str">
        <f>'RENTAL ANALYSIS'!BB53</f>
        <v/>
      </c>
      <c r="V220" s="1288"/>
      <c r="W220" s="1288"/>
      <c r="X220" s="1288"/>
      <c r="Y220" s="1288"/>
      <c r="Z220" s="1288"/>
      <c r="AA220" s="1288"/>
      <c r="AB220" s="1288"/>
    </row>
    <row r="221" spans="1:28" ht="17.100000000000001" customHeight="1" thickBot="1">
      <c r="A221" s="1288"/>
      <c r="B221" s="1288"/>
      <c r="C221" s="1288"/>
      <c r="D221" s="1288"/>
      <c r="E221" s="1288"/>
      <c r="F221" s="1288"/>
      <c r="G221" s="4157" t="s">
        <v>870</v>
      </c>
      <c r="H221" s="3417"/>
      <c r="I221" s="3417"/>
      <c r="J221" s="3417"/>
      <c r="K221" s="4158"/>
      <c r="L221" s="1326" t="str">
        <f>'RENTAL ANALYSIS'!AS54</f>
        <v/>
      </c>
      <c r="M221" s="1326" t="str">
        <f>'RENTAL ANALYSIS'!AT54</f>
        <v/>
      </c>
      <c r="N221" s="1326" t="str">
        <f>'RENTAL ANALYSIS'!AU54</f>
        <v/>
      </c>
      <c r="O221" s="1326" t="str">
        <f>'RENTAL ANALYSIS'!AV54</f>
        <v/>
      </c>
      <c r="P221" s="1326" t="str">
        <f>'RENTAL ANALYSIS'!AW54</f>
        <v/>
      </c>
      <c r="Q221" s="1326" t="str">
        <f>'RENTAL ANALYSIS'!AX54</f>
        <v/>
      </c>
      <c r="R221" s="1326" t="str">
        <f>'RENTAL ANALYSIS'!AY54</f>
        <v/>
      </c>
      <c r="S221" s="1326" t="str">
        <f>'RENTAL ANALYSIS'!AZ54</f>
        <v/>
      </c>
      <c r="T221" s="1326" t="str">
        <f>'RENTAL ANALYSIS'!BA54</f>
        <v/>
      </c>
      <c r="U221" s="1326" t="str">
        <f>'RENTAL ANALYSIS'!BB54</f>
        <v/>
      </c>
      <c r="V221" s="1288"/>
      <c r="W221" s="1288"/>
      <c r="X221" s="1288"/>
      <c r="Y221" s="1288"/>
      <c r="Z221" s="1288"/>
      <c r="AA221" s="1288"/>
      <c r="AB221" s="1288"/>
    </row>
    <row r="222" spans="1:28" ht="17.100000000000001" customHeight="1" thickTop="1">
      <c r="A222" s="1288"/>
      <c r="B222" s="1288"/>
      <c r="C222" s="1288"/>
      <c r="D222" s="1288"/>
      <c r="E222" s="1288"/>
      <c r="F222" s="1288"/>
      <c r="G222" s="4151" t="s">
        <v>601</v>
      </c>
      <c r="H222" s="3102"/>
      <c r="I222" s="3102"/>
      <c r="J222" s="3102"/>
      <c r="K222" s="3392"/>
      <c r="L222" s="1327">
        <f>'RENTAL ANALYSIS'!AS55</f>
        <v>0</v>
      </c>
      <c r="M222" s="1327">
        <f>'RENTAL ANALYSIS'!AT55</f>
        <v>0</v>
      </c>
      <c r="N222" s="1327">
        <f>'RENTAL ANALYSIS'!AU55</f>
        <v>0</v>
      </c>
      <c r="O222" s="1327">
        <f>'RENTAL ANALYSIS'!AV55</f>
        <v>0</v>
      </c>
      <c r="P222" s="1327">
        <f>'RENTAL ANALYSIS'!AW55</f>
        <v>0</v>
      </c>
      <c r="Q222" s="1327">
        <f>'RENTAL ANALYSIS'!AX55</f>
        <v>0</v>
      </c>
      <c r="R222" s="1327">
        <f>'RENTAL ANALYSIS'!AY55</f>
        <v>0</v>
      </c>
      <c r="S222" s="1327">
        <f>'RENTAL ANALYSIS'!AZ55</f>
        <v>0</v>
      </c>
      <c r="T222" s="1327">
        <f>'RENTAL ANALYSIS'!BA55</f>
        <v>0</v>
      </c>
      <c r="U222" s="1327">
        <f>'RENTAL ANALYSIS'!BB55</f>
        <v>0</v>
      </c>
      <c r="V222" s="1288"/>
      <c r="W222" s="1288"/>
      <c r="X222" s="1288"/>
      <c r="Y222" s="1288"/>
      <c r="Z222" s="1288"/>
      <c r="AA222" s="1288"/>
      <c r="AB222" s="1288"/>
    </row>
    <row r="223" spans="1:28" ht="17.100000000000001" customHeight="1">
      <c r="A223" s="1288"/>
      <c r="B223" s="1288"/>
      <c r="C223" s="1288"/>
      <c r="D223" s="1288"/>
      <c r="E223" s="1288"/>
      <c r="F223" s="1288"/>
      <c r="G223" s="4151" t="s">
        <v>607</v>
      </c>
      <c r="H223" s="3102"/>
      <c r="I223" s="3102"/>
      <c r="J223" s="3102"/>
      <c r="K223" s="3392"/>
      <c r="L223" s="1328" t="str">
        <f>'RENTAL ANALYSIS'!AS56</f>
        <v/>
      </c>
      <c r="M223" s="1328" t="str">
        <f>'RENTAL ANALYSIS'!AT56</f>
        <v/>
      </c>
      <c r="N223" s="1328" t="str">
        <f>'RENTAL ANALYSIS'!AU56</f>
        <v/>
      </c>
      <c r="O223" s="1328" t="str">
        <f>'RENTAL ANALYSIS'!AV56</f>
        <v/>
      </c>
      <c r="P223" s="1328" t="str">
        <f>'RENTAL ANALYSIS'!AW56</f>
        <v/>
      </c>
      <c r="Q223" s="1328" t="str">
        <f>'RENTAL ANALYSIS'!AX56</f>
        <v/>
      </c>
      <c r="R223" s="1328" t="str">
        <f>'RENTAL ANALYSIS'!AY56</f>
        <v/>
      </c>
      <c r="S223" s="1328" t="str">
        <f>'RENTAL ANALYSIS'!AZ56</f>
        <v/>
      </c>
      <c r="T223" s="1328" t="str">
        <f>'RENTAL ANALYSIS'!BA56</f>
        <v/>
      </c>
      <c r="U223" s="1328" t="str">
        <f>'RENTAL ANALYSIS'!BB56</f>
        <v/>
      </c>
      <c r="V223" s="1288"/>
      <c r="W223" s="1288"/>
      <c r="X223" s="1288"/>
      <c r="Y223" s="1288"/>
      <c r="Z223" s="1288"/>
      <c r="AA223" s="1288"/>
      <c r="AB223" s="1288"/>
    </row>
    <row r="224" spans="1:28" ht="17.100000000000001" customHeight="1" thickBot="1">
      <c r="A224" s="1288"/>
      <c r="B224" s="1288"/>
      <c r="C224" s="1288"/>
      <c r="D224" s="1288"/>
      <c r="E224" s="1288"/>
      <c r="F224" s="1288"/>
      <c r="G224" s="4152"/>
      <c r="H224" s="3083"/>
      <c r="I224" s="3083"/>
      <c r="J224" s="3083"/>
      <c r="K224" s="1323"/>
      <c r="L224" s="1324"/>
      <c r="M224" s="1324"/>
      <c r="N224" s="1324"/>
      <c r="O224" s="1324"/>
      <c r="P224" s="1324"/>
      <c r="Q224" s="1324"/>
      <c r="R224" s="1324"/>
      <c r="S224" s="1324"/>
      <c r="T224" s="1324"/>
      <c r="U224" s="1324"/>
      <c r="V224" s="1288"/>
      <c r="W224" s="1288"/>
      <c r="X224" s="1288"/>
      <c r="Y224" s="1288"/>
      <c r="Z224" s="1288"/>
      <c r="AA224" s="1288"/>
      <c r="AB224" s="1288"/>
    </row>
    <row r="225" spans="1:28" ht="17.100000000000001" customHeight="1" thickBot="1">
      <c r="A225" s="1288"/>
      <c r="B225" s="1288"/>
      <c r="C225" s="1288"/>
      <c r="D225" s="1288"/>
      <c r="E225" s="1288"/>
      <c r="F225" s="1288"/>
      <c r="G225" s="4153" t="s">
        <v>1703</v>
      </c>
      <c r="H225" s="4154"/>
      <c r="I225" s="4154"/>
      <c r="J225" s="4154"/>
      <c r="K225" s="4155"/>
      <c r="L225" s="1320">
        <f>'RENTAL ANALYSIS'!AS63</f>
        <v>0</v>
      </c>
      <c r="M225" s="1321">
        <f>'RENTAL ANALYSIS'!AT63</f>
        <v>0</v>
      </c>
      <c r="N225" s="1321">
        <f>'RENTAL ANALYSIS'!AU63</f>
        <v>0</v>
      </c>
      <c r="O225" s="1321">
        <f>'RENTAL ANALYSIS'!AV63</f>
        <v>0</v>
      </c>
      <c r="P225" s="1321">
        <f>'RENTAL ANALYSIS'!AW63</f>
        <v>0</v>
      </c>
      <c r="Q225" s="1321">
        <f>'RENTAL ANALYSIS'!AX63</f>
        <v>0</v>
      </c>
      <c r="R225" s="1321">
        <f>'RENTAL ANALYSIS'!AY63</f>
        <v>0</v>
      </c>
      <c r="S225" s="1321">
        <f>'RENTAL ANALYSIS'!AZ63</f>
        <v>0</v>
      </c>
      <c r="T225" s="1321">
        <f>'RENTAL ANALYSIS'!BA63</f>
        <v>0</v>
      </c>
      <c r="U225" s="1322">
        <f>'RENTAL ANALYSIS'!BB63</f>
        <v>0</v>
      </c>
      <c r="V225" s="1288"/>
      <c r="W225" s="1288"/>
      <c r="X225" s="1288"/>
      <c r="Y225" s="1288"/>
      <c r="Z225" s="1288"/>
      <c r="AA225" s="1288"/>
      <c r="AB225" s="1288"/>
    </row>
    <row r="226" spans="1:28" ht="17.100000000000001" customHeight="1">
      <c r="A226" s="1288"/>
      <c r="B226" s="1288"/>
      <c r="C226" s="1288"/>
      <c r="D226" s="1288"/>
      <c r="E226" s="1288"/>
      <c r="F226" s="1288"/>
      <c r="G226" s="1349"/>
      <c r="H226" s="1349"/>
      <c r="I226" s="1349"/>
      <c r="J226" s="1349"/>
      <c r="K226" s="1323"/>
      <c r="L226" s="1324"/>
      <c r="M226" s="1324"/>
      <c r="N226" s="1324"/>
      <c r="O226" s="1324"/>
      <c r="P226" s="1324"/>
      <c r="Q226" s="1324"/>
      <c r="R226" s="1324"/>
      <c r="S226" s="1324"/>
      <c r="T226" s="1324"/>
      <c r="U226" s="1324"/>
      <c r="V226" s="1288"/>
      <c r="W226" s="1288"/>
      <c r="X226" s="1288"/>
      <c r="Y226" s="1288"/>
      <c r="Z226" s="1288"/>
      <c r="AA226" s="1288"/>
      <c r="AB226" s="1288"/>
    </row>
    <row r="227" spans="1:28" ht="17.100000000000001" customHeight="1" thickBot="1">
      <c r="A227" s="1288"/>
      <c r="B227" s="1288"/>
      <c r="C227" s="1288"/>
      <c r="D227" s="1288"/>
      <c r="E227" s="1288"/>
      <c r="F227" s="1288"/>
      <c r="G227" s="4138" t="s">
        <v>602</v>
      </c>
      <c r="H227" s="3083"/>
      <c r="I227" s="3083"/>
      <c r="J227" s="3083"/>
      <c r="K227" s="1323"/>
      <c r="L227" s="1324"/>
      <c r="M227" s="1324"/>
      <c r="N227" s="1324"/>
      <c r="O227" s="1324"/>
      <c r="P227" s="1324"/>
      <c r="Q227" s="1324"/>
      <c r="R227" s="1324"/>
      <c r="S227" s="1324"/>
      <c r="T227" s="1324"/>
      <c r="U227" s="1324"/>
      <c r="V227" s="1288"/>
      <c r="W227" s="1288"/>
      <c r="X227" s="1288"/>
      <c r="Y227" s="1288"/>
      <c r="Z227" s="1288"/>
      <c r="AA227" s="1288"/>
      <c r="AB227" s="1288"/>
    </row>
    <row r="228" spans="1:28" ht="17.100000000000001" customHeight="1">
      <c r="A228" s="1288"/>
      <c r="B228" s="1288"/>
      <c r="C228" s="1288"/>
      <c r="D228" s="1288"/>
      <c r="E228" s="1288"/>
      <c r="F228" s="1288"/>
      <c r="G228" s="4139" t="s">
        <v>913</v>
      </c>
      <c r="H228" s="4140"/>
      <c r="I228" s="4140"/>
      <c r="J228" s="4140"/>
      <c r="K228" s="4141"/>
      <c r="L228" s="1329">
        <f>'RENTAL ANALYSIS'!AS70</f>
        <v>0</v>
      </c>
      <c r="M228" s="1329">
        <f>'RENTAL ANALYSIS'!AT70</f>
        <v>0</v>
      </c>
      <c r="N228" s="1329">
        <f>'RENTAL ANALYSIS'!AU70</f>
        <v>0</v>
      </c>
      <c r="O228" s="1329">
        <f>'RENTAL ANALYSIS'!AV70</f>
        <v>0</v>
      </c>
      <c r="P228" s="1329">
        <f>'RENTAL ANALYSIS'!AW70</f>
        <v>0</v>
      </c>
      <c r="Q228" s="1329">
        <f>'RENTAL ANALYSIS'!AX70</f>
        <v>0</v>
      </c>
      <c r="R228" s="1329">
        <f>'RENTAL ANALYSIS'!AY70</f>
        <v>0</v>
      </c>
      <c r="S228" s="1329">
        <f>'RENTAL ANALYSIS'!AZ70</f>
        <v>0</v>
      </c>
      <c r="T228" s="1329">
        <f>'RENTAL ANALYSIS'!BA70</f>
        <v>0</v>
      </c>
      <c r="U228" s="1330">
        <f>'RENTAL ANALYSIS'!BB70</f>
        <v>0</v>
      </c>
      <c r="V228" s="1288"/>
      <c r="W228" s="1288"/>
      <c r="X228" s="1288"/>
      <c r="Y228" s="1288"/>
      <c r="Z228" s="1288"/>
      <c r="AA228" s="1288"/>
      <c r="AB228" s="1288"/>
    </row>
    <row r="229" spans="1:28" ht="17.100000000000001" customHeight="1" thickBot="1">
      <c r="A229" s="1288"/>
      <c r="B229" s="1288"/>
      <c r="C229" s="1288"/>
      <c r="D229" s="1288"/>
      <c r="E229" s="1288"/>
      <c r="F229" s="1288"/>
      <c r="G229" s="4142" t="s">
        <v>1812</v>
      </c>
      <c r="H229" s="4143"/>
      <c r="I229" s="4143"/>
      <c r="J229" s="4143"/>
      <c r="K229" s="4144"/>
      <c r="L229" s="1331" t="str">
        <f>'RENTAL ANALYSIS'!AS72</f>
        <v/>
      </c>
      <c r="M229" s="1331" t="str">
        <f>'RENTAL ANALYSIS'!AT72</f>
        <v/>
      </c>
      <c r="N229" s="1331" t="str">
        <f>'RENTAL ANALYSIS'!AU72</f>
        <v/>
      </c>
      <c r="O229" s="1331" t="str">
        <f>'RENTAL ANALYSIS'!AV72</f>
        <v/>
      </c>
      <c r="P229" s="1331" t="str">
        <f>'RENTAL ANALYSIS'!AW72</f>
        <v/>
      </c>
      <c r="Q229" s="1331" t="str">
        <f>'RENTAL ANALYSIS'!AX72</f>
        <v/>
      </c>
      <c r="R229" s="1331" t="str">
        <f>'RENTAL ANALYSIS'!AY72</f>
        <v/>
      </c>
      <c r="S229" s="1331" t="str">
        <f>'RENTAL ANALYSIS'!AZ72</f>
        <v/>
      </c>
      <c r="T229" s="1331" t="str">
        <f>'RENTAL ANALYSIS'!BA72</f>
        <v/>
      </c>
      <c r="U229" s="1332" t="str">
        <f>'RENTAL ANALYSIS'!BB72</f>
        <v/>
      </c>
      <c r="V229" s="1288"/>
      <c r="W229" s="1288"/>
      <c r="X229" s="1288"/>
      <c r="Y229" s="1288"/>
      <c r="Z229" s="1288"/>
      <c r="AA229" s="1288"/>
      <c r="AB229" s="1288"/>
    </row>
    <row r="230" spans="1:28" ht="17.100000000000001" customHeight="1" thickBot="1">
      <c r="A230" s="1288"/>
      <c r="B230" s="1288"/>
      <c r="C230" s="1288"/>
      <c r="D230" s="1288"/>
      <c r="E230" s="1288"/>
      <c r="F230" s="1288"/>
      <c r="G230" s="4138" t="s">
        <v>603</v>
      </c>
      <c r="H230" s="3083"/>
      <c r="I230" s="3083"/>
      <c r="J230" s="3083"/>
      <c r="K230" s="1323"/>
      <c r="L230" s="1324"/>
      <c r="M230" s="1324"/>
      <c r="N230" s="1324"/>
      <c r="O230" s="1324"/>
      <c r="P230" s="1324"/>
      <c r="Q230" s="1324"/>
      <c r="R230" s="1324"/>
      <c r="S230" s="1324"/>
      <c r="T230" s="1324"/>
      <c r="U230" s="1324"/>
      <c r="V230" s="1288"/>
      <c r="W230" s="1288"/>
      <c r="X230" s="1288"/>
      <c r="Y230" s="1288"/>
      <c r="Z230" s="1288"/>
      <c r="AA230" s="1288"/>
      <c r="AB230" s="1288"/>
    </row>
    <row r="231" spans="1:28" ht="17.100000000000001" customHeight="1">
      <c r="A231" s="1288"/>
      <c r="B231" s="1288"/>
      <c r="C231" s="1288"/>
      <c r="D231" s="1288"/>
      <c r="E231" s="1288"/>
      <c r="F231" s="1288"/>
      <c r="G231" s="4145" t="s">
        <v>1765</v>
      </c>
      <c r="H231" s="4140"/>
      <c r="I231" s="4140"/>
      <c r="J231" s="4140"/>
      <c r="K231" s="4141"/>
      <c r="L231" s="1333">
        <f>'RENTAL ANALYSIS'!AS75</f>
        <v>0</v>
      </c>
      <c r="M231" s="1333">
        <f>'RENTAL ANALYSIS'!AT75</f>
        <v>0</v>
      </c>
      <c r="N231" s="1333">
        <f>'RENTAL ANALYSIS'!AU75</f>
        <v>0</v>
      </c>
      <c r="O231" s="1333">
        <f>'RENTAL ANALYSIS'!AV75</f>
        <v>0</v>
      </c>
      <c r="P231" s="1333">
        <f>'RENTAL ANALYSIS'!AW75</f>
        <v>0</v>
      </c>
      <c r="Q231" s="1333">
        <f>'RENTAL ANALYSIS'!AX75</f>
        <v>0</v>
      </c>
      <c r="R231" s="1333">
        <f>'RENTAL ANALYSIS'!AY75</f>
        <v>0</v>
      </c>
      <c r="S231" s="1333">
        <f>'RENTAL ANALYSIS'!AZ75</f>
        <v>0</v>
      </c>
      <c r="T231" s="1333">
        <f>'RENTAL ANALYSIS'!BA75</f>
        <v>0</v>
      </c>
      <c r="U231" s="1334">
        <f>'RENTAL ANALYSIS'!BB75</f>
        <v>0</v>
      </c>
      <c r="V231" s="1288"/>
      <c r="W231" s="1288"/>
      <c r="X231" s="1288"/>
      <c r="Y231" s="1288"/>
      <c r="Z231" s="1288"/>
      <c r="AA231" s="1288"/>
      <c r="AB231" s="1288"/>
    </row>
    <row r="232" spans="1:28" ht="17.100000000000001" customHeight="1">
      <c r="A232" s="1288"/>
      <c r="B232" s="1288"/>
      <c r="C232" s="1288"/>
      <c r="D232" s="1288"/>
      <c r="E232" s="1288"/>
      <c r="F232" s="1288"/>
      <c r="G232" s="4146" t="s">
        <v>1766</v>
      </c>
      <c r="H232" s="3398"/>
      <c r="I232" s="3398"/>
      <c r="J232" s="3398"/>
      <c r="K232" s="3399"/>
      <c r="L232" s="1335" t="str">
        <f>'RENTAL ANALYSIS'!AS76</f>
        <v/>
      </c>
      <c r="M232" s="1335" t="str">
        <f>'RENTAL ANALYSIS'!AT76</f>
        <v/>
      </c>
      <c r="N232" s="1335" t="str">
        <f>'RENTAL ANALYSIS'!AU76</f>
        <v/>
      </c>
      <c r="O232" s="1335" t="str">
        <f>'RENTAL ANALYSIS'!AV76</f>
        <v/>
      </c>
      <c r="P232" s="1335" t="str">
        <f>'RENTAL ANALYSIS'!AW76</f>
        <v/>
      </c>
      <c r="Q232" s="1335" t="str">
        <f>'RENTAL ANALYSIS'!AX76</f>
        <v/>
      </c>
      <c r="R232" s="1335" t="str">
        <f>'RENTAL ANALYSIS'!AY76</f>
        <v/>
      </c>
      <c r="S232" s="1335" t="str">
        <f>'RENTAL ANALYSIS'!AZ76</f>
        <v/>
      </c>
      <c r="T232" s="1335" t="str">
        <f>'RENTAL ANALYSIS'!BA76</f>
        <v/>
      </c>
      <c r="U232" s="1336" t="str">
        <f>'RENTAL ANALYSIS'!BB76</f>
        <v/>
      </c>
      <c r="V232" s="1288"/>
      <c r="W232" s="1288"/>
      <c r="X232" s="1288"/>
      <c r="Y232" s="1288"/>
      <c r="Z232" s="1288"/>
      <c r="AA232" s="1288"/>
      <c r="AB232" s="1288"/>
    </row>
    <row r="233" spans="1:28" ht="17.100000000000001" customHeight="1" thickBot="1">
      <c r="A233" s="1288"/>
      <c r="B233" s="1288"/>
      <c r="C233" s="1288"/>
      <c r="D233" s="1288"/>
      <c r="E233" s="1288"/>
      <c r="F233" s="1288"/>
      <c r="G233" s="4147" t="s">
        <v>1813</v>
      </c>
      <c r="H233" s="3365"/>
      <c r="I233" s="3365"/>
      <c r="J233" s="3365"/>
      <c r="K233" s="3366"/>
      <c r="L233" s="1337">
        <f>'RENTAL ANALYSIS'!AS77</f>
        <v>0</v>
      </c>
      <c r="M233" s="1337">
        <f>'RENTAL ANALYSIS'!AT77</f>
        <v>0</v>
      </c>
      <c r="N233" s="1337">
        <f>'RENTAL ANALYSIS'!AU77</f>
        <v>0</v>
      </c>
      <c r="O233" s="1337">
        <f>'RENTAL ANALYSIS'!AV77</f>
        <v>0</v>
      </c>
      <c r="P233" s="1337">
        <f>'RENTAL ANALYSIS'!AW77</f>
        <v>0</v>
      </c>
      <c r="Q233" s="1337">
        <f>'RENTAL ANALYSIS'!AX77</f>
        <v>0</v>
      </c>
      <c r="R233" s="1337">
        <f>'RENTAL ANALYSIS'!AY77</f>
        <v>0</v>
      </c>
      <c r="S233" s="1337">
        <f>'RENTAL ANALYSIS'!AZ77</f>
        <v>0</v>
      </c>
      <c r="T233" s="1337">
        <f>'RENTAL ANALYSIS'!BA77</f>
        <v>0</v>
      </c>
      <c r="U233" s="1338">
        <f>'RENTAL ANALYSIS'!BB77</f>
        <v>0</v>
      </c>
      <c r="V233" s="1288"/>
      <c r="W233" s="1288"/>
      <c r="X233" s="1288"/>
      <c r="Y233" s="1288"/>
      <c r="Z233" s="1288"/>
      <c r="AA233" s="1288"/>
      <c r="AB233" s="1288"/>
    </row>
    <row r="234" spans="1:28" ht="17.100000000000001" customHeight="1" thickTop="1" thickBot="1">
      <c r="A234" s="1288"/>
      <c r="B234" s="1288"/>
      <c r="C234" s="1288"/>
      <c r="D234" s="1288"/>
      <c r="E234" s="1288"/>
      <c r="F234" s="1288"/>
      <c r="G234" s="4148" t="s">
        <v>1810</v>
      </c>
      <c r="H234" s="4149"/>
      <c r="I234" s="4149"/>
      <c r="J234" s="4149"/>
      <c r="K234" s="4150"/>
      <c r="L234" s="1339">
        <f>'RENTAL ANALYSIS'!AS78</f>
        <v>0</v>
      </c>
      <c r="M234" s="1340">
        <f>'RENTAL ANALYSIS'!AT78</f>
        <v>0</v>
      </c>
      <c r="N234" s="1340">
        <f>'RENTAL ANALYSIS'!AU78</f>
        <v>0</v>
      </c>
      <c r="O234" s="1340">
        <f>'RENTAL ANALYSIS'!AV78</f>
        <v>0</v>
      </c>
      <c r="P234" s="1340">
        <f>'RENTAL ANALYSIS'!AW78</f>
        <v>0</v>
      </c>
      <c r="Q234" s="1340">
        <f>'RENTAL ANALYSIS'!AX78</f>
        <v>0</v>
      </c>
      <c r="R234" s="1340">
        <f>'RENTAL ANALYSIS'!AY78</f>
        <v>0</v>
      </c>
      <c r="S234" s="1340">
        <f>'RENTAL ANALYSIS'!AZ78</f>
        <v>0</v>
      </c>
      <c r="T234" s="1340">
        <f>'RENTAL ANALYSIS'!BA78</f>
        <v>0</v>
      </c>
      <c r="U234" s="1341">
        <f>'RENTAL ANALYSIS'!BB78</f>
        <v>0</v>
      </c>
      <c r="V234" s="1288"/>
      <c r="W234" s="1288"/>
      <c r="X234" s="1288"/>
      <c r="Y234" s="1288"/>
      <c r="Z234" s="1288"/>
      <c r="AA234" s="1288"/>
      <c r="AB234" s="1288"/>
    </row>
    <row r="235" spans="1:28" ht="17.100000000000001" customHeight="1" thickBot="1">
      <c r="A235" s="1288"/>
      <c r="B235" s="1288"/>
      <c r="C235" s="1288"/>
      <c r="D235" s="1288"/>
      <c r="E235" s="1288"/>
      <c r="F235" s="1288"/>
      <c r="G235" s="4138" t="s">
        <v>605</v>
      </c>
      <c r="H235" s="3083"/>
      <c r="I235" s="3083"/>
      <c r="J235" s="3083"/>
      <c r="K235" s="1323"/>
      <c r="L235" s="1324"/>
      <c r="M235" s="1324"/>
      <c r="N235" s="1324"/>
      <c r="O235" s="1324"/>
      <c r="P235" s="1324"/>
      <c r="Q235" s="1324"/>
      <c r="R235" s="1324"/>
      <c r="S235" s="1324"/>
      <c r="T235" s="1324"/>
      <c r="U235" s="1324"/>
      <c r="V235" s="1288"/>
      <c r="W235" s="1288"/>
      <c r="X235" s="1288"/>
      <c r="Y235" s="1288"/>
      <c r="Z235" s="1288"/>
      <c r="AA235" s="1288"/>
      <c r="AB235" s="1288"/>
    </row>
    <row r="236" spans="1:28" ht="17.100000000000001" customHeight="1">
      <c r="A236" s="1288"/>
      <c r="B236" s="1288"/>
      <c r="C236" s="1288"/>
      <c r="D236" s="1288"/>
      <c r="E236" s="1288"/>
      <c r="F236" s="1288"/>
      <c r="G236" s="4139" t="s">
        <v>605</v>
      </c>
      <c r="H236" s="4140"/>
      <c r="I236" s="4140"/>
      <c r="J236" s="4140"/>
      <c r="K236" s="4141"/>
      <c r="L236" s="1329">
        <f>'RENTAL ANALYSIS'!AS82</f>
        <v>0</v>
      </c>
      <c r="M236" s="1329">
        <f>'RENTAL ANALYSIS'!AT82</f>
        <v>0</v>
      </c>
      <c r="N236" s="1329">
        <f>'RENTAL ANALYSIS'!AU82</f>
        <v>0</v>
      </c>
      <c r="O236" s="1329">
        <f>'RENTAL ANALYSIS'!AV82</f>
        <v>0</v>
      </c>
      <c r="P236" s="1329">
        <f>'RENTAL ANALYSIS'!AW82</f>
        <v>0</v>
      </c>
      <c r="Q236" s="1329">
        <f>'RENTAL ANALYSIS'!AX82</f>
        <v>0</v>
      </c>
      <c r="R236" s="1329">
        <f>'RENTAL ANALYSIS'!AY82</f>
        <v>0</v>
      </c>
      <c r="S236" s="1329">
        <f>'RENTAL ANALYSIS'!AZ82</f>
        <v>0</v>
      </c>
      <c r="T236" s="1329">
        <f>'RENTAL ANALYSIS'!BA82</f>
        <v>0</v>
      </c>
      <c r="U236" s="1330">
        <f>'RENTAL ANALYSIS'!BB82</f>
        <v>0</v>
      </c>
      <c r="V236" s="1288"/>
      <c r="W236" s="1288"/>
      <c r="X236" s="1288"/>
      <c r="Y236" s="1288"/>
      <c r="Z236" s="1288"/>
      <c r="AA236" s="1288"/>
      <c r="AB236" s="1288"/>
    </row>
    <row r="237" spans="1:28" ht="17.100000000000001" customHeight="1" thickBot="1">
      <c r="A237" s="1288"/>
      <c r="B237" s="1288"/>
      <c r="C237" s="1288"/>
      <c r="D237" s="1288"/>
      <c r="E237" s="1288"/>
      <c r="F237" s="1288"/>
      <c r="G237" s="4142" t="s">
        <v>606</v>
      </c>
      <c r="H237" s="4143"/>
      <c r="I237" s="4143"/>
      <c r="J237" s="4143"/>
      <c r="K237" s="4144"/>
      <c r="L237" s="1331" t="str">
        <f>'RENTAL ANALYSIS'!AS85</f>
        <v/>
      </c>
      <c r="M237" s="1331" t="str">
        <f>'RENTAL ANALYSIS'!AT85</f>
        <v/>
      </c>
      <c r="N237" s="1331" t="str">
        <f>'RENTAL ANALYSIS'!AU85</f>
        <v/>
      </c>
      <c r="O237" s="1331" t="str">
        <f>'RENTAL ANALYSIS'!AV85</f>
        <v/>
      </c>
      <c r="P237" s="1331" t="str">
        <f>'RENTAL ANALYSIS'!AW85</f>
        <v/>
      </c>
      <c r="Q237" s="1331" t="str">
        <f>'RENTAL ANALYSIS'!AX85</f>
        <v/>
      </c>
      <c r="R237" s="1331" t="str">
        <f>'RENTAL ANALYSIS'!AY85</f>
        <v/>
      </c>
      <c r="S237" s="1331" t="str">
        <f>'RENTAL ANALYSIS'!AZ85</f>
        <v/>
      </c>
      <c r="T237" s="1331" t="str">
        <f>'RENTAL ANALYSIS'!BA85</f>
        <v/>
      </c>
      <c r="U237" s="1332" t="str">
        <f>'RENTAL ANALYSIS'!BB85</f>
        <v/>
      </c>
      <c r="V237" s="1288"/>
      <c r="W237" s="1288"/>
      <c r="X237" s="1288"/>
      <c r="Y237" s="1288"/>
      <c r="Z237" s="1288"/>
      <c r="AA237" s="1288"/>
      <c r="AB237" s="1288"/>
    </row>
    <row r="238" spans="1:28" ht="19.5" customHeight="1">
      <c r="A238" s="1288"/>
      <c r="B238" s="1288"/>
      <c r="C238" s="1288"/>
      <c r="D238" s="1288"/>
      <c r="E238" s="1288"/>
      <c r="F238" s="1288"/>
      <c r="G238" s="1311"/>
      <c r="H238" s="1311"/>
      <c r="I238" s="1311"/>
      <c r="J238" s="1311"/>
      <c r="K238" s="1312"/>
      <c r="L238" s="1312"/>
      <c r="M238" s="1312"/>
      <c r="N238" s="1313"/>
      <c r="O238" s="1313"/>
      <c r="P238" s="1313"/>
      <c r="Q238" s="1313"/>
      <c r="R238" s="1313"/>
      <c r="S238" s="1313"/>
      <c r="T238" s="1313"/>
      <c r="U238" s="1313"/>
      <c r="V238" s="1288"/>
      <c r="W238" s="1288"/>
      <c r="X238" s="1288"/>
      <c r="Y238" s="1288"/>
      <c r="Z238" s="1288"/>
      <c r="AA238" s="1288"/>
      <c r="AB238" s="1288"/>
    </row>
    <row r="239" spans="1:28" ht="18" customHeight="1">
      <c r="A239" s="1288"/>
      <c r="B239" s="1288"/>
      <c r="C239" s="1288"/>
      <c r="D239" s="1288"/>
      <c r="E239" s="1288"/>
      <c r="F239" s="1288"/>
      <c r="G239" s="4133" t="str">
        <f>CONCATENATE("Report Prepared By: ",Investor_Name,"  |  ",Company_Name,"  |  ",Company_Email,"  |  ",Company_Email)</f>
        <v xml:space="preserve">Report Prepared By:   |    |    |  </v>
      </c>
      <c r="H239" s="4133"/>
      <c r="I239" s="4133"/>
      <c r="J239" s="4133"/>
      <c r="K239" s="4133"/>
      <c r="L239" s="4133"/>
      <c r="M239" s="4133"/>
      <c r="N239" s="4133"/>
      <c r="O239" s="4133"/>
      <c r="P239" s="4133"/>
      <c r="Q239" s="4133"/>
      <c r="R239" s="4133"/>
      <c r="S239" s="4133"/>
      <c r="T239" s="4133"/>
      <c r="U239" s="4133"/>
      <c r="V239" s="1288"/>
      <c r="W239" s="1288"/>
      <c r="X239" s="1288"/>
      <c r="Y239" s="1288"/>
      <c r="Z239" s="1288"/>
      <c r="AA239" s="1288"/>
      <c r="AB239" s="1288"/>
    </row>
    <row r="240" spans="1:28" ht="18" customHeight="1">
      <c r="A240" s="1288"/>
      <c r="B240" s="1288"/>
      <c r="C240" s="1288"/>
      <c r="D240" s="1288"/>
      <c r="E240" s="1288"/>
      <c r="F240" s="1288"/>
      <c r="G240" s="4134" t="str">
        <f>CONCATENATE(Street_Address,", ",City_State_Zip)</f>
        <v>, 0</v>
      </c>
      <c r="H240" s="4135"/>
      <c r="I240" s="4135"/>
      <c r="J240" s="4135"/>
      <c r="K240" s="4135"/>
      <c r="L240" s="4135"/>
      <c r="M240" s="4135"/>
      <c r="N240" s="4135"/>
      <c r="O240" s="4135"/>
      <c r="P240" s="4135"/>
      <c r="Q240" s="4135"/>
      <c r="R240" s="4135"/>
      <c r="S240" s="4135"/>
      <c r="T240" s="4135"/>
      <c r="U240" s="4135"/>
      <c r="V240" s="1288"/>
      <c r="W240" s="1288"/>
      <c r="X240" s="1288"/>
      <c r="Y240" s="1288"/>
      <c r="Z240" s="1288"/>
      <c r="AA240" s="1288"/>
      <c r="AB240" s="1288"/>
    </row>
    <row r="241" spans="1:28" ht="18" customHeight="1">
      <c r="A241" s="1288"/>
      <c r="B241" s="1288"/>
      <c r="C241" s="1288"/>
      <c r="D241" s="1288"/>
      <c r="E241" s="1288"/>
      <c r="F241" s="1288"/>
      <c r="G241" s="1298"/>
      <c r="H241" s="1299"/>
      <c r="I241" s="1299"/>
      <c r="J241" s="1299"/>
      <c r="K241" s="1299"/>
      <c r="L241" s="1299"/>
      <c r="M241" s="1299"/>
      <c r="N241" s="1299"/>
      <c r="O241" s="1299"/>
      <c r="P241" s="1299"/>
      <c r="Q241" s="1347"/>
      <c r="R241" s="1347"/>
      <c r="S241" s="1347"/>
      <c r="T241" s="1347"/>
      <c r="U241" s="1347"/>
      <c r="V241" s="1288"/>
      <c r="W241" s="1288"/>
      <c r="X241" s="1288"/>
      <c r="Y241" s="1288"/>
      <c r="Z241" s="1288"/>
      <c r="AA241" s="1288"/>
      <c r="AB241" s="1288"/>
    </row>
    <row r="242" spans="1:28" ht="30.7">
      <c r="A242" s="1288"/>
      <c r="B242" s="1288"/>
      <c r="C242" s="1288"/>
      <c r="D242" s="1288"/>
      <c r="E242" s="1288"/>
      <c r="F242" s="1288"/>
      <c r="G242" s="1342" t="s">
        <v>1609</v>
      </c>
      <c r="H242" s="1299"/>
      <c r="I242" s="1299"/>
      <c r="J242" s="1299"/>
      <c r="K242" s="1299"/>
      <c r="L242" s="1299"/>
      <c r="M242" s="1299"/>
      <c r="N242" s="1299"/>
      <c r="O242" s="1299"/>
      <c r="P242" s="1299"/>
      <c r="Q242" s="4136"/>
      <c r="R242" s="3083"/>
      <c r="S242" s="3083"/>
      <c r="T242" s="3083"/>
      <c r="U242" s="3083"/>
      <c r="V242" s="1288"/>
      <c r="W242" s="1288"/>
      <c r="X242" s="1288"/>
      <c r="Y242" s="1288"/>
      <c r="Z242" s="1288"/>
      <c r="AA242" s="1288"/>
      <c r="AB242" s="1288"/>
    </row>
    <row r="243" spans="1:28" ht="18" customHeight="1">
      <c r="A243" s="1288"/>
      <c r="B243" s="1288"/>
      <c r="C243" s="1288"/>
      <c r="D243" s="1288"/>
      <c r="E243" s="1288"/>
      <c r="F243" s="1288"/>
      <c r="G243" s="4137"/>
      <c r="H243" s="3083"/>
      <c r="I243" s="3083"/>
      <c r="J243" s="3083"/>
      <c r="K243" s="3083"/>
      <c r="L243" s="3083"/>
      <c r="M243" s="3083"/>
      <c r="N243" s="1300"/>
      <c r="O243" s="1300"/>
      <c r="P243" s="1300"/>
      <c r="Q243" s="3083"/>
      <c r="R243" s="3083"/>
      <c r="S243" s="3083"/>
      <c r="T243" s="3083"/>
      <c r="U243" s="3083"/>
      <c r="V243" s="1288"/>
      <c r="W243" s="1288"/>
      <c r="X243" s="1288"/>
      <c r="Y243" s="1288"/>
      <c r="Z243" s="1288"/>
      <c r="AA243" s="1288"/>
      <c r="AB243" s="1288"/>
    </row>
    <row r="244" spans="1:28" ht="18" customHeight="1">
      <c r="A244" s="1288"/>
      <c r="B244" s="1288"/>
      <c r="C244" s="1288"/>
      <c r="D244" s="1288"/>
      <c r="E244" s="1288"/>
      <c r="F244" s="1288"/>
      <c r="G244" s="4127"/>
      <c r="H244" s="4128"/>
      <c r="I244" s="4128"/>
      <c r="J244" s="4128"/>
      <c r="K244" s="4128"/>
      <c r="L244" s="4127"/>
      <c r="M244" s="4128"/>
      <c r="N244" s="4128"/>
      <c r="O244" s="4128"/>
      <c r="P244" s="4128"/>
      <c r="Q244" s="4127"/>
      <c r="R244" s="4128"/>
      <c r="S244" s="4128"/>
      <c r="T244" s="4128"/>
      <c r="U244" s="4131"/>
      <c r="V244" s="1288"/>
      <c r="W244" s="1288"/>
      <c r="X244" s="1288"/>
      <c r="Y244" s="1288"/>
      <c r="Z244" s="1288"/>
      <c r="AA244" s="1288"/>
      <c r="AB244" s="1288"/>
    </row>
    <row r="245" spans="1:28" ht="18" customHeight="1">
      <c r="A245" s="1288"/>
      <c r="B245" s="1288"/>
      <c r="C245" s="1288"/>
      <c r="D245" s="1288"/>
      <c r="E245" s="1288"/>
      <c r="F245" s="1288"/>
      <c r="G245" s="4129"/>
      <c r="H245" s="3083"/>
      <c r="I245" s="3083"/>
      <c r="J245" s="3083"/>
      <c r="K245" s="3083"/>
      <c r="L245" s="4129"/>
      <c r="M245" s="3083"/>
      <c r="N245" s="3083"/>
      <c r="O245" s="3083"/>
      <c r="P245" s="3083"/>
      <c r="Q245" s="4129"/>
      <c r="R245" s="3083"/>
      <c r="S245" s="3083"/>
      <c r="T245" s="3083"/>
      <c r="U245" s="4132"/>
      <c r="V245" s="1288"/>
      <c r="W245" s="1288"/>
      <c r="X245" s="1288"/>
      <c r="Y245" s="1288"/>
      <c r="Z245" s="1288"/>
      <c r="AA245" s="1288"/>
      <c r="AB245" s="1288"/>
    </row>
    <row r="246" spans="1:28" ht="18" customHeight="1">
      <c r="A246" s="1288"/>
      <c r="B246" s="1288"/>
      <c r="C246" s="1288"/>
      <c r="D246" s="1288"/>
      <c r="E246" s="1288"/>
      <c r="F246" s="1288"/>
      <c r="G246" s="4129"/>
      <c r="H246" s="3083"/>
      <c r="I246" s="3083"/>
      <c r="J246" s="3083"/>
      <c r="K246" s="3083"/>
      <c r="L246" s="4129"/>
      <c r="M246" s="3083"/>
      <c r="N246" s="3083"/>
      <c r="O246" s="3083"/>
      <c r="P246" s="3083"/>
      <c r="Q246" s="4129"/>
      <c r="R246" s="3083"/>
      <c r="S246" s="3083"/>
      <c r="T246" s="3083"/>
      <c r="U246" s="4132"/>
      <c r="V246" s="1288"/>
      <c r="W246" s="1288"/>
      <c r="X246" s="1288"/>
      <c r="Y246" s="1288"/>
      <c r="Z246" s="1288"/>
      <c r="AA246" s="1288"/>
      <c r="AB246" s="1288"/>
    </row>
    <row r="247" spans="1:28" ht="18" customHeight="1">
      <c r="A247" s="1288"/>
      <c r="B247" s="1288"/>
      <c r="C247" s="1288"/>
      <c r="D247" s="1288"/>
      <c r="E247" s="1288"/>
      <c r="F247" s="1288"/>
      <c r="G247" s="4129"/>
      <c r="H247" s="3083"/>
      <c r="I247" s="3083"/>
      <c r="J247" s="3083"/>
      <c r="K247" s="3083"/>
      <c r="L247" s="4129"/>
      <c r="M247" s="3083"/>
      <c r="N247" s="3083"/>
      <c r="O247" s="3083"/>
      <c r="P247" s="3083"/>
      <c r="Q247" s="4129"/>
      <c r="R247" s="3083"/>
      <c r="S247" s="3083"/>
      <c r="T247" s="3083"/>
      <c r="U247" s="4132"/>
      <c r="V247" s="1288"/>
      <c r="W247" s="1288"/>
      <c r="X247" s="1288"/>
      <c r="Y247" s="1288"/>
      <c r="Z247" s="1288"/>
      <c r="AA247" s="1288"/>
      <c r="AB247" s="1288"/>
    </row>
    <row r="248" spans="1:28" ht="18" customHeight="1">
      <c r="A248" s="1288"/>
      <c r="B248" s="1288"/>
      <c r="C248" s="1288"/>
      <c r="D248" s="1288"/>
      <c r="E248" s="1288"/>
      <c r="F248" s="1288"/>
      <c r="G248" s="4129"/>
      <c r="H248" s="3083"/>
      <c r="I248" s="3083"/>
      <c r="J248" s="3083"/>
      <c r="K248" s="3083"/>
      <c r="L248" s="4129"/>
      <c r="M248" s="3083"/>
      <c r="N248" s="3083"/>
      <c r="O248" s="3083"/>
      <c r="P248" s="3083"/>
      <c r="Q248" s="4129"/>
      <c r="R248" s="3083"/>
      <c r="S248" s="3083"/>
      <c r="T248" s="3083"/>
      <c r="U248" s="4132"/>
      <c r="V248" s="1288"/>
      <c r="W248" s="1288"/>
      <c r="X248" s="1288"/>
      <c r="Y248" s="1288"/>
      <c r="Z248" s="1288"/>
      <c r="AA248" s="1288"/>
      <c r="AB248" s="1288"/>
    </row>
    <row r="249" spans="1:28" ht="18" customHeight="1">
      <c r="A249" s="1288"/>
      <c r="B249" s="1288"/>
      <c r="C249" s="1288"/>
      <c r="D249" s="1288"/>
      <c r="E249" s="1288"/>
      <c r="F249" s="1288"/>
      <c r="G249" s="4129"/>
      <c r="H249" s="3083"/>
      <c r="I249" s="3083"/>
      <c r="J249" s="3083"/>
      <c r="K249" s="3083"/>
      <c r="L249" s="4129"/>
      <c r="M249" s="3083"/>
      <c r="N249" s="3083"/>
      <c r="O249" s="3083"/>
      <c r="P249" s="3083"/>
      <c r="Q249" s="4129"/>
      <c r="R249" s="3083"/>
      <c r="S249" s="3083"/>
      <c r="T249" s="3083"/>
      <c r="U249" s="4132"/>
      <c r="V249" s="1288"/>
      <c r="W249" s="1288"/>
      <c r="X249" s="1288"/>
      <c r="Y249" s="1288"/>
      <c r="Z249" s="1288"/>
      <c r="AA249" s="1288"/>
      <c r="AB249" s="1288"/>
    </row>
    <row r="250" spans="1:28" ht="18" customHeight="1">
      <c r="A250" s="1288"/>
      <c r="B250" s="1288"/>
      <c r="C250" s="1288"/>
      <c r="D250" s="1288"/>
      <c r="E250" s="1288"/>
      <c r="F250" s="1288"/>
      <c r="G250" s="4129"/>
      <c r="H250" s="3083"/>
      <c r="I250" s="3083"/>
      <c r="J250" s="3083"/>
      <c r="K250" s="3083"/>
      <c r="L250" s="4129"/>
      <c r="M250" s="3083"/>
      <c r="N250" s="3083"/>
      <c r="O250" s="3083"/>
      <c r="P250" s="3083"/>
      <c r="Q250" s="4129"/>
      <c r="R250" s="3083"/>
      <c r="S250" s="3083"/>
      <c r="T250" s="3083"/>
      <c r="U250" s="4132"/>
      <c r="V250" s="1288"/>
      <c r="W250" s="1288"/>
      <c r="X250" s="1288"/>
      <c r="Y250" s="1288"/>
      <c r="Z250" s="1288"/>
      <c r="AA250" s="1288"/>
      <c r="AB250" s="1288"/>
    </row>
    <row r="251" spans="1:28" ht="18" customHeight="1">
      <c r="A251" s="1288"/>
      <c r="B251" s="1288"/>
      <c r="C251" s="1288"/>
      <c r="D251" s="1288"/>
      <c r="E251" s="1288"/>
      <c r="F251" s="1288"/>
      <c r="G251" s="4129"/>
      <c r="H251" s="3083"/>
      <c r="I251" s="3083"/>
      <c r="J251" s="3083"/>
      <c r="K251" s="3083"/>
      <c r="L251" s="4129"/>
      <c r="M251" s="3083"/>
      <c r="N251" s="3083"/>
      <c r="O251" s="3083"/>
      <c r="P251" s="3083"/>
      <c r="Q251" s="4129"/>
      <c r="R251" s="3083"/>
      <c r="S251" s="3083"/>
      <c r="T251" s="3083"/>
      <c r="U251" s="4132"/>
      <c r="V251" s="1288"/>
      <c r="W251" s="1288"/>
      <c r="X251" s="1288"/>
      <c r="Y251" s="1288"/>
      <c r="Z251" s="1288"/>
      <c r="AA251" s="1288"/>
      <c r="AB251" s="1288"/>
    </row>
    <row r="252" spans="1:28" ht="18" customHeight="1">
      <c r="A252" s="1288"/>
      <c r="B252" s="1288"/>
      <c r="C252" s="1288"/>
      <c r="D252" s="1288"/>
      <c r="E252" s="1288"/>
      <c r="F252" s="1288"/>
      <c r="G252" s="4130"/>
      <c r="H252" s="3179"/>
      <c r="I252" s="3179"/>
      <c r="J252" s="3179"/>
      <c r="K252" s="3179"/>
      <c r="L252" s="4130"/>
      <c r="M252" s="3179"/>
      <c r="N252" s="3179"/>
      <c r="O252" s="3179"/>
      <c r="P252" s="3179"/>
      <c r="Q252" s="4130"/>
      <c r="R252" s="3179"/>
      <c r="S252" s="3179"/>
      <c r="T252" s="3179"/>
      <c r="U252" s="3180"/>
      <c r="V252" s="1288"/>
      <c r="W252" s="1288"/>
      <c r="X252" s="1288"/>
      <c r="Y252" s="1288"/>
      <c r="Z252" s="1288"/>
      <c r="AA252" s="1288"/>
      <c r="AB252" s="1288"/>
    </row>
    <row r="253" spans="1:28" ht="18" customHeight="1">
      <c r="A253" s="1288"/>
      <c r="B253" s="1288"/>
      <c r="C253" s="1288"/>
      <c r="D253" s="1288"/>
      <c r="E253" s="1288"/>
      <c r="F253" s="1288"/>
      <c r="G253" s="4118" t="s">
        <v>1814</v>
      </c>
      <c r="H253" s="4119"/>
      <c r="I253" s="4119"/>
      <c r="J253" s="4119"/>
      <c r="K253" s="4120"/>
      <c r="L253" s="4118" t="s">
        <v>1814</v>
      </c>
      <c r="M253" s="4119"/>
      <c r="N253" s="4119"/>
      <c r="O253" s="4119"/>
      <c r="P253" s="4120"/>
      <c r="Q253" s="4118" t="s">
        <v>1814</v>
      </c>
      <c r="R253" s="4119"/>
      <c r="S253" s="4119"/>
      <c r="T253" s="4119"/>
      <c r="U253" s="4120"/>
      <c r="V253" s="1288"/>
      <c r="W253" s="1288"/>
      <c r="X253" s="1288"/>
      <c r="Y253" s="1288"/>
      <c r="Z253" s="1288"/>
      <c r="AA253" s="1288"/>
      <c r="AB253" s="1288"/>
    </row>
    <row r="254" spans="1:28" ht="18" customHeight="1">
      <c r="A254" s="1288"/>
      <c r="B254" s="1288"/>
      <c r="C254" s="1288"/>
      <c r="D254" s="1288"/>
      <c r="E254" s="1288"/>
      <c r="F254" s="1288"/>
      <c r="G254" s="4121"/>
      <c r="H254" s="4122"/>
      <c r="I254" s="4122"/>
      <c r="J254" s="4122"/>
      <c r="K254" s="4123"/>
      <c r="L254" s="4121"/>
      <c r="M254" s="4122"/>
      <c r="N254" s="4122"/>
      <c r="O254" s="4122"/>
      <c r="P254" s="4123"/>
      <c r="Q254" s="4121"/>
      <c r="R254" s="4122"/>
      <c r="S254" s="4122"/>
      <c r="T254" s="4122"/>
      <c r="U254" s="4123"/>
      <c r="V254" s="1288"/>
      <c r="W254" s="1288"/>
      <c r="X254" s="1288"/>
      <c r="Y254" s="1288"/>
      <c r="Z254" s="1288"/>
      <c r="AA254" s="1288"/>
      <c r="AB254" s="1288"/>
    </row>
    <row r="255" spans="1:28" ht="18" customHeight="1">
      <c r="A255" s="1288"/>
      <c r="B255" s="1288"/>
      <c r="C255" s="1288"/>
      <c r="D255" s="1288"/>
      <c r="E255" s="1288"/>
      <c r="F255" s="1288"/>
      <c r="G255" s="4124"/>
      <c r="H255" s="4125"/>
      <c r="I255" s="4125"/>
      <c r="J255" s="4125"/>
      <c r="K255" s="4126"/>
      <c r="L255" s="4124"/>
      <c r="M255" s="4125"/>
      <c r="N255" s="4125"/>
      <c r="O255" s="4125"/>
      <c r="P255" s="4126"/>
      <c r="Q255" s="4124"/>
      <c r="R255" s="4125"/>
      <c r="S255" s="4125"/>
      <c r="T255" s="4125"/>
      <c r="U255" s="4126"/>
      <c r="V255" s="1288"/>
      <c r="W255" s="1288"/>
      <c r="X255" s="1288"/>
      <c r="Y255" s="1288"/>
      <c r="Z255" s="1288"/>
      <c r="AA255" s="1288"/>
      <c r="AB255" s="1288"/>
    </row>
    <row r="256" spans="1:28" ht="18" customHeight="1">
      <c r="A256" s="1288"/>
      <c r="B256" s="1288"/>
      <c r="C256" s="1288"/>
      <c r="D256" s="1288"/>
      <c r="E256" s="1288"/>
      <c r="F256" s="1288"/>
      <c r="L256" s="1343"/>
      <c r="M256" s="1343"/>
      <c r="N256" s="1343"/>
      <c r="O256" s="1343"/>
      <c r="P256" s="1343"/>
      <c r="Q256" s="1343"/>
      <c r="R256" s="1343"/>
      <c r="S256" s="1343"/>
      <c r="T256" s="1343"/>
      <c r="U256" s="1343"/>
      <c r="V256" s="1288"/>
      <c r="W256" s="1288"/>
      <c r="X256" s="1288"/>
      <c r="Y256" s="1288"/>
      <c r="Z256" s="1288"/>
      <c r="AA256" s="1288"/>
      <c r="AB256" s="1288"/>
    </row>
    <row r="257" spans="1:28" ht="18" customHeight="1">
      <c r="A257" s="1288"/>
      <c r="B257" s="1288"/>
      <c r="C257" s="1288"/>
      <c r="D257" s="1288"/>
      <c r="E257" s="1288"/>
      <c r="F257" s="1288"/>
      <c r="G257" s="4127"/>
      <c r="H257" s="4128"/>
      <c r="I257" s="4128"/>
      <c r="J257" s="4128"/>
      <c r="K257" s="4128"/>
      <c r="L257" s="4127"/>
      <c r="M257" s="4128"/>
      <c r="N257" s="4128"/>
      <c r="O257" s="4128"/>
      <c r="P257" s="4128"/>
      <c r="Q257" s="4127"/>
      <c r="R257" s="4128"/>
      <c r="S257" s="4128"/>
      <c r="T257" s="4128"/>
      <c r="U257" s="4131"/>
      <c r="V257" s="1288"/>
      <c r="W257" s="1288"/>
      <c r="X257" s="1288"/>
      <c r="Y257" s="1288"/>
      <c r="Z257" s="1288"/>
      <c r="AA257" s="1288"/>
      <c r="AB257" s="1288"/>
    </row>
    <row r="258" spans="1:28" ht="18" customHeight="1">
      <c r="A258" s="1288"/>
      <c r="B258" s="1288"/>
      <c r="C258" s="1288"/>
      <c r="D258" s="1288"/>
      <c r="E258" s="1288"/>
      <c r="F258" s="1288"/>
      <c r="G258" s="4129"/>
      <c r="H258" s="3083"/>
      <c r="I258" s="3083"/>
      <c r="J258" s="3083"/>
      <c r="K258" s="3083"/>
      <c r="L258" s="4129"/>
      <c r="M258" s="3083"/>
      <c r="N258" s="3083"/>
      <c r="O258" s="3083"/>
      <c r="P258" s="3083"/>
      <c r="Q258" s="4129"/>
      <c r="R258" s="3083"/>
      <c r="S258" s="3083"/>
      <c r="T258" s="3083"/>
      <c r="U258" s="4132"/>
      <c r="V258" s="1288"/>
      <c r="W258" s="1288"/>
      <c r="X258" s="1288"/>
      <c r="Y258" s="1288"/>
      <c r="Z258" s="1288"/>
      <c r="AA258" s="1288"/>
      <c r="AB258" s="1288"/>
    </row>
    <row r="259" spans="1:28" ht="18" customHeight="1">
      <c r="A259" s="1288"/>
      <c r="B259" s="1288"/>
      <c r="C259" s="1288"/>
      <c r="D259" s="1288"/>
      <c r="E259" s="1288"/>
      <c r="F259" s="1288"/>
      <c r="G259" s="4129"/>
      <c r="H259" s="3083"/>
      <c r="I259" s="3083"/>
      <c r="J259" s="3083"/>
      <c r="K259" s="3083"/>
      <c r="L259" s="4129"/>
      <c r="M259" s="3083"/>
      <c r="N259" s="3083"/>
      <c r="O259" s="3083"/>
      <c r="P259" s="3083"/>
      <c r="Q259" s="4129"/>
      <c r="R259" s="3083"/>
      <c r="S259" s="3083"/>
      <c r="T259" s="3083"/>
      <c r="U259" s="4132"/>
      <c r="V259" s="1288"/>
      <c r="W259" s="1288"/>
      <c r="X259" s="1288"/>
      <c r="Y259" s="1288"/>
      <c r="Z259" s="1288"/>
      <c r="AA259" s="1288"/>
      <c r="AB259" s="1288"/>
    </row>
    <row r="260" spans="1:28" ht="18" customHeight="1">
      <c r="A260" s="1288"/>
      <c r="B260" s="1288"/>
      <c r="C260" s="1288"/>
      <c r="D260" s="1288"/>
      <c r="E260" s="1288"/>
      <c r="F260" s="1288"/>
      <c r="G260" s="4129"/>
      <c r="H260" s="3083"/>
      <c r="I260" s="3083"/>
      <c r="J260" s="3083"/>
      <c r="K260" s="3083"/>
      <c r="L260" s="4129"/>
      <c r="M260" s="3083"/>
      <c r="N260" s="3083"/>
      <c r="O260" s="3083"/>
      <c r="P260" s="3083"/>
      <c r="Q260" s="4129"/>
      <c r="R260" s="3083"/>
      <c r="S260" s="3083"/>
      <c r="T260" s="3083"/>
      <c r="U260" s="4132"/>
      <c r="V260" s="1288"/>
      <c r="W260" s="1288"/>
      <c r="X260" s="1288"/>
      <c r="Y260" s="1288"/>
      <c r="Z260" s="1288"/>
      <c r="AA260" s="1288"/>
      <c r="AB260" s="1288"/>
    </row>
    <row r="261" spans="1:28" ht="18" customHeight="1">
      <c r="A261" s="1288"/>
      <c r="B261" s="1288"/>
      <c r="C261" s="1288"/>
      <c r="D261" s="1288"/>
      <c r="E261" s="1288"/>
      <c r="F261" s="1288"/>
      <c r="G261" s="4129"/>
      <c r="H261" s="3083"/>
      <c r="I261" s="3083"/>
      <c r="J261" s="3083"/>
      <c r="K261" s="3083"/>
      <c r="L261" s="4129"/>
      <c r="M261" s="3083"/>
      <c r="N261" s="3083"/>
      <c r="O261" s="3083"/>
      <c r="P261" s="3083"/>
      <c r="Q261" s="4129"/>
      <c r="R261" s="3083"/>
      <c r="S261" s="3083"/>
      <c r="T261" s="3083"/>
      <c r="U261" s="4132"/>
      <c r="V261" s="1288"/>
      <c r="W261" s="1288"/>
      <c r="X261" s="1288"/>
      <c r="Y261" s="1288"/>
      <c r="Z261" s="1288"/>
      <c r="AA261" s="1288"/>
      <c r="AB261" s="1288"/>
    </row>
    <row r="262" spans="1:28" ht="18" customHeight="1">
      <c r="A262" s="1288"/>
      <c r="B262" s="1288"/>
      <c r="C262" s="1288"/>
      <c r="D262" s="1288"/>
      <c r="E262" s="1288"/>
      <c r="F262" s="1288"/>
      <c r="G262" s="4129"/>
      <c r="H262" s="3083"/>
      <c r="I262" s="3083"/>
      <c r="J262" s="3083"/>
      <c r="K262" s="3083"/>
      <c r="L262" s="4129"/>
      <c r="M262" s="3083"/>
      <c r="N262" s="3083"/>
      <c r="O262" s="3083"/>
      <c r="P262" s="3083"/>
      <c r="Q262" s="4129"/>
      <c r="R262" s="3083"/>
      <c r="S262" s="3083"/>
      <c r="T262" s="3083"/>
      <c r="U262" s="4132"/>
      <c r="V262" s="1288"/>
      <c r="W262" s="1288"/>
      <c r="X262" s="1288"/>
      <c r="Y262" s="1288"/>
      <c r="Z262" s="1288"/>
      <c r="AA262" s="1288"/>
      <c r="AB262" s="1288"/>
    </row>
    <row r="263" spans="1:28" ht="18" customHeight="1">
      <c r="A263" s="1288"/>
      <c r="B263" s="1288"/>
      <c r="C263" s="1288"/>
      <c r="D263" s="1288"/>
      <c r="E263" s="1288"/>
      <c r="F263" s="1288"/>
      <c r="G263" s="4129"/>
      <c r="H263" s="3083"/>
      <c r="I263" s="3083"/>
      <c r="J263" s="3083"/>
      <c r="K263" s="3083"/>
      <c r="L263" s="4129"/>
      <c r="M263" s="3083"/>
      <c r="N263" s="3083"/>
      <c r="O263" s="3083"/>
      <c r="P263" s="3083"/>
      <c r="Q263" s="4129"/>
      <c r="R263" s="3083"/>
      <c r="S263" s="3083"/>
      <c r="T263" s="3083"/>
      <c r="U263" s="4132"/>
      <c r="V263" s="1288"/>
      <c r="W263" s="1288"/>
      <c r="X263" s="1288"/>
      <c r="Y263" s="1288"/>
      <c r="Z263" s="1288"/>
      <c r="AA263" s="1288"/>
      <c r="AB263" s="1288"/>
    </row>
    <row r="264" spans="1:28" ht="18" customHeight="1">
      <c r="A264" s="1288"/>
      <c r="B264" s="1288"/>
      <c r="C264" s="1288"/>
      <c r="D264" s="1288"/>
      <c r="E264" s="1288"/>
      <c r="F264" s="1288"/>
      <c r="G264" s="4129"/>
      <c r="H264" s="3083"/>
      <c r="I264" s="3083"/>
      <c r="J264" s="3083"/>
      <c r="K264" s="3083"/>
      <c r="L264" s="4129"/>
      <c r="M264" s="3083"/>
      <c r="N264" s="3083"/>
      <c r="O264" s="3083"/>
      <c r="P264" s="3083"/>
      <c r="Q264" s="4129"/>
      <c r="R264" s="3083"/>
      <c r="S264" s="3083"/>
      <c r="T264" s="3083"/>
      <c r="U264" s="4132"/>
      <c r="V264" s="1288"/>
      <c r="W264" s="1288"/>
      <c r="X264" s="1288"/>
      <c r="Y264" s="1288"/>
      <c r="Z264" s="1288"/>
      <c r="AA264" s="1288"/>
      <c r="AB264" s="1288"/>
    </row>
    <row r="265" spans="1:28" ht="18" customHeight="1">
      <c r="A265" s="1288"/>
      <c r="B265" s="1288"/>
      <c r="C265" s="1288"/>
      <c r="D265" s="1288"/>
      <c r="E265" s="1288"/>
      <c r="F265" s="1288"/>
      <c r="G265" s="4130"/>
      <c r="H265" s="3179"/>
      <c r="I265" s="3179"/>
      <c r="J265" s="3179"/>
      <c r="K265" s="3179"/>
      <c r="L265" s="4130"/>
      <c r="M265" s="3179"/>
      <c r="N265" s="3179"/>
      <c r="O265" s="3179"/>
      <c r="P265" s="3179"/>
      <c r="Q265" s="4130"/>
      <c r="R265" s="3179"/>
      <c r="S265" s="3179"/>
      <c r="T265" s="3179"/>
      <c r="U265" s="3180"/>
      <c r="V265" s="1288"/>
      <c r="W265" s="1288"/>
      <c r="X265" s="1288"/>
      <c r="Y265" s="1288"/>
      <c r="Z265" s="1288"/>
      <c r="AA265" s="1288"/>
      <c r="AB265" s="1288"/>
    </row>
    <row r="266" spans="1:28" ht="18" customHeight="1">
      <c r="A266" s="1288"/>
      <c r="B266" s="1288"/>
      <c r="C266" s="1288"/>
      <c r="D266" s="1288"/>
      <c r="E266" s="1288"/>
      <c r="F266" s="1288"/>
      <c r="G266" s="4118" t="s">
        <v>1814</v>
      </c>
      <c r="H266" s="4119"/>
      <c r="I266" s="4119"/>
      <c r="J266" s="4119"/>
      <c r="K266" s="4120"/>
      <c r="L266" s="4118" t="s">
        <v>1814</v>
      </c>
      <c r="M266" s="4119"/>
      <c r="N266" s="4119"/>
      <c r="O266" s="4119"/>
      <c r="P266" s="4120"/>
      <c r="Q266" s="4118" t="s">
        <v>1814</v>
      </c>
      <c r="R266" s="4119"/>
      <c r="S266" s="4119"/>
      <c r="T266" s="4119"/>
      <c r="U266" s="4120"/>
      <c r="V266" s="1288"/>
      <c r="W266" s="1288"/>
      <c r="X266" s="1288"/>
      <c r="Y266" s="1288"/>
      <c r="Z266" s="1288"/>
      <c r="AA266" s="1288"/>
      <c r="AB266" s="1288"/>
    </row>
    <row r="267" spans="1:28" ht="18" customHeight="1">
      <c r="A267" s="1288"/>
      <c r="B267" s="1288"/>
      <c r="C267" s="1288"/>
      <c r="D267" s="1288"/>
      <c r="E267" s="1288"/>
      <c r="F267" s="1288"/>
      <c r="G267" s="4121"/>
      <c r="H267" s="4122"/>
      <c r="I267" s="4122"/>
      <c r="J267" s="4122"/>
      <c r="K267" s="4123"/>
      <c r="L267" s="4121"/>
      <c r="M267" s="4122"/>
      <c r="N267" s="4122"/>
      <c r="O267" s="4122"/>
      <c r="P267" s="4123"/>
      <c r="Q267" s="4121"/>
      <c r="R267" s="4122"/>
      <c r="S267" s="4122"/>
      <c r="T267" s="4122"/>
      <c r="U267" s="4123"/>
      <c r="V267" s="1288"/>
      <c r="W267" s="1288"/>
      <c r="X267" s="1288"/>
      <c r="Y267" s="1288"/>
      <c r="Z267" s="1288"/>
      <c r="AA267" s="1288"/>
      <c r="AB267" s="1288"/>
    </row>
    <row r="268" spans="1:28" ht="18" customHeight="1">
      <c r="A268" s="1288"/>
      <c r="B268" s="1288"/>
      <c r="C268" s="1288"/>
      <c r="D268" s="1288"/>
      <c r="E268" s="1288"/>
      <c r="F268" s="1288"/>
      <c r="G268" s="4124"/>
      <c r="H268" s="4125"/>
      <c r="I268" s="4125"/>
      <c r="J268" s="4125"/>
      <c r="K268" s="4126"/>
      <c r="L268" s="4124"/>
      <c r="M268" s="4125"/>
      <c r="N268" s="4125"/>
      <c r="O268" s="4125"/>
      <c r="P268" s="4126"/>
      <c r="Q268" s="4124"/>
      <c r="R268" s="4125"/>
      <c r="S268" s="4125"/>
      <c r="T268" s="4125"/>
      <c r="U268" s="4126"/>
      <c r="V268" s="1288"/>
      <c r="W268" s="1288"/>
      <c r="X268" s="1288"/>
      <c r="Y268" s="1288"/>
      <c r="Z268" s="1288"/>
      <c r="AA268" s="1288"/>
      <c r="AB268" s="1288"/>
    </row>
    <row r="269" spans="1:28" ht="18" customHeight="1">
      <c r="A269" s="1288"/>
      <c r="B269" s="1288"/>
      <c r="C269" s="1288"/>
      <c r="D269" s="1288"/>
      <c r="E269" s="1288"/>
      <c r="F269" s="1288"/>
      <c r="L269" s="1343"/>
      <c r="M269" s="1343"/>
      <c r="N269" s="1343"/>
      <c r="O269" s="1343"/>
      <c r="P269" s="1343"/>
      <c r="Q269" s="1343"/>
      <c r="R269" s="1343"/>
      <c r="S269" s="1343"/>
      <c r="T269" s="1343"/>
      <c r="U269" s="1343"/>
      <c r="V269" s="1288"/>
      <c r="W269" s="1288"/>
      <c r="X269" s="1288"/>
      <c r="Y269" s="1288"/>
      <c r="Z269" s="1288"/>
      <c r="AA269" s="1288"/>
      <c r="AB269" s="1288"/>
    </row>
    <row r="270" spans="1:28" ht="18" customHeight="1">
      <c r="A270" s="1288"/>
      <c r="B270" s="1288"/>
      <c r="C270" s="1288"/>
      <c r="D270" s="1288"/>
      <c r="E270" s="1288"/>
      <c r="F270" s="1288"/>
      <c r="G270" s="4127"/>
      <c r="H270" s="4128"/>
      <c r="I270" s="4128"/>
      <c r="J270" s="4128"/>
      <c r="K270" s="4128"/>
      <c r="L270" s="4127"/>
      <c r="M270" s="4128"/>
      <c r="N270" s="4128"/>
      <c r="O270" s="4128"/>
      <c r="P270" s="4128"/>
      <c r="Q270" s="4127"/>
      <c r="R270" s="4128"/>
      <c r="S270" s="4128"/>
      <c r="T270" s="4128"/>
      <c r="U270" s="4131"/>
      <c r="V270" s="1288"/>
      <c r="W270" s="1288"/>
      <c r="X270" s="1288"/>
      <c r="Y270" s="1288"/>
      <c r="Z270" s="1288"/>
      <c r="AA270" s="1288"/>
      <c r="AB270" s="1288"/>
    </row>
    <row r="271" spans="1:28" ht="18" customHeight="1">
      <c r="A271" s="1288"/>
      <c r="B271" s="1288"/>
      <c r="C271" s="1288"/>
      <c r="D271" s="1288"/>
      <c r="E271" s="1288"/>
      <c r="F271" s="1288"/>
      <c r="G271" s="4129"/>
      <c r="H271" s="3083"/>
      <c r="I271" s="3083"/>
      <c r="J271" s="3083"/>
      <c r="K271" s="3083"/>
      <c r="L271" s="4129"/>
      <c r="M271" s="3083"/>
      <c r="N271" s="3083"/>
      <c r="O271" s="3083"/>
      <c r="P271" s="3083"/>
      <c r="Q271" s="4129"/>
      <c r="R271" s="3083"/>
      <c r="S271" s="3083"/>
      <c r="T271" s="3083"/>
      <c r="U271" s="4132"/>
      <c r="V271" s="1288"/>
      <c r="W271" s="1288"/>
      <c r="X271" s="1288"/>
      <c r="Y271" s="1288"/>
      <c r="Z271" s="1288"/>
      <c r="AA271" s="1288"/>
      <c r="AB271" s="1288"/>
    </row>
    <row r="272" spans="1:28" ht="18" customHeight="1">
      <c r="A272" s="1288"/>
      <c r="B272" s="1288"/>
      <c r="C272" s="1288"/>
      <c r="D272" s="1288"/>
      <c r="E272" s="1288"/>
      <c r="F272" s="1288"/>
      <c r="G272" s="4129"/>
      <c r="H272" s="3083"/>
      <c r="I272" s="3083"/>
      <c r="J272" s="3083"/>
      <c r="K272" s="3083"/>
      <c r="L272" s="4129"/>
      <c r="M272" s="3083"/>
      <c r="N272" s="3083"/>
      <c r="O272" s="3083"/>
      <c r="P272" s="3083"/>
      <c r="Q272" s="4129"/>
      <c r="R272" s="3083"/>
      <c r="S272" s="3083"/>
      <c r="T272" s="3083"/>
      <c r="U272" s="4132"/>
      <c r="V272" s="1288"/>
      <c r="W272" s="1288"/>
      <c r="X272" s="1288"/>
      <c r="Y272" s="1288"/>
      <c r="Z272" s="1288"/>
      <c r="AA272" s="1288"/>
      <c r="AB272" s="1288"/>
    </row>
    <row r="273" spans="1:28" ht="18" customHeight="1">
      <c r="A273" s="1288"/>
      <c r="B273" s="1288"/>
      <c r="C273" s="1288"/>
      <c r="D273" s="1288"/>
      <c r="E273" s="1288"/>
      <c r="F273" s="1288"/>
      <c r="G273" s="4129"/>
      <c r="H273" s="3083"/>
      <c r="I273" s="3083"/>
      <c r="J273" s="3083"/>
      <c r="K273" s="3083"/>
      <c r="L273" s="4129"/>
      <c r="M273" s="3083"/>
      <c r="N273" s="3083"/>
      <c r="O273" s="3083"/>
      <c r="P273" s="3083"/>
      <c r="Q273" s="4129"/>
      <c r="R273" s="3083"/>
      <c r="S273" s="3083"/>
      <c r="T273" s="3083"/>
      <c r="U273" s="4132"/>
      <c r="V273" s="1288"/>
      <c r="W273" s="1288"/>
      <c r="X273" s="1288"/>
      <c r="Y273" s="1288"/>
      <c r="Z273" s="1288"/>
      <c r="AA273" s="1288"/>
      <c r="AB273" s="1288"/>
    </row>
    <row r="274" spans="1:28" ht="18" customHeight="1">
      <c r="A274" s="1288"/>
      <c r="B274" s="1288"/>
      <c r="C274" s="1288"/>
      <c r="D274" s="1288"/>
      <c r="E274" s="1288"/>
      <c r="F274" s="1288"/>
      <c r="G274" s="4129"/>
      <c r="H274" s="3083"/>
      <c r="I274" s="3083"/>
      <c r="J274" s="3083"/>
      <c r="K274" s="3083"/>
      <c r="L274" s="4129"/>
      <c r="M274" s="3083"/>
      <c r="N274" s="3083"/>
      <c r="O274" s="3083"/>
      <c r="P274" s="3083"/>
      <c r="Q274" s="4129"/>
      <c r="R274" s="3083"/>
      <c r="S274" s="3083"/>
      <c r="T274" s="3083"/>
      <c r="U274" s="4132"/>
      <c r="V274" s="1288"/>
      <c r="W274" s="1288"/>
      <c r="X274" s="1288"/>
      <c r="Y274" s="1288"/>
      <c r="Z274" s="1288"/>
      <c r="AA274" s="1288"/>
      <c r="AB274" s="1288"/>
    </row>
    <row r="275" spans="1:28" ht="18" customHeight="1">
      <c r="A275" s="1288"/>
      <c r="B275" s="1288"/>
      <c r="C275" s="1288"/>
      <c r="D275" s="1288"/>
      <c r="E275" s="1288"/>
      <c r="F275" s="1288"/>
      <c r="G275" s="4129"/>
      <c r="H275" s="3083"/>
      <c r="I275" s="3083"/>
      <c r="J275" s="3083"/>
      <c r="K275" s="3083"/>
      <c r="L275" s="4129"/>
      <c r="M275" s="3083"/>
      <c r="N275" s="3083"/>
      <c r="O275" s="3083"/>
      <c r="P275" s="3083"/>
      <c r="Q275" s="4129"/>
      <c r="R275" s="3083"/>
      <c r="S275" s="3083"/>
      <c r="T275" s="3083"/>
      <c r="U275" s="4132"/>
      <c r="V275" s="1288"/>
      <c r="W275" s="1288"/>
      <c r="X275" s="1288"/>
      <c r="Y275" s="1288"/>
      <c r="Z275" s="1288"/>
      <c r="AA275" s="1288"/>
      <c r="AB275" s="1288"/>
    </row>
    <row r="276" spans="1:28" ht="18" customHeight="1">
      <c r="A276" s="1288"/>
      <c r="B276" s="1288"/>
      <c r="C276" s="1288"/>
      <c r="D276" s="1288"/>
      <c r="E276" s="1288"/>
      <c r="F276" s="1288"/>
      <c r="G276" s="4129"/>
      <c r="H276" s="3083"/>
      <c r="I276" s="3083"/>
      <c r="J276" s="3083"/>
      <c r="K276" s="3083"/>
      <c r="L276" s="4129"/>
      <c r="M276" s="3083"/>
      <c r="N276" s="3083"/>
      <c r="O276" s="3083"/>
      <c r="P276" s="3083"/>
      <c r="Q276" s="4129"/>
      <c r="R276" s="3083"/>
      <c r="S276" s="3083"/>
      <c r="T276" s="3083"/>
      <c r="U276" s="4132"/>
      <c r="V276" s="1288"/>
      <c r="W276" s="1288"/>
      <c r="X276" s="1288"/>
      <c r="Y276" s="1288"/>
      <c r="Z276" s="1288"/>
      <c r="AA276" s="1288"/>
      <c r="AB276" s="1288"/>
    </row>
    <row r="277" spans="1:28" ht="18" customHeight="1">
      <c r="A277" s="1288"/>
      <c r="B277" s="1288"/>
      <c r="C277" s="1288"/>
      <c r="D277" s="1288"/>
      <c r="E277" s="1288"/>
      <c r="F277" s="1288"/>
      <c r="G277" s="4129"/>
      <c r="H277" s="3083"/>
      <c r="I277" s="3083"/>
      <c r="J277" s="3083"/>
      <c r="K277" s="3083"/>
      <c r="L277" s="4129"/>
      <c r="M277" s="3083"/>
      <c r="N277" s="3083"/>
      <c r="O277" s="3083"/>
      <c r="P277" s="3083"/>
      <c r="Q277" s="4129"/>
      <c r="R277" s="3083"/>
      <c r="S277" s="3083"/>
      <c r="T277" s="3083"/>
      <c r="U277" s="4132"/>
      <c r="V277" s="1288"/>
      <c r="W277" s="1288"/>
      <c r="X277" s="1288"/>
      <c r="Y277" s="1288"/>
      <c r="Z277" s="1288"/>
      <c r="AA277" s="1288"/>
      <c r="AB277" s="1288"/>
    </row>
    <row r="278" spans="1:28" ht="18" customHeight="1">
      <c r="A278" s="1288"/>
      <c r="B278" s="1288"/>
      <c r="C278" s="1288"/>
      <c r="D278" s="1288"/>
      <c r="E278" s="1288"/>
      <c r="F278" s="1288"/>
      <c r="G278" s="4130"/>
      <c r="H278" s="3179"/>
      <c r="I278" s="3179"/>
      <c r="J278" s="3179"/>
      <c r="K278" s="3179"/>
      <c r="L278" s="4130"/>
      <c r="M278" s="3179"/>
      <c r="N278" s="3179"/>
      <c r="O278" s="3179"/>
      <c r="P278" s="3179"/>
      <c r="Q278" s="4130"/>
      <c r="R278" s="3179"/>
      <c r="S278" s="3179"/>
      <c r="T278" s="3179"/>
      <c r="U278" s="3180"/>
      <c r="V278" s="1288"/>
      <c r="W278" s="1288"/>
      <c r="X278" s="1288"/>
      <c r="Y278" s="1288"/>
      <c r="Z278" s="1288"/>
      <c r="AA278" s="1288"/>
      <c r="AB278" s="1288"/>
    </row>
    <row r="279" spans="1:28" ht="18" customHeight="1">
      <c r="A279" s="1288"/>
      <c r="B279" s="1288"/>
      <c r="C279" s="1288"/>
      <c r="D279" s="1288"/>
      <c r="E279" s="1288"/>
      <c r="F279" s="1288"/>
      <c r="G279" s="4118" t="s">
        <v>1814</v>
      </c>
      <c r="H279" s="4119"/>
      <c r="I279" s="4119"/>
      <c r="J279" s="4119"/>
      <c r="K279" s="4120"/>
      <c r="L279" s="4118" t="s">
        <v>1814</v>
      </c>
      <c r="M279" s="4119"/>
      <c r="N279" s="4119"/>
      <c r="O279" s="4119"/>
      <c r="P279" s="4120"/>
      <c r="Q279" s="4118" t="s">
        <v>1814</v>
      </c>
      <c r="R279" s="4119"/>
      <c r="S279" s="4119"/>
      <c r="T279" s="4119"/>
      <c r="U279" s="4120"/>
      <c r="V279" s="1288"/>
      <c r="W279" s="1288"/>
      <c r="X279" s="1288"/>
      <c r="Y279" s="1288"/>
      <c r="Z279" s="1288"/>
      <c r="AA279" s="1288"/>
      <c r="AB279" s="1288"/>
    </row>
    <row r="280" spans="1:28" ht="18" customHeight="1">
      <c r="A280" s="1288"/>
      <c r="B280" s="1288"/>
      <c r="C280" s="1288"/>
      <c r="D280" s="1288"/>
      <c r="E280" s="1288"/>
      <c r="F280" s="1288"/>
      <c r="G280" s="4121"/>
      <c r="H280" s="4122"/>
      <c r="I280" s="4122"/>
      <c r="J280" s="4122"/>
      <c r="K280" s="4123"/>
      <c r="L280" s="4121"/>
      <c r="M280" s="4122"/>
      <c r="N280" s="4122"/>
      <c r="O280" s="4122"/>
      <c r="P280" s="4123"/>
      <c r="Q280" s="4121"/>
      <c r="R280" s="4122"/>
      <c r="S280" s="4122"/>
      <c r="T280" s="4122"/>
      <c r="U280" s="4123"/>
      <c r="V280" s="1288"/>
      <c r="W280" s="1288"/>
      <c r="X280" s="1288"/>
      <c r="Y280" s="1288"/>
      <c r="Z280" s="1288"/>
      <c r="AA280" s="1288"/>
      <c r="AB280" s="1288"/>
    </row>
    <row r="281" spans="1:28" ht="18" customHeight="1">
      <c r="A281" s="1288"/>
      <c r="B281" s="1288"/>
      <c r="C281" s="1288"/>
      <c r="D281" s="1288"/>
      <c r="E281" s="1288"/>
      <c r="F281" s="1288"/>
      <c r="G281" s="4124"/>
      <c r="H281" s="4125"/>
      <c r="I281" s="4125"/>
      <c r="J281" s="4125"/>
      <c r="K281" s="4126"/>
      <c r="L281" s="4124"/>
      <c r="M281" s="4125"/>
      <c r="N281" s="4125"/>
      <c r="O281" s="4125"/>
      <c r="P281" s="4126"/>
      <c r="Q281" s="4124"/>
      <c r="R281" s="4125"/>
      <c r="S281" s="4125"/>
      <c r="T281" s="4125"/>
      <c r="U281" s="4126"/>
      <c r="V281" s="1288"/>
      <c r="W281" s="1288"/>
      <c r="X281" s="1288"/>
      <c r="Y281" s="1288"/>
      <c r="Z281" s="1288"/>
      <c r="AA281" s="1288"/>
      <c r="AB281" s="1288"/>
    </row>
    <row r="282" spans="1:28" ht="18" customHeight="1">
      <c r="A282" s="1288"/>
      <c r="B282" s="1288"/>
      <c r="C282" s="1288"/>
      <c r="D282" s="1288"/>
      <c r="E282" s="1288"/>
      <c r="F282" s="1288"/>
      <c r="L282" s="1343"/>
      <c r="M282" s="1343"/>
      <c r="N282" s="1343"/>
      <c r="O282" s="1343"/>
      <c r="P282" s="1343"/>
      <c r="Q282" s="1343"/>
      <c r="R282" s="1343"/>
      <c r="S282" s="1343"/>
      <c r="T282" s="1343"/>
      <c r="U282" s="1343"/>
      <c r="V282" s="1288"/>
      <c r="W282" s="1288"/>
      <c r="X282" s="1288"/>
      <c r="Y282" s="1288"/>
      <c r="Z282" s="1288"/>
      <c r="AA282" s="1288"/>
      <c r="AB282" s="1288"/>
    </row>
    <row r="283" spans="1:28" ht="18" customHeight="1">
      <c r="A283" s="1288"/>
      <c r="B283" s="1288"/>
      <c r="C283" s="1288"/>
      <c r="D283" s="1288"/>
      <c r="E283" s="1288"/>
      <c r="F283" s="1288"/>
      <c r="G283" s="4127"/>
      <c r="H283" s="4128"/>
      <c r="I283" s="4128"/>
      <c r="J283" s="4128"/>
      <c r="K283" s="4128"/>
      <c r="L283" s="4127"/>
      <c r="M283" s="4128"/>
      <c r="N283" s="4128"/>
      <c r="O283" s="4128"/>
      <c r="P283" s="4128"/>
      <c r="Q283" s="4127"/>
      <c r="R283" s="4128"/>
      <c r="S283" s="4128"/>
      <c r="T283" s="4128"/>
      <c r="U283" s="4131"/>
      <c r="V283" s="1288"/>
      <c r="W283" s="1288"/>
      <c r="X283" s="1288"/>
      <c r="Y283" s="1288"/>
      <c r="Z283" s="1288"/>
      <c r="AA283" s="1288"/>
      <c r="AB283" s="1288"/>
    </row>
    <row r="284" spans="1:28" ht="18" customHeight="1">
      <c r="A284" s="1288"/>
      <c r="B284" s="1288"/>
      <c r="C284" s="1288"/>
      <c r="D284" s="1288"/>
      <c r="E284" s="1288"/>
      <c r="F284" s="1288"/>
      <c r="G284" s="4129"/>
      <c r="H284" s="3083"/>
      <c r="I284" s="3083"/>
      <c r="J284" s="3083"/>
      <c r="K284" s="3083"/>
      <c r="L284" s="4129"/>
      <c r="M284" s="3083"/>
      <c r="N284" s="3083"/>
      <c r="O284" s="3083"/>
      <c r="P284" s="3083"/>
      <c r="Q284" s="4129"/>
      <c r="R284" s="3083"/>
      <c r="S284" s="3083"/>
      <c r="T284" s="3083"/>
      <c r="U284" s="4132"/>
      <c r="V284" s="1288"/>
      <c r="W284" s="1288"/>
      <c r="X284" s="1288"/>
      <c r="Y284" s="1288"/>
      <c r="Z284" s="1288"/>
      <c r="AA284" s="1288"/>
      <c r="AB284" s="1288"/>
    </row>
    <row r="285" spans="1:28" ht="18" customHeight="1">
      <c r="A285" s="1288"/>
      <c r="B285" s="1288"/>
      <c r="C285" s="1288"/>
      <c r="D285" s="1288"/>
      <c r="E285" s="1288"/>
      <c r="F285" s="1288"/>
      <c r="G285" s="4129"/>
      <c r="H285" s="3083"/>
      <c r="I285" s="3083"/>
      <c r="J285" s="3083"/>
      <c r="K285" s="3083"/>
      <c r="L285" s="4129"/>
      <c r="M285" s="3083"/>
      <c r="N285" s="3083"/>
      <c r="O285" s="3083"/>
      <c r="P285" s="3083"/>
      <c r="Q285" s="4129"/>
      <c r="R285" s="3083"/>
      <c r="S285" s="3083"/>
      <c r="T285" s="3083"/>
      <c r="U285" s="4132"/>
      <c r="V285" s="1288"/>
      <c r="W285" s="1288"/>
      <c r="X285" s="1288"/>
      <c r="Y285" s="1288"/>
      <c r="Z285" s="1288"/>
      <c r="AA285" s="1288"/>
      <c r="AB285" s="1288"/>
    </row>
    <row r="286" spans="1:28" ht="18" customHeight="1">
      <c r="A286" s="1288"/>
      <c r="B286" s="1288"/>
      <c r="C286" s="1288"/>
      <c r="D286" s="1288"/>
      <c r="E286" s="1288"/>
      <c r="F286" s="1288"/>
      <c r="G286" s="4129"/>
      <c r="H286" s="3083"/>
      <c r="I286" s="3083"/>
      <c r="J286" s="3083"/>
      <c r="K286" s="3083"/>
      <c r="L286" s="4129"/>
      <c r="M286" s="3083"/>
      <c r="N286" s="3083"/>
      <c r="O286" s="3083"/>
      <c r="P286" s="3083"/>
      <c r="Q286" s="4129"/>
      <c r="R286" s="3083"/>
      <c r="S286" s="3083"/>
      <c r="T286" s="3083"/>
      <c r="U286" s="4132"/>
      <c r="V286" s="1288"/>
      <c r="W286" s="1288"/>
      <c r="X286" s="1288"/>
      <c r="Y286" s="1288"/>
      <c r="Z286" s="1288"/>
      <c r="AA286" s="1288"/>
      <c r="AB286" s="1288"/>
    </row>
    <row r="287" spans="1:28" ht="18" customHeight="1">
      <c r="A287" s="1288"/>
      <c r="B287" s="1288"/>
      <c r="C287" s="1288"/>
      <c r="D287" s="1288"/>
      <c r="E287" s="1288"/>
      <c r="F287" s="1288"/>
      <c r="G287" s="4129"/>
      <c r="H287" s="3083"/>
      <c r="I287" s="3083"/>
      <c r="J287" s="3083"/>
      <c r="K287" s="3083"/>
      <c r="L287" s="4129"/>
      <c r="M287" s="3083"/>
      <c r="N287" s="3083"/>
      <c r="O287" s="3083"/>
      <c r="P287" s="3083"/>
      <c r="Q287" s="4129"/>
      <c r="R287" s="3083"/>
      <c r="S287" s="3083"/>
      <c r="T287" s="3083"/>
      <c r="U287" s="4132"/>
      <c r="V287" s="1288"/>
      <c r="W287" s="1288"/>
      <c r="X287" s="1288"/>
      <c r="Y287" s="1288"/>
      <c r="Z287" s="1288"/>
      <c r="AA287" s="1288"/>
      <c r="AB287" s="1288"/>
    </row>
    <row r="288" spans="1:28" ht="18" customHeight="1">
      <c r="A288" s="1288"/>
      <c r="B288" s="1288"/>
      <c r="C288" s="1288"/>
      <c r="D288" s="1288"/>
      <c r="E288" s="1288"/>
      <c r="F288" s="1288"/>
      <c r="G288" s="4129"/>
      <c r="H288" s="3083"/>
      <c r="I288" s="3083"/>
      <c r="J288" s="3083"/>
      <c r="K288" s="3083"/>
      <c r="L288" s="4129"/>
      <c r="M288" s="3083"/>
      <c r="N288" s="3083"/>
      <c r="O288" s="3083"/>
      <c r="P288" s="3083"/>
      <c r="Q288" s="4129"/>
      <c r="R288" s="3083"/>
      <c r="S288" s="3083"/>
      <c r="T288" s="3083"/>
      <c r="U288" s="4132"/>
      <c r="V288" s="1288"/>
      <c r="W288" s="1288"/>
      <c r="X288" s="1288"/>
      <c r="Y288" s="1288"/>
      <c r="Z288" s="1288"/>
      <c r="AA288" s="1288"/>
      <c r="AB288" s="1288"/>
    </row>
    <row r="289" spans="1:28" ht="18" customHeight="1">
      <c r="A289" s="1288"/>
      <c r="B289" s="1288"/>
      <c r="C289" s="1288"/>
      <c r="D289" s="1288"/>
      <c r="E289" s="1288"/>
      <c r="F289" s="1288"/>
      <c r="G289" s="4129"/>
      <c r="H289" s="3083"/>
      <c r="I289" s="3083"/>
      <c r="J289" s="3083"/>
      <c r="K289" s="3083"/>
      <c r="L289" s="4129"/>
      <c r="M289" s="3083"/>
      <c r="N289" s="3083"/>
      <c r="O289" s="3083"/>
      <c r="P289" s="3083"/>
      <c r="Q289" s="4129"/>
      <c r="R289" s="3083"/>
      <c r="S289" s="3083"/>
      <c r="T289" s="3083"/>
      <c r="U289" s="4132"/>
      <c r="V289" s="1288"/>
      <c r="W289" s="1288"/>
      <c r="X289" s="1288"/>
      <c r="Y289" s="1288"/>
      <c r="Z289" s="1288"/>
      <c r="AA289" s="1288"/>
      <c r="AB289" s="1288"/>
    </row>
    <row r="290" spans="1:28" ht="18" customHeight="1">
      <c r="A290" s="1288"/>
      <c r="B290" s="1288"/>
      <c r="C290" s="1288"/>
      <c r="D290" s="1288"/>
      <c r="E290" s="1288"/>
      <c r="F290" s="1288"/>
      <c r="G290" s="4129"/>
      <c r="H290" s="3083"/>
      <c r="I290" s="3083"/>
      <c r="J290" s="3083"/>
      <c r="K290" s="3083"/>
      <c r="L290" s="4129"/>
      <c r="M290" s="3083"/>
      <c r="N290" s="3083"/>
      <c r="O290" s="3083"/>
      <c r="P290" s="3083"/>
      <c r="Q290" s="4129"/>
      <c r="R290" s="3083"/>
      <c r="S290" s="3083"/>
      <c r="T290" s="3083"/>
      <c r="U290" s="4132"/>
      <c r="V290" s="1288"/>
      <c r="W290" s="1288"/>
      <c r="X290" s="1288"/>
      <c r="Y290" s="1288"/>
      <c r="Z290" s="1288"/>
      <c r="AA290" s="1288"/>
      <c r="AB290" s="1288"/>
    </row>
    <row r="291" spans="1:28" ht="18" customHeight="1">
      <c r="A291" s="1288"/>
      <c r="B291" s="1288"/>
      <c r="C291" s="1288"/>
      <c r="D291" s="1288"/>
      <c r="E291" s="1288"/>
      <c r="F291" s="1288"/>
      <c r="G291" s="4130"/>
      <c r="H291" s="3179"/>
      <c r="I291" s="3179"/>
      <c r="J291" s="3179"/>
      <c r="K291" s="3179"/>
      <c r="L291" s="4130"/>
      <c r="M291" s="3179"/>
      <c r="N291" s="3179"/>
      <c r="O291" s="3179"/>
      <c r="P291" s="3179"/>
      <c r="Q291" s="4130"/>
      <c r="R291" s="3179"/>
      <c r="S291" s="3179"/>
      <c r="T291" s="3179"/>
      <c r="U291" s="3180"/>
      <c r="V291" s="1288"/>
      <c r="W291" s="1288"/>
      <c r="X291" s="1288"/>
      <c r="Y291" s="1288"/>
      <c r="Z291" s="1288"/>
      <c r="AA291" s="1288"/>
      <c r="AB291" s="1288"/>
    </row>
    <row r="292" spans="1:28" ht="18" customHeight="1">
      <c r="A292" s="1288"/>
      <c r="B292" s="1288"/>
      <c r="C292" s="1288"/>
      <c r="D292" s="1288"/>
      <c r="E292" s="1288"/>
      <c r="F292" s="1288"/>
      <c r="G292" s="4118" t="s">
        <v>1814</v>
      </c>
      <c r="H292" s="4119"/>
      <c r="I292" s="4119"/>
      <c r="J292" s="4119"/>
      <c r="K292" s="4120"/>
      <c r="L292" s="4118" t="s">
        <v>1814</v>
      </c>
      <c r="M292" s="4119"/>
      <c r="N292" s="4119"/>
      <c r="O292" s="4119"/>
      <c r="P292" s="4120"/>
      <c r="Q292" s="4118" t="s">
        <v>1814</v>
      </c>
      <c r="R292" s="4119"/>
      <c r="S292" s="4119"/>
      <c r="T292" s="4119"/>
      <c r="U292" s="4120"/>
      <c r="V292" s="1288"/>
      <c r="W292" s="1288"/>
      <c r="X292" s="1288"/>
      <c r="Y292" s="1288"/>
      <c r="Z292" s="1288"/>
      <c r="AA292" s="1288"/>
      <c r="AB292" s="1288"/>
    </row>
    <row r="293" spans="1:28" ht="18" customHeight="1">
      <c r="A293" s="1288"/>
      <c r="B293" s="1288"/>
      <c r="C293" s="1288"/>
      <c r="D293" s="1288"/>
      <c r="E293" s="1288"/>
      <c r="F293" s="1288"/>
      <c r="G293" s="4121"/>
      <c r="H293" s="4122"/>
      <c r="I293" s="4122"/>
      <c r="J293" s="4122"/>
      <c r="K293" s="4123"/>
      <c r="L293" s="4121"/>
      <c r="M293" s="4122"/>
      <c r="N293" s="4122"/>
      <c r="O293" s="4122"/>
      <c r="P293" s="4123"/>
      <c r="Q293" s="4121"/>
      <c r="R293" s="4122"/>
      <c r="S293" s="4122"/>
      <c r="T293" s="4122"/>
      <c r="U293" s="4123"/>
      <c r="V293" s="1288"/>
      <c r="W293" s="1288"/>
      <c r="X293" s="1288"/>
      <c r="Y293" s="1288"/>
      <c r="Z293" s="1288"/>
      <c r="AA293" s="1288"/>
      <c r="AB293" s="1288"/>
    </row>
    <row r="294" spans="1:28" ht="18" customHeight="1">
      <c r="A294" s="1288"/>
      <c r="B294" s="1288"/>
      <c r="C294" s="1288"/>
      <c r="D294" s="1288"/>
      <c r="E294" s="1288"/>
      <c r="F294" s="1288"/>
      <c r="G294" s="4124"/>
      <c r="H294" s="4125"/>
      <c r="I294" s="4125"/>
      <c r="J294" s="4125"/>
      <c r="K294" s="4126"/>
      <c r="L294" s="4124"/>
      <c r="M294" s="4125"/>
      <c r="N294" s="4125"/>
      <c r="O294" s="4125"/>
      <c r="P294" s="4126"/>
      <c r="Q294" s="4124"/>
      <c r="R294" s="4125"/>
      <c r="S294" s="4125"/>
      <c r="T294" s="4125"/>
      <c r="U294" s="4126"/>
      <c r="V294" s="1288"/>
      <c r="W294" s="1288"/>
      <c r="X294" s="1288"/>
      <c r="Y294" s="1288"/>
      <c r="Z294" s="1288"/>
      <c r="AA294" s="1288"/>
      <c r="AB294" s="1288"/>
    </row>
    <row r="295" spans="1:28" ht="18" customHeight="1">
      <c r="A295" s="1288"/>
      <c r="B295" s="1288"/>
      <c r="C295" s="1288"/>
      <c r="D295" s="1288"/>
      <c r="E295" s="1288"/>
      <c r="F295" s="1288"/>
      <c r="G295" s="1311"/>
      <c r="H295" s="1311"/>
      <c r="I295" s="1311"/>
      <c r="J295" s="1311"/>
      <c r="K295" s="1312"/>
      <c r="L295" s="1312"/>
      <c r="M295" s="1312"/>
      <c r="N295" s="1313"/>
      <c r="O295" s="1313"/>
      <c r="P295" s="1313"/>
      <c r="Q295" s="1313"/>
      <c r="R295" s="1313"/>
      <c r="S295" s="1313"/>
      <c r="T295" s="1313"/>
      <c r="U295" s="1313"/>
      <c r="V295" s="1288"/>
      <c r="W295" s="1288"/>
      <c r="X295" s="1288"/>
      <c r="Y295" s="1288"/>
      <c r="Z295" s="1288"/>
      <c r="AA295" s="1288"/>
      <c r="AB295" s="1288"/>
    </row>
    <row r="296" spans="1:28" ht="18" customHeight="1">
      <c r="A296" s="1288"/>
      <c r="B296" s="1288"/>
      <c r="C296" s="1288"/>
      <c r="D296" s="1288"/>
      <c r="E296" s="1288"/>
      <c r="F296" s="1288"/>
      <c r="G296" s="4133" t="str">
        <f>CONCATENATE("Report Prepared By: ",Investor_Name,"  |  ",Company_Name,"  |  ",Company_Email,"  |  ",Company_Email)</f>
        <v xml:space="preserve">Report Prepared By:   |    |    |  </v>
      </c>
      <c r="H296" s="4133"/>
      <c r="I296" s="4133"/>
      <c r="J296" s="4133"/>
      <c r="K296" s="4133"/>
      <c r="L296" s="4133"/>
      <c r="M296" s="4133"/>
      <c r="N296" s="4133"/>
      <c r="O296" s="4133"/>
      <c r="P296" s="4133"/>
      <c r="Q296" s="4133"/>
      <c r="R296" s="4133"/>
      <c r="S296" s="4133"/>
      <c r="T296" s="4133"/>
      <c r="U296" s="4133"/>
      <c r="V296" s="1288"/>
      <c r="W296" s="1288"/>
      <c r="X296" s="1288"/>
      <c r="Y296" s="1288"/>
      <c r="Z296" s="1288"/>
      <c r="AA296" s="1288"/>
      <c r="AB296" s="1288"/>
    </row>
    <row r="297" spans="1:28" ht="14.25" customHeight="1">
      <c r="A297" s="1288"/>
      <c r="B297" s="1288"/>
      <c r="C297" s="1288"/>
      <c r="D297" s="1288"/>
      <c r="E297" s="1288"/>
      <c r="F297" s="1288"/>
      <c r="G297" s="1344"/>
      <c r="H297" s="1344"/>
      <c r="I297" s="1344"/>
      <c r="J297" s="1344"/>
      <c r="K297" s="1344"/>
      <c r="L297" s="1345"/>
      <c r="M297" s="1345"/>
      <c r="N297" s="1345"/>
      <c r="O297" s="1345"/>
      <c r="P297" s="1344"/>
      <c r="Q297" s="1344"/>
      <c r="R297" s="1344"/>
      <c r="S297" s="1345"/>
      <c r="T297" s="1345"/>
      <c r="U297" s="1345"/>
      <c r="V297" s="1288"/>
      <c r="W297" s="1288"/>
      <c r="X297" s="1288"/>
      <c r="Y297" s="1288"/>
      <c r="Z297" s="1288"/>
      <c r="AA297" s="1288"/>
      <c r="AB297" s="1288"/>
    </row>
    <row r="298" spans="1:28" ht="17.25" customHeight="1">
      <c r="A298" s="4117" t="s">
        <v>1619</v>
      </c>
      <c r="B298" s="4117"/>
      <c r="C298" s="4117"/>
      <c r="D298" s="4117"/>
      <c r="E298" s="4117"/>
      <c r="F298" s="4117"/>
      <c r="G298" s="4117"/>
      <c r="H298" s="4117"/>
      <c r="I298" s="4117"/>
      <c r="J298" s="4117"/>
      <c r="K298" s="4117"/>
      <c r="L298" s="4117"/>
      <c r="M298" s="4117"/>
      <c r="N298" s="4117"/>
      <c r="O298" s="4117"/>
      <c r="P298" s="4117"/>
      <c r="Q298" s="4117"/>
      <c r="R298" s="4117"/>
      <c r="S298" s="4117"/>
      <c r="T298" s="4117"/>
      <c r="U298" s="4117"/>
      <c r="V298" s="4117"/>
      <c r="W298" s="4117"/>
      <c r="X298" s="4117"/>
      <c r="Y298" s="4117"/>
      <c r="Z298" s="4117"/>
      <c r="AA298" s="4117"/>
      <c r="AB298" s="4117"/>
    </row>
    <row r="299" spans="1:28" ht="17.25" customHeight="1">
      <c r="A299" s="4117"/>
      <c r="B299" s="4117"/>
      <c r="C299" s="4117"/>
      <c r="D299" s="4117"/>
      <c r="E299" s="4117"/>
      <c r="F299" s="4117"/>
      <c r="G299" s="4117"/>
      <c r="H299" s="4117"/>
      <c r="I299" s="4117"/>
      <c r="J299" s="4117"/>
      <c r="K299" s="4117"/>
      <c r="L299" s="4117"/>
      <c r="M299" s="4117"/>
      <c r="N299" s="4117"/>
      <c r="O299" s="4117"/>
      <c r="P299" s="4117"/>
      <c r="Q299" s="4117"/>
      <c r="R299" s="4117"/>
      <c r="S299" s="4117"/>
      <c r="T299" s="4117"/>
      <c r="U299" s="4117"/>
      <c r="V299" s="4117"/>
      <c r="W299" s="4117"/>
      <c r="X299" s="4117"/>
      <c r="Y299" s="4117"/>
      <c r="Z299" s="4117"/>
      <c r="AA299" s="4117"/>
      <c r="AB299" s="4117"/>
    </row>
  </sheetData>
  <mergeCells count="308">
    <mergeCell ref="B2:F4"/>
    <mergeCell ref="S2:U4"/>
    <mergeCell ref="G6:U6"/>
    <mergeCell ref="Q8:U9"/>
    <mergeCell ref="G9:M9"/>
    <mergeCell ref="G11:K11"/>
    <mergeCell ref="L17:M17"/>
    <mergeCell ref="G18:K18"/>
    <mergeCell ref="L18:M18"/>
    <mergeCell ref="G19:K19"/>
    <mergeCell ref="L19:M19"/>
    <mergeCell ref="Q19:U19"/>
    <mergeCell ref="G13:K13"/>
    <mergeCell ref="L13:M13"/>
    <mergeCell ref="L14:M14"/>
    <mergeCell ref="Q14:U14"/>
    <mergeCell ref="G15:K15"/>
    <mergeCell ref="L15:M15"/>
    <mergeCell ref="Q15:U17"/>
    <mergeCell ref="G16:K16"/>
    <mergeCell ref="L16:M16"/>
    <mergeCell ref="G17:K17"/>
    <mergeCell ref="N13:O13"/>
    <mergeCell ref="N14:O14"/>
    <mergeCell ref="N15:O15"/>
    <mergeCell ref="N16:O16"/>
    <mergeCell ref="N17:O17"/>
    <mergeCell ref="N18:O18"/>
    <mergeCell ref="N19:O19"/>
    <mergeCell ref="Q24:U24"/>
    <mergeCell ref="G25:K25"/>
    <mergeCell ref="Q25:U27"/>
    <mergeCell ref="G26:K26"/>
    <mergeCell ref="L26:M26"/>
    <mergeCell ref="G27:K27"/>
    <mergeCell ref="L27:M27"/>
    <mergeCell ref="G20:K20"/>
    <mergeCell ref="L20:M20"/>
    <mergeCell ref="Q20:U22"/>
    <mergeCell ref="G21:K21"/>
    <mergeCell ref="L21:M21"/>
    <mergeCell ref="G23:K23"/>
    <mergeCell ref="L23:M23"/>
    <mergeCell ref="N20:O20"/>
    <mergeCell ref="N21:O21"/>
    <mergeCell ref="N23:O23"/>
    <mergeCell ref="N26:O26"/>
    <mergeCell ref="N27:O27"/>
    <mergeCell ref="G33:J33"/>
    <mergeCell ref="L33:M33"/>
    <mergeCell ref="N33:O33"/>
    <mergeCell ref="G34:I34"/>
    <mergeCell ref="L34:M34"/>
    <mergeCell ref="N34:O34"/>
    <mergeCell ref="G28:K28"/>
    <mergeCell ref="L28:M28"/>
    <mergeCell ref="Q29:U29"/>
    <mergeCell ref="G30:O31"/>
    <mergeCell ref="Q30:U32"/>
    <mergeCell ref="L32:M32"/>
    <mergeCell ref="N32:O32"/>
    <mergeCell ref="Q34:U34"/>
    <mergeCell ref="N28:O28"/>
    <mergeCell ref="G35:I35"/>
    <mergeCell ref="L35:M35"/>
    <mergeCell ref="N35:O35"/>
    <mergeCell ref="Q35:U37"/>
    <mergeCell ref="G36:I36"/>
    <mergeCell ref="L36:M36"/>
    <mergeCell ref="N36:O36"/>
    <mergeCell ref="G37:K37"/>
    <mergeCell ref="L37:M37"/>
    <mergeCell ref="N37:O37"/>
    <mergeCell ref="G39:K39"/>
    <mergeCell ref="L39:M39"/>
    <mergeCell ref="N39:O39"/>
    <mergeCell ref="Q39:U39"/>
    <mergeCell ref="Q40:U42"/>
    <mergeCell ref="G41:K41"/>
    <mergeCell ref="L41:M41"/>
    <mergeCell ref="N41:O41"/>
    <mergeCell ref="G43:J43"/>
    <mergeCell ref="G44:J44"/>
    <mergeCell ref="L44:M44"/>
    <mergeCell ref="N44:O44"/>
    <mergeCell ref="G53:K53"/>
    <mergeCell ref="L53:M53"/>
    <mergeCell ref="N53:O53"/>
    <mergeCell ref="Q44:U44"/>
    <mergeCell ref="G45:J45"/>
    <mergeCell ref="L45:M45"/>
    <mergeCell ref="N45:O45"/>
    <mergeCell ref="Q45:U47"/>
    <mergeCell ref="G46:K46"/>
    <mergeCell ref="L46:M46"/>
    <mergeCell ref="N46:O46"/>
    <mergeCell ref="Q49:U49"/>
    <mergeCell ref="G50:J50"/>
    <mergeCell ref="L50:M50"/>
    <mergeCell ref="N50:O50"/>
    <mergeCell ref="Q50:U52"/>
    <mergeCell ref="G52:J52"/>
    <mergeCell ref="G48:J48"/>
    <mergeCell ref="G49:J49"/>
    <mergeCell ref="L49:M49"/>
    <mergeCell ref="N49:O49"/>
    <mergeCell ref="G58:J58"/>
    <mergeCell ref="L58:M58"/>
    <mergeCell ref="N58:O58"/>
    <mergeCell ref="Q54:U54"/>
    <mergeCell ref="G55:K55"/>
    <mergeCell ref="L55:M55"/>
    <mergeCell ref="N55:O55"/>
    <mergeCell ref="Q55:U57"/>
    <mergeCell ref="G57:J57"/>
    <mergeCell ref="L57:M57"/>
    <mergeCell ref="N57:O57"/>
    <mergeCell ref="G54:K54"/>
    <mergeCell ref="L54:M54"/>
    <mergeCell ref="N54:O54"/>
    <mergeCell ref="G62:U62"/>
    <mergeCell ref="G74:K74"/>
    <mergeCell ref="G75:K75"/>
    <mergeCell ref="G76:K76"/>
    <mergeCell ref="G77:K77"/>
    <mergeCell ref="G79:J79"/>
    <mergeCell ref="G80:K80"/>
    <mergeCell ref="G63:U63"/>
    <mergeCell ref="Q65:U65"/>
    <mergeCell ref="G67:J67"/>
    <mergeCell ref="G68:K68"/>
    <mergeCell ref="G69:K69"/>
    <mergeCell ref="G70:K70"/>
    <mergeCell ref="G71:K71"/>
    <mergeCell ref="G72:K72"/>
    <mergeCell ref="G73:K73"/>
    <mergeCell ref="G87:K87"/>
    <mergeCell ref="G88:K88"/>
    <mergeCell ref="G89:K89"/>
    <mergeCell ref="G90:K90"/>
    <mergeCell ref="G91:K91"/>
    <mergeCell ref="G92:K92"/>
    <mergeCell ref="G81:K81"/>
    <mergeCell ref="G82:K82"/>
    <mergeCell ref="G83:K83"/>
    <mergeCell ref="G84:K84"/>
    <mergeCell ref="G85:K85"/>
    <mergeCell ref="G86:K86"/>
    <mergeCell ref="G99:K99"/>
    <mergeCell ref="G101:J101"/>
    <mergeCell ref="G102:K102"/>
    <mergeCell ref="G103:K103"/>
    <mergeCell ref="G104:K104"/>
    <mergeCell ref="G105:K105"/>
    <mergeCell ref="G93:K93"/>
    <mergeCell ref="G94:K94"/>
    <mergeCell ref="G95:K95"/>
    <mergeCell ref="G96:K96"/>
    <mergeCell ref="G97:K97"/>
    <mergeCell ref="G98:J98"/>
    <mergeCell ref="G113:K113"/>
    <mergeCell ref="G114:K114"/>
    <mergeCell ref="G115:K115"/>
    <mergeCell ref="G116:K116"/>
    <mergeCell ref="G118:K118"/>
    <mergeCell ref="G106:J106"/>
    <mergeCell ref="G107:K107"/>
    <mergeCell ref="G109:J109"/>
    <mergeCell ref="G110:K110"/>
    <mergeCell ref="G111:K111"/>
    <mergeCell ref="G112:J112"/>
    <mergeCell ref="Q124:U124"/>
    <mergeCell ref="G126:J126"/>
    <mergeCell ref="G127:K127"/>
    <mergeCell ref="G133:K133"/>
    <mergeCell ref="G119:K119"/>
    <mergeCell ref="G122:U122"/>
    <mergeCell ref="G121:U121"/>
    <mergeCell ref="G128:K128"/>
    <mergeCell ref="G129:K129"/>
    <mergeCell ref="G130:K130"/>
    <mergeCell ref="G131:K131"/>
    <mergeCell ref="G132:K132"/>
    <mergeCell ref="G141:K141"/>
    <mergeCell ref="G142:K142"/>
    <mergeCell ref="G143:K143"/>
    <mergeCell ref="G144:K144"/>
    <mergeCell ref="G145:K145"/>
    <mergeCell ref="G146:K146"/>
    <mergeCell ref="G134:K134"/>
    <mergeCell ref="G135:K135"/>
    <mergeCell ref="G136:K136"/>
    <mergeCell ref="G138:J138"/>
    <mergeCell ref="G139:K139"/>
    <mergeCell ref="G140:K140"/>
    <mergeCell ref="G153:K153"/>
    <mergeCell ref="G154:K154"/>
    <mergeCell ref="G155:K155"/>
    <mergeCell ref="G156:K156"/>
    <mergeCell ref="G157:J157"/>
    <mergeCell ref="G158:K158"/>
    <mergeCell ref="G147:K147"/>
    <mergeCell ref="G148:K148"/>
    <mergeCell ref="G149:K149"/>
    <mergeCell ref="G150:K150"/>
    <mergeCell ref="G151:K151"/>
    <mergeCell ref="G152:K152"/>
    <mergeCell ref="G166:K166"/>
    <mergeCell ref="G168:J168"/>
    <mergeCell ref="G169:K169"/>
    <mergeCell ref="G170:K170"/>
    <mergeCell ref="G171:J171"/>
    <mergeCell ref="G172:K172"/>
    <mergeCell ref="G160:J160"/>
    <mergeCell ref="G161:K161"/>
    <mergeCell ref="G162:K162"/>
    <mergeCell ref="G163:K163"/>
    <mergeCell ref="G164:K164"/>
    <mergeCell ref="G165:J165"/>
    <mergeCell ref="G181:U181"/>
    <mergeCell ref="Q183:U183"/>
    <mergeCell ref="G173:K173"/>
    <mergeCell ref="G174:K174"/>
    <mergeCell ref="G175:K175"/>
    <mergeCell ref="G176:J176"/>
    <mergeCell ref="G177:K177"/>
    <mergeCell ref="G178:K178"/>
    <mergeCell ref="G180:U180"/>
    <mergeCell ref="G185:J185"/>
    <mergeCell ref="G186:K186"/>
    <mergeCell ref="G192:K192"/>
    <mergeCell ref="G193:K193"/>
    <mergeCell ref="G194:K194"/>
    <mergeCell ref="G195:K195"/>
    <mergeCell ref="G203:K203"/>
    <mergeCell ref="G204:K204"/>
    <mergeCell ref="G205:K205"/>
    <mergeCell ref="G187:K187"/>
    <mergeCell ref="G188:K188"/>
    <mergeCell ref="G189:K189"/>
    <mergeCell ref="G190:K190"/>
    <mergeCell ref="G191:K191"/>
    <mergeCell ref="G206:K206"/>
    <mergeCell ref="G207:K207"/>
    <mergeCell ref="G208:K208"/>
    <mergeCell ref="G197:J197"/>
    <mergeCell ref="G198:K198"/>
    <mergeCell ref="G199:K199"/>
    <mergeCell ref="G200:K200"/>
    <mergeCell ref="G201:K201"/>
    <mergeCell ref="G202:K202"/>
    <mergeCell ref="G215:K215"/>
    <mergeCell ref="G216:J216"/>
    <mergeCell ref="G217:K217"/>
    <mergeCell ref="G219:J219"/>
    <mergeCell ref="G220:K220"/>
    <mergeCell ref="G221:K221"/>
    <mergeCell ref="G209:K209"/>
    <mergeCell ref="G210:K210"/>
    <mergeCell ref="G211:K211"/>
    <mergeCell ref="G212:K212"/>
    <mergeCell ref="G213:K213"/>
    <mergeCell ref="G214:K214"/>
    <mergeCell ref="G229:K229"/>
    <mergeCell ref="G230:J230"/>
    <mergeCell ref="G231:K231"/>
    <mergeCell ref="G232:K232"/>
    <mergeCell ref="G233:K233"/>
    <mergeCell ref="G234:K234"/>
    <mergeCell ref="G222:K222"/>
    <mergeCell ref="G223:K223"/>
    <mergeCell ref="G224:J224"/>
    <mergeCell ref="G225:K225"/>
    <mergeCell ref="G227:J227"/>
    <mergeCell ref="G228:K228"/>
    <mergeCell ref="G240:U240"/>
    <mergeCell ref="Q242:U243"/>
    <mergeCell ref="G243:M243"/>
    <mergeCell ref="G244:K252"/>
    <mergeCell ref="L244:P252"/>
    <mergeCell ref="Q244:U252"/>
    <mergeCell ref="G235:J235"/>
    <mergeCell ref="G236:K236"/>
    <mergeCell ref="G237:K237"/>
    <mergeCell ref="G239:U239"/>
    <mergeCell ref="G266:K268"/>
    <mergeCell ref="L266:P268"/>
    <mergeCell ref="Q266:U268"/>
    <mergeCell ref="G270:K278"/>
    <mergeCell ref="L270:P278"/>
    <mergeCell ref="Q270:U278"/>
    <mergeCell ref="G253:K255"/>
    <mergeCell ref="L253:P255"/>
    <mergeCell ref="Q253:U255"/>
    <mergeCell ref="G257:K265"/>
    <mergeCell ref="L257:P265"/>
    <mergeCell ref="Q257:U265"/>
    <mergeCell ref="A298:AB299"/>
    <mergeCell ref="G292:K294"/>
    <mergeCell ref="L292:P294"/>
    <mergeCell ref="Q292:U294"/>
    <mergeCell ref="G279:K281"/>
    <mergeCell ref="L279:P281"/>
    <mergeCell ref="Q279:U281"/>
    <mergeCell ref="G283:K291"/>
    <mergeCell ref="L283:P291"/>
    <mergeCell ref="Q283:U291"/>
    <mergeCell ref="G296:U296"/>
  </mergeCells>
  <conditionalFormatting sqref="L74:U76 L68:U68">
    <cfRule type="cellIs" dxfId="79" priority="22" operator="equal">
      <formula>0</formula>
    </cfRule>
  </conditionalFormatting>
  <conditionalFormatting sqref="L80:U96">
    <cfRule type="cellIs" dxfId="78" priority="21" operator="equal">
      <formula>0</formula>
    </cfRule>
  </conditionalFormatting>
  <conditionalFormatting sqref="L102:U105">
    <cfRule type="cellIs" dxfId="77" priority="20" operator="equal">
      <formula>0</formula>
    </cfRule>
  </conditionalFormatting>
  <conditionalFormatting sqref="L127:U135">
    <cfRule type="cellIs" dxfId="76" priority="19" operator="equal">
      <formula>0</formula>
    </cfRule>
  </conditionalFormatting>
  <conditionalFormatting sqref="L186:U190 L192:U194">
    <cfRule type="cellIs" dxfId="75" priority="18" operator="equal">
      <formula>0</formula>
    </cfRule>
  </conditionalFormatting>
  <conditionalFormatting sqref="L139:U155">
    <cfRule type="cellIs" dxfId="74" priority="17" operator="equal">
      <formula>0</formula>
    </cfRule>
  </conditionalFormatting>
  <conditionalFormatting sqref="L198:U214">
    <cfRule type="cellIs" dxfId="73" priority="16" operator="equal">
      <formula>0</formula>
    </cfRule>
  </conditionalFormatting>
  <conditionalFormatting sqref="L161:U164">
    <cfRule type="cellIs" dxfId="72" priority="15" operator="equal">
      <formula>0</formula>
    </cfRule>
  </conditionalFormatting>
  <conditionalFormatting sqref="L220:U223">
    <cfRule type="cellIs" dxfId="71" priority="14" operator="equal">
      <formula>0</formula>
    </cfRule>
  </conditionalFormatting>
  <conditionalFormatting sqref="L107:U116 L166:U175 L225:U234">
    <cfRule type="cellIs" dxfId="70" priority="13" operator="equal">
      <formula>0</formula>
    </cfRule>
  </conditionalFormatting>
  <conditionalFormatting sqref="L215:U217">
    <cfRule type="cellIs" dxfId="69" priority="8" operator="equal">
      <formula>0</formula>
    </cfRule>
  </conditionalFormatting>
  <conditionalFormatting sqref="L97:U99">
    <cfRule type="cellIs" dxfId="68" priority="10" operator="equal">
      <formula>0</formula>
    </cfRule>
  </conditionalFormatting>
  <conditionalFormatting sqref="L156:U158">
    <cfRule type="cellIs" dxfId="67" priority="9" operator="equal">
      <formula>0</formula>
    </cfRule>
  </conditionalFormatting>
  <conditionalFormatting sqref="L23:M23">
    <cfRule type="cellIs" dxfId="66" priority="7" operator="greaterThan">
      <formula>0</formula>
    </cfRule>
  </conditionalFormatting>
  <conditionalFormatting sqref="L69:U72">
    <cfRule type="cellIs" dxfId="65" priority="6" operator="equal">
      <formula>0</formula>
    </cfRule>
  </conditionalFormatting>
  <conditionalFormatting sqref="L73:U73">
    <cfRule type="cellIs" dxfId="64" priority="5" operator="equal">
      <formula>0</formula>
    </cfRule>
  </conditionalFormatting>
  <conditionalFormatting sqref="L117:U117">
    <cfRule type="cellIs" dxfId="63" priority="3" operator="equal">
      <formula>0</formula>
    </cfRule>
  </conditionalFormatting>
  <conditionalFormatting sqref="L100:U100">
    <cfRule type="cellIs" dxfId="62" priority="2" operator="equal">
      <formula>0</formula>
    </cfRule>
  </conditionalFormatting>
  <conditionalFormatting sqref="L191:U191">
    <cfRule type="cellIs" dxfId="61" priority="1" operator="equal">
      <formula>0</formula>
    </cfRule>
  </conditionalFormatting>
  <pageMargins left="0.7" right="0.7" top="0.75" bottom="0.75" header="0.3" footer="0.3"/>
  <pageSetup scale="67"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231F3-7D1B-4D4A-92DC-80D921A386E8}">
  <sheetPr codeName="wsWHOLESALE_REPORTS">
    <tabColor theme="4" tint="0.79998168889431442"/>
  </sheetPr>
  <dimension ref="C1:AM313"/>
  <sheetViews>
    <sheetView showGridLines="0" showRowColHeaders="0" zoomScaleNormal="100" workbookViewId="0">
      <pane ySplit="4" topLeftCell="A5" activePane="bottomLeft" state="frozen"/>
      <selection pane="bottomLeft" activeCell="H13" sqref="H13:X13"/>
    </sheetView>
  </sheetViews>
  <sheetFormatPr defaultColWidth="8.8984375" defaultRowHeight="15"/>
  <cols>
    <col min="1" max="1" width="14.8984375" style="12" customWidth="1"/>
    <col min="2" max="2" width="6.8984375" style="12" customWidth="1"/>
    <col min="3" max="3" width="5.44921875" style="12" customWidth="1"/>
    <col min="4" max="4" width="7.09765625" style="12" customWidth="1"/>
    <col min="5" max="7" width="5.44921875" style="12" customWidth="1"/>
    <col min="8" max="24" width="6.09765625" style="24" customWidth="1"/>
    <col min="25" max="25" width="5.44921875" style="12" customWidth="1"/>
    <col min="26" max="26" width="2.8984375" style="12" customWidth="1"/>
    <col min="27" max="27" width="6.44921875" style="12" customWidth="1"/>
    <col min="28" max="28" width="5.44921875" style="12" customWidth="1"/>
    <col min="29" max="29" width="2.8984375" style="12" customWidth="1"/>
    <col min="30" max="30" width="8" style="12" customWidth="1"/>
    <col min="31" max="31" width="4.09765625" style="12" customWidth="1"/>
    <col min="32" max="32" width="5.44921875" style="12" customWidth="1"/>
    <col min="33" max="33" width="3.44921875" style="12" customWidth="1"/>
    <col min="34" max="34" width="5.44921875" style="12" hidden="1" customWidth="1"/>
    <col min="35" max="37" width="6.8984375" style="12" hidden="1" customWidth="1"/>
    <col min="38" max="39" width="5.44921875" style="12" hidden="1" customWidth="1"/>
    <col min="40" max="43" width="5.44921875" style="12" customWidth="1"/>
    <col min="44" max="57" width="5" style="12" customWidth="1"/>
    <col min="58" max="58" width="4.34765625" style="12" customWidth="1"/>
    <col min="59" max="16384" width="8.8984375" style="12"/>
  </cols>
  <sheetData>
    <row r="1" spans="3:39" s="109" customFormat="1" ht="45" customHeight="1"/>
    <row r="2" spans="3:39" s="110" customFormat="1" ht="15" customHeight="1">
      <c r="C2" s="3654" t="s">
        <v>1364</v>
      </c>
      <c r="D2" s="3654"/>
      <c r="E2" s="3654"/>
      <c r="F2" s="3654"/>
      <c r="G2" s="3654"/>
      <c r="H2" s="208"/>
      <c r="I2" s="208"/>
      <c r="J2" s="209"/>
      <c r="K2" s="210"/>
      <c r="O2" s="211"/>
      <c r="P2" s="211"/>
      <c r="Q2" s="119"/>
      <c r="AB2" s="933"/>
      <c r="AC2" s="933"/>
      <c r="AD2" s="933"/>
      <c r="AE2" s="933"/>
      <c r="AF2" s="933"/>
      <c r="AH2" s="454" t="s">
        <v>1165</v>
      </c>
      <c r="AI2" s="454" t="s">
        <v>1163</v>
      </c>
      <c r="AJ2" s="454" t="s">
        <v>1679</v>
      </c>
      <c r="AK2" s="454" t="s">
        <v>1672</v>
      </c>
      <c r="AL2" s="454" t="s">
        <v>1166</v>
      </c>
      <c r="AM2" s="454" t="s">
        <v>1167</v>
      </c>
    </row>
    <row r="3" spans="3:39" s="110" customFormat="1" ht="22.5" customHeight="1">
      <c r="C3" s="3654"/>
      <c r="D3" s="3654"/>
      <c r="E3" s="3654"/>
      <c r="F3" s="3654"/>
      <c r="G3" s="3654"/>
      <c r="H3" s="208"/>
      <c r="I3" s="208"/>
      <c r="J3" s="209"/>
      <c r="K3" s="212"/>
      <c r="O3" s="211"/>
      <c r="P3" s="211"/>
      <c r="Q3" s="119"/>
      <c r="AB3" s="933"/>
      <c r="AC3" s="933"/>
      <c r="AD3" s="933"/>
      <c r="AE3" s="933"/>
      <c r="AF3" s="933"/>
      <c r="AH3" s="3540" t="s">
        <v>1126</v>
      </c>
      <c r="AI3" s="3540" t="s">
        <v>1126</v>
      </c>
      <c r="AJ3" s="3540" t="s">
        <v>1126</v>
      </c>
      <c r="AK3" s="3540" t="s">
        <v>1126</v>
      </c>
      <c r="AL3" s="3540" t="s">
        <v>1126</v>
      </c>
      <c r="AM3" s="3540" t="str">
        <f>IF(AND(Investment_Report_Cover_Setting="Hidden",Investment_Report_Summary_Setting="Hidden",Investment_Report_Photo_Setting="Hidden"),"All Hidden","")</f>
        <v/>
      </c>
    </row>
    <row r="4" spans="3:39" s="116" customFormat="1" ht="8.25" customHeight="1">
      <c r="C4" s="3655"/>
      <c r="D4" s="3655"/>
      <c r="E4" s="3655"/>
      <c r="F4" s="3655"/>
      <c r="G4" s="3655"/>
      <c r="H4" s="234"/>
      <c r="I4" s="234"/>
      <c r="J4" s="235"/>
      <c r="K4" s="236"/>
      <c r="L4" s="237"/>
      <c r="M4" s="237"/>
      <c r="N4" s="237"/>
      <c r="O4" s="238"/>
      <c r="P4" s="238"/>
      <c r="Q4" s="239"/>
      <c r="AH4" s="3541"/>
      <c r="AI4" s="3541"/>
      <c r="AJ4" s="3541"/>
      <c r="AK4" s="3541"/>
      <c r="AL4" s="3541"/>
      <c r="AM4" s="3541"/>
    </row>
    <row r="5" spans="3:39" s="6" customFormat="1" ht="15" customHeight="1">
      <c r="D5" s="457"/>
      <c r="E5" s="458"/>
      <c r="F5" s="458"/>
      <c r="G5" s="458"/>
      <c r="H5" s="458"/>
      <c r="I5" s="458"/>
      <c r="J5" s="459"/>
      <c r="K5" s="460"/>
      <c r="L5" s="252"/>
      <c r="M5" s="252"/>
      <c r="N5" s="252"/>
      <c r="O5" s="461"/>
      <c r="P5" s="461"/>
      <c r="Q5" s="29"/>
      <c r="AH5" s="462"/>
      <c r="AI5" s="462"/>
      <c r="AJ5" s="462"/>
      <c r="AK5" s="462"/>
      <c r="AL5" s="462"/>
      <c r="AM5" s="462"/>
    </row>
    <row r="6" spans="3:39" s="6" customFormat="1" ht="21.6" customHeight="1">
      <c r="D6" s="457"/>
      <c r="E6" s="458"/>
      <c r="F6" s="458"/>
      <c r="G6" s="458"/>
      <c r="H6" s="458"/>
      <c r="I6" s="3651" t="s">
        <v>1174</v>
      </c>
      <c r="J6" s="3651"/>
      <c r="K6" s="3651"/>
      <c r="L6" s="3651"/>
      <c r="M6" s="3651"/>
      <c r="N6" s="3651"/>
      <c r="O6" s="3651"/>
      <c r="P6" s="3651"/>
      <c r="Q6" s="3651"/>
      <c r="R6" s="3651"/>
      <c r="S6" s="3651"/>
      <c r="T6" s="3651"/>
      <c r="U6" s="3651"/>
      <c r="V6" s="3651"/>
      <c r="W6" s="3651"/>
      <c r="AH6" s="462"/>
      <c r="AI6" s="462"/>
      <c r="AJ6" s="462"/>
      <c r="AK6" s="462"/>
      <c r="AL6" s="462"/>
      <c r="AM6" s="462"/>
    </row>
    <row r="7" spans="3:39" s="6" customFormat="1" ht="21.6" customHeight="1">
      <c r="D7" s="457"/>
      <c r="E7" s="458"/>
      <c r="F7" s="458"/>
      <c r="G7" s="458"/>
      <c r="H7" s="458"/>
      <c r="I7" s="3651"/>
      <c r="J7" s="3651"/>
      <c r="K7" s="3651"/>
      <c r="L7" s="3651"/>
      <c r="M7" s="3651"/>
      <c r="N7" s="3651"/>
      <c r="O7" s="3651"/>
      <c r="P7" s="3651"/>
      <c r="Q7" s="3651"/>
      <c r="R7" s="3651"/>
      <c r="S7" s="3651"/>
      <c r="T7" s="3651"/>
      <c r="U7" s="3651"/>
      <c r="V7" s="3651"/>
      <c r="W7" s="3651"/>
      <c r="AH7" s="462"/>
      <c r="AI7" s="462"/>
      <c r="AJ7" s="462"/>
      <c r="AK7" s="462"/>
      <c r="AL7" s="462"/>
      <c r="AM7" s="462"/>
    </row>
    <row r="8" spans="3:39" s="6" customFormat="1" ht="21.6" customHeight="1">
      <c r="D8" s="457"/>
      <c r="E8" s="458"/>
      <c r="F8" s="458"/>
      <c r="G8" s="458"/>
      <c r="H8" s="458"/>
      <c r="I8" s="3651"/>
      <c r="J8" s="3651"/>
      <c r="K8" s="3651"/>
      <c r="L8" s="3651"/>
      <c r="M8" s="3651"/>
      <c r="N8" s="3651"/>
      <c r="O8" s="3651"/>
      <c r="P8" s="3651"/>
      <c r="Q8" s="3651"/>
      <c r="R8" s="3651"/>
      <c r="S8" s="3651"/>
      <c r="T8" s="3651"/>
      <c r="U8" s="3651"/>
      <c r="V8" s="3651"/>
      <c r="W8" s="3651"/>
      <c r="AH8" s="462"/>
      <c r="AI8" s="462"/>
      <c r="AJ8" s="462"/>
      <c r="AK8" s="462"/>
      <c r="AL8" s="462"/>
      <c r="AM8" s="462"/>
    </row>
    <row r="9" spans="3:39" s="6" customFormat="1" ht="21.6" customHeight="1">
      <c r="D9" s="457"/>
      <c r="E9" s="458"/>
      <c r="F9" s="458"/>
      <c r="G9" s="458"/>
      <c r="H9" s="458"/>
      <c r="I9" s="3651"/>
      <c r="J9" s="3651"/>
      <c r="K9" s="3651"/>
      <c r="L9" s="3651"/>
      <c r="M9" s="3651"/>
      <c r="N9" s="3651"/>
      <c r="O9" s="3651"/>
      <c r="P9" s="3651"/>
      <c r="Q9" s="3651"/>
      <c r="R9" s="3651"/>
      <c r="S9" s="3651"/>
      <c r="T9" s="3651"/>
      <c r="U9" s="3651"/>
      <c r="V9" s="3651"/>
      <c r="W9" s="3651"/>
      <c r="AH9" s="462"/>
      <c r="AI9" s="462"/>
      <c r="AJ9" s="462"/>
      <c r="AK9" s="462"/>
      <c r="AL9" s="462"/>
      <c r="AM9" s="462"/>
    </row>
    <row r="10" spans="3:39" s="6" customFormat="1" ht="21.6" customHeight="1">
      <c r="D10" s="457"/>
      <c r="E10" s="458"/>
      <c r="F10" s="458"/>
      <c r="G10" s="458"/>
      <c r="H10" s="458"/>
      <c r="I10" s="466"/>
      <c r="J10" s="466"/>
      <c r="K10" s="466"/>
      <c r="L10" s="466"/>
      <c r="M10" s="466"/>
      <c r="N10" s="466"/>
      <c r="O10" s="466"/>
      <c r="P10" s="3652" t="s">
        <v>1869</v>
      </c>
      <c r="Q10" s="3652"/>
      <c r="R10" s="3652"/>
      <c r="S10" s="3652"/>
      <c r="T10" s="3652"/>
      <c r="U10" s="3652"/>
      <c r="V10" s="3652"/>
      <c r="W10" s="3652"/>
      <c r="AH10" s="462"/>
      <c r="AI10" s="462"/>
      <c r="AJ10" s="462"/>
      <c r="AK10" s="462"/>
      <c r="AL10" s="462"/>
      <c r="AM10" s="462"/>
    </row>
    <row r="11" spans="3:39" s="6" customFormat="1" ht="21.6" customHeight="1">
      <c r="D11" s="457"/>
      <c r="E11" s="458"/>
      <c r="F11" s="458"/>
      <c r="G11" s="458"/>
      <c r="H11" s="458"/>
      <c r="I11" s="466"/>
      <c r="J11" s="466"/>
      <c r="K11" s="466"/>
      <c r="L11" s="466"/>
      <c r="M11" s="466"/>
      <c r="N11" s="466"/>
      <c r="O11" s="466"/>
      <c r="P11" s="3652"/>
      <c r="Q11" s="3652"/>
      <c r="R11" s="3652"/>
      <c r="S11" s="3652"/>
      <c r="T11" s="3652"/>
      <c r="U11" s="3652"/>
      <c r="V11" s="3652"/>
      <c r="W11" s="3652"/>
      <c r="AH11" s="462"/>
      <c r="AI11" s="462"/>
      <c r="AJ11" s="462"/>
      <c r="AK11" s="462"/>
      <c r="AL11" s="462"/>
      <c r="AM11" s="462"/>
    </row>
    <row r="12" spans="3:39" ht="15" customHeight="1"/>
    <row r="13" spans="3:39" s="2" customFormat="1" ht="22.7" customHeight="1">
      <c r="H13" s="3562" t="str">
        <f>CONCATENATE(Street_Address,", ",City_State_Zip)</f>
        <v>, 0</v>
      </c>
      <c r="I13" s="3562"/>
      <c r="J13" s="3562"/>
      <c r="K13" s="3562"/>
      <c r="L13" s="3562"/>
      <c r="M13" s="3562"/>
      <c r="N13" s="3562"/>
      <c r="O13" s="3562"/>
      <c r="P13" s="3562"/>
      <c r="Q13" s="3562"/>
      <c r="R13" s="3562"/>
      <c r="S13" s="3562"/>
      <c r="T13" s="3562"/>
      <c r="U13" s="3562"/>
      <c r="V13" s="3562"/>
      <c r="W13" s="3562"/>
      <c r="X13" s="3562"/>
    </row>
    <row r="14" spans="3:39" s="2" customFormat="1" ht="22.7" customHeight="1">
      <c r="H14" s="141"/>
      <c r="I14" s="141"/>
      <c r="J14" s="141"/>
      <c r="K14" s="141"/>
      <c r="L14" s="141"/>
      <c r="M14" s="141"/>
      <c r="N14" s="141"/>
      <c r="O14" s="141"/>
      <c r="P14" s="141"/>
      <c r="Q14" s="141"/>
      <c r="R14" s="141"/>
      <c r="S14" s="141"/>
      <c r="T14" s="141"/>
      <c r="U14" s="141"/>
      <c r="V14" s="141"/>
      <c r="W14" s="141"/>
      <c r="X14" s="141"/>
    </row>
    <row r="15" spans="3:39" s="2" customFormat="1" ht="22.7" customHeight="1">
      <c r="H15" s="141"/>
      <c r="I15" s="141"/>
      <c r="J15" s="141"/>
      <c r="K15" s="141"/>
      <c r="L15" s="141"/>
      <c r="M15" s="141"/>
      <c r="N15" s="141"/>
      <c r="O15" s="141"/>
      <c r="P15" s="141"/>
      <c r="Q15" s="141"/>
      <c r="R15" s="141"/>
      <c r="S15" s="141"/>
      <c r="T15" s="141"/>
      <c r="U15" s="141"/>
      <c r="V15" s="141"/>
      <c r="W15" s="141"/>
      <c r="X15" s="141"/>
    </row>
    <row r="16" spans="3:39" s="2" customFormat="1" ht="22.7" customHeight="1">
      <c r="H16" s="141"/>
      <c r="I16" s="141"/>
      <c r="J16" s="141"/>
      <c r="K16" s="141"/>
      <c r="L16" s="141"/>
      <c r="M16" s="141"/>
      <c r="N16" s="141"/>
      <c r="O16" s="141"/>
      <c r="P16" s="141"/>
      <c r="Q16" s="141"/>
      <c r="R16" s="141"/>
      <c r="S16" s="141"/>
      <c r="T16" s="141"/>
      <c r="U16" s="141"/>
      <c r="V16" s="141"/>
      <c r="W16" s="141"/>
      <c r="X16" s="141"/>
    </row>
    <row r="17" spans="8:24" s="2" customFormat="1" ht="22.7" customHeight="1">
      <c r="H17" s="141"/>
      <c r="I17" s="141"/>
      <c r="J17" s="141"/>
      <c r="K17" s="141"/>
      <c r="L17" s="141"/>
      <c r="M17" s="141"/>
      <c r="N17" s="141"/>
      <c r="O17" s="141"/>
      <c r="P17" s="141"/>
      <c r="Q17" s="141"/>
      <c r="R17" s="141"/>
      <c r="S17" s="141"/>
      <c r="T17" s="141"/>
      <c r="U17" s="141"/>
      <c r="V17" s="141"/>
      <c r="W17" s="141"/>
      <c r="X17" s="141"/>
    </row>
    <row r="18" spans="8:24" s="2" customFormat="1" ht="22.7" customHeight="1">
      <c r="H18" s="141"/>
      <c r="I18" s="141"/>
      <c r="J18" s="141"/>
      <c r="K18" s="141"/>
      <c r="L18" s="141"/>
      <c r="M18" s="141"/>
      <c r="N18" s="141"/>
      <c r="O18" s="141"/>
      <c r="P18" s="141"/>
      <c r="Q18" s="141"/>
      <c r="R18" s="141"/>
      <c r="S18" s="141"/>
      <c r="T18" s="141"/>
      <c r="U18" s="141"/>
      <c r="V18" s="141"/>
      <c r="W18" s="141"/>
      <c r="X18" s="141"/>
    </row>
    <row r="19" spans="8:24" s="2" customFormat="1" ht="22.7" customHeight="1">
      <c r="H19" s="141"/>
      <c r="I19" s="141"/>
      <c r="J19" s="141"/>
      <c r="K19" s="141"/>
      <c r="L19" s="141"/>
      <c r="M19" s="141"/>
      <c r="N19" s="141"/>
      <c r="O19" s="141"/>
      <c r="P19" s="141"/>
      <c r="Q19" s="141"/>
      <c r="R19" s="141"/>
      <c r="S19" s="141"/>
      <c r="T19" s="141"/>
      <c r="U19" s="141"/>
      <c r="V19" s="141"/>
      <c r="W19" s="141"/>
      <c r="X19" s="141"/>
    </row>
    <row r="20" spans="8:24" s="2" customFormat="1" ht="22.7" customHeight="1">
      <c r="H20" s="141"/>
      <c r="I20" s="141"/>
      <c r="J20" s="141"/>
      <c r="K20" s="141"/>
      <c r="L20" s="141"/>
      <c r="M20" s="141"/>
      <c r="N20" s="141"/>
      <c r="O20" s="141"/>
      <c r="P20" s="141"/>
      <c r="Q20" s="141"/>
      <c r="R20" s="141"/>
      <c r="S20" s="141"/>
      <c r="T20" s="141"/>
      <c r="U20" s="141"/>
      <c r="V20" s="141"/>
      <c r="W20" s="141"/>
      <c r="X20" s="141"/>
    </row>
    <row r="21" spans="8:24" s="2" customFormat="1" ht="22.7" customHeight="1">
      <c r="H21" s="141"/>
      <c r="I21" s="141"/>
      <c r="J21" s="141"/>
      <c r="K21" s="141"/>
      <c r="L21" s="141"/>
      <c r="M21" s="141"/>
      <c r="N21" s="141"/>
      <c r="O21" s="141"/>
      <c r="P21" s="141"/>
      <c r="Q21" s="141"/>
      <c r="R21" s="141"/>
      <c r="S21" s="141"/>
      <c r="T21" s="141"/>
      <c r="U21" s="141"/>
      <c r="V21" s="141"/>
      <c r="W21" s="141"/>
      <c r="X21" s="141"/>
    </row>
    <row r="22" spans="8:24" s="2" customFormat="1" ht="22.7" customHeight="1">
      <c r="H22" s="141"/>
      <c r="I22" s="3663" t="s">
        <v>1868</v>
      </c>
      <c r="J22" s="3663"/>
      <c r="K22" s="3663"/>
      <c r="L22" s="3663"/>
      <c r="M22" s="3663"/>
      <c r="N22" s="3663"/>
      <c r="O22" s="3663"/>
      <c r="P22" s="3663"/>
      <c r="Q22" s="3663"/>
      <c r="R22" s="3663"/>
      <c r="S22" s="3663"/>
      <c r="T22" s="3663"/>
      <c r="U22" s="3663"/>
      <c r="V22" s="3663"/>
      <c r="W22" s="3663"/>
      <c r="X22" s="141"/>
    </row>
    <row r="23" spans="8:24" s="2" customFormat="1" ht="22.7" customHeight="1">
      <c r="H23" s="141"/>
      <c r="I23" s="3663"/>
      <c r="J23" s="3663"/>
      <c r="K23" s="3663"/>
      <c r="L23" s="3663"/>
      <c r="M23" s="3663"/>
      <c r="N23" s="3663"/>
      <c r="O23" s="3663"/>
      <c r="P23" s="3663"/>
      <c r="Q23" s="3663"/>
      <c r="R23" s="3663"/>
      <c r="S23" s="3663"/>
      <c r="T23" s="3663"/>
      <c r="U23" s="3663"/>
      <c r="V23" s="3663"/>
      <c r="W23" s="3663"/>
      <c r="X23" s="141"/>
    </row>
    <row r="24" spans="8:24" s="2" customFormat="1" ht="22.7" customHeight="1">
      <c r="H24" s="141"/>
      <c r="I24" s="3663"/>
      <c r="J24" s="3663"/>
      <c r="K24" s="3663"/>
      <c r="L24" s="3663"/>
      <c r="M24" s="3663"/>
      <c r="N24" s="3663"/>
      <c r="O24" s="3663"/>
      <c r="P24" s="3663"/>
      <c r="Q24" s="3663"/>
      <c r="R24" s="3663"/>
      <c r="S24" s="3663"/>
      <c r="T24" s="3663"/>
      <c r="U24" s="3663"/>
      <c r="V24" s="3663"/>
      <c r="W24" s="3663"/>
      <c r="X24" s="141"/>
    </row>
    <row r="25" spans="8:24" s="2" customFormat="1" ht="22.7" customHeight="1">
      <c r="H25" s="141"/>
      <c r="I25" s="3661" t="str">
        <f>T(Street_Address)</f>
        <v/>
      </c>
      <c r="J25" s="3661"/>
      <c r="K25" s="3661"/>
      <c r="L25" s="3661"/>
      <c r="M25" s="3661"/>
      <c r="N25" s="3661"/>
      <c r="O25" s="3661"/>
      <c r="P25" s="3661"/>
      <c r="Q25" s="3661"/>
      <c r="R25" s="3661"/>
      <c r="S25" s="3661"/>
      <c r="T25" s="3661"/>
      <c r="U25" s="3661"/>
      <c r="V25" s="3661"/>
      <c r="W25" s="3661"/>
      <c r="X25" s="141"/>
    </row>
    <row r="26" spans="8:24" s="2" customFormat="1" ht="22.7" customHeight="1">
      <c r="H26" s="141"/>
      <c r="I26" s="3661"/>
      <c r="J26" s="3661"/>
      <c r="K26" s="3661"/>
      <c r="L26" s="3661"/>
      <c r="M26" s="3661"/>
      <c r="N26" s="3661"/>
      <c r="O26" s="3661"/>
      <c r="P26" s="3661"/>
      <c r="Q26" s="3661"/>
      <c r="R26" s="3661"/>
      <c r="S26" s="3661"/>
      <c r="T26" s="3661"/>
      <c r="U26" s="3661"/>
      <c r="V26" s="3661"/>
      <c r="W26" s="3661"/>
      <c r="X26" s="141"/>
    </row>
    <row r="27" spans="8:24" s="2" customFormat="1" ht="22.7" customHeight="1">
      <c r="H27" s="141"/>
      <c r="I27" s="3662" t="str">
        <f>T(City_State_Zip)</f>
        <v/>
      </c>
      <c r="J27" s="3662"/>
      <c r="K27" s="3662"/>
      <c r="L27" s="3662"/>
      <c r="M27" s="3662"/>
      <c r="N27" s="3662"/>
      <c r="O27" s="3662"/>
      <c r="P27" s="3662"/>
      <c r="Q27" s="3662"/>
      <c r="R27" s="3662"/>
      <c r="S27" s="3662"/>
      <c r="T27" s="3662"/>
      <c r="U27" s="3662"/>
      <c r="V27" s="3662"/>
      <c r="W27" s="3662"/>
      <c r="X27" s="141"/>
    </row>
    <row r="28" spans="8:24" s="2" customFormat="1" ht="22.7" customHeight="1">
      <c r="H28" s="141"/>
      <c r="I28" s="865"/>
      <c r="J28" s="865"/>
      <c r="K28" s="865"/>
      <c r="L28" s="865"/>
      <c r="M28" s="865"/>
      <c r="N28" s="865"/>
      <c r="O28" s="865"/>
      <c r="P28" s="865"/>
      <c r="Q28" s="865"/>
      <c r="R28" s="865"/>
      <c r="S28" s="865"/>
      <c r="T28" s="865"/>
      <c r="U28" s="141"/>
      <c r="V28" s="141"/>
      <c r="W28" s="35"/>
      <c r="X28" s="141"/>
    </row>
    <row r="29" spans="8:24" s="2" customFormat="1" ht="22.7" customHeight="1">
      <c r="H29" s="141"/>
      <c r="I29" s="865"/>
      <c r="J29" s="865"/>
      <c r="K29" s="865"/>
      <c r="L29" s="865"/>
      <c r="M29" s="865"/>
      <c r="N29" s="865"/>
      <c r="O29" s="865"/>
      <c r="P29" s="865"/>
      <c r="Q29" s="865"/>
      <c r="R29" s="865"/>
      <c r="S29" s="865"/>
      <c r="T29" s="865"/>
      <c r="U29" s="141"/>
      <c r="V29" s="141"/>
      <c r="W29" s="35"/>
      <c r="X29" s="141"/>
    </row>
    <row r="30" spans="8:24" s="2" customFormat="1" ht="22.7" customHeight="1">
      <c r="H30" s="141"/>
      <c r="I30" s="4237">
        <f ca="1">TODAY()</f>
        <v>43691</v>
      </c>
      <c r="J30" s="4237"/>
      <c r="K30" s="4237"/>
      <c r="L30" s="4237"/>
      <c r="M30" s="4237"/>
      <c r="N30" s="4237"/>
      <c r="O30" s="4237"/>
      <c r="P30" s="4237"/>
      <c r="Q30" s="4237"/>
      <c r="R30" s="4237"/>
      <c r="S30" s="4237"/>
      <c r="T30" s="4237"/>
      <c r="U30" s="141"/>
      <c r="V30" s="141"/>
      <c r="W30" s="35"/>
      <c r="X30" s="141"/>
    </row>
    <row r="31" spans="8:24" s="2" customFormat="1" ht="22.7" customHeight="1">
      <c r="H31" s="141"/>
      <c r="I31" s="4237"/>
      <c r="J31" s="4237"/>
      <c r="K31" s="4237"/>
      <c r="L31" s="4237"/>
      <c r="M31" s="4237"/>
      <c r="N31" s="4237"/>
      <c r="O31" s="4237"/>
      <c r="P31" s="4237"/>
      <c r="Q31" s="4237"/>
      <c r="R31" s="4237"/>
      <c r="S31" s="4237"/>
      <c r="T31" s="4237"/>
      <c r="U31" s="141"/>
      <c r="V31" s="141"/>
      <c r="W31" s="35"/>
      <c r="X31" s="141"/>
    </row>
    <row r="32" spans="8:24" s="2" customFormat="1" ht="22.7" customHeight="1">
      <c r="H32" s="141"/>
      <c r="I32" s="141"/>
      <c r="J32" s="141"/>
      <c r="K32" s="141"/>
      <c r="L32" s="141"/>
      <c r="M32" s="141"/>
      <c r="N32" s="141"/>
      <c r="O32" s="141"/>
      <c r="P32" s="141"/>
      <c r="Q32" s="141"/>
      <c r="R32" s="141"/>
      <c r="S32" s="141"/>
      <c r="T32" s="141"/>
      <c r="U32" s="141"/>
      <c r="V32" s="141"/>
      <c r="W32" s="35"/>
      <c r="X32" s="141"/>
    </row>
    <row r="33" spans="8:24" s="2" customFormat="1" ht="22.7" customHeight="1">
      <c r="H33" s="141"/>
      <c r="I33" s="141"/>
      <c r="J33" s="141"/>
      <c r="K33" s="141"/>
      <c r="L33" s="141"/>
      <c r="M33" s="141"/>
      <c r="N33" s="141"/>
      <c r="O33" s="141"/>
      <c r="P33" s="141"/>
      <c r="Q33" s="141"/>
      <c r="R33" s="141"/>
      <c r="S33" s="141"/>
      <c r="T33" s="141"/>
      <c r="U33" s="141"/>
      <c r="V33" s="141"/>
      <c r="W33" s="35"/>
      <c r="X33" s="141"/>
    </row>
    <row r="34" spans="8:24" s="2" customFormat="1" ht="22.7" customHeight="1">
      <c r="H34" s="141"/>
      <c r="I34" s="4238" t="s">
        <v>1586</v>
      </c>
      <c r="J34" s="4239"/>
      <c r="K34" s="4239"/>
      <c r="L34" s="4239"/>
      <c r="M34" s="4239"/>
      <c r="N34" s="4239"/>
      <c r="O34" s="4239"/>
      <c r="P34" s="4239"/>
      <c r="Q34" s="4239"/>
      <c r="R34" s="4239"/>
      <c r="S34" s="4239"/>
      <c r="T34" s="4239"/>
      <c r="U34" s="4239"/>
      <c r="V34" s="4239"/>
      <c r="W34" s="4240"/>
      <c r="X34" s="141"/>
    </row>
    <row r="35" spans="8:24" s="2" customFormat="1" ht="22.7" customHeight="1">
      <c r="H35" s="141"/>
      <c r="I35" s="4241"/>
      <c r="J35" s="3535"/>
      <c r="K35" s="3535"/>
      <c r="L35" s="3535"/>
      <c r="M35" s="3535"/>
      <c r="N35" s="3535"/>
      <c r="O35" s="3535"/>
      <c r="P35" s="3535"/>
      <c r="Q35" s="3535"/>
      <c r="R35" s="3535"/>
      <c r="S35" s="3535"/>
      <c r="T35" s="3535"/>
      <c r="U35" s="3535"/>
      <c r="V35" s="3535"/>
      <c r="W35" s="4242"/>
      <c r="X35" s="141"/>
    </row>
    <row r="36" spans="8:24" s="2" customFormat="1" ht="22.7" customHeight="1">
      <c r="H36" s="141"/>
      <c r="I36" s="4241"/>
      <c r="J36" s="3535"/>
      <c r="K36" s="3535"/>
      <c r="L36" s="3535"/>
      <c r="M36" s="3535"/>
      <c r="N36" s="3535"/>
      <c r="O36" s="3535"/>
      <c r="P36" s="3535"/>
      <c r="Q36" s="3535"/>
      <c r="R36" s="3535"/>
      <c r="S36" s="3535"/>
      <c r="T36" s="3535"/>
      <c r="U36" s="3535"/>
      <c r="V36" s="3535"/>
      <c r="W36" s="4242"/>
      <c r="X36" s="141"/>
    </row>
    <row r="37" spans="8:24" s="2" customFormat="1" ht="22.7" customHeight="1">
      <c r="H37" s="141"/>
      <c r="I37" s="4241"/>
      <c r="J37" s="3535"/>
      <c r="K37" s="3535"/>
      <c r="L37" s="3535"/>
      <c r="M37" s="3535"/>
      <c r="N37" s="3535"/>
      <c r="O37" s="3535"/>
      <c r="P37" s="3535"/>
      <c r="Q37" s="3535"/>
      <c r="R37" s="3535"/>
      <c r="S37" s="3535"/>
      <c r="T37" s="3535"/>
      <c r="U37" s="3535"/>
      <c r="V37" s="3535"/>
      <c r="W37" s="4242"/>
      <c r="X37" s="141"/>
    </row>
    <row r="38" spans="8:24" s="2" customFormat="1" ht="22.7" customHeight="1">
      <c r="H38" s="141"/>
      <c r="I38" s="4241"/>
      <c r="J38" s="3535"/>
      <c r="K38" s="3535"/>
      <c r="L38" s="3535"/>
      <c r="M38" s="3535"/>
      <c r="N38" s="3535"/>
      <c r="O38" s="3535"/>
      <c r="P38" s="3535"/>
      <c r="Q38" s="3535"/>
      <c r="R38" s="3535"/>
      <c r="S38" s="3535"/>
      <c r="T38" s="3535"/>
      <c r="U38" s="3535"/>
      <c r="V38" s="3535"/>
      <c r="W38" s="4242"/>
      <c r="X38" s="141"/>
    </row>
    <row r="39" spans="8:24" s="2" customFormat="1" ht="22.7" customHeight="1">
      <c r="H39" s="141"/>
      <c r="I39" s="4241"/>
      <c r="J39" s="3535"/>
      <c r="K39" s="3535"/>
      <c r="L39" s="3535"/>
      <c r="M39" s="3535"/>
      <c r="N39" s="3535"/>
      <c r="O39" s="3535"/>
      <c r="P39" s="3535"/>
      <c r="Q39" s="3535"/>
      <c r="R39" s="3535"/>
      <c r="S39" s="3535"/>
      <c r="T39" s="3535"/>
      <c r="U39" s="3535"/>
      <c r="V39" s="3535"/>
      <c r="W39" s="4242"/>
      <c r="X39" s="141"/>
    </row>
    <row r="40" spans="8:24" s="2" customFormat="1" ht="22.7" customHeight="1">
      <c r="H40" s="141"/>
      <c r="I40" s="4241"/>
      <c r="J40" s="3535"/>
      <c r="K40" s="3535"/>
      <c r="L40" s="3535"/>
      <c r="M40" s="3535"/>
      <c r="N40" s="3535"/>
      <c r="O40" s="3535"/>
      <c r="P40" s="3535"/>
      <c r="Q40" s="3535"/>
      <c r="R40" s="3535"/>
      <c r="S40" s="3535"/>
      <c r="T40" s="3535"/>
      <c r="U40" s="3535"/>
      <c r="V40" s="3535"/>
      <c r="W40" s="4242"/>
      <c r="X40" s="141"/>
    </row>
    <row r="41" spans="8:24" s="2" customFormat="1" ht="22.7" customHeight="1">
      <c r="H41" s="141"/>
      <c r="I41" s="4241"/>
      <c r="J41" s="3535"/>
      <c r="K41" s="3535"/>
      <c r="L41" s="3535"/>
      <c r="M41" s="3535"/>
      <c r="N41" s="3535"/>
      <c r="O41" s="3535"/>
      <c r="P41" s="3535"/>
      <c r="Q41" s="3535"/>
      <c r="R41" s="3535"/>
      <c r="S41" s="3535"/>
      <c r="T41" s="3535"/>
      <c r="U41" s="3535"/>
      <c r="V41" s="3535"/>
      <c r="W41" s="4242"/>
      <c r="X41" s="141"/>
    </row>
    <row r="42" spans="8:24" s="2" customFormat="1" ht="22.7" customHeight="1">
      <c r="H42" s="141"/>
      <c r="I42" s="4241"/>
      <c r="J42" s="3535"/>
      <c r="K42" s="3535"/>
      <c r="L42" s="3535"/>
      <c r="M42" s="3535"/>
      <c r="N42" s="3535"/>
      <c r="O42" s="3535"/>
      <c r="P42" s="3535"/>
      <c r="Q42" s="3535"/>
      <c r="R42" s="3535"/>
      <c r="S42" s="3535"/>
      <c r="T42" s="3535"/>
      <c r="U42" s="3535"/>
      <c r="V42" s="3535"/>
      <c r="W42" s="4242"/>
      <c r="X42" s="141"/>
    </row>
    <row r="43" spans="8:24" s="2" customFormat="1" ht="22.7" customHeight="1">
      <c r="H43" s="141"/>
      <c r="I43" s="4241"/>
      <c r="J43" s="3535"/>
      <c r="K43" s="3535"/>
      <c r="L43" s="3535"/>
      <c r="M43" s="3535"/>
      <c r="N43" s="3535"/>
      <c r="O43" s="3535"/>
      <c r="P43" s="3535"/>
      <c r="Q43" s="3535"/>
      <c r="R43" s="3535"/>
      <c r="S43" s="3535"/>
      <c r="T43" s="3535"/>
      <c r="U43" s="3535"/>
      <c r="V43" s="3535"/>
      <c r="W43" s="4242"/>
      <c r="X43" s="141"/>
    </row>
    <row r="44" spans="8:24" s="2" customFormat="1" ht="22.7" customHeight="1">
      <c r="H44" s="141"/>
      <c r="I44" s="4241"/>
      <c r="J44" s="3535"/>
      <c r="K44" s="3535"/>
      <c r="L44" s="3535"/>
      <c r="M44" s="3535"/>
      <c r="N44" s="3535"/>
      <c r="O44" s="3535"/>
      <c r="P44" s="3535"/>
      <c r="Q44" s="3535"/>
      <c r="R44" s="3535"/>
      <c r="S44" s="3535"/>
      <c r="T44" s="3535"/>
      <c r="U44" s="3535"/>
      <c r="V44" s="3535"/>
      <c r="W44" s="4242"/>
      <c r="X44" s="141"/>
    </row>
    <row r="45" spans="8:24" s="2" customFormat="1" ht="22.7" customHeight="1">
      <c r="H45" s="141"/>
      <c r="I45" s="4241"/>
      <c r="J45" s="3535"/>
      <c r="K45" s="3535"/>
      <c r="L45" s="3535"/>
      <c r="M45" s="3535"/>
      <c r="N45" s="3535"/>
      <c r="O45" s="3535"/>
      <c r="P45" s="3535"/>
      <c r="Q45" s="3535"/>
      <c r="R45" s="3535"/>
      <c r="S45" s="3535"/>
      <c r="T45" s="3535"/>
      <c r="U45" s="3535"/>
      <c r="V45" s="3535"/>
      <c r="W45" s="4242"/>
      <c r="X45" s="141"/>
    </row>
    <row r="46" spans="8:24" s="2" customFormat="1" ht="22.7" customHeight="1">
      <c r="H46" s="141"/>
      <c r="I46" s="4241"/>
      <c r="J46" s="3535"/>
      <c r="K46" s="3535"/>
      <c r="L46" s="3535"/>
      <c r="M46" s="3535"/>
      <c r="N46" s="3535"/>
      <c r="O46" s="3535"/>
      <c r="P46" s="3535"/>
      <c r="Q46" s="3535"/>
      <c r="R46" s="3535"/>
      <c r="S46" s="3535"/>
      <c r="T46" s="3535"/>
      <c r="U46" s="3535"/>
      <c r="V46" s="3535"/>
      <c r="W46" s="4242"/>
      <c r="X46" s="141"/>
    </row>
    <row r="47" spans="8:24" s="2" customFormat="1" ht="22.7" customHeight="1">
      <c r="H47" s="141"/>
      <c r="I47" s="4241"/>
      <c r="J47" s="3535"/>
      <c r="K47" s="3535"/>
      <c r="L47" s="3535"/>
      <c r="M47" s="3535"/>
      <c r="N47" s="3535"/>
      <c r="O47" s="3535"/>
      <c r="P47" s="3535"/>
      <c r="Q47" s="3535"/>
      <c r="R47" s="3535"/>
      <c r="S47" s="3535"/>
      <c r="T47" s="3535"/>
      <c r="U47" s="3535"/>
      <c r="V47" s="3535"/>
      <c r="W47" s="4242"/>
      <c r="X47" s="141"/>
    </row>
    <row r="48" spans="8:24" s="2" customFormat="1" ht="22.7" customHeight="1">
      <c r="H48" s="141"/>
      <c r="I48" s="4243"/>
      <c r="J48" s="4244"/>
      <c r="K48" s="4244"/>
      <c r="L48" s="4244"/>
      <c r="M48" s="4244"/>
      <c r="N48" s="4244"/>
      <c r="O48" s="4244"/>
      <c r="P48" s="4244"/>
      <c r="Q48" s="4244"/>
      <c r="R48" s="4244"/>
      <c r="S48" s="4244"/>
      <c r="T48" s="4244"/>
      <c r="U48" s="4244"/>
      <c r="V48" s="4244"/>
      <c r="W48" s="4245"/>
      <c r="X48" s="141"/>
    </row>
    <row r="49" spans="8:24" s="2" customFormat="1" ht="22.7" customHeight="1">
      <c r="H49" s="141"/>
      <c r="I49" s="141"/>
      <c r="J49" s="141"/>
      <c r="K49" s="141"/>
      <c r="L49" s="141"/>
      <c r="M49" s="141"/>
      <c r="N49" s="141"/>
      <c r="O49" s="141"/>
      <c r="P49" s="141"/>
      <c r="Q49" s="141"/>
      <c r="R49" s="141"/>
      <c r="S49" s="141"/>
      <c r="T49" s="141"/>
      <c r="U49" s="141"/>
      <c r="V49" s="141"/>
      <c r="W49" s="141"/>
      <c r="X49" s="141"/>
    </row>
    <row r="50" spans="8:24" s="2" customFormat="1" ht="22.7" customHeight="1">
      <c r="H50" s="141"/>
      <c r="I50" s="864"/>
      <c r="J50" s="864"/>
      <c r="K50" s="864"/>
      <c r="L50" s="864"/>
      <c r="M50" s="864"/>
      <c r="N50" s="864"/>
      <c r="O50" s="864"/>
      <c r="P50" s="141"/>
      <c r="Q50" s="141"/>
      <c r="R50" s="141"/>
      <c r="S50" s="141"/>
      <c r="T50" s="141"/>
      <c r="U50" s="141"/>
      <c r="V50" s="141"/>
      <c r="W50" s="141"/>
      <c r="X50" s="141"/>
    </row>
    <row r="51" spans="8:24" s="2" customFormat="1" ht="22.7" customHeight="1">
      <c r="H51" s="141"/>
      <c r="I51" s="3660">
        <f>Company_Name</f>
        <v>0</v>
      </c>
      <c r="J51" s="3660"/>
      <c r="K51" s="3660"/>
      <c r="L51" s="3660"/>
      <c r="M51" s="3660"/>
      <c r="N51" s="3660"/>
      <c r="O51" s="3660"/>
      <c r="P51" s="141"/>
      <c r="Q51" s="141"/>
      <c r="R51" s="141"/>
      <c r="S51" s="141"/>
      <c r="T51" s="141"/>
      <c r="U51" s="141"/>
      <c r="V51" s="141"/>
      <c r="W51" s="141"/>
      <c r="X51" s="141"/>
    </row>
    <row r="52" spans="8:24" s="2" customFormat="1" ht="22.7" customHeight="1">
      <c r="H52" s="141"/>
      <c r="I52" s="3665">
        <f>Investor_Name</f>
        <v>0</v>
      </c>
      <c r="J52" s="3665"/>
      <c r="K52" s="3665"/>
      <c r="L52" s="3665"/>
      <c r="M52" s="3665"/>
      <c r="N52" s="3665"/>
      <c r="O52" s="3665"/>
      <c r="P52" s="141"/>
      <c r="Q52" s="141"/>
      <c r="R52" s="141"/>
      <c r="S52" s="141"/>
      <c r="T52" s="141"/>
      <c r="U52" s="141"/>
      <c r="V52" s="141"/>
      <c r="W52" s="141"/>
      <c r="X52" s="141"/>
    </row>
    <row r="53" spans="8:24" s="2" customFormat="1" ht="22.7" customHeight="1">
      <c r="H53" s="141"/>
      <c r="I53" s="3665" t="str">
        <f>T(Company_Email)</f>
        <v/>
      </c>
      <c r="J53" s="3665"/>
      <c r="K53" s="3665"/>
      <c r="L53" s="3665"/>
      <c r="M53" s="3665"/>
      <c r="N53" s="3665"/>
      <c r="O53" s="3665"/>
      <c r="P53" s="141"/>
      <c r="Q53" s="141"/>
      <c r="R53" s="141"/>
      <c r="S53" s="141"/>
      <c r="T53" s="141"/>
      <c r="U53" s="141"/>
      <c r="V53" s="141"/>
      <c r="W53" s="141"/>
      <c r="X53" s="141"/>
    </row>
    <row r="54" spans="8:24" s="2" customFormat="1" ht="22.7" customHeight="1">
      <c r="H54" s="141"/>
      <c r="I54" s="3666">
        <f>Company_Phone</f>
        <v>0</v>
      </c>
      <c r="J54" s="3666"/>
      <c r="K54" s="3666"/>
      <c r="L54" s="3666"/>
      <c r="M54" s="3666"/>
      <c r="N54" s="3666"/>
      <c r="O54" s="3666"/>
      <c r="P54" s="141"/>
      <c r="Q54" s="141"/>
      <c r="R54" s="141"/>
      <c r="S54" s="141"/>
      <c r="T54" s="141"/>
      <c r="U54" s="141"/>
      <c r="V54" s="141"/>
      <c r="W54" s="141"/>
      <c r="X54" s="141"/>
    </row>
    <row r="55" spans="8:24" s="2" customFormat="1" ht="22.7" customHeight="1">
      <c r="H55" s="141"/>
      <c r="I55" s="864"/>
      <c r="J55" s="864"/>
      <c r="K55" s="864"/>
      <c r="L55" s="864"/>
      <c r="M55" s="864"/>
      <c r="N55" s="864"/>
      <c r="O55" s="864"/>
      <c r="P55" s="141"/>
      <c r="Q55" s="141"/>
      <c r="R55" s="141"/>
      <c r="S55" s="141"/>
      <c r="T55" s="141"/>
      <c r="U55" s="141"/>
      <c r="V55" s="141"/>
      <c r="W55" s="141"/>
      <c r="X55" s="141"/>
    </row>
    <row r="56" spans="8:24" s="2" customFormat="1" ht="22.7" customHeight="1">
      <c r="H56" s="141"/>
      <c r="I56" s="141"/>
      <c r="J56" s="141"/>
      <c r="K56" s="141"/>
      <c r="L56" s="141"/>
      <c r="M56" s="141"/>
      <c r="N56" s="141"/>
      <c r="O56" s="141"/>
      <c r="P56" s="141"/>
      <c r="Q56" s="141"/>
      <c r="R56" s="141"/>
      <c r="S56" s="141"/>
      <c r="T56" s="141"/>
      <c r="U56" s="141"/>
      <c r="V56" s="141"/>
      <c r="W56" s="141"/>
      <c r="X56" s="141"/>
    </row>
    <row r="57" spans="8:24" s="2" customFormat="1" ht="22.7" customHeight="1">
      <c r="H57" s="141"/>
      <c r="I57" s="141"/>
      <c r="J57" s="141"/>
      <c r="K57" s="141"/>
      <c r="L57" s="141"/>
      <c r="M57" s="141"/>
      <c r="N57" s="141"/>
      <c r="O57" s="141"/>
      <c r="P57" s="141"/>
      <c r="Q57" s="141"/>
      <c r="R57" s="141"/>
      <c r="S57" s="141"/>
      <c r="T57" s="141"/>
      <c r="U57" s="141"/>
      <c r="V57" s="141"/>
      <c r="W57" s="141"/>
      <c r="X57" s="141"/>
    </row>
    <row r="58" spans="8:24" s="2" customFormat="1" ht="22.7" customHeight="1">
      <c r="H58" s="3544" t="str">
        <f>CONCATENATE("Report Prepared By: ",Investor_Name,"  |  ",Company_Name,"  |  ",Company_Email,"  |  ",Company_Email)</f>
        <v xml:space="preserve">Report Prepared By:   |    |    |  </v>
      </c>
      <c r="I58" s="3544"/>
      <c r="J58" s="3544"/>
      <c r="K58" s="3544"/>
      <c r="L58" s="3544"/>
      <c r="M58" s="3544"/>
      <c r="N58" s="3544"/>
      <c r="O58" s="3544"/>
      <c r="P58" s="3544"/>
      <c r="Q58" s="3544"/>
      <c r="R58" s="3544"/>
      <c r="S58" s="3544"/>
      <c r="T58" s="3544"/>
      <c r="U58" s="3544"/>
      <c r="V58" s="3544"/>
      <c r="W58" s="3561" t="s">
        <v>1616</v>
      </c>
      <c r="X58" s="3561"/>
    </row>
    <row r="59" spans="8:24" s="2" customFormat="1" ht="25" customHeight="1">
      <c r="H59" s="3562" t="str">
        <f>CONCATENATE(Street_Address,", ",City_State_Zip)</f>
        <v>, 0</v>
      </c>
      <c r="I59" s="3562"/>
      <c r="J59" s="3562"/>
      <c r="K59" s="3562"/>
      <c r="L59" s="3562"/>
      <c r="M59" s="3562"/>
      <c r="N59" s="3562"/>
      <c r="O59" s="3562"/>
      <c r="P59" s="3562"/>
      <c r="Q59" s="3562"/>
      <c r="R59" s="3562"/>
      <c r="S59" s="3562"/>
      <c r="T59" s="3562"/>
      <c r="U59" s="3562"/>
      <c r="V59" s="3562"/>
      <c r="W59" s="3562"/>
      <c r="X59" s="3562"/>
    </row>
    <row r="60" spans="8:24" s="2" customFormat="1" ht="25" customHeight="1">
      <c r="H60" s="1421"/>
      <c r="I60" s="1421"/>
      <c r="J60" s="1421"/>
      <c r="K60" s="1421"/>
      <c r="L60" s="1419"/>
      <c r="M60" s="1419"/>
      <c r="N60" s="1419"/>
      <c r="O60" s="1420"/>
      <c r="P60" s="1420"/>
      <c r="Q60" s="1420"/>
      <c r="R60" s="1420"/>
      <c r="S60" s="1420"/>
      <c r="T60" s="1420"/>
      <c r="U60" s="1420"/>
      <c r="V60" s="1420"/>
      <c r="W60" s="1420"/>
      <c r="X60" s="1420"/>
    </row>
    <row r="61" spans="8:24" s="2" customFormat="1" ht="25" customHeight="1">
      <c r="H61" s="1423" t="s">
        <v>1587</v>
      </c>
      <c r="I61" s="1421"/>
      <c r="J61" s="1421"/>
      <c r="K61" s="1421"/>
      <c r="L61" s="1419"/>
      <c r="M61" s="1419"/>
      <c r="N61" s="1419"/>
      <c r="O61" s="1420"/>
      <c r="P61" s="1420"/>
      <c r="Q61" s="1420"/>
      <c r="R61" s="1420"/>
      <c r="S61" s="1420"/>
      <c r="T61" s="1420"/>
      <c r="U61" s="1420"/>
      <c r="V61" s="1420"/>
      <c r="W61" s="1420"/>
      <c r="X61" s="1420"/>
    </row>
    <row r="62" spans="8:24" s="2" customFormat="1" ht="25" customHeight="1">
      <c r="H62" s="1428"/>
      <c r="I62" s="1427"/>
      <c r="J62" s="1427"/>
      <c r="K62" s="1427"/>
      <c r="L62" s="1425"/>
      <c r="M62" s="1425"/>
      <c r="N62" s="1425"/>
      <c r="O62" s="1426"/>
      <c r="P62" s="1426"/>
      <c r="Q62" s="1426"/>
      <c r="R62" s="1426"/>
      <c r="S62" s="1426"/>
      <c r="T62" s="1426"/>
      <c r="U62" s="1426"/>
      <c r="V62" s="1426"/>
      <c r="W62" s="1426"/>
      <c r="X62" s="1426"/>
    </row>
    <row r="63" spans="8:24" s="2" customFormat="1" ht="25" customHeight="1">
      <c r="H63" s="35"/>
      <c r="I63" s="35"/>
      <c r="J63" s="35"/>
      <c r="K63" s="35"/>
      <c r="L63" s="35"/>
      <c r="M63" s="35"/>
      <c r="N63" s="35"/>
      <c r="O63" s="35"/>
      <c r="P63" s="35"/>
      <c r="Q63" s="35"/>
      <c r="R63" s="1420"/>
      <c r="S63" s="3667" t="s">
        <v>1599</v>
      </c>
      <c r="T63" s="3667"/>
      <c r="U63" s="3667"/>
      <c r="V63" s="3667"/>
      <c r="W63" s="3667"/>
      <c r="X63" s="3667"/>
    </row>
    <row r="64" spans="8:24" s="2" customFormat="1" ht="25" customHeight="1">
      <c r="H64" s="35"/>
      <c r="I64" s="35"/>
      <c r="J64" s="35"/>
      <c r="K64" s="35"/>
      <c r="L64" s="35"/>
      <c r="M64" s="35"/>
      <c r="N64" s="35"/>
      <c r="O64" s="35"/>
      <c r="P64" s="35"/>
      <c r="Q64" s="35"/>
      <c r="R64" s="1420"/>
      <c r="S64" s="1420"/>
      <c r="T64" s="1420"/>
      <c r="U64" s="1420"/>
      <c r="V64" s="1420"/>
      <c r="W64" s="1420"/>
      <c r="X64" s="1420"/>
    </row>
    <row r="65" spans="8:24" s="2" customFormat="1" ht="25" customHeight="1">
      <c r="H65" s="35"/>
      <c r="I65" s="35"/>
      <c r="J65" s="35"/>
      <c r="K65" s="35"/>
      <c r="L65" s="35"/>
      <c r="M65" s="35"/>
      <c r="N65" s="35"/>
      <c r="O65" s="35"/>
      <c r="P65" s="35"/>
      <c r="Q65" s="35"/>
      <c r="R65" s="869"/>
      <c r="S65" s="3592" t="s">
        <v>1203</v>
      </c>
      <c r="T65" s="3592"/>
      <c r="U65" s="3592"/>
      <c r="V65" s="3592"/>
      <c r="W65" s="3592"/>
      <c r="X65" s="3592"/>
    </row>
    <row r="66" spans="8:24" s="2" customFormat="1" ht="25" customHeight="1">
      <c r="H66" s="35"/>
      <c r="I66" s="35"/>
      <c r="J66" s="35"/>
      <c r="K66" s="35"/>
      <c r="L66" s="35"/>
      <c r="M66" s="35"/>
      <c r="N66" s="35"/>
      <c r="O66" s="35"/>
      <c r="P66" s="35"/>
      <c r="Q66" s="35"/>
      <c r="R66" s="869"/>
      <c r="S66" s="3668">
        <f>O81</f>
        <v>0</v>
      </c>
      <c r="T66" s="3668"/>
      <c r="U66" s="3668"/>
      <c r="V66" s="3668"/>
      <c r="W66" s="3668"/>
      <c r="X66" s="3668"/>
    </row>
    <row r="67" spans="8:24" s="2" customFormat="1" ht="25" customHeight="1">
      <c r="H67" s="35"/>
      <c r="I67" s="35"/>
      <c r="J67" s="35"/>
      <c r="K67" s="35"/>
      <c r="L67" s="35"/>
      <c r="M67" s="35"/>
      <c r="N67" s="35"/>
      <c r="O67" s="35"/>
      <c r="P67" s="35"/>
      <c r="Q67" s="35"/>
      <c r="R67" s="1426"/>
      <c r="S67" s="3668"/>
      <c r="T67" s="3668"/>
      <c r="U67" s="3668"/>
      <c r="V67" s="3668"/>
      <c r="W67" s="3668"/>
      <c r="X67" s="3668"/>
    </row>
    <row r="68" spans="8:24" s="2" customFormat="1" ht="25" customHeight="1">
      <c r="H68" s="35"/>
      <c r="I68" s="35"/>
      <c r="J68" s="35"/>
      <c r="K68" s="35"/>
      <c r="L68" s="35"/>
      <c r="M68" s="35"/>
      <c r="N68" s="35"/>
      <c r="O68" s="35"/>
      <c r="P68" s="35"/>
      <c r="Q68" s="35"/>
      <c r="R68" s="869"/>
      <c r="S68" s="3590" t="s">
        <v>1350</v>
      </c>
      <c r="T68" s="3590"/>
      <c r="U68" s="3590"/>
      <c r="V68" s="3590"/>
      <c r="W68" s="3664">
        <f>IFERROR(S66/Property_Size,0)</f>
        <v>0</v>
      </c>
      <c r="X68" s="3664"/>
    </row>
    <row r="69" spans="8:24" s="2" customFormat="1" ht="25" customHeight="1">
      <c r="H69" s="35"/>
      <c r="I69" s="35"/>
      <c r="J69" s="35"/>
      <c r="K69" s="35"/>
      <c r="L69" s="35"/>
      <c r="M69" s="35"/>
      <c r="N69" s="35"/>
      <c r="O69" s="35"/>
      <c r="P69" s="35"/>
      <c r="Q69" s="35"/>
      <c r="R69" s="869"/>
      <c r="S69" s="869"/>
      <c r="T69" s="869"/>
      <c r="U69" s="869"/>
      <c r="V69" s="869"/>
      <c r="W69" s="869"/>
      <c r="X69" s="869"/>
    </row>
    <row r="70" spans="8:24" s="2" customFormat="1" ht="25" customHeight="1">
      <c r="H70" s="35"/>
      <c r="I70" s="35"/>
      <c r="J70" s="35"/>
      <c r="K70" s="35"/>
      <c r="L70" s="35"/>
      <c r="M70" s="35"/>
      <c r="N70" s="35"/>
      <c r="O70" s="35"/>
      <c r="P70" s="35"/>
      <c r="Q70" s="35"/>
      <c r="R70" s="869"/>
      <c r="S70" s="3592" t="s">
        <v>794</v>
      </c>
      <c r="T70" s="3592"/>
      <c r="U70" s="3592"/>
      <c r="V70" s="3592"/>
      <c r="W70" s="3592"/>
      <c r="X70" s="3592"/>
    </row>
    <row r="71" spans="8:24" s="2" customFormat="1" ht="25" customHeight="1">
      <c r="H71" s="35"/>
      <c r="I71" s="35"/>
      <c r="J71" s="35"/>
      <c r="K71" s="35"/>
      <c r="L71" s="35"/>
      <c r="M71" s="35"/>
      <c r="N71" s="35"/>
      <c r="O71" s="35"/>
      <c r="P71" s="35"/>
      <c r="Q71" s="35"/>
      <c r="R71" s="869"/>
      <c r="S71" s="3605">
        <f>-O83</f>
        <v>-50000</v>
      </c>
      <c r="T71" s="3605"/>
      <c r="U71" s="3605"/>
      <c r="V71" s="3605"/>
      <c r="W71" s="3605"/>
      <c r="X71" s="3605"/>
    </row>
    <row r="72" spans="8:24" s="2" customFormat="1" ht="25" customHeight="1">
      <c r="H72" s="3667" t="s">
        <v>1873</v>
      </c>
      <c r="I72" s="3667"/>
      <c r="J72" s="3667"/>
      <c r="K72" s="3667"/>
      <c r="L72" s="3667"/>
      <c r="M72" s="3667"/>
      <c r="N72" s="3667"/>
      <c r="O72" s="3667"/>
      <c r="P72" s="3667"/>
      <c r="Q72" s="3667"/>
      <c r="R72" s="869"/>
      <c r="S72" s="3605"/>
      <c r="T72" s="3605"/>
      <c r="U72" s="3605"/>
      <c r="V72" s="3605"/>
      <c r="W72" s="3605"/>
      <c r="X72" s="3605"/>
    </row>
    <row r="73" spans="8:24" s="2" customFormat="1" ht="25" customHeight="1">
      <c r="H73" s="4235" t="s">
        <v>103</v>
      </c>
      <c r="I73" s="4235"/>
      <c r="J73" s="4235"/>
      <c r="K73" s="4235"/>
      <c r="L73" s="4235"/>
      <c r="M73" s="4246">
        <f>Number_of_Beds</f>
        <v>0</v>
      </c>
      <c r="N73" s="4246"/>
      <c r="O73" s="4246"/>
      <c r="P73" s="4246"/>
      <c r="Q73" s="4246"/>
      <c r="R73" s="869"/>
      <c r="S73" s="3590" t="s">
        <v>1601</v>
      </c>
      <c r="T73" s="3590"/>
      <c r="U73" s="3590"/>
      <c r="V73" s="3590"/>
      <c r="W73" s="3591">
        <f>IFERROR(S71/ARV,0)</f>
        <v>0</v>
      </c>
      <c r="X73" s="3591"/>
    </row>
    <row r="74" spans="8:24" s="2" customFormat="1" ht="25" customHeight="1">
      <c r="H74" s="4235" t="s">
        <v>103</v>
      </c>
      <c r="I74" s="4235"/>
      <c r="J74" s="4235"/>
      <c r="K74" s="4235"/>
      <c r="L74" s="4235"/>
      <c r="M74" s="4246">
        <f>Number_of_Baths</f>
        <v>0</v>
      </c>
      <c r="N74" s="4246"/>
      <c r="O74" s="4246"/>
      <c r="P74" s="4246"/>
      <c r="Q74" s="4246"/>
      <c r="R74" s="869"/>
      <c r="S74" s="869"/>
      <c r="T74" s="869"/>
      <c r="U74" s="869"/>
      <c r="V74" s="869"/>
      <c r="W74" s="869"/>
      <c r="X74" s="869"/>
    </row>
    <row r="75" spans="8:24" s="2" customFormat="1" ht="25" customHeight="1">
      <c r="H75" s="4235" t="s">
        <v>1872</v>
      </c>
      <c r="I75" s="4235"/>
      <c r="J75" s="4235"/>
      <c r="K75" s="4235"/>
      <c r="L75" s="4235"/>
      <c r="M75" s="4236">
        <f>Square_Feet</f>
        <v>0</v>
      </c>
      <c r="N75" s="4236"/>
      <c r="O75" s="4236"/>
      <c r="P75" s="4236"/>
      <c r="Q75" s="4236"/>
      <c r="R75" s="869"/>
      <c r="S75" s="3592" t="s">
        <v>1600</v>
      </c>
      <c r="T75" s="3592"/>
      <c r="U75" s="3592"/>
      <c r="V75" s="3592"/>
      <c r="W75" s="3592"/>
      <c r="X75" s="3592"/>
    </row>
    <row r="76" spans="8:24" s="2" customFormat="1" ht="25" customHeight="1">
      <c r="H76" s="4235" t="s">
        <v>905</v>
      </c>
      <c r="I76" s="4235"/>
      <c r="J76" s="4235"/>
      <c r="K76" s="4235"/>
      <c r="L76" s="4235"/>
      <c r="M76" s="4236">
        <f>Subdivision</f>
        <v>0</v>
      </c>
      <c r="N76" s="4236"/>
      <c r="O76" s="4236"/>
      <c r="P76" s="4236"/>
      <c r="Q76" s="4236"/>
      <c r="R76" s="869"/>
      <c r="S76" s="3605">
        <f>-O84+-O85</f>
        <v>50000</v>
      </c>
      <c r="T76" s="3605"/>
      <c r="U76" s="3605"/>
      <c r="V76" s="3605"/>
      <c r="W76" s="3605"/>
      <c r="X76" s="3605"/>
    </row>
    <row r="77" spans="8:24" s="2" customFormat="1" ht="25" customHeight="1">
      <c r="H77" s="4235" t="s">
        <v>83</v>
      </c>
      <c r="I77" s="4235"/>
      <c r="J77" s="4235"/>
      <c r="K77" s="4235"/>
      <c r="L77" s="4235"/>
      <c r="M77" s="4236">
        <f>School_District</f>
        <v>0</v>
      </c>
      <c r="N77" s="4236"/>
      <c r="O77" s="4236"/>
      <c r="P77" s="4236"/>
      <c r="Q77" s="4236"/>
      <c r="R77" s="869"/>
      <c r="S77" s="3605"/>
      <c r="T77" s="3605"/>
      <c r="U77" s="3605"/>
      <c r="V77" s="3605"/>
      <c r="W77" s="3605"/>
      <c r="X77" s="3605"/>
    </row>
    <row r="78" spans="8:24" s="2" customFormat="1" ht="25" customHeight="1">
      <c r="H78" s="35"/>
      <c r="I78" s="35"/>
      <c r="J78" s="35"/>
      <c r="K78" s="35"/>
      <c r="L78" s="35"/>
      <c r="M78" s="35"/>
      <c r="N78" s="35"/>
      <c r="O78" s="35"/>
      <c r="P78" s="35"/>
      <c r="Q78" s="35"/>
      <c r="R78" s="869"/>
      <c r="S78" s="3590" t="s">
        <v>1350</v>
      </c>
      <c r="T78" s="3590"/>
      <c r="U78" s="3590"/>
      <c r="V78" s="3590"/>
      <c r="W78" s="3664">
        <f>IFERROR(S76/Property_Size,0)</f>
        <v>0</v>
      </c>
      <c r="X78" s="3664"/>
    </row>
    <row r="79" spans="8:24" s="2" customFormat="1" ht="25" customHeight="1">
      <c r="H79" s="3596" t="s">
        <v>1870</v>
      </c>
      <c r="I79" s="3596"/>
      <c r="J79" s="3596"/>
      <c r="K79" s="3596"/>
      <c r="L79" s="3596"/>
      <c r="M79" s="3596"/>
      <c r="N79" s="3596"/>
      <c r="O79" s="3596"/>
      <c r="P79" s="3596"/>
      <c r="Q79" s="3596"/>
      <c r="R79" s="869"/>
      <c r="S79" s="869"/>
      <c r="T79" s="869"/>
      <c r="U79" s="869"/>
      <c r="V79" s="869"/>
      <c r="W79" s="869"/>
      <c r="X79" s="869"/>
    </row>
    <row r="80" spans="8:24" s="2" customFormat="1" ht="25" customHeight="1">
      <c r="H80" s="3552"/>
      <c r="I80" s="3552"/>
      <c r="J80" s="3552"/>
      <c r="K80" s="3552"/>
      <c r="L80" s="3552"/>
      <c r="M80" s="3552"/>
      <c r="N80" s="3552"/>
      <c r="O80" s="3603" t="s">
        <v>1160</v>
      </c>
      <c r="P80" s="3603"/>
      <c r="Q80" s="3603"/>
      <c r="R80" s="869"/>
      <c r="S80" s="3592" t="s">
        <v>1602</v>
      </c>
      <c r="T80" s="3592"/>
      <c r="U80" s="3592"/>
      <c r="V80" s="3592"/>
      <c r="W80" s="3592"/>
      <c r="X80" s="3592"/>
    </row>
    <row r="81" spans="8:24" s="2" customFormat="1" ht="25" customHeight="1">
      <c r="H81" s="3598" t="s">
        <v>1203</v>
      </c>
      <c r="I81" s="3598"/>
      <c r="J81" s="3598"/>
      <c r="K81" s="3598"/>
      <c r="L81" s="3598"/>
      <c r="M81" s="3598"/>
      <c r="N81" s="3598"/>
      <c r="O81" s="4234">
        <f>AFTER_REPAIR_VALUE_WHOLESALE</f>
        <v>0</v>
      </c>
      <c r="P81" s="4234"/>
      <c r="Q81" s="4234"/>
      <c r="R81" s="869"/>
      <c r="S81" s="3605">
        <f>-O86-O87-O88</f>
        <v>0</v>
      </c>
      <c r="T81" s="3605"/>
      <c r="U81" s="3605"/>
      <c r="V81" s="3605"/>
      <c r="W81" s="3605"/>
      <c r="X81" s="3605"/>
    </row>
    <row r="82" spans="8:24" s="2" customFormat="1" ht="25" customHeight="1">
      <c r="H82" s="1427"/>
      <c r="I82" s="1427"/>
      <c r="J82" s="1427"/>
      <c r="K82" s="1427"/>
      <c r="L82" s="1425"/>
      <c r="M82" s="1425"/>
      <c r="N82" s="1425"/>
      <c r="O82" s="1426"/>
      <c r="P82" s="1426"/>
      <c r="Q82" s="1426"/>
      <c r="R82" s="869"/>
      <c r="S82" s="3605"/>
      <c r="T82" s="3605"/>
      <c r="U82" s="3605"/>
      <c r="V82" s="3605"/>
      <c r="W82" s="3605"/>
      <c r="X82" s="3605"/>
    </row>
    <row r="83" spans="8:24" s="2" customFormat="1" ht="25" customHeight="1">
      <c r="H83" s="3598" t="s">
        <v>794</v>
      </c>
      <c r="I83" s="3598"/>
      <c r="J83" s="3598"/>
      <c r="K83" s="3598"/>
      <c r="L83" s="3598"/>
      <c r="M83" s="3598"/>
      <c r="N83" s="3598"/>
      <c r="O83" s="3599">
        <f>-MAXIMUM_PURCHASE_PRICE_WHOLESALE</f>
        <v>50000</v>
      </c>
      <c r="P83" s="3599"/>
      <c r="Q83" s="3599"/>
      <c r="R83" s="869"/>
      <c r="S83" s="3590" t="s">
        <v>1601</v>
      </c>
      <c r="T83" s="3590"/>
      <c r="U83" s="3590"/>
      <c r="V83" s="3590"/>
      <c r="W83" s="3591">
        <f>IFERROR(S81/ARV,0)</f>
        <v>0</v>
      </c>
      <c r="X83" s="3591"/>
    </row>
    <row r="84" spans="8:24" s="2" customFormat="1" ht="25" customHeight="1">
      <c r="H84" s="3598" t="s">
        <v>84</v>
      </c>
      <c r="I84" s="3598"/>
      <c r="J84" s="3598"/>
      <c r="K84" s="3598"/>
      <c r="L84" s="3598"/>
      <c r="M84" s="3598"/>
      <c r="N84" s="3598"/>
      <c r="O84" s="3599">
        <f>-'WHOLESALE CALC'!BG64</f>
        <v>-50000</v>
      </c>
      <c r="P84" s="3599"/>
      <c r="Q84" s="3599"/>
      <c r="R84" s="869"/>
      <c r="S84" s="869"/>
      <c r="T84" s="869"/>
      <c r="U84" s="869"/>
      <c r="V84" s="869"/>
      <c r="W84" s="869"/>
      <c r="X84" s="869"/>
    </row>
    <row r="85" spans="8:24" s="2" customFormat="1" ht="25" customHeight="1">
      <c r="H85" s="3598" t="str">
        <f>IF(O85=0,"Contingeny",CONCATENATE("Contingency (",TEXT(Adders_Percentage,"#.#%"),")"))</f>
        <v>Contingeny</v>
      </c>
      <c r="I85" s="3598"/>
      <c r="J85" s="3598"/>
      <c r="K85" s="3598"/>
      <c r="L85" s="3598"/>
      <c r="M85" s="3598"/>
      <c r="N85" s="3598"/>
      <c r="O85" s="3599">
        <f>-'WHOLESALE CALC'!BG59</f>
        <v>0</v>
      </c>
      <c r="P85" s="3599"/>
      <c r="Q85" s="3599"/>
      <c r="R85" s="869"/>
      <c r="S85" s="3592" t="s">
        <v>1205</v>
      </c>
      <c r="T85" s="3592"/>
      <c r="U85" s="3592"/>
      <c r="V85" s="3592"/>
      <c r="W85" s="3592"/>
      <c r="X85" s="3592"/>
    </row>
    <row r="86" spans="8:24" s="2" customFormat="1" ht="25" customHeight="1">
      <c r="H86" s="3598" t="s">
        <v>74</v>
      </c>
      <c r="I86" s="3598"/>
      <c r="J86" s="3598"/>
      <c r="K86" s="3598"/>
      <c r="L86" s="3598"/>
      <c r="M86" s="3598"/>
      <c r="N86" s="3598"/>
      <c r="O86" s="3599">
        <f>-TOTAL_BUYING_COSTS_WHOLESALE</f>
        <v>0</v>
      </c>
      <c r="P86" s="3599"/>
      <c r="Q86" s="3599"/>
      <c r="R86" s="869"/>
      <c r="S86" s="3604">
        <f>-SUM(O83:Q88)</f>
        <v>0</v>
      </c>
      <c r="T86" s="3604"/>
      <c r="U86" s="3604"/>
      <c r="V86" s="3604"/>
      <c r="W86" s="3604"/>
      <c r="X86" s="3604"/>
    </row>
    <row r="87" spans="8:24" s="2" customFormat="1" ht="25" customHeight="1">
      <c r="H87" s="3598" t="s">
        <v>75</v>
      </c>
      <c r="I87" s="3598"/>
      <c r="J87" s="3598"/>
      <c r="K87" s="3598"/>
      <c r="L87" s="3598"/>
      <c r="M87" s="3598"/>
      <c r="N87" s="3598"/>
      <c r="O87" s="3599">
        <f>-TOTAL_HOLDING_COSTS_WHOLESALE</f>
        <v>0</v>
      </c>
      <c r="P87" s="3599"/>
      <c r="Q87" s="3599"/>
      <c r="R87" s="869"/>
      <c r="S87" s="3604"/>
      <c r="T87" s="3604"/>
      <c r="U87" s="3604"/>
      <c r="V87" s="3604"/>
      <c r="W87" s="3604"/>
      <c r="X87" s="3604"/>
    </row>
    <row r="88" spans="8:24" s="2" customFormat="1" ht="25" customHeight="1" thickBot="1">
      <c r="H88" s="3659" t="s">
        <v>77</v>
      </c>
      <c r="I88" s="3601"/>
      <c r="J88" s="3601"/>
      <c r="K88" s="3601"/>
      <c r="L88" s="3601"/>
      <c r="M88" s="3601"/>
      <c r="N88" s="3601"/>
      <c r="O88" s="3560">
        <f>-TOTAL_SELLING_COSTS_WHOLESALE</f>
        <v>0</v>
      </c>
      <c r="P88" s="3560"/>
      <c r="Q88" s="3560"/>
      <c r="R88" s="869"/>
      <c r="S88" s="3590" t="s">
        <v>1601</v>
      </c>
      <c r="T88" s="3590"/>
      <c r="U88" s="3590"/>
      <c r="V88" s="3590"/>
      <c r="W88" s="3591">
        <f>IFERROR(S86/ARV,0)</f>
        <v>0</v>
      </c>
      <c r="X88" s="3591"/>
    </row>
    <row r="89" spans="8:24" s="2" customFormat="1" ht="25" customHeight="1" thickTop="1">
      <c r="H89" s="3657" t="s">
        <v>1597</v>
      </c>
      <c r="I89" s="3657"/>
      <c r="J89" s="3657"/>
      <c r="K89" s="3657"/>
      <c r="L89" s="3657"/>
      <c r="M89" s="3657"/>
      <c r="N89" s="3657"/>
      <c r="O89" s="3656">
        <f>SUM(O81:Q88)</f>
        <v>0</v>
      </c>
      <c r="P89" s="3656"/>
      <c r="Q89" s="3656"/>
      <c r="R89" s="869"/>
      <c r="S89" s="869"/>
      <c r="T89" s="869"/>
      <c r="U89" s="869"/>
      <c r="V89" s="869"/>
      <c r="W89" s="869"/>
      <c r="X89" s="869"/>
    </row>
    <row r="90" spans="8:24" s="2" customFormat="1" ht="25" customHeight="1">
      <c r="H90" s="867"/>
      <c r="I90" s="867"/>
      <c r="J90" s="867"/>
      <c r="K90" s="867"/>
      <c r="L90" s="868"/>
      <c r="M90" s="868"/>
      <c r="N90" s="868"/>
      <c r="O90" s="869"/>
      <c r="P90" s="869"/>
      <c r="Q90" s="869"/>
      <c r="R90" s="869"/>
      <c r="S90" s="3592" t="s">
        <v>1597</v>
      </c>
      <c r="T90" s="3592"/>
      <c r="U90" s="3592"/>
      <c r="V90" s="3592"/>
      <c r="W90" s="3592"/>
      <c r="X90" s="3592"/>
    </row>
    <row r="91" spans="8:24" s="2" customFormat="1" ht="25" customHeight="1">
      <c r="H91" s="3596" t="s">
        <v>1594</v>
      </c>
      <c r="I91" s="3596"/>
      <c r="J91" s="3596"/>
      <c r="K91" s="3596"/>
      <c r="L91" s="3596"/>
      <c r="M91" s="3596"/>
      <c r="N91" s="3596"/>
      <c r="O91" s="3596"/>
      <c r="P91" s="3596"/>
      <c r="Q91" s="3596"/>
      <c r="R91" s="869"/>
      <c r="S91" s="3593">
        <f>O89</f>
        <v>0</v>
      </c>
      <c r="T91" s="3593"/>
      <c r="U91" s="3593"/>
      <c r="V91" s="3593"/>
      <c r="W91" s="3593"/>
      <c r="X91" s="3593"/>
    </row>
    <row r="92" spans="8:24" s="2" customFormat="1" ht="25" customHeight="1">
      <c r="H92" s="867"/>
      <c r="I92" s="867"/>
      <c r="J92" s="867"/>
      <c r="K92" s="867"/>
      <c r="L92" s="868"/>
      <c r="M92" s="868"/>
      <c r="N92" s="868"/>
      <c r="O92" s="869"/>
      <c r="P92" s="869"/>
      <c r="Q92" s="869"/>
      <c r="R92" s="869"/>
      <c r="S92" s="3593"/>
      <c r="T92" s="3593"/>
      <c r="U92" s="3593"/>
      <c r="V92" s="3593"/>
      <c r="W92" s="3593"/>
      <c r="X92" s="3593"/>
    </row>
    <row r="93" spans="8:24" s="2" customFormat="1" ht="25" customHeight="1">
      <c r="H93" s="3598" t="s">
        <v>795</v>
      </c>
      <c r="I93" s="3598"/>
      <c r="J93" s="3598"/>
      <c r="K93" s="3598"/>
      <c r="L93" s="3598"/>
      <c r="M93" s="3598"/>
      <c r="N93" s="3598"/>
      <c r="O93" s="3599">
        <f>-(O83+O84+O85+O86+O87)</f>
        <v>0</v>
      </c>
      <c r="P93" s="3599"/>
      <c r="Q93" s="3599"/>
      <c r="R93" s="869"/>
      <c r="S93" s="3590" t="s">
        <v>1601</v>
      </c>
      <c r="T93" s="3590"/>
      <c r="U93" s="3590"/>
      <c r="V93" s="3590"/>
      <c r="W93" s="3591">
        <f>IFERROR(S91/ARV,0)</f>
        <v>0</v>
      </c>
      <c r="X93" s="3591"/>
    </row>
    <row r="94" spans="8:24" s="2" customFormat="1" ht="25" customHeight="1">
      <c r="H94" s="3598" t="s">
        <v>972</v>
      </c>
      <c r="I94" s="3598"/>
      <c r="J94" s="3598"/>
      <c r="K94" s="3598"/>
      <c r="L94" s="3598"/>
      <c r="M94" s="3598"/>
      <c r="N94" s="3598"/>
      <c r="O94" s="3599">
        <f>O89</f>
        <v>0</v>
      </c>
      <c r="P94" s="3599"/>
      <c r="Q94" s="3599"/>
      <c r="R94" s="869"/>
      <c r="S94" s="869"/>
      <c r="T94" s="869"/>
      <c r="U94" s="869"/>
      <c r="V94" s="869"/>
      <c r="W94" s="869"/>
      <c r="X94" s="869"/>
    </row>
    <row r="95" spans="8:24" s="2" customFormat="1" ht="25" customHeight="1">
      <c r="H95" s="3597" t="s">
        <v>899</v>
      </c>
      <c r="I95" s="3598"/>
      <c r="J95" s="3598"/>
      <c r="K95" s="3598"/>
      <c r="L95" s="3598"/>
      <c r="M95" s="3598"/>
      <c r="N95" s="3598"/>
      <c r="O95" s="4247" t="e">
        <f>O94/O93</f>
        <v>#DIV/0!</v>
      </c>
      <c r="P95" s="4247"/>
      <c r="Q95" s="4247"/>
      <c r="R95" s="869"/>
      <c r="S95" s="869"/>
      <c r="T95" s="869"/>
      <c r="U95" s="869"/>
      <c r="V95" s="869"/>
      <c r="W95" s="869"/>
      <c r="X95" s="869"/>
    </row>
    <row r="96" spans="8:24" s="2" customFormat="1" ht="25" customHeight="1">
      <c r="H96" s="35"/>
      <c r="I96" s="35"/>
      <c r="J96" s="35"/>
      <c r="K96" s="35"/>
      <c r="L96" s="35"/>
      <c r="M96" s="35"/>
      <c r="N96" s="35"/>
      <c r="O96" s="35"/>
      <c r="P96" s="35"/>
      <c r="Q96" s="35"/>
      <c r="R96" s="869"/>
      <c r="S96" s="869"/>
      <c r="T96" s="869"/>
      <c r="U96" s="869"/>
      <c r="V96" s="869"/>
      <c r="W96" s="869"/>
      <c r="X96" s="869"/>
    </row>
    <row r="97" spans="8:24" s="2" customFormat="1" ht="25" customHeight="1">
      <c r="H97" s="35"/>
      <c r="I97" s="35"/>
      <c r="J97" s="35"/>
      <c r="K97" s="35"/>
      <c r="L97" s="35"/>
      <c r="M97" s="35"/>
      <c r="N97" s="35"/>
      <c r="O97" s="35"/>
      <c r="P97" s="35"/>
      <c r="Q97" s="35"/>
      <c r="R97" s="869"/>
      <c r="S97" s="869"/>
      <c r="T97" s="869"/>
      <c r="U97" s="869"/>
      <c r="V97" s="869"/>
      <c r="W97" s="869"/>
      <c r="X97" s="869"/>
    </row>
    <row r="98" spans="8:24" s="2" customFormat="1" ht="25" customHeight="1">
      <c r="H98" s="867"/>
      <c r="I98" s="867"/>
      <c r="J98" s="867"/>
      <c r="K98" s="867"/>
      <c r="L98" s="868"/>
      <c r="M98" s="868"/>
      <c r="N98" s="868"/>
      <c r="O98" s="869"/>
      <c r="P98" s="869"/>
      <c r="Q98" s="869"/>
      <c r="R98" s="869"/>
      <c r="S98" s="869"/>
      <c r="T98" s="869"/>
      <c r="U98" s="869"/>
      <c r="V98" s="869"/>
      <c r="W98" s="869"/>
      <c r="X98" s="869"/>
    </row>
    <row r="99" spans="8:24" s="2" customFormat="1" ht="22.7" customHeight="1">
      <c r="H99" s="3544" t="str">
        <f>CONCATENATE("Report Prepared By: ",Investor_Name,"  |  ",Company_Name,"  |  ",Company_Email,"  |  ",Company_Email)</f>
        <v xml:space="preserve">Report Prepared By:   |    |    |  </v>
      </c>
      <c r="I99" s="3544"/>
      <c r="J99" s="3544"/>
      <c r="K99" s="3544"/>
      <c r="L99" s="3544"/>
      <c r="M99" s="3544"/>
      <c r="N99" s="3544"/>
      <c r="O99" s="3544"/>
      <c r="P99" s="3544"/>
      <c r="Q99" s="3544"/>
      <c r="R99" s="3544"/>
      <c r="S99" s="3544"/>
      <c r="T99" s="3544"/>
      <c r="U99" s="3544"/>
      <c r="V99" s="3544"/>
      <c r="W99" s="3561" t="s">
        <v>1615</v>
      </c>
      <c r="X99" s="3561"/>
    </row>
    <row r="100" spans="8:24" s="2" customFormat="1" ht="25" customHeight="1">
      <c r="H100" s="3562" t="str">
        <f>CONCATENATE(Street_Address,", ",City_State_Zip)</f>
        <v>, 0</v>
      </c>
      <c r="I100" s="3562"/>
      <c r="J100" s="3562"/>
      <c r="K100" s="3562"/>
      <c r="L100" s="3562"/>
      <c r="M100" s="3562"/>
      <c r="N100" s="3562"/>
      <c r="O100" s="3562"/>
      <c r="P100" s="3562"/>
      <c r="Q100" s="3562"/>
      <c r="R100" s="3562"/>
      <c r="S100" s="3562"/>
      <c r="T100" s="3562"/>
      <c r="U100" s="3562"/>
      <c r="V100" s="3562"/>
      <c r="W100" s="3562"/>
      <c r="X100" s="3562"/>
    </row>
    <row r="101" spans="8:24" s="2" customFormat="1" ht="25" customHeight="1">
      <c r="H101" s="1421"/>
      <c r="I101" s="1421"/>
      <c r="J101" s="1419"/>
      <c r="K101" s="1419"/>
      <c r="L101" s="1420"/>
      <c r="M101" s="1420"/>
      <c r="N101" s="1420"/>
      <c r="O101" s="1420"/>
      <c r="P101" s="1420"/>
      <c r="Q101" s="1420"/>
      <c r="R101" s="1420"/>
      <c r="S101" s="1420"/>
      <c r="T101" s="1420"/>
      <c r="U101" s="1420"/>
      <c r="V101" s="1420"/>
      <c r="W101" s="1420"/>
      <c r="X101" s="1420"/>
    </row>
    <row r="102" spans="8:24" s="2" customFormat="1" ht="25" customHeight="1">
      <c r="H102" s="1423" t="s">
        <v>1557</v>
      </c>
      <c r="I102" s="1421"/>
      <c r="J102" s="1419"/>
      <c r="K102" s="1419"/>
      <c r="L102" s="1420"/>
      <c r="M102" s="1420"/>
      <c r="N102" s="1420"/>
      <c r="O102" s="1420"/>
      <c r="P102" s="1420"/>
      <c r="Q102" s="1420"/>
      <c r="R102" s="1420"/>
      <c r="S102" s="1420"/>
      <c r="T102" s="1420"/>
      <c r="U102" s="1420"/>
      <c r="V102" s="1420"/>
      <c r="W102" s="1420"/>
      <c r="X102" s="1420"/>
    </row>
    <row r="103" spans="8:24" s="2" customFormat="1" ht="25" customHeight="1">
      <c r="H103" s="1421"/>
      <c r="I103" s="1421"/>
      <c r="J103" s="1419"/>
      <c r="K103" s="1419"/>
      <c r="L103" s="1420"/>
      <c r="M103" s="1420"/>
      <c r="N103" s="1420"/>
      <c r="O103" s="1420"/>
      <c r="P103" s="1420"/>
      <c r="Q103" s="1424"/>
      <c r="R103" s="1424"/>
      <c r="S103" s="1420"/>
      <c r="T103" s="1420"/>
      <c r="U103" s="1420"/>
      <c r="V103" s="1420"/>
      <c r="W103" s="1420"/>
      <c r="X103" s="1420"/>
    </row>
    <row r="104" spans="8:24" s="2" customFormat="1" ht="25" customHeight="1">
      <c r="H104" s="3635" t="s">
        <v>1184</v>
      </c>
      <c r="I104" s="3635"/>
      <c r="J104" s="3635"/>
      <c r="K104" s="3635"/>
      <c r="L104" s="3635"/>
      <c r="M104" s="3635"/>
      <c r="N104" s="3635"/>
      <c r="O104" s="3635"/>
      <c r="P104" s="3635"/>
      <c r="Q104" s="3635"/>
      <c r="R104" s="3635"/>
      <c r="S104" s="3635"/>
      <c r="T104" s="3635"/>
      <c r="U104" s="3635"/>
      <c r="V104" s="3635"/>
      <c r="W104" s="3635"/>
      <c r="X104" s="3635"/>
    </row>
    <row r="105" spans="8:24" s="2" customFormat="1" ht="25" customHeight="1">
      <c r="H105" s="3638" t="s">
        <v>1258</v>
      </c>
      <c r="I105" s="3638"/>
      <c r="J105" s="3638"/>
      <c r="K105" s="3639" t="s">
        <v>1673</v>
      </c>
      <c r="L105" s="3639"/>
      <c r="M105" s="3639" t="s">
        <v>1263</v>
      </c>
      <c r="N105" s="3639"/>
      <c r="O105" s="3639"/>
      <c r="P105" s="3639"/>
      <c r="Q105" s="3639" t="s">
        <v>1264</v>
      </c>
      <c r="R105" s="3639"/>
      <c r="S105" s="3639"/>
      <c r="T105" s="3639"/>
      <c r="U105" s="3639" t="s">
        <v>1265</v>
      </c>
      <c r="V105" s="3639"/>
      <c r="W105" s="3639"/>
      <c r="X105" s="3639"/>
    </row>
    <row r="106" spans="8:24" s="2" customFormat="1" ht="32.700000000000003" customHeight="1">
      <c r="H106" s="4248" t="s">
        <v>609</v>
      </c>
      <c r="I106" s="3569"/>
      <c r="J106" s="3569"/>
      <c r="K106" s="3575" t="str">
        <f>CONCATENATE(COMPS!W6," ",COMPS!W7)</f>
        <v xml:space="preserve"> </v>
      </c>
      <c r="L106" s="3575"/>
      <c r="M106" s="3575" t="str">
        <f>CONCATENATE(COMPS!AJ6," ",COMPS!AJ7)</f>
        <v xml:space="preserve"> </v>
      </c>
      <c r="N106" s="3575"/>
      <c r="O106" s="3575"/>
      <c r="P106" s="3575"/>
      <c r="Q106" s="3575" t="str">
        <f>CONCATENATE(COMPS!AW6," ",COMPS!AW7)</f>
        <v xml:space="preserve"> </v>
      </c>
      <c r="R106" s="3575"/>
      <c r="S106" s="3575"/>
      <c r="T106" s="3575"/>
      <c r="U106" s="3575" t="str">
        <f>CONCATENATE(COMPS!BJ6," ",COMPS!BJ7)</f>
        <v xml:space="preserve"> </v>
      </c>
      <c r="V106" s="3575"/>
      <c r="W106" s="3575"/>
      <c r="X106" s="3575"/>
    </row>
    <row r="107" spans="8:24" s="2" customFormat="1" ht="32.700000000000003" customHeight="1">
      <c r="H107" s="4249"/>
      <c r="I107" s="3703"/>
      <c r="J107" s="3703"/>
      <c r="K107" s="3578"/>
      <c r="L107" s="3578"/>
      <c r="M107" s="3578"/>
      <c r="N107" s="3578"/>
      <c r="O107" s="3578"/>
      <c r="P107" s="3578"/>
      <c r="Q107" s="3578"/>
      <c r="R107" s="3578"/>
      <c r="S107" s="3578"/>
      <c r="T107" s="3578"/>
      <c r="U107" s="3578"/>
      <c r="V107" s="3578"/>
      <c r="W107" s="3578"/>
      <c r="X107" s="3578"/>
    </row>
    <row r="108" spans="8:24" s="2" customFormat="1" ht="25" customHeight="1">
      <c r="H108" s="4250" t="s">
        <v>1266</v>
      </c>
      <c r="I108" s="3584"/>
      <c r="J108" s="3584"/>
      <c r="K108" s="3585" t="str">
        <f>T(COMPS!W8)</f>
        <v/>
      </c>
      <c r="L108" s="3585"/>
      <c r="M108" s="3585" t="str">
        <f>T(COMPS!AJ8)</f>
        <v/>
      </c>
      <c r="N108" s="3585"/>
      <c r="O108" s="3585"/>
      <c r="P108" s="3585"/>
      <c r="Q108" s="3585" t="str">
        <f>T(COMPS!AW8)</f>
        <v/>
      </c>
      <c r="R108" s="3585"/>
      <c r="S108" s="3585"/>
      <c r="T108" s="3585"/>
      <c r="U108" s="3585" t="str">
        <f>T(COMPS!BJ8)</f>
        <v/>
      </c>
      <c r="V108" s="3585"/>
      <c r="W108" s="3585"/>
      <c r="X108" s="3585"/>
    </row>
    <row r="109" spans="8:24" s="2" customFormat="1" ht="25" customHeight="1">
      <c r="H109" s="4250" t="s">
        <v>1674</v>
      </c>
      <c r="I109" s="3584"/>
      <c r="J109" s="3584"/>
      <c r="K109" s="3585" t="str">
        <f>T(COMPS!W9)</f>
        <v/>
      </c>
      <c r="L109" s="3585"/>
      <c r="M109" s="3585" t="str">
        <f>T(COMPS!AJ9)</f>
        <v/>
      </c>
      <c r="N109" s="3585"/>
      <c r="O109" s="3585"/>
      <c r="P109" s="3585"/>
      <c r="Q109" s="3585" t="str">
        <f>T(COMPS!AW9)</f>
        <v/>
      </c>
      <c r="R109" s="3585"/>
      <c r="S109" s="3585"/>
      <c r="T109" s="3585"/>
      <c r="U109" s="3585" t="str">
        <f>T(COMPS!BJ9)</f>
        <v/>
      </c>
      <c r="V109" s="3585"/>
      <c r="W109" s="3585"/>
      <c r="X109" s="3585"/>
    </row>
    <row r="110" spans="8:24" s="2" customFormat="1" ht="25" customHeight="1">
      <c r="H110" s="4250" t="s">
        <v>1269</v>
      </c>
      <c r="I110" s="3584"/>
      <c r="J110" s="3584"/>
      <c r="K110" s="3585">
        <f>(COMPS!W10)</f>
        <v>0</v>
      </c>
      <c r="L110" s="3585"/>
      <c r="M110" s="3585" t="str">
        <f>T(COMPS!AJ10)</f>
        <v/>
      </c>
      <c r="N110" s="3585"/>
      <c r="O110" s="3585"/>
      <c r="P110" s="3585"/>
      <c r="Q110" s="3585" t="str">
        <f>T(COMPS!AW10)</f>
        <v/>
      </c>
      <c r="R110" s="3585"/>
      <c r="S110" s="3585"/>
      <c r="T110" s="3585"/>
      <c r="U110" s="3585" t="str">
        <f>T(COMPS!BJ10)</f>
        <v/>
      </c>
      <c r="V110" s="3585"/>
      <c r="W110" s="3585"/>
      <c r="X110" s="3585"/>
    </row>
    <row r="111" spans="8:24" s="2" customFormat="1" ht="25" customHeight="1">
      <c r="H111" s="4250" t="s">
        <v>1271</v>
      </c>
      <c r="I111" s="3584"/>
      <c r="J111" s="3584"/>
      <c r="K111" s="3630">
        <f>(COMPS!W11)</f>
        <v>0</v>
      </c>
      <c r="L111" s="3630"/>
      <c r="M111" s="3630" t="str">
        <f>T(COMPS!AJ11)</f>
        <v/>
      </c>
      <c r="N111" s="3630"/>
      <c r="O111" s="3630"/>
      <c r="P111" s="3630"/>
      <c r="Q111" s="3630" t="str">
        <f>T(COMPS!AW11)</f>
        <v/>
      </c>
      <c r="R111" s="3630"/>
      <c r="S111" s="3630"/>
      <c r="T111" s="3630"/>
      <c r="U111" s="3630" t="str">
        <f>T(COMPS!BJ11)</f>
        <v/>
      </c>
      <c r="V111" s="3630"/>
      <c r="W111" s="3630"/>
      <c r="X111" s="3630"/>
    </row>
    <row r="112" spans="8:24" s="2" customFormat="1" ht="25" customHeight="1">
      <c r="H112" s="4250" t="s">
        <v>1270</v>
      </c>
      <c r="I112" s="3584"/>
      <c r="J112" s="3584"/>
      <c r="K112" s="3671">
        <f>(COMPS!W12)</f>
        <v>0</v>
      </c>
      <c r="L112" s="3671"/>
      <c r="M112" s="3671" t="str">
        <f>T(COMPS!AJ12)</f>
        <v/>
      </c>
      <c r="N112" s="3671"/>
      <c r="O112" s="3671"/>
      <c r="P112" s="3671"/>
      <c r="Q112" s="3671" t="str">
        <f>T(COMPS!AW12)</f>
        <v/>
      </c>
      <c r="R112" s="3671"/>
      <c r="S112" s="3671"/>
      <c r="T112" s="3671"/>
      <c r="U112" s="3671" t="str">
        <f>T(COMPS!BJ12)</f>
        <v/>
      </c>
      <c r="V112" s="3671"/>
      <c r="W112" s="3671"/>
      <c r="X112" s="3671"/>
    </row>
    <row r="113" spans="8:24" s="2" customFormat="1" ht="25" customHeight="1">
      <c r="H113" s="4250" t="s">
        <v>1268</v>
      </c>
      <c r="I113" s="3584"/>
      <c r="J113" s="3584"/>
      <c r="K113" s="3632">
        <f>(COMPS!W13)</f>
        <v>0</v>
      </c>
      <c r="L113" s="3632"/>
      <c r="M113" s="3632" t="str">
        <f>T(COMPS!AJ13)</f>
        <v/>
      </c>
      <c r="N113" s="3632"/>
      <c r="O113" s="3632"/>
      <c r="P113" s="3632"/>
      <c r="Q113" s="3632" t="str">
        <f>T(COMPS!AW13)</f>
        <v/>
      </c>
      <c r="R113" s="3632"/>
      <c r="S113" s="3632"/>
      <c r="T113" s="3632"/>
      <c r="U113" s="3632" t="str">
        <f>T(COMPS!BJ13)</f>
        <v/>
      </c>
      <c r="V113" s="3632"/>
      <c r="W113" s="3632"/>
      <c r="X113" s="3632"/>
    </row>
    <row r="114" spans="8:24" s="2" customFormat="1" ht="25" customHeight="1">
      <c r="H114" s="3635" t="s">
        <v>1346</v>
      </c>
      <c r="I114" s="3635"/>
      <c r="J114" s="3635"/>
      <c r="K114" s="3635"/>
      <c r="L114" s="3635"/>
      <c r="M114" s="3635"/>
      <c r="N114" s="3635"/>
      <c r="O114" s="3635"/>
      <c r="P114" s="3635"/>
      <c r="Q114" s="3635"/>
      <c r="R114" s="3635"/>
      <c r="S114" s="3635"/>
      <c r="T114" s="3635"/>
      <c r="U114" s="3635"/>
      <c r="V114" s="3635"/>
      <c r="W114" s="3635"/>
      <c r="X114" s="3635"/>
    </row>
    <row r="115" spans="8:24" s="2" customFormat="1" ht="25" customHeight="1">
      <c r="H115" s="3638" t="s">
        <v>1258</v>
      </c>
      <c r="I115" s="3638"/>
      <c r="J115" s="3638"/>
      <c r="K115" s="3639" t="s">
        <v>1673</v>
      </c>
      <c r="L115" s="3639"/>
      <c r="M115" s="3639" t="s">
        <v>1263</v>
      </c>
      <c r="N115" s="3639"/>
      <c r="O115" s="3639"/>
      <c r="P115" s="935" t="s">
        <v>1349</v>
      </c>
      <c r="Q115" s="3638" t="s">
        <v>1264</v>
      </c>
      <c r="R115" s="3638"/>
      <c r="S115" s="3638"/>
      <c r="T115" s="935" t="s">
        <v>1349</v>
      </c>
      <c r="U115" s="3638" t="s">
        <v>1265</v>
      </c>
      <c r="V115" s="3638"/>
      <c r="W115" s="3638"/>
      <c r="X115" s="935" t="s">
        <v>1349</v>
      </c>
    </row>
    <row r="116" spans="8:24" s="2" customFormat="1" ht="25" customHeight="1">
      <c r="H116" s="4250" t="s">
        <v>984</v>
      </c>
      <c r="I116" s="3584"/>
      <c r="J116" s="3584"/>
      <c r="K116" s="3607">
        <f>COMPS!W16</f>
        <v>0</v>
      </c>
      <c r="L116" s="3609"/>
      <c r="M116" s="3607">
        <f>COMPS!AJ16</f>
        <v>0</v>
      </c>
      <c r="N116" s="3608"/>
      <c r="O116" s="3609"/>
      <c r="P116" s="1430">
        <f>COMPS!AR16</f>
        <v>0</v>
      </c>
      <c r="Q116" s="3613">
        <f>COMPS!AW16</f>
        <v>0</v>
      </c>
      <c r="R116" s="3613"/>
      <c r="S116" s="3613"/>
      <c r="T116" s="1430">
        <f>COMPS!BE16</f>
        <v>0</v>
      </c>
      <c r="U116" s="3607">
        <f>COMPS!BJ16</f>
        <v>0</v>
      </c>
      <c r="V116" s="3608"/>
      <c r="W116" s="3609"/>
      <c r="X116" s="1430">
        <f>COMPS!BR16</f>
        <v>0</v>
      </c>
    </row>
    <row r="117" spans="8:24" s="2" customFormat="1" ht="25" customHeight="1">
      <c r="H117" s="4250" t="s">
        <v>985</v>
      </c>
      <c r="I117" s="3584"/>
      <c r="J117" s="3584"/>
      <c r="K117" s="3585">
        <f>COMPS!W17</f>
        <v>0</v>
      </c>
      <c r="L117" s="3585"/>
      <c r="M117" s="3610">
        <f>COMPS!AJ17</f>
        <v>0</v>
      </c>
      <c r="N117" s="3611"/>
      <c r="O117" s="3612"/>
      <c r="P117" s="1430">
        <f>COMPS!AR17</f>
        <v>0</v>
      </c>
      <c r="Q117" s="3614">
        <f>COMPS!AW17</f>
        <v>0</v>
      </c>
      <c r="R117" s="3614"/>
      <c r="S117" s="3614"/>
      <c r="T117" s="1430">
        <f>COMPS!BE17</f>
        <v>0</v>
      </c>
      <c r="U117" s="3610">
        <f>COMPS!BJ17</f>
        <v>0</v>
      </c>
      <c r="V117" s="3611"/>
      <c r="W117" s="3612"/>
      <c r="X117" s="1430">
        <f>COMPS!BR17</f>
        <v>0</v>
      </c>
    </row>
    <row r="118" spans="8:24" s="2" customFormat="1" ht="25" customHeight="1">
      <c r="H118" s="4250" t="s">
        <v>1277</v>
      </c>
      <c r="I118" s="3584"/>
      <c r="J118" s="3584"/>
      <c r="K118" s="3585">
        <f>COMPS!W18</f>
        <v>0</v>
      </c>
      <c r="L118" s="3585"/>
      <c r="M118" s="3622">
        <f>COMPS!AJ18</f>
        <v>0</v>
      </c>
      <c r="N118" s="3623"/>
      <c r="O118" s="3624"/>
      <c r="P118" s="1430">
        <f>COMPS!AR18</f>
        <v>0</v>
      </c>
      <c r="Q118" s="3615">
        <f>COMPS!AW18</f>
        <v>0</v>
      </c>
      <c r="R118" s="3615"/>
      <c r="S118" s="3615"/>
      <c r="T118" s="1430">
        <f>COMPS!BE18</f>
        <v>0</v>
      </c>
      <c r="U118" s="3622">
        <f>COMPS!BJ18</f>
        <v>0</v>
      </c>
      <c r="V118" s="3623"/>
      <c r="W118" s="3624"/>
      <c r="X118" s="1430">
        <f>COMPS!BR18</f>
        <v>0</v>
      </c>
    </row>
    <row r="119" spans="8:24" s="2" customFormat="1" ht="25" customHeight="1">
      <c r="H119" s="4250" t="s">
        <v>1260</v>
      </c>
      <c r="I119" s="3584"/>
      <c r="J119" s="3584"/>
      <c r="K119" s="3585">
        <f>COMPS!W19</f>
        <v>0</v>
      </c>
      <c r="L119" s="3585"/>
      <c r="M119" s="3625">
        <f>COMPS!AJ19</f>
        <v>0</v>
      </c>
      <c r="N119" s="3626"/>
      <c r="O119" s="3627"/>
      <c r="P119" s="1430">
        <f>COMPS!AR19</f>
        <v>0</v>
      </c>
      <c r="Q119" s="3616">
        <f>COMPS!AW19</f>
        <v>0</v>
      </c>
      <c r="R119" s="3616"/>
      <c r="S119" s="3616"/>
      <c r="T119" s="1430">
        <f>COMPS!BE19</f>
        <v>0</v>
      </c>
      <c r="U119" s="3625">
        <f>COMPS!BJ19</f>
        <v>0</v>
      </c>
      <c r="V119" s="3626"/>
      <c r="W119" s="3627"/>
      <c r="X119" s="1430">
        <f>COMPS!BR19</f>
        <v>0</v>
      </c>
    </row>
    <row r="120" spans="8:24" s="2" customFormat="1" ht="25" customHeight="1">
      <c r="H120" s="4250" t="s">
        <v>1276</v>
      </c>
      <c r="I120" s="3584"/>
      <c r="J120" s="3584"/>
      <c r="K120" s="3585">
        <f>COMPS!W20</f>
        <v>0</v>
      </c>
      <c r="L120" s="3585"/>
      <c r="M120" s="3619">
        <f>COMPS!AJ20</f>
        <v>0</v>
      </c>
      <c r="N120" s="3620"/>
      <c r="O120" s="3621"/>
      <c r="P120" s="1430">
        <f>COMPS!AR20</f>
        <v>0</v>
      </c>
      <c r="Q120" s="3617">
        <f>COMPS!AW20</f>
        <v>0</v>
      </c>
      <c r="R120" s="3617"/>
      <c r="S120" s="3617"/>
      <c r="T120" s="1430">
        <f>COMPS!BE20</f>
        <v>0</v>
      </c>
      <c r="U120" s="3619">
        <f>COMPS!BJ20</f>
        <v>0</v>
      </c>
      <c r="V120" s="3620"/>
      <c r="W120" s="3621"/>
      <c r="X120" s="1430">
        <f>COMPS!BR20</f>
        <v>0</v>
      </c>
    </row>
    <row r="121" spans="8:24" s="2" customFormat="1" ht="25" customHeight="1">
      <c r="H121" s="4250" t="s">
        <v>1675</v>
      </c>
      <c r="I121" s="3584"/>
      <c r="J121" s="3584"/>
      <c r="K121" s="3585">
        <f>COMPS!W21</f>
        <v>0</v>
      </c>
      <c r="L121" s="3585"/>
      <c r="M121" s="3586">
        <f>COMPS!AJ21</f>
        <v>0</v>
      </c>
      <c r="N121" s="3587"/>
      <c r="O121" s="3588"/>
      <c r="P121" s="1430">
        <f>COMPS!AR21</f>
        <v>0</v>
      </c>
      <c r="Q121" s="3618">
        <f>COMPS!AW21</f>
        <v>0</v>
      </c>
      <c r="R121" s="3618"/>
      <c r="S121" s="3618"/>
      <c r="T121" s="1430">
        <f>COMPS!BE21</f>
        <v>0</v>
      </c>
      <c r="U121" s="3586">
        <f>COMPS!BJ21</f>
        <v>0</v>
      </c>
      <c r="V121" s="3587"/>
      <c r="W121" s="3588"/>
      <c r="X121" s="1430">
        <f>COMPS!BR21</f>
        <v>0</v>
      </c>
    </row>
    <row r="122" spans="8:24" s="2" customFormat="1" ht="25" customHeight="1">
      <c r="H122" s="4250" t="s">
        <v>1278</v>
      </c>
      <c r="I122" s="3584"/>
      <c r="J122" s="3584"/>
      <c r="K122" s="3585">
        <f>COMPS!W22</f>
        <v>0</v>
      </c>
      <c r="L122" s="3585"/>
      <c r="M122" s="3586">
        <f>COMPS!AJ22</f>
        <v>0</v>
      </c>
      <c r="N122" s="3587"/>
      <c r="O122" s="3588"/>
      <c r="P122" s="1430">
        <f>COMPS!AR22</f>
        <v>0</v>
      </c>
      <c r="Q122" s="3618">
        <f>COMPS!AW22</f>
        <v>0</v>
      </c>
      <c r="R122" s="3618"/>
      <c r="S122" s="3618"/>
      <c r="T122" s="1430">
        <f>COMPS!BE22</f>
        <v>0</v>
      </c>
      <c r="U122" s="3586">
        <f>COMPS!BJ22</f>
        <v>0</v>
      </c>
      <c r="V122" s="3587"/>
      <c r="W122" s="3588"/>
      <c r="X122" s="1430">
        <f>COMPS!BR22</f>
        <v>0</v>
      </c>
    </row>
    <row r="123" spans="8:24" s="2" customFormat="1" ht="25" customHeight="1">
      <c r="H123" s="4250" t="s">
        <v>1279</v>
      </c>
      <c r="I123" s="3584"/>
      <c r="J123" s="3584"/>
      <c r="K123" s="3585">
        <f>COMPS!W23</f>
        <v>0</v>
      </c>
      <c r="L123" s="3585"/>
      <c r="M123" s="3586">
        <f>COMPS!AJ23</f>
        <v>0</v>
      </c>
      <c r="N123" s="3587"/>
      <c r="O123" s="3588"/>
      <c r="P123" s="1430">
        <f>COMPS!AR23</f>
        <v>0</v>
      </c>
      <c r="Q123" s="3618">
        <f>COMPS!AW23</f>
        <v>0</v>
      </c>
      <c r="R123" s="3618"/>
      <c r="S123" s="3618"/>
      <c r="T123" s="1430">
        <f>COMPS!BE23</f>
        <v>0</v>
      </c>
      <c r="U123" s="3586">
        <f>COMPS!BJ23</f>
        <v>0</v>
      </c>
      <c r="V123" s="3587"/>
      <c r="W123" s="3588"/>
      <c r="X123" s="1430">
        <f>COMPS!BR23</f>
        <v>0</v>
      </c>
    </row>
    <row r="124" spans="8:24" s="2" customFormat="1" ht="25" customHeight="1">
      <c r="H124" s="4250" t="s">
        <v>1280</v>
      </c>
      <c r="I124" s="3584"/>
      <c r="J124" s="3584"/>
      <c r="K124" s="3585">
        <f>COMPS!W24</f>
        <v>0</v>
      </c>
      <c r="L124" s="3585"/>
      <c r="M124" s="3586">
        <f>COMPS!AJ24</f>
        <v>0</v>
      </c>
      <c r="N124" s="3587"/>
      <c r="O124" s="3588"/>
      <c r="P124" s="1430">
        <f>COMPS!AR24</f>
        <v>0</v>
      </c>
      <c r="Q124" s="3618">
        <f>COMPS!AW24</f>
        <v>0</v>
      </c>
      <c r="R124" s="3618"/>
      <c r="S124" s="3618"/>
      <c r="T124" s="1430">
        <f>COMPS!BE24</f>
        <v>0</v>
      </c>
      <c r="U124" s="3586">
        <f>COMPS!BJ24</f>
        <v>0</v>
      </c>
      <c r="V124" s="3587"/>
      <c r="W124" s="3588"/>
      <c r="X124" s="1430">
        <f>COMPS!BR24</f>
        <v>0</v>
      </c>
    </row>
    <row r="125" spans="8:24" s="2" customFormat="1" ht="25" customHeight="1">
      <c r="H125" s="3569" t="s">
        <v>1676</v>
      </c>
      <c r="I125" s="3569"/>
      <c r="J125" s="3569"/>
      <c r="K125" s="3899">
        <f>COMPS!W25</f>
        <v>0</v>
      </c>
      <c r="L125" s="3899"/>
      <c r="M125" s="3899">
        <f>COMPS!AJ25</f>
        <v>0</v>
      </c>
      <c r="N125" s="3899"/>
      <c r="O125" s="3899"/>
      <c r="P125" s="3579">
        <v>0</v>
      </c>
      <c r="Q125" s="3902">
        <f>COMPS!AW25</f>
        <v>0</v>
      </c>
      <c r="R125" s="3902"/>
      <c r="S125" s="3902"/>
      <c r="T125" s="3579">
        <f>COMPS!BE25</f>
        <v>0</v>
      </c>
      <c r="U125" s="3899">
        <f>COMPS!BJ25</f>
        <v>0</v>
      </c>
      <c r="V125" s="3899"/>
      <c r="W125" s="3899"/>
      <c r="X125" s="3579">
        <f>COMPS!BR25</f>
        <v>0</v>
      </c>
    </row>
    <row r="126" spans="8:24" s="2" customFormat="1" ht="25" customHeight="1">
      <c r="H126" s="3571"/>
      <c r="I126" s="3571"/>
      <c r="J126" s="3571"/>
      <c r="K126" s="3899">
        <f>COMPS!W26</f>
        <v>0</v>
      </c>
      <c r="L126" s="3899"/>
      <c r="M126" s="3899">
        <f>COMPS!AJ26</f>
        <v>0</v>
      </c>
      <c r="N126" s="3899"/>
      <c r="O126" s="3899"/>
      <c r="P126" s="3580">
        <f>COMPS!AR26</f>
        <v>0</v>
      </c>
      <c r="Q126" s="3899"/>
      <c r="R126" s="3899"/>
      <c r="S126" s="3899"/>
      <c r="T126" s="3580">
        <f>COMPS!BE26</f>
        <v>0</v>
      </c>
      <c r="U126" s="3899">
        <f>COMPS!BJ26</f>
        <v>0</v>
      </c>
      <c r="V126" s="3899"/>
      <c r="W126" s="3899"/>
      <c r="X126" s="3580">
        <f>COMPS!BR26</f>
        <v>0</v>
      </c>
    </row>
    <row r="127" spans="8:24" s="2" customFormat="1" ht="25" customHeight="1">
      <c r="H127" s="3571"/>
      <c r="I127" s="3571"/>
      <c r="J127" s="3571"/>
      <c r="K127" s="3899">
        <f>COMPS!W27</f>
        <v>0</v>
      </c>
      <c r="L127" s="3899"/>
      <c r="M127" s="3899">
        <f>COMPS!AJ27</f>
        <v>0</v>
      </c>
      <c r="N127" s="3899"/>
      <c r="O127" s="3899"/>
      <c r="P127" s="3580">
        <f>COMPS!AR27</f>
        <v>0</v>
      </c>
      <c r="Q127" s="3899"/>
      <c r="R127" s="3899"/>
      <c r="S127" s="3899"/>
      <c r="T127" s="3580">
        <f>COMPS!BE27</f>
        <v>0</v>
      </c>
      <c r="U127" s="3899">
        <f>COMPS!BJ27</f>
        <v>0</v>
      </c>
      <c r="V127" s="3899"/>
      <c r="W127" s="3899"/>
      <c r="X127" s="3580">
        <f>COMPS!BR27</f>
        <v>0</v>
      </c>
    </row>
    <row r="128" spans="8:24" s="2" customFormat="1" ht="25" customHeight="1">
      <c r="H128" s="3571"/>
      <c r="I128" s="3571"/>
      <c r="J128" s="3571"/>
      <c r="K128" s="3901">
        <f>COMPS!W28</f>
        <v>0</v>
      </c>
      <c r="L128" s="3901"/>
      <c r="M128" s="3901">
        <f>COMPS!AJ28</f>
        <v>0</v>
      </c>
      <c r="N128" s="3901"/>
      <c r="O128" s="3901"/>
      <c r="P128" s="3582">
        <f>COMPS!AR28</f>
        <v>0</v>
      </c>
      <c r="Q128" s="3901"/>
      <c r="R128" s="3901"/>
      <c r="S128" s="3901"/>
      <c r="T128" s="3582">
        <f>COMPS!BE28</f>
        <v>0</v>
      </c>
      <c r="U128" s="3901">
        <f>COMPS!BJ28</f>
        <v>0</v>
      </c>
      <c r="V128" s="3901"/>
      <c r="W128" s="3901"/>
      <c r="X128" s="3582">
        <f>COMPS!BR28</f>
        <v>0</v>
      </c>
    </row>
    <row r="129" spans="8:24" s="2" customFormat="1" ht="25" customHeight="1">
      <c r="H129" s="3569" t="s">
        <v>150</v>
      </c>
      <c r="I129" s="3569"/>
      <c r="J129" s="3569"/>
      <c r="K129" s="3897">
        <f>COMPS!W26</f>
        <v>0</v>
      </c>
      <c r="L129" s="3898"/>
      <c r="M129" s="3897">
        <f>COMPS!AJ26</f>
        <v>0</v>
      </c>
      <c r="N129" s="3898"/>
      <c r="O129" s="3898"/>
      <c r="P129" s="3579">
        <f>COMPS!AR29</f>
        <v>0</v>
      </c>
      <c r="Q129" s="3898"/>
      <c r="R129" s="3898"/>
      <c r="S129" s="3898"/>
      <c r="T129" s="3579">
        <f>COMPS!BE29</f>
        <v>0</v>
      </c>
      <c r="U129" s="3898"/>
      <c r="V129" s="3898"/>
      <c r="W129" s="3898"/>
      <c r="X129" s="3579">
        <f>COMPS!BR29</f>
        <v>0</v>
      </c>
    </row>
    <row r="130" spans="8:24" s="2" customFormat="1" ht="25" customHeight="1">
      <c r="H130" s="3571"/>
      <c r="I130" s="3571"/>
      <c r="J130" s="3571"/>
      <c r="K130" s="3899"/>
      <c r="L130" s="3899"/>
      <c r="M130" s="3899"/>
      <c r="N130" s="3899"/>
      <c r="O130" s="3899"/>
      <c r="P130" s="3580">
        <f>COMPS!AR30</f>
        <v>0</v>
      </c>
      <c r="Q130" s="3899"/>
      <c r="R130" s="3899"/>
      <c r="S130" s="3899"/>
      <c r="T130" s="3580">
        <f>COMPS!BE30</f>
        <v>0</v>
      </c>
      <c r="U130" s="3899"/>
      <c r="V130" s="3899"/>
      <c r="W130" s="3899"/>
      <c r="X130" s="3580">
        <f>COMPS!BR30</f>
        <v>0</v>
      </c>
    </row>
    <row r="131" spans="8:24" s="2" customFormat="1" ht="25" customHeight="1">
      <c r="H131" s="3571"/>
      <c r="I131" s="3571"/>
      <c r="J131" s="3571"/>
      <c r="K131" s="3899"/>
      <c r="L131" s="3899"/>
      <c r="M131" s="3899"/>
      <c r="N131" s="3899"/>
      <c r="O131" s="3899"/>
      <c r="P131" s="3580">
        <f>COMPS!AR31</f>
        <v>0</v>
      </c>
      <c r="Q131" s="3899"/>
      <c r="R131" s="3899"/>
      <c r="S131" s="3899"/>
      <c r="T131" s="3580">
        <f>COMPS!BE31</f>
        <v>0</v>
      </c>
      <c r="U131" s="3899"/>
      <c r="V131" s="3899"/>
      <c r="W131" s="3899"/>
      <c r="X131" s="3580">
        <f>COMPS!BR31</f>
        <v>0</v>
      </c>
    </row>
    <row r="132" spans="8:24" s="2" customFormat="1" ht="25" customHeight="1">
      <c r="H132" s="3571"/>
      <c r="I132" s="3571"/>
      <c r="J132" s="3571"/>
      <c r="K132" s="3899"/>
      <c r="L132" s="3899"/>
      <c r="M132" s="3899"/>
      <c r="N132" s="3899"/>
      <c r="O132" s="3899"/>
      <c r="P132" s="3580">
        <f>COMPS!AR32</f>
        <v>0</v>
      </c>
      <c r="Q132" s="3899"/>
      <c r="R132" s="3899"/>
      <c r="S132" s="3899"/>
      <c r="T132" s="3580">
        <f>COMPS!BE32</f>
        <v>0</v>
      </c>
      <c r="U132" s="3899"/>
      <c r="V132" s="3899"/>
      <c r="W132" s="3899"/>
      <c r="X132" s="3580">
        <f>COMPS!BR32</f>
        <v>0</v>
      </c>
    </row>
    <row r="133" spans="8:24" s="2" customFormat="1" ht="25" customHeight="1" thickBot="1">
      <c r="H133" s="3573"/>
      <c r="I133" s="3573"/>
      <c r="J133" s="3573"/>
      <c r="K133" s="3900"/>
      <c r="L133" s="3900"/>
      <c r="M133" s="3900"/>
      <c r="N133" s="3900"/>
      <c r="O133" s="3900"/>
      <c r="P133" s="3581">
        <f>COMPS!AR33</f>
        <v>0</v>
      </c>
      <c r="Q133" s="3900"/>
      <c r="R133" s="3900"/>
      <c r="S133" s="3900"/>
      <c r="T133" s="3581">
        <f>COMPS!BE33</f>
        <v>0</v>
      </c>
      <c r="U133" s="3900"/>
      <c r="V133" s="3900"/>
      <c r="W133" s="3900"/>
      <c r="X133" s="3581">
        <f>COMPS!BR33</f>
        <v>0</v>
      </c>
    </row>
    <row r="134" spans="8:24" s="2" customFormat="1" ht="25" customHeight="1" thickTop="1">
      <c r="H134" s="3675" t="s">
        <v>1677</v>
      </c>
      <c r="I134" s="3675"/>
      <c r="J134" s="3675"/>
      <c r="K134" s="3675"/>
      <c r="L134" s="3675"/>
      <c r="M134" s="3681">
        <f>COMPS!AJ33</f>
        <v>0</v>
      </c>
      <c r="N134" s="3681"/>
      <c r="O134" s="3681"/>
      <c r="P134" s="3681"/>
      <c r="Q134" s="3681">
        <f>COMPS!AW33</f>
        <v>0</v>
      </c>
      <c r="R134" s="3681"/>
      <c r="S134" s="3681"/>
      <c r="T134" s="3681"/>
      <c r="U134" s="3681">
        <f>COMPS!BJ33</f>
        <v>0</v>
      </c>
      <c r="V134" s="3681"/>
      <c r="W134" s="3681"/>
      <c r="X134" s="3681"/>
    </row>
    <row r="135" spans="8:24" s="2" customFormat="1" ht="25" customHeight="1">
      <c r="H135" s="3679" t="s">
        <v>1678</v>
      </c>
      <c r="I135" s="3679"/>
      <c r="J135" s="3679"/>
      <c r="K135" s="3680">
        <f>COMPS!W34</f>
        <v>0</v>
      </c>
      <c r="L135" s="3680"/>
      <c r="M135" s="3676">
        <f>COMPS!AJ34</f>
        <v>0</v>
      </c>
      <c r="N135" s="3676"/>
      <c r="O135" s="3676"/>
      <c r="P135" s="3676"/>
      <c r="Q135" s="3676">
        <f>COMPS!AW34</f>
        <v>0</v>
      </c>
      <c r="R135" s="3676"/>
      <c r="S135" s="3676"/>
      <c r="T135" s="3676"/>
      <c r="U135" s="3676">
        <f>COMPS!BJ34</f>
        <v>0</v>
      </c>
      <c r="V135" s="3676"/>
      <c r="W135" s="3676"/>
      <c r="X135" s="3676"/>
    </row>
    <row r="136" spans="8:24" s="2" customFormat="1" ht="25" customHeight="1">
      <c r="H136" s="934"/>
      <c r="I136" s="934"/>
      <c r="J136" s="934"/>
      <c r="K136" s="934"/>
      <c r="L136" s="934"/>
      <c r="M136" s="934"/>
      <c r="N136" s="934"/>
      <c r="O136" s="934"/>
      <c r="P136" s="934"/>
      <c r="Q136" s="934"/>
      <c r="R136" s="934"/>
      <c r="S136" s="934"/>
      <c r="T136" s="934"/>
      <c r="U136" s="934"/>
      <c r="V136" s="934"/>
      <c r="W136" s="934"/>
      <c r="X136" s="934"/>
    </row>
    <row r="137" spans="8:24" s="2" customFormat="1" ht="25" customHeight="1">
      <c r="H137" s="934"/>
      <c r="I137" s="934"/>
      <c r="J137" s="934"/>
      <c r="K137" s="934"/>
      <c r="L137" s="934"/>
      <c r="M137" s="934"/>
      <c r="N137" s="934"/>
      <c r="O137" s="934"/>
      <c r="P137" s="934"/>
      <c r="Q137" s="934"/>
      <c r="R137" s="934"/>
      <c r="S137" s="934"/>
      <c r="T137" s="934"/>
      <c r="U137" s="934"/>
      <c r="V137" s="934"/>
      <c r="W137" s="934"/>
      <c r="X137" s="934"/>
    </row>
    <row r="138" spans="8:24" s="2" customFormat="1" ht="25" customHeight="1">
      <c r="H138" s="1421"/>
      <c r="I138" s="1421"/>
      <c r="J138" s="1419"/>
      <c r="K138" s="1419"/>
      <c r="L138" s="1420"/>
      <c r="M138" s="1420"/>
      <c r="N138" s="1420"/>
      <c r="O138" s="1420"/>
      <c r="P138" s="1420"/>
      <c r="Q138" s="1420"/>
      <c r="R138" s="1420"/>
      <c r="S138" s="1420"/>
      <c r="T138" s="1420"/>
      <c r="U138" s="1420"/>
      <c r="V138" s="1420"/>
      <c r="W138" s="1420"/>
      <c r="X138" s="1420"/>
    </row>
    <row r="139" spans="8:24" s="2" customFormat="1" ht="25" customHeight="1">
      <c r="H139" s="867"/>
      <c r="I139" s="867"/>
      <c r="J139" s="868"/>
      <c r="K139" s="868"/>
      <c r="L139" s="869"/>
      <c r="M139" s="869"/>
      <c r="N139" s="869"/>
      <c r="O139" s="869"/>
      <c r="P139" s="869"/>
      <c r="Q139" s="869"/>
      <c r="R139" s="869"/>
      <c r="S139" s="869"/>
      <c r="T139" s="869"/>
      <c r="U139" s="869"/>
      <c r="V139" s="869"/>
      <c r="W139" s="869"/>
      <c r="X139" s="869"/>
    </row>
    <row r="140" spans="8:24" s="2" customFormat="1" ht="22.7" customHeight="1">
      <c r="H140" s="3544" t="str">
        <f>CONCATENATE("Report Prepared By: ",Investor_Name,"  |  ",Company_Name,"  |  ",Company_Email,"  |  ",Company_Email)</f>
        <v xml:space="preserve">Report Prepared By:   |    |    |  </v>
      </c>
      <c r="I140" s="3544"/>
      <c r="J140" s="3544"/>
      <c r="K140" s="3544"/>
      <c r="L140" s="3544"/>
      <c r="M140" s="3544"/>
      <c r="N140" s="3544"/>
      <c r="O140" s="3544"/>
      <c r="P140" s="3544"/>
      <c r="Q140" s="3544"/>
      <c r="R140" s="3544"/>
      <c r="S140" s="3544"/>
      <c r="T140" s="3544"/>
      <c r="U140" s="3544"/>
      <c r="V140" s="1422"/>
      <c r="W140" s="3561" t="s">
        <v>1614</v>
      </c>
      <c r="X140" s="3561"/>
    </row>
    <row r="141" spans="8:24" s="2" customFormat="1" ht="25" customHeight="1">
      <c r="H141" s="3562" t="str">
        <f>CONCATENATE(Street_Address,", ",City_State_Zip)</f>
        <v>, 0</v>
      </c>
      <c r="I141" s="3562"/>
      <c r="J141" s="3562"/>
      <c r="K141" s="3562"/>
      <c r="L141" s="3562"/>
      <c r="M141" s="3562"/>
      <c r="N141" s="3562"/>
      <c r="O141" s="3562"/>
      <c r="P141" s="3562"/>
      <c r="Q141" s="3562"/>
      <c r="R141" s="3562"/>
      <c r="S141" s="3562"/>
      <c r="T141" s="3562"/>
      <c r="U141" s="3562"/>
      <c r="V141" s="3562"/>
      <c r="W141" s="3562"/>
      <c r="X141" s="3562"/>
    </row>
    <row r="142" spans="8:24" s="2" customFormat="1" ht="25" customHeight="1">
      <c r="H142" s="1421"/>
      <c r="I142" s="1421"/>
      <c r="J142" s="1421"/>
      <c r="K142" s="1421"/>
      <c r="L142" s="1419"/>
      <c r="M142" s="1419"/>
      <c r="N142" s="1419"/>
      <c r="O142" s="1420"/>
      <c r="P142" s="1420"/>
      <c r="Q142" s="1420"/>
      <c r="R142" s="1420"/>
      <c r="S142" s="1420"/>
      <c r="T142" s="1420"/>
      <c r="U142" s="1420"/>
      <c r="V142" s="1420"/>
      <c r="W142" s="1420"/>
      <c r="X142" s="1420"/>
    </row>
    <row r="143" spans="8:24" s="2" customFormat="1" ht="25" customHeight="1">
      <c r="H143" s="1423" t="s">
        <v>1179</v>
      </c>
      <c r="I143" s="1421"/>
      <c r="J143" s="1421"/>
      <c r="K143" s="1421"/>
      <c r="L143" s="1419"/>
      <c r="M143" s="1419"/>
      <c r="N143" s="1419"/>
      <c r="O143" s="1420"/>
      <c r="P143" s="1420"/>
      <c r="Q143" s="1420"/>
      <c r="R143" s="1420"/>
      <c r="S143" s="1420"/>
      <c r="T143" s="1420"/>
      <c r="U143" s="1420"/>
      <c r="V143" s="1420"/>
      <c r="W143" s="1420"/>
      <c r="X143" s="1420"/>
    </row>
    <row r="144" spans="8:24" s="2" customFormat="1" ht="25" customHeight="1">
      <c r="H144" s="1421"/>
      <c r="I144" s="1421"/>
      <c r="J144" s="1421"/>
      <c r="K144" s="1421"/>
      <c r="L144" s="1419"/>
      <c r="M144" s="1419"/>
      <c r="N144" s="1419"/>
      <c r="O144" s="1420"/>
      <c r="P144" s="1420"/>
      <c r="Q144" s="1420"/>
      <c r="R144" s="1420"/>
      <c r="S144" s="1424"/>
      <c r="T144" s="1420"/>
      <c r="U144" s="1420"/>
      <c r="V144" s="1420"/>
      <c r="W144" s="1420"/>
      <c r="X144" s="1420"/>
    </row>
    <row r="145" spans="8:24" s="2" customFormat="1" ht="25" customHeight="1">
      <c r="H145" s="3706" t="s">
        <v>1608</v>
      </c>
      <c r="I145" s="3707"/>
      <c r="J145" s="3707"/>
      <c r="K145" s="3707"/>
      <c r="L145" s="3707"/>
      <c r="M145" s="3707"/>
      <c r="N145" s="3707"/>
      <c r="O145" s="3707"/>
      <c r="P145" s="3707"/>
      <c r="Q145" s="3707"/>
      <c r="R145" s="3707"/>
      <c r="S145" s="3707"/>
      <c r="T145" s="3707"/>
      <c r="U145" s="3707"/>
      <c r="V145" s="3707"/>
      <c r="W145" s="3707"/>
      <c r="X145" s="3708"/>
    </row>
    <row r="146" spans="8:24" s="2" customFormat="1" ht="25" customHeight="1">
      <c r="H146" s="3709"/>
      <c r="I146" s="3710"/>
      <c r="J146" s="3710"/>
      <c r="K146" s="3710"/>
      <c r="L146" s="3710"/>
      <c r="M146" s="3710"/>
      <c r="N146" s="3710"/>
      <c r="O146" s="3710"/>
      <c r="P146" s="3710"/>
      <c r="Q146" s="3710"/>
      <c r="R146" s="3710"/>
      <c r="S146" s="3710"/>
      <c r="T146" s="3710"/>
      <c r="U146" s="3710"/>
      <c r="V146" s="3710"/>
      <c r="W146" s="3710"/>
      <c r="X146" s="3711"/>
    </row>
    <row r="147" spans="8:24" s="2" customFormat="1" ht="25" customHeight="1">
      <c r="H147" s="3709"/>
      <c r="I147" s="3710"/>
      <c r="J147" s="3710"/>
      <c r="K147" s="3710"/>
      <c r="L147" s="3710"/>
      <c r="M147" s="3710"/>
      <c r="N147" s="3710"/>
      <c r="O147" s="3710"/>
      <c r="P147" s="3710"/>
      <c r="Q147" s="3710"/>
      <c r="R147" s="3710"/>
      <c r="S147" s="3710"/>
      <c r="T147" s="3710"/>
      <c r="U147" s="3710"/>
      <c r="V147" s="3710"/>
      <c r="W147" s="3710"/>
      <c r="X147" s="3711"/>
    </row>
    <row r="148" spans="8:24" s="2" customFormat="1" ht="25" customHeight="1">
      <c r="H148" s="3712"/>
      <c r="I148" s="3713"/>
      <c r="J148" s="3713"/>
      <c r="K148" s="3713"/>
      <c r="L148" s="3713"/>
      <c r="M148" s="3713"/>
      <c r="N148" s="3713"/>
      <c r="O148" s="3713"/>
      <c r="P148" s="3713"/>
      <c r="Q148" s="3713"/>
      <c r="R148" s="3713"/>
      <c r="S148" s="3713"/>
      <c r="T148" s="3713"/>
      <c r="U148" s="3713"/>
      <c r="V148" s="3713"/>
      <c r="W148" s="3713"/>
      <c r="X148" s="3714"/>
    </row>
    <row r="149" spans="8:24" s="2" customFormat="1" ht="25" customHeight="1">
      <c r="H149" s="1421"/>
      <c r="I149" s="1421"/>
      <c r="J149" s="1421"/>
      <c r="K149" s="1421"/>
      <c r="L149" s="1419"/>
      <c r="M149" s="1419"/>
      <c r="N149" s="1419"/>
      <c r="O149" s="1420"/>
      <c r="P149" s="1420"/>
      <c r="Q149" s="1420"/>
      <c r="R149" s="1420"/>
      <c r="S149" s="1424"/>
      <c r="T149" s="1420"/>
      <c r="U149" s="1420"/>
      <c r="V149" s="1420"/>
      <c r="W149" s="1420"/>
      <c r="X149" s="1420"/>
    </row>
    <row r="150" spans="8:24" s="2" customFormat="1" ht="25" customHeight="1">
      <c r="H150" s="4251" t="s">
        <v>965</v>
      </c>
      <c r="I150" s="4251"/>
      <c r="J150" s="4251"/>
      <c r="K150" s="4251"/>
      <c r="L150" s="4251"/>
      <c r="M150" s="4251"/>
      <c r="N150" s="4251"/>
      <c r="O150" s="4251"/>
      <c r="P150" s="4251"/>
      <c r="Q150" s="4251"/>
      <c r="R150" s="4252" t="s">
        <v>413</v>
      </c>
      <c r="S150" s="4252"/>
      <c r="T150" s="4252"/>
      <c r="U150" s="4252"/>
      <c r="V150" s="4252" t="s">
        <v>1603</v>
      </c>
      <c r="W150" s="4252"/>
      <c r="X150" s="4252"/>
    </row>
    <row r="151" spans="8:24" s="2" customFormat="1" ht="25" customHeight="1">
      <c r="H151" s="3684" t="str">
        <f>PROPER('ANALYSIS DATABASE'!B75)</f>
        <v>General Conditions</v>
      </c>
      <c r="I151" s="3684"/>
      <c r="J151" s="3684"/>
      <c r="K151" s="3684"/>
      <c r="L151" s="3684"/>
      <c r="M151" s="3684"/>
      <c r="N151" s="3684"/>
      <c r="O151" s="3684"/>
      <c r="P151" s="3684"/>
      <c r="Q151" s="3684"/>
      <c r="R151" s="3685">
        <f>'WHOLESALE CALC'!AS7</f>
        <v>0</v>
      </c>
      <c r="S151" s="3685"/>
      <c r="T151" s="3685"/>
      <c r="U151" s="3685"/>
      <c r="V151" s="3565">
        <f>IFERROR(R151/$R$178,0)</f>
        <v>0</v>
      </c>
      <c r="W151" s="3565"/>
      <c r="X151" s="3565"/>
    </row>
    <row r="152" spans="8:24" s="2" customFormat="1" ht="25" customHeight="1">
      <c r="H152" s="3684" t="str">
        <f>PROPER('ANALYSIS DATABASE'!B76)</f>
        <v>Demolition</v>
      </c>
      <c r="I152" s="3684"/>
      <c r="J152" s="3684"/>
      <c r="K152" s="3684"/>
      <c r="L152" s="3684"/>
      <c r="M152" s="3684"/>
      <c r="N152" s="3684"/>
      <c r="O152" s="3684"/>
      <c r="P152" s="3684"/>
      <c r="Q152" s="3684"/>
      <c r="R152" s="3685">
        <f>'WHOLESALE CALC'!AS8</f>
        <v>0</v>
      </c>
      <c r="S152" s="3685"/>
      <c r="T152" s="3685"/>
      <c r="U152" s="3685"/>
      <c r="V152" s="3565">
        <f t="shared" ref="V152:V175" si="0">IFERROR(R152/$R$178,0)</f>
        <v>0</v>
      </c>
      <c r="W152" s="3565"/>
      <c r="X152" s="3565"/>
    </row>
    <row r="153" spans="8:24" s="2" customFormat="1" ht="25" customHeight="1">
      <c r="H153" s="3684" t="str">
        <f>PROPER('ANALYSIS DATABASE'!B77)</f>
        <v>Structural Concrete</v>
      </c>
      <c r="I153" s="3684"/>
      <c r="J153" s="3684"/>
      <c r="K153" s="3684"/>
      <c r="L153" s="3684"/>
      <c r="M153" s="3684"/>
      <c r="N153" s="3684"/>
      <c r="O153" s="3684"/>
      <c r="P153" s="3684"/>
      <c r="Q153" s="3684"/>
      <c r="R153" s="3685">
        <f>'WHOLESALE CALC'!AS9</f>
        <v>0</v>
      </c>
      <c r="S153" s="3685"/>
      <c r="T153" s="3685"/>
      <c r="U153" s="3685"/>
      <c r="V153" s="3565">
        <f t="shared" si="0"/>
        <v>0</v>
      </c>
      <c r="W153" s="3565"/>
      <c r="X153" s="3565"/>
    </row>
    <row r="154" spans="8:24" s="2" customFormat="1" ht="25" customHeight="1">
      <c r="H154" s="3684" t="str">
        <f>PROPER('ANALYSIS DATABASE'!B78)</f>
        <v>Concrete &amp; Flatwork</v>
      </c>
      <c r="I154" s="3684"/>
      <c r="J154" s="3684"/>
      <c r="K154" s="3684"/>
      <c r="L154" s="3684"/>
      <c r="M154" s="3684"/>
      <c r="N154" s="3684"/>
      <c r="O154" s="3684"/>
      <c r="P154" s="3684"/>
      <c r="Q154" s="3684"/>
      <c r="R154" s="3685">
        <f>'WHOLESALE CALC'!AS10</f>
        <v>0</v>
      </c>
      <c r="S154" s="3685"/>
      <c r="T154" s="3685"/>
      <c r="U154" s="3685"/>
      <c r="V154" s="3565">
        <f t="shared" si="0"/>
        <v>0</v>
      </c>
      <c r="W154" s="3565"/>
      <c r="X154" s="3565"/>
    </row>
    <row r="155" spans="8:24" s="2" customFormat="1" ht="25" customHeight="1">
      <c r="H155" s="3684" t="str">
        <f>PROPER('ANALYSIS DATABASE'!B79)</f>
        <v>Masonry</v>
      </c>
      <c r="I155" s="3684"/>
      <c r="J155" s="3684"/>
      <c r="K155" s="3684"/>
      <c r="L155" s="3684"/>
      <c r="M155" s="3684"/>
      <c r="N155" s="3684"/>
      <c r="O155" s="3684"/>
      <c r="P155" s="3684"/>
      <c r="Q155" s="3684"/>
      <c r="R155" s="3685">
        <f>'WHOLESALE CALC'!AS11</f>
        <v>0</v>
      </c>
      <c r="S155" s="3685"/>
      <c r="T155" s="3685"/>
      <c r="U155" s="3685"/>
      <c r="V155" s="3565">
        <f t="shared" si="0"/>
        <v>0</v>
      </c>
      <c r="W155" s="3565"/>
      <c r="X155" s="3565"/>
    </row>
    <row r="156" spans="8:24" s="2" customFormat="1" ht="25" customHeight="1">
      <c r="H156" s="3684" t="str">
        <f>PROPER('ANALYSIS DATABASE'!B80)</f>
        <v>Siding</v>
      </c>
      <c r="I156" s="3684"/>
      <c r="J156" s="3684"/>
      <c r="K156" s="3684"/>
      <c r="L156" s="3684"/>
      <c r="M156" s="3684"/>
      <c r="N156" s="3684"/>
      <c r="O156" s="3684"/>
      <c r="P156" s="3684"/>
      <c r="Q156" s="3684"/>
      <c r="R156" s="3685">
        <f>'WHOLESALE CALC'!AS12</f>
        <v>0</v>
      </c>
      <c r="S156" s="3685"/>
      <c r="T156" s="3685"/>
      <c r="U156" s="3685"/>
      <c r="V156" s="3565">
        <f t="shared" si="0"/>
        <v>0</v>
      </c>
      <c r="W156" s="3565"/>
      <c r="X156" s="3565"/>
    </row>
    <row r="157" spans="8:24" s="2" customFormat="1" ht="25" customHeight="1">
      <c r="H157" s="3684" t="str">
        <f>PROPER('ANALYSIS DATABASE'!B81)</f>
        <v>Decking And Patios</v>
      </c>
      <c r="I157" s="3684"/>
      <c r="J157" s="3684"/>
      <c r="K157" s="3684"/>
      <c r="L157" s="3684"/>
      <c r="M157" s="3684"/>
      <c r="N157" s="3684"/>
      <c r="O157" s="3684"/>
      <c r="P157" s="3684"/>
      <c r="Q157" s="3684"/>
      <c r="R157" s="3685">
        <f>'WHOLESALE CALC'!AS13</f>
        <v>0</v>
      </c>
      <c r="S157" s="3685"/>
      <c r="T157" s="3685"/>
      <c r="U157" s="3685"/>
      <c r="V157" s="3565">
        <f t="shared" si="0"/>
        <v>0</v>
      </c>
      <c r="W157" s="3565"/>
      <c r="X157" s="3565"/>
    </row>
    <row r="158" spans="8:24" s="2" customFormat="1" ht="25" customHeight="1">
      <c r="H158" s="3684" t="str">
        <f>PROPER('ANALYSIS DATABASE'!B82)</f>
        <v>Roofing</v>
      </c>
      <c r="I158" s="3684"/>
      <c r="J158" s="3684"/>
      <c r="K158" s="3684"/>
      <c r="L158" s="3684"/>
      <c r="M158" s="3684"/>
      <c r="N158" s="3684"/>
      <c r="O158" s="3684"/>
      <c r="P158" s="3684"/>
      <c r="Q158" s="3684"/>
      <c r="R158" s="3685">
        <f>'WHOLESALE CALC'!AS14</f>
        <v>0</v>
      </c>
      <c r="S158" s="3685"/>
      <c r="T158" s="3685"/>
      <c r="U158" s="3685"/>
      <c r="V158" s="3565">
        <f t="shared" si="0"/>
        <v>0</v>
      </c>
      <c r="W158" s="3565"/>
      <c r="X158" s="3565"/>
    </row>
    <row r="159" spans="8:24" s="2" customFormat="1" ht="25" customHeight="1">
      <c r="H159" s="3684" t="str">
        <f>PROPER('ANALYSIS DATABASE'!B83)</f>
        <v>Exterior Doors &amp; Windows</v>
      </c>
      <c r="I159" s="3684"/>
      <c r="J159" s="3684"/>
      <c r="K159" s="3684"/>
      <c r="L159" s="3684"/>
      <c r="M159" s="3684"/>
      <c r="N159" s="3684"/>
      <c r="O159" s="3684"/>
      <c r="P159" s="3684"/>
      <c r="Q159" s="3684"/>
      <c r="R159" s="3685">
        <f>'WHOLESALE CALC'!AS23</f>
        <v>0</v>
      </c>
      <c r="S159" s="3685"/>
      <c r="T159" s="3685"/>
      <c r="U159" s="3685"/>
      <c r="V159" s="3565">
        <f t="shared" si="0"/>
        <v>0</v>
      </c>
      <c r="W159" s="3565"/>
      <c r="X159" s="3565"/>
    </row>
    <row r="160" spans="8:24" s="2" customFormat="1" ht="25" customHeight="1">
      <c r="H160" s="3684" t="str">
        <f>PROPER('ANALYSIS DATABASE'!B84)</f>
        <v>Garage Doors</v>
      </c>
      <c r="I160" s="3684"/>
      <c r="J160" s="3684"/>
      <c r="K160" s="3684"/>
      <c r="L160" s="3684"/>
      <c r="M160" s="3684"/>
      <c r="N160" s="3684"/>
      <c r="O160" s="3684"/>
      <c r="P160" s="3684"/>
      <c r="Q160" s="3684"/>
      <c r="R160" s="3685">
        <f>'WHOLESALE CALC'!AS24</f>
        <v>0</v>
      </c>
      <c r="S160" s="3685"/>
      <c r="T160" s="3685"/>
      <c r="U160" s="3685"/>
      <c r="V160" s="3565">
        <f t="shared" si="0"/>
        <v>0</v>
      </c>
      <c r="W160" s="3565"/>
      <c r="X160" s="3565"/>
    </row>
    <row r="161" spans="8:24" s="2" customFormat="1" ht="25" customHeight="1">
      <c r="H161" s="3684" t="str">
        <f>PROPER('ANALYSIS DATABASE'!B85)</f>
        <v>Landscaping</v>
      </c>
      <c r="I161" s="3684"/>
      <c r="J161" s="3684"/>
      <c r="K161" s="3684"/>
      <c r="L161" s="3684"/>
      <c r="M161" s="3684"/>
      <c r="N161" s="3684"/>
      <c r="O161" s="3684"/>
      <c r="P161" s="3684"/>
      <c r="Q161" s="3684"/>
      <c r="R161" s="3685">
        <f>'WHOLESALE CALC'!AS25</f>
        <v>0</v>
      </c>
      <c r="S161" s="3685"/>
      <c r="T161" s="3685"/>
      <c r="U161" s="3685"/>
      <c r="V161" s="3565">
        <f t="shared" si="0"/>
        <v>0</v>
      </c>
      <c r="W161" s="3565"/>
      <c r="X161" s="3565"/>
    </row>
    <row r="162" spans="8:24" s="2" customFormat="1" ht="25" customHeight="1">
      <c r="H162" s="3684" t="str">
        <f>PROPER('ANALYSIS DATABASE'!B86)</f>
        <v>Misc. Exterior Items</v>
      </c>
      <c r="I162" s="3684"/>
      <c r="J162" s="3684"/>
      <c r="K162" s="3684"/>
      <c r="L162" s="3684"/>
      <c r="M162" s="3684"/>
      <c r="N162" s="3684"/>
      <c r="O162" s="3684"/>
      <c r="P162" s="3684"/>
      <c r="Q162" s="3684"/>
      <c r="R162" s="3685">
        <f>'WHOLESALE CALC'!AS26</f>
        <v>0</v>
      </c>
      <c r="S162" s="3685"/>
      <c r="T162" s="3685"/>
      <c r="U162" s="3685"/>
      <c r="V162" s="3565">
        <f t="shared" si="0"/>
        <v>0</v>
      </c>
      <c r="W162" s="3565"/>
      <c r="X162" s="3565"/>
    </row>
    <row r="163" spans="8:24" s="2" customFormat="1" ht="25" customHeight="1">
      <c r="H163" s="3684" t="str">
        <f>PROPER('ANALYSIS DATABASE'!B87)</f>
        <v>Framing &amp; Drywall</v>
      </c>
      <c r="I163" s="3684"/>
      <c r="J163" s="3684"/>
      <c r="K163" s="3684"/>
      <c r="L163" s="3684"/>
      <c r="M163" s="3684"/>
      <c r="N163" s="3684"/>
      <c r="O163" s="3684"/>
      <c r="P163" s="3684"/>
      <c r="Q163" s="3684"/>
      <c r="R163" s="3685">
        <f>'WHOLESALE CALC'!BH7</f>
        <v>0</v>
      </c>
      <c r="S163" s="3685"/>
      <c r="T163" s="3685"/>
      <c r="U163" s="3685"/>
      <c r="V163" s="3565">
        <f t="shared" si="0"/>
        <v>0</v>
      </c>
      <c r="W163" s="3565"/>
      <c r="X163" s="3565"/>
    </row>
    <row r="164" spans="8:24" s="2" customFormat="1" ht="25" customHeight="1">
      <c r="H164" s="3684" t="str">
        <f>PROPER('ANALYSIS DATABASE'!B88)</f>
        <v>Cabinets &amp; Countertops</v>
      </c>
      <c r="I164" s="3684"/>
      <c r="J164" s="3684"/>
      <c r="K164" s="3684"/>
      <c r="L164" s="3684"/>
      <c r="M164" s="3684"/>
      <c r="N164" s="3684"/>
      <c r="O164" s="3684"/>
      <c r="P164" s="3684"/>
      <c r="Q164" s="3684"/>
      <c r="R164" s="3685">
        <f>'WHOLESALE CALC'!BH8</f>
        <v>0</v>
      </c>
      <c r="S164" s="3685"/>
      <c r="T164" s="3685"/>
      <c r="U164" s="3685"/>
      <c r="V164" s="3565">
        <f t="shared" si="0"/>
        <v>0</v>
      </c>
      <c r="W164" s="3565"/>
      <c r="X164" s="3565"/>
    </row>
    <row r="165" spans="8:24" s="2" customFormat="1" ht="25" customHeight="1">
      <c r="H165" s="3684" t="str">
        <f>PROPER('ANALYSIS DATABASE'!B89)</f>
        <v>Doors &amp; Trim</v>
      </c>
      <c r="I165" s="3684"/>
      <c r="J165" s="3684"/>
      <c r="K165" s="3684"/>
      <c r="L165" s="3684"/>
      <c r="M165" s="3684"/>
      <c r="N165" s="3684"/>
      <c r="O165" s="3684"/>
      <c r="P165" s="3684"/>
      <c r="Q165" s="3684"/>
      <c r="R165" s="3685">
        <f>'WHOLESALE CALC'!BH9</f>
        <v>0</v>
      </c>
      <c r="S165" s="3685"/>
      <c r="T165" s="3685"/>
      <c r="U165" s="3685"/>
      <c r="V165" s="3565">
        <f t="shared" si="0"/>
        <v>0</v>
      </c>
      <c r="W165" s="3565"/>
      <c r="X165" s="3565"/>
    </row>
    <row r="166" spans="8:24" s="2" customFormat="1" ht="25" customHeight="1">
      <c r="H166" s="3684" t="str">
        <f>PROPER('ANALYSIS DATABASE'!B90)</f>
        <v>Carpet &amp; Resilient</v>
      </c>
      <c r="I166" s="3684"/>
      <c r="J166" s="3684"/>
      <c r="K166" s="3684"/>
      <c r="L166" s="3684"/>
      <c r="M166" s="3684"/>
      <c r="N166" s="3684"/>
      <c r="O166" s="3684"/>
      <c r="P166" s="3684"/>
      <c r="Q166" s="3684"/>
      <c r="R166" s="3685">
        <f>'WHOLESALE CALC'!BH10</f>
        <v>0</v>
      </c>
      <c r="S166" s="3685"/>
      <c r="T166" s="3685"/>
      <c r="U166" s="3685"/>
      <c r="V166" s="3565">
        <f t="shared" si="0"/>
        <v>0</v>
      </c>
      <c r="W166" s="3565"/>
      <c r="X166" s="3565"/>
    </row>
    <row r="167" spans="8:24" s="2" customFormat="1" ht="25" customHeight="1">
      <c r="H167" s="3684" t="str">
        <f>PROPER('ANALYSIS DATABASE'!B91)</f>
        <v>Hardwood Flooring</v>
      </c>
      <c r="I167" s="3684"/>
      <c r="J167" s="3684"/>
      <c r="K167" s="3684"/>
      <c r="L167" s="3684"/>
      <c r="M167" s="3684"/>
      <c r="N167" s="3684"/>
      <c r="O167" s="3684"/>
      <c r="P167" s="3684"/>
      <c r="Q167" s="3684"/>
      <c r="R167" s="3685">
        <f>'WHOLESALE CALC'!BH11</f>
        <v>0</v>
      </c>
      <c r="S167" s="3685"/>
      <c r="T167" s="3685"/>
      <c r="U167" s="3685"/>
      <c r="V167" s="3565">
        <f t="shared" si="0"/>
        <v>0</v>
      </c>
      <c r="W167" s="3565"/>
      <c r="X167" s="3565"/>
    </row>
    <row r="168" spans="8:24" s="2" customFormat="1" ht="25" customHeight="1">
      <c r="H168" s="3684" t="str">
        <f>PROPER('ANALYSIS DATABASE'!B92)</f>
        <v>Tiling</v>
      </c>
      <c r="I168" s="3684"/>
      <c r="J168" s="3684"/>
      <c r="K168" s="3684"/>
      <c r="L168" s="3684"/>
      <c r="M168" s="3684"/>
      <c r="N168" s="3684"/>
      <c r="O168" s="3684"/>
      <c r="P168" s="3684"/>
      <c r="Q168" s="3684"/>
      <c r="R168" s="3685">
        <f>'WHOLESALE CALC'!BH12</f>
        <v>0</v>
      </c>
      <c r="S168" s="3685"/>
      <c r="T168" s="3685"/>
      <c r="U168" s="3685"/>
      <c r="V168" s="3565">
        <f t="shared" si="0"/>
        <v>0</v>
      </c>
      <c r="W168" s="3565"/>
      <c r="X168" s="3565"/>
    </row>
    <row r="169" spans="8:24" s="2" customFormat="1" ht="25" customHeight="1">
      <c r="H169" s="3684" t="str">
        <f>PROPER('ANALYSIS DATABASE'!B93)</f>
        <v>Painting</v>
      </c>
      <c r="I169" s="3684"/>
      <c r="J169" s="3684"/>
      <c r="K169" s="3684"/>
      <c r="L169" s="3684"/>
      <c r="M169" s="3684"/>
      <c r="N169" s="3684"/>
      <c r="O169" s="3684"/>
      <c r="P169" s="3684"/>
      <c r="Q169" s="3684"/>
      <c r="R169" s="3685">
        <f>'WHOLESALE CALC'!BH13</f>
        <v>0</v>
      </c>
      <c r="S169" s="3685"/>
      <c r="T169" s="3685"/>
      <c r="U169" s="3685"/>
      <c r="V169" s="3565">
        <f t="shared" si="0"/>
        <v>0</v>
      </c>
      <c r="W169" s="3565"/>
      <c r="X169" s="3565"/>
    </row>
    <row r="170" spans="8:24" s="2" customFormat="1" ht="25" customHeight="1">
      <c r="H170" s="3684" t="str">
        <f>PROPER('ANALYSIS DATABASE'!B94)</f>
        <v>Appliances</v>
      </c>
      <c r="I170" s="3684"/>
      <c r="J170" s="3684"/>
      <c r="K170" s="3684"/>
      <c r="L170" s="3684"/>
      <c r="M170" s="3684"/>
      <c r="N170" s="3684"/>
      <c r="O170" s="3684"/>
      <c r="P170" s="3684"/>
      <c r="Q170" s="3684"/>
      <c r="R170" s="3685">
        <f>'WHOLESALE CALC'!BH14</f>
        <v>0</v>
      </c>
      <c r="S170" s="3685"/>
      <c r="T170" s="3685"/>
      <c r="U170" s="3685"/>
      <c r="V170" s="3565">
        <f t="shared" si="0"/>
        <v>0</v>
      </c>
      <c r="W170" s="3565"/>
      <c r="X170" s="3565"/>
    </row>
    <row r="171" spans="8:24" s="2" customFormat="1" ht="25" customHeight="1">
      <c r="H171" s="3684" t="str">
        <f>PROPER('ANALYSIS DATABASE'!B95)</f>
        <v>Plumbing</v>
      </c>
      <c r="I171" s="3684"/>
      <c r="J171" s="3684"/>
      <c r="K171" s="3684"/>
      <c r="L171" s="3684"/>
      <c r="M171" s="3684"/>
      <c r="N171" s="3684"/>
      <c r="O171" s="3684"/>
      <c r="P171" s="3684"/>
      <c r="Q171" s="3684"/>
      <c r="R171" s="3685">
        <f>'WHOLESALE CALC'!BH15</f>
        <v>0</v>
      </c>
      <c r="S171" s="3685"/>
      <c r="T171" s="3685"/>
      <c r="U171" s="3685"/>
      <c r="V171" s="3565">
        <f t="shared" si="0"/>
        <v>0</v>
      </c>
      <c r="W171" s="3565"/>
      <c r="X171" s="3565"/>
    </row>
    <row r="172" spans="8:24" s="2" customFormat="1" ht="25" customHeight="1">
      <c r="H172" s="3684" t="str">
        <f>PROPER('ANALYSIS DATABASE'!B96)</f>
        <v>Hvac</v>
      </c>
      <c r="I172" s="3684"/>
      <c r="J172" s="3684"/>
      <c r="K172" s="3684"/>
      <c r="L172" s="3684"/>
      <c r="M172" s="3684"/>
      <c r="N172" s="3684"/>
      <c r="O172" s="3684"/>
      <c r="P172" s="3684"/>
      <c r="Q172" s="3684"/>
      <c r="R172" s="3685">
        <f>'WHOLESALE CALC'!BH16</f>
        <v>0</v>
      </c>
      <c r="S172" s="3685"/>
      <c r="T172" s="3685"/>
      <c r="U172" s="3685"/>
      <c r="V172" s="3565">
        <f t="shared" si="0"/>
        <v>0</v>
      </c>
      <c r="W172" s="3565"/>
      <c r="X172" s="3565"/>
    </row>
    <row r="173" spans="8:24" s="2" customFormat="1" ht="25" customHeight="1">
      <c r="H173" s="3684" t="str">
        <f>PROPER('ANALYSIS DATABASE'!B97)</f>
        <v>Electrical</v>
      </c>
      <c r="I173" s="3684"/>
      <c r="J173" s="3684"/>
      <c r="K173" s="3684"/>
      <c r="L173" s="3684"/>
      <c r="M173" s="3684"/>
      <c r="N173" s="3684"/>
      <c r="O173" s="3684"/>
      <c r="P173" s="3684"/>
      <c r="Q173" s="3684"/>
      <c r="R173" s="3685">
        <f>'WHOLESALE CALC'!BH17</f>
        <v>0</v>
      </c>
      <c r="S173" s="3685"/>
      <c r="T173" s="3685"/>
      <c r="U173" s="3685"/>
      <c r="V173" s="3565">
        <f t="shared" si="0"/>
        <v>0</v>
      </c>
      <c r="W173" s="3565"/>
      <c r="X173" s="3565"/>
    </row>
    <row r="174" spans="8:24" s="2" customFormat="1" ht="25" customHeight="1" thickBot="1">
      <c r="H174" s="3695" t="str">
        <f>PROPER('ANALYSIS DATABASE'!B98)</f>
        <v>Miscellaneous</v>
      </c>
      <c r="I174" s="3695"/>
      <c r="J174" s="3695"/>
      <c r="K174" s="3695"/>
      <c r="L174" s="3695"/>
      <c r="M174" s="3695"/>
      <c r="N174" s="3695"/>
      <c r="O174" s="3695"/>
      <c r="P174" s="3695"/>
      <c r="Q174" s="3695"/>
      <c r="R174" s="3696">
        <f>'WHOLESALE CALC'!BH18</f>
        <v>0</v>
      </c>
      <c r="S174" s="3696"/>
      <c r="T174" s="3696"/>
      <c r="U174" s="3696"/>
      <c r="V174" s="4233">
        <f t="shared" si="0"/>
        <v>0</v>
      </c>
      <c r="W174" s="4233"/>
      <c r="X174" s="4233"/>
    </row>
    <row r="175" spans="8:24" s="2" customFormat="1" ht="25" customHeight="1" thickTop="1">
      <c r="H175" s="3692" t="s">
        <v>1294</v>
      </c>
      <c r="I175" s="3692"/>
      <c r="J175" s="3692"/>
      <c r="K175" s="3692"/>
      <c r="L175" s="3692"/>
      <c r="M175" s="3692"/>
      <c r="N175" s="3692"/>
      <c r="O175" s="3692"/>
      <c r="P175" s="3692"/>
      <c r="Q175" s="3692"/>
      <c r="R175" s="3693">
        <f>'WHOLESALE CALC'!BG64</f>
        <v>50000</v>
      </c>
      <c r="S175" s="3693"/>
      <c r="T175" s="3693"/>
      <c r="U175" s="3693"/>
      <c r="V175" s="3896">
        <f t="shared" si="0"/>
        <v>1</v>
      </c>
      <c r="W175" s="3896"/>
      <c r="X175" s="3896"/>
    </row>
    <row r="176" spans="8:24" s="2" customFormat="1" ht="25" customHeight="1">
      <c r="H176" s="870"/>
      <c r="I176" s="870"/>
      <c r="J176" s="870"/>
      <c r="K176" s="870"/>
      <c r="L176" s="870"/>
      <c r="M176" s="870"/>
      <c r="N176" s="870"/>
      <c r="O176" s="870"/>
      <c r="P176" s="870"/>
      <c r="Q176" s="870"/>
      <c r="R176" s="870"/>
      <c r="S176" s="870"/>
      <c r="T176" s="870"/>
      <c r="U176" s="870"/>
      <c r="V176" s="870"/>
      <c r="W176" s="870"/>
      <c r="X176" s="870"/>
    </row>
    <row r="177" spans="8:24" s="2" customFormat="1" ht="25" customHeight="1" thickBot="1">
      <c r="H177" s="3690" t="s">
        <v>1604</v>
      </c>
      <c r="I177" s="3690"/>
      <c r="J177" s="3690"/>
      <c r="K177" s="3690"/>
      <c r="L177" s="3690"/>
      <c r="M177" s="3690"/>
      <c r="N177" s="3690"/>
      <c r="O177" s="3690"/>
      <c r="P177" s="3690"/>
      <c r="Q177" s="3690"/>
      <c r="R177" s="3691">
        <f>'WHOLESALE CALC'!BG59</f>
        <v>0</v>
      </c>
      <c r="S177" s="3691"/>
      <c r="T177" s="3691"/>
      <c r="U177" s="3691"/>
      <c r="V177" s="4233">
        <f>IFERROR(R177/$R$178,0)</f>
        <v>0</v>
      </c>
      <c r="W177" s="4233"/>
      <c r="X177" s="4233"/>
    </row>
    <row r="178" spans="8:24" s="2" customFormat="1" ht="25" customHeight="1" thickTop="1">
      <c r="H178" s="3692" t="s">
        <v>1295</v>
      </c>
      <c r="I178" s="3692"/>
      <c r="J178" s="3692"/>
      <c r="K178" s="3692"/>
      <c r="L178" s="3692"/>
      <c r="M178" s="3692"/>
      <c r="N178" s="3692"/>
      <c r="O178" s="3692"/>
      <c r="P178" s="3692"/>
      <c r="Q178" s="3692"/>
      <c r="R178" s="3693">
        <f>R175+R177</f>
        <v>50000</v>
      </c>
      <c r="S178" s="3693"/>
      <c r="T178" s="3693"/>
      <c r="U178" s="3693"/>
      <c r="V178" s="3896">
        <f>IFERROR(R178/$R$178,0)</f>
        <v>1</v>
      </c>
      <c r="W178" s="3896"/>
      <c r="X178" s="3896"/>
    </row>
    <row r="179" spans="8:24" s="2" customFormat="1" ht="25" customHeight="1">
      <c r="H179" s="870"/>
      <c r="I179" s="870"/>
      <c r="J179" s="870"/>
      <c r="K179" s="870"/>
      <c r="L179" s="870"/>
      <c r="M179" s="870"/>
      <c r="N179" s="870"/>
      <c r="O179" s="870"/>
      <c r="P179" s="870"/>
      <c r="Q179" s="870"/>
      <c r="R179" s="870"/>
      <c r="S179" s="870"/>
      <c r="T179" s="870"/>
      <c r="U179" s="870"/>
      <c r="V179" s="870"/>
      <c r="W179" s="870"/>
      <c r="X179" s="870"/>
    </row>
    <row r="180" spans="8:24" s="2" customFormat="1" ht="25" customHeight="1">
      <c r="H180" s="871"/>
      <c r="I180" s="871"/>
      <c r="J180" s="871"/>
      <c r="K180" s="871"/>
      <c r="L180" s="872"/>
      <c r="M180" s="872"/>
      <c r="N180" s="872"/>
      <c r="O180" s="873"/>
      <c r="P180" s="873"/>
      <c r="Q180" s="873"/>
      <c r="R180" s="873"/>
      <c r="S180" s="873"/>
      <c r="T180" s="873"/>
      <c r="U180" s="873"/>
      <c r="V180" s="873"/>
      <c r="W180" s="873"/>
      <c r="X180" s="873"/>
    </row>
    <row r="181" spans="8:24" s="2" customFormat="1" ht="22.7" customHeight="1">
      <c r="H181" s="3544" t="str">
        <f>CONCATENATE("Report Prepared By: ",Investor_Name,"  |  ",Company_Name,"  |  ",Company_Email,"  |  ",Company_Email)</f>
        <v xml:space="preserve">Report Prepared By:   |    |    |  </v>
      </c>
      <c r="I181" s="3544"/>
      <c r="J181" s="3544"/>
      <c r="K181" s="3544"/>
      <c r="L181" s="3544"/>
      <c r="M181" s="3544"/>
      <c r="N181" s="3544"/>
      <c r="O181" s="3544"/>
      <c r="P181" s="3544"/>
      <c r="Q181" s="3544"/>
      <c r="R181" s="3544"/>
      <c r="S181" s="3544"/>
      <c r="T181" s="3544"/>
      <c r="U181" s="3544"/>
      <c r="V181" s="3544"/>
      <c r="W181" s="3561" t="s">
        <v>1613</v>
      </c>
      <c r="X181" s="3561"/>
    </row>
    <row r="182" spans="8:24" s="2" customFormat="1" ht="18.600000000000001" customHeight="1">
      <c r="H182" s="3562" t="str">
        <f>CONCATENATE(Street_Address,", ",City_State_Zip)</f>
        <v>, 0</v>
      </c>
      <c r="I182" s="3562"/>
      <c r="J182" s="3562"/>
      <c r="K182" s="3562"/>
      <c r="L182" s="3562"/>
      <c r="M182" s="3562"/>
      <c r="N182" s="3562"/>
      <c r="O182" s="3562"/>
      <c r="P182" s="3562"/>
      <c r="Q182" s="3562"/>
      <c r="R182" s="3562"/>
      <c r="S182" s="3562"/>
      <c r="T182" s="3562"/>
      <c r="U182" s="3562"/>
      <c r="V182" s="3562"/>
      <c r="W182" s="3562"/>
      <c r="X182" s="3562"/>
    </row>
    <row r="183" spans="8:24" s="2" customFormat="1" ht="18.600000000000001" customHeight="1">
      <c r="H183" s="1421"/>
      <c r="I183" s="1421"/>
      <c r="J183" s="1421"/>
      <c r="K183" s="1421"/>
      <c r="L183" s="1419"/>
      <c r="M183" s="1419"/>
      <c r="N183" s="1419"/>
      <c r="O183" s="1420"/>
      <c r="P183" s="1420"/>
      <c r="Q183" s="1420"/>
      <c r="R183" s="1420"/>
      <c r="S183" s="1420"/>
      <c r="T183" s="1420"/>
      <c r="U183" s="1420"/>
      <c r="V183" s="1420"/>
      <c r="W183" s="1420"/>
      <c r="X183" s="1420"/>
    </row>
    <row r="184" spans="8:24" s="2" customFormat="1" ht="18.600000000000001" customHeight="1">
      <c r="H184" s="1423" t="s">
        <v>1609</v>
      </c>
      <c r="I184" s="1421"/>
      <c r="J184" s="1421"/>
      <c r="K184" s="1421"/>
      <c r="L184" s="1419"/>
      <c r="M184" s="1419"/>
      <c r="N184" s="1419"/>
      <c r="O184" s="1420"/>
      <c r="P184" s="1420"/>
      <c r="Q184" s="1420"/>
      <c r="R184" s="1420"/>
      <c r="S184" s="1420"/>
      <c r="T184" s="1420"/>
      <c r="U184" s="1420"/>
      <c r="V184" s="1420"/>
      <c r="W184" s="1420"/>
      <c r="X184" s="1420"/>
    </row>
    <row r="185" spans="8:24" s="2" customFormat="1" ht="18.600000000000001" customHeight="1">
      <c r="H185" s="3640"/>
      <c r="I185" s="3640"/>
      <c r="J185" s="3640"/>
      <c r="K185" s="3640"/>
      <c r="L185" s="3640"/>
      <c r="M185" s="141"/>
      <c r="N185" s="3640"/>
      <c r="O185" s="3640"/>
      <c r="P185" s="3640"/>
      <c r="Q185" s="3640"/>
      <c r="R185" s="3640"/>
      <c r="S185" s="141"/>
      <c r="T185" s="3640"/>
      <c r="U185" s="3640"/>
      <c r="V185" s="3640"/>
      <c r="W185" s="3640"/>
      <c r="X185" s="3640"/>
    </row>
    <row r="186" spans="8:24" s="2" customFormat="1" ht="18.600000000000001" customHeight="1">
      <c r="H186" s="3640"/>
      <c r="I186" s="3640"/>
      <c r="J186" s="3640"/>
      <c r="K186" s="3640"/>
      <c r="L186" s="3640"/>
      <c r="M186" s="141"/>
      <c r="N186" s="3640"/>
      <c r="O186" s="3640"/>
      <c r="P186" s="3640"/>
      <c r="Q186" s="3640"/>
      <c r="R186" s="3640"/>
      <c r="S186" s="141"/>
      <c r="T186" s="3640"/>
      <c r="U186" s="3640"/>
      <c r="V186" s="3640"/>
      <c r="W186" s="3640"/>
      <c r="X186" s="3640"/>
    </row>
    <row r="187" spans="8:24" s="2" customFormat="1" ht="18.600000000000001" customHeight="1">
      <c r="H187" s="3640"/>
      <c r="I187" s="3640"/>
      <c r="J187" s="3640"/>
      <c r="K187" s="3640"/>
      <c r="L187" s="3640"/>
      <c r="M187" s="141"/>
      <c r="N187" s="3640"/>
      <c r="O187" s="3640"/>
      <c r="P187" s="3640"/>
      <c r="Q187" s="3640"/>
      <c r="R187" s="3640"/>
      <c r="S187" s="141"/>
      <c r="T187" s="3640"/>
      <c r="U187" s="3640"/>
      <c r="V187" s="3640"/>
      <c r="W187" s="3640"/>
      <c r="X187" s="3640"/>
    </row>
    <row r="188" spans="8:24" s="2" customFormat="1" ht="18.600000000000001" customHeight="1">
      <c r="H188" s="3640"/>
      <c r="I188" s="3640"/>
      <c r="J188" s="3640"/>
      <c r="K188" s="3640"/>
      <c r="L188" s="3640"/>
      <c r="M188" s="141"/>
      <c r="N188" s="3640"/>
      <c r="O188" s="3640"/>
      <c r="P188" s="3640"/>
      <c r="Q188" s="3640"/>
      <c r="R188" s="3640"/>
      <c r="S188" s="141"/>
      <c r="T188" s="3640"/>
      <c r="U188" s="3640"/>
      <c r="V188" s="3640"/>
      <c r="W188" s="3640"/>
      <c r="X188" s="3640"/>
    </row>
    <row r="189" spans="8:24" s="2" customFormat="1" ht="18.600000000000001" customHeight="1">
      <c r="H189" s="3640"/>
      <c r="I189" s="3640"/>
      <c r="J189" s="3640"/>
      <c r="K189" s="3640"/>
      <c r="L189" s="3640"/>
      <c r="M189" s="141"/>
      <c r="N189" s="3640"/>
      <c r="O189" s="3640"/>
      <c r="P189" s="3640"/>
      <c r="Q189" s="3640"/>
      <c r="R189" s="3640"/>
      <c r="S189" s="141"/>
      <c r="T189" s="3640"/>
      <c r="U189" s="3640"/>
      <c r="V189" s="3640"/>
      <c r="W189" s="3640"/>
      <c r="X189" s="3640"/>
    </row>
    <row r="190" spans="8:24" s="2" customFormat="1" ht="18.600000000000001" customHeight="1">
      <c r="H190" s="3640"/>
      <c r="I190" s="3640"/>
      <c r="J190" s="3640"/>
      <c r="K190" s="3640"/>
      <c r="L190" s="3640"/>
      <c r="M190" s="141"/>
      <c r="N190" s="3640"/>
      <c r="O190" s="3640"/>
      <c r="P190" s="3640"/>
      <c r="Q190" s="3640"/>
      <c r="R190" s="3640"/>
      <c r="S190" s="141"/>
      <c r="T190" s="3640"/>
      <c r="U190" s="3640"/>
      <c r="V190" s="3640"/>
      <c r="W190" s="3640"/>
      <c r="X190" s="3640"/>
    </row>
    <row r="191" spans="8:24" s="2" customFormat="1" ht="18.600000000000001" customHeight="1">
      <c r="H191" s="3640"/>
      <c r="I191" s="3640"/>
      <c r="J191" s="3640"/>
      <c r="K191" s="3640"/>
      <c r="L191" s="3640"/>
      <c r="M191" s="141"/>
      <c r="N191" s="3640"/>
      <c r="O191" s="3640"/>
      <c r="P191" s="3640"/>
      <c r="Q191" s="3640"/>
      <c r="R191" s="3640"/>
      <c r="S191" s="141"/>
      <c r="T191" s="3640"/>
      <c r="U191" s="3640"/>
      <c r="V191" s="3640"/>
      <c r="W191" s="3640"/>
      <c r="X191" s="3640"/>
    </row>
    <row r="192" spans="8:24" s="2" customFormat="1" ht="18.600000000000001" customHeight="1">
      <c r="H192" s="3640"/>
      <c r="I192" s="3640"/>
      <c r="J192" s="3640"/>
      <c r="K192" s="3640"/>
      <c r="L192" s="3640"/>
      <c r="M192" s="141"/>
      <c r="N192" s="3640"/>
      <c r="O192" s="3640"/>
      <c r="P192" s="3640"/>
      <c r="Q192" s="3640"/>
      <c r="R192" s="3640"/>
      <c r="S192" s="141"/>
      <c r="T192" s="3640"/>
      <c r="U192" s="3640"/>
      <c r="V192" s="3640"/>
      <c r="W192" s="3640"/>
      <c r="X192" s="3640"/>
    </row>
    <row r="193" spans="8:24" s="2" customFormat="1" ht="18.600000000000001" customHeight="1">
      <c r="H193" s="3640"/>
      <c r="I193" s="3640"/>
      <c r="J193" s="3640"/>
      <c r="K193" s="3640"/>
      <c r="L193" s="3640"/>
      <c r="M193" s="141"/>
      <c r="N193" s="3640"/>
      <c r="O193" s="3640"/>
      <c r="P193" s="3640"/>
      <c r="Q193" s="3640"/>
      <c r="R193" s="3640"/>
      <c r="S193" s="141"/>
      <c r="T193" s="3640"/>
      <c r="U193" s="3640"/>
      <c r="V193" s="3640"/>
      <c r="W193" s="3640"/>
      <c r="X193" s="3640"/>
    </row>
    <row r="194" spans="8:24" s="2" customFormat="1" ht="18.600000000000001" customHeight="1">
      <c r="H194" s="3650" t="s">
        <v>469</v>
      </c>
      <c r="I194" s="3650"/>
      <c r="J194" s="3650"/>
      <c r="K194" s="3650"/>
      <c r="L194" s="3650"/>
      <c r="M194" s="141"/>
      <c r="N194" s="3650" t="s">
        <v>469</v>
      </c>
      <c r="O194" s="3650"/>
      <c r="P194" s="3650"/>
      <c r="Q194" s="3650"/>
      <c r="R194" s="3650"/>
      <c r="S194" s="141"/>
      <c r="T194" s="3650" t="s">
        <v>469</v>
      </c>
      <c r="U194" s="3650"/>
      <c r="V194" s="3650"/>
      <c r="W194" s="3650"/>
      <c r="X194" s="3650"/>
    </row>
    <row r="195" spans="8:24" s="2" customFormat="1" ht="18.600000000000001" customHeight="1">
      <c r="H195" s="3650"/>
      <c r="I195" s="3650"/>
      <c r="J195" s="3650"/>
      <c r="K195" s="3650"/>
      <c r="L195" s="3650"/>
      <c r="M195" s="140"/>
      <c r="N195" s="3650"/>
      <c r="O195" s="3650"/>
      <c r="P195" s="3650"/>
      <c r="Q195" s="3650"/>
      <c r="R195" s="3650"/>
      <c r="S195" s="140"/>
      <c r="T195" s="3650"/>
      <c r="U195" s="3650"/>
      <c r="V195" s="3650"/>
      <c r="W195" s="3650"/>
      <c r="X195" s="3650"/>
    </row>
    <row r="196" spans="8:24" s="2" customFormat="1" ht="9.75" customHeight="1">
      <c r="H196" s="141"/>
      <c r="I196" s="141"/>
      <c r="J196" s="141"/>
      <c r="K196" s="141"/>
      <c r="L196" s="141"/>
      <c r="M196" s="141"/>
      <c r="N196" s="141"/>
      <c r="O196" s="141"/>
      <c r="P196" s="141"/>
      <c r="Q196" s="141"/>
      <c r="R196" s="141"/>
      <c r="S196" s="141"/>
      <c r="T196" s="141"/>
      <c r="U196" s="141"/>
      <c r="V196" s="141"/>
      <c r="W196" s="141"/>
      <c r="X196" s="141"/>
    </row>
    <row r="197" spans="8:24" s="2" customFormat="1" ht="18" customHeight="1">
      <c r="H197" s="3640"/>
      <c r="I197" s="3640"/>
      <c r="J197" s="3640"/>
      <c r="K197" s="3640"/>
      <c r="L197" s="3640"/>
      <c r="M197" s="141"/>
      <c r="N197" s="3640"/>
      <c r="O197" s="3640"/>
      <c r="P197" s="3640"/>
      <c r="Q197" s="3640"/>
      <c r="R197" s="3640"/>
      <c r="S197" s="141"/>
      <c r="T197" s="3640"/>
      <c r="U197" s="3640"/>
      <c r="V197" s="3640"/>
      <c r="W197" s="3640"/>
      <c r="X197" s="3640"/>
    </row>
    <row r="198" spans="8:24" s="2" customFormat="1" ht="18" customHeight="1">
      <c r="H198" s="3640"/>
      <c r="I198" s="3640"/>
      <c r="J198" s="3640"/>
      <c r="K198" s="3640"/>
      <c r="L198" s="3640"/>
      <c r="M198" s="141"/>
      <c r="N198" s="3640"/>
      <c r="O198" s="3640"/>
      <c r="P198" s="3640"/>
      <c r="Q198" s="3640"/>
      <c r="R198" s="3640"/>
      <c r="S198" s="141"/>
      <c r="T198" s="3640"/>
      <c r="U198" s="3640"/>
      <c r="V198" s="3640"/>
      <c r="W198" s="3640"/>
      <c r="X198" s="3640"/>
    </row>
    <row r="199" spans="8:24" s="2" customFormat="1" ht="18" customHeight="1">
      <c r="H199" s="3640"/>
      <c r="I199" s="3640"/>
      <c r="J199" s="3640"/>
      <c r="K199" s="3640"/>
      <c r="L199" s="3640"/>
      <c r="M199" s="141"/>
      <c r="N199" s="3640"/>
      <c r="O199" s="3640"/>
      <c r="P199" s="3640"/>
      <c r="Q199" s="3640"/>
      <c r="R199" s="3640"/>
      <c r="S199" s="141"/>
      <c r="T199" s="3640"/>
      <c r="U199" s="3640"/>
      <c r="V199" s="3640"/>
      <c r="W199" s="3640"/>
      <c r="X199" s="3640"/>
    </row>
    <row r="200" spans="8:24" s="2" customFormat="1" ht="18" customHeight="1">
      <c r="H200" s="3640"/>
      <c r="I200" s="3640"/>
      <c r="J200" s="3640"/>
      <c r="K200" s="3640"/>
      <c r="L200" s="3640"/>
      <c r="M200" s="141"/>
      <c r="N200" s="3640"/>
      <c r="O200" s="3640"/>
      <c r="P200" s="3640"/>
      <c r="Q200" s="3640"/>
      <c r="R200" s="3640"/>
      <c r="S200" s="141"/>
      <c r="T200" s="3640"/>
      <c r="U200" s="3640"/>
      <c r="V200" s="3640"/>
      <c r="W200" s="3640"/>
      <c r="X200" s="3640"/>
    </row>
    <row r="201" spans="8:24" s="2" customFormat="1" ht="18" customHeight="1">
      <c r="H201" s="3640"/>
      <c r="I201" s="3640"/>
      <c r="J201" s="3640"/>
      <c r="K201" s="3640"/>
      <c r="L201" s="3640"/>
      <c r="M201" s="141"/>
      <c r="N201" s="3640"/>
      <c r="O201" s="3640"/>
      <c r="P201" s="3640"/>
      <c r="Q201" s="3640"/>
      <c r="R201" s="3640"/>
      <c r="S201" s="141"/>
      <c r="T201" s="3640"/>
      <c r="U201" s="3640"/>
      <c r="V201" s="3640"/>
      <c r="W201" s="3640"/>
      <c r="X201" s="3640"/>
    </row>
    <row r="202" spans="8:24" s="2" customFormat="1" ht="18" customHeight="1">
      <c r="H202" s="3640"/>
      <c r="I202" s="3640"/>
      <c r="J202" s="3640"/>
      <c r="K202" s="3640"/>
      <c r="L202" s="3640"/>
      <c r="M202" s="141"/>
      <c r="N202" s="3640"/>
      <c r="O202" s="3640"/>
      <c r="P202" s="3640"/>
      <c r="Q202" s="3640"/>
      <c r="R202" s="3640"/>
      <c r="S202" s="141"/>
      <c r="T202" s="3640"/>
      <c r="U202" s="3640"/>
      <c r="V202" s="3640"/>
      <c r="W202" s="3640"/>
      <c r="X202" s="3640"/>
    </row>
    <row r="203" spans="8:24" s="2" customFormat="1" ht="18" customHeight="1">
      <c r="H203" s="3640"/>
      <c r="I203" s="3640"/>
      <c r="J203" s="3640"/>
      <c r="K203" s="3640"/>
      <c r="L203" s="3640"/>
      <c r="M203" s="141"/>
      <c r="N203" s="3640"/>
      <c r="O203" s="3640"/>
      <c r="P203" s="3640"/>
      <c r="Q203" s="3640"/>
      <c r="R203" s="3640"/>
      <c r="S203" s="141"/>
      <c r="T203" s="3640"/>
      <c r="U203" s="3640"/>
      <c r="V203" s="3640"/>
      <c r="W203" s="3640"/>
      <c r="X203" s="3640"/>
    </row>
    <row r="204" spans="8:24" s="2" customFormat="1" ht="18" customHeight="1">
      <c r="H204" s="3640"/>
      <c r="I204" s="3640"/>
      <c r="J204" s="3640"/>
      <c r="K204" s="3640"/>
      <c r="L204" s="3640"/>
      <c r="M204" s="141"/>
      <c r="N204" s="3640"/>
      <c r="O204" s="3640"/>
      <c r="P204" s="3640"/>
      <c r="Q204" s="3640"/>
      <c r="R204" s="3640"/>
      <c r="S204" s="141"/>
      <c r="T204" s="3640"/>
      <c r="U204" s="3640"/>
      <c r="V204" s="3640"/>
      <c r="W204" s="3640"/>
      <c r="X204" s="3640"/>
    </row>
    <row r="205" spans="8:24" s="2" customFormat="1" ht="18" customHeight="1">
      <c r="H205" s="3640"/>
      <c r="I205" s="3640"/>
      <c r="J205" s="3640"/>
      <c r="K205" s="3640"/>
      <c r="L205" s="3640"/>
      <c r="M205" s="141"/>
      <c r="N205" s="3640"/>
      <c r="O205" s="3640"/>
      <c r="P205" s="3640"/>
      <c r="Q205" s="3640"/>
      <c r="R205" s="3640"/>
      <c r="S205" s="141"/>
      <c r="T205" s="3640"/>
      <c r="U205" s="3640"/>
      <c r="V205" s="3640"/>
      <c r="W205" s="3640"/>
      <c r="X205" s="3640"/>
    </row>
    <row r="206" spans="8:24" s="2" customFormat="1" ht="18" customHeight="1">
      <c r="H206" s="3650" t="s">
        <v>469</v>
      </c>
      <c r="I206" s="3650"/>
      <c r="J206" s="3650"/>
      <c r="K206" s="3650"/>
      <c r="L206" s="3650"/>
      <c r="M206" s="141"/>
      <c r="N206" s="3650" t="s">
        <v>469</v>
      </c>
      <c r="O206" s="3650"/>
      <c r="P206" s="3650"/>
      <c r="Q206" s="3650"/>
      <c r="R206" s="3650"/>
      <c r="S206" s="141"/>
      <c r="T206" s="3650" t="s">
        <v>469</v>
      </c>
      <c r="U206" s="3650"/>
      <c r="V206" s="3650"/>
      <c r="W206" s="3650"/>
      <c r="X206" s="3650"/>
    </row>
    <row r="207" spans="8:24" s="2" customFormat="1" ht="18" customHeight="1">
      <c r="H207" s="3650"/>
      <c r="I207" s="3650"/>
      <c r="J207" s="3650"/>
      <c r="K207" s="3650"/>
      <c r="L207" s="3650"/>
      <c r="M207" s="140"/>
      <c r="N207" s="3650"/>
      <c r="O207" s="3650"/>
      <c r="P207" s="3650"/>
      <c r="Q207" s="3650"/>
      <c r="R207" s="3650"/>
      <c r="S207" s="140"/>
      <c r="T207" s="3650"/>
      <c r="U207" s="3650"/>
      <c r="V207" s="3650"/>
      <c r="W207" s="3650"/>
      <c r="X207" s="3650"/>
    </row>
    <row r="208" spans="8:24" s="2" customFormat="1" ht="18" customHeight="1">
      <c r="H208" s="510"/>
      <c r="I208" s="510"/>
      <c r="J208" s="510"/>
      <c r="K208" s="510"/>
      <c r="L208" s="510"/>
      <c r="M208" s="140"/>
      <c r="N208" s="510"/>
      <c r="O208" s="510"/>
      <c r="P208" s="510"/>
      <c r="Q208" s="510"/>
      <c r="R208" s="510"/>
      <c r="S208" s="140"/>
      <c r="T208" s="510"/>
      <c r="U208" s="510"/>
      <c r="V208" s="510"/>
      <c r="W208" s="510"/>
      <c r="X208" s="510"/>
    </row>
    <row r="209" spans="8:24" s="2" customFormat="1" ht="18" customHeight="1">
      <c r="H209" s="3640"/>
      <c r="I209" s="3640"/>
      <c r="J209" s="3640"/>
      <c r="K209" s="3640"/>
      <c r="L209" s="3640"/>
      <c r="M209" s="141"/>
      <c r="N209" s="3640"/>
      <c r="O209" s="3640"/>
      <c r="P209" s="3640"/>
      <c r="Q209" s="3640"/>
      <c r="R209" s="3640"/>
      <c r="S209" s="141"/>
      <c r="T209" s="3640"/>
      <c r="U209" s="3640"/>
      <c r="V209" s="3640"/>
      <c r="W209" s="3640"/>
      <c r="X209" s="3640"/>
    </row>
    <row r="210" spans="8:24" s="2" customFormat="1" ht="18" customHeight="1">
      <c r="H210" s="3640"/>
      <c r="I210" s="3640"/>
      <c r="J210" s="3640"/>
      <c r="K210" s="3640"/>
      <c r="L210" s="3640"/>
      <c r="M210" s="141"/>
      <c r="N210" s="3640"/>
      <c r="O210" s="3640"/>
      <c r="P210" s="3640"/>
      <c r="Q210" s="3640"/>
      <c r="R210" s="3640"/>
      <c r="S210" s="141"/>
      <c r="T210" s="3640"/>
      <c r="U210" s="3640"/>
      <c r="V210" s="3640"/>
      <c r="W210" s="3640"/>
      <c r="X210" s="3640"/>
    </row>
    <row r="211" spans="8:24" s="2" customFormat="1" ht="18" customHeight="1">
      <c r="H211" s="3640"/>
      <c r="I211" s="3640"/>
      <c r="J211" s="3640"/>
      <c r="K211" s="3640"/>
      <c r="L211" s="3640"/>
      <c r="M211" s="141"/>
      <c r="N211" s="3640"/>
      <c r="O211" s="3640"/>
      <c r="P211" s="3640"/>
      <c r="Q211" s="3640"/>
      <c r="R211" s="3640"/>
      <c r="S211" s="141"/>
      <c r="T211" s="3640"/>
      <c r="U211" s="3640"/>
      <c r="V211" s="3640"/>
      <c r="W211" s="3640"/>
      <c r="X211" s="3640"/>
    </row>
    <row r="212" spans="8:24" s="2" customFormat="1" ht="18" customHeight="1">
      <c r="H212" s="3640"/>
      <c r="I212" s="3640"/>
      <c r="J212" s="3640"/>
      <c r="K212" s="3640"/>
      <c r="L212" s="3640"/>
      <c r="M212" s="141"/>
      <c r="N212" s="3640"/>
      <c r="O212" s="3640"/>
      <c r="P212" s="3640"/>
      <c r="Q212" s="3640"/>
      <c r="R212" s="3640"/>
      <c r="S212" s="141"/>
      <c r="T212" s="3640"/>
      <c r="U212" s="3640"/>
      <c r="V212" s="3640"/>
      <c r="W212" s="3640"/>
      <c r="X212" s="3640"/>
    </row>
    <row r="213" spans="8:24" s="2" customFormat="1" ht="18" customHeight="1">
      <c r="H213" s="3640"/>
      <c r="I213" s="3640"/>
      <c r="J213" s="3640"/>
      <c r="K213" s="3640"/>
      <c r="L213" s="3640"/>
      <c r="M213" s="141"/>
      <c r="N213" s="3640"/>
      <c r="O213" s="3640"/>
      <c r="P213" s="3640"/>
      <c r="Q213" s="3640"/>
      <c r="R213" s="3640"/>
      <c r="S213" s="141"/>
      <c r="T213" s="3640"/>
      <c r="U213" s="3640"/>
      <c r="V213" s="3640"/>
      <c r="W213" s="3640"/>
      <c r="X213" s="3640"/>
    </row>
    <row r="214" spans="8:24" s="2" customFormat="1" ht="18" customHeight="1">
      <c r="H214" s="3640"/>
      <c r="I214" s="3640"/>
      <c r="J214" s="3640"/>
      <c r="K214" s="3640"/>
      <c r="L214" s="3640"/>
      <c r="M214" s="141"/>
      <c r="N214" s="3640"/>
      <c r="O214" s="3640"/>
      <c r="P214" s="3640"/>
      <c r="Q214" s="3640"/>
      <c r="R214" s="3640"/>
      <c r="S214" s="141"/>
      <c r="T214" s="3640"/>
      <c r="U214" s="3640"/>
      <c r="V214" s="3640"/>
      <c r="W214" s="3640"/>
      <c r="X214" s="3640"/>
    </row>
    <row r="215" spans="8:24" s="2" customFormat="1" ht="18" customHeight="1">
      <c r="H215" s="3640"/>
      <c r="I215" s="3640"/>
      <c r="J215" s="3640"/>
      <c r="K215" s="3640"/>
      <c r="L215" s="3640"/>
      <c r="M215" s="141"/>
      <c r="N215" s="3640"/>
      <c r="O215" s="3640"/>
      <c r="P215" s="3640"/>
      <c r="Q215" s="3640"/>
      <c r="R215" s="3640"/>
      <c r="S215" s="141"/>
      <c r="T215" s="3640"/>
      <c r="U215" s="3640"/>
      <c r="V215" s="3640"/>
      <c r="W215" s="3640"/>
      <c r="X215" s="3640"/>
    </row>
    <row r="216" spans="8:24" s="2" customFormat="1" ht="18" customHeight="1">
      <c r="H216" s="3640"/>
      <c r="I216" s="3640"/>
      <c r="J216" s="3640"/>
      <c r="K216" s="3640"/>
      <c r="L216" s="3640"/>
      <c r="M216" s="141"/>
      <c r="N216" s="3640"/>
      <c r="O216" s="3640"/>
      <c r="P216" s="3640"/>
      <c r="Q216" s="3640"/>
      <c r="R216" s="3640"/>
      <c r="S216" s="141"/>
      <c r="T216" s="3640"/>
      <c r="U216" s="3640"/>
      <c r="V216" s="3640"/>
      <c r="W216" s="3640"/>
      <c r="X216" s="3640"/>
    </row>
    <row r="217" spans="8:24" s="2" customFormat="1" ht="18" customHeight="1">
      <c r="H217" s="3640"/>
      <c r="I217" s="3640"/>
      <c r="J217" s="3640"/>
      <c r="K217" s="3640"/>
      <c r="L217" s="3640"/>
      <c r="M217" s="141"/>
      <c r="N217" s="3640"/>
      <c r="O217" s="3640"/>
      <c r="P217" s="3640"/>
      <c r="Q217" s="3640"/>
      <c r="R217" s="3640"/>
      <c r="S217" s="141"/>
      <c r="T217" s="3640"/>
      <c r="U217" s="3640"/>
      <c r="V217" s="3640"/>
      <c r="W217" s="3640"/>
      <c r="X217" s="3640"/>
    </row>
    <row r="218" spans="8:24" s="2" customFormat="1" ht="18" customHeight="1">
      <c r="H218" s="3650" t="s">
        <v>469</v>
      </c>
      <c r="I218" s="3650"/>
      <c r="J218" s="3650"/>
      <c r="K218" s="3650"/>
      <c r="L218" s="3650"/>
      <c r="M218" s="141"/>
      <c r="N218" s="3650" t="s">
        <v>469</v>
      </c>
      <c r="O218" s="3650"/>
      <c r="P218" s="3650"/>
      <c r="Q218" s="3650"/>
      <c r="R218" s="3650"/>
      <c r="S218" s="141"/>
      <c r="T218" s="3650" t="s">
        <v>469</v>
      </c>
      <c r="U218" s="3650"/>
      <c r="V218" s="3650"/>
      <c r="W218" s="3650"/>
      <c r="X218" s="3650"/>
    </row>
    <row r="219" spans="8:24" s="2" customFormat="1" ht="18" customHeight="1">
      <c r="H219" s="3650"/>
      <c r="I219" s="3650"/>
      <c r="J219" s="3650"/>
      <c r="K219" s="3650"/>
      <c r="L219" s="3650"/>
      <c r="M219" s="140"/>
      <c r="N219" s="3650"/>
      <c r="O219" s="3650"/>
      <c r="P219" s="3650"/>
      <c r="Q219" s="3650"/>
      <c r="R219" s="3650"/>
      <c r="S219" s="140"/>
      <c r="T219" s="3650"/>
      <c r="U219" s="3650"/>
      <c r="V219" s="3650"/>
      <c r="W219" s="3650"/>
      <c r="X219" s="3650"/>
    </row>
    <row r="220" spans="8:24" s="2" customFormat="1" ht="18" customHeight="1">
      <c r="H220" s="510"/>
      <c r="I220" s="510"/>
      <c r="J220" s="510"/>
      <c r="K220" s="510"/>
      <c r="L220" s="510"/>
      <c r="M220" s="140"/>
      <c r="N220" s="510"/>
      <c r="O220" s="510"/>
      <c r="P220" s="510"/>
      <c r="Q220" s="510"/>
      <c r="R220" s="510"/>
      <c r="S220" s="140"/>
      <c r="T220" s="510"/>
      <c r="U220" s="510"/>
      <c r="V220" s="510"/>
      <c r="W220" s="510"/>
      <c r="X220" s="510"/>
    </row>
    <row r="221" spans="8:24" s="2" customFormat="1" ht="18" customHeight="1">
      <c r="H221" s="3640"/>
      <c r="I221" s="3640"/>
      <c r="J221" s="3640"/>
      <c r="K221" s="3640"/>
      <c r="L221" s="3640"/>
      <c r="M221" s="141"/>
      <c r="N221" s="3640"/>
      <c r="O221" s="3640"/>
      <c r="P221" s="3640"/>
      <c r="Q221" s="3640"/>
      <c r="R221" s="3640"/>
      <c r="S221" s="141"/>
      <c r="T221" s="3640"/>
      <c r="U221" s="3640"/>
      <c r="V221" s="3640"/>
      <c r="W221" s="3640"/>
      <c r="X221" s="3640"/>
    </row>
    <row r="222" spans="8:24" s="2" customFormat="1" ht="18" customHeight="1">
      <c r="H222" s="3640"/>
      <c r="I222" s="3640"/>
      <c r="J222" s="3640"/>
      <c r="K222" s="3640"/>
      <c r="L222" s="3640"/>
      <c r="M222" s="141"/>
      <c r="N222" s="3640"/>
      <c r="O222" s="3640"/>
      <c r="P222" s="3640"/>
      <c r="Q222" s="3640"/>
      <c r="R222" s="3640"/>
      <c r="S222" s="141"/>
      <c r="T222" s="3640"/>
      <c r="U222" s="3640"/>
      <c r="V222" s="3640"/>
      <c r="W222" s="3640"/>
      <c r="X222" s="3640"/>
    </row>
    <row r="223" spans="8:24" s="2" customFormat="1" ht="18" customHeight="1">
      <c r="H223" s="3640"/>
      <c r="I223" s="3640"/>
      <c r="J223" s="3640"/>
      <c r="K223" s="3640"/>
      <c r="L223" s="3640"/>
      <c r="M223" s="141"/>
      <c r="N223" s="3640"/>
      <c r="O223" s="3640"/>
      <c r="P223" s="3640"/>
      <c r="Q223" s="3640"/>
      <c r="R223" s="3640"/>
      <c r="S223" s="141"/>
      <c r="T223" s="3640"/>
      <c r="U223" s="3640"/>
      <c r="V223" s="3640"/>
      <c r="W223" s="3640"/>
      <c r="X223" s="3640"/>
    </row>
    <row r="224" spans="8:24" s="2" customFormat="1" ht="18" customHeight="1">
      <c r="H224" s="3640"/>
      <c r="I224" s="3640"/>
      <c r="J224" s="3640"/>
      <c r="K224" s="3640"/>
      <c r="L224" s="3640"/>
      <c r="M224" s="141"/>
      <c r="N224" s="3640"/>
      <c r="O224" s="3640"/>
      <c r="P224" s="3640"/>
      <c r="Q224" s="3640"/>
      <c r="R224" s="3640"/>
      <c r="S224" s="141"/>
      <c r="T224" s="3640"/>
      <c r="U224" s="3640"/>
      <c r="V224" s="3640"/>
      <c r="W224" s="3640"/>
      <c r="X224" s="3640"/>
    </row>
    <row r="225" spans="8:24" s="2" customFormat="1" ht="18" customHeight="1">
      <c r="H225" s="3640"/>
      <c r="I225" s="3640"/>
      <c r="J225" s="3640"/>
      <c r="K225" s="3640"/>
      <c r="L225" s="3640"/>
      <c r="M225" s="141"/>
      <c r="N225" s="3640"/>
      <c r="O225" s="3640"/>
      <c r="P225" s="3640"/>
      <c r="Q225" s="3640"/>
      <c r="R225" s="3640"/>
      <c r="S225" s="141"/>
      <c r="T225" s="3640"/>
      <c r="U225" s="3640"/>
      <c r="V225" s="3640"/>
      <c r="W225" s="3640"/>
      <c r="X225" s="3640"/>
    </row>
    <row r="226" spans="8:24" s="2" customFormat="1" ht="18" customHeight="1">
      <c r="H226" s="3640"/>
      <c r="I226" s="3640"/>
      <c r="J226" s="3640"/>
      <c r="K226" s="3640"/>
      <c r="L226" s="3640"/>
      <c r="M226" s="141"/>
      <c r="N226" s="3640"/>
      <c r="O226" s="3640"/>
      <c r="P226" s="3640"/>
      <c r="Q226" s="3640"/>
      <c r="R226" s="3640"/>
      <c r="S226" s="141"/>
      <c r="T226" s="3640"/>
      <c r="U226" s="3640"/>
      <c r="V226" s="3640"/>
      <c r="W226" s="3640"/>
      <c r="X226" s="3640"/>
    </row>
    <row r="227" spans="8:24" s="2" customFormat="1" ht="18" customHeight="1">
      <c r="H227" s="3640"/>
      <c r="I227" s="3640"/>
      <c r="J227" s="3640"/>
      <c r="K227" s="3640"/>
      <c r="L227" s="3640"/>
      <c r="M227" s="141"/>
      <c r="N227" s="3640"/>
      <c r="O227" s="3640"/>
      <c r="P227" s="3640"/>
      <c r="Q227" s="3640"/>
      <c r="R227" s="3640"/>
      <c r="S227" s="141"/>
      <c r="T227" s="3640"/>
      <c r="U227" s="3640"/>
      <c r="V227" s="3640"/>
      <c r="W227" s="3640"/>
      <c r="X227" s="3640"/>
    </row>
    <row r="228" spans="8:24" s="2" customFormat="1" ht="18" customHeight="1">
      <c r="H228" s="3640"/>
      <c r="I228" s="3640"/>
      <c r="J228" s="3640"/>
      <c r="K228" s="3640"/>
      <c r="L228" s="3640"/>
      <c r="M228" s="141"/>
      <c r="N228" s="3640"/>
      <c r="O228" s="3640"/>
      <c r="P228" s="3640"/>
      <c r="Q228" s="3640"/>
      <c r="R228" s="3640"/>
      <c r="S228" s="141"/>
      <c r="T228" s="3640"/>
      <c r="U228" s="3640"/>
      <c r="V228" s="3640"/>
      <c r="W228" s="3640"/>
      <c r="X228" s="3640"/>
    </row>
    <row r="229" spans="8:24" s="2" customFormat="1" ht="18" customHeight="1">
      <c r="H229" s="3640"/>
      <c r="I229" s="3640"/>
      <c r="J229" s="3640"/>
      <c r="K229" s="3640"/>
      <c r="L229" s="3640"/>
      <c r="M229" s="141"/>
      <c r="N229" s="3640"/>
      <c r="O229" s="3640"/>
      <c r="P229" s="3640"/>
      <c r="Q229" s="3640"/>
      <c r="R229" s="3640"/>
      <c r="S229" s="141"/>
      <c r="T229" s="3640"/>
      <c r="U229" s="3640"/>
      <c r="V229" s="3640"/>
      <c r="W229" s="3640"/>
      <c r="X229" s="3640"/>
    </row>
    <row r="230" spans="8:24" s="2" customFormat="1" ht="18" customHeight="1">
      <c r="H230" s="3650" t="s">
        <v>469</v>
      </c>
      <c r="I230" s="3650"/>
      <c r="J230" s="3650"/>
      <c r="K230" s="3650"/>
      <c r="L230" s="3650"/>
      <c r="M230" s="141"/>
      <c r="N230" s="3650" t="s">
        <v>469</v>
      </c>
      <c r="O230" s="3650"/>
      <c r="P230" s="3650"/>
      <c r="Q230" s="3650"/>
      <c r="R230" s="3650"/>
      <c r="S230" s="141"/>
      <c r="T230" s="3650" t="s">
        <v>469</v>
      </c>
      <c r="U230" s="3650"/>
      <c r="V230" s="3650"/>
      <c r="W230" s="3650"/>
      <c r="X230" s="3650"/>
    </row>
    <row r="231" spans="8:24" s="2" customFormat="1" ht="18" customHeight="1">
      <c r="H231" s="3650"/>
      <c r="I231" s="3650"/>
      <c r="J231" s="3650"/>
      <c r="K231" s="3650"/>
      <c r="L231" s="3650"/>
      <c r="M231" s="140"/>
      <c r="N231" s="3650"/>
      <c r="O231" s="3650"/>
      <c r="P231" s="3650"/>
      <c r="Q231" s="3650"/>
      <c r="R231" s="3650"/>
      <c r="S231" s="140"/>
      <c r="T231" s="3650"/>
      <c r="U231" s="3650"/>
      <c r="V231" s="3650"/>
      <c r="W231" s="3650"/>
      <c r="X231" s="3650"/>
    </row>
    <row r="232" spans="8:24" s="2" customFormat="1" ht="27.95" customHeight="1">
      <c r="H232" s="141"/>
      <c r="I232" s="141"/>
      <c r="J232" s="141"/>
      <c r="K232" s="141"/>
      <c r="L232" s="141"/>
      <c r="M232" s="141"/>
      <c r="N232" s="141"/>
      <c r="O232" s="141"/>
      <c r="P232" s="141"/>
      <c r="Q232" s="141"/>
      <c r="R232" s="141"/>
      <c r="S232" s="141"/>
      <c r="T232" s="141"/>
      <c r="U232" s="141"/>
      <c r="V232" s="141"/>
      <c r="W232" s="141"/>
      <c r="X232" s="141"/>
    </row>
    <row r="233" spans="8:24" s="2" customFormat="1" ht="18" customHeight="1">
      <c r="H233" s="3544" t="str">
        <f>CONCATENATE("Report Prepared By: ",Investor_Name,"  |  ",Company_Name,"  |  ",Company_Email,"  |  ",Company_Email)</f>
        <v xml:space="preserve">Report Prepared By:   |    |    |  </v>
      </c>
      <c r="I233" s="3544"/>
      <c r="J233" s="3544"/>
      <c r="K233" s="3544"/>
      <c r="L233" s="3544"/>
      <c r="M233" s="3544"/>
      <c r="N233" s="3544"/>
      <c r="O233" s="3544"/>
      <c r="P233" s="3544"/>
      <c r="Q233" s="3544"/>
      <c r="R233" s="3544"/>
      <c r="S233" s="3544"/>
      <c r="T233" s="3544"/>
      <c r="U233" s="3544"/>
      <c r="V233" s="3544"/>
      <c r="W233" s="3561" t="s">
        <v>1611</v>
      </c>
      <c r="X233" s="3561"/>
    </row>
    <row r="234" spans="8:24" s="2" customFormat="1" ht="18.600000000000001" customHeight="1">
      <c r="H234" s="3562" t="str">
        <f>CONCATENATE(Street_Address,", ",City_State_Zip)</f>
        <v>, 0</v>
      </c>
      <c r="I234" s="3562"/>
      <c r="J234" s="3562"/>
      <c r="K234" s="3562"/>
      <c r="L234" s="3562"/>
      <c r="M234" s="3562"/>
      <c r="N234" s="3562"/>
      <c r="O234" s="3562"/>
      <c r="P234" s="3562"/>
      <c r="Q234" s="3562"/>
      <c r="R234" s="3562"/>
      <c r="S234" s="3562"/>
      <c r="T234" s="3562"/>
      <c r="U234" s="3562"/>
      <c r="V234" s="3562"/>
      <c r="W234" s="3562"/>
      <c r="X234" s="3562"/>
    </row>
    <row r="235" spans="8:24" s="2" customFormat="1" ht="18.600000000000001" customHeight="1">
      <c r="H235" s="1421"/>
      <c r="I235" s="1421"/>
      <c r="J235" s="1421"/>
      <c r="K235" s="1421"/>
      <c r="L235" s="1419"/>
      <c r="M235" s="1419"/>
      <c r="N235" s="1419"/>
      <c r="O235" s="1420"/>
      <c r="P235" s="1420"/>
      <c r="Q235" s="1420"/>
      <c r="R235" s="1420"/>
      <c r="S235" s="1420"/>
      <c r="T235" s="1420"/>
      <c r="U235" s="1420"/>
      <c r="V235" s="1420"/>
      <c r="W235" s="1420"/>
      <c r="X235" s="1420"/>
    </row>
    <row r="236" spans="8:24" s="2" customFormat="1" ht="18.600000000000001" customHeight="1">
      <c r="H236" s="1423" t="s">
        <v>1609</v>
      </c>
      <c r="I236" s="1421"/>
      <c r="J236" s="1421"/>
      <c r="K236" s="1421"/>
      <c r="L236" s="1419"/>
      <c r="M236" s="1419"/>
      <c r="N236" s="1419"/>
      <c r="O236" s="1420"/>
      <c r="P236" s="1420"/>
      <c r="Q236" s="1420"/>
      <c r="R236" s="1420"/>
      <c r="S236" s="1420"/>
      <c r="T236" s="1420"/>
      <c r="U236" s="1420"/>
      <c r="V236" s="1420"/>
      <c r="W236" s="1420"/>
      <c r="X236" s="1420"/>
    </row>
    <row r="237" spans="8:24" s="2" customFormat="1" ht="18.600000000000001" customHeight="1">
      <c r="H237" s="3640"/>
      <c r="I237" s="3640"/>
      <c r="J237" s="3640"/>
      <c r="K237" s="3640"/>
      <c r="L237" s="3640"/>
      <c r="M237" s="141"/>
      <c r="N237" s="3640"/>
      <c r="O237" s="3640"/>
      <c r="P237" s="3640"/>
      <c r="Q237" s="3640"/>
      <c r="R237" s="3640"/>
      <c r="S237" s="141"/>
      <c r="T237" s="3640"/>
      <c r="U237" s="3640"/>
      <c r="V237" s="3640"/>
      <c r="W237" s="3640"/>
      <c r="X237" s="3640"/>
    </row>
    <row r="238" spans="8:24" s="2" customFormat="1" ht="18.600000000000001" customHeight="1">
      <c r="H238" s="3640"/>
      <c r="I238" s="3640"/>
      <c r="J238" s="3640"/>
      <c r="K238" s="3640"/>
      <c r="L238" s="3640"/>
      <c r="M238" s="141"/>
      <c r="N238" s="3640"/>
      <c r="O238" s="3640"/>
      <c r="P238" s="3640"/>
      <c r="Q238" s="3640"/>
      <c r="R238" s="3640"/>
      <c r="S238" s="141"/>
      <c r="T238" s="3640"/>
      <c r="U238" s="3640"/>
      <c r="V238" s="3640"/>
      <c r="W238" s="3640"/>
      <c r="X238" s="3640"/>
    </row>
    <row r="239" spans="8:24" s="2" customFormat="1" ht="18.600000000000001" customHeight="1">
      <c r="H239" s="3640"/>
      <c r="I239" s="3640"/>
      <c r="J239" s="3640"/>
      <c r="K239" s="3640"/>
      <c r="L239" s="3640"/>
      <c r="M239" s="141"/>
      <c r="N239" s="3640"/>
      <c r="O239" s="3640"/>
      <c r="P239" s="3640"/>
      <c r="Q239" s="3640"/>
      <c r="R239" s="3640"/>
      <c r="S239" s="141"/>
      <c r="T239" s="3640"/>
      <c r="U239" s="3640"/>
      <c r="V239" s="3640"/>
      <c r="W239" s="3640"/>
      <c r="X239" s="3640"/>
    </row>
    <row r="240" spans="8:24" s="2" customFormat="1" ht="18.600000000000001" customHeight="1">
      <c r="H240" s="3640"/>
      <c r="I240" s="3640"/>
      <c r="J240" s="3640"/>
      <c r="K240" s="3640"/>
      <c r="L240" s="3640"/>
      <c r="M240" s="141"/>
      <c r="N240" s="3640"/>
      <c r="O240" s="3640"/>
      <c r="P240" s="3640"/>
      <c r="Q240" s="3640"/>
      <c r="R240" s="3640"/>
      <c r="S240" s="141"/>
      <c r="T240" s="3640"/>
      <c r="U240" s="3640"/>
      <c r="V240" s="3640"/>
      <c r="W240" s="3640"/>
      <c r="X240" s="3640"/>
    </row>
    <row r="241" spans="8:24" s="2" customFormat="1" ht="18.600000000000001" customHeight="1">
      <c r="H241" s="3640"/>
      <c r="I241" s="3640"/>
      <c r="J241" s="3640"/>
      <c r="K241" s="3640"/>
      <c r="L241" s="3640"/>
      <c r="M241" s="141"/>
      <c r="N241" s="3640"/>
      <c r="O241" s="3640"/>
      <c r="P241" s="3640"/>
      <c r="Q241" s="3640"/>
      <c r="R241" s="3640"/>
      <c r="S241" s="141"/>
      <c r="T241" s="3640"/>
      <c r="U241" s="3640"/>
      <c r="V241" s="3640"/>
      <c r="W241" s="3640"/>
      <c r="X241" s="3640"/>
    </row>
    <row r="242" spans="8:24" s="2" customFormat="1" ht="18.600000000000001" customHeight="1">
      <c r="H242" s="3640"/>
      <c r="I242" s="3640"/>
      <c r="J242" s="3640"/>
      <c r="K242" s="3640"/>
      <c r="L242" s="3640"/>
      <c r="M242" s="141"/>
      <c r="N242" s="3640"/>
      <c r="O242" s="3640"/>
      <c r="P242" s="3640"/>
      <c r="Q242" s="3640"/>
      <c r="R242" s="3640"/>
      <c r="S242" s="141"/>
      <c r="T242" s="3640"/>
      <c r="U242" s="3640"/>
      <c r="V242" s="3640"/>
      <c r="W242" s="3640"/>
      <c r="X242" s="3640"/>
    </row>
    <row r="243" spans="8:24" s="2" customFormat="1" ht="18.600000000000001" customHeight="1">
      <c r="H243" s="3640"/>
      <c r="I243" s="3640"/>
      <c r="J243" s="3640"/>
      <c r="K243" s="3640"/>
      <c r="L243" s="3640"/>
      <c r="M243" s="141"/>
      <c r="N243" s="3640"/>
      <c r="O243" s="3640"/>
      <c r="P243" s="3640"/>
      <c r="Q243" s="3640"/>
      <c r="R243" s="3640"/>
      <c r="S243" s="141"/>
      <c r="T243" s="3640"/>
      <c r="U243" s="3640"/>
      <c r="V243" s="3640"/>
      <c r="W243" s="3640"/>
      <c r="X243" s="3640"/>
    </row>
    <row r="244" spans="8:24" s="2" customFormat="1" ht="18.600000000000001" customHeight="1">
      <c r="H244" s="3640"/>
      <c r="I244" s="3640"/>
      <c r="J244" s="3640"/>
      <c r="K244" s="3640"/>
      <c r="L244" s="3640"/>
      <c r="M244" s="141"/>
      <c r="N244" s="3640"/>
      <c r="O244" s="3640"/>
      <c r="P244" s="3640"/>
      <c r="Q244" s="3640"/>
      <c r="R244" s="3640"/>
      <c r="S244" s="141"/>
      <c r="T244" s="3640"/>
      <c r="U244" s="3640"/>
      <c r="V244" s="3640"/>
      <c r="W244" s="3640"/>
      <c r="X244" s="3640"/>
    </row>
    <row r="245" spans="8:24" s="2" customFormat="1" ht="18.600000000000001" customHeight="1">
      <c r="H245" s="3640"/>
      <c r="I245" s="3640"/>
      <c r="J245" s="3640"/>
      <c r="K245" s="3640"/>
      <c r="L245" s="3640"/>
      <c r="M245" s="141"/>
      <c r="N245" s="3640"/>
      <c r="O245" s="3640"/>
      <c r="P245" s="3640"/>
      <c r="Q245" s="3640"/>
      <c r="R245" s="3640"/>
      <c r="S245" s="141"/>
      <c r="T245" s="3640"/>
      <c r="U245" s="3640"/>
      <c r="V245" s="3640"/>
      <c r="W245" s="3640"/>
      <c r="X245" s="3640"/>
    </row>
    <row r="246" spans="8:24" s="2" customFormat="1" ht="18.600000000000001" customHeight="1">
      <c r="H246" s="3650" t="s">
        <v>469</v>
      </c>
      <c r="I246" s="3650"/>
      <c r="J246" s="3650"/>
      <c r="K246" s="3650"/>
      <c r="L246" s="3650"/>
      <c r="M246" s="141"/>
      <c r="N246" s="3650" t="s">
        <v>469</v>
      </c>
      <c r="O246" s="3650"/>
      <c r="P246" s="3650"/>
      <c r="Q246" s="3650"/>
      <c r="R246" s="3650"/>
      <c r="S246" s="141"/>
      <c r="T246" s="3650" t="s">
        <v>469</v>
      </c>
      <c r="U246" s="3650"/>
      <c r="V246" s="3650"/>
      <c r="W246" s="3650"/>
      <c r="X246" s="3650"/>
    </row>
    <row r="247" spans="8:24" s="2" customFormat="1" ht="18.600000000000001" customHeight="1">
      <c r="H247" s="3650"/>
      <c r="I247" s="3650"/>
      <c r="J247" s="3650"/>
      <c r="K247" s="3650"/>
      <c r="L247" s="3650"/>
      <c r="M247" s="140"/>
      <c r="N247" s="3650"/>
      <c r="O247" s="3650"/>
      <c r="P247" s="3650"/>
      <c r="Q247" s="3650"/>
      <c r="R247" s="3650"/>
      <c r="S247" s="140"/>
      <c r="T247" s="3650"/>
      <c r="U247" s="3650"/>
      <c r="V247" s="3650"/>
      <c r="W247" s="3650"/>
      <c r="X247" s="3650"/>
    </row>
    <row r="248" spans="8:24" s="2" customFormat="1" ht="9.75" customHeight="1">
      <c r="H248" s="141"/>
      <c r="I248" s="141"/>
      <c r="J248" s="141"/>
      <c r="K248" s="141"/>
      <c r="L248" s="141"/>
      <c r="M248" s="141"/>
      <c r="N248" s="141"/>
      <c r="O248" s="141"/>
      <c r="P248" s="141"/>
      <c r="Q248" s="141"/>
      <c r="R248" s="141"/>
      <c r="S248" s="141"/>
      <c r="T248" s="141"/>
      <c r="U248" s="141"/>
      <c r="V248" s="141"/>
      <c r="W248" s="141"/>
      <c r="X248" s="141"/>
    </row>
    <row r="249" spans="8:24" s="2" customFormat="1" ht="18" customHeight="1">
      <c r="H249" s="3640"/>
      <c r="I249" s="3640"/>
      <c r="J249" s="3640"/>
      <c r="K249" s="3640"/>
      <c r="L249" s="3640"/>
      <c r="M249" s="141"/>
      <c r="N249" s="3640"/>
      <c r="O249" s="3640"/>
      <c r="P249" s="3640"/>
      <c r="Q249" s="3640"/>
      <c r="R249" s="3640"/>
      <c r="S249" s="141"/>
      <c r="T249" s="3640"/>
      <c r="U249" s="3640"/>
      <c r="V249" s="3640"/>
      <c r="W249" s="3640"/>
      <c r="X249" s="3640"/>
    </row>
    <row r="250" spans="8:24" s="2" customFormat="1" ht="18" customHeight="1">
      <c r="H250" s="3640"/>
      <c r="I250" s="3640"/>
      <c r="J250" s="3640"/>
      <c r="K250" s="3640"/>
      <c r="L250" s="3640"/>
      <c r="M250" s="141"/>
      <c r="N250" s="3640"/>
      <c r="O250" s="3640"/>
      <c r="P250" s="3640"/>
      <c r="Q250" s="3640"/>
      <c r="R250" s="3640"/>
      <c r="S250" s="141"/>
      <c r="T250" s="3640"/>
      <c r="U250" s="3640"/>
      <c r="V250" s="3640"/>
      <c r="W250" s="3640"/>
      <c r="X250" s="3640"/>
    </row>
    <row r="251" spans="8:24" s="2" customFormat="1" ht="18" customHeight="1">
      <c r="H251" s="3640"/>
      <c r="I251" s="3640"/>
      <c r="J251" s="3640"/>
      <c r="K251" s="3640"/>
      <c r="L251" s="3640"/>
      <c r="M251" s="141"/>
      <c r="N251" s="3640"/>
      <c r="O251" s="3640"/>
      <c r="P251" s="3640"/>
      <c r="Q251" s="3640"/>
      <c r="R251" s="3640"/>
      <c r="S251" s="141"/>
      <c r="T251" s="3640"/>
      <c r="U251" s="3640"/>
      <c r="V251" s="3640"/>
      <c r="W251" s="3640"/>
      <c r="X251" s="3640"/>
    </row>
    <row r="252" spans="8:24" s="2" customFormat="1" ht="18" customHeight="1">
      <c r="H252" s="3640"/>
      <c r="I252" s="3640"/>
      <c r="J252" s="3640"/>
      <c r="K252" s="3640"/>
      <c r="L252" s="3640"/>
      <c r="M252" s="141"/>
      <c r="N252" s="3640"/>
      <c r="O252" s="3640"/>
      <c r="P252" s="3640"/>
      <c r="Q252" s="3640"/>
      <c r="R252" s="3640"/>
      <c r="S252" s="141"/>
      <c r="T252" s="3640"/>
      <c r="U252" s="3640"/>
      <c r="V252" s="3640"/>
      <c r="W252" s="3640"/>
      <c r="X252" s="3640"/>
    </row>
    <row r="253" spans="8:24" s="2" customFormat="1" ht="18" customHeight="1">
      <c r="H253" s="3640"/>
      <c r="I253" s="3640"/>
      <c r="J253" s="3640"/>
      <c r="K253" s="3640"/>
      <c r="L253" s="3640"/>
      <c r="M253" s="141"/>
      <c r="N253" s="3640"/>
      <c r="O253" s="3640"/>
      <c r="P253" s="3640"/>
      <c r="Q253" s="3640"/>
      <c r="R253" s="3640"/>
      <c r="S253" s="141"/>
      <c r="T253" s="3640"/>
      <c r="U253" s="3640"/>
      <c r="V253" s="3640"/>
      <c r="W253" s="3640"/>
      <c r="X253" s="3640"/>
    </row>
    <row r="254" spans="8:24" s="2" customFormat="1" ht="18" customHeight="1">
      <c r="H254" s="3640"/>
      <c r="I254" s="3640"/>
      <c r="J254" s="3640"/>
      <c r="K254" s="3640"/>
      <c r="L254" s="3640"/>
      <c r="M254" s="141"/>
      <c r="N254" s="3640"/>
      <c r="O254" s="3640"/>
      <c r="P254" s="3640"/>
      <c r="Q254" s="3640"/>
      <c r="R254" s="3640"/>
      <c r="S254" s="141"/>
      <c r="T254" s="3640"/>
      <c r="U254" s="3640"/>
      <c r="V254" s="3640"/>
      <c r="W254" s="3640"/>
      <c r="X254" s="3640"/>
    </row>
    <row r="255" spans="8:24" s="2" customFormat="1" ht="18" customHeight="1">
      <c r="H255" s="3640"/>
      <c r="I255" s="3640"/>
      <c r="J255" s="3640"/>
      <c r="K255" s="3640"/>
      <c r="L255" s="3640"/>
      <c r="M255" s="141"/>
      <c r="N255" s="3640"/>
      <c r="O255" s="3640"/>
      <c r="P255" s="3640"/>
      <c r="Q255" s="3640"/>
      <c r="R255" s="3640"/>
      <c r="S255" s="141"/>
      <c r="T255" s="3640"/>
      <c r="U255" s="3640"/>
      <c r="V255" s="3640"/>
      <c r="W255" s="3640"/>
      <c r="X255" s="3640"/>
    </row>
    <row r="256" spans="8:24" s="2" customFormat="1" ht="18" customHeight="1">
      <c r="H256" s="3640"/>
      <c r="I256" s="3640"/>
      <c r="J256" s="3640"/>
      <c r="K256" s="3640"/>
      <c r="L256" s="3640"/>
      <c r="M256" s="141"/>
      <c r="N256" s="3640"/>
      <c r="O256" s="3640"/>
      <c r="P256" s="3640"/>
      <c r="Q256" s="3640"/>
      <c r="R256" s="3640"/>
      <c r="S256" s="141"/>
      <c r="T256" s="3640"/>
      <c r="U256" s="3640"/>
      <c r="V256" s="3640"/>
      <c r="W256" s="3640"/>
      <c r="X256" s="3640"/>
    </row>
    <row r="257" spans="8:24" s="2" customFormat="1" ht="18" customHeight="1">
      <c r="H257" s="3640"/>
      <c r="I257" s="3640"/>
      <c r="J257" s="3640"/>
      <c r="K257" s="3640"/>
      <c r="L257" s="3640"/>
      <c r="M257" s="141"/>
      <c r="N257" s="3640"/>
      <c r="O257" s="3640"/>
      <c r="P257" s="3640"/>
      <c r="Q257" s="3640"/>
      <c r="R257" s="3640"/>
      <c r="S257" s="141"/>
      <c r="T257" s="3640"/>
      <c r="U257" s="3640"/>
      <c r="V257" s="3640"/>
      <c r="W257" s="3640"/>
      <c r="X257" s="3640"/>
    </row>
    <row r="258" spans="8:24" s="2" customFormat="1" ht="18" customHeight="1">
      <c r="H258" s="3650" t="s">
        <v>469</v>
      </c>
      <c r="I258" s="3650"/>
      <c r="J258" s="3650"/>
      <c r="K258" s="3650"/>
      <c r="L258" s="3650"/>
      <c r="M258" s="141"/>
      <c r="N258" s="3650" t="s">
        <v>469</v>
      </c>
      <c r="O258" s="3650"/>
      <c r="P258" s="3650"/>
      <c r="Q258" s="3650"/>
      <c r="R258" s="3650"/>
      <c r="S258" s="141"/>
      <c r="T258" s="3650" t="s">
        <v>469</v>
      </c>
      <c r="U258" s="3650"/>
      <c r="V258" s="3650"/>
      <c r="W258" s="3650"/>
      <c r="X258" s="3650"/>
    </row>
    <row r="259" spans="8:24" s="2" customFormat="1" ht="18" customHeight="1">
      <c r="H259" s="3650"/>
      <c r="I259" s="3650"/>
      <c r="J259" s="3650"/>
      <c r="K259" s="3650"/>
      <c r="L259" s="3650"/>
      <c r="M259" s="140"/>
      <c r="N259" s="3650"/>
      <c r="O259" s="3650"/>
      <c r="P259" s="3650"/>
      <c r="Q259" s="3650"/>
      <c r="R259" s="3650"/>
      <c r="S259" s="140"/>
      <c r="T259" s="3650"/>
      <c r="U259" s="3650"/>
      <c r="V259" s="3650"/>
      <c r="W259" s="3650"/>
      <c r="X259" s="3650"/>
    </row>
    <row r="260" spans="8:24" s="2" customFormat="1" ht="18" customHeight="1">
      <c r="H260" s="510"/>
      <c r="I260" s="510"/>
      <c r="J260" s="510"/>
      <c r="K260" s="510"/>
      <c r="L260" s="510"/>
      <c r="M260" s="140"/>
      <c r="N260" s="510"/>
      <c r="O260" s="510"/>
      <c r="P260" s="510"/>
      <c r="Q260" s="510"/>
      <c r="R260" s="510"/>
      <c r="S260" s="140"/>
      <c r="T260" s="510"/>
      <c r="U260" s="510"/>
      <c r="V260" s="510"/>
      <c r="W260" s="510"/>
      <c r="X260" s="510"/>
    </row>
    <row r="261" spans="8:24" s="2" customFormat="1" ht="18" customHeight="1">
      <c r="H261" s="3640"/>
      <c r="I261" s="3640"/>
      <c r="J261" s="3640"/>
      <c r="K261" s="3640"/>
      <c r="L261" s="3640"/>
      <c r="M261" s="141"/>
      <c r="N261" s="3640"/>
      <c r="O261" s="3640"/>
      <c r="P261" s="3640"/>
      <c r="Q261" s="3640"/>
      <c r="R261" s="3640"/>
      <c r="S261" s="141"/>
      <c r="T261" s="3640"/>
      <c r="U261" s="3640"/>
      <c r="V261" s="3640"/>
      <c r="W261" s="3640"/>
      <c r="X261" s="3640"/>
    </row>
    <row r="262" spans="8:24" s="2" customFormat="1" ht="18" customHeight="1">
      <c r="H262" s="3640"/>
      <c r="I262" s="3640"/>
      <c r="J262" s="3640"/>
      <c r="K262" s="3640"/>
      <c r="L262" s="3640"/>
      <c r="M262" s="141"/>
      <c r="N262" s="3640"/>
      <c r="O262" s="3640"/>
      <c r="P262" s="3640"/>
      <c r="Q262" s="3640"/>
      <c r="R262" s="3640"/>
      <c r="S262" s="141"/>
      <c r="T262" s="3640"/>
      <c r="U262" s="3640"/>
      <c r="V262" s="3640"/>
      <c r="W262" s="3640"/>
      <c r="X262" s="3640"/>
    </row>
    <row r="263" spans="8:24" s="2" customFormat="1" ht="18" customHeight="1">
      <c r="H263" s="3640"/>
      <c r="I263" s="3640"/>
      <c r="J263" s="3640"/>
      <c r="K263" s="3640"/>
      <c r="L263" s="3640"/>
      <c r="M263" s="141"/>
      <c r="N263" s="3640"/>
      <c r="O263" s="3640"/>
      <c r="P263" s="3640"/>
      <c r="Q263" s="3640"/>
      <c r="R263" s="3640"/>
      <c r="S263" s="141"/>
      <c r="T263" s="3640"/>
      <c r="U263" s="3640"/>
      <c r="V263" s="3640"/>
      <c r="W263" s="3640"/>
      <c r="X263" s="3640"/>
    </row>
    <row r="264" spans="8:24" s="2" customFormat="1" ht="18" customHeight="1">
      <c r="H264" s="3640"/>
      <c r="I264" s="3640"/>
      <c r="J264" s="3640"/>
      <c r="K264" s="3640"/>
      <c r="L264" s="3640"/>
      <c r="M264" s="141"/>
      <c r="N264" s="3640"/>
      <c r="O264" s="3640"/>
      <c r="P264" s="3640"/>
      <c r="Q264" s="3640"/>
      <c r="R264" s="3640"/>
      <c r="S264" s="141"/>
      <c r="T264" s="3640"/>
      <c r="U264" s="3640"/>
      <c r="V264" s="3640"/>
      <c r="W264" s="3640"/>
      <c r="X264" s="3640"/>
    </row>
    <row r="265" spans="8:24" s="2" customFormat="1" ht="18" customHeight="1">
      <c r="H265" s="3640"/>
      <c r="I265" s="3640"/>
      <c r="J265" s="3640"/>
      <c r="K265" s="3640"/>
      <c r="L265" s="3640"/>
      <c r="M265" s="141"/>
      <c r="N265" s="3640"/>
      <c r="O265" s="3640"/>
      <c r="P265" s="3640"/>
      <c r="Q265" s="3640"/>
      <c r="R265" s="3640"/>
      <c r="S265" s="141"/>
      <c r="T265" s="3640"/>
      <c r="U265" s="3640"/>
      <c r="V265" s="3640"/>
      <c r="W265" s="3640"/>
      <c r="X265" s="3640"/>
    </row>
    <row r="266" spans="8:24" s="2" customFormat="1" ht="18" customHeight="1">
      <c r="H266" s="3640"/>
      <c r="I266" s="3640"/>
      <c r="J266" s="3640"/>
      <c r="K266" s="3640"/>
      <c r="L266" s="3640"/>
      <c r="M266" s="141"/>
      <c r="N266" s="3640"/>
      <c r="O266" s="3640"/>
      <c r="P266" s="3640"/>
      <c r="Q266" s="3640"/>
      <c r="R266" s="3640"/>
      <c r="S266" s="141"/>
      <c r="T266" s="3640"/>
      <c r="U266" s="3640"/>
      <c r="V266" s="3640"/>
      <c r="W266" s="3640"/>
      <c r="X266" s="3640"/>
    </row>
    <row r="267" spans="8:24" s="2" customFormat="1" ht="18" customHeight="1">
      <c r="H267" s="3640"/>
      <c r="I267" s="3640"/>
      <c r="J267" s="3640"/>
      <c r="K267" s="3640"/>
      <c r="L267" s="3640"/>
      <c r="M267" s="141"/>
      <c r="N267" s="3640"/>
      <c r="O267" s="3640"/>
      <c r="P267" s="3640"/>
      <c r="Q267" s="3640"/>
      <c r="R267" s="3640"/>
      <c r="S267" s="141"/>
      <c r="T267" s="3640"/>
      <c r="U267" s="3640"/>
      <c r="V267" s="3640"/>
      <c r="W267" s="3640"/>
      <c r="X267" s="3640"/>
    </row>
    <row r="268" spans="8:24" s="2" customFormat="1" ht="18" customHeight="1">
      <c r="H268" s="3640"/>
      <c r="I268" s="3640"/>
      <c r="J268" s="3640"/>
      <c r="K268" s="3640"/>
      <c r="L268" s="3640"/>
      <c r="M268" s="141"/>
      <c r="N268" s="3640"/>
      <c r="O268" s="3640"/>
      <c r="P268" s="3640"/>
      <c r="Q268" s="3640"/>
      <c r="R268" s="3640"/>
      <c r="S268" s="141"/>
      <c r="T268" s="3640"/>
      <c r="U268" s="3640"/>
      <c r="V268" s="3640"/>
      <c r="W268" s="3640"/>
      <c r="X268" s="3640"/>
    </row>
    <row r="269" spans="8:24" s="2" customFormat="1" ht="18" customHeight="1">
      <c r="H269" s="3640"/>
      <c r="I269" s="3640"/>
      <c r="J269" s="3640"/>
      <c r="K269" s="3640"/>
      <c r="L269" s="3640"/>
      <c r="M269" s="141"/>
      <c r="N269" s="3640"/>
      <c r="O269" s="3640"/>
      <c r="P269" s="3640"/>
      <c r="Q269" s="3640"/>
      <c r="R269" s="3640"/>
      <c r="S269" s="141"/>
      <c r="T269" s="3640"/>
      <c r="U269" s="3640"/>
      <c r="V269" s="3640"/>
      <c r="W269" s="3640"/>
      <c r="X269" s="3640"/>
    </row>
    <row r="270" spans="8:24" s="2" customFormat="1" ht="18" customHeight="1">
      <c r="H270" s="3650" t="s">
        <v>469</v>
      </c>
      <c r="I270" s="3650"/>
      <c r="J270" s="3650"/>
      <c r="K270" s="3650"/>
      <c r="L270" s="3650"/>
      <c r="M270" s="141"/>
      <c r="N270" s="3650" t="s">
        <v>469</v>
      </c>
      <c r="O270" s="3650"/>
      <c r="P270" s="3650"/>
      <c r="Q270" s="3650"/>
      <c r="R270" s="3650"/>
      <c r="S270" s="141"/>
      <c r="T270" s="3650" t="s">
        <v>469</v>
      </c>
      <c r="U270" s="3650"/>
      <c r="V270" s="3650"/>
      <c r="W270" s="3650"/>
      <c r="X270" s="3650"/>
    </row>
    <row r="271" spans="8:24" s="2" customFormat="1" ht="18" customHeight="1">
      <c r="H271" s="3650"/>
      <c r="I271" s="3650"/>
      <c r="J271" s="3650"/>
      <c r="K271" s="3650"/>
      <c r="L271" s="3650"/>
      <c r="M271" s="140"/>
      <c r="N271" s="3650"/>
      <c r="O271" s="3650"/>
      <c r="P271" s="3650"/>
      <c r="Q271" s="3650"/>
      <c r="R271" s="3650"/>
      <c r="S271" s="140"/>
      <c r="T271" s="3650"/>
      <c r="U271" s="3650"/>
      <c r="V271" s="3650"/>
      <c r="W271" s="3650"/>
      <c r="X271" s="3650"/>
    </row>
    <row r="272" spans="8:24" s="2" customFormat="1" ht="18" customHeight="1">
      <c r="H272" s="510"/>
      <c r="I272" s="510"/>
      <c r="J272" s="510"/>
      <c r="K272" s="510"/>
      <c r="L272" s="510"/>
      <c r="M272" s="140"/>
      <c r="N272" s="510"/>
      <c r="O272" s="510"/>
      <c r="P272" s="510"/>
      <c r="Q272" s="510"/>
      <c r="R272" s="510"/>
      <c r="S272" s="140"/>
      <c r="T272" s="510"/>
      <c r="U272" s="510"/>
      <c r="V272" s="510"/>
      <c r="W272" s="510"/>
      <c r="X272" s="510"/>
    </row>
    <row r="273" spans="8:24" s="2" customFormat="1" ht="18" customHeight="1">
      <c r="H273" s="3640"/>
      <c r="I273" s="3640"/>
      <c r="J273" s="3640"/>
      <c r="K273" s="3640"/>
      <c r="L273" s="3640"/>
      <c r="M273" s="141"/>
      <c r="N273" s="3640"/>
      <c r="O273" s="3640"/>
      <c r="P273" s="3640"/>
      <c r="Q273" s="3640"/>
      <c r="R273" s="3640"/>
      <c r="S273" s="141"/>
      <c r="T273" s="3640"/>
      <c r="U273" s="3640"/>
      <c r="V273" s="3640"/>
      <c r="W273" s="3640"/>
      <c r="X273" s="3640"/>
    </row>
    <row r="274" spans="8:24" s="2" customFormat="1" ht="18" customHeight="1">
      <c r="H274" s="3640"/>
      <c r="I274" s="3640"/>
      <c r="J274" s="3640"/>
      <c r="K274" s="3640"/>
      <c r="L274" s="3640"/>
      <c r="M274" s="141"/>
      <c r="N274" s="3640"/>
      <c r="O274" s="3640"/>
      <c r="P274" s="3640"/>
      <c r="Q274" s="3640"/>
      <c r="R274" s="3640"/>
      <c r="S274" s="141"/>
      <c r="T274" s="3640"/>
      <c r="U274" s="3640"/>
      <c r="V274" s="3640"/>
      <c r="W274" s="3640"/>
      <c r="X274" s="3640"/>
    </row>
    <row r="275" spans="8:24" s="2" customFormat="1" ht="18" customHeight="1">
      <c r="H275" s="3640"/>
      <c r="I275" s="3640"/>
      <c r="J275" s="3640"/>
      <c r="K275" s="3640"/>
      <c r="L275" s="3640"/>
      <c r="M275" s="141"/>
      <c r="N275" s="3640"/>
      <c r="O275" s="3640"/>
      <c r="P275" s="3640"/>
      <c r="Q275" s="3640"/>
      <c r="R275" s="3640"/>
      <c r="S275" s="141"/>
      <c r="T275" s="3640"/>
      <c r="U275" s="3640"/>
      <c r="V275" s="3640"/>
      <c r="W275" s="3640"/>
      <c r="X275" s="3640"/>
    </row>
    <row r="276" spans="8:24" s="2" customFormat="1" ht="18" customHeight="1">
      <c r="H276" s="3640"/>
      <c r="I276" s="3640"/>
      <c r="J276" s="3640"/>
      <c r="K276" s="3640"/>
      <c r="L276" s="3640"/>
      <c r="M276" s="141"/>
      <c r="N276" s="3640"/>
      <c r="O276" s="3640"/>
      <c r="P276" s="3640"/>
      <c r="Q276" s="3640"/>
      <c r="R276" s="3640"/>
      <c r="S276" s="141"/>
      <c r="T276" s="3640"/>
      <c r="U276" s="3640"/>
      <c r="V276" s="3640"/>
      <c r="W276" s="3640"/>
      <c r="X276" s="3640"/>
    </row>
    <row r="277" spans="8:24" s="2" customFormat="1" ht="18" customHeight="1">
      <c r="H277" s="3640"/>
      <c r="I277" s="3640"/>
      <c r="J277" s="3640"/>
      <c r="K277" s="3640"/>
      <c r="L277" s="3640"/>
      <c r="M277" s="141"/>
      <c r="N277" s="3640"/>
      <c r="O277" s="3640"/>
      <c r="P277" s="3640"/>
      <c r="Q277" s="3640"/>
      <c r="R277" s="3640"/>
      <c r="S277" s="141"/>
      <c r="T277" s="3640"/>
      <c r="U277" s="3640"/>
      <c r="V277" s="3640"/>
      <c r="W277" s="3640"/>
      <c r="X277" s="3640"/>
    </row>
    <row r="278" spans="8:24" s="2" customFormat="1" ht="18" customHeight="1">
      <c r="H278" s="3640"/>
      <c r="I278" s="3640"/>
      <c r="J278" s="3640"/>
      <c r="K278" s="3640"/>
      <c r="L278" s="3640"/>
      <c r="M278" s="141"/>
      <c r="N278" s="3640"/>
      <c r="O278" s="3640"/>
      <c r="P278" s="3640"/>
      <c r="Q278" s="3640"/>
      <c r="R278" s="3640"/>
      <c r="S278" s="141"/>
      <c r="T278" s="3640"/>
      <c r="U278" s="3640"/>
      <c r="V278" s="3640"/>
      <c r="W278" s="3640"/>
      <c r="X278" s="3640"/>
    </row>
    <row r="279" spans="8:24" s="2" customFormat="1" ht="18" customHeight="1">
      <c r="H279" s="3640"/>
      <c r="I279" s="3640"/>
      <c r="J279" s="3640"/>
      <c r="K279" s="3640"/>
      <c r="L279" s="3640"/>
      <c r="M279" s="141"/>
      <c r="N279" s="3640"/>
      <c r="O279" s="3640"/>
      <c r="P279" s="3640"/>
      <c r="Q279" s="3640"/>
      <c r="R279" s="3640"/>
      <c r="S279" s="141"/>
      <c r="T279" s="3640"/>
      <c r="U279" s="3640"/>
      <c r="V279" s="3640"/>
      <c r="W279" s="3640"/>
      <c r="X279" s="3640"/>
    </row>
    <row r="280" spans="8:24" s="2" customFormat="1" ht="18" customHeight="1">
      <c r="H280" s="3640"/>
      <c r="I280" s="3640"/>
      <c r="J280" s="3640"/>
      <c r="K280" s="3640"/>
      <c r="L280" s="3640"/>
      <c r="M280" s="141"/>
      <c r="N280" s="3640"/>
      <c r="O280" s="3640"/>
      <c r="P280" s="3640"/>
      <c r="Q280" s="3640"/>
      <c r="R280" s="3640"/>
      <c r="S280" s="141"/>
      <c r="T280" s="3640"/>
      <c r="U280" s="3640"/>
      <c r="V280" s="3640"/>
      <c r="W280" s="3640"/>
      <c r="X280" s="3640"/>
    </row>
    <row r="281" spans="8:24" s="2" customFormat="1" ht="18" customHeight="1">
      <c r="H281" s="3640"/>
      <c r="I281" s="3640"/>
      <c r="J281" s="3640"/>
      <c r="K281" s="3640"/>
      <c r="L281" s="3640"/>
      <c r="M281" s="141"/>
      <c r="N281" s="3640"/>
      <c r="O281" s="3640"/>
      <c r="P281" s="3640"/>
      <c r="Q281" s="3640"/>
      <c r="R281" s="3640"/>
      <c r="S281" s="141"/>
      <c r="T281" s="3640"/>
      <c r="U281" s="3640"/>
      <c r="V281" s="3640"/>
      <c r="W281" s="3640"/>
      <c r="X281" s="3640"/>
    </row>
    <row r="282" spans="8:24" s="2" customFormat="1" ht="18" customHeight="1">
      <c r="H282" s="3650" t="s">
        <v>469</v>
      </c>
      <c r="I282" s="3650"/>
      <c r="J282" s="3650"/>
      <c r="K282" s="3650"/>
      <c r="L282" s="3650"/>
      <c r="M282" s="141"/>
      <c r="N282" s="3650" t="s">
        <v>469</v>
      </c>
      <c r="O282" s="3650"/>
      <c r="P282" s="3650"/>
      <c r="Q282" s="3650"/>
      <c r="R282" s="3650"/>
      <c r="S282" s="141"/>
      <c r="T282" s="3650" t="s">
        <v>469</v>
      </c>
      <c r="U282" s="3650"/>
      <c r="V282" s="3650"/>
      <c r="W282" s="3650"/>
      <c r="X282" s="3650"/>
    </row>
    <row r="283" spans="8:24" s="2" customFormat="1" ht="18" customHeight="1">
      <c r="H283" s="3650"/>
      <c r="I283" s="3650"/>
      <c r="J283" s="3650"/>
      <c r="K283" s="3650"/>
      <c r="L283" s="3650"/>
      <c r="M283" s="140"/>
      <c r="N283" s="3650"/>
      <c r="O283" s="3650"/>
      <c r="P283" s="3650"/>
      <c r="Q283" s="3650"/>
      <c r="R283" s="3650"/>
      <c r="S283" s="140"/>
      <c r="T283" s="3650"/>
      <c r="U283" s="3650"/>
      <c r="V283" s="3650"/>
      <c r="W283" s="3650"/>
      <c r="X283" s="3650"/>
    </row>
    <row r="284" spans="8:24" s="2" customFormat="1" ht="27.35" customHeight="1">
      <c r="H284" s="141"/>
      <c r="I284" s="141"/>
      <c r="J284" s="141"/>
      <c r="K284" s="141"/>
      <c r="L284" s="141"/>
      <c r="M284" s="141"/>
      <c r="N284" s="141"/>
      <c r="O284" s="141"/>
      <c r="P284" s="141"/>
      <c r="Q284" s="141"/>
      <c r="R284" s="141"/>
      <c r="S284" s="141"/>
      <c r="T284" s="141"/>
      <c r="U284" s="141"/>
      <c r="V284" s="141"/>
      <c r="W284" s="141"/>
      <c r="X284" s="141"/>
    </row>
    <row r="285" spans="8:24" s="2" customFormat="1" ht="18" customHeight="1">
      <c r="H285" s="3544" t="str">
        <f>CONCATENATE("Report Prepared By: ",Investor_Name,"  |  ",Company_Name,"  |  ",Company_Email,"  |  ",Company_Email)</f>
        <v xml:space="preserve">Report Prepared By:   |    |    |  </v>
      </c>
      <c r="I285" s="3544"/>
      <c r="J285" s="3544"/>
      <c r="K285" s="3544"/>
      <c r="L285" s="3544"/>
      <c r="M285" s="3544"/>
      <c r="N285" s="3544"/>
      <c r="O285" s="3544"/>
      <c r="P285" s="3544"/>
      <c r="Q285" s="3544"/>
      <c r="R285" s="3544"/>
      <c r="S285" s="3544"/>
      <c r="T285" s="3544"/>
      <c r="U285" s="3544"/>
      <c r="V285" s="3544"/>
      <c r="W285" s="3561" t="s">
        <v>1612</v>
      </c>
      <c r="X285" s="3561"/>
    </row>
    <row r="286" spans="8:24" ht="14.85" customHeight="1">
      <c r="H286" s="3433" t="s">
        <v>1607</v>
      </c>
      <c r="I286" s="3433"/>
      <c r="J286" s="3433"/>
      <c r="K286" s="3433"/>
      <c r="L286" s="3433"/>
      <c r="M286" s="3433"/>
      <c r="N286" s="3433"/>
      <c r="O286" s="3433"/>
      <c r="P286" s="3433"/>
      <c r="Q286" s="3433"/>
      <c r="R286" s="3433"/>
      <c r="S286" s="3433"/>
      <c r="T286" s="3433"/>
      <c r="U286" s="3433"/>
      <c r="V286" s="3433"/>
      <c r="W286" s="3433"/>
      <c r="X286" s="3433"/>
    </row>
    <row r="287" spans="8:24" ht="14.85" customHeight="1">
      <c r="H287" s="3433"/>
      <c r="I287" s="3433"/>
      <c r="J287" s="3433"/>
      <c r="K287" s="3433"/>
      <c r="L287" s="3433"/>
      <c r="M287" s="3433"/>
      <c r="N287" s="3433"/>
      <c r="O287" s="3433"/>
      <c r="P287" s="3433"/>
      <c r="Q287" s="3433"/>
      <c r="R287" s="3433"/>
      <c r="S287" s="3433"/>
      <c r="T287" s="3433"/>
      <c r="U287" s="3433"/>
      <c r="V287" s="3433"/>
      <c r="W287" s="3433"/>
      <c r="X287" s="3433"/>
    </row>
    <row r="288" spans="8:24" ht="14.85" customHeight="1"/>
    <row r="289" ht="14.85" customHeight="1"/>
    <row r="290" ht="14.85" customHeight="1"/>
    <row r="291" ht="14.85" customHeight="1"/>
    <row r="292" ht="14.85" customHeight="1"/>
    <row r="293" ht="14.85" customHeight="1"/>
    <row r="294" ht="14.85" customHeight="1"/>
    <row r="295" ht="14.85" customHeight="1"/>
    <row r="296" ht="14.85" customHeight="1"/>
    <row r="297" ht="14.85" customHeight="1"/>
    <row r="298" ht="14.85" customHeight="1"/>
    <row r="299" ht="14.85" customHeight="1"/>
    <row r="300" ht="14.85" customHeight="1"/>
    <row r="301" ht="14.85" customHeight="1"/>
    <row r="302" ht="14.85" customHeight="1"/>
    <row r="303" ht="14.85" customHeight="1"/>
    <row r="304" ht="14.85" customHeight="1"/>
    <row r="305" ht="14.85" customHeight="1"/>
    <row r="306" ht="14.85" customHeight="1"/>
    <row r="307" ht="14.85" customHeight="1"/>
    <row r="308" ht="14.85" customHeight="1"/>
    <row r="309" ht="14.85" customHeight="1"/>
    <row r="310" ht="14.85" customHeight="1"/>
    <row r="311" ht="14.85" customHeight="1"/>
    <row r="312" ht="14.85" customHeight="1"/>
    <row r="313" ht="14.85" customHeight="1"/>
  </sheetData>
  <sheetProtection formatCells="0" formatColumns="0" formatRows="0" insertColumns="0" insertHyperlinks="0" deleteColumns="0" deleteRows="0" selectLockedCells="1" sort="0" autoFilter="0"/>
  <mergeCells count="349">
    <mergeCell ref="H258:L259"/>
    <mergeCell ref="N258:R259"/>
    <mergeCell ref="T258:X259"/>
    <mergeCell ref="H261:L269"/>
    <mergeCell ref="N261:R269"/>
    <mergeCell ref="T261:X269"/>
    <mergeCell ref="H246:L247"/>
    <mergeCell ref="N246:R247"/>
    <mergeCell ref="T246:X247"/>
    <mergeCell ref="H249:L257"/>
    <mergeCell ref="N249:R257"/>
    <mergeCell ref="T249:X257"/>
    <mergeCell ref="H282:L283"/>
    <mergeCell ref="N282:R283"/>
    <mergeCell ref="T282:X283"/>
    <mergeCell ref="H285:V285"/>
    <mergeCell ref="W285:X285"/>
    <mergeCell ref="H286:X287"/>
    <mergeCell ref="H270:L271"/>
    <mergeCell ref="N270:R271"/>
    <mergeCell ref="T270:X271"/>
    <mergeCell ref="H273:L281"/>
    <mergeCell ref="N273:R281"/>
    <mergeCell ref="T273:X281"/>
    <mergeCell ref="H233:V233"/>
    <mergeCell ref="W233:X233"/>
    <mergeCell ref="H234:X234"/>
    <mergeCell ref="H237:L245"/>
    <mergeCell ref="N237:R245"/>
    <mergeCell ref="T237:X245"/>
    <mergeCell ref="H221:L229"/>
    <mergeCell ref="N221:R229"/>
    <mergeCell ref="T221:X229"/>
    <mergeCell ref="H230:L231"/>
    <mergeCell ref="N230:R231"/>
    <mergeCell ref="T230:X231"/>
    <mergeCell ref="H209:L217"/>
    <mergeCell ref="N209:R217"/>
    <mergeCell ref="T209:X217"/>
    <mergeCell ref="H218:L219"/>
    <mergeCell ref="N218:R219"/>
    <mergeCell ref="T218:X219"/>
    <mergeCell ref="H197:L205"/>
    <mergeCell ref="N197:R205"/>
    <mergeCell ref="T197:X205"/>
    <mergeCell ref="H206:L207"/>
    <mergeCell ref="N206:R207"/>
    <mergeCell ref="T206:X207"/>
    <mergeCell ref="H182:X182"/>
    <mergeCell ref="H185:L193"/>
    <mergeCell ref="N185:R193"/>
    <mergeCell ref="T185:X193"/>
    <mergeCell ref="H194:L195"/>
    <mergeCell ref="N194:R195"/>
    <mergeCell ref="T194:X195"/>
    <mergeCell ref="V175:X175"/>
    <mergeCell ref="H177:Q177"/>
    <mergeCell ref="R177:U177"/>
    <mergeCell ref="H178:Q178"/>
    <mergeCell ref="R178:U178"/>
    <mergeCell ref="H181:V181"/>
    <mergeCell ref="W181:X181"/>
    <mergeCell ref="H173:Q173"/>
    <mergeCell ref="R173:U173"/>
    <mergeCell ref="H174:Q174"/>
    <mergeCell ref="R174:U174"/>
    <mergeCell ref="H175:Q175"/>
    <mergeCell ref="R175:U175"/>
    <mergeCell ref="H170:Q170"/>
    <mergeCell ref="R170:U170"/>
    <mergeCell ref="H171:Q171"/>
    <mergeCell ref="R171:U171"/>
    <mergeCell ref="H172:Q172"/>
    <mergeCell ref="R172:U172"/>
    <mergeCell ref="H167:Q167"/>
    <mergeCell ref="R167:U167"/>
    <mergeCell ref="H168:Q168"/>
    <mergeCell ref="R168:U168"/>
    <mergeCell ref="H169:Q169"/>
    <mergeCell ref="R169:U169"/>
    <mergeCell ref="H164:Q164"/>
    <mergeCell ref="R164:U164"/>
    <mergeCell ref="H165:Q165"/>
    <mergeCell ref="R165:U165"/>
    <mergeCell ref="H166:Q166"/>
    <mergeCell ref="R166:U166"/>
    <mergeCell ref="H161:Q161"/>
    <mergeCell ref="R161:U161"/>
    <mergeCell ref="V161:X161"/>
    <mergeCell ref="H162:Q162"/>
    <mergeCell ref="R162:U162"/>
    <mergeCell ref="H163:Q163"/>
    <mergeCell ref="R163:U163"/>
    <mergeCell ref="H159:Q159"/>
    <mergeCell ref="R159:U159"/>
    <mergeCell ref="V159:X159"/>
    <mergeCell ref="H160:Q160"/>
    <mergeCell ref="R160:U160"/>
    <mergeCell ref="V160:X160"/>
    <mergeCell ref="V162:X162"/>
    <mergeCell ref="V163:X163"/>
    <mergeCell ref="H157:Q157"/>
    <mergeCell ref="R157:U157"/>
    <mergeCell ref="V157:X157"/>
    <mergeCell ref="H158:Q158"/>
    <mergeCell ref="R158:U158"/>
    <mergeCell ref="V158:X158"/>
    <mergeCell ref="H155:Q155"/>
    <mergeCell ref="R155:U155"/>
    <mergeCell ref="V155:X155"/>
    <mergeCell ref="H156:Q156"/>
    <mergeCell ref="R156:U156"/>
    <mergeCell ref="V156:X156"/>
    <mergeCell ref="H153:Q153"/>
    <mergeCell ref="R153:U153"/>
    <mergeCell ref="V153:X153"/>
    <mergeCell ref="H154:Q154"/>
    <mergeCell ref="R154:U154"/>
    <mergeCell ref="V154:X154"/>
    <mergeCell ref="H151:Q151"/>
    <mergeCell ref="R151:U151"/>
    <mergeCell ref="V151:X151"/>
    <mergeCell ref="H152:Q152"/>
    <mergeCell ref="R152:U152"/>
    <mergeCell ref="V152:X152"/>
    <mergeCell ref="H140:U140"/>
    <mergeCell ref="W140:X140"/>
    <mergeCell ref="H141:X141"/>
    <mergeCell ref="H145:X148"/>
    <mergeCell ref="H150:Q150"/>
    <mergeCell ref="R150:U150"/>
    <mergeCell ref="V150:X150"/>
    <mergeCell ref="H134:L134"/>
    <mergeCell ref="M134:P134"/>
    <mergeCell ref="Q134:T134"/>
    <mergeCell ref="U134:X134"/>
    <mergeCell ref="H135:J135"/>
    <mergeCell ref="K135:L135"/>
    <mergeCell ref="M135:P135"/>
    <mergeCell ref="Q135:T135"/>
    <mergeCell ref="U135:X135"/>
    <mergeCell ref="U125:W128"/>
    <mergeCell ref="X125:X128"/>
    <mergeCell ref="H129:J133"/>
    <mergeCell ref="K129:L133"/>
    <mergeCell ref="M129:O133"/>
    <mergeCell ref="P129:P133"/>
    <mergeCell ref="Q129:S133"/>
    <mergeCell ref="T129:T133"/>
    <mergeCell ref="U129:W133"/>
    <mergeCell ref="X129:X133"/>
    <mergeCell ref="H125:J128"/>
    <mergeCell ref="K125:L128"/>
    <mergeCell ref="M125:O128"/>
    <mergeCell ref="P125:P128"/>
    <mergeCell ref="Q125:S128"/>
    <mergeCell ref="T125:T128"/>
    <mergeCell ref="H123:J123"/>
    <mergeCell ref="K123:L123"/>
    <mergeCell ref="M123:O123"/>
    <mergeCell ref="Q123:S123"/>
    <mergeCell ref="U123:W123"/>
    <mergeCell ref="H124:J124"/>
    <mergeCell ref="K124:L124"/>
    <mergeCell ref="M124:O124"/>
    <mergeCell ref="Q124:S124"/>
    <mergeCell ref="U124:W124"/>
    <mergeCell ref="H121:J121"/>
    <mergeCell ref="K121:L121"/>
    <mergeCell ref="M121:O121"/>
    <mergeCell ref="Q121:S121"/>
    <mergeCell ref="U121:W121"/>
    <mergeCell ref="H122:J122"/>
    <mergeCell ref="K122:L122"/>
    <mergeCell ref="M122:O122"/>
    <mergeCell ref="Q122:S122"/>
    <mergeCell ref="U122:W122"/>
    <mergeCell ref="H119:J119"/>
    <mergeCell ref="K119:L119"/>
    <mergeCell ref="M119:O119"/>
    <mergeCell ref="Q119:S119"/>
    <mergeCell ref="U119:W119"/>
    <mergeCell ref="H120:J120"/>
    <mergeCell ref="K120:L120"/>
    <mergeCell ref="M120:O120"/>
    <mergeCell ref="Q120:S120"/>
    <mergeCell ref="U120:W120"/>
    <mergeCell ref="H117:J117"/>
    <mergeCell ref="K117:L117"/>
    <mergeCell ref="M117:O117"/>
    <mergeCell ref="Q117:S117"/>
    <mergeCell ref="U117:W117"/>
    <mergeCell ref="H118:J118"/>
    <mergeCell ref="K118:L118"/>
    <mergeCell ref="M118:O118"/>
    <mergeCell ref="Q118:S118"/>
    <mergeCell ref="U118:W118"/>
    <mergeCell ref="H115:J115"/>
    <mergeCell ref="K115:L115"/>
    <mergeCell ref="M115:O115"/>
    <mergeCell ref="Q115:S115"/>
    <mergeCell ref="U115:W115"/>
    <mergeCell ref="H116:J116"/>
    <mergeCell ref="K116:L116"/>
    <mergeCell ref="M116:O116"/>
    <mergeCell ref="Q116:S116"/>
    <mergeCell ref="U116:W116"/>
    <mergeCell ref="H113:J113"/>
    <mergeCell ref="K113:L113"/>
    <mergeCell ref="M113:P113"/>
    <mergeCell ref="Q113:T113"/>
    <mergeCell ref="U113:X113"/>
    <mergeCell ref="H114:X114"/>
    <mergeCell ref="H111:J111"/>
    <mergeCell ref="K111:L111"/>
    <mergeCell ref="M111:P111"/>
    <mergeCell ref="Q111:T111"/>
    <mergeCell ref="U111:X111"/>
    <mergeCell ref="H112:J112"/>
    <mergeCell ref="K112:L112"/>
    <mergeCell ref="M112:P112"/>
    <mergeCell ref="Q112:T112"/>
    <mergeCell ref="U112:X112"/>
    <mergeCell ref="H109:J109"/>
    <mergeCell ref="K109:L109"/>
    <mergeCell ref="M109:P109"/>
    <mergeCell ref="Q109:T109"/>
    <mergeCell ref="U109:X109"/>
    <mergeCell ref="H110:J110"/>
    <mergeCell ref="K110:L110"/>
    <mergeCell ref="M110:P110"/>
    <mergeCell ref="Q110:T110"/>
    <mergeCell ref="U110:X110"/>
    <mergeCell ref="H106:J107"/>
    <mergeCell ref="K106:L107"/>
    <mergeCell ref="M106:P107"/>
    <mergeCell ref="Q106:T107"/>
    <mergeCell ref="U106:X107"/>
    <mergeCell ref="H108:J108"/>
    <mergeCell ref="K108:L108"/>
    <mergeCell ref="M108:P108"/>
    <mergeCell ref="Q108:T108"/>
    <mergeCell ref="U108:X108"/>
    <mergeCell ref="S90:X90"/>
    <mergeCell ref="S91:X92"/>
    <mergeCell ref="S88:V88"/>
    <mergeCell ref="W88:X88"/>
    <mergeCell ref="H100:X100"/>
    <mergeCell ref="H104:X104"/>
    <mergeCell ref="H105:J105"/>
    <mergeCell ref="K105:L105"/>
    <mergeCell ref="M105:P105"/>
    <mergeCell ref="Q105:T105"/>
    <mergeCell ref="U105:X105"/>
    <mergeCell ref="S93:V93"/>
    <mergeCell ref="W93:X93"/>
    <mergeCell ref="H99:V99"/>
    <mergeCell ref="W99:X99"/>
    <mergeCell ref="H93:N93"/>
    <mergeCell ref="O93:Q93"/>
    <mergeCell ref="H94:N94"/>
    <mergeCell ref="O94:Q94"/>
    <mergeCell ref="H91:Q91"/>
    <mergeCell ref="H95:N95"/>
    <mergeCell ref="O95:Q95"/>
    <mergeCell ref="S71:X72"/>
    <mergeCell ref="S73:V73"/>
    <mergeCell ref="W73:X73"/>
    <mergeCell ref="S68:V68"/>
    <mergeCell ref="W68:X68"/>
    <mergeCell ref="H88:N88"/>
    <mergeCell ref="O88:Q88"/>
    <mergeCell ref="S85:X85"/>
    <mergeCell ref="S86:X87"/>
    <mergeCell ref="S81:X82"/>
    <mergeCell ref="S83:V83"/>
    <mergeCell ref="W83:X83"/>
    <mergeCell ref="S78:V78"/>
    <mergeCell ref="W78:X78"/>
    <mergeCell ref="S80:X80"/>
    <mergeCell ref="I54:O54"/>
    <mergeCell ref="H58:V58"/>
    <mergeCell ref="W58:X58"/>
    <mergeCell ref="H59:X59"/>
    <mergeCell ref="H79:Q79"/>
    <mergeCell ref="S63:X63"/>
    <mergeCell ref="I27:W27"/>
    <mergeCell ref="I30:T31"/>
    <mergeCell ref="I34:W48"/>
    <mergeCell ref="I51:O51"/>
    <mergeCell ref="I52:O52"/>
    <mergeCell ref="I53:O53"/>
    <mergeCell ref="H72:Q72"/>
    <mergeCell ref="H73:L73"/>
    <mergeCell ref="H74:L74"/>
    <mergeCell ref="H75:L75"/>
    <mergeCell ref="M73:Q73"/>
    <mergeCell ref="M74:Q74"/>
    <mergeCell ref="M75:Q75"/>
    <mergeCell ref="S70:X70"/>
    <mergeCell ref="S65:X65"/>
    <mergeCell ref="S66:X67"/>
    <mergeCell ref="S75:X75"/>
    <mergeCell ref="S76:X77"/>
    <mergeCell ref="AM3:AM4"/>
    <mergeCell ref="I6:W9"/>
    <mergeCell ref="P10:W11"/>
    <mergeCell ref="H13:X13"/>
    <mergeCell ref="I22:W24"/>
    <mergeCell ref="I25:W26"/>
    <mergeCell ref="C2:G4"/>
    <mergeCell ref="AH3:AH4"/>
    <mergeCell ref="AI3:AI4"/>
    <mergeCell ref="AJ3:AJ4"/>
    <mergeCell ref="AK3:AK4"/>
    <mergeCell ref="AL3:AL4"/>
    <mergeCell ref="V164:X164"/>
    <mergeCell ref="V165:X165"/>
    <mergeCell ref="V166:X166"/>
    <mergeCell ref="V167:X167"/>
    <mergeCell ref="H81:N81"/>
    <mergeCell ref="O81:Q81"/>
    <mergeCell ref="H76:L76"/>
    <mergeCell ref="M76:Q76"/>
    <mergeCell ref="H77:L77"/>
    <mergeCell ref="M77:Q77"/>
    <mergeCell ref="H84:N84"/>
    <mergeCell ref="O84:Q84"/>
    <mergeCell ref="H80:N80"/>
    <mergeCell ref="O80:Q80"/>
    <mergeCell ref="H83:N83"/>
    <mergeCell ref="O83:Q83"/>
    <mergeCell ref="H86:N86"/>
    <mergeCell ref="O86:Q86"/>
    <mergeCell ref="H87:N87"/>
    <mergeCell ref="O87:Q87"/>
    <mergeCell ref="H85:N85"/>
    <mergeCell ref="O85:Q85"/>
    <mergeCell ref="H89:N89"/>
    <mergeCell ref="O89:Q89"/>
    <mergeCell ref="V168:X168"/>
    <mergeCell ref="V169:X169"/>
    <mergeCell ref="V170:X170"/>
    <mergeCell ref="V171:X171"/>
    <mergeCell ref="V172:X172"/>
    <mergeCell ref="V173:X173"/>
    <mergeCell ref="V174:X174"/>
    <mergeCell ref="V177:X177"/>
    <mergeCell ref="V178:X178"/>
  </mergeCells>
  <conditionalFormatting sqref="P116:P133">
    <cfRule type="cellIs" dxfId="60" priority="5" operator="lessThan">
      <formula>0</formula>
    </cfRule>
    <cfRule type="cellIs" dxfId="59" priority="6" operator="greaterThan">
      <formula>0</formula>
    </cfRule>
  </conditionalFormatting>
  <conditionalFormatting sqref="T116:T133">
    <cfRule type="cellIs" dxfId="58" priority="3" operator="lessThan">
      <formula>0</formula>
    </cfRule>
    <cfRule type="cellIs" dxfId="57" priority="4" operator="greaterThan">
      <formula>0</formula>
    </cfRule>
  </conditionalFormatting>
  <conditionalFormatting sqref="X116:X133">
    <cfRule type="cellIs" dxfId="56" priority="1" operator="lessThan">
      <formula>0</formula>
    </cfRule>
    <cfRule type="cellIs" dxfId="55" priority="2" operator="greaterThan">
      <formula>0</formula>
    </cfRule>
  </conditionalFormatting>
  <printOptions horizontalCentered="1" verticalCentered="1"/>
  <pageMargins left="0.25" right="0.25" top="0.5" bottom="0.5" header="0.3" footer="0.3"/>
  <pageSetup scale="70" fitToHeight="3" orientation="portrait" r:id="rId1"/>
  <headerFooter scaleWithDoc="0"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wsSOW_REPORT" filterMode="1">
    <tabColor theme="4" tint="0.79998168889431442"/>
    <pageSetUpPr fitToPage="1"/>
  </sheetPr>
  <dimension ref="B1:Z1416"/>
  <sheetViews>
    <sheetView showGridLines="0" showRowColHeaders="0" zoomScaleNormal="100" workbookViewId="0">
      <pane ySplit="19" topLeftCell="A20" activePane="bottomLeft" state="frozen"/>
      <selection pane="bottomLeft" activeCell="T18" sqref="T18:U18"/>
    </sheetView>
  </sheetViews>
  <sheetFormatPr defaultColWidth="8.8984375" defaultRowHeight="15"/>
  <cols>
    <col min="1" max="1" width="21.19921875" style="12" customWidth="1"/>
    <col min="2" max="2" width="17.19921875" style="12" customWidth="1"/>
    <col min="3" max="3" width="7.44921875" style="12" customWidth="1"/>
    <col min="4" max="4" width="3.19921875" style="194" customWidth="1"/>
    <col min="5" max="8" width="6.34765625" style="194" customWidth="1"/>
    <col min="9" max="9" width="3.19921875" style="194" customWidth="1"/>
    <col min="10" max="13" width="6.34765625" style="194" customWidth="1"/>
    <col min="14" max="14" width="3.19921875" style="195" customWidth="1"/>
    <col min="15" max="16" width="6.34765625" style="195" customWidth="1"/>
    <col min="17" max="22" width="6.34765625" style="196" customWidth="1"/>
    <col min="23" max="23" width="11.34765625" style="12" hidden="1" customWidth="1"/>
    <col min="24" max="25" width="11.19921875" style="12" hidden="1" customWidth="1"/>
    <col min="26" max="26" width="10" style="12" hidden="1" customWidth="1"/>
    <col min="27" max="27" width="5.34765625" style="12" customWidth="1"/>
    <col min="28" max="16384" width="8.8984375" style="12"/>
  </cols>
  <sheetData>
    <row r="1" spans="2:26" s="109" customFormat="1" ht="45" customHeight="1">
      <c r="D1" s="193"/>
      <c r="E1" s="193"/>
      <c r="F1" s="193"/>
      <c r="G1" s="193"/>
      <c r="H1" s="193"/>
      <c r="I1" s="193"/>
      <c r="J1" s="193"/>
      <c r="K1" s="193"/>
      <c r="L1" s="193"/>
      <c r="M1" s="193"/>
      <c r="N1" s="193"/>
      <c r="O1" s="193"/>
      <c r="P1" s="193"/>
      <c r="Q1" s="193"/>
      <c r="R1" s="193"/>
      <c r="S1" s="193"/>
      <c r="T1" s="193"/>
      <c r="U1" s="193"/>
      <c r="V1" s="193"/>
    </row>
    <row r="2" spans="2:26" s="432" customFormat="1" ht="43.2" customHeight="1">
      <c r="B2" s="4297" t="s">
        <v>965</v>
      </c>
      <c r="C2" s="4297"/>
      <c r="D2" s="711"/>
      <c r="E2" s="711"/>
      <c r="F2" s="711"/>
      <c r="G2" s="450"/>
      <c r="H2" s="450"/>
      <c r="I2" s="450"/>
      <c r="J2" s="450"/>
      <c r="K2" s="450"/>
      <c r="L2" s="450"/>
      <c r="M2" s="450"/>
      <c r="N2" s="450"/>
      <c r="O2" s="450"/>
      <c r="P2" s="450"/>
      <c r="Q2" s="450"/>
      <c r="R2" s="450"/>
      <c r="S2" s="450"/>
      <c r="T2" s="450"/>
      <c r="U2" s="450"/>
      <c r="V2" s="450"/>
      <c r="Z2" s="729" t="s">
        <v>1479</v>
      </c>
    </row>
    <row r="3" spans="2:26" ht="12.6" customHeight="1" thickBot="1">
      <c r="C3" s="6"/>
      <c r="D3" s="198"/>
      <c r="E3" s="198"/>
      <c r="F3" s="198"/>
      <c r="G3" s="198"/>
      <c r="H3" s="198"/>
      <c r="I3" s="198"/>
      <c r="J3" s="198"/>
      <c r="K3" s="198"/>
      <c r="L3" s="198"/>
      <c r="M3" s="198"/>
      <c r="N3" s="198"/>
      <c r="O3" s="198"/>
      <c r="P3" s="198"/>
      <c r="Q3" s="199"/>
      <c r="R3" s="199"/>
      <c r="S3" s="199"/>
      <c r="T3" s="199"/>
      <c r="U3" s="199"/>
      <c r="V3" s="199"/>
    </row>
    <row r="4" spans="2:26" ht="17.7" hidden="1">
      <c r="C4" s="6"/>
      <c r="D4" s="198"/>
      <c r="E4" s="198"/>
      <c r="F4" s="198"/>
      <c r="G4" s="198"/>
      <c r="H4" s="198"/>
      <c r="I4" s="198"/>
      <c r="J4" s="198"/>
      <c r="K4" s="198"/>
      <c r="L4" s="198"/>
      <c r="M4" s="198"/>
      <c r="N4" s="198"/>
      <c r="O4" s="198"/>
      <c r="P4" s="198"/>
      <c r="Q4" s="199"/>
      <c r="R4" s="199"/>
      <c r="S4" s="199"/>
      <c r="T4" s="199"/>
      <c r="U4" s="199"/>
      <c r="V4" s="199"/>
    </row>
    <row r="5" spans="2:26" ht="17.7" hidden="1">
      <c r="C5" s="6"/>
      <c r="D5" s="198"/>
      <c r="E5" s="198"/>
      <c r="F5" s="198"/>
      <c r="G5" s="198"/>
      <c r="H5" s="198"/>
      <c r="I5" s="198"/>
      <c r="J5" s="198"/>
      <c r="K5" s="198"/>
      <c r="L5" s="198"/>
      <c r="M5" s="198"/>
      <c r="N5" s="198"/>
      <c r="O5" s="198"/>
      <c r="P5" s="198"/>
      <c r="Q5" s="199"/>
      <c r="R5" s="199"/>
      <c r="S5" s="199"/>
      <c r="T5" s="199"/>
      <c r="U5" s="199"/>
      <c r="V5" s="199"/>
    </row>
    <row r="6" spans="2:26" ht="17.7" hidden="1">
      <c r="C6" s="6"/>
      <c r="D6" s="198"/>
      <c r="E6" s="198"/>
      <c r="F6" s="198"/>
      <c r="G6" s="198"/>
      <c r="H6" s="198"/>
      <c r="I6" s="198"/>
      <c r="J6" s="198"/>
      <c r="K6" s="198"/>
      <c r="L6" s="198"/>
      <c r="M6" s="198"/>
      <c r="N6" s="198"/>
      <c r="O6" s="198"/>
      <c r="P6" s="198"/>
      <c r="Q6" s="199"/>
      <c r="R6" s="199"/>
      <c r="S6" s="199"/>
      <c r="T6" s="199"/>
      <c r="U6" s="199"/>
      <c r="V6" s="199"/>
    </row>
    <row r="7" spans="2:26" ht="17.7" hidden="1">
      <c r="C7" s="6"/>
      <c r="D7" s="198"/>
      <c r="E7" s="198"/>
      <c r="F7" s="198"/>
      <c r="G7" s="198"/>
      <c r="H7" s="198"/>
      <c r="I7" s="198"/>
      <c r="J7" s="198"/>
      <c r="K7" s="198"/>
      <c r="L7" s="198"/>
      <c r="M7" s="198"/>
      <c r="N7" s="198"/>
      <c r="O7" s="198"/>
      <c r="P7" s="198"/>
      <c r="Q7" s="199"/>
      <c r="R7" s="199"/>
      <c r="S7" s="199"/>
      <c r="T7" s="199"/>
      <c r="U7" s="199"/>
      <c r="V7" s="199"/>
    </row>
    <row r="8" spans="2:26" ht="17.7" hidden="1">
      <c r="C8" s="6"/>
      <c r="D8" s="198"/>
      <c r="E8" s="198"/>
      <c r="F8" s="198"/>
      <c r="G8" s="198"/>
      <c r="H8" s="198"/>
      <c r="I8" s="198"/>
      <c r="J8" s="198"/>
      <c r="K8" s="198"/>
      <c r="L8" s="198"/>
      <c r="M8" s="198"/>
      <c r="N8" s="198"/>
      <c r="O8" s="198"/>
      <c r="P8" s="198"/>
      <c r="Q8" s="199"/>
      <c r="R8" s="199"/>
      <c r="S8" s="199"/>
      <c r="T8" s="199"/>
      <c r="U8" s="199"/>
      <c r="V8" s="199"/>
    </row>
    <row r="9" spans="2:26" ht="17.7" hidden="1">
      <c r="C9" s="6"/>
      <c r="D9" s="198"/>
      <c r="E9" s="198"/>
      <c r="F9" s="198"/>
      <c r="G9" s="198"/>
      <c r="H9" s="198"/>
      <c r="I9" s="198"/>
      <c r="J9" s="198"/>
      <c r="K9" s="198"/>
      <c r="L9" s="198"/>
      <c r="M9" s="198"/>
      <c r="N9" s="198"/>
      <c r="O9" s="198"/>
      <c r="P9" s="198"/>
      <c r="Q9" s="199"/>
      <c r="R9" s="199"/>
      <c r="S9" s="199"/>
      <c r="T9" s="199"/>
      <c r="U9" s="199"/>
      <c r="V9" s="199"/>
    </row>
    <row r="10" spans="2:26" ht="18" hidden="1" thickBot="1">
      <c r="C10" s="6"/>
      <c r="D10" s="198"/>
      <c r="E10" s="198"/>
      <c r="F10" s="198"/>
      <c r="G10" s="198"/>
      <c r="H10" s="198"/>
      <c r="I10" s="198"/>
      <c r="J10" s="198"/>
      <c r="K10" s="198"/>
      <c r="L10" s="198"/>
      <c r="M10" s="198"/>
      <c r="N10" s="198"/>
      <c r="O10" s="198"/>
      <c r="P10" s="198"/>
      <c r="Q10" s="199"/>
      <c r="R10" s="199"/>
      <c r="S10" s="199"/>
      <c r="T10" s="199"/>
      <c r="U10" s="199"/>
      <c r="V10" s="199"/>
    </row>
    <row r="11" spans="2:26" ht="21.6" customHeight="1">
      <c r="C11" s="6"/>
      <c r="D11" s="4260" t="s">
        <v>1376</v>
      </c>
      <c r="E11" s="4261"/>
      <c r="F11" s="4261"/>
      <c r="G11" s="4261"/>
      <c r="H11" s="4261"/>
      <c r="I11" s="4261"/>
      <c r="J11" s="4261"/>
      <c r="K11" s="4261"/>
      <c r="L11" s="4261"/>
      <c r="M11" s="4261"/>
      <c r="N11" s="4261"/>
      <c r="O11" s="4261"/>
      <c r="P11" s="4261"/>
      <c r="Q11" s="4261"/>
      <c r="R11" s="4262"/>
      <c r="S11" s="4257" t="s">
        <v>1389</v>
      </c>
      <c r="T11" s="4258"/>
      <c r="U11" s="4258"/>
      <c r="V11" s="4259"/>
    </row>
    <row r="12" spans="2:26" ht="18" customHeight="1">
      <c r="C12" s="6"/>
      <c r="D12" s="708"/>
      <c r="E12" s="4301" t="str">
        <f>T(Scope_1_Cell)</f>
        <v>GENERAL CONDITIONS</v>
      </c>
      <c r="F12" s="4302"/>
      <c r="G12" s="4302"/>
      <c r="H12" s="4307"/>
      <c r="I12" s="95"/>
      <c r="J12" s="4301" t="str">
        <f>T('2 REPAIR ESTIMATOR'!Y75:AE75)</f>
        <v>EXTERIOR DOORS &amp; WINDOWS</v>
      </c>
      <c r="K12" s="4302"/>
      <c r="L12" s="4302"/>
      <c r="M12" s="4307"/>
      <c r="N12" s="95"/>
      <c r="O12" s="4301" t="str">
        <f>T('2 REPAIR ESTIMATOR'!AJ75:AP75)</f>
        <v>HARDWOOD FLOORING</v>
      </c>
      <c r="P12" s="4302"/>
      <c r="Q12" s="4302"/>
      <c r="R12" s="4303"/>
      <c r="S12" s="718"/>
      <c r="T12" s="718"/>
      <c r="U12" s="718"/>
      <c r="V12" s="714"/>
    </row>
    <row r="13" spans="2:26" ht="18" customHeight="1">
      <c r="C13" s="6"/>
      <c r="D13" s="708" t="str">
        <f>T('2 REPAIR ESTIMATOR'!L76)</f>
        <v/>
      </c>
      <c r="E13" s="4301" t="str">
        <f>T('2 REPAIR ESTIMATOR'!N76)</f>
        <v>DEMOLITION</v>
      </c>
      <c r="F13" s="4302"/>
      <c r="G13" s="4302"/>
      <c r="H13" s="4307"/>
      <c r="I13" s="95" t="str">
        <f>T('2 REPAIR ESTIMATOR'!R76)</f>
        <v/>
      </c>
      <c r="J13" s="4301" t="str">
        <f>T('2 REPAIR ESTIMATOR'!Y76:AE76)</f>
        <v>GARAGE DOORS</v>
      </c>
      <c r="K13" s="4302"/>
      <c r="L13" s="4302"/>
      <c r="M13" s="4307"/>
      <c r="N13" s="95" t="str">
        <f>T('2 REPAIR ESTIMATOR'!V76)</f>
        <v/>
      </c>
      <c r="O13" s="4301" t="str">
        <f>T('2 REPAIR ESTIMATOR'!AJ76:AP76)</f>
        <v>TILING</v>
      </c>
      <c r="P13" s="4302"/>
      <c r="Q13" s="4302"/>
      <c r="R13" s="4303"/>
      <c r="S13" s="4255" t="s">
        <v>1390</v>
      </c>
      <c r="T13" s="4256"/>
      <c r="U13" s="4256"/>
      <c r="V13" s="4254"/>
    </row>
    <row r="14" spans="2:26" ht="18" customHeight="1">
      <c r="C14" s="6"/>
      <c r="D14" s="708" t="str">
        <f>T('2 REPAIR ESTIMATOR'!L77)</f>
        <v/>
      </c>
      <c r="E14" s="4301" t="str">
        <f>T('2 REPAIR ESTIMATOR'!N77)</f>
        <v>STRUCTURAL CONCRETE</v>
      </c>
      <c r="F14" s="4302"/>
      <c r="G14" s="4302"/>
      <c r="H14" s="4307"/>
      <c r="I14" s="95" t="str">
        <f>T('2 REPAIR ESTIMATOR'!R77)</f>
        <v/>
      </c>
      <c r="J14" s="4301" t="str">
        <f>T('2 REPAIR ESTIMATOR'!Y77:AE77)</f>
        <v>LANDSCAPING</v>
      </c>
      <c r="K14" s="4302"/>
      <c r="L14" s="4302"/>
      <c r="M14" s="4307"/>
      <c r="N14" s="95" t="str">
        <f>T('2 REPAIR ESTIMATOR'!V77)</f>
        <v/>
      </c>
      <c r="O14" s="4301" t="str">
        <f>T('2 REPAIR ESTIMATOR'!AJ77:AP77)</f>
        <v>PAINTING</v>
      </c>
      <c r="P14" s="4302"/>
      <c r="Q14" s="4302"/>
      <c r="R14" s="4303"/>
      <c r="S14" s="4255"/>
      <c r="T14" s="4256"/>
      <c r="U14" s="4256"/>
      <c r="V14" s="4254"/>
    </row>
    <row r="15" spans="2:26" ht="18" customHeight="1">
      <c r="C15" s="6"/>
      <c r="D15" s="708" t="str">
        <f>T('2 REPAIR ESTIMATOR'!L78)</f>
        <v/>
      </c>
      <c r="E15" s="4301" t="str">
        <f>T('2 REPAIR ESTIMATOR'!N78)</f>
        <v>CONCRETE &amp; FLATWORK</v>
      </c>
      <c r="F15" s="4302"/>
      <c r="G15" s="4302"/>
      <c r="H15" s="4307"/>
      <c r="I15" s="95" t="str">
        <f>T('2 REPAIR ESTIMATOR'!R78)</f>
        <v/>
      </c>
      <c r="J15" s="4301" t="str">
        <f>T('2 REPAIR ESTIMATOR'!Y78:AE78)</f>
        <v>MISC. EXTERIOR ITEMS</v>
      </c>
      <c r="K15" s="4302"/>
      <c r="L15" s="4302"/>
      <c r="M15" s="4307"/>
      <c r="N15" s="95" t="str">
        <f>T('2 REPAIR ESTIMATOR'!V78)</f>
        <v/>
      </c>
      <c r="O15" s="4301" t="str">
        <f>T('2 REPAIR ESTIMATOR'!AJ78:AP78)</f>
        <v>APPLIANCES</v>
      </c>
      <c r="P15" s="4302"/>
      <c r="Q15" s="4302"/>
      <c r="R15" s="4303"/>
      <c r="S15" s="4255" t="s">
        <v>1391</v>
      </c>
      <c r="T15" s="4256"/>
      <c r="U15" s="4256"/>
      <c r="V15" s="4254"/>
    </row>
    <row r="16" spans="2:26" ht="18" customHeight="1">
      <c r="C16" s="6"/>
      <c r="D16" s="708" t="str">
        <f>T('2 REPAIR ESTIMATOR'!L79)</f>
        <v/>
      </c>
      <c r="E16" s="4301" t="str">
        <f>T('2 REPAIR ESTIMATOR'!N79)</f>
        <v>MASONRY</v>
      </c>
      <c r="F16" s="4302"/>
      <c r="G16" s="4302"/>
      <c r="H16" s="4307"/>
      <c r="I16" s="95" t="str">
        <f>T('2 REPAIR ESTIMATOR'!R79)</f>
        <v/>
      </c>
      <c r="J16" s="4301" t="str">
        <f>T('2 REPAIR ESTIMATOR'!Y79:AE79)</f>
        <v>FRAMING &amp; DRYWALL</v>
      </c>
      <c r="K16" s="4302"/>
      <c r="L16" s="4302"/>
      <c r="M16" s="4307"/>
      <c r="N16" s="95" t="str">
        <f>T('2 REPAIR ESTIMATOR'!V79)</f>
        <v/>
      </c>
      <c r="O16" s="4301" t="str">
        <f>T('2 REPAIR ESTIMATOR'!AJ79:AP79)</f>
        <v>PLUMBING</v>
      </c>
      <c r="P16" s="4302"/>
      <c r="Q16" s="4302"/>
      <c r="R16" s="4303"/>
      <c r="S16" s="721"/>
      <c r="T16" s="722"/>
      <c r="U16" s="722"/>
      <c r="V16" s="4254"/>
    </row>
    <row r="17" spans="3:22" ht="18" customHeight="1">
      <c r="C17" s="6"/>
      <c r="D17" s="708" t="str">
        <f>T('2 REPAIR ESTIMATOR'!L80)</f>
        <v/>
      </c>
      <c r="E17" s="4301" t="str">
        <f>T('2 REPAIR ESTIMATOR'!N80)</f>
        <v>SIDING</v>
      </c>
      <c r="F17" s="4302"/>
      <c r="G17" s="4302"/>
      <c r="H17" s="4307"/>
      <c r="I17" s="95" t="str">
        <f>T('2 REPAIR ESTIMATOR'!R80)</f>
        <v/>
      </c>
      <c r="J17" s="4301" t="str">
        <f>T('2 REPAIR ESTIMATOR'!Y80:AE80)</f>
        <v>CABINETS &amp; COUNTERTOPS</v>
      </c>
      <c r="K17" s="4302"/>
      <c r="L17" s="4302"/>
      <c r="M17" s="4307"/>
      <c r="N17" s="95" t="str">
        <f>T('2 REPAIR ESTIMATOR'!V80)</f>
        <v/>
      </c>
      <c r="O17" s="4301" t="str">
        <f>T('2 REPAIR ESTIMATOR'!AJ80:AP80)</f>
        <v>HVAC</v>
      </c>
      <c r="P17" s="4302"/>
      <c r="Q17" s="4302"/>
      <c r="R17" s="4303"/>
      <c r="S17" s="718"/>
      <c r="T17" s="4294" t="s">
        <v>1392</v>
      </c>
      <c r="U17" s="4294"/>
      <c r="V17" s="714"/>
    </row>
    <row r="18" spans="3:22" ht="18" customHeight="1">
      <c r="C18" s="6"/>
      <c r="D18" s="708" t="str">
        <f>T('2 REPAIR ESTIMATOR'!L81)</f>
        <v/>
      </c>
      <c r="E18" s="4301" t="str">
        <f>T('2 REPAIR ESTIMATOR'!N81)</f>
        <v>DECKING AND PATIOS</v>
      </c>
      <c r="F18" s="4302"/>
      <c r="G18" s="4302"/>
      <c r="H18" s="4307"/>
      <c r="I18" s="95" t="str">
        <f>T('2 REPAIR ESTIMATOR'!R81)</f>
        <v/>
      </c>
      <c r="J18" s="4301" t="str">
        <f>T('2 REPAIR ESTIMATOR'!Y81:AE81)</f>
        <v>DOORS &amp; TRIM</v>
      </c>
      <c r="K18" s="4302"/>
      <c r="L18" s="4302"/>
      <c r="M18" s="4307"/>
      <c r="N18" s="95" t="str">
        <f>T('2 REPAIR ESTIMATOR'!V81)</f>
        <v/>
      </c>
      <c r="O18" s="4301" t="str">
        <f>T('2 REPAIR ESTIMATOR'!AJ81:AP81)</f>
        <v>ELECTRICAL</v>
      </c>
      <c r="P18" s="4302"/>
      <c r="Q18" s="4302"/>
      <c r="R18" s="4303"/>
      <c r="S18" s="713"/>
      <c r="T18" s="4295" t="s">
        <v>1393</v>
      </c>
      <c r="U18" s="4296"/>
      <c r="V18" s="714"/>
    </row>
    <row r="19" spans="3:22" ht="18" customHeight="1" thickBot="1">
      <c r="C19" s="6"/>
      <c r="D19" s="709" t="str">
        <f>T('2 REPAIR ESTIMATOR'!L82)</f>
        <v/>
      </c>
      <c r="E19" s="4304" t="str">
        <f>T('2 REPAIR ESTIMATOR'!N82)</f>
        <v>ROOFING</v>
      </c>
      <c r="F19" s="4305"/>
      <c r="G19" s="4305"/>
      <c r="H19" s="4308"/>
      <c r="I19" s="710" t="str">
        <f>T('2 REPAIR ESTIMATOR'!R82)</f>
        <v/>
      </c>
      <c r="J19" s="4304" t="str">
        <f>T('2 REPAIR ESTIMATOR'!Y82:AE82)</f>
        <v>CARPET &amp; RESILIENT</v>
      </c>
      <c r="K19" s="4305"/>
      <c r="L19" s="4305"/>
      <c r="M19" s="4308"/>
      <c r="N19" s="710" t="str">
        <f>T('2 REPAIR ESTIMATOR'!V82)</f>
        <v/>
      </c>
      <c r="O19" s="4304" t="str">
        <f>T('2 REPAIR ESTIMATOR'!AJ82:AP82)</f>
        <v>MISCELLANEOUS</v>
      </c>
      <c r="P19" s="4305"/>
      <c r="Q19" s="4305"/>
      <c r="R19" s="4306"/>
      <c r="S19" s="715"/>
      <c r="T19" s="716"/>
      <c r="U19" s="716"/>
      <c r="V19" s="717"/>
    </row>
    <row r="20" spans="3:22" ht="25.7" customHeight="1">
      <c r="C20" s="6"/>
      <c r="D20" s="198"/>
      <c r="E20" s="198"/>
      <c r="F20" s="198"/>
      <c r="G20" s="198"/>
      <c r="H20" s="198"/>
      <c r="I20" s="198"/>
      <c r="J20" s="198"/>
      <c r="K20" s="198"/>
      <c r="L20" s="198"/>
      <c r="M20" s="198"/>
      <c r="N20" s="198"/>
      <c r="O20" s="198"/>
      <c r="P20" s="198"/>
      <c r="Q20" s="199"/>
      <c r="R20" s="199"/>
      <c r="S20" s="199"/>
      <c r="T20" s="199"/>
      <c r="U20" s="199"/>
      <c r="V20" s="199"/>
    </row>
    <row r="21" spans="3:22" ht="22.7" customHeight="1">
      <c r="C21" s="6"/>
      <c r="D21" s="4253" t="str">
        <f>CONCATENATE(Street_Address,", ",City_State_Zip)</f>
        <v>, 0</v>
      </c>
      <c r="E21" s="4253"/>
      <c r="F21" s="4253"/>
      <c r="G21" s="4253"/>
      <c r="H21" s="4253"/>
      <c r="I21" s="4253"/>
      <c r="J21" s="4253"/>
      <c r="K21" s="4253"/>
      <c r="L21" s="4253"/>
      <c r="M21" s="4253"/>
      <c r="N21" s="4253"/>
      <c r="O21" s="4253"/>
      <c r="P21" s="4253"/>
      <c r="Q21" s="4253"/>
      <c r="R21" s="4253"/>
      <c r="S21" s="4253"/>
      <c r="T21" s="4253"/>
      <c r="U21" s="4253"/>
      <c r="V21" s="4253"/>
    </row>
    <row r="22" spans="3:22" ht="16.7" customHeight="1">
      <c r="C22" s="6"/>
      <c r="D22" s="926"/>
      <c r="E22" s="926"/>
      <c r="F22" s="926"/>
      <c r="G22" s="926"/>
      <c r="H22" s="926"/>
      <c r="I22" s="926"/>
      <c r="J22" s="926"/>
      <c r="K22" s="926"/>
      <c r="L22" s="926"/>
      <c r="M22" s="926"/>
      <c r="N22" s="926"/>
      <c r="O22" s="926"/>
      <c r="P22" s="926"/>
      <c r="Q22" s="927"/>
      <c r="R22" s="927"/>
      <c r="S22" s="927"/>
      <c r="T22" s="927"/>
      <c r="U22" s="927"/>
      <c r="V22" s="927"/>
    </row>
    <row r="23" spans="3:22" s="2" customFormat="1" ht="30.7">
      <c r="C23" s="3"/>
      <c r="D23" s="4299" t="s">
        <v>483</v>
      </c>
      <c r="E23" s="4299"/>
      <c r="F23" s="4299"/>
      <c r="G23" s="4299"/>
      <c r="H23" s="4299"/>
      <c r="I23" s="4299"/>
      <c r="J23" s="4299"/>
      <c r="K23" s="4299"/>
      <c r="L23" s="4299"/>
      <c r="M23" s="4299"/>
      <c r="N23" s="4299"/>
      <c r="O23" s="4299"/>
      <c r="P23" s="4299"/>
      <c r="Q23" s="4299"/>
      <c r="R23" s="728"/>
      <c r="S23" s="4300">
        <f ca="1">TODAY()</f>
        <v>43691</v>
      </c>
      <c r="T23" s="4300"/>
      <c r="U23" s="4300"/>
      <c r="V23" s="4300"/>
    </row>
    <row r="24" spans="3:22" s="2" customFormat="1" ht="14.1" customHeight="1">
      <c r="C24" s="3"/>
      <c r="D24" s="201"/>
      <c r="E24" s="201"/>
      <c r="F24" s="201"/>
      <c r="G24" s="201"/>
      <c r="H24" s="201"/>
      <c r="I24" s="201"/>
      <c r="J24" s="201"/>
      <c r="K24" s="201"/>
      <c r="L24" s="201"/>
      <c r="M24" s="201"/>
      <c r="N24" s="201"/>
      <c r="O24" s="201"/>
      <c r="P24" s="201"/>
      <c r="Q24" s="201"/>
      <c r="R24" s="201"/>
      <c r="S24" s="200"/>
      <c r="T24" s="200"/>
      <c r="U24" s="200"/>
      <c r="V24" s="200"/>
    </row>
    <row r="25" spans="3:22" s="2" customFormat="1" ht="22.5" customHeight="1">
      <c r="C25" s="3"/>
      <c r="D25" s="250"/>
      <c r="E25" s="250"/>
      <c r="F25" s="250"/>
      <c r="G25" s="250"/>
      <c r="H25" s="250"/>
      <c r="I25" s="250"/>
      <c r="J25" s="250"/>
      <c r="K25" s="250"/>
      <c r="L25" s="250"/>
      <c r="M25" s="250"/>
      <c r="N25" s="250"/>
      <c r="O25" s="250"/>
      <c r="P25" s="250"/>
      <c r="Q25" s="250"/>
      <c r="R25" s="250"/>
      <c r="S25" s="250"/>
      <c r="T25" s="250"/>
      <c r="U25" s="250"/>
      <c r="V25" s="250"/>
    </row>
    <row r="26" spans="3:22" s="2" customFormat="1" ht="22.5" customHeight="1">
      <c r="C26" s="3"/>
      <c r="D26" s="250"/>
      <c r="E26" s="250"/>
      <c r="F26" s="250"/>
      <c r="G26" s="250"/>
      <c r="H26" s="250"/>
      <c r="I26" s="250"/>
      <c r="J26" s="250"/>
      <c r="K26" s="250"/>
      <c r="L26" s="250"/>
      <c r="M26" s="250"/>
      <c r="N26" s="250"/>
      <c r="O26" s="250"/>
      <c r="P26" s="250"/>
      <c r="Q26" s="250"/>
      <c r="R26" s="250"/>
      <c r="S26" s="250"/>
      <c r="T26" s="250"/>
      <c r="U26" s="250"/>
      <c r="V26" s="250"/>
    </row>
    <row r="27" spans="3:22" s="2" customFormat="1" ht="22.5" customHeight="1">
      <c r="C27" s="3"/>
      <c r="D27" s="250"/>
      <c r="E27" s="250"/>
      <c r="F27" s="250"/>
      <c r="G27" s="250"/>
      <c r="H27" s="250"/>
      <c r="I27" s="250"/>
      <c r="J27" s="250"/>
      <c r="K27" s="250"/>
      <c r="L27" s="250"/>
      <c r="M27" s="250"/>
      <c r="N27" s="250"/>
      <c r="O27" s="250"/>
      <c r="P27" s="250"/>
      <c r="Q27" s="250"/>
      <c r="R27" s="250"/>
      <c r="S27" s="250"/>
      <c r="T27" s="250"/>
      <c r="U27" s="250"/>
      <c r="V27" s="250"/>
    </row>
    <row r="28" spans="3:22" s="2" customFormat="1" ht="22.5" customHeight="1">
      <c r="C28" s="3"/>
      <c r="D28" s="192"/>
      <c r="E28" s="192"/>
      <c r="F28" s="192"/>
      <c r="G28" s="192"/>
      <c r="H28" s="192"/>
      <c r="I28" s="192"/>
      <c r="J28" s="192"/>
      <c r="K28" s="192"/>
      <c r="L28" s="192"/>
      <c r="M28" s="192"/>
      <c r="N28" s="202"/>
      <c r="O28" s="202"/>
      <c r="P28" s="202"/>
      <c r="Q28" s="202"/>
      <c r="R28" s="202"/>
      <c r="S28" s="203"/>
      <c r="T28" s="203"/>
      <c r="U28" s="203"/>
      <c r="V28" s="203"/>
    </row>
    <row r="29" spans="3:22" s="2" customFormat="1" ht="22.5" customHeight="1">
      <c r="C29" s="3"/>
      <c r="D29" s="192"/>
      <c r="E29" s="192"/>
      <c r="F29" s="192"/>
      <c r="G29" s="192"/>
      <c r="H29" s="192"/>
      <c r="I29" s="192"/>
      <c r="J29" s="192"/>
      <c r="K29" s="192"/>
      <c r="L29" s="192"/>
      <c r="M29" s="192"/>
      <c r="N29" s="202"/>
      <c r="O29" s="202"/>
      <c r="P29" s="202"/>
      <c r="Q29" s="202"/>
      <c r="R29" s="202"/>
      <c r="S29" s="203"/>
      <c r="T29" s="203"/>
      <c r="U29" s="203"/>
      <c r="V29" s="203"/>
    </row>
    <row r="30" spans="3:22" s="2" customFormat="1" ht="22.5" customHeight="1">
      <c r="C30" s="3"/>
      <c r="D30" s="192"/>
      <c r="E30" s="192"/>
      <c r="F30" s="192"/>
      <c r="G30" s="192"/>
      <c r="H30" s="192"/>
      <c r="I30" s="192"/>
      <c r="J30" s="192"/>
      <c r="K30" s="192"/>
      <c r="L30" s="192"/>
      <c r="M30" s="192"/>
      <c r="N30" s="202"/>
      <c r="O30" s="202"/>
      <c r="P30" s="202"/>
      <c r="Q30" s="202"/>
      <c r="R30" s="202"/>
      <c r="S30" s="203"/>
      <c r="T30" s="203"/>
      <c r="U30" s="203"/>
      <c r="V30" s="203"/>
    </row>
    <row r="31" spans="3:22" s="2" customFormat="1" ht="22.5" customHeight="1">
      <c r="C31" s="3"/>
      <c r="D31" s="192"/>
      <c r="E31" s="192"/>
      <c r="F31" s="192"/>
      <c r="G31" s="192"/>
      <c r="H31" s="192"/>
      <c r="I31" s="192"/>
      <c r="J31" s="192"/>
      <c r="K31" s="192"/>
      <c r="L31" s="192"/>
      <c r="M31" s="192"/>
      <c r="N31" s="202"/>
      <c r="O31" s="202"/>
      <c r="P31" s="202"/>
      <c r="Q31" s="202"/>
      <c r="R31" s="202"/>
      <c r="S31" s="203"/>
      <c r="T31" s="203"/>
      <c r="U31" s="203"/>
      <c r="V31" s="203"/>
    </row>
    <row r="32" spans="3:22" s="2" customFormat="1" ht="22.5" customHeight="1">
      <c r="C32" s="3"/>
      <c r="D32" s="192"/>
      <c r="E32" s="192"/>
      <c r="F32" s="192"/>
      <c r="G32" s="192"/>
      <c r="H32" s="192"/>
      <c r="I32" s="192"/>
      <c r="J32" s="192"/>
      <c r="K32" s="192"/>
      <c r="L32" s="192"/>
      <c r="M32" s="192"/>
      <c r="N32" s="202"/>
      <c r="O32" s="202"/>
      <c r="P32" s="202"/>
      <c r="Q32" s="202"/>
      <c r="R32" s="202"/>
      <c r="S32" s="203"/>
      <c r="T32" s="203"/>
      <c r="U32" s="203"/>
      <c r="V32" s="203"/>
    </row>
    <row r="33" spans="3:25" s="2" customFormat="1" ht="22.5" customHeight="1">
      <c r="C33" s="3"/>
      <c r="D33" s="4298"/>
      <c r="E33" s="4298"/>
      <c r="F33" s="4298"/>
      <c r="G33" s="4298"/>
      <c r="H33" s="4298"/>
      <c r="I33" s="4298"/>
      <c r="J33" s="4298"/>
      <c r="K33" s="4298"/>
      <c r="L33" s="4298"/>
      <c r="M33" s="4298"/>
      <c r="N33" s="4298"/>
      <c r="O33" s="4298"/>
      <c r="P33" s="4298"/>
      <c r="Q33" s="4298"/>
      <c r="R33" s="4298"/>
      <c r="S33" s="4298"/>
      <c r="T33" s="727"/>
      <c r="U33" s="727"/>
      <c r="V33" s="727"/>
    </row>
    <row r="34" spans="3:25" s="2" customFormat="1" ht="22.5" customHeight="1">
      <c r="C34" s="3"/>
      <c r="D34" s="4298"/>
      <c r="E34" s="4298"/>
      <c r="F34" s="4298"/>
      <c r="G34" s="4298"/>
      <c r="H34" s="4298"/>
      <c r="I34" s="4298"/>
      <c r="J34" s="4298"/>
      <c r="K34" s="4298"/>
      <c r="L34" s="4298"/>
      <c r="M34" s="4298"/>
      <c r="N34" s="4298"/>
      <c r="O34" s="4298"/>
      <c r="P34" s="4298"/>
      <c r="Q34" s="4298"/>
      <c r="R34" s="4298"/>
      <c r="S34" s="4298"/>
      <c r="T34" s="727"/>
      <c r="U34" s="727"/>
      <c r="V34" s="727"/>
    </row>
    <row r="35" spans="3:25" s="2" customFormat="1" ht="22.5" customHeight="1">
      <c r="C35" s="3"/>
      <c r="D35" s="4298"/>
      <c r="E35" s="4298"/>
      <c r="F35" s="4298"/>
      <c r="G35" s="4298"/>
      <c r="H35" s="4298"/>
      <c r="I35" s="4298"/>
      <c r="J35" s="4298"/>
      <c r="K35" s="4298"/>
      <c r="L35" s="4298"/>
      <c r="M35" s="4298"/>
      <c r="N35" s="4298"/>
      <c r="O35" s="4298"/>
      <c r="P35" s="4298"/>
      <c r="Q35" s="4298"/>
      <c r="R35" s="4298"/>
      <c r="S35" s="4298"/>
      <c r="T35" s="727"/>
      <c r="U35" s="727"/>
      <c r="V35" s="727"/>
    </row>
    <row r="36" spans="3:25" s="2" customFormat="1" ht="22.5" customHeight="1">
      <c r="C36" s="3"/>
      <c r="D36" s="4298"/>
      <c r="E36" s="4298"/>
      <c r="F36" s="4298"/>
      <c r="G36" s="4298"/>
      <c r="H36" s="4298"/>
      <c r="I36" s="4298"/>
      <c r="J36" s="4298"/>
      <c r="K36" s="4298"/>
      <c r="L36" s="4298"/>
      <c r="M36" s="4298"/>
      <c r="N36" s="4298"/>
      <c r="O36" s="4298"/>
      <c r="P36" s="4298"/>
      <c r="Q36" s="4298"/>
      <c r="R36" s="4298"/>
      <c r="S36" s="4298"/>
      <c r="T36" s="727"/>
      <c r="U36" s="727"/>
      <c r="V36" s="727"/>
    </row>
    <row r="37" spans="3:25" s="2" customFormat="1" ht="22.5" customHeight="1">
      <c r="C37" s="3"/>
      <c r="D37" s="4298"/>
      <c r="E37" s="4298"/>
      <c r="F37" s="4298"/>
      <c r="G37" s="4298"/>
      <c r="H37" s="4298"/>
      <c r="I37" s="4298"/>
      <c r="J37" s="4298"/>
      <c r="K37" s="4298"/>
      <c r="L37" s="4298"/>
      <c r="M37" s="4298"/>
      <c r="N37" s="4298"/>
      <c r="O37" s="4298"/>
      <c r="P37" s="4298"/>
      <c r="Q37" s="4298"/>
      <c r="R37" s="4298"/>
      <c r="S37" s="4298"/>
      <c r="T37" s="727"/>
      <c r="U37" s="727"/>
      <c r="V37" s="727"/>
    </row>
    <row r="38" spans="3:25" s="2" customFormat="1" ht="22.5" customHeight="1">
      <c r="C38" s="3"/>
      <c r="D38" s="4298"/>
      <c r="E38" s="4298"/>
      <c r="F38" s="4298"/>
      <c r="G38" s="4298"/>
      <c r="H38" s="4298"/>
      <c r="I38" s="4298"/>
      <c r="J38" s="4298"/>
      <c r="K38" s="4298"/>
      <c r="L38" s="4298"/>
      <c r="M38" s="4298"/>
      <c r="N38" s="4298"/>
      <c r="O38" s="4298"/>
      <c r="P38" s="4298"/>
      <c r="Q38" s="4298"/>
      <c r="R38" s="4298"/>
      <c r="S38" s="4298"/>
      <c r="T38" s="727"/>
      <c r="U38" s="727"/>
      <c r="V38" s="727"/>
    </row>
    <row r="39" spans="3:25" s="2" customFormat="1" ht="22.5" customHeight="1">
      <c r="C39" s="3"/>
      <c r="D39" s="4298"/>
      <c r="E39" s="4298"/>
      <c r="F39" s="4298"/>
      <c r="G39" s="4298"/>
      <c r="H39" s="4298"/>
      <c r="I39" s="4298"/>
      <c r="J39" s="4298"/>
      <c r="K39" s="4298"/>
      <c r="L39" s="4298"/>
      <c r="M39" s="4298"/>
      <c r="N39" s="4298"/>
      <c r="O39" s="4298"/>
      <c r="P39" s="4298"/>
      <c r="Q39" s="4298"/>
      <c r="R39" s="4298"/>
      <c r="S39" s="4298"/>
      <c r="T39" s="727"/>
      <c r="U39" s="727"/>
      <c r="V39" s="727"/>
    </row>
    <row r="40" spans="3:25" s="2" customFormat="1" ht="22.5" customHeight="1">
      <c r="C40" s="3"/>
      <c r="D40" s="4298"/>
      <c r="E40" s="4298"/>
      <c r="F40" s="4298"/>
      <c r="G40" s="4298"/>
      <c r="H40" s="4298"/>
      <c r="I40" s="4298"/>
      <c r="J40" s="4298"/>
      <c r="K40" s="4298"/>
      <c r="L40" s="4298"/>
      <c r="M40" s="4298"/>
      <c r="N40" s="4298"/>
      <c r="O40" s="4298"/>
      <c r="P40" s="4298"/>
      <c r="Q40" s="4298"/>
      <c r="R40" s="4298"/>
      <c r="S40" s="4298"/>
      <c r="T40" s="727"/>
      <c r="U40" s="727"/>
      <c r="V40" s="727"/>
    </row>
    <row r="41" spans="3:25" s="2" customFormat="1" ht="15" customHeight="1">
      <c r="C41" s="3"/>
      <c r="D41" s="4298"/>
      <c r="E41" s="4298"/>
      <c r="F41" s="4298"/>
      <c r="G41" s="4298"/>
      <c r="H41" s="4298"/>
      <c r="I41" s="4298"/>
      <c r="J41" s="4298"/>
      <c r="K41" s="4298"/>
      <c r="L41" s="4298"/>
      <c r="M41" s="4298"/>
      <c r="N41" s="4298"/>
      <c r="O41" s="4298"/>
      <c r="P41" s="4298"/>
      <c r="Q41" s="4298"/>
      <c r="R41" s="4298"/>
      <c r="S41" s="4298"/>
      <c r="T41" s="727"/>
      <c r="U41" s="727"/>
      <c r="V41" s="727"/>
      <c r="X41" s="2" t="s">
        <v>1390</v>
      </c>
      <c r="Y41" s="2" t="s">
        <v>1480</v>
      </c>
    </row>
    <row r="42" spans="3:25" s="2" customFormat="1" ht="15" hidden="1" customHeight="1">
      <c r="C42" s="3"/>
      <c r="D42" s="727"/>
      <c r="E42" s="727"/>
      <c r="F42" s="727"/>
      <c r="G42" s="727"/>
      <c r="H42" s="727"/>
      <c r="I42" s="727"/>
      <c r="J42" s="727"/>
      <c r="K42" s="727"/>
      <c r="L42" s="727"/>
      <c r="M42" s="727"/>
      <c r="N42" s="727"/>
      <c r="O42" s="727"/>
      <c r="P42" s="727"/>
      <c r="Q42" s="727"/>
      <c r="R42" s="727"/>
      <c r="S42" s="727"/>
      <c r="T42" s="727"/>
      <c r="U42" s="727"/>
      <c r="V42" s="727"/>
    </row>
    <row r="43" spans="3:25" ht="26.45" customHeight="1">
      <c r="D43" s="4275" t="str">
        <f>T('2 REPAIR ESTIMATOR'!D87:O87)</f>
        <v>GENERAL CONDITIONS</v>
      </c>
      <c r="E43" s="4275"/>
      <c r="F43" s="4275"/>
      <c r="G43" s="4275"/>
      <c r="H43" s="4275"/>
      <c r="I43" s="4275"/>
      <c r="J43" s="4275"/>
      <c r="K43" s="4276"/>
      <c r="L43" s="4277">
        <f>SUM(L44:M83)</f>
        <v>0</v>
      </c>
      <c r="M43" s="4278"/>
      <c r="N43" s="4279"/>
      <c r="O43" s="4280"/>
      <c r="P43" s="4277"/>
      <c r="Q43" s="4281"/>
      <c r="R43" s="4281"/>
      <c r="S43" s="4281"/>
      <c r="T43" s="4281"/>
      <c r="U43" s="4281"/>
      <c r="V43" s="4281"/>
      <c r="W43" s="12">
        <f>IF(L43&gt;0,1,0)</f>
        <v>0</v>
      </c>
      <c r="X43" s="12">
        <f t="shared" ref="X43:X74" si="0">IF(Scope1_Setting="Shown",1,0)</f>
        <v>1</v>
      </c>
      <c r="Y43" s="12">
        <f>W43*X43</f>
        <v>0</v>
      </c>
    </row>
    <row r="44" spans="3:25" ht="15.75" customHeight="1">
      <c r="D44" s="4267" t="str">
        <f>T('2 REPAIR ESTIMATOR'!D88:O88)</f>
        <v>Dumpster rental-40 yard</v>
      </c>
      <c r="E44" s="4268"/>
      <c r="F44" s="4268"/>
      <c r="G44" s="4268"/>
      <c r="H44" s="4268"/>
      <c r="I44" s="4268"/>
      <c r="J44" s="4268"/>
      <c r="K44" s="4268"/>
      <c r="L44" s="4291">
        <f>'2 REPAIR ESTIMATOR'!P88</f>
        <v>0</v>
      </c>
      <c r="M44" s="4291"/>
      <c r="N44" s="4292" t="str">
        <f>T('2 REPAIR ESTIMATOR'!S88:T88)</f>
        <v>ea</v>
      </c>
      <c r="O44" s="4292"/>
      <c r="P44" s="4273"/>
      <c r="Q44" s="4273"/>
      <c r="R44" s="4273"/>
      <c r="S44" s="4273"/>
      <c r="T44" s="4273"/>
      <c r="U44" s="4273"/>
      <c r="V44" s="4274"/>
      <c r="W44" s="12">
        <f>IF(L44="",0,1)</f>
        <v>1</v>
      </c>
      <c r="X44" s="12">
        <f t="shared" si="0"/>
        <v>1</v>
      </c>
      <c r="Y44" s="12">
        <f t="shared" ref="Y44:Y107" si="1">W44*X44</f>
        <v>1</v>
      </c>
    </row>
    <row r="45" spans="3:25" ht="16.5" customHeight="1">
      <c r="D45" s="4267" t="str">
        <f>T('2 REPAIR ESTIMATOR'!D89:O89)</f>
        <v>Storage Container</v>
      </c>
      <c r="E45" s="4268"/>
      <c r="F45" s="4268"/>
      <c r="G45" s="4268"/>
      <c r="H45" s="4268"/>
      <c r="I45" s="4268"/>
      <c r="J45" s="4268"/>
      <c r="K45" s="4268"/>
      <c r="L45" s="4269">
        <f>'2 REPAIR ESTIMATOR'!P89</f>
        <v>0</v>
      </c>
      <c r="M45" s="4269"/>
      <c r="N45" s="4270" t="str">
        <f>T('2 REPAIR ESTIMATOR'!S89:T89)</f>
        <v>job</v>
      </c>
      <c r="O45" s="4270"/>
      <c r="P45" s="4271"/>
      <c r="Q45" s="4271"/>
      <c r="R45" s="4271"/>
      <c r="S45" s="4271"/>
      <c r="T45" s="4271"/>
      <c r="U45" s="4271"/>
      <c r="V45" s="4272"/>
      <c r="W45" s="12">
        <f t="shared" ref="W45:W83" si="2">IF(L45="",0,1)</f>
        <v>1</v>
      </c>
      <c r="X45" s="12">
        <f t="shared" si="0"/>
        <v>1</v>
      </c>
      <c r="Y45" s="12">
        <f t="shared" si="1"/>
        <v>1</v>
      </c>
    </row>
    <row r="46" spans="3:25" ht="15.7">
      <c r="D46" s="4267" t="str">
        <f>T('2 REPAIR ESTIMATOR'!D90:O90)</f>
        <v>Chemical Toilet</v>
      </c>
      <c r="E46" s="4268"/>
      <c r="F46" s="4268"/>
      <c r="G46" s="4268"/>
      <c r="H46" s="4268"/>
      <c r="I46" s="4268"/>
      <c r="J46" s="4268"/>
      <c r="K46" s="4268"/>
      <c r="L46" s="4269">
        <f>'2 REPAIR ESTIMATOR'!P90</f>
        <v>0</v>
      </c>
      <c r="M46" s="4269"/>
      <c r="N46" s="4270" t="str">
        <f>T('2 REPAIR ESTIMATOR'!S90:T90)</f>
        <v>mo</v>
      </c>
      <c r="O46" s="4270"/>
      <c r="P46" s="4271"/>
      <c r="Q46" s="4271"/>
      <c r="R46" s="4271"/>
      <c r="S46" s="4271"/>
      <c r="T46" s="4271"/>
      <c r="U46" s="4271"/>
      <c r="V46" s="4272"/>
      <c r="W46" s="12">
        <f t="shared" si="2"/>
        <v>1</v>
      </c>
      <c r="X46" s="12">
        <f t="shared" si="0"/>
        <v>1</v>
      </c>
      <c r="Y46" s="12">
        <f t="shared" si="1"/>
        <v>1</v>
      </c>
    </row>
    <row r="47" spans="3:25" ht="15.7">
      <c r="D47" s="4267" t="str">
        <f>T('2 REPAIR ESTIMATOR'!D91:O91)</f>
        <v>Misc. Tools &amp; Materials</v>
      </c>
      <c r="E47" s="4268"/>
      <c r="F47" s="4268"/>
      <c r="G47" s="4268"/>
      <c r="H47" s="4268"/>
      <c r="I47" s="4268"/>
      <c r="J47" s="4268"/>
      <c r="K47" s="4268"/>
      <c r="L47" s="4269">
        <f>'2 REPAIR ESTIMATOR'!P91</f>
        <v>0</v>
      </c>
      <c r="M47" s="4269"/>
      <c r="N47" s="4270" t="str">
        <f>T('2 REPAIR ESTIMATOR'!S91:T91)</f>
        <v>ls</v>
      </c>
      <c r="O47" s="4270"/>
      <c r="P47" s="4271"/>
      <c r="Q47" s="4271"/>
      <c r="R47" s="4271"/>
      <c r="S47" s="4271"/>
      <c r="T47" s="4271"/>
      <c r="U47" s="4271"/>
      <c r="V47" s="4272"/>
      <c r="W47" s="12">
        <f t="shared" si="2"/>
        <v>1</v>
      </c>
      <c r="X47" s="12">
        <f t="shared" si="0"/>
        <v>1</v>
      </c>
      <c r="Y47" s="12">
        <f t="shared" si="1"/>
        <v>1</v>
      </c>
    </row>
    <row r="48" spans="3:25" ht="15.7">
      <c r="D48" s="4267" t="str">
        <f>T('2 REPAIR ESTIMATOR'!D92:O92)</f>
        <v>Rekey/lock box</v>
      </c>
      <c r="E48" s="4268"/>
      <c r="F48" s="4268"/>
      <c r="G48" s="4268"/>
      <c r="H48" s="4268"/>
      <c r="I48" s="4268"/>
      <c r="J48" s="4268"/>
      <c r="K48" s="4268"/>
      <c r="L48" s="4269">
        <f>'2 REPAIR ESTIMATOR'!P92</f>
        <v>0</v>
      </c>
      <c r="M48" s="4269"/>
      <c r="N48" s="4270" t="str">
        <f>T('2 REPAIR ESTIMATOR'!S92:T92)</f>
        <v>ea</v>
      </c>
      <c r="O48" s="4270"/>
      <c r="P48" s="4271"/>
      <c r="Q48" s="4271"/>
      <c r="R48" s="4271"/>
      <c r="S48" s="4271"/>
      <c r="T48" s="4271"/>
      <c r="U48" s="4271"/>
      <c r="V48" s="4272"/>
      <c r="W48" s="12">
        <f t="shared" si="2"/>
        <v>1</v>
      </c>
      <c r="X48" s="12">
        <f t="shared" si="0"/>
        <v>1</v>
      </c>
      <c r="Y48" s="12">
        <f t="shared" si="1"/>
        <v>1</v>
      </c>
    </row>
    <row r="49" spans="4:25" ht="15.7">
      <c r="D49" s="4267" t="str">
        <f>T('2 REPAIR ESTIMATOR'!D93:O93)</f>
        <v>Turn on utilities</v>
      </c>
      <c r="E49" s="4268"/>
      <c r="F49" s="4268"/>
      <c r="G49" s="4268"/>
      <c r="H49" s="4268"/>
      <c r="I49" s="4268"/>
      <c r="J49" s="4268"/>
      <c r="K49" s="4268"/>
      <c r="L49" s="4269">
        <f>'2 REPAIR ESTIMATOR'!P93</f>
        <v>0</v>
      </c>
      <c r="M49" s="4269"/>
      <c r="N49" s="4270" t="str">
        <f>T('2 REPAIR ESTIMATOR'!S93:T93)</f>
        <v>ls</v>
      </c>
      <c r="O49" s="4270"/>
      <c r="P49" s="4271"/>
      <c r="Q49" s="4271"/>
      <c r="R49" s="4271"/>
      <c r="S49" s="4271"/>
      <c r="T49" s="4271"/>
      <c r="U49" s="4271"/>
      <c r="V49" s="4272"/>
      <c r="W49" s="12">
        <f t="shared" si="2"/>
        <v>1</v>
      </c>
      <c r="X49" s="12">
        <f t="shared" si="0"/>
        <v>1</v>
      </c>
      <c r="Y49" s="12">
        <f t="shared" si="1"/>
        <v>1</v>
      </c>
    </row>
    <row r="50" spans="4:25" ht="15.7">
      <c r="D50" s="4267" t="str">
        <f>T('2 REPAIR ESTIMATOR'!D94:O94)</f>
        <v>Truck expense/car payment</v>
      </c>
      <c r="E50" s="4268"/>
      <c r="F50" s="4268"/>
      <c r="G50" s="4268"/>
      <c r="H50" s="4268"/>
      <c r="I50" s="4268"/>
      <c r="J50" s="4268"/>
      <c r="K50" s="4268"/>
      <c r="L50" s="4269">
        <f>'2 REPAIR ESTIMATOR'!P94</f>
        <v>0</v>
      </c>
      <c r="M50" s="4269"/>
      <c r="N50" s="4270" t="str">
        <f>T('2 REPAIR ESTIMATOR'!S94:T94)</f>
        <v>month</v>
      </c>
      <c r="O50" s="4270"/>
      <c r="P50" s="4271"/>
      <c r="Q50" s="4271"/>
      <c r="R50" s="4271"/>
      <c r="S50" s="4271"/>
      <c r="T50" s="4271"/>
      <c r="U50" s="4271"/>
      <c r="V50" s="4272"/>
      <c r="W50" s="12">
        <f t="shared" si="2"/>
        <v>1</v>
      </c>
      <c r="X50" s="12">
        <f t="shared" si="0"/>
        <v>1</v>
      </c>
      <c r="Y50" s="12">
        <f t="shared" si="1"/>
        <v>1</v>
      </c>
    </row>
    <row r="51" spans="4:25" ht="15.7">
      <c r="D51" s="4267" t="str">
        <f>T('2 REPAIR ESTIMATOR'!D95:O95)</f>
        <v>Fuel/gas expense</v>
      </c>
      <c r="E51" s="4268"/>
      <c r="F51" s="4268"/>
      <c r="G51" s="4268"/>
      <c r="H51" s="4268"/>
      <c r="I51" s="4268"/>
      <c r="J51" s="4268"/>
      <c r="K51" s="4268"/>
      <c r="L51" s="4269">
        <f>'2 REPAIR ESTIMATOR'!P95</f>
        <v>0</v>
      </c>
      <c r="M51" s="4269"/>
      <c r="N51" s="4270" t="str">
        <f>T('2 REPAIR ESTIMATOR'!S95:T95)</f>
        <v>wk</v>
      </c>
      <c r="O51" s="4270"/>
      <c r="P51" s="4271"/>
      <c r="Q51" s="4271"/>
      <c r="R51" s="4271"/>
      <c r="S51" s="4271"/>
      <c r="T51" s="4271"/>
      <c r="U51" s="4271"/>
      <c r="V51" s="4272"/>
      <c r="W51" s="12">
        <f t="shared" si="2"/>
        <v>1</v>
      </c>
      <c r="X51" s="12">
        <f t="shared" si="0"/>
        <v>1</v>
      </c>
      <c r="Y51" s="12">
        <f t="shared" si="1"/>
        <v>1</v>
      </c>
    </row>
    <row r="52" spans="4:25" ht="15.7">
      <c r="D52" s="4267" t="str">
        <f>T('2 REPAIR ESTIMATOR'!D96:O96)</f>
        <v>Project management</v>
      </c>
      <c r="E52" s="4268"/>
      <c r="F52" s="4268"/>
      <c r="G52" s="4268"/>
      <c r="H52" s="4268"/>
      <c r="I52" s="4268"/>
      <c r="J52" s="4268"/>
      <c r="K52" s="4268"/>
      <c r="L52" s="4269">
        <f>'2 REPAIR ESTIMATOR'!P96</f>
        <v>0</v>
      </c>
      <c r="M52" s="4269"/>
      <c r="N52" s="4270" t="str">
        <f>T('2 REPAIR ESTIMATOR'!S96:T96)</f>
        <v>wk</v>
      </c>
      <c r="O52" s="4270"/>
      <c r="P52" s="4271"/>
      <c r="Q52" s="4271"/>
      <c r="R52" s="4271"/>
      <c r="S52" s="4271"/>
      <c r="T52" s="4271"/>
      <c r="U52" s="4271"/>
      <c r="V52" s="4272"/>
      <c r="W52" s="12">
        <f t="shared" si="2"/>
        <v>1</v>
      </c>
      <c r="X52" s="12">
        <f t="shared" si="0"/>
        <v>1</v>
      </c>
      <c r="Y52" s="12">
        <f t="shared" si="1"/>
        <v>1</v>
      </c>
    </row>
    <row r="53" spans="4:25" ht="15.7">
      <c r="D53" s="4267" t="str">
        <f>T('2 REPAIR ESTIMATOR'!D97:O97)</f>
        <v>Architectural Fees</v>
      </c>
      <c r="E53" s="4268"/>
      <c r="F53" s="4268"/>
      <c r="G53" s="4268"/>
      <c r="H53" s="4268"/>
      <c r="I53" s="4268"/>
      <c r="J53" s="4268"/>
      <c r="K53" s="4268"/>
      <c r="L53" s="4269">
        <f>'2 REPAIR ESTIMATOR'!P97</f>
        <v>0</v>
      </c>
      <c r="M53" s="4269"/>
      <c r="N53" s="4270" t="str">
        <f>T('2 REPAIR ESTIMATOR'!S97:T97)</f>
        <v>hrs</v>
      </c>
      <c r="O53" s="4270"/>
      <c r="P53" s="4271"/>
      <c r="Q53" s="4271"/>
      <c r="R53" s="4271"/>
      <c r="S53" s="4271"/>
      <c r="T53" s="4271"/>
      <c r="U53" s="4271"/>
      <c r="V53" s="4272"/>
      <c r="W53" s="12">
        <f t="shared" si="2"/>
        <v>1</v>
      </c>
      <c r="X53" s="12">
        <f t="shared" si="0"/>
        <v>1</v>
      </c>
      <c r="Y53" s="12">
        <f t="shared" si="1"/>
        <v>1</v>
      </c>
    </row>
    <row r="54" spans="4:25" ht="15.7">
      <c r="D54" s="4267" t="str">
        <f>T('2 REPAIR ESTIMATOR'!D98:O98)</f>
        <v>Engineering Fees</v>
      </c>
      <c r="E54" s="4268"/>
      <c r="F54" s="4268"/>
      <c r="G54" s="4268"/>
      <c r="H54" s="4268"/>
      <c r="I54" s="4268"/>
      <c r="J54" s="4268"/>
      <c r="K54" s="4268"/>
      <c r="L54" s="4269">
        <f>'2 REPAIR ESTIMATOR'!P98</f>
        <v>0</v>
      </c>
      <c r="M54" s="4269"/>
      <c r="N54" s="4270" t="str">
        <f>T('2 REPAIR ESTIMATOR'!S98:T98)</f>
        <v>hrs</v>
      </c>
      <c r="O54" s="4270"/>
      <c r="P54" s="4271"/>
      <c r="Q54" s="4271"/>
      <c r="R54" s="4271"/>
      <c r="S54" s="4271"/>
      <c r="T54" s="4271"/>
      <c r="U54" s="4271"/>
      <c r="V54" s="4272"/>
      <c r="W54" s="12">
        <f t="shared" si="2"/>
        <v>1</v>
      </c>
      <c r="X54" s="12">
        <f t="shared" si="0"/>
        <v>1</v>
      </c>
      <c r="Y54" s="12">
        <f t="shared" si="1"/>
        <v>1</v>
      </c>
    </row>
    <row r="55" spans="4:25" ht="15.7">
      <c r="D55" s="4267" t="str">
        <f>T('2 REPAIR ESTIMATOR'!D99:O99)</f>
        <v>Professional Photography</v>
      </c>
      <c r="E55" s="4268"/>
      <c r="F55" s="4268"/>
      <c r="G55" s="4268"/>
      <c r="H55" s="4268"/>
      <c r="I55" s="4268"/>
      <c r="J55" s="4268"/>
      <c r="K55" s="4268"/>
      <c r="L55" s="4269">
        <f>'2 REPAIR ESTIMATOR'!P99</f>
        <v>0</v>
      </c>
      <c r="M55" s="4269"/>
      <c r="N55" s="4270" t="str">
        <f>T('2 REPAIR ESTIMATOR'!S99:T99)</f>
        <v>ls</v>
      </c>
      <c r="O55" s="4270"/>
      <c r="P55" s="4271"/>
      <c r="Q55" s="4271"/>
      <c r="R55" s="4271"/>
      <c r="S55" s="4271"/>
      <c r="T55" s="4271"/>
      <c r="U55" s="4271"/>
      <c r="V55" s="4272"/>
      <c r="W55" s="12">
        <f t="shared" si="2"/>
        <v>1</v>
      </c>
      <c r="X55" s="12">
        <f t="shared" si="0"/>
        <v>1</v>
      </c>
      <c r="Y55" s="12">
        <f t="shared" si="1"/>
        <v>1</v>
      </c>
    </row>
    <row r="56" spans="4:25" ht="15.7">
      <c r="D56" s="4267" t="str">
        <f>T('2 REPAIR ESTIMATOR'!D100:O100)</f>
        <v>Material Deliveries</v>
      </c>
      <c r="E56" s="4268"/>
      <c r="F56" s="4268"/>
      <c r="G56" s="4268"/>
      <c r="H56" s="4268"/>
      <c r="I56" s="4268"/>
      <c r="J56" s="4268"/>
      <c r="K56" s="4268"/>
      <c r="L56" s="4269">
        <f>'2 REPAIR ESTIMATOR'!P100</f>
        <v>0</v>
      </c>
      <c r="M56" s="4269"/>
      <c r="N56" s="4270" t="str">
        <f>T('2 REPAIR ESTIMATOR'!S100:T100)</f>
        <v>ea</v>
      </c>
      <c r="O56" s="4270"/>
      <c r="P56" s="4271"/>
      <c r="Q56" s="4271"/>
      <c r="R56" s="4271"/>
      <c r="S56" s="4271"/>
      <c r="T56" s="4271"/>
      <c r="U56" s="4271"/>
      <c r="V56" s="4272"/>
      <c r="W56" s="12">
        <f t="shared" si="2"/>
        <v>1</v>
      </c>
      <c r="X56" s="12">
        <f t="shared" si="0"/>
        <v>1</v>
      </c>
      <c r="Y56" s="12">
        <f t="shared" si="1"/>
        <v>1</v>
      </c>
    </row>
    <row r="57" spans="4:25" ht="15.7">
      <c r="D57" s="4267" t="str">
        <f>T('2 REPAIR ESTIMATOR'!D101:O101)</f>
        <v>Final cleaning</v>
      </c>
      <c r="E57" s="4268"/>
      <c r="F57" s="4268"/>
      <c r="G57" s="4268"/>
      <c r="H57" s="4268"/>
      <c r="I57" s="4268"/>
      <c r="J57" s="4268"/>
      <c r="K57" s="4268"/>
      <c r="L57" s="4269">
        <f>'2 REPAIR ESTIMATOR'!P101</f>
        <v>0</v>
      </c>
      <c r="M57" s="4269"/>
      <c r="N57" s="4270" t="str">
        <f>T('2 REPAIR ESTIMATOR'!S101:T101)</f>
        <v>hrs</v>
      </c>
      <c r="O57" s="4270"/>
      <c r="P57" s="4271"/>
      <c r="Q57" s="4271"/>
      <c r="R57" s="4271"/>
      <c r="S57" s="4271"/>
      <c r="T57" s="4271"/>
      <c r="U57" s="4271"/>
      <c r="V57" s="4272"/>
      <c r="W57" s="12">
        <f t="shared" si="2"/>
        <v>1</v>
      </c>
      <c r="X57" s="12">
        <f t="shared" si="0"/>
        <v>1</v>
      </c>
      <c r="Y57" s="12">
        <f t="shared" si="1"/>
        <v>1</v>
      </c>
    </row>
    <row r="58" spans="4:25" ht="15.7">
      <c r="D58" s="4267" t="str">
        <f>T('2 REPAIR ESTIMATOR'!D102:O102)</f>
        <v/>
      </c>
      <c r="E58" s="4268"/>
      <c r="F58" s="4268"/>
      <c r="G58" s="4268"/>
      <c r="H58" s="4268"/>
      <c r="I58" s="4268"/>
      <c r="J58" s="4268"/>
      <c r="K58" s="4268"/>
      <c r="L58" s="4269">
        <f>'2 REPAIR ESTIMATOR'!P102</f>
        <v>0</v>
      </c>
      <c r="M58" s="4269"/>
      <c r="N58" s="4270" t="str">
        <f>T('2 REPAIR ESTIMATOR'!S102:T102)</f>
        <v/>
      </c>
      <c r="O58" s="4270"/>
      <c r="P58" s="4271"/>
      <c r="Q58" s="4271"/>
      <c r="R58" s="4271"/>
      <c r="S58" s="4271"/>
      <c r="T58" s="4271"/>
      <c r="U58" s="4271"/>
      <c r="V58" s="4272"/>
      <c r="W58" s="12">
        <f t="shared" si="2"/>
        <v>1</v>
      </c>
      <c r="X58" s="12">
        <f t="shared" si="0"/>
        <v>1</v>
      </c>
      <c r="Y58" s="12">
        <f t="shared" si="1"/>
        <v>1</v>
      </c>
    </row>
    <row r="59" spans="4:25" ht="15.7">
      <c r="D59" s="4267" t="str">
        <f>T('2 REPAIR ESTIMATOR'!D103:O103)</f>
        <v/>
      </c>
      <c r="E59" s="4268"/>
      <c r="F59" s="4268"/>
      <c r="G59" s="4268"/>
      <c r="H59" s="4268"/>
      <c r="I59" s="4268"/>
      <c r="J59" s="4268"/>
      <c r="K59" s="4268"/>
      <c r="L59" s="4269">
        <f>'2 REPAIR ESTIMATOR'!P103</f>
        <v>0</v>
      </c>
      <c r="M59" s="4269"/>
      <c r="N59" s="4270" t="str">
        <f>T('2 REPAIR ESTIMATOR'!S103:T103)</f>
        <v/>
      </c>
      <c r="O59" s="4270"/>
      <c r="P59" s="4271"/>
      <c r="Q59" s="4271"/>
      <c r="R59" s="4271"/>
      <c r="S59" s="4271"/>
      <c r="T59" s="4271"/>
      <c r="U59" s="4271"/>
      <c r="V59" s="4272"/>
      <c r="W59" s="12">
        <f t="shared" si="2"/>
        <v>1</v>
      </c>
      <c r="X59" s="12">
        <f t="shared" si="0"/>
        <v>1</v>
      </c>
      <c r="Y59" s="12">
        <f t="shared" si="1"/>
        <v>1</v>
      </c>
    </row>
    <row r="60" spans="4:25" ht="15.7">
      <c r="D60" s="4267" t="str">
        <f>T('2 REPAIR ESTIMATOR'!D104:O104)</f>
        <v/>
      </c>
      <c r="E60" s="4268"/>
      <c r="F60" s="4268"/>
      <c r="G60" s="4268"/>
      <c r="H60" s="4268"/>
      <c r="I60" s="4268"/>
      <c r="J60" s="4268"/>
      <c r="K60" s="4268"/>
      <c r="L60" s="4269">
        <f>'2 REPAIR ESTIMATOR'!P104</f>
        <v>0</v>
      </c>
      <c r="M60" s="4269"/>
      <c r="N60" s="4270" t="str">
        <f>T('2 REPAIR ESTIMATOR'!S104:T104)</f>
        <v/>
      </c>
      <c r="O60" s="4270"/>
      <c r="P60" s="4271"/>
      <c r="Q60" s="4271"/>
      <c r="R60" s="4271"/>
      <c r="S60" s="4271"/>
      <c r="T60" s="4271"/>
      <c r="U60" s="4271"/>
      <c r="V60" s="4272"/>
      <c r="W60" s="12">
        <f t="shared" si="2"/>
        <v>1</v>
      </c>
      <c r="X60" s="12">
        <f t="shared" si="0"/>
        <v>1</v>
      </c>
      <c r="Y60" s="12">
        <f t="shared" si="1"/>
        <v>1</v>
      </c>
    </row>
    <row r="61" spans="4:25" ht="15.7">
      <c r="D61" s="4267" t="str">
        <f>T('2 REPAIR ESTIMATOR'!D105:O105)</f>
        <v/>
      </c>
      <c r="E61" s="4268"/>
      <c r="F61" s="4268"/>
      <c r="G61" s="4268"/>
      <c r="H61" s="4268"/>
      <c r="I61" s="4268"/>
      <c r="J61" s="4268"/>
      <c r="K61" s="4268"/>
      <c r="L61" s="4269">
        <f>'2 REPAIR ESTIMATOR'!P105</f>
        <v>0</v>
      </c>
      <c r="M61" s="4269"/>
      <c r="N61" s="4270" t="str">
        <f>T('2 REPAIR ESTIMATOR'!S105:T105)</f>
        <v/>
      </c>
      <c r="O61" s="4270"/>
      <c r="P61" s="4271"/>
      <c r="Q61" s="4271"/>
      <c r="R61" s="4271"/>
      <c r="S61" s="4271"/>
      <c r="T61" s="4271"/>
      <c r="U61" s="4271"/>
      <c r="V61" s="4272"/>
      <c r="W61" s="12">
        <f t="shared" si="2"/>
        <v>1</v>
      </c>
      <c r="X61" s="12">
        <f t="shared" si="0"/>
        <v>1</v>
      </c>
      <c r="Y61" s="12">
        <f t="shared" si="1"/>
        <v>1</v>
      </c>
    </row>
    <row r="62" spans="4:25" ht="15.7">
      <c r="D62" s="4267" t="str">
        <f>T('2 REPAIR ESTIMATOR'!D106:O106)</f>
        <v/>
      </c>
      <c r="E62" s="4268"/>
      <c r="F62" s="4268"/>
      <c r="G62" s="4268"/>
      <c r="H62" s="4268"/>
      <c r="I62" s="4268"/>
      <c r="J62" s="4268"/>
      <c r="K62" s="4268"/>
      <c r="L62" s="4269">
        <f>'2 REPAIR ESTIMATOR'!P106</f>
        <v>0</v>
      </c>
      <c r="M62" s="4269"/>
      <c r="N62" s="4270" t="str">
        <f>T('2 REPAIR ESTIMATOR'!S106:T106)</f>
        <v/>
      </c>
      <c r="O62" s="4270"/>
      <c r="P62" s="4271"/>
      <c r="Q62" s="4271"/>
      <c r="R62" s="4271"/>
      <c r="S62" s="4271"/>
      <c r="T62" s="4271"/>
      <c r="U62" s="4271"/>
      <c r="V62" s="4272"/>
      <c r="W62" s="12">
        <f t="shared" si="2"/>
        <v>1</v>
      </c>
      <c r="X62" s="12">
        <f t="shared" si="0"/>
        <v>1</v>
      </c>
      <c r="Y62" s="12">
        <f t="shared" si="1"/>
        <v>1</v>
      </c>
    </row>
    <row r="63" spans="4:25" ht="15.7">
      <c r="D63" s="4267" t="str">
        <f>T('2 REPAIR ESTIMATOR'!D107:O107)</f>
        <v/>
      </c>
      <c r="E63" s="4268"/>
      <c r="F63" s="4268"/>
      <c r="G63" s="4268"/>
      <c r="H63" s="4268"/>
      <c r="I63" s="4268"/>
      <c r="J63" s="4268"/>
      <c r="K63" s="4268"/>
      <c r="L63" s="4269">
        <f>'2 REPAIR ESTIMATOR'!P107</f>
        <v>0</v>
      </c>
      <c r="M63" s="4269"/>
      <c r="N63" s="4270" t="str">
        <f>T('2 REPAIR ESTIMATOR'!S107:T107)</f>
        <v/>
      </c>
      <c r="O63" s="4270"/>
      <c r="P63" s="4271"/>
      <c r="Q63" s="4271"/>
      <c r="R63" s="4271"/>
      <c r="S63" s="4271"/>
      <c r="T63" s="4271"/>
      <c r="U63" s="4271"/>
      <c r="V63" s="4272"/>
      <c r="W63" s="12">
        <f t="shared" si="2"/>
        <v>1</v>
      </c>
      <c r="X63" s="12">
        <f t="shared" si="0"/>
        <v>1</v>
      </c>
      <c r="Y63" s="12">
        <f t="shared" si="1"/>
        <v>1</v>
      </c>
    </row>
    <row r="64" spans="4:25" ht="15.7">
      <c r="D64" s="4267" t="str">
        <f>T('2 REPAIR ESTIMATOR'!D108:O108)</f>
        <v/>
      </c>
      <c r="E64" s="4268"/>
      <c r="F64" s="4268"/>
      <c r="G64" s="4268"/>
      <c r="H64" s="4268"/>
      <c r="I64" s="4268"/>
      <c r="J64" s="4268"/>
      <c r="K64" s="4268"/>
      <c r="L64" s="4269">
        <f>'2 REPAIR ESTIMATOR'!P108</f>
        <v>0</v>
      </c>
      <c r="M64" s="4269"/>
      <c r="N64" s="4270" t="str">
        <f>T('2 REPAIR ESTIMATOR'!S108:T108)</f>
        <v/>
      </c>
      <c r="O64" s="4270"/>
      <c r="P64" s="4271"/>
      <c r="Q64" s="4271"/>
      <c r="R64" s="4271"/>
      <c r="S64" s="4271"/>
      <c r="T64" s="4271"/>
      <c r="U64" s="4271"/>
      <c r="V64" s="4272"/>
      <c r="W64" s="12">
        <f t="shared" si="2"/>
        <v>1</v>
      </c>
      <c r="X64" s="12">
        <f t="shared" si="0"/>
        <v>1</v>
      </c>
      <c r="Y64" s="12">
        <f t="shared" si="1"/>
        <v>1</v>
      </c>
    </row>
    <row r="65" spans="4:25" ht="15.7">
      <c r="D65" s="4267" t="str">
        <f>T('2 REPAIR ESTIMATOR'!D109:O109)</f>
        <v/>
      </c>
      <c r="E65" s="4268"/>
      <c r="F65" s="4268"/>
      <c r="G65" s="4268"/>
      <c r="H65" s="4268"/>
      <c r="I65" s="4268"/>
      <c r="J65" s="4268"/>
      <c r="K65" s="4268"/>
      <c r="L65" s="4269">
        <f>'2 REPAIR ESTIMATOR'!P109</f>
        <v>0</v>
      </c>
      <c r="M65" s="4269"/>
      <c r="N65" s="4270" t="str">
        <f>T('2 REPAIR ESTIMATOR'!S109:T109)</f>
        <v/>
      </c>
      <c r="O65" s="4270"/>
      <c r="P65" s="4271"/>
      <c r="Q65" s="4271"/>
      <c r="R65" s="4271"/>
      <c r="S65" s="4271"/>
      <c r="T65" s="4271"/>
      <c r="U65" s="4271"/>
      <c r="V65" s="4272"/>
      <c r="W65" s="12">
        <f t="shared" si="2"/>
        <v>1</v>
      </c>
      <c r="X65" s="12">
        <f t="shared" si="0"/>
        <v>1</v>
      </c>
      <c r="Y65" s="12">
        <f t="shared" si="1"/>
        <v>1</v>
      </c>
    </row>
    <row r="66" spans="4:25" ht="15.7">
      <c r="D66" s="4267" t="str">
        <f>T('2 REPAIR ESTIMATOR'!D110:O110)</f>
        <v/>
      </c>
      <c r="E66" s="4268"/>
      <c r="F66" s="4268"/>
      <c r="G66" s="4268"/>
      <c r="H66" s="4268"/>
      <c r="I66" s="4268"/>
      <c r="J66" s="4268"/>
      <c r="K66" s="4268"/>
      <c r="L66" s="4269">
        <f>'2 REPAIR ESTIMATOR'!P110</f>
        <v>0</v>
      </c>
      <c r="M66" s="4269"/>
      <c r="N66" s="4270" t="str">
        <f>T('2 REPAIR ESTIMATOR'!S110:T110)</f>
        <v/>
      </c>
      <c r="O66" s="4270"/>
      <c r="P66" s="4271"/>
      <c r="Q66" s="4271"/>
      <c r="R66" s="4271"/>
      <c r="S66" s="4271"/>
      <c r="T66" s="4271"/>
      <c r="U66" s="4271"/>
      <c r="V66" s="4272"/>
      <c r="W66" s="12">
        <f t="shared" si="2"/>
        <v>1</v>
      </c>
      <c r="X66" s="12">
        <f t="shared" si="0"/>
        <v>1</v>
      </c>
      <c r="Y66" s="12">
        <f t="shared" si="1"/>
        <v>1</v>
      </c>
    </row>
    <row r="67" spans="4:25" ht="15.7">
      <c r="D67" s="4267" t="str">
        <f>T('2 REPAIR ESTIMATOR'!D111:O111)</f>
        <v/>
      </c>
      <c r="E67" s="4268"/>
      <c r="F67" s="4268"/>
      <c r="G67" s="4268"/>
      <c r="H67" s="4268"/>
      <c r="I67" s="4268"/>
      <c r="J67" s="4268"/>
      <c r="K67" s="4268"/>
      <c r="L67" s="4269">
        <f>'2 REPAIR ESTIMATOR'!P111</f>
        <v>0</v>
      </c>
      <c r="M67" s="4269"/>
      <c r="N67" s="4270" t="str">
        <f>T('2 REPAIR ESTIMATOR'!S111:T111)</f>
        <v/>
      </c>
      <c r="O67" s="4270"/>
      <c r="P67" s="4271"/>
      <c r="Q67" s="4271"/>
      <c r="R67" s="4271"/>
      <c r="S67" s="4271"/>
      <c r="T67" s="4271"/>
      <c r="U67" s="4271"/>
      <c r="V67" s="4272"/>
      <c r="W67" s="12">
        <f t="shared" si="2"/>
        <v>1</v>
      </c>
      <c r="X67" s="12">
        <f t="shared" si="0"/>
        <v>1</v>
      </c>
      <c r="Y67" s="12">
        <f t="shared" si="1"/>
        <v>1</v>
      </c>
    </row>
    <row r="68" spans="4:25" ht="15.75" customHeight="1">
      <c r="D68" s="4267" t="str">
        <f>T('2 REPAIR ESTIMATOR'!D112:O112)</f>
        <v/>
      </c>
      <c r="E68" s="4268"/>
      <c r="F68" s="4268"/>
      <c r="G68" s="4268"/>
      <c r="H68" s="4268"/>
      <c r="I68" s="4268"/>
      <c r="J68" s="4268"/>
      <c r="K68" s="4268"/>
      <c r="L68" s="4269">
        <f>'2 REPAIR ESTIMATOR'!P112</f>
        <v>0</v>
      </c>
      <c r="M68" s="4269"/>
      <c r="N68" s="4270" t="str">
        <f>T('2 REPAIR ESTIMATOR'!S112:T112)</f>
        <v/>
      </c>
      <c r="O68" s="4270"/>
      <c r="P68" s="4271"/>
      <c r="Q68" s="4271"/>
      <c r="R68" s="4271"/>
      <c r="S68" s="4271"/>
      <c r="T68" s="4271"/>
      <c r="U68" s="4271"/>
      <c r="V68" s="4272"/>
      <c r="W68" s="12">
        <f t="shared" si="2"/>
        <v>1</v>
      </c>
      <c r="X68" s="12">
        <f t="shared" si="0"/>
        <v>1</v>
      </c>
      <c r="Y68" s="12">
        <f t="shared" si="1"/>
        <v>1</v>
      </c>
    </row>
    <row r="69" spans="4:25" ht="16.5" customHeight="1">
      <c r="D69" s="4267" t="str">
        <f>T('2 REPAIR ESTIMATOR'!D113:O113)</f>
        <v/>
      </c>
      <c r="E69" s="4268"/>
      <c r="F69" s="4268"/>
      <c r="G69" s="4268"/>
      <c r="H69" s="4268"/>
      <c r="I69" s="4268"/>
      <c r="J69" s="4268"/>
      <c r="K69" s="4268"/>
      <c r="L69" s="4269">
        <f>'2 REPAIR ESTIMATOR'!P113</f>
        <v>0</v>
      </c>
      <c r="M69" s="4269"/>
      <c r="N69" s="4270" t="str">
        <f>T('2 REPAIR ESTIMATOR'!S113:T113)</f>
        <v/>
      </c>
      <c r="O69" s="4270"/>
      <c r="P69" s="4271"/>
      <c r="Q69" s="4271"/>
      <c r="R69" s="4271"/>
      <c r="S69" s="4271"/>
      <c r="T69" s="4271"/>
      <c r="U69" s="4271"/>
      <c r="V69" s="4272"/>
      <c r="W69" s="12">
        <f t="shared" si="2"/>
        <v>1</v>
      </c>
      <c r="X69" s="12">
        <f t="shared" si="0"/>
        <v>1</v>
      </c>
      <c r="Y69" s="12">
        <f t="shared" si="1"/>
        <v>1</v>
      </c>
    </row>
    <row r="70" spans="4:25" ht="15.7">
      <c r="D70" s="4267" t="str">
        <f>T('2 REPAIR ESTIMATOR'!D114:O114)</f>
        <v/>
      </c>
      <c r="E70" s="4268"/>
      <c r="F70" s="4268"/>
      <c r="G70" s="4268"/>
      <c r="H70" s="4268"/>
      <c r="I70" s="4268"/>
      <c r="J70" s="4268"/>
      <c r="K70" s="4268"/>
      <c r="L70" s="4269">
        <f>'2 REPAIR ESTIMATOR'!P114</f>
        <v>0</v>
      </c>
      <c r="M70" s="4269"/>
      <c r="N70" s="4270" t="str">
        <f>T('2 REPAIR ESTIMATOR'!S114:T114)</f>
        <v/>
      </c>
      <c r="O70" s="4270"/>
      <c r="P70" s="4271"/>
      <c r="Q70" s="4271"/>
      <c r="R70" s="4271"/>
      <c r="S70" s="4271"/>
      <c r="T70" s="4271"/>
      <c r="U70" s="4271"/>
      <c r="V70" s="4272"/>
      <c r="W70" s="12">
        <f t="shared" si="2"/>
        <v>1</v>
      </c>
      <c r="X70" s="12">
        <f t="shared" si="0"/>
        <v>1</v>
      </c>
      <c r="Y70" s="12">
        <f t="shared" si="1"/>
        <v>1</v>
      </c>
    </row>
    <row r="71" spans="4:25" ht="15.7">
      <c r="D71" s="4267" t="str">
        <f>T('2 REPAIR ESTIMATOR'!D115:O115)</f>
        <v/>
      </c>
      <c r="E71" s="4268"/>
      <c r="F71" s="4268"/>
      <c r="G71" s="4268"/>
      <c r="H71" s="4268"/>
      <c r="I71" s="4268"/>
      <c r="J71" s="4268"/>
      <c r="K71" s="4268"/>
      <c r="L71" s="4269">
        <f>'2 REPAIR ESTIMATOR'!P115</f>
        <v>0</v>
      </c>
      <c r="M71" s="4269"/>
      <c r="N71" s="4270" t="str">
        <f>T('2 REPAIR ESTIMATOR'!S115:T115)</f>
        <v/>
      </c>
      <c r="O71" s="4270"/>
      <c r="P71" s="4271"/>
      <c r="Q71" s="4271"/>
      <c r="R71" s="4271"/>
      <c r="S71" s="4271"/>
      <c r="T71" s="4271"/>
      <c r="U71" s="4271"/>
      <c r="V71" s="4272"/>
      <c r="W71" s="12">
        <f t="shared" si="2"/>
        <v>1</v>
      </c>
      <c r="X71" s="12">
        <f t="shared" si="0"/>
        <v>1</v>
      </c>
      <c r="Y71" s="12">
        <f t="shared" si="1"/>
        <v>1</v>
      </c>
    </row>
    <row r="72" spans="4:25" ht="15.7">
      <c r="D72" s="4267" t="str">
        <f>T('2 REPAIR ESTIMATOR'!D116:O116)</f>
        <v/>
      </c>
      <c r="E72" s="4268"/>
      <c r="F72" s="4268"/>
      <c r="G72" s="4268"/>
      <c r="H72" s="4268"/>
      <c r="I72" s="4268"/>
      <c r="J72" s="4268"/>
      <c r="K72" s="4268"/>
      <c r="L72" s="4269">
        <f>'2 REPAIR ESTIMATOR'!P116</f>
        <v>0</v>
      </c>
      <c r="M72" s="4269"/>
      <c r="N72" s="4270" t="str">
        <f>T('2 REPAIR ESTIMATOR'!S116:T116)</f>
        <v/>
      </c>
      <c r="O72" s="4270"/>
      <c r="P72" s="4271"/>
      <c r="Q72" s="4271"/>
      <c r="R72" s="4271"/>
      <c r="S72" s="4271"/>
      <c r="T72" s="4271"/>
      <c r="U72" s="4271"/>
      <c r="V72" s="4272"/>
      <c r="W72" s="12">
        <f t="shared" si="2"/>
        <v>1</v>
      </c>
      <c r="X72" s="12">
        <f t="shared" si="0"/>
        <v>1</v>
      </c>
      <c r="Y72" s="12">
        <f t="shared" si="1"/>
        <v>1</v>
      </c>
    </row>
    <row r="73" spans="4:25" ht="15.7">
      <c r="D73" s="4267" t="str">
        <f>T('2 REPAIR ESTIMATOR'!D117:O117)</f>
        <v/>
      </c>
      <c r="E73" s="4268"/>
      <c r="F73" s="4268"/>
      <c r="G73" s="4268"/>
      <c r="H73" s="4268"/>
      <c r="I73" s="4268"/>
      <c r="J73" s="4268"/>
      <c r="K73" s="4268"/>
      <c r="L73" s="4269">
        <f>'2 REPAIR ESTIMATOR'!P117</f>
        <v>0</v>
      </c>
      <c r="M73" s="4269"/>
      <c r="N73" s="4270" t="str">
        <f>T('2 REPAIR ESTIMATOR'!S117:T117)</f>
        <v/>
      </c>
      <c r="O73" s="4270"/>
      <c r="P73" s="4271"/>
      <c r="Q73" s="4271"/>
      <c r="R73" s="4271"/>
      <c r="S73" s="4271"/>
      <c r="T73" s="4271"/>
      <c r="U73" s="4271"/>
      <c r="V73" s="4272"/>
      <c r="W73" s="12">
        <f t="shared" si="2"/>
        <v>1</v>
      </c>
      <c r="X73" s="12">
        <f t="shared" si="0"/>
        <v>1</v>
      </c>
      <c r="Y73" s="12">
        <f t="shared" si="1"/>
        <v>1</v>
      </c>
    </row>
    <row r="74" spans="4:25" ht="15.7">
      <c r="D74" s="4267" t="str">
        <f>T('2 REPAIR ESTIMATOR'!D118:O118)</f>
        <v/>
      </c>
      <c r="E74" s="4268"/>
      <c r="F74" s="4268"/>
      <c r="G74" s="4268"/>
      <c r="H74" s="4268"/>
      <c r="I74" s="4268"/>
      <c r="J74" s="4268"/>
      <c r="K74" s="4268"/>
      <c r="L74" s="4269">
        <f>'2 REPAIR ESTIMATOR'!P118</f>
        <v>0</v>
      </c>
      <c r="M74" s="4269"/>
      <c r="N74" s="4270" t="str">
        <f>T('2 REPAIR ESTIMATOR'!S118:T118)</f>
        <v/>
      </c>
      <c r="O74" s="4270"/>
      <c r="P74" s="4271"/>
      <c r="Q74" s="4271"/>
      <c r="R74" s="4271"/>
      <c r="S74" s="4271"/>
      <c r="T74" s="4271"/>
      <c r="U74" s="4271"/>
      <c r="V74" s="4272"/>
      <c r="W74" s="12">
        <f t="shared" si="2"/>
        <v>1</v>
      </c>
      <c r="X74" s="12">
        <f t="shared" si="0"/>
        <v>1</v>
      </c>
      <c r="Y74" s="12">
        <f t="shared" si="1"/>
        <v>1</v>
      </c>
    </row>
    <row r="75" spans="4:25" ht="15.7">
      <c r="D75" s="4267" t="str">
        <f>T('2 REPAIR ESTIMATOR'!D119:O119)</f>
        <v/>
      </c>
      <c r="E75" s="4268"/>
      <c r="F75" s="4268"/>
      <c r="G75" s="4268"/>
      <c r="H75" s="4268"/>
      <c r="I75" s="4268"/>
      <c r="J75" s="4268"/>
      <c r="K75" s="4268"/>
      <c r="L75" s="4269">
        <f>'2 REPAIR ESTIMATOR'!P119</f>
        <v>0</v>
      </c>
      <c r="M75" s="4269"/>
      <c r="N75" s="4270" t="str">
        <f>T('2 REPAIR ESTIMATOR'!S119:T119)</f>
        <v/>
      </c>
      <c r="O75" s="4270"/>
      <c r="P75" s="4271"/>
      <c r="Q75" s="4271"/>
      <c r="R75" s="4271"/>
      <c r="S75" s="4271"/>
      <c r="T75" s="4271"/>
      <c r="U75" s="4271"/>
      <c r="V75" s="4272"/>
      <c r="W75" s="12">
        <f t="shared" si="2"/>
        <v>1</v>
      </c>
      <c r="X75" s="12">
        <f t="shared" ref="X75:X98" si="3">IF(Scope1_Setting="Shown",1,0)</f>
        <v>1</v>
      </c>
      <c r="Y75" s="12">
        <f t="shared" si="1"/>
        <v>1</v>
      </c>
    </row>
    <row r="76" spans="4:25" ht="15.7">
      <c r="D76" s="4267" t="str">
        <f>T('2 REPAIR ESTIMATOR'!D120:O120)</f>
        <v/>
      </c>
      <c r="E76" s="4268"/>
      <c r="F76" s="4268"/>
      <c r="G76" s="4268"/>
      <c r="H76" s="4268"/>
      <c r="I76" s="4268"/>
      <c r="J76" s="4268"/>
      <c r="K76" s="4268"/>
      <c r="L76" s="4269">
        <f>'2 REPAIR ESTIMATOR'!P120</f>
        <v>0</v>
      </c>
      <c r="M76" s="4269"/>
      <c r="N76" s="4270" t="str">
        <f>T('2 REPAIR ESTIMATOR'!S120:T120)</f>
        <v/>
      </c>
      <c r="O76" s="4270"/>
      <c r="P76" s="4271"/>
      <c r="Q76" s="4271"/>
      <c r="R76" s="4271"/>
      <c r="S76" s="4271"/>
      <c r="T76" s="4271"/>
      <c r="U76" s="4271"/>
      <c r="V76" s="4272"/>
      <c r="W76" s="12">
        <f t="shared" si="2"/>
        <v>1</v>
      </c>
      <c r="X76" s="12">
        <f t="shared" si="3"/>
        <v>1</v>
      </c>
      <c r="Y76" s="12">
        <f t="shared" si="1"/>
        <v>1</v>
      </c>
    </row>
    <row r="77" spans="4:25" ht="15.7">
      <c r="D77" s="4267" t="str">
        <f>T('2 REPAIR ESTIMATOR'!D121:O121)</f>
        <v/>
      </c>
      <c r="E77" s="4268"/>
      <c r="F77" s="4268"/>
      <c r="G77" s="4268"/>
      <c r="H77" s="4268"/>
      <c r="I77" s="4268"/>
      <c r="J77" s="4268"/>
      <c r="K77" s="4268"/>
      <c r="L77" s="4269">
        <f>'2 REPAIR ESTIMATOR'!P121</f>
        <v>0</v>
      </c>
      <c r="M77" s="4269"/>
      <c r="N77" s="4270" t="str">
        <f>T('2 REPAIR ESTIMATOR'!S121:T121)</f>
        <v/>
      </c>
      <c r="O77" s="4270"/>
      <c r="P77" s="4271"/>
      <c r="Q77" s="4271"/>
      <c r="R77" s="4271"/>
      <c r="S77" s="4271"/>
      <c r="T77" s="4271"/>
      <c r="U77" s="4271"/>
      <c r="V77" s="4272"/>
      <c r="W77" s="12">
        <f t="shared" si="2"/>
        <v>1</v>
      </c>
      <c r="X77" s="12">
        <f t="shared" si="3"/>
        <v>1</v>
      </c>
      <c r="Y77" s="12">
        <f t="shared" si="1"/>
        <v>1</v>
      </c>
    </row>
    <row r="78" spans="4:25" ht="15.7">
      <c r="D78" s="4267" t="str">
        <f>T('2 REPAIR ESTIMATOR'!D122:O122)</f>
        <v/>
      </c>
      <c r="E78" s="4268"/>
      <c r="F78" s="4268"/>
      <c r="G78" s="4268"/>
      <c r="H78" s="4268"/>
      <c r="I78" s="4268"/>
      <c r="J78" s="4268"/>
      <c r="K78" s="4268"/>
      <c r="L78" s="4269">
        <f>'2 REPAIR ESTIMATOR'!P122</f>
        <v>0</v>
      </c>
      <c r="M78" s="4269"/>
      <c r="N78" s="4270" t="str">
        <f>T('2 REPAIR ESTIMATOR'!S122:T122)</f>
        <v/>
      </c>
      <c r="O78" s="4270"/>
      <c r="P78" s="4271"/>
      <c r="Q78" s="4271"/>
      <c r="R78" s="4271"/>
      <c r="S78" s="4271"/>
      <c r="T78" s="4271"/>
      <c r="U78" s="4271"/>
      <c r="V78" s="4272"/>
      <c r="W78" s="12">
        <f t="shared" si="2"/>
        <v>1</v>
      </c>
      <c r="X78" s="12">
        <f t="shared" si="3"/>
        <v>1</v>
      </c>
      <c r="Y78" s="12">
        <f t="shared" si="1"/>
        <v>1</v>
      </c>
    </row>
    <row r="79" spans="4:25" ht="15.7">
      <c r="D79" s="4267" t="str">
        <f>T('2 REPAIR ESTIMATOR'!D123:O123)</f>
        <v/>
      </c>
      <c r="E79" s="4268"/>
      <c r="F79" s="4268"/>
      <c r="G79" s="4268"/>
      <c r="H79" s="4268"/>
      <c r="I79" s="4268"/>
      <c r="J79" s="4268"/>
      <c r="K79" s="4268"/>
      <c r="L79" s="4269">
        <f>'2 REPAIR ESTIMATOR'!P123</f>
        <v>0</v>
      </c>
      <c r="M79" s="4269"/>
      <c r="N79" s="4270" t="str">
        <f>T('2 REPAIR ESTIMATOR'!S123:T123)</f>
        <v/>
      </c>
      <c r="O79" s="4270"/>
      <c r="P79" s="4271"/>
      <c r="Q79" s="4271"/>
      <c r="R79" s="4271"/>
      <c r="S79" s="4271"/>
      <c r="T79" s="4271"/>
      <c r="U79" s="4271"/>
      <c r="V79" s="4272"/>
      <c r="W79" s="12">
        <f t="shared" si="2"/>
        <v>1</v>
      </c>
      <c r="X79" s="12">
        <f t="shared" si="3"/>
        <v>1</v>
      </c>
      <c r="Y79" s="12">
        <f t="shared" si="1"/>
        <v>1</v>
      </c>
    </row>
    <row r="80" spans="4:25" ht="15.7">
      <c r="D80" s="4267" t="str">
        <f>T('2 REPAIR ESTIMATOR'!D124:O124)</f>
        <v/>
      </c>
      <c r="E80" s="4268"/>
      <c r="F80" s="4268"/>
      <c r="G80" s="4268"/>
      <c r="H80" s="4268"/>
      <c r="I80" s="4268"/>
      <c r="J80" s="4268"/>
      <c r="K80" s="4268"/>
      <c r="L80" s="4269">
        <f>'2 REPAIR ESTIMATOR'!P124</f>
        <v>0</v>
      </c>
      <c r="M80" s="4269"/>
      <c r="N80" s="4270" t="str">
        <f>T('2 REPAIR ESTIMATOR'!S124:T124)</f>
        <v/>
      </c>
      <c r="O80" s="4270"/>
      <c r="P80" s="4271"/>
      <c r="Q80" s="4271"/>
      <c r="R80" s="4271"/>
      <c r="S80" s="4271"/>
      <c r="T80" s="4271"/>
      <c r="U80" s="4271"/>
      <c r="V80" s="4272"/>
      <c r="W80" s="12">
        <f t="shared" si="2"/>
        <v>1</v>
      </c>
      <c r="X80" s="12">
        <f t="shared" si="3"/>
        <v>1</v>
      </c>
      <c r="Y80" s="12">
        <f t="shared" si="1"/>
        <v>1</v>
      </c>
    </row>
    <row r="81" spans="3:25" ht="15.7">
      <c r="D81" s="4267" t="str">
        <f>T('2 REPAIR ESTIMATOR'!D125:O125)</f>
        <v/>
      </c>
      <c r="E81" s="4268"/>
      <c r="F81" s="4268"/>
      <c r="G81" s="4268"/>
      <c r="H81" s="4268"/>
      <c r="I81" s="4268"/>
      <c r="J81" s="4268"/>
      <c r="K81" s="4268"/>
      <c r="L81" s="4269">
        <f>'2 REPAIR ESTIMATOR'!P125</f>
        <v>0</v>
      </c>
      <c r="M81" s="4269"/>
      <c r="N81" s="4270" t="str">
        <f>T('2 REPAIR ESTIMATOR'!S125:T125)</f>
        <v/>
      </c>
      <c r="O81" s="4270"/>
      <c r="P81" s="4271"/>
      <c r="Q81" s="4271"/>
      <c r="R81" s="4271"/>
      <c r="S81" s="4271"/>
      <c r="T81" s="4271"/>
      <c r="U81" s="4271"/>
      <c r="V81" s="4272"/>
      <c r="W81" s="12">
        <f t="shared" si="2"/>
        <v>1</v>
      </c>
      <c r="X81" s="12">
        <f t="shared" si="3"/>
        <v>1</v>
      </c>
      <c r="Y81" s="12">
        <f t="shared" si="1"/>
        <v>1</v>
      </c>
    </row>
    <row r="82" spans="3:25" ht="15.7">
      <c r="D82" s="4267" t="str">
        <f>T('2 REPAIR ESTIMATOR'!D126:O126)</f>
        <v/>
      </c>
      <c r="E82" s="4268"/>
      <c r="F82" s="4268"/>
      <c r="G82" s="4268"/>
      <c r="H82" s="4268"/>
      <c r="I82" s="4268"/>
      <c r="J82" s="4268"/>
      <c r="K82" s="4268"/>
      <c r="L82" s="4269">
        <f>'2 REPAIR ESTIMATOR'!P126</f>
        <v>0</v>
      </c>
      <c r="M82" s="4269"/>
      <c r="N82" s="4270" t="str">
        <f>T('2 REPAIR ESTIMATOR'!S126:T126)</f>
        <v/>
      </c>
      <c r="O82" s="4270"/>
      <c r="P82" s="4271"/>
      <c r="Q82" s="4271"/>
      <c r="R82" s="4271"/>
      <c r="S82" s="4271"/>
      <c r="T82" s="4271"/>
      <c r="U82" s="4271"/>
      <c r="V82" s="4272"/>
      <c r="W82" s="12">
        <f t="shared" si="2"/>
        <v>1</v>
      </c>
      <c r="X82" s="12">
        <f t="shared" si="3"/>
        <v>1</v>
      </c>
      <c r="Y82" s="12">
        <f t="shared" si="1"/>
        <v>1</v>
      </c>
    </row>
    <row r="83" spans="3:25" ht="15.7">
      <c r="D83" s="4267" t="str">
        <f>T('2 REPAIR ESTIMATOR'!D127:O127)</f>
        <v/>
      </c>
      <c r="E83" s="4268"/>
      <c r="F83" s="4268"/>
      <c r="G83" s="4268"/>
      <c r="H83" s="4268"/>
      <c r="I83" s="4268"/>
      <c r="J83" s="4268"/>
      <c r="K83" s="4268"/>
      <c r="L83" s="4269">
        <f>'2 REPAIR ESTIMATOR'!P127</f>
        <v>0</v>
      </c>
      <c r="M83" s="4269"/>
      <c r="N83" s="4270" t="str">
        <f>T('2 REPAIR ESTIMATOR'!S127:T127)</f>
        <v/>
      </c>
      <c r="O83" s="4270"/>
      <c r="P83" s="4271"/>
      <c r="Q83" s="4271"/>
      <c r="R83" s="4271"/>
      <c r="S83" s="4271"/>
      <c r="T83" s="4271"/>
      <c r="U83" s="4271"/>
      <c r="V83" s="4272"/>
      <c r="W83" s="12">
        <f t="shared" si="2"/>
        <v>1</v>
      </c>
      <c r="X83" s="12">
        <f t="shared" si="3"/>
        <v>1</v>
      </c>
      <c r="Y83" s="12">
        <f t="shared" si="1"/>
        <v>1</v>
      </c>
    </row>
    <row r="84" spans="3:25" ht="15.7">
      <c r="D84" s="723"/>
      <c r="E84" s="723"/>
      <c r="F84" s="723"/>
      <c r="G84" s="723"/>
      <c r="H84" s="723"/>
      <c r="I84" s="723"/>
      <c r="J84" s="723"/>
      <c r="K84" s="723"/>
      <c r="L84" s="724"/>
      <c r="M84" s="724"/>
      <c r="N84" s="725"/>
      <c r="O84" s="725"/>
      <c r="P84" s="724"/>
      <c r="Q84" s="445"/>
      <c r="R84" s="445"/>
      <c r="S84" s="725"/>
      <c r="T84" s="725"/>
      <c r="U84" s="725"/>
      <c r="V84" s="725"/>
      <c r="W84" s="12">
        <f>W85</f>
        <v>0</v>
      </c>
      <c r="X84" s="12">
        <f t="shared" si="3"/>
        <v>1</v>
      </c>
      <c r="Y84" s="12">
        <f t="shared" si="1"/>
        <v>0</v>
      </c>
    </row>
    <row r="85" spans="3:25" ht="16.7">
      <c r="C85" s="6"/>
      <c r="D85" s="4266" t="str">
        <f>UPPER(CONCATENATE("Miscellaneous ",D43," Items"))</f>
        <v>MISCELLANEOUS GENERAL CONDITIONS ITEMS</v>
      </c>
      <c r="E85" s="4266"/>
      <c r="F85" s="4266"/>
      <c r="G85" s="4266"/>
      <c r="H85" s="4266"/>
      <c r="I85" s="4266"/>
      <c r="J85" s="4266"/>
      <c r="K85" s="4266"/>
      <c r="L85" s="4266"/>
      <c r="M85" s="4266"/>
      <c r="N85" s="4266"/>
      <c r="O85" s="4266"/>
      <c r="P85" s="4266"/>
      <c r="Q85" s="4266"/>
      <c r="R85" s="4266"/>
      <c r="S85" s="4266"/>
      <c r="T85" s="4266"/>
      <c r="U85" s="4266"/>
      <c r="V85" s="4266"/>
      <c r="W85" s="12">
        <f>SUM(W86:W95)</f>
        <v>0</v>
      </c>
      <c r="X85" s="12">
        <f t="shared" si="3"/>
        <v>1</v>
      </c>
      <c r="Y85" s="12">
        <f t="shared" si="1"/>
        <v>0</v>
      </c>
    </row>
    <row r="86" spans="3:25" ht="15.7">
      <c r="D86" s="712">
        <v>1</v>
      </c>
      <c r="E86" s="4263"/>
      <c r="F86" s="4263"/>
      <c r="G86" s="4263"/>
      <c r="H86" s="4263"/>
      <c r="I86" s="4263"/>
      <c r="J86" s="4263"/>
      <c r="K86" s="4263"/>
      <c r="L86" s="4263"/>
      <c r="M86" s="4263"/>
      <c r="N86" s="4263"/>
      <c r="O86" s="4263"/>
      <c r="P86" s="4263"/>
      <c r="Q86" s="4263"/>
      <c r="R86" s="4263"/>
      <c r="S86" s="4263"/>
      <c r="T86" s="4263"/>
      <c r="U86" s="4263"/>
      <c r="V86" s="4263"/>
      <c r="W86" s="12">
        <f>IF(E86&lt;&gt;"",1,0)*$W$43</f>
        <v>0</v>
      </c>
      <c r="X86" s="12">
        <f t="shared" si="3"/>
        <v>1</v>
      </c>
      <c r="Y86" s="12">
        <f t="shared" si="1"/>
        <v>0</v>
      </c>
    </row>
    <row r="87" spans="3:25" ht="15.7">
      <c r="D87" s="712">
        <v>2</v>
      </c>
      <c r="E87" s="4263"/>
      <c r="F87" s="4263"/>
      <c r="G87" s="4263"/>
      <c r="H87" s="4263"/>
      <c r="I87" s="4263"/>
      <c r="J87" s="4263"/>
      <c r="K87" s="4263"/>
      <c r="L87" s="4263"/>
      <c r="M87" s="4263"/>
      <c r="N87" s="4263"/>
      <c r="O87" s="4263"/>
      <c r="P87" s="4263"/>
      <c r="Q87" s="4263"/>
      <c r="R87" s="4263"/>
      <c r="S87" s="4263"/>
      <c r="T87" s="4263"/>
      <c r="U87" s="4263"/>
      <c r="V87" s="4263"/>
      <c r="W87" s="12">
        <f t="shared" ref="W87:W95" si="4">IF(E87&lt;&gt;"",1,0)*$W$43</f>
        <v>0</v>
      </c>
      <c r="X87" s="12">
        <f t="shared" si="3"/>
        <v>1</v>
      </c>
      <c r="Y87" s="12">
        <f t="shared" si="1"/>
        <v>0</v>
      </c>
    </row>
    <row r="88" spans="3:25" ht="15.7">
      <c r="D88" s="712">
        <v>3</v>
      </c>
      <c r="E88" s="4263"/>
      <c r="F88" s="4263"/>
      <c r="G88" s="4263"/>
      <c r="H88" s="4263"/>
      <c r="I88" s="4263"/>
      <c r="J88" s="4263"/>
      <c r="K88" s="4263"/>
      <c r="L88" s="4263"/>
      <c r="M88" s="4263"/>
      <c r="N88" s="4263"/>
      <c r="O88" s="4263"/>
      <c r="P88" s="4263"/>
      <c r="Q88" s="4263"/>
      <c r="R88" s="4263"/>
      <c r="S88" s="4263"/>
      <c r="T88" s="4263"/>
      <c r="U88" s="4263"/>
      <c r="V88" s="4263"/>
      <c r="W88" s="12">
        <f t="shared" si="4"/>
        <v>0</v>
      </c>
      <c r="X88" s="12">
        <f t="shared" si="3"/>
        <v>1</v>
      </c>
      <c r="Y88" s="12">
        <f t="shared" si="1"/>
        <v>0</v>
      </c>
    </row>
    <row r="89" spans="3:25" ht="15.7">
      <c r="D89" s="712">
        <v>4</v>
      </c>
      <c r="E89" s="4263"/>
      <c r="F89" s="4263"/>
      <c r="G89" s="4263"/>
      <c r="H89" s="4263"/>
      <c r="I89" s="4263"/>
      <c r="J89" s="4263"/>
      <c r="K89" s="4263"/>
      <c r="L89" s="4263"/>
      <c r="M89" s="4263"/>
      <c r="N89" s="4263"/>
      <c r="O89" s="4263"/>
      <c r="P89" s="4263"/>
      <c r="Q89" s="4263"/>
      <c r="R89" s="4263"/>
      <c r="S89" s="4263"/>
      <c r="T89" s="4263"/>
      <c r="U89" s="4263"/>
      <c r="V89" s="4263"/>
      <c r="W89" s="12">
        <f t="shared" si="4"/>
        <v>0</v>
      </c>
      <c r="X89" s="12">
        <f t="shared" si="3"/>
        <v>1</v>
      </c>
      <c r="Y89" s="12">
        <f t="shared" si="1"/>
        <v>0</v>
      </c>
    </row>
    <row r="90" spans="3:25" ht="15.7">
      <c r="D90" s="712">
        <v>5</v>
      </c>
      <c r="E90" s="4263"/>
      <c r="F90" s="4263"/>
      <c r="G90" s="4263"/>
      <c r="H90" s="4263"/>
      <c r="I90" s="4263"/>
      <c r="J90" s="4263"/>
      <c r="K90" s="4263"/>
      <c r="L90" s="4263"/>
      <c r="M90" s="4263"/>
      <c r="N90" s="4263"/>
      <c r="O90" s="4263"/>
      <c r="P90" s="4263"/>
      <c r="Q90" s="4263"/>
      <c r="R90" s="4263"/>
      <c r="S90" s="4263"/>
      <c r="T90" s="4263"/>
      <c r="U90" s="4263"/>
      <c r="V90" s="4263"/>
      <c r="W90" s="12">
        <f t="shared" si="4"/>
        <v>0</v>
      </c>
      <c r="X90" s="12">
        <f t="shared" si="3"/>
        <v>1</v>
      </c>
      <c r="Y90" s="12">
        <f t="shared" si="1"/>
        <v>0</v>
      </c>
    </row>
    <row r="91" spans="3:25" ht="15.7">
      <c r="D91" s="712">
        <v>6</v>
      </c>
      <c r="E91" s="4263"/>
      <c r="F91" s="4263"/>
      <c r="G91" s="4263"/>
      <c r="H91" s="4263"/>
      <c r="I91" s="4263"/>
      <c r="J91" s="4263"/>
      <c r="K91" s="4263"/>
      <c r="L91" s="4263"/>
      <c r="M91" s="4263"/>
      <c r="N91" s="4263"/>
      <c r="O91" s="4263"/>
      <c r="P91" s="4263"/>
      <c r="Q91" s="4263"/>
      <c r="R91" s="4263"/>
      <c r="S91" s="4263"/>
      <c r="T91" s="4263"/>
      <c r="U91" s="4263"/>
      <c r="V91" s="4263"/>
      <c r="W91" s="12">
        <f t="shared" si="4"/>
        <v>0</v>
      </c>
      <c r="X91" s="12">
        <f t="shared" si="3"/>
        <v>1</v>
      </c>
      <c r="Y91" s="12">
        <f t="shared" si="1"/>
        <v>0</v>
      </c>
    </row>
    <row r="92" spans="3:25" ht="15.7">
      <c r="D92" s="712">
        <v>7</v>
      </c>
      <c r="E92" s="4263"/>
      <c r="F92" s="4263"/>
      <c r="G92" s="4263"/>
      <c r="H92" s="4263"/>
      <c r="I92" s="4263"/>
      <c r="J92" s="4263"/>
      <c r="K92" s="4263"/>
      <c r="L92" s="4263"/>
      <c r="M92" s="4263"/>
      <c r="N92" s="4263"/>
      <c r="O92" s="4263"/>
      <c r="P92" s="4263"/>
      <c r="Q92" s="4263"/>
      <c r="R92" s="4263"/>
      <c r="S92" s="4263"/>
      <c r="T92" s="4263"/>
      <c r="U92" s="4263"/>
      <c r="V92" s="4263"/>
      <c r="W92" s="12">
        <f t="shared" si="4"/>
        <v>0</v>
      </c>
      <c r="X92" s="12">
        <f t="shared" si="3"/>
        <v>1</v>
      </c>
      <c r="Y92" s="12">
        <f t="shared" si="1"/>
        <v>0</v>
      </c>
    </row>
    <row r="93" spans="3:25" ht="15.7">
      <c r="D93" s="712">
        <v>8</v>
      </c>
      <c r="E93" s="4263"/>
      <c r="F93" s="4263"/>
      <c r="G93" s="4263"/>
      <c r="H93" s="4263"/>
      <c r="I93" s="4263"/>
      <c r="J93" s="4263"/>
      <c r="K93" s="4263"/>
      <c r="L93" s="4263"/>
      <c r="M93" s="4263"/>
      <c r="N93" s="4263"/>
      <c r="O93" s="4263"/>
      <c r="P93" s="4263"/>
      <c r="Q93" s="4263"/>
      <c r="R93" s="4263"/>
      <c r="S93" s="4263"/>
      <c r="T93" s="4263"/>
      <c r="U93" s="4263"/>
      <c r="V93" s="4263"/>
      <c r="W93" s="12">
        <f t="shared" si="4"/>
        <v>0</v>
      </c>
      <c r="X93" s="12">
        <f t="shared" si="3"/>
        <v>1</v>
      </c>
      <c r="Y93" s="12">
        <f t="shared" si="1"/>
        <v>0</v>
      </c>
    </row>
    <row r="94" spans="3:25" ht="15.7">
      <c r="D94" s="712">
        <v>9</v>
      </c>
      <c r="E94" s="4263"/>
      <c r="F94" s="4263"/>
      <c r="G94" s="4263"/>
      <c r="H94" s="4263"/>
      <c r="I94" s="4263"/>
      <c r="J94" s="4263"/>
      <c r="K94" s="4263"/>
      <c r="L94" s="4263"/>
      <c r="M94" s="4263"/>
      <c r="N94" s="4263"/>
      <c r="O94" s="4263"/>
      <c r="P94" s="4263"/>
      <c r="Q94" s="4263"/>
      <c r="R94" s="4263"/>
      <c r="S94" s="4263"/>
      <c r="T94" s="4263"/>
      <c r="U94" s="4263"/>
      <c r="V94" s="4263"/>
      <c r="W94" s="12">
        <f t="shared" si="4"/>
        <v>0</v>
      </c>
      <c r="X94" s="12">
        <f t="shared" si="3"/>
        <v>1</v>
      </c>
      <c r="Y94" s="12">
        <f t="shared" si="1"/>
        <v>0</v>
      </c>
    </row>
    <row r="95" spans="3:25" ht="15.7">
      <c r="D95" s="712">
        <v>10</v>
      </c>
      <c r="E95" s="4263"/>
      <c r="F95" s="4263"/>
      <c r="G95" s="4263"/>
      <c r="H95" s="4263"/>
      <c r="I95" s="4263"/>
      <c r="J95" s="4263"/>
      <c r="K95" s="4263"/>
      <c r="L95" s="4263"/>
      <c r="M95" s="4263"/>
      <c r="N95" s="4263"/>
      <c r="O95" s="4263"/>
      <c r="P95" s="4263"/>
      <c r="Q95" s="4263"/>
      <c r="R95" s="4263"/>
      <c r="S95" s="4263"/>
      <c r="T95" s="4263"/>
      <c r="U95" s="4263"/>
      <c r="V95" s="4263"/>
      <c r="W95" s="12">
        <f t="shared" si="4"/>
        <v>0</v>
      </c>
      <c r="X95" s="12">
        <f t="shared" si="3"/>
        <v>1</v>
      </c>
      <c r="Y95" s="12">
        <f t="shared" si="1"/>
        <v>0</v>
      </c>
    </row>
    <row r="96" spans="3:25" ht="15.7">
      <c r="D96" s="702"/>
      <c r="E96" s="723"/>
      <c r="F96" s="723"/>
      <c r="G96" s="723"/>
      <c r="H96" s="723"/>
      <c r="I96" s="723"/>
      <c r="J96" s="723"/>
      <c r="K96" s="723"/>
      <c r="L96" s="724"/>
      <c r="M96" s="724"/>
      <c r="N96" s="725"/>
      <c r="O96" s="725"/>
      <c r="P96" s="724"/>
      <c r="Q96" s="445"/>
      <c r="R96" s="445"/>
      <c r="S96" s="725"/>
      <c r="T96" s="725"/>
      <c r="U96" s="725"/>
      <c r="V96" s="725"/>
      <c r="W96" s="12">
        <f>$W$43</f>
        <v>0</v>
      </c>
      <c r="X96" s="12">
        <f t="shared" si="3"/>
        <v>1</v>
      </c>
      <c r="Y96" s="12">
        <f t="shared" si="1"/>
        <v>0</v>
      </c>
    </row>
    <row r="97" spans="4:25" ht="40.5" customHeight="1">
      <c r="D97" s="4264" t="str">
        <f>UPPER(CONCATENATE("TOTAL ",D43))</f>
        <v>TOTAL GENERAL CONDITIONS</v>
      </c>
      <c r="E97" s="4264"/>
      <c r="F97" s="4264"/>
      <c r="G97" s="4264"/>
      <c r="H97" s="4264"/>
      <c r="I97" s="4264"/>
      <c r="J97" s="4264"/>
      <c r="K97" s="4264"/>
      <c r="L97" s="4264"/>
      <c r="M97" s="4264"/>
      <c r="N97" s="4264"/>
      <c r="O97" s="4264"/>
      <c r="P97" s="4264"/>
      <c r="Q97" s="4265"/>
      <c r="R97" s="4265"/>
      <c r="S97" s="4265"/>
      <c r="T97" s="4265"/>
      <c r="U97" s="4265"/>
      <c r="V97" s="4265"/>
      <c r="W97" s="12">
        <f>$W$43</f>
        <v>0</v>
      </c>
      <c r="X97" s="12">
        <f t="shared" si="3"/>
        <v>1</v>
      </c>
      <c r="Y97" s="12">
        <f t="shared" si="1"/>
        <v>0</v>
      </c>
    </row>
    <row r="98" spans="4:25" ht="15.7">
      <c r="D98" s="723"/>
      <c r="E98" s="723"/>
      <c r="F98" s="723"/>
      <c r="G98" s="723"/>
      <c r="H98" s="723"/>
      <c r="I98" s="723"/>
      <c r="J98" s="723"/>
      <c r="K98" s="723"/>
      <c r="L98" s="724"/>
      <c r="M98" s="724"/>
      <c r="N98" s="725"/>
      <c r="O98" s="725"/>
      <c r="P98" s="724"/>
      <c r="Q98" s="445"/>
      <c r="R98" s="445"/>
      <c r="S98" s="726"/>
      <c r="T98" s="726"/>
      <c r="U98" s="726"/>
      <c r="V98" s="726"/>
      <c r="W98" s="12">
        <f>$W$43</f>
        <v>0</v>
      </c>
      <c r="X98" s="12">
        <f t="shared" si="3"/>
        <v>1</v>
      </c>
      <c r="Y98" s="12">
        <f t="shared" si="1"/>
        <v>0</v>
      </c>
    </row>
    <row r="99" spans="4:25" ht="26.45" customHeight="1">
      <c r="D99" s="4275" t="str">
        <f>T('2 REPAIR ESTIMATOR'!D132:O132)</f>
        <v>DEMOLITION</v>
      </c>
      <c r="E99" s="4275"/>
      <c r="F99" s="4275"/>
      <c r="G99" s="4275"/>
      <c r="H99" s="4275"/>
      <c r="I99" s="4275"/>
      <c r="J99" s="4275"/>
      <c r="K99" s="4276"/>
      <c r="L99" s="4277">
        <f>SUM(L100:M139)</f>
        <v>0</v>
      </c>
      <c r="M99" s="4278"/>
      <c r="N99" s="4279"/>
      <c r="O99" s="4280"/>
      <c r="P99" s="4277"/>
      <c r="Q99" s="4281"/>
      <c r="R99" s="4281"/>
      <c r="S99" s="4281"/>
      <c r="T99" s="4281"/>
      <c r="U99" s="4281"/>
      <c r="V99" s="4281"/>
      <c r="W99" s="12">
        <f>IF(L99&gt;0,1,0)</f>
        <v>0</v>
      </c>
      <c r="X99" s="12">
        <f t="shared" ref="X99:X130" si="5">IF(Scope2_Setting="Shown",1,0)</f>
        <v>1</v>
      </c>
      <c r="Y99" s="12">
        <f t="shared" si="1"/>
        <v>0</v>
      </c>
    </row>
    <row r="100" spans="4:25" ht="15.7">
      <c r="D100" s="4267" t="str">
        <f>T('2 REPAIR ESTIMATOR'!D133:O133)</f>
        <v>Demolition</v>
      </c>
      <c r="E100" s="4268"/>
      <c r="F100" s="4268"/>
      <c r="G100" s="4268"/>
      <c r="H100" s="4268"/>
      <c r="I100" s="4268"/>
      <c r="J100" s="4268"/>
      <c r="K100" s="4268"/>
      <c r="L100" s="4269">
        <f>'2 REPAIR ESTIMATOR'!P133</f>
        <v>0</v>
      </c>
      <c r="M100" s="4269"/>
      <c r="N100" s="4270" t="str">
        <f>T('2 REPAIR ESTIMATOR'!S133)</f>
        <v>ls</v>
      </c>
      <c r="O100" s="4270"/>
      <c r="P100" s="4273"/>
      <c r="Q100" s="4273"/>
      <c r="R100" s="4273"/>
      <c r="S100" s="4273"/>
      <c r="T100" s="4273"/>
      <c r="U100" s="4273"/>
      <c r="V100" s="4274"/>
      <c r="W100" s="12">
        <f>IF(L100="",0,1)</f>
        <v>1</v>
      </c>
      <c r="X100" s="12">
        <f t="shared" si="5"/>
        <v>1</v>
      </c>
      <c r="Y100" s="12">
        <f t="shared" si="1"/>
        <v>1</v>
      </c>
    </row>
    <row r="101" spans="4:25" ht="15.7">
      <c r="D101" s="4267" t="str">
        <f>T('2 REPAIR ESTIMATOR'!D134:O134)</f>
        <v>Demo bid/allowance</v>
      </c>
      <c r="E101" s="4268"/>
      <c r="F101" s="4268"/>
      <c r="G101" s="4268"/>
      <c r="H101" s="4268"/>
      <c r="I101" s="4268"/>
      <c r="J101" s="4268"/>
      <c r="K101" s="4268"/>
      <c r="L101" s="4269">
        <f>'2 REPAIR ESTIMATOR'!P134</f>
        <v>0</v>
      </c>
      <c r="M101" s="4269"/>
      <c r="N101" s="4270" t="str">
        <f>T('2 REPAIR ESTIMATOR'!S134)</f>
        <v>ls</v>
      </c>
      <c r="O101" s="4270"/>
      <c r="P101" s="4271"/>
      <c r="Q101" s="4271"/>
      <c r="R101" s="4271"/>
      <c r="S101" s="4271"/>
      <c r="T101" s="4271"/>
      <c r="U101" s="4271"/>
      <c r="V101" s="4272"/>
      <c r="W101" s="12">
        <f t="shared" ref="W101:W139" si="6">IF(L101="",0,1)</f>
        <v>1</v>
      </c>
      <c r="X101" s="12">
        <f t="shared" si="5"/>
        <v>1</v>
      </c>
      <c r="Y101" s="12">
        <f t="shared" si="1"/>
        <v>1</v>
      </c>
    </row>
    <row r="102" spans="4:25" ht="15.7">
      <c r="D102" s="4267" t="str">
        <f>T('2 REPAIR ESTIMATOR'!D135:O135)</f>
        <v>Demolition work per hour</v>
      </c>
      <c r="E102" s="4268"/>
      <c r="F102" s="4268"/>
      <c r="G102" s="4268"/>
      <c r="H102" s="4268"/>
      <c r="I102" s="4268"/>
      <c r="J102" s="4268"/>
      <c r="K102" s="4268"/>
      <c r="L102" s="4269">
        <f>'2 REPAIR ESTIMATOR'!P135</f>
        <v>0</v>
      </c>
      <c r="M102" s="4269"/>
      <c r="N102" s="4270" t="str">
        <f>T('2 REPAIR ESTIMATOR'!S135)</f>
        <v>hrs</v>
      </c>
      <c r="O102" s="4270"/>
      <c r="P102" s="4271"/>
      <c r="Q102" s="4271"/>
      <c r="R102" s="4271"/>
      <c r="S102" s="4271"/>
      <c r="T102" s="4271"/>
      <c r="U102" s="4271"/>
      <c r="V102" s="4272"/>
      <c r="W102" s="12">
        <f t="shared" si="6"/>
        <v>1</v>
      </c>
      <c r="X102" s="12">
        <f t="shared" si="5"/>
        <v>1</v>
      </c>
      <c r="Y102" s="12">
        <f t="shared" si="1"/>
        <v>1</v>
      </c>
    </row>
    <row r="103" spans="4:25" ht="15.7">
      <c r="D103" s="4267" t="str">
        <f>T('2 REPAIR ESTIMATOR'!D136:O136)</f>
        <v>Room demolition, typical room</v>
      </c>
      <c r="E103" s="4268"/>
      <c r="F103" s="4268"/>
      <c r="G103" s="4268"/>
      <c r="H103" s="4268"/>
      <c r="I103" s="4268"/>
      <c r="J103" s="4268"/>
      <c r="K103" s="4268"/>
      <c r="L103" s="4269">
        <f>'2 REPAIR ESTIMATOR'!P136</f>
        <v>0</v>
      </c>
      <c r="M103" s="4269"/>
      <c r="N103" s="4270" t="str">
        <f>T('2 REPAIR ESTIMATOR'!S136)</f>
        <v>sf</v>
      </c>
      <c r="O103" s="4270"/>
      <c r="P103" s="4271"/>
      <c r="Q103" s="4271"/>
      <c r="R103" s="4271"/>
      <c r="S103" s="4271"/>
      <c r="T103" s="4271"/>
      <c r="U103" s="4271"/>
      <c r="V103" s="4272"/>
      <c r="W103" s="12">
        <f t="shared" si="6"/>
        <v>1</v>
      </c>
      <c r="X103" s="12">
        <f t="shared" si="5"/>
        <v>1</v>
      </c>
      <c r="Y103" s="12">
        <f t="shared" si="1"/>
        <v>1</v>
      </c>
    </row>
    <row r="104" spans="4:25" ht="15.7">
      <c r="D104" s="4267" t="str">
        <f>T('2 REPAIR ESTIMATOR'!D137:O137)</f>
        <v>Room demolition, bathroom</v>
      </c>
      <c r="E104" s="4268"/>
      <c r="F104" s="4268"/>
      <c r="G104" s="4268"/>
      <c r="H104" s="4268"/>
      <c r="I104" s="4268"/>
      <c r="J104" s="4268"/>
      <c r="K104" s="4268"/>
      <c r="L104" s="4269">
        <f>'2 REPAIR ESTIMATOR'!P137</f>
        <v>0</v>
      </c>
      <c r="M104" s="4269"/>
      <c r="N104" s="4270" t="str">
        <f>T('2 REPAIR ESTIMATOR'!S137)</f>
        <v>sf</v>
      </c>
      <c r="O104" s="4270"/>
      <c r="P104" s="4271"/>
      <c r="Q104" s="4271"/>
      <c r="R104" s="4271"/>
      <c r="S104" s="4271"/>
      <c r="T104" s="4271"/>
      <c r="U104" s="4271"/>
      <c r="V104" s="4272"/>
      <c r="W104" s="12">
        <f t="shared" si="6"/>
        <v>1</v>
      </c>
      <c r="X104" s="12">
        <f t="shared" si="5"/>
        <v>1</v>
      </c>
      <c r="Y104" s="12">
        <f t="shared" si="1"/>
        <v>1</v>
      </c>
    </row>
    <row r="105" spans="4:25" ht="15.7">
      <c r="D105" s="4267" t="str">
        <f>T('2 REPAIR ESTIMATOR'!D138:O138)</f>
        <v>Room demolition, kitchen</v>
      </c>
      <c r="E105" s="4268"/>
      <c r="F105" s="4268"/>
      <c r="G105" s="4268"/>
      <c r="H105" s="4268"/>
      <c r="I105" s="4268"/>
      <c r="J105" s="4268"/>
      <c r="K105" s="4268"/>
      <c r="L105" s="4269">
        <f>'2 REPAIR ESTIMATOR'!P138</f>
        <v>0</v>
      </c>
      <c r="M105" s="4269"/>
      <c r="N105" s="4270" t="str">
        <f>T('2 REPAIR ESTIMATOR'!S138)</f>
        <v>sf</v>
      </c>
      <c r="O105" s="4270"/>
      <c r="P105" s="4271"/>
      <c r="Q105" s="4271"/>
      <c r="R105" s="4271"/>
      <c r="S105" s="4271"/>
      <c r="T105" s="4271"/>
      <c r="U105" s="4271"/>
      <c r="V105" s="4272"/>
      <c r="W105" s="12">
        <f t="shared" si="6"/>
        <v>1</v>
      </c>
      <c r="X105" s="12">
        <f t="shared" si="5"/>
        <v>1</v>
      </c>
      <c r="Y105" s="12">
        <f t="shared" si="1"/>
        <v>1</v>
      </c>
    </row>
    <row r="106" spans="4:25" ht="15.7">
      <c r="D106" s="4267" t="str">
        <f>T('2 REPAIR ESTIMATOR'!D139:O139)</f>
        <v>Building demolition, 1-story wood-framed</v>
      </c>
      <c r="E106" s="4268"/>
      <c r="F106" s="4268"/>
      <c r="G106" s="4268"/>
      <c r="H106" s="4268"/>
      <c r="I106" s="4268"/>
      <c r="J106" s="4268"/>
      <c r="K106" s="4268"/>
      <c r="L106" s="4269">
        <f>'2 REPAIR ESTIMATOR'!P139</f>
        <v>0</v>
      </c>
      <c r="M106" s="4269"/>
      <c r="N106" s="4270" t="str">
        <f>T('2 REPAIR ESTIMATOR'!S139)</f>
        <v>sf</v>
      </c>
      <c r="O106" s="4270"/>
      <c r="P106" s="4271"/>
      <c r="Q106" s="4271"/>
      <c r="R106" s="4271"/>
      <c r="S106" s="4271"/>
      <c r="T106" s="4271"/>
      <c r="U106" s="4271"/>
      <c r="V106" s="4272"/>
      <c r="W106" s="12">
        <f t="shared" si="6"/>
        <v>1</v>
      </c>
      <c r="X106" s="12">
        <f t="shared" si="5"/>
        <v>1</v>
      </c>
      <c r="Y106" s="12">
        <f t="shared" si="1"/>
        <v>1</v>
      </c>
    </row>
    <row r="107" spans="4:25" ht="15.7">
      <c r="D107" s="4267" t="str">
        <f>T('2 REPAIR ESTIMATOR'!D140:O140)</f>
        <v>Building demolition, 2-story wood framed</v>
      </c>
      <c r="E107" s="4268"/>
      <c r="F107" s="4268"/>
      <c r="G107" s="4268"/>
      <c r="H107" s="4268"/>
      <c r="I107" s="4268"/>
      <c r="J107" s="4268"/>
      <c r="K107" s="4268"/>
      <c r="L107" s="4269">
        <f>'2 REPAIR ESTIMATOR'!P140</f>
        <v>0</v>
      </c>
      <c r="M107" s="4269"/>
      <c r="N107" s="4270" t="str">
        <f>T('2 REPAIR ESTIMATOR'!S140)</f>
        <v>sf</v>
      </c>
      <c r="O107" s="4270"/>
      <c r="P107" s="4271"/>
      <c r="Q107" s="4271"/>
      <c r="R107" s="4271"/>
      <c r="S107" s="4271"/>
      <c r="T107" s="4271"/>
      <c r="U107" s="4271"/>
      <c r="V107" s="4272"/>
      <c r="W107" s="12">
        <f t="shared" si="6"/>
        <v>1</v>
      </c>
      <c r="X107" s="12">
        <f t="shared" si="5"/>
        <v>1</v>
      </c>
      <c r="Y107" s="12">
        <f t="shared" si="1"/>
        <v>1</v>
      </c>
    </row>
    <row r="108" spans="4:25" ht="15.7">
      <c r="D108" s="4267" t="str">
        <f>T('2 REPAIR ESTIMATOR'!D141:O141)</f>
        <v>Building demolition, masonry</v>
      </c>
      <c r="E108" s="4268"/>
      <c r="F108" s="4268"/>
      <c r="G108" s="4268"/>
      <c r="H108" s="4268"/>
      <c r="I108" s="4268"/>
      <c r="J108" s="4268"/>
      <c r="K108" s="4268"/>
      <c r="L108" s="4269">
        <f>'2 REPAIR ESTIMATOR'!P141</f>
        <v>0</v>
      </c>
      <c r="M108" s="4269"/>
      <c r="N108" s="4270" t="str">
        <f>T('2 REPAIR ESTIMATOR'!S141)</f>
        <v>sf</v>
      </c>
      <c r="O108" s="4270"/>
      <c r="P108" s="4271"/>
      <c r="Q108" s="4271"/>
      <c r="R108" s="4271"/>
      <c r="S108" s="4271"/>
      <c r="T108" s="4271"/>
      <c r="U108" s="4271"/>
      <c r="V108" s="4272"/>
      <c r="W108" s="12">
        <f t="shared" si="6"/>
        <v>1</v>
      </c>
      <c r="X108" s="12">
        <f t="shared" si="5"/>
        <v>1</v>
      </c>
      <c r="Y108" s="12">
        <f t="shared" ref="Y108:Y171" si="7">W108*X108</f>
        <v>1</v>
      </c>
    </row>
    <row r="109" spans="4:25" ht="15.7">
      <c r="D109" s="4267" t="str">
        <f>T('2 REPAIR ESTIMATOR'!D142:O142)</f>
        <v>Building demolition, steel/concrete</v>
      </c>
      <c r="E109" s="4268"/>
      <c r="F109" s="4268"/>
      <c r="G109" s="4268"/>
      <c r="H109" s="4268"/>
      <c r="I109" s="4268"/>
      <c r="J109" s="4268"/>
      <c r="K109" s="4268"/>
      <c r="L109" s="4269">
        <f>'2 REPAIR ESTIMATOR'!P142</f>
        <v>0</v>
      </c>
      <c r="M109" s="4269"/>
      <c r="N109" s="4270" t="str">
        <f>T('2 REPAIR ESTIMATOR'!S142)</f>
        <v>sf</v>
      </c>
      <c r="O109" s="4270"/>
      <c r="P109" s="4271"/>
      <c r="Q109" s="4271"/>
      <c r="R109" s="4271"/>
      <c r="S109" s="4271"/>
      <c r="T109" s="4271"/>
      <c r="U109" s="4271"/>
      <c r="V109" s="4272"/>
      <c r="W109" s="12">
        <f t="shared" si="6"/>
        <v>1</v>
      </c>
      <c r="X109" s="12">
        <f t="shared" si="5"/>
        <v>1</v>
      </c>
      <c r="Y109" s="12">
        <f t="shared" si="7"/>
        <v>1</v>
      </c>
    </row>
    <row r="110" spans="4:25" ht="15.7">
      <c r="D110" s="4267" t="str">
        <f>T('2 REPAIR ESTIMATOR'!D143:O143)</f>
        <v>Concrete slab demolition, 4"-6"</v>
      </c>
      <c r="E110" s="4268"/>
      <c r="F110" s="4268"/>
      <c r="G110" s="4268"/>
      <c r="H110" s="4268"/>
      <c r="I110" s="4268"/>
      <c r="J110" s="4268"/>
      <c r="K110" s="4268"/>
      <c r="L110" s="4269">
        <f>'2 REPAIR ESTIMATOR'!P143</f>
        <v>0</v>
      </c>
      <c r="M110" s="4269"/>
      <c r="N110" s="4270" t="str">
        <f>T('2 REPAIR ESTIMATOR'!S143)</f>
        <v/>
      </c>
      <c r="O110" s="4270"/>
      <c r="P110" s="4271"/>
      <c r="Q110" s="4271"/>
      <c r="R110" s="4271"/>
      <c r="S110" s="4271"/>
      <c r="T110" s="4271"/>
      <c r="U110" s="4271"/>
      <c r="V110" s="4272"/>
      <c r="W110" s="12">
        <f t="shared" si="6"/>
        <v>1</v>
      </c>
      <c r="X110" s="12">
        <f t="shared" si="5"/>
        <v>1</v>
      </c>
      <c r="Y110" s="12">
        <f t="shared" si="7"/>
        <v>1</v>
      </c>
    </row>
    <row r="111" spans="4:25" ht="15.7">
      <c r="D111" s="4267" t="str">
        <f>T('2 REPAIR ESTIMATOR'!D144:O144)</f>
        <v/>
      </c>
      <c r="E111" s="4268"/>
      <c r="F111" s="4268"/>
      <c r="G111" s="4268"/>
      <c r="H111" s="4268"/>
      <c r="I111" s="4268"/>
      <c r="J111" s="4268"/>
      <c r="K111" s="4268"/>
      <c r="L111" s="4269">
        <f>'2 REPAIR ESTIMATOR'!P144</f>
        <v>0</v>
      </c>
      <c r="M111" s="4269"/>
      <c r="N111" s="4270" t="str">
        <f>T('2 REPAIR ESTIMATOR'!S144)</f>
        <v/>
      </c>
      <c r="O111" s="4270"/>
      <c r="P111" s="4271"/>
      <c r="Q111" s="4271"/>
      <c r="R111" s="4271"/>
      <c r="S111" s="4271"/>
      <c r="T111" s="4271"/>
      <c r="U111" s="4271"/>
      <c r="V111" s="4272"/>
      <c r="W111" s="12">
        <f t="shared" si="6"/>
        <v>1</v>
      </c>
      <c r="X111" s="12">
        <f t="shared" si="5"/>
        <v>1</v>
      </c>
      <c r="Y111" s="12">
        <f t="shared" si="7"/>
        <v>1</v>
      </c>
    </row>
    <row r="112" spans="4:25" ht="15.7">
      <c r="D112" s="4267" t="str">
        <f>T('2 REPAIR ESTIMATOR'!D145:O145)</f>
        <v/>
      </c>
      <c r="E112" s="4268"/>
      <c r="F112" s="4268"/>
      <c r="G112" s="4268"/>
      <c r="H112" s="4268"/>
      <c r="I112" s="4268"/>
      <c r="J112" s="4268"/>
      <c r="K112" s="4268"/>
      <c r="L112" s="4269">
        <f>'2 REPAIR ESTIMATOR'!P145</f>
        <v>0</v>
      </c>
      <c r="M112" s="4269"/>
      <c r="N112" s="4270" t="str">
        <f>T('2 REPAIR ESTIMATOR'!S145)</f>
        <v/>
      </c>
      <c r="O112" s="4270"/>
      <c r="P112" s="4271"/>
      <c r="Q112" s="4271"/>
      <c r="R112" s="4271"/>
      <c r="S112" s="4271"/>
      <c r="T112" s="4271"/>
      <c r="U112" s="4271"/>
      <c r="V112" s="4272"/>
      <c r="W112" s="12">
        <f t="shared" si="6"/>
        <v>1</v>
      </c>
      <c r="X112" s="12">
        <f t="shared" si="5"/>
        <v>1</v>
      </c>
      <c r="Y112" s="12">
        <f t="shared" si="7"/>
        <v>1</v>
      </c>
    </row>
    <row r="113" spans="4:25" ht="15.7">
      <c r="D113" s="4267" t="str">
        <f>T('2 REPAIR ESTIMATOR'!D146:O146)</f>
        <v>Abatement</v>
      </c>
      <c r="E113" s="4268"/>
      <c r="F113" s="4268"/>
      <c r="G113" s="4268"/>
      <c r="H113" s="4268"/>
      <c r="I113" s="4268"/>
      <c r="J113" s="4268"/>
      <c r="K113" s="4268"/>
      <c r="L113" s="4269">
        <f>'2 REPAIR ESTIMATOR'!P146</f>
        <v>0</v>
      </c>
      <c r="M113" s="4269"/>
      <c r="N113" s="4270" t="str">
        <f>T('2 REPAIR ESTIMATOR'!S146)</f>
        <v>ls</v>
      </c>
      <c r="O113" s="4270"/>
      <c r="P113" s="4271"/>
      <c r="Q113" s="4271"/>
      <c r="R113" s="4271"/>
      <c r="S113" s="4271"/>
      <c r="T113" s="4271"/>
      <c r="U113" s="4271"/>
      <c r="V113" s="4272"/>
      <c r="W113" s="12">
        <f t="shared" si="6"/>
        <v>1</v>
      </c>
      <c r="X113" s="12">
        <f t="shared" si="5"/>
        <v>1</v>
      </c>
      <c r="Y113" s="12">
        <f t="shared" si="7"/>
        <v>1</v>
      </c>
    </row>
    <row r="114" spans="4:25" ht="15.7">
      <c r="D114" s="4267" t="str">
        <f>T('2 REPAIR ESTIMATOR'!D147:O147)</f>
        <v>Asbestos bid/allowance</v>
      </c>
      <c r="E114" s="4268"/>
      <c r="F114" s="4268"/>
      <c r="G114" s="4268"/>
      <c r="H114" s="4268"/>
      <c r="I114" s="4268"/>
      <c r="J114" s="4268"/>
      <c r="K114" s="4268"/>
      <c r="L114" s="4269">
        <f>'2 REPAIR ESTIMATOR'!P147</f>
        <v>0</v>
      </c>
      <c r="M114" s="4269"/>
      <c r="N114" s="4270" t="str">
        <f>T('2 REPAIR ESTIMATOR'!S147)</f>
        <v>ls</v>
      </c>
      <c r="O114" s="4270"/>
      <c r="P114" s="4271"/>
      <c r="Q114" s="4271"/>
      <c r="R114" s="4271"/>
      <c r="S114" s="4271"/>
      <c r="T114" s="4271"/>
      <c r="U114" s="4271"/>
      <c r="V114" s="4272"/>
      <c r="W114" s="12">
        <f t="shared" si="6"/>
        <v>1</v>
      </c>
      <c r="X114" s="12">
        <f t="shared" si="5"/>
        <v>1</v>
      </c>
      <c r="Y114" s="12">
        <f t="shared" si="7"/>
        <v>1</v>
      </c>
    </row>
    <row r="115" spans="4:25" ht="15.7">
      <c r="D115" s="4267" t="str">
        <f>T('2 REPAIR ESTIMATOR'!D148:O148)</f>
        <v>Asbestos testing</v>
      </c>
      <c r="E115" s="4268"/>
      <c r="F115" s="4268"/>
      <c r="G115" s="4268"/>
      <c r="H115" s="4268"/>
      <c r="I115" s="4268"/>
      <c r="J115" s="4268"/>
      <c r="K115" s="4268"/>
      <c r="L115" s="4269">
        <f>'2 REPAIR ESTIMATOR'!P148</f>
        <v>0</v>
      </c>
      <c r="M115" s="4269"/>
      <c r="N115" s="4270" t="str">
        <f>T('2 REPAIR ESTIMATOR'!S148)</f>
        <v>ea</v>
      </c>
      <c r="O115" s="4270"/>
      <c r="P115" s="4271"/>
      <c r="Q115" s="4271"/>
      <c r="R115" s="4271"/>
      <c r="S115" s="4271"/>
      <c r="T115" s="4271"/>
      <c r="U115" s="4271"/>
      <c r="V115" s="4272"/>
      <c r="W115" s="12">
        <f t="shared" si="6"/>
        <v>1</v>
      </c>
      <c r="X115" s="12">
        <f t="shared" si="5"/>
        <v>1</v>
      </c>
      <c r="Y115" s="12">
        <f t="shared" si="7"/>
        <v>1</v>
      </c>
    </row>
    <row r="116" spans="4:25" ht="15.7">
      <c r="D116" s="4267" t="str">
        <f>T('2 REPAIR ESTIMATOR'!D149:O149)</f>
        <v>Asbestos abatement, minimum charge</v>
      </c>
      <c r="E116" s="4268"/>
      <c r="F116" s="4268"/>
      <c r="G116" s="4268"/>
      <c r="H116" s="4268"/>
      <c r="I116" s="4268"/>
      <c r="J116" s="4268"/>
      <c r="K116" s="4268"/>
      <c r="L116" s="4269">
        <f>'2 REPAIR ESTIMATOR'!P149</f>
        <v>0</v>
      </c>
      <c r="M116" s="4269"/>
      <c r="N116" s="4270" t="str">
        <f>T('2 REPAIR ESTIMATOR'!S149)</f>
        <v>ea</v>
      </c>
      <c r="O116" s="4270"/>
      <c r="P116" s="4271"/>
      <c r="Q116" s="4271"/>
      <c r="R116" s="4271"/>
      <c r="S116" s="4271"/>
      <c r="T116" s="4271"/>
      <c r="U116" s="4271"/>
      <c r="V116" s="4272"/>
      <c r="W116" s="12">
        <f t="shared" si="6"/>
        <v>1</v>
      </c>
      <c r="X116" s="12">
        <f t="shared" si="5"/>
        <v>1</v>
      </c>
      <c r="Y116" s="12">
        <f t="shared" si="7"/>
        <v>1</v>
      </c>
    </row>
    <row r="117" spans="4:25" ht="15.7">
      <c r="D117" s="4267" t="str">
        <f>T('2 REPAIR ESTIMATOR'!D150:O150)</f>
        <v>Mold, minimum charge</v>
      </c>
      <c r="E117" s="4268"/>
      <c r="F117" s="4268"/>
      <c r="G117" s="4268"/>
      <c r="H117" s="4268"/>
      <c r="I117" s="4268"/>
      <c r="J117" s="4268"/>
      <c r="K117" s="4268"/>
      <c r="L117" s="4269">
        <f>'2 REPAIR ESTIMATOR'!P150</f>
        <v>0</v>
      </c>
      <c r="M117" s="4269"/>
      <c r="N117" s="4270" t="str">
        <f>T('2 REPAIR ESTIMATOR'!S150)</f>
        <v/>
      </c>
      <c r="O117" s="4270"/>
      <c r="P117" s="4271"/>
      <c r="Q117" s="4271"/>
      <c r="R117" s="4271"/>
      <c r="S117" s="4271"/>
      <c r="T117" s="4271"/>
      <c r="U117" s="4271"/>
      <c r="V117" s="4272"/>
      <c r="W117" s="12">
        <f t="shared" si="6"/>
        <v>1</v>
      </c>
      <c r="X117" s="12">
        <f t="shared" si="5"/>
        <v>1</v>
      </c>
      <c r="Y117" s="12">
        <f t="shared" si="7"/>
        <v>1</v>
      </c>
    </row>
    <row r="118" spans="4:25" ht="15.7">
      <c r="D118" s="4267" t="str">
        <f>T('2 REPAIR ESTIMATOR'!D151:O151)</f>
        <v/>
      </c>
      <c r="E118" s="4268"/>
      <c r="F118" s="4268"/>
      <c r="G118" s="4268"/>
      <c r="H118" s="4268"/>
      <c r="I118" s="4268"/>
      <c r="J118" s="4268"/>
      <c r="K118" s="4268"/>
      <c r="L118" s="4269">
        <f>'2 REPAIR ESTIMATOR'!P151</f>
        <v>0</v>
      </c>
      <c r="M118" s="4269"/>
      <c r="N118" s="4270" t="str">
        <f>T('2 REPAIR ESTIMATOR'!S151)</f>
        <v/>
      </c>
      <c r="O118" s="4270"/>
      <c r="P118" s="4271"/>
      <c r="Q118" s="4271"/>
      <c r="R118" s="4271"/>
      <c r="S118" s="4271"/>
      <c r="T118" s="4271"/>
      <c r="U118" s="4271"/>
      <c r="V118" s="4272"/>
      <c r="W118" s="12">
        <f t="shared" si="6"/>
        <v>1</v>
      </c>
      <c r="X118" s="12">
        <f t="shared" si="5"/>
        <v>1</v>
      </c>
      <c r="Y118" s="12">
        <f t="shared" si="7"/>
        <v>1</v>
      </c>
    </row>
    <row r="119" spans="4:25" ht="15.7">
      <c r="D119" s="4267" t="str">
        <f>T('2 REPAIR ESTIMATOR'!D152:O152)</f>
        <v/>
      </c>
      <c r="E119" s="4268"/>
      <c r="F119" s="4268"/>
      <c r="G119" s="4268"/>
      <c r="H119" s="4268"/>
      <c r="I119" s="4268"/>
      <c r="J119" s="4268"/>
      <c r="K119" s="4268"/>
      <c r="L119" s="4269">
        <f>'2 REPAIR ESTIMATOR'!P152</f>
        <v>0</v>
      </c>
      <c r="M119" s="4269"/>
      <c r="N119" s="4270" t="str">
        <f>T('2 REPAIR ESTIMATOR'!S152)</f>
        <v/>
      </c>
      <c r="O119" s="4270"/>
      <c r="P119" s="4271"/>
      <c r="Q119" s="4271"/>
      <c r="R119" s="4271"/>
      <c r="S119" s="4271"/>
      <c r="T119" s="4271"/>
      <c r="U119" s="4271"/>
      <c r="V119" s="4272"/>
      <c r="W119" s="12">
        <f t="shared" si="6"/>
        <v>1</v>
      </c>
      <c r="X119" s="12">
        <f t="shared" si="5"/>
        <v>1</v>
      </c>
      <c r="Y119" s="12">
        <f t="shared" si="7"/>
        <v>1</v>
      </c>
    </row>
    <row r="120" spans="4:25" ht="15.7">
      <c r="D120" s="4267" t="str">
        <f>T('2 REPAIR ESTIMATOR'!D153:O153)</f>
        <v/>
      </c>
      <c r="E120" s="4268"/>
      <c r="F120" s="4268"/>
      <c r="G120" s="4268"/>
      <c r="H120" s="4268"/>
      <c r="I120" s="4268"/>
      <c r="J120" s="4268"/>
      <c r="K120" s="4268"/>
      <c r="L120" s="4269">
        <f>'2 REPAIR ESTIMATOR'!P153</f>
        <v>0</v>
      </c>
      <c r="M120" s="4269"/>
      <c r="N120" s="4270" t="str">
        <f>T('2 REPAIR ESTIMATOR'!S153)</f>
        <v/>
      </c>
      <c r="O120" s="4270"/>
      <c r="P120" s="4271"/>
      <c r="Q120" s="4271"/>
      <c r="R120" s="4271"/>
      <c r="S120" s="4271"/>
      <c r="T120" s="4271"/>
      <c r="U120" s="4271"/>
      <c r="V120" s="4272"/>
      <c r="W120" s="12">
        <f t="shared" si="6"/>
        <v>1</v>
      </c>
      <c r="X120" s="12">
        <f t="shared" si="5"/>
        <v>1</v>
      </c>
      <c r="Y120" s="12">
        <f t="shared" si="7"/>
        <v>1</v>
      </c>
    </row>
    <row r="121" spans="4:25" ht="15.7">
      <c r="D121" s="4267" t="str">
        <f>T('2 REPAIR ESTIMATOR'!D154:O154)</f>
        <v/>
      </c>
      <c r="E121" s="4268"/>
      <c r="F121" s="4268"/>
      <c r="G121" s="4268"/>
      <c r="H121" s="4268"/>
      <c r="I121" s="4268"/>
      <c r="J121" s="4268"/>
      <c r="K121" s="4268"/>
      <c r="L121" s="4269">
        <f>'2 REPAIR ESTIMATOR'!P154</f>
        <v>0</v>
      </c>
      <c r="M121" s="4269"/>
      <c r="N121" s="4270" t="str">
        <f>T('2 REPAIR ESTIMATOR'!S154)</f>
        <v/>
      </c>
      <c r="O121" s="4270"/>
      <c r="P121" s="4271"/>
      <c r="Q121" s="4271"/>
      <c r="R121" s="4271"/>
      <c r="S121" s="4271"/>
      <c r="T121" s="4271"/>
      <c r="U121" s="4271"/>
      <c r="V121" s="4272"/>
      <c r="W121" s="12">
        <f t="shared" si="6"/>
        <v>1</v>
      </c>
      <c r="X121" s="12">
        <f t="shared" si="5"/>
        <v>1</v>
      </c>
      <c r="Y121" s="12">
        <f t="shared" si="7"/>
        <v>1</v>
      </c>
    </row>
    <row r="122" spans="4:25" ht="15.7">
      <c r="D122" s="4267" t="str">
        <f>T('2 REPAIR ESTIMATOR'!D155:O155)</f>
        <v/>
      </c>
      <c r="E122" s="4268"/>
      <c r="F122" s="4268"/>
      <c r="G122" s="4268"/>
      <c r="H122" s="4268"/>
      <c r="I122" s="4268"/>
      <c r="J122" s="4268"/>
      <c r="K122" s="4268"/>
      <c r="L122" s="4269">
        <f>'2 REPAIR ESTIMATOR'!P155</f>
        <v>0</v>
      </c>
      <c r="M122" s="4269"/>
      <c r="N122" s="4270" t="str">
        <f>T('2 REPAIR ESTIMATOR'!S155)</f>
        <v/>
      </c>
      <c r="O122" s="4270"/>
      <c r="P122" s="4271"/>
      <c r="Q122" s="4271"/>
      <c r="R122" s="4271"/>
      <c r="S122" s="4271"/>
      <c r="T122" s="4271"/>
      <c r="U122" s="4271"/>
      <c r="V122" s="4272"/>
      <c r="W122" s="12">
        <f t="shared" si="6"/>
        <v>1</v>
      </c>
      <c r="X122" s="12">
        <f t="shared" si="5"/>
        <v>1</v>
      </c>
      <c r="Y122" s="12">
        <f t="shared" si="7"/>
        <v>1</v>
      </c>
    </row>
    <row r="123" spans="4:25" ht="15.7">
      <c r="D123" s="4267" t="str">
        <f>T('2 REPAIR ESTIMATOR'!D156:O156)</f>
        <v/>
      </c>
      <c r="E123" s="4268"/>
      <c r="F123" s="4268"/>
      <c r="G123" s="4268"/>
      <c r="H123" s="4268"/>
      <c r="I123" s="4268"/>
      <c r="J123" s="4268"/>
      <c r="K123" s="4268"/>
      <c r="L123" s="4269">
        <f>'2 REPAIR ESTIMATOR'!P156</f>
        <v>0</v>
      </c>
      <c r="M123" s="4269"/>
      <c r="N123" s="4270" t="str">
        <f>T('2 REPAIR ESTIMATOR'!S156)</f>
        <v/>
      </c>
      <c r="O123" s="4270"/>
      <c r="P123" s="4271"/>
      <c r="Q123" s="4271"/>
      <c r="R123" s="4271"/>
      <c r="S123" s="4271"/>
      <c r="T123" s="4271"/>
      <c r="U123" s="4271"/>
      <c r="V123" s="4272"/>
      <c r="W123" s="12">
        <f t="shared" si="6"/>
        <v>1</v>
      </c>
      <c r="X123" s="12">
        <f t="shared" si="5"/>
        <v>1</v>
      </c>
      <c r="Y123" s="12">
        <f t="shared" si="7"/>
        <v>1</v>
      </c>
    </row>
    <row r="124" spans="4:25" ht="15.7">
      <c r="D124" s="4267" t="str">
        <f>T('2 REPAIR ESTIMATOR'!D157:O157)</f>
        <v/>
      </c>
      <c r="E124" s="4268"/>
      <c r="F124" s="4268"/>
      <c r="G124" s="4268"/>
      <c r="H124" s="4268"/>
      <c r="I124" s="4268"/>
      <c r="J124" s="4268"/>
      <c r="K124" s="4268"/>
      <c r="L124" s="4269">
        <f>'2 REPAIR ESTIMATOR'!P157</f>
        <v>0</v>
      </c>
      <c r="M124" s="4269"/>
      <c r="N124" s="4270" t="str">
        <f>T('2 REPAIR ESTIMATOR'!S157)</f>
        <v/>
      </c>
      <c r="O124" s="4270"/>
      <c r="P124" s="4271"/>
      <c r="Q124" s="4271"/>
      <c r="R124" s="4271"/>
      <c r="S124" s="4271"/>
      <c r="T124" s="4271"/>
      <c r="U124" s="4271"/>
      <c r="V124" s="4272"/>
      <c r="W124" s="12">
        <f t="shared" si="6"/>
        <v>1</v>
      </c>
      <c r="X124" s="12">
        <f t="shared" si="5"/>
        <v>1</v>
      </c>
      <c r="Y124" s="12">
        <f t="shared" si="7"/>
        <v>1</v>
      </c>
    </row>
    <row r="125" spans="4:25" ht="15.7">
      <c r="D125" s="4267" t="str">
        <f>T('2 REPAIR ESTIMATOR'!D158:O158)</f>
        <v/>
      </c>
      <c r="E125" s="4268"/>
      <c r="F125" s="4268"/>
      <c r="G125" s="4268"/>
      <c r="H125" s="4268"/>
      <c r="I125" s="4268"/>
      <c r="J125" s="4268"/>
      <c r="K125" s="4268"/>
      <c r="L125" s="4269">
        <f>'2 REPAIR ESTIMATOR'!P158</f>
        <v>0</v>
      </c>
      <c r="M125" s="4269"/>
      <c r="N125" s="4270" t="str">
        <f>T('2 REPAIR ESTIMATOR'!S158)</f>
        <v/>
      </c>
      <c r="O125" s="4270"/>
      <c r="P125" s="4271"/>
      <c r="Q125" s="4271"/>
      <c r="R125" s="4271"/>
      <c r="S125" s="4271"/>
      <c r="T125" s="4271"/>
      <c r="U125" s="4271"/>
      <c r="V125" s="4272"/>
      <c r="W125" s="12">
        <f t="shared" si="6"/>
        <v>1</v>
      </c>
      <c r="X125" s="12">
        <f t="shared" si="5"/>
        <v>1</v>
      </c>
      <c r="Y125" s="12">
        <f t="shared" si="7"/>
        <v>1</v>
      </c>
    </row>
    <row r="126" spans="4:25" ht="15.7">
      <c r="D126" s="4267" t="str">
        <f>T('2 REPAIR ESTIMATOR'!D159:O159)</f>
        <v/>
      </c>
      <c r="E126" s="4268"/>
      <c r="F126" s="4268"/>
      <c r="G126" s="4268"/>
      <c r="H126" s="4268"/>
      <c r="I126" s="4268"/>
      <c r="J126" s="4268"/>
      <c r="K126" s="4268"/>
      <c r="L126" s="4269">
        <f>'2 REPAIR ESTIMATOR'!P159</f>
        <v>0</v>
      </c>
      <c r="M126" s="4269"/>
      <c r="N126" s="4270" t="str">
        <f>T('2 REPAIR ESTIMATOR'!S159)</f>
        <v/>
      </c>
      <c r="O126" s="4270"/>
      <c r="P126" s="4271"/>
      <c r="Q126" s="4271"/>
      <c r="R126" s="4271"/>
      <c r="S126" s="4271"/>
      <c r="T126" s="4271"/>
      <c r="U126" s="4271"/>
      <c r="V126" s="4272"/>
      <c r="W126" s="12">
        <f t="shared" si="6"/>
        <v>1</v>
      </c>
      <c r="X126" s="12">
        <f t="shared" si="5"/>
        <v>1</v>
      </c>
      <c r="Y126" s="12">
        <f t="shared" si="7"/>
        <v>1</v>
      </c>
    </row>
    <row r="127" spans="4:25" ht="15.7">
      <c r="D127" s="4267" t="str">
        <f>T('2 REPAIR ESTIMATOR'!D160:O160)</f>
        <v/>
      </c>
      <c r="E127" s="4268"/>
      <c r="F127" s="4268"/>
      <c r="G127" s="4268"/>
      <c r="H127" s="4268"/>
      <c r="I127" s="4268"/>
      <c r="J127" s="4268"/>
      <c r="K127" s="4268"/>
      <c r="L127" s="4269">
        <f>'2 REPAIR ESTIMATOR'!P160</f>
        <v>0</v>
      </c>
      <c r="M127" s="4269"/>
      <c r="N127" s="4270" t="str">
        <f>T('2 REPAIR ESTIMATOR'!S160)</f>
        <v/>
      </c>
      <c r="O127" s="4270"/>
      <c r="P127" s="4271"/>
      <c r="Q127" s="4271"/>
      <c r="R127" s="4271"/>
      <c r="S127" s="4271"/>
      <c r="T127" s="4271"/>
      <c r="U127" s="4271"/>
      <c r="V127" s="4272"/>
      <c r="W127" s="12">
        <f t="shared" si="6"/>
        <v>1</v>
      </c>
      <c r="X127" s="12">
        <f t="shared" si="5"/>
        <v>1</v>
      </c>
      <c r="Y127" s="12">
        <f t="shared" si="7"/>
        <v>1</v>
      </c>
    </row>
    <row r="128" spans="4:25" ht="15.7">
      <c r="D128" s="4267" t="str">
        <f>T('2 REPAIR ESTIMATOR'!D161:O161)</f>
        <v/>
      </c>
      <c r="E128" s="4268"/>
      <c r="F128" s="4268"/>
      <c r="G128" s="4268"/>
      <c r="H128" s="4268"/>
      <c r="I128" s="4268"/>
      <c r="J128" s="4268"/>
      <c r="K128" s="4268"/>
      <c r="L128" s="4269">
        <f>'2 REPAIR ESTIMATOR'!P161</f>
        <v>0</v>
      </c>
      <c r="M128" s="4269"/>
      <c r="N128" s="4270" t="str">
        <f>T('2 REPAIR ESTIMATOR'!S161)</f>
        <v/>
      </c>
      <c r="O128" s="4270"/>
      <c r="P128" s="4271"/>
      <c r="Q128" s="4271"/>
      <c r="R128" s="4271"/>
      <c r="S128" s="4271"/>
      <c r="T128" s="4271"/>
      <c r="U128" s="4271"/>
      <c r="V128" s="4272"/>
      <c r="W128" s="12">
        <f t="shared" si="6"/>
        <v>1</v>
      </c>
      <c r="X128" s="12">
        <f t="shared" si="5"/>
        <v>1</v>
      </c>
      <c r="Y128" s="12">
        <f t="shared" si="7"/>
        <v>1</v>
      </c>
    </row>
    <row r="129" spans="3:25" ht="15.7">
      <c r="D129" s="4267" t="str">
        <f>T('2 REPAIR ESTIMATOR'!D162:O162)</f>
        <v/>
      </c>
      <c r="E129" s="4268"/>
      <c r="F129" s="4268"/>
      <c r="G129" s="4268"/>
      <c r="H129" s="4268"/>
      <c r="I129" s="4268"/>
      <c r="J129" s="4268"/>
      <c r="K129" s="4268"/>
      <c r="L129" s="4269">
        <f>'2 REPAIR ESTIMATOR'!P162</f>
        <v>0</v>
      </c>
      <c r="M129" s="4269"/>
      <c r="N129" s="4270" t="str">
        <f>T('2 REPAIR ESTIMATOR'!S162)</f>
        <v/>
      </c>
      <c r="O129" s="4270"/>
      <c r="P129" s="4271"/>
      <c r="Q129" s="4271"/>
      <c r="R129" s="4271"/>
      <c r="S129" s="4271"/>
      <c r="T129" s="4271"/>
      <c r="U129" s="4271"/>
      <c r="V129" s="4272"/>
      <c r="W129" s="12">
        <f t="shared" si="6"/>
        <v>1</v>
      </c>
      <c r="X129" s="12">
        <f t="shared" si="5"/>
        <v>1</v>
      </c>
      <c r="Y129" s="12">
        <f t="shared" si="7"/>
        <v>1</v>
      </c>
    </row>
    <row r="130" spans="3:25" ht="15.7">
      <c r="D130" s="4267" t="str">
        <f>T('2 REPAIR ESTIMATOR'!D163:O163)</f>
        <v/>
      </c>
      <c r="E130" s="4268"/>
      <c r="F130" s="4268"/>
      <c r="G130" s="4268"/>
      <c r="H130" s="4268"/>
      <c r="I130" s="4268"/>
      <c r="J130" s="4268"/>
      <c r="K130" s="4268"/>
      <c r="L130" s="4269">
        <f>'2 REPAIR ESTIMATOR'!P163</f>
        <v>0</v>
      </c>
      <c r="M130" s="4269"/>
      <c r="N130" s="4270" t="str">
        <f>T('2 REPAIR ESTIMATOR'!S163)</f>
        <v/>
      </c>
      <c r="O130" s="4270"/>
      <c r="P130" s="4271"/>
      <c r="Q130" s="4271"/>
      <c r="R130" s="4271"/>
      <c r="S130" s="4271"/>
      <c r="T130" s="4271"/>
      <c r="U130" s="4271"/>
      <c r="V130" s="4272"/>
      <c r="W130" s="12">
        <f t="shared" si="6"/>
        <v>1</v>
      </c>
      <c r="X130" s="12">
        <f t="shared" si="5"/>
        <v>1</v>
      </c>
      <c r="Y130" s="12">
        <f t="shared" si="7"/>
        <v>1</v>
      </c>
    </row>
    <row r="131" spans="3:25" ht="15.7">
      <c r="D131" s="4267" t="str">
        <f>T('2 REPAIR ESTIMATOR'!D164:O164)</f>
        <v/>
      </c>
      <c r="E131" s="4268"/>
      <c r="F131" s="4268"/>
      <c r="G131" s="4268"/>
      <c r="H131" s="4268"/>
      <c r="I131" s="4268"/>
      <c r="J131" s="4268"/>
      <c r="K131" s="4268"/>
      <c r="L131" s="4269">
        <f>'2 REPAIR ESTIMATOR'!P164</f>
        <v>0</v>
      </c>
      <c r="M131" s="4269"/>
      <c r="N131" s="4270" t="str">
        <f>T('2 REPAIR ESTIMATOR'!S164)</f>
        <v/>
      </c>
      <c r="O131" s="4270"/>
      <c r="P131" s="4271"/>
      <c r="Q131" s="4271"/>
      <c r="R131" s="4271"/>
      <c r="S131" s="4271"/>
      <c r="T131" s="4271"/>
      <c r="U131" s="4271"/>
      <c r="V131" s="4272"/>
      <c r="W131" s="12">
        <f t="shared" si="6"/>
        <v>1</v>
      </c>
      <c r="X131" s="12">
        <f t="shared" ref="X131:X154" si="8">IF(Scope2_Setting="Shown",1,0)</f>
        <v>1</v>
      </c>
      <c r="Y131" s="12">
        <f t="shared" si="7"/>
        <v>1</v>
      </c>
    </row>
    <row r="132" spans="3:25" ht="15.7">
      <c r="D132" s="4267" t="str">
        <f>T('2 REPAIR ESTIMATOR'!D165:O165)</f>
        <v/>
      </c>
      <c r="E132" s="4268"/>
      <c r="F132" s="4268"/>
      <c r="G132" s="4268"/>
      <c r="H132" s="4268"/>
      <c r="I132" s="4268"/>
      <c r="J132" s="4268"/>
      <c r="K132" s="4268"/>
      <c r="L132" s="4269">
        <f>'2 REPAIR ESTIMATOR'!P165</f>
        <v>0</v>
      </c>
      <c r="M132" s="4269"/>
      <c r="N132" s="4270" t="str">
        <f>T('2 REPAIR ESTIMATOR'!S165)</f>
        <v/>
      </c>
      <c r="O132" s="4270"/>
      <c r="P132" s="4271"/>
      <c r="Q132" s="4271"/>
      <c r="R132" s="4271"/>
      <c r="S132" s="4271"/>
      <c r="T132" s="4271"/>
      <c r="U132" s="4271"/>
      <c r="V132" s="4272"/>
      <c r="W132" s="12">
        <f t="shared" si="6"/>
        <v>1</v>
      </c>
      <c r="X132" s="12">
        <f t="shared" si="8"/>
        <v>1</v>
      </c>
      <c r="Y132" s="12">
        <f t="shared" si="7"/>
        <v>1</v>
      </c>
    </row>
    <row r="133" spans="3:25" ht="15.7">
      <c r="D133" s="4267" t="str">
        <f>T('2 REPAIR ESTIMATOR'!D166:O166)</f>
        <v/>
      </c>
      <c r="E133" s="4268"/>
      <c r="F133" s="4268"/>
      <c r="G133" s="4268"/>
      <c r="H133" s="4268"/>
      <c r="I133" s="4268"/>
      <c r="J133" s="4268"/>
      <c r="K133" s="4268"/>
      <c r="L133" s="4269">
        <f>'2 REPAIR ESTIMATOR'!P166</f>
        <v>0</v>
      </c>
      <c r="M133" s="4269"/>
      <c r="N133" s="4270" t="str">
        <f>T('2 REPAIR ESTIMATOR'!S166)</f>
        <v/>
      </c>
      <c r="O133" s="4270"/>
      <c r="P133" s="4271"/>
      <c r="Q133" s="4271"/>
      <c r="R133" s="4271"/>
      <c r="S133" s="4271"/>
      <c r="T133" s="4271"/>
      <c r="U133" s="4271"/>
      <c r="V133" s="4272"/>
      <c r="W133" s="12">
        <f t="shared" si="6"/>
        <v>1</v>
      </c>
      <c r="X133" s="12">
        <f t="shared" si="8"/>
        <v>1</v>
      </c>
      <c r="Y133" s="12">
        <f t="shared" si="7"/>
        <v>1</v>
      </c>
    </row>
    <row r="134" spans="3:25" ht="15.7">
      <c r="D134" s="4267" t="str">
        <f>T('2 REPAIR ESTIMATOR'!D167:O167)</f>
        <v/>
      </c>
      <c r="E134" s="4268"/>
      <c r="F134" s="4268"/>
      <c r="G134" s="4268"/>
      <c r="H134" s="4268"/>
      <c r="I134" s="4268"/>
      <c r="J134" s="4268"/>
      <c r="K134" s="4268"/>
      <c r="L134" s="4269">
        <f>'2 REPAIR ESTIMATOR'!P167</f>
        <v>0</v>
      </c>
      <c r="M134" s="4269"/>
      <c r="N134" s="4270" t="str">
        <f>T('2 REPAIR ESTIMATOR'!S167)</f>
        <v/>
      </c>
      <c r="O134" s="4270"/>
      <c r="P134" s="4271"/>
      <c r="Q134" s="4271"/>
      <c r="R134" s="4271"/>
      <c r="S134" s="4271"/>
      <c r="T134" s="4271"/>
      <c r="U134" s="4271"/>
      <c r="V134" s="4272"/>
      <c r="W134" s="12">
        <f t="shared" si="6"/>
        <v>1</v>
      </c>
      <c r="X134" s="12">
        <f t="shared" si="8"/>
        <v>1</v>
      </c>
      <c r="Y134" s="12">
        <f t="shared" si="7"/>
        <v>1</v>
      </c>
    </row>
    <row r="135" spans="3:25" ht="15.7">
      <c r="D135" s="4267" t="str">
        <f>T('2 REPAIR ESTIMATOR'!D168:O168)</f>
        <v/>
      </c>
      <c r="E135" s="4268"/>
      <c r="F135" s="4268"/>
      <c r="G135" s="4268"/>
      <c r="H135" s="4268"/>
      <c r="I135" s="4268"/>
      <c r="J135" s="4268"/>
      <c r="K135" s="4268"/>
      <c r="L135" s="4269">
        <f>'2 REPAIR ESTIMATOR'!P168</f>
        <v>0</v>
      </c>
      <c r="M135" s="4269"/>
      <c r="N135" s="4270" t="str">
        <f>T('2 REPAIR ESTIMATOR'!S168)</f>
        <v/>
      </c>
      <c r="O135" s="4270"/>
      <c r="P135" s="4271"/>
      <c r="Q135" s="4271"/>
      <c r="R135" s="4271"/>
      <c r="S135" s="4271"/>
      <c r="T135" s="4271"/>
      <c r="U135" s="4271"/>
      <c r="V135" s="4272"/>
      <c r="W135" s="12">
        <f t="shared" si="6"/>
        <v>1</v>
      </c>
      <c r="X135" s="12">
        <f t="shared" si="8"/>
        <v>1</v>
      </c>
      <c r="Y135" s="12">
        <f t="shared" si="7"/>
        <v>1</v>
      </c>
    </row>
    <row r="136" spans="3:25" ht="15.7">
      <c r="D136" s="4267" t="str">
        <f>T('2 REPAIR ESTIMATOR'!D169:O169)</f>
        <v/>
      </c>
      <c r="E136" s="4268"/>
      <c r="F136" s="4268"/>
      <c r="G136" s="4268"/>
      <c r="H136" s="4268"/>
      <c r="I136" s="4268"/>
      <c r="J136" s="4268"/>
      <c r="K136" s="4268"/>
      <c r="L136" s="4269">
        <f>'2 REPAIR ESTIMATOR'!P169</f>
        <v>0</v>
      </c>
      <c r="M136" s="4269"/>
      <c r="N136" s="4270" t="str">
        <f>T('2 REPAIR ESTIMATOR'!S169)</f>
        <v/>
      </c>
      <c r="O136" s="4270"/>
      <c r="P136" s="4271"/>
      <c r="Q136" s="4271"/>
      <c r="R136" s="4271"/>
      <c r="S136" s="4271"/>
      <c r="T136" s="4271"/>
      <c r="U136" s="4271"/>
      <c r="V136" s="4272"/>
      <c r="W136" s="12">
        <f t="shared" si="6"/>
        <v>1</v>
      </c>
      <c r="X136" s="12">
        <f t="shared" si="8"/>
        <v>1</v>
      </c>
      <c r="Y136" s="12">
        <f t="shared" si="7"/>
        <v>1</v>
      </c>
    </row>
    <row r="137" spans="3:25" ht="15.7">
      <c r="D137" s="4267" t="str">
        <f>T('2 REPAIR ESTIMATOR'!D170:O170)</f>
        <v/>
      </c>
      <c r="E137" s="4268"/>
      <c r="F137" s="4268"/>
      <c r="G137" s="4268"/>
      <c r="H137" s="4268"/>
      <c r="I137" s="4268"/>
      <c r="J137" s="4268"/>
      <c r="K137" s="4268"/>
      <c r="L137" s="4269">
        <f>'2 REPAIR ESTIMATOR'!P170</f>
        <v>0</v>
      </c>
      <c r="M137" s="4269"/>
      <c r="N137" s="4270" t="str">
        <f>T('2 REPAIR ESTIMATOR'!S170)</f>
        <v/>
      </c>
      <c r="O137" s="4270"/>
      <c r="P137" s="4271"/>
      <c r="Q137" s="4271"/>
      <c r="R137" s="4271"/>
      <c r="S137" s="4271"/>
      <c r="T137" s="4271"/>
      <c r="U137" s="4271"/>
      <c r="V137" s="4272"/>
      <c r="W137" s="12">
        <f t="shared" si="6"/>
        <v>1</v>
      </c>
      <c r="X137" s="12">
        <f t="shared" si="8"/>
        <v>1</v>
      </c>
      <c r="Y137" s="12">
        <f t="shared" si="7"/>
        <v>1</v>
      </c>
    </row>
    <row r="138" spans="3:25" ht="15.7">
      <c r="D138" s="4267" t="str">
        <f>T('2 REPAIR ESTIMATOR'!D171:O171)</f>
        <v/>
      </c>
      <c r="E138" s="4268"/>
      <c r="F138" s="4268"/>
      <c r="G138" s="4268"/>
      <c r="H138" s="4268"/>
      <c r="I138" s="4268"/>
      <c r="J138" s="4268"/>
      <c r="K138" s="4268"/>
      <c r="L138" s="4269">
        <f>'2 REPAIR ESTIMATOR'!P171</f>
        <v>0</v>
      </c>
      <c r="M138" s="4269"/>
      <c r="N138" s="4270" t="str">
        <f>T('2 REPAIR ESTIMATOR'!S171)</f>
        <v/>
      </c>
      <c r="O138" s="4270"/>
      <c r="P138" s="4271"/>
      <c r="Q138" s="4271"/>
      <c r="R138" s="4271"/>
      <c r="S138" s="4271"/>
      <c r="T138" s="4271"/>
      <c r="U138" s="4271"/>
      <c r="V138" s="4272"/>
      <c r="W138" s="12">
        <f t="shared" si="6"/>
        <v>1</v>
      </c>
      <c r="X138" s="12">
        <f t="shared" si="8"/>
        <v>1</v>
      </c>
      <c r="Y138" s="12">
        <f t="shared" si="7"/>
        <v>1</v>
      </c>
    </row>
    <row r="139" spans="3:25" ht="15.7">
      <c r="D139" s="4267" t="str">
        <f>T('2 REPAIR ESTIMATOR'!D172:O172)</f>
        <v/>
      </c>
      <c r="E139" s="4268"/>
      <c r="F139" s="4268"/>
      <c r="G139" s="4268"/>
      <c r="H139" s="4268"/>
      <c r="I139" s="4268"/>
      <c r="J139" s="4268"/>
      <c r="K139" s="4268"/>
      <c r="L139" s="4269">
        <f>'2 REPAIR ESTIMATOR'!P172</f>
        <v>0</v>
      </c>
      <c r="M139" s="4269"/>
      <c r="N139" s="4270" t="str">
        <f>T('2 REPAIR ESTIMATOR'!S172)</f>
        <v/>
      </c>
      <c r="O139" s="4270"/>
      <c r="P139" s="4271"/>
      <c r="Q139" s="4271"/>
      <c r="R139" s="4271"/>
      <c r="S139" s="4271"/>
      <c r="T139" s="4271"/>
      <c r="U139" s="4271"/>
      <c r="V139" s="4272"/>
      <c r="W139" s="12">
        <f t="shared" si="6"/>
        <v>1</v>
      </c>
      <c r="X139" s="12">
        <f t="shared" si="8"/>
        <v>1</v>
      </c>
      <c r="Y139" s="12">
        <f t="shared" si="7"/>
        <v>1</v>
      </c>
    </row>
    <row r="140" spans="3:25" ht="15.7">
      <c r="C140" s="6"/>
      <c r="D140" s="723"/>
      <c r="E140" s="723"/>
      <c r="F140" s="723"/>
      <c r="G140" s="723"/>
      <c r="H140" s="723"/>
      <c r="I140" s="723"/>
      <c r="J140" s="723"/>
      <c r="K140" s="723"/>
      <c r="L140" s="724"/>
      <c r="M140" s="724"/>
      <c r="N140" s="725"/>
      <c r="O140" s="725"/>
      <c r="P140" s="724"/>
      <c r="Q140" s="445"/>
      <c r="R140" s="445"/>
      <c r="S140" s="725"/>
      <c r="T140" s="725"/>
      <c r="U140" s="725"/>
      <c r="V140" s="725"/>
      <c r="W140" s="12">
        <f>W141</f>
        <v>0</v>
      </c>
      <c r="X140" s="12">
        <f t="shared" si="8"/>
        <v>1</v>
      </c>
      <c r="Y140" s="12">
        <f t="shared" si="7"/>
        <v>0</v>
      </c>
    </row>
    <row r="141" spans="3:25" ht="16.7">
      <c r="C141" s="6"/>
      <c r="D141" s="4266" t="str">
        <f>UPPER(CONCATENATE("Miscellaneous ",D99," Items"))</f>
        <v>MISCELLANEOUS DEMOLITION ITEMS</v>
      </c>
      <c r="E141" s="4266"/>
      <c r="F141" s="4266"/>
      <c r="G141" s="4266"/>
      <c r="H141" s="4266"/>
      <c r="I141" s="4266"/>
      <c r="J141" s="4266"/>
      <c r="K141" s="4266"/>
      <c r="L141" s="4266"/>
      <c r="M141" s="4266"/>
      <c r="N141" s="4266"/>
      <c r="O141" s="4266"/>
      <c r="P141" s="4266"/>
      <c r="Q141" s="4266"/>
      <c r="R141" s="4266"/>
      <c r="S141" s="4266"/>
      <c r="T141" s="4266"/>
      <c r="U141" s="4266"/>
      <c r="V141" s="4266"/>
      <c r="W141" s="12">
        <f>SUM(W142:W151)</f>
        <v>0</v>
      </c>
      <c r="X141" s="12">
        <f t="shared" si="8"/>
        <v>1</v>
      </c>
      <c r="Y141" s="12">
        <f t="shared" si="7"/>
        <v>0</v>
      </c>
    </row>
    <row r="142" spans="3:25" ht="15.7">
      <c r="C142" s="6"/>
      <c r="D142" s="712">
        <v>1</v>
      </c>
      <c r="E142" s="4263" t="s">
        <v>1303</v>
      </c>
      <c r="F142" s="4263" t="s">
        <v>1303</v>
      </c>
      <c r="G142" s="4263" t="s">
        <v>1303</v>
      </c>
      <c r="H142" s="4263" t="s">
        <v>1303</v>
      </c>
      <c r="I142" s="4263" t="s">
        <v>1303</v>
      </c>
      <c r="J142" s="4263" t="s">
        <v>1303</v>
      </c>
      <c r="K142" s="4263" t="s">
        <v>1303</v>
      </c>
      <c r="L142" s="4263" t="s">
        <v>1303</v>
      </c>
      <c r="M142" s="4263" t="s">
        <v>1303</v>
      </c>
      <c r="N142" s="4263" t="s">
        <v>1303</v>
      </c>
      <c r="O142" s="4263" t="s">
        <v>1303</v>
      </c>
      <c r="P142" s="4263" t="s">
        <v>1303</v>
      </c>
      <c r="Q142" s="4263" t="s">
        <v>1303</v>
      </c>
      <c r="R142" s="4263" t="s">
        <v>1303</v>
      </c>
      <c r="S142" s="4263" t="s">
        <v>1303</v>
      </c>
      <c r="T142" s="4263" t="s">
        <v>1303</v>
      </c>
      <c r="U142" s="4263" t="s">
        <v>1303</v>
      </c>
      <c r="V142" s="4263" t="s">
        <v>1303</v>
      </c>
      <c r="W142" s="12">
        <f>IF(E142&lt;&gt;"",1,0)*W99</f>
        <v>0</v>
      </c>
      <c r="X142" s="12">
        <f t="shared" si="8"/>
        <v>1</v>
      </c>
      <c r="Y142" s="12">
        <f t="shared" si="7"/>
        <v>0</v>
      </c>
    </row>
    <row r="143" spans="3:25" ht="15.7">
      <c r="C143" s="6"/>
      <c r="D143" s="712">
        <v>2</v>
      </c>
      <c r="E143" s="4263" t="s">
        <v>1304</v>
      </c>
      <c r="F143" s="4263" t="s">
        <v>1304</v>
      </c>
      <c r="G143" s="4263" t="s">
        <v>1304</v>
      </c>
      <c r="H143" s="4263" t="s">
        <v>1304</v>
      </c>
      <c r="I143" s="4263" t="s">
        <v>1304</v>
      </c>
      <c r="J143" s="4263" t="s">
        <v>1304</v>
      </c>
      <c r="K143" s="4263" t="s">
        <v>1304</v>
      </c>
      <c r="L143" s="4263" t="s">
        <v>1304</v>
      </c>
      <c r="M143" s="4263" t="s">
        <v>1304</v>
      </c>
      <c r="N143" s="4263" t="s">
        <v>1304</v>
      </c>
      <c r="O143" s="4263" t="s">
        <v>1304</v>
      </c>
      <c r="P143" s="4263" t="s">
        <v>1304</v>
      </c>
      <c r="Q143" s="4263" t="s">
        <v>1304</v>
      </c>
      <c r="R143" s="4263" t="s">
        <v>1304</v>
      </c>
      <c r="S143" s="4263" t="s">
        <v>1304</v>
      </c>
      <c r="T143" s="4263" t="s">
        <v>1304</v>
      </c>
      <c r="U143" s="4263" t="s">
        <v>1304</v>
      </c>
      <c r="V143" s="4263" t="s">
        <v>1304</v>
      </c>
      <c r="W143" s="12">
        <f>IF(E143&lt;&gt;"",1,0)*W99</f>
        <v>0</v>
      </c>
      <c r="X143" s="12">
        <f t="shared" si="8"/>
        <v>1</v>
      </c>
      <c r="Y143" s="12">
        <f t="shared" si="7"/>
        <v>0</v>
      </c>
    </row>
    <row r="144" spans="3:25" ht="15.7">
      <c r="C144" s="6"/>
      <c r="D144" s="712">
        <v>3</v>
      </c>
      <c r="E144" s="4263" t="s">
        <v>1305</v>
      </c>
      <c r="F144" s="4263" t="s">
        <v>1305</v>
      </c>
      <c r="G144" s="4263" t="s">
        <v>1305</v>
      </c>
      <c r="H144" s="4263" t="s">
        <v>1305</v>
      </c>
      <c r="I144" s="4263" t="s">
        <v>1305</v>
      </c>
      <c r="J144" s="4263" t="s">
        <v>1305</v>
      </c>
      <c r="K144" s="4263" t="s">
        <v>1305</v>
      </c>
      <c r="L144" s="4263" t="s">
        <v>1305</v>
      </c>
      <c r="M144" s="4263" t="s">
        <v>1305</v>
      </c>
      <c r="N144" s="4263" t="s">
        <v>1305</v>
      </c>
      <c r="O144" s="4263" t="s">
        <v>1305</v>
      </c>
      <c r="P144" s="4263" t="s">
        <v>1305</v>
      </c>
      <c r="Q144" s="4263" t="s">
        <v>1305</v>
      </c>
      <c r="R144" s="4263" t="s">
        <v>1305</v>
      </c>
      <c r="S144" s="4263" t="s">
        <v>1305</v>
      </c>
      <c r="T144" s="4263" t="s">
        <v>1305</v>
      </c>
      <c r="U144" s="4263" t="s">
        <v>1305</v>
      </c>
      <c r="V144" s="4263" t="s">
        <v>1305</v>
      </c>
      <c r="W144" s="12">
        <f>IF(E144&lt;&gt;"",1,0)*W99</f>
        <v>0</v>
      </c>
      <c r="X144" s="12">
        <f t="shared" si="8"/>
        <v>1</v>
      </c>
      <c r="Y144" s="12">
        <f t="shared" si="7"/>
        <v>0</v>
      </c>
    </row>
    <row r="145" spans="3:25" ht="15.7">
      <c r="C145" s="6"/>
      <c r="D145" s="712">
        <v>4</v>
      </c>
      <c r="E145" s="4263" t="s">
        <v>1306</v>
      </c>
      <c r="F145" s="4263" t="s">
        <v>1306</v>
      </c>
      <c r="G145" s="4263" t="s">
        <v>1306</v>
      </c>
      <c r="H145" s="4263" t="s">
        <v>1306</v>
      </c>
      <c r="I145" s="4263" t="s">
        <v>1306</v>
      </c>
      <c r="J145" s="4263" t="s">
        <v>1306</v>
      </c>
      <c r="K145" s="4263" t="s">
        <v>1306</v>
      </c>
      <c r="L145" s="4263" t="s">
        <v>1306</v>
      </c>
      <c r="M145" s="4263" t="s">
        <v>1306</v>
      </c>
      <c r="N145" s="4263" t="s">
        <v>1306</v>
      </c>
      <c r="O145" s="4263" t="s">
        <v>1306</v>
      </c>
      <c r="P145" s="4263" t="s">
        <v>1306</v>
      </c>
      <c r="Q145" s="4263" t="s">
        <v>1306</v>
      </c>
      <c r="R145" s="4263" t="s">
        <v>1306</v>
      </c>
      <c r="S145" s="4263" t="s">
        <v>1306</v>
      </c>
      <c r="T145" s="4263" t="s">
        <v>1306</v>
      </c>
      <c r="U145" s="4263" t="s">
        <v>1306</v>
      </c>
      <c r="V145" s="4263" t="s">
        <v>1306</v>
      </c>
      <c r="W145" s="12">
        <f>IF(E145&lt;&gt;"",1,0)*W99</f>
        <v>0</v>
      </c>
      <c r="X145" s="12">
        <f t="shared" si="8"/>
        <v>1</v>
      </c>
      <c r="Y145" s="12">
        <f t="shared" si="7"/>
        <v>0</v>
      </c>
    </row>
    <row r="146" spans="3:25" ht="15.7">
      <c r="C146" s="6"/>
      <c r="D146" s="712">
        <v>5</v>
      </c>
      <c r="E146" s="4263" t="s">
        <v>1301</v>
      </c>
      <c r="F146" s="4263" t="s">
        <v>1301</v>
      </c>
      <c r="G146" s="4263" t="s">
        <v>1301</v>
      </c>
      <c r="H146" s="4263" t="s">
        <v>1301</v>
      </c>
      <c r="I146" s="4263" t="s">
        <v>1301</v>
      </c>
      <c r="J146" s="4263" t="s">
        <v>1301</v>
      </c>
      <c r="K146" s="4263" t="s">
        <v>1301</v>
      </c>
      <c r="L146" s="4263" t="s">
        <v>1301</v>
      </c>
      <c r="M146" s="4263" t="s">
        <v>1301</v>
      </c>
      <c r="N146" s="4263" t="s">
        <v>1301</v>
      </c>
      <c r="O146" s="4263" t="s">
        <v>1301</v>
      </c>
      <c r="P146" s="4263" t="s">
        <v>1301</v>
      </c>
      <c r="Q146" s="4263" t="s">
        <v>1301</v>
      </c>
      <c r="R146" s="4263" t="s">
        <v>1301</v>
      </c>
      <c r="S146" s="4263" t="s">
        <v>1301</v>
      </c>
      <c r="T146" s="4263" t="s">
        <v>1301</v>
      </c>
      <c r="U146" s="4263" t="s">
        <v>1301</v>
      </c>
      <c r="V146" s="4263" t="s">
        <v>1301</v>
      </c>
      <c r="W146" s="12">
        <f>IF(E146&lt;&gt;"",1,0)*W99</f>
        <v>0</v>
      </c>
      <c r="X146" s="12">
        <f t="shared" si="8"/>
        <v>1</v>
      </c>
      <c r="Y146" s="12">
        <f t="shared" si="7"/>
        <v>0</v>
      </c>
    </row>
    <row r="147" spans="3:25" ht="15.7">
      <c r="C147" s="6"/>
      <c r="D147" s="712">
        <v>6</v>
      </c>
      <c r="E147" s="4263" t="s">
        <v>1302</v>
      </c>
      <c r="F147" s="4263" t="s">
        <v>1302</v>
      </c>
      <c r="G147" s="4263" t="s">
        <v>1302</v>
      </c>
      <c r="H147" s="4263" t="s">
        <v>1302</v>
      </c>
      <c r="I147" s="4263" t="s">
        <v>1302</v>
      </c>
      <c r="J147" s="4263" t="s">
        <v>1302</v>
      </c>
      <c r="K147" s="4263" t="s">
        <v>1302</v>
      </c>
      <c r="L147" s="4263" t="s">
        <v>1302</v>
      </c>
      <c r="M147" s="4263" t="s">
        <v>1302</v>
      </c>
      <c r="N147" s="4263" t="s">
        <v>1302</v>
      </c>
      <c r="O147" s="4263" t="s">
        <v>1302</v>
      </c>
      <c r="P147" s="4263" t="s">
        <v>1302</v>
      </c>
      <c r="Q147" s="4263" t="s">
        <v>1302</v>
      </c>
      <c r="R147" s="4263" t="s">
        <v>1302</v>
      </c>
      <c r="S147" s="4263" t="s">
        <v>1302</v>
      </c>
      <c r="T147" s="4263" t="s">
        <v>1302</v>
      </c>
      <c r="U147" s="4263" t="s">
        <v>1302</v>
      </c>
      <c r="V147" s="4263" t="s">
        <v>1302</v>
      </c>
      <c r="W147" s="12">
        <f>IF(E147&lt;&gt;"",1,0)*W99</f>
        <v>0</v>
      </c>
      <c r="X147" s="12">
        <f t="shared" si="8"/>
        <v>1</v>
      </c>
      <c r="Y147" s="12">
        <f t="shared" si="7"/>
        <v>0</v>
      </c>
    </row>
    <row r="148" spans="3:25" ht="15.7">
      <c r="C148" s="6"/>
      <c r="D148" s="712">
        <v>7</v>
      </c>
      <c r="E148" s="4263"/>
      <c r="F148" s="4263"/>
      <c r="G148" s="4263"/>
      <c r="H148" s="4263"/>
      <c r="I148" s="4263"/>
      <c r="J148" s="4263"/>
      <c r="K148" s="4263"/>
      <c r="L148" s="4263"/>
      <c r="M148" s="4263"/>
      <c r="N148" s="4263"/>
      <c r="O148" s="4263"/>
      <c r="P148" s="4263"/>
      <c r="Q148" s="4263"/>
      <c r="R148" s="4263"/>
      <c r="S148" s="4263"/>
      <c r="T148" s="4263"/>
      <c r="U148" s="4263"/>
      <c r="V148" s="4263"/>
      <c r="W148" s="12">
        <f>IF(E148&lt;&gt;"",1,0)*W99</f>
        <v>0</v>
      </c>
      <c r="X148" s="12">
        <f t="shared" si="8"/>
        <v>1</v>
      </c>
      <c r="Y148" s="12">
        <f t="shared" si="7"/>
        <v>0</v>
      </c>
    </row>
    <row r="149" spans="3:25" ht="15.7">
      <c r="C149" s="6"/>
      <c r="D149" s="712">
        <v>8</v>
      </c>
      <c r="E149" s="4263"/>
      <c r="F149" s="4263"/>
      <c r="G149" s="4263"/>
      <c r="H149" s="4263"/>
      <c r="I149" s="4263"/>
      <c r="J149" s="4263"/>
      <c r="K149" s="4263"/>
      <c r="L149" s="4263"/>
      <c r="M149" s="4263"/>
      <c r="N149" s="4263"/>
      <c r="O149" s="4263"/>
      <c r="P149" s="4263"/>
      <c r="Q149" s="4263"/>
      <c r="R149" s="4263"/>
      <c r="S149" s="4263"/>
      <c r="T149" s="4263"/>
      <c r="U149" s="4263"/>
      <c r="V149" s="4263"/>
      <c r="W149" s="12">
        <f>IF(E149&lt;&gt;"",1,0)*W99</f>
        <v>0</v>
      </c>
      <c r="X149" s="12">
        <f t="shared" si="8"/>
        <v>1</v>
      </c>
      <c r="Y149" s="12">
        <f t="shared" si="7"/>
        <v>0</v>
      </c>
    </row>
    <row r="150" spans="3:25" ht="15.7">
      <c r="C150" s="6"/>
      <c r="D150" s="712">
        <v>9</v>
      </c>
      <c r="E150" s="4263"/>
      <c r="F150" s="4263"/>
      <c r="G150" s="4263"/>
      <c r="H150" s="4263"/>
      <c r="I150" s="4263"/>
      <c r="J150" s="4263"/>
      <c r="K150" s="4263"/>
      <c r="L150" s="4263"/>
      <c r="M150" s="4263"/>
      <c r="N150" s="4263"/>
      <c r="O150" s="4263"/>
      <c r="P150" s="4263"/>
      <c r="Q150" s="4263"/>
      <c r="R150" s="4263"/>
      <c r="S150" s="4263"/>
      <c r="T150" s="4263"/>
      <c r="U150" s="4263"/>
      <c r="V150" s="4263"/>
      <c r="W150" s="12">
        <f>IF(E150&lt;&gt;"",1,0)*W99</f>
        <v>0</v>
      </c>
      <c r="X150" s="12">
        <f t="shared" si="8"/>
        <v>1</v>
      </c>
      <c r="Y150" s="12">
        <f t="shared" si="7"/>
        <v>0</v>
      </c>
    </row>
    <row r="151" spans="3:25" ht="15.7">
      <c r="C151" s="6"/>
      <c r="D151" s="712">
        <v>10</v>
      </c>
      <c r="E151" s="4263"/>
      <c r="F151" s="4263"/>
      <c r="G151" s="4263"/>
      <c r="H151" s="4263"/>
      <c r="I151" s="4263"/>
      <c r="J151" s="4263"/>
      <c r="K151" s="4263"/>
      <c r="L151" s="4263"/>
      <c r="M151" s="4263"/>
      <c r="N151" s="4263"/>
      <c r="O151" s="4263"/>
      <c r="P151" s="4263"/>
      <c r="Q151" s="4263"/>
      <c r="R151" s="4263"/>
      <c r="S151" s="4263"/>
      <c r="T151" s="4263"/>
      <c r="U151" s="4263"/>
      <c r="V151" s="4263"/>
      <c r="W151" s="12">
        <f>IF(E151&lt;&gt;"",1,0)*W99</f>
        <v>0</v>
      </c>
      <c r="X151" s="12">
        <f t="shared" si="8"/>
        <v>1</v>
      </c>
      <c r="Y151" s="12">
        <f t="shared" si="7"/>
        <v>0</v>
      </c>
    </row>
    <row r="152" spans="3:25" ht="15.7">
      <c r="C152" s="6"/>
      <c r="D152" s="723"/>
      <c r="E152" s="723"/>
      <c r="F152" s="723"/>
      <c r="G152" s="723"/>
      <c r="H152" s="723"/>
      <c r="I152" s="723"/>
      <c r="J152" s="723"/>
      <c r="K152" s="723"/>
      <c r="L152" s="724"/>
      <c r="M152" s="724"/>
      <c r="N152" s="725"/>
      <c r="O152" s="725"/>
      <c r="P152" s="724"/>
      <c r="Q152" s="445"/>
      <c r="R152" s="445"/>
      <c r="S152" s="726"/>
      <c r="T152" s="726"/>
      <c r="U152" s="726"/>
      <c r="V152" s="726"/>
      <c r="W152" s="12">
        <f>W99</f>
        <v>0</v>
      </c>
      <c r="X152" s="12">
        <f t="shared" si="8"/>
        <v>1</v>
      </c>
      <c r="Y152" s="12">
        <f t="shared" si="7"/>
        <v>0</v>
      </c>
    </row>
    <row r="153" spans="3:25" ht="40.5" customHeight="1">
      <c r="C153" s="6"/>
      <c r="D153" s="4264" t="str">
        <f>UPPER(CONCATENATE("TOTAL ",D99))</f>
        <v>TOTAL DEMOLITION</v>
      </c>
      <c r="E153" s="4264"/>
      <c r="F153" s="4264"/>
      <c r="G153" s="4264"/>
      <c r="H153" s="4264"/>
      <c r="I153" s="4264"/>
      <c r="J153" s="4264"/>
      <c r="K153" s="4264"/>
      <c r="L153" s="4264"/>
      <c r="M153" s="4264"/>
      <c r="N153" s="4264"/>
      <c r="O153" s="4264"/>
      <c r="P153" s="4264"/>
      <c r="Q153" s="4265"/>
      <c r="R153" s="4265"/>
      <c r="S153" s="4265"/>
      <c r="T153" s="4265"/>
      <c r="U153" s="4265"/>
      <c r="V153" s="4265"/>
      <c r="W153" s="12">
        <f>W99</f>
        <v>0</v>
      </c>
      <c r="X153" s="12">
        <f t="shared" si="8"/>
        <v>1</v>
      </c>
      <c r="Y153" s="12">
        <f t="shared" si="7"/>
        <v>0</v>
      </c>
    </row>
    <row r="154" spans="3:25" ht="15.7">
      <c r="C154" s="6"/>
      <c r="D154" s="723"/>
      <c r="E154" s="723"/>
      <c r="F154" s="723"/>
      <c r="G154" s="723"/>
      <c r="H154" s="723"/>
      <c r="I154" s="723"/>
      <c r="J154" s="723"/>
      <c r="K154" s="723"/>
      <c r="L154" s="724"/>
      <c r="M154" s="724"/>
      <c r="N154" s="725"/>
      <c r="O154" s="725"/>
      <c r="P154" s="724"/>
      <c r="Q154" s="445"/>
      <c r="R154" s="445"/>
      <c r="S154" s="726"/>
      <c r="T154" s="726"/>
      <c r="U154" s="726"/>
      <c r="V154" s="726"/>
      <c r="W154" s="12">
        <f>W99</f>
        <v>0</v>
      </c>
      <c r="X154" s="12">
        <f t="shared" si="8"/>
        <v>1</v>
      </c>
      <c r="Y154" s="12">
        <f t="shared" si="7"/>
        <v>0</v>
      </c>
    </row>
    <row r="155" spans="3:25" ht="26.45" customHeight="1">
      <c r="D155" s="4275" t="str">
        <f>T('2 REPAIR ESTIMATOR'!D177:O177)</f>
        <v>STRUCTURAL CONCRETE</v>
      </c>
      <c r="E155" s="4275"/>
      <c r="F155" s="4275"/>
      <c r="G155" s="4275"/>
      <c r="H155" s="4275"/>
      <c r="I155" s="4275"/>
      <c r="J155" s="4275"/>
      <c r="K155" s="4276"/>
      <c r="L155" s="4277">
        <f>SUM(L156:M195)</f>
        <v>0</v>
      </c>
      <c r="M155" s="4278"/>
      <c r="N155" s="4279"/>
      <c r="O155" s="4280"/>
      <c r="P155" s="4277"/>
      <c r="Q155" s="4281"/>
      <c r="R155" s="4281"/>
      <c r="S155" s="4281"/>
      <c r="T155" s="4281"/>
      <c r="U155" s="4281"/>
      <c r="V155" s="4281"/>
      <c r="W155" s="12">
        <f>IF(L155&gt;0,1,0)</f>
        <v>0</v>
      </c>
      <c r="X155" s="12">
        <f t="shared" ref="X155:X186" si="9">IF(Scope3_Setting="Shown",1,0)</f>
        <v>1</v>
      </c>
      <c r="Y155" s="12">
        <f t="shared" si="7"/>
        <v>0</v>
      </c>
    </row>
    <row r="156" spans="3:25" ht="15.7">
      <c r="D156" s="4267" t="str">
        <f>T('2 REPAIR ESTIMATOR'!D178:O178)</f>
        <v>Excavation</v>
      </c>
      <c r="E156" s="4268"/>
      <c r="F156" s="4268"/>
      <c r="G156" s="4268"/>
      <c r="H156" s="4268"/>
      <c r="I156" s="4268"/>
      <c r="J156" s="4268"/>
      <c r="K156" s="4268"/>
      <c r="L156" s="4269">
        <f>'2 REPAIR ESTIMATOR'!P178</f>
        <v>0</v>
      </c>
      <c r="M156" s="4269"/>
      <c r="N156" s="4270" t="str">
        <f>T('2 REPAIR ESTIMATOR'!S178)</f>
        <v/>
      </c>
      <c r="O156" s="4270"/>
      <c r="P156" s="4273"/>
      <c r="Q156" s="4273"/>
      <c r="R156" s="4273"/>
      <c r="S156" s="4273"/>
      <c r="T156" s="4273"/>
      <c r="U156" s="4273"/>
      <c r="V156" s="4274"/>
      <c r="W156" s="12">
        <f>IF(L156="",0,1)</f>
        <v>1</v>
      </c>
      <c r="X156" s="12">
        <f t="shared" si="9"/>
        <v>1</v>
      </c>
      <c r="Y156" s="12">
        <f t="shared" si="7"/>
        <v>1</v>
      </c>
    </row>
    <row r="157" spans="3:25" ht="15.7">
      <c r="D157" s="4267" t="str">
        <f>T('2 REPAIR ESTIMATOR'!D179:O179)</f>
        <v>Excavation bid/allowance</v>
      </c>
      <c r="E157" s="4268"/>
      <c r="F157" s="4268"/>
      <c r="G157" s="4268"/>
      <c r="H157" s="4268"/>
      <c r="I157" s="4268"/>
      <c r="J157" s="4268"/>
      <c r="K157" s="4268"/>
      <c r="L157" s="4269">
        <f>'2 REPAIR ESTIMATOR'!P179</f>
        <v>0</v>
      </c>
      <c r="M157" s="4269"/>
      <c r="N157" s="4270" t="str">
        <f>T('2 REPAIR ESTIMATOR'!S179)</f>
        <v>ls</v>
      </c>
      <c r="O157" s="4270"/>
      <c r="P157" s="4271"/>
      <c r="Q157" s="4271"/>
      <c r="R157" s="4271"/>
      <c r="S157" s="4271"/>
      <c r="T157" s="4271"/>
      <c r="U157" s="4271"/>
      <c r="V157" s="4272"/>
      <c r="W157" s="12">
        <f t="shared" ref="W157:W195" si="10">IF(L157="",0,1)</f>
        <v>1</v>
      </c>
      <c r="X157" s="12">
        <f t="shared" si="9"/>
        <v>1</v>
      </c>
      <c r="Y157" s="12">
        <f t="shared" si="7"/>
        <v>1</v>
      </c>
    </row>
    <row r="158" spans="3:25" ht="15.7">
      <c r="D158" s="4267" t="str">
        <f>T('2 REPAIR ESTIMATOR'!D180:O180)</f>
        <v>Footing trenching</v>
      </c>
      <c r="E158" s="4268"/>
      <c r="F158" s="4268"/>
      <c r="G158" s="4268"/>
      <c r="H158" s="4268"/>
      <c r="I158" s="4268"/>
      <c r="J158" s="4268"/>
      <c r="K158" s="4268"/>
      <c r="L158" s="4269">
        <f>'2 REPAIR ESTIMATOR'!P180</f>
        <v>0</v>
      </c>
      <c r="M158" s="4269"/>
      <c r="N158" s="4270" t="str">
        <f>T('2 REPAIR ESTIMATOR'!S180)</f>
        <v>cy</v>
      </c>
      <c r="O158" s="4270"/>
      <c r="P158" s="4271"/>
      <c r="Q158" s="4271"/>
      <c r="R158" s="4271"/>
      <c r="S158" s="4271"/>
      <c r="T158" s="4271"/>
      <c r="U158" s="4271"/>
      <c r="V158" s="4272"/>
      <c r="W158" s="12">
        <f t="shared" si="10"/>
        <v>1</v>
      </c>
      <c r="X158" s="12">
        <f t="shared" si="9"/>
        <v>1</v>
      </c>
      <c r="Y158" s="12">
        <f t="shared" si="7"/>
        <v>1</v>
      </c>
    </row>
    <row r="159" spans="3:25" ht="15.7">
      <c r="D159" s="4267" t="str">
        <f>T('2 REPAIR ESTIMATOR'!D181:O181)</f>
        <v xml:space="preserve">Backfill of trenches </v>
      </c>
      <c r="E159" s="4268"/>
      <c r="F159" s="4268"/>
      <c r="G159" s="4268"/>
      <c r="H159" s="4268"/>
      <c r="I159" s="4268"/>
      <c r="J159" s="4268"/>
      <c r="K159" s="4268"/>
      <c r="L159" s="4269">
        <f>'2 REPAIR ESTIMATOR'!P181</f>
        <v>0</v>
      </c>
      <c r="M159" s="4269"/>
      <c r="N159" s="4270" t="str">
        <f>T('2 REPAIR ESTIMATOR'!S181)</f>
        <v>cy</v>
      </c>
      <c r="O159" s="4270"/>
      <c r="P159" s="4271"/>
      <c r="Q159" s="4271"/>
      <c r="R159" s="4271"/>
      <c r="S159" s="4271"/>
      <c r="T159" s="4271"/>
      <c r="U159" s="4271"/>
      <c r="V159" s="4272"/>
      <c r="W159" s="12">
        <f t="shared" si="10"/>
        <v>1</v>
      </c>
      <c r="X159" s="12">
        <f t="shared" si="9"/>
        <v>1</v>
      </c>
      <c r="Y159" s="12">
        <f t="shared" si="7"/>
        <v>1</v>
      </c>
    </row>
    <row r="160" spans="3:25" ht="15.7">
      <c r="D160" s="4267" t="str">
        <f>T('2 REPAIR ESTIMATOR'!D182:O182)</f>
        <v/>
      </c>
      <c r="E160" s="4268"/>
      <c r="F160" s="4268"/>
      <c r="G160" s="4268"/>
      <c r="H160" s="4268"/>
      <c r="I160" s="4268"/>
      <c r="J160" s="4268"/>
      <c r="K160" s="4268"/>
      <c r="L160" s="4269">
        <f>'2 REPAIR ESTIMATOR'!P182</f>
        <v>0</v>
      </c>
      <c r="M160" s="4269"/>
      <c r="N160" s="4270" t="str">
        <f>T('2 REPAIR ESTIMATOR'!S182)</f>
        <v/>
      </c>
      <c r="O160" s="4270"/>
      <c r="P160" s="4271"/>
      <c r="Q160" s="4271"/>
      <c r="R160" s="4271"/>
      <c r="S160" s="4271"/>
      <c r="T160" s="4271"/>
      <c r="U160" s="4271"/>
      <c r="V160" s="4272"/>
      <c r="W160" s="12">
        <f t="shared" si="10"/>
        <v>1</v>
      </c>
      <c r="X160" s="12">
        <f t="shared" si="9"/>
        <v>1</v>
      </c>
      <c r="Y160" s="12">
        <f t="shared" si="7"/>
        <v>1</v>
      </c>
    </row>
    <row r="161" spans="4:25" ht="15.7">
      <c r="D161" s="4267" t="str">
        <f>T('2 REPAIR ESTIMATOR'!D183:O183)</f>
        <v/>
      </c>
      <c r="E161" s="4268"/>
      <c r="F161" s="4268"/>
      <c r="G161" s="4268"/>
      <c r="H161" s="4268"/>
      <c r="I161" s="4268"/>
      <c r="J161" s="4268"/>
      <c r="K161" s="4268"/>
      <c r="L161" s="4269">
        <f>'2 REPAIR ESTIMATOR'!P183</f>
        <v>0</v>
      </c>
      <c r="M161" s="4269"/>
      <c r="N161" s="4270" t="str">
        <f>T('2 REPAIR ESTIMATOR'!S183)</f>
        <v/>
      </c>
      <c r="O161" s="4270"/>
      <c r="P161" s="4271"/>
      <c r="Q161" s="4271"/>
      <c r="R161" s="4271"/>
      <c r="S161" s="4271"/>
      <c r="T161" s="4271"/>
      <c r="U161" s="4271"/>
      <c r="V161" s="4272"/>
      <c r="W161" s="12">
        <f t="shared" si="10"/>
        <v>1</v>
      </c>
      <c r="X161" s="12">
        <f t="shared" si="9"/>
        <v>1</v>
      </c>
      <c r="Y161" s="12">
        <f t="shared" si="7"/>
        <v>1</v>
      </c>
    </row>
    <row r="162" spans="4:25" ht="15.7">
      <c r="D162" s="4267" t="str">
        <f>T('2 REPAIR ESTIMATOR'!D184:O184)</f>
        <v>Foundation</v>
      </c>
      <c r="E162" s="4268"/>
      <c r="F162" s="4268"/>
      <c r="G162" s="4268"/>
      <c r="H162" s="4268"/>
      <c r="I162" s="4268"/>
      <c r="J162" s="4268"/>
      <c r="K162" s="4268"/>
      <c r="L162" s="4269">
        <f>'2 REPAIR ESTIMATOR'!P184</f>
        <v>0</v>
      </c>
      <c r="M162" s="4269"/>
      <c r="N162" s="4270" t="str">
        <f>T('2 REPAIR ESTIMATOR'!S184)</f>
        <v/>
      </c>
      <c r="O162" s="4270"/>
      <c r="P162" s="4271"/>
      <c r="Q162" s="4271"/>
      <c r="R162" s="4271"/>
      <c r="S162" s="4271"/>
      <c r="T162" s="4271"/>
      <c r="U162" s="4271"/>
      <c r="V162" s="4272"/>
      <c r="W162" s="12">
        <f t="shared" si="10"/>
        <v>1</v>
      </c>
      <c r="X162" s="12">
        <f t="shared" si="9"/>
        <v>1</v>
      </c>
      <c r="Y162" s="12">
        <f t="shared" si="7"/>
        <v>1</v>
      </c>
    </row>
    <row r="163" spans="4:25" ht="15.7">
      <c r="D163" s="4267" t="str">
        <f>T('2 REPAIR ESTIMATOR'!D185:O185)</f>
        <v>Foundation bid/allowance</v>
      </c>
      <c r="E163" s="4268"/>
      <c r="F163" s="4268"/>
      <c r="G163" s="4268"/>
      <c r="H163" s="4268"/>
      <c r="I163" s="4268"/>
      <c r="J163" s="4268"/>
      <c r="K163" s="4268"/>
      <c r="L163" s="4269">
        <f>'2 REPAIR ESTIMATOR'!P185</f>
        <v>0</v>
      </c>
      <c r="M163" s="4269"/>
      <c r="N163" s="4270" t="str">
        <f>T('2 REPAIR ESTIMATOR'!S185)</f>
        <v>ls</v>
      </c>
      <c r="O163" s="4270"/>
      <c r="P163" s="4271"/>
      <c r="Q163" s="4271"/>
      <c r="R163" s="4271"/>
      <c r="S163" s="4271"/>
      <c r="T163" s="4271"/>
      <c r="U163" s="4271"/>
      <c r="V163" s="4272"/>
      <c r="W163" s="12">
        <f t="shared" si="10"/>
        <v>1</v>
      </c>
      <c r="X163" s="12">
        <f t="shared" si="9"/>
        <v>1</v>
      </c>
      <c r="Y163" s="12">
        <f t="shared" si="7"/>
        <v>1</v>
      </c>
    </row>
    <row r="164" spans="4:25" ht="15.7">
      <c r="D164" s="4267" t="str">
        <f>T('2 REPAIR ESTIMATOR'!D186:O186)</f>
        <v>Concrete slab on grade, 4" thick</v>
      </c>
      <c r="E164" s="4268"/>
      <c r="F164" s="4268"/>
      <c r="G164" s="4268"/>
      <c r="H164" s="4268"/>
      <c r="I164" s="4268"/>
      <c r="J164" s="4268"/>
      <c r="K164" s="4268"/>
      <c r="L164" s="4269">
        <f>'2 REPAIR ESTIMATOR'!P186</f>
        <v>0</v>
      </c>
      <c r="M164" s="4269"/>
      <c r="N164" s="4270" t="str">
        <f>T('2 REPAIR ESTIMATOR'!S186)</f>
        <v>sf</v>
      </c>
      <c r="O164" s="4270"/>
      <c r="P164" s="4271"/>
      <c r="Q164" s="4271"/>
      <c r="R164" s="4271"/>
      <c r="S164" s="4271"/>
      <c r="T164" s="4271"/>
      <c r="U164" s="4271"/>
      <c r="V164" s="4272"/>
      <c r="W164" s="12">
        <f t="shared" si="10"/>
        <v>1</v>
      </c>
      <c r="X164" s="12">
        <f t="shared" si="9"/>
        <v>1</v>
      </c>
      <c r="Y164" s="12">
        <f t="shared" si="7"/>
        <v>1</v>
      </c>
    </row>
    <row r="165" spans="4:25" ht="15.7">
      <c r="D165" s="4267" t="str">
        <f>T('2 REPAIR ESTIMATOR'!D187:O187)</f>
        <v xml:space="preserve">Concrete footing, 12" wide </v>
      </c>
      <c r="E165" s="4268"/>
      <c r="F165" s="4268"/>
      <c r="G165" s="4268"/>
      <c r="H165" s="4268"/>
      <c r="I165" s="4268"/>
      <c r="J165" s="4268"/>
      <c r="K165" s="4268"/>
      <c r="L165" s="4269">
        <f>'2 REPAIR ESTIMATOR'!P187</f>
        <v>0</v>
      </c>
      <c r="M165" s="4269"/>
      <c r="N165" s="4270" t="str">
        <f>T('2 REPAIR ESTIMATOR'!S187)</f>
        <v>lf</v>
      </c>
      <c r="O165" s="4270"/>
      <c r="P165" s="4271"/>
      <c r="Q165" s="4271"/>
      <c r="R165" s="4271"/>
      <c r="S165" s="4271"/>
      <c r="T165" s="4271"/>
      <c r="U165" s="4271"/>
      <c r="V165" s="4272"/>
      <c r="W165" s="12">
        <f t="shared" si="10"/>
        <v>1</v>
      </c>
      <c r="X165" s="12">
        <f t="shared" si="9"/>
        <v>1</v>
      </c>
      <c r="Y165" s="12">
        <f t="shared" si="7"/>
        <v>1</v>
      </c>
    </row>
    <row r="166" spans="4:25" ht="15.7">
      <c r="D166" s="4267" t="str">
        <f>T('2 REPAIR ESTIMATOR'!D188:O188)</f>
        <v>Stem wall, single story</v>
      </c>
      <c r="E166" s="4268"/>
      <c r="F166" s="4268"/>
      <c r="G166" s="4268"/>
      <c r="H166" s="4268"/>
      <c r="I166" s="4268"/>
      <c r="J166" s="4268"/>
      <c r="K166" s="4268"/>
      <c r="L166" s="4269">
        <f>'2 REPAIR ESTIMATOR'!P188</f>
        <v>0</v>
      </c>
      <c r="M166" s="4269"/>
      <c r="N166" s="4270" t="str">
        <f>T('2 REPAIR ESTIMATOR'!S188)</f>
        <v>lf</v>
      </c>
      <c r="O166" s="4270"/>
      <c r="P166" s="4271"/>
      <c r="Q166" s="4271"/>
      <c r="R166" s="4271"/>
      <c r="S166" s="4271"/>
      <c r="T166" s="4271"/>
      <c r="U166" s="4271"/>
      <c r="V166" s="4272"/>
      <c r="W166" s="12">
        <f t="shared" si="10"/>
        <v>1</v>
      </c>
      <c r="X166" s="12">
        <f t="shared" si="9"/>
        <v>1</v>
      </c>
      <c r="Y166" s="12">
        <f t="shared" si="7"/>
        <v>1</v>
      </c>
    </row>
    <row r="167" spans="4:25" ht="15.7">
      <c r="D167" s="4267" t="str">
        <f>T('2 REPAIR ESTIMATOR'!D189:O189)</f>
        <v/>
      </c>
      <c r="E167" s="4268"/>
      <c r="F167" s="4268"/>
      <c r="G167" s="4268"/>
      <c r="H167" s="4268"/>
      <c r="I167" s="4268"/>
      <c r="J167" s="4268"/>
      <c r="K167" s="4268"/>
      <c r="L167" s="4269">
        <f>'2 REPAIR ESTIMATOR'!P189</f>
        <v>0</v>
      </c>
      <c r="M167" s="4269"/>
      <c r="N167" s="4270" t="str">
        <f>T('2 REPAIR ESTIMATOR'!S189)</f>
        <v/>
      </c>
      <c r="O167" s="4270"/>
      <c r="P167" s="4271"/>
      <c r="Q167" s="4271"/>
      <c r="R167" s="4271"/>
      <c r="S167" s="4271"/>
      <c r="T167" s="4271"/>
      <c r="U167" s="4271"/>
      <c r="V167" s="4272"/>
      <c r="W167" s="12">
        <f t="shared" si="10"/>
        <v>1</v>
      </c>
      <c r="X167" s="12">
        <f t="shared" si="9"/>
        <v>1</v>
      </c>
      <c r="Y167" s="12">
        <f t="shared" si="7"/>
        <v>1</v>
      </c>
    </row>
    <row r="168" spans="4:25" ht="15.7">
      <c r="D168" s="4267" t="str">
        <f>T('2 REPAIR ESTIMATOR'!D190:O190)</f>
        <v/>
      </c>
      <c r="E168" s="4268"/>
      <c r="F168" s="4268"/>
      <c r="G168" s="4268"/>
      <c r="H168" s="4268"/>
      <c r="I168" s="4268"/>
      <c r="J168" s="4268"/>
      <c r="K168" s="4268"/>
      <c r="L168" s="4269">
        <f>'2 REPAIR ESTIMATOR'!P190</f>
        <v>0</v>
      </c>
      <c r="M168" s="4269"/>
      <c r="N168" s="4270" t="str">
        <f>T('2 REPAIR ESTIMATOR'!S190)</f>
        <v/>
      </c>
      <c r="O168" s="4270"/>
      <c r="P168" s="4271"/>
      <c r="Q168" s="4271"/>
      <c r="R168" s="4271"/>
      <c r="S168" s="4271"/>
      <c r="T168" s="4271"/>
      <c r="U168" s="4271"/>
      <c r="V168" s="4272"/>
      <c r="W168" s="12">
        <f t="shared" si="10"/>
        <v>1</v>
      </c>
      <c r="X168" s="12">
        <f t="shared" si="9"/>
        <v>1</v>
      </c>
      <c r="Y168" s="12">
        <f t="shared" si="7"/>
        <v>1</v>
      </c>
    </row>
    <row r="169" spans="4:25" ht="15.7">
      <c r="D169" s="4267" t="str">
        <f>T('2 REPAIR ESTIMATOR'!D191:O191)</f>
        <v>Structural Repairs</v>
      </c>
      <c r="E169" s="4268"/>
      <c r="F169" s="4268"/>
      <c r="G169" s="4268"/>
      <c r="H169" s="4268"/>
      <c r="I169" s="4268"/>
      <c r="J169" s="4268"/>
      <c r="K169" s="4268"/>
      <c r="L169" s="4269">
        <f>'2 REPAIR ESTIMATOR'!P191</f>
        <v>0</v>
      </c>
      <c r="M169" s="4269"/>
      <c r="N169" s="4270" t="str">
        <f>T('2 REPAIR ESTIMATOR'!S191)</f>
        <v/>
      </c>
      <c r="O169" s="4270"/>
      <c r="P169" s="4271"/>
      <c r="Q169" s="4271"/>
      <c r="R169" s="4271"/>
      <c r="S169" s="4271"/>
      <c r="T169" s="4271"/>
      <c r="U169" s="4271"/>
      <c r="V169" s="4272"/>
      <c r="W169" s="12">
        <f t="shared" si="10"/>
        <v>1</v>
      </c>
      <c r="X169" s="12">
        <f t="shared" si="9"/>
        <v>1</v>
      </c>
      <c r="Y169" s="12">
        <f t="shared" si="7"/>
        <v>1</v>
      </c>
    </row>
    <row r="170" spans="4:25" ht="15.7">
      <c r="D170" s="4267" t="str">
        <f>T('2 REPAIR ESTIMATOR'!D192:O192)</f>
        <v>Structural Repairs bid/allowance</v>
      </c>
      <c r="E170" s="4268"/>
      <c r="F170" s="4268"/>
      <c r="G170" s="4268"/>
      <c r="H170" s="4268"/>
      <c r="I170" s="4268"/>
      <c r="J170" s="4268"/>
      <c r="K170" s="4268"/>
      <c r="L170" s="4269">
        <f>'2 REPAIR ESTIMATOR'!P192</f>
        <v>0</v>
      </c>
      <c r="M170" s="4269"/>
      <c r="N170" s="4270" t="str">
        <f>T('2 REPAIR ESTIMATOR'!S192)</f>
        <v>ls</v>
      </c>
      <c r="O170" s="4270"/>
      <c r="P170" s="4271"/>
      <c r="Q170" s="4271"/>
      <c r="R170" s="4271"/>
      <c r="S170" s="4271"/>
      <c r="T170" s="4271"/>
      <c r="U170" s="4271"/>
      <c r="V170" s="4272"/>
      <c r="W170" s="12">
        <f t="shared" si="10"/>
        <v>1</v>
      </c>
      <c r="X170" s="12">
        <f t="shared" si="9"/>
        <v>1</v>
      </c>
      <c r="Y170" s="12">
        <f t="shared" si="7"/>
        <v>1</v>
      </c>
    </row>
    <row r="171" spans="4:25" ht="15.7">
      <c r="D171" s="4267" t="str">
        <f>T('2 REPAIR ESTIMATOR'!D193:O193)</f>
        <v>Stair mud jacking, case by case</v>
      </c>
      <c r="E171" s="4268"/>
      <c r="F171" s="4268"/>
      <c r="G171" s="4268"/>
      <c r="H171" s="4268"/>
      <c r="I171" s="4268"/>
      <c r="J171" s="4268"/>
      <c r="K171" s="4268"/>
      <c r="L171" s="4269">
        <f>'2 REPAIR ESTIMATOR'!P193</f>
        <v>0</v>
      </c>
      <c r="M171" s="4269"/>
      <c r="N171" s="4270" t="str">
        <f>T('2 REPAIR ESTIMATOR'!S193)</f>
        <v>ea</v>
      </c>
      <c r="O171" s="4270"/>
      <c r="P171" s="4271"/>
      <c r="Q171" s="4271"/>
      <c r="R171" s="4271"/>
      <c r="S171" s="4271"/>
      <c r="T171" s="4271"/>
      <c r="U171" s="4271"/>
      <c r="V171" s="4272"/>
      <c r="W171" s="12">
        <f t="shared" si="10"/>
        <v>1</v>
      </c>
      <c r="X171" s="12">
        <f t="shared" si="9"/>
        <v>1</v>
      </c>
      <c r="Y171" s="12">
        <f t="shared" si="7"/>
        <v>1</v>
      </c>
    </row>
    <row r="172" spans="4:25" ht="15.7">
      <c r="D172" s="4267" t="str">
        <f>T('2 REPAIR ESTIMATOR'!D194:O194)</f>
        <v>Bowing foundation walls, vertical I-Beams</v>
      </c>
      <c r="E172" s="4268"/>
      <c r="F172" s="4268"/>
      <c r="G172" s="4268"/>
      <c r="H172" s="4268"/>
      <c r="I172" s="4268"/>
      <c r="J172" s="4268"/>
      <c r="K172" s="4268"/>
      <c r="L172" s="4269">
        <f>'2 REPAIR ESTIMATOR'!P194</f>
        <v>0</v>
      </c>
      <c r="M172" s="4269"/>
      <c r="N172" s="4270" t="str">
        <f>T('2 REPAIR ESTIMATOR'!S194)</f>
        <v>ea</v>
      </c>
      <c r="O172" s="4270"/>
      <c r="P172" s="4271"/>
      <c r="Q172" s="4271"/>
      <c r="R172" s="4271"/>
      <c r="S172" s="4271"/>
      <c r="T172" s="4271"/>
      <c r="U172" s="4271"/>
      <c r="V172" s="4272"/>
      <c r="W172" s="12">
        <f t="shared" si="10"/>
        <v>1</v>
      </c>
      <c r="X172" s="12">
        <f t="shared" si="9"/>
        <v>1</v>
      </c>
      <c r="Y172" s="12">
        <f t="shared" ref="Y172:Y235" si="11">W172*X172</f>
        <v>1</v>
      </c>
    </row>
    <row r="173" spans="4:25" ht="15.7">
      <c r="D173" s="4267" t="str">
        <f>T('2 REPAIR ESTIMATOR'!D195:O195)</f>
        <v>Settled foundation walls, concrete piers/underpinning</v>
      </c>
      <c r="E173" s="4268"/>
      <c r="F173" s="4268"/>
      <c r="G173" s="4268"/>
      <c r="H173" s="4268"/>
      <c r="I173" s="4268"/>
      <c r="J173" s="4268"/>
      <c r="K173" s="4268"/>
      <c r="L173" s="4269">
        <f>'2 REPAIR ESTIMATOR'!P195</f>
        <v>0</v>
      </c>
      <c r="M173" s="4269"/>
      <c r="N173" s="4270" t="str">
        <f>T('2 REPAIR ESTIMATOR'!S195)</f>
        <v>ea</v>
      </c>
      <c r="O173" s="4270"/>
      <c r="P173" s="4271"/>
      <c r="Q173" s="4271"/>
      <c r="R173" s="4271"/>
      <c r="S173" s="4271"/>
      <c r="T173" s="4271"/>
      <c r="U173" s="4271"/>
      <c r="V173" s="4272"/>
      <c r="W173" s="12">
        <f t="shared" si="10"/>
        <v>1</v>
      </c>
      <c r="X173" s="12">
        <f t="shared" si="9"/>
        <v>1</v>
      </c>
      <c r="Y173" s="12">
        <f t="shared" si="11"/>
        <v>1</v>
      </c>
    </row>
    <row r="174" spans="4:25" ht="15.7">
      <c r="D174" s="4267" t="str">
        <f>T('2 REPAIR ESTIMATOR'!D196:O196)</f>
        <v>Foundation waterproofing &amp; drain tile, single story</v>
      </c>
      <c r="E174" s="4268"/>
      <c r="F174" s="4268"/>
      <c r="G174" s="4268"/>
      <c r="H174" s="4268"/>
      <c r="I174" s="4268"/>
      <c r="J174" s="4268"/>
      <c r="K174" s="4268"/>
      <c r="L174" s="4269">
        <f>'2 REPAIR ESTIMATOR'!P196</f>
        <v>0</v>
      </c>
      <c r="M174" s="4269"/>
      <c r="N174" s="4270" t="str">
        <f>T('2 REPAIR ESTIMATOR'!S196)</f>
        <v>lf</v>
      </c>
      <c r="O174" s="4270"/>
      <c r="P174" s="4271"/>
      <c r="Q174" s="4271"/>
      <c r="R174" s="4271"/>
      <c r="S174" s="4271"/>
      <c r="T174" s="4271"/>
      <c r="U174" s="4271"/>
      <c r="V174" s="4272"/>
      <c r="W174" s="12">
        <f t="shared" si="10"/>
        <v>1</v>
      </c>
      <c r="X174" s="12">
        <f t="shared" si="9"/>
        <v>1</v>
      </c>
      <c r="Y174" s="12">
        <f t="shared" si="11"/>
        <v>1</v>
      </c>
    </row>
    <row r="175" spans="4:25" ht="15.7">
      <c r="D175" s="4267" t="str">
        <f>T('2 REPAIR ESTIMATOR'!D197:O197)</f>
        <v>Epoxy crack injection</v>
      </c>
      <c r="E175" s="4268"/>
      <c r="F175" s="4268"/>
      <c r="G175" s="4268"/>
      <c r="H175" s="4268"/>
      <c r="I175" s="4268"/>
      <c r="J175" s="4268"/>
      <c r="K175" s="4268"/>
      <c r="L175" s="4269">
        <f>'2 REPAIR ESTIMATOR'!P197</f>
        <v>0</v>
      </c>
      <c r="M175" s="4269"/>
      <c r="N175" s="4270" t="str">
        <f>T('2 REPAIR ESTIMATOR'!S197)</f>
        <v>lf</v>
      </c>
      <c r="O175" s="4270"/>
      <c r="P175" s="4271"/>
      <c r="Q175" s="4271"/>
      <c r="R175" s="4271"/>
      <c r="S175" s="4271"/>
      <c r="T175" s="4271"/>
      <c r="U175" s="4271"/>
      <c r="V175" s="4272"/>
      <c r="W175" s="12">
        <f t="shared" si="10"/>
        <v>1</v>
      </c>
      <c r="X175" s="12">
        <f t="shared" si="9"/>
        <v>1</v>
      </c>
      <c r="Y175" s="12">
        <f t="shared" si="11"/>
        <v>1</v>
      </c>
    </row>
    <row r="176" spans="4:25" ht="15.7">
      <c r="D176" s="4267" t="str">
        <f>T('2 REPAIR ESTIMATOR'!D198:O198)</f>
        <v/>
      </c>
      <c r="E176" s="4268"/>
      <c r="F176" s="4268"/>
      <c r="G176" s="4268"/>
      <c r="H176" s="4268"/>
      <c r="I176" s="4268"/>
      <c r="J176" s="4268"/>
      <c r="K176" s="4268"/>
      <c r="L176" s="4269">
        <f>'2 REPAIR ESTIMATOR'!P198</f>
        <v>0</v>
      </c>
      <c r="M176" s="4269"/>
      <c r="N176" s="4270" t="str">
        <f>T('2 REPAIR ESTIMATOR'!S198)</f>
        <v/>
      </c>
      <c r="O176" s="4270"/>
      <c r="P176" s="4271"/>
      <c r="Q176" s="4271"/>
      <c r="R176" s="4271"/>
      <c r="S176" s="4271"/>
      <c r="T176" s="4271"/>
      <c r="U176" s="4271"/>
      <c r="V176" s="4272"/>
      <c r="W176" s="12">
        <f t="shared" si="10"/>
        <v>1</v>
      </c>
      <c r="X176" s="12">
        <f t="shared" si="9"/>
        <v>1</v>
      </c>
      <c r="Y176" s="12">
        <f t="shared" si="11"/>
        <v>1</v>
      </c>
    </row>
    <row r="177" spans="4:25" ht="15.7">
      <c r="D177" s="4267" t="str">
        <f>T('2 REPAIR ESTIMATOR'!D199:O199)</f>
        <v/>
      </c>
      <c r="E177" s="4268"/>
      <c r="F177" s="4268"/>
      <c r="G177" s="4268"/>
      <c r="H177" s="4268"/>
      <c r="I177" s="4268"/>
      <c r="J177" s="4268"/>
      <c r="K177" s="4268"/>
      <c r="L177" s="4269">
        <f>'2 REPAIR ESTIMATOR'!P199</f>
        <v>0</v>
      </c>
      <c r="M177" s="4269"/>
      <c r="N177" s="4270" t="str">
        <f>T('2 REPAIR ESTIMATOR'!S199)</f>
        <v/>
      </c>
      <c r="O177" s="4270"/>
      <c r="P177" s="4271"/>
      <c r="Q177" s="4271"/>
      <c r="R177" s="4271"/>
      <c r="S177" s="4271"/>
      <c r="T177" s="4271"/>
      <c r="U177" s="4271"/>
      <c r="V177" s="4272"/>
      <c r="W177" s="12">
        <f t="shared" si="10"/>
        <v>1</v>
      </c>
      <c r="X177" s="12">
        <f t="shared" si="9"/>
        <v>1</v>
      </c>
      <c r="Y177" s="12">
        <f t="shared" si="11"/>
        <v>1</v>
      </c>
    </row>
    <row r="178" spans="4:25" ht="15.7">
      <c r="D178" s="4267" t="str">
        <f>T('2 REPAIR ESTIMATOR'!D200:O200)</f>
        <v/>
      </c>
      <c r="E178" s="4268"/>
      <c r="F178" s="4268"/>
      <c r="G178" s="4268"/>
      <c r="H178" s="4268"/>
      <c r="I178" s="4268"/>
      <c r="J178" s="4268"/>
      <c r="K178" s="4268"/>
      <c r="L178" s="4269">
        <f>'2 REPAIR ESTIMATOR'!P200</f>
        <v>0</v>
      </c>
      <c r="M178" s="4269"/>
      <c r="N178" s="4270" t="str">
        <f>T('2 REPAIR ESTIMATOR'!S200)</f>
        <v/>
      </c>
      <c r="O178" s="4270"/>
      <c r="P178" s="4271"/>
      <c r="Q178" s="4271"/>
      <c r="R178" s="4271"/>
      <c r="S178" s="4271"/>
      <c r="T178" s="4271"/>
      <c r="U178" s="4271"/>
      <c r="V178" s="4272"/>
      <c r="W178" s="12">
        <f t="shared" si="10"/>
        <v>1</v>
      </c>
      <c r="X178" s="12">
        <f t="shared" si="9"/>
        <v>1</v>
      </c>
      <c r="Y178" s="12">
        <f t="shared" si="11"/>
        <v>1</v>
      </c>
    </row>
    <row r="179" spans="4:25" ht="15.7">
      <c r="D179" s="4267" t="str">
        <f>T('2 REPAIR ESTIMATOR'!D201:O201)</f>
        <v/>
      </c>
      <c r="E179" s="4268"/>
      <c r="F179" s="4268"/>
      <c r="G179" s="4268"/>
      <c r="H179" s="4268"/>
      <c r="I179" s="4268"/>
      <c r="J179" s="4268"/>
      <c r="K179" s="4268"/>
      <c r="L179" s="4269">
        <f>'2 REPAIR ESTIMATOR'!P201</f>
        <v>0</v>
      </c>
      <c r="M179" s="4269"/>
      <c r="N179" s="4270" t="str">
        <f>T('2 REPAIR ESTIMATOR'!S201)</f>
        <v/>
      </c>
      <c r="O179" s="4270"/>
      <c r="P179" s="4271"/>
      <c r="Q179" s="4271"/>
      <c r="R179" s="4271"/>
      <c r="S179" s="4271"/>
      <c r="T179" s="4271"/>
      <c r="U179" s="4271"/>
      <c r="V179" s="4272"/>
      <c r="W179" s="12">
        <f t="shared" si="10"/>
        <v>1</v>
      </c>
      <c r="X179" s="12">
        <f t="shared" si="9"/>
        <v>1</v>
      </c>
      <c r="Y179" s="12">
        <f t="shared" si="11"/>
        <v>1</v>
      </c>
    </row>
    <row r="180" spans="4:25" ht="15.7">
      <c r="D180" s="4267" t="str">
        <f>T('2 REPAIR ESTIMATOR'!D202:O202)</f>
        <v/>
      </c>
      <c r="E180" s="4268"/>
      <c r="F180" s="4268"/>
      <c r="G180" s="4268"/>
      <c r="H180" s="4268"/>
      <c r="I180" s="4268"/>
      <c r="J180" s="4268"/>
      <c r="K180" s="4268"/>
      <c r="L180" s="4269">
        <f>'2 REPAIR ESTIMATOR'!P202</f>
        <v>0</v>
      </c>
      <c r="M180" s="4269"/>
      <c r="N180" s="4270" t="str">
        <f>T('2 REPAIR ESTIMATOR'!S202)</f>
        <v/>
      </c>
      <c r="O180" s="4270"/>
      <c r="P180" s="4271"/>
      <c r="Q180" s="4271"/>
      <c r="R180" s="4271"/>
      <c r="S180" s="4271"/>
      <c r="T180" s="4271"/>
      <c r="U180" s="4271"/>
      <c r="V180" s="4272"/>
      <c r="W180" s="12">
        <f t="shared" si="10"/>
        <v>1</v>
      </c>
      <c r="X180" s="12">
        <f t="shared" si="9"/>
        <v>1</v>
      </c>
      <c r="Y180" s="12">
        <f t="shared" si="11"/>
        <v>1</v>
      </c>
    </row>
    <row r="181" spans="4:25" ht="15.7">
      <c r="D181" s="4267" t="str">
        <f>T('2 REPAIR ESTIMATOR'!D203:O203)</f>
        <v/>
      </c>
      <c r="E181" s="4268"/>
      <c r="F181" s="4268"/>
      <c r="G181" s="4268"/>
      <c r="H181" s="4268"/>
      <c r="I181" s="4268"/>
      <c r="J181" s="4268"/>
      <c r="K181" s="4268"/>
      <c r="L181" s="4269">
        <f>'2 REPAIR ESTIMATOR'!P203</f>
        <v>0</v>
      </c>
      <c r="M181" s="4269"/>
      <c r="N181" s="4270" t="str">
        <f>T('2 REPAIR ESTIMATOR'!S203)</f>
        <v/>
      </c>
      <c r="O181" s="4270"/>
      <c r="P181" s="4271"/>
      <c r="Q181" s="4271"/>
      <c r="R181" s="4271"/>
      <c r="S181" s="4271"/>
      <c r="T181" s="4271"/>
      <c r="U181" s="4271"/>
      <c r="V181" s="4272"/>
      <c r="W181" s="12">
        <f t="shared" si="10"/>
        <v>1</v>
      </c>
      <c r="X181" s="12">
        <f t="shared" si="9"/>
        <v>1</v>
      </c>
      <c r="Y181" s="12">
        <f t="shared" si="11"/>
        <v>1</v>
      </c>
    </row>
    <row r="182" spans="4:25" ht="15.7">
      <c r="D182" s="4267" t="str">
        <f>T('2 REPAIR ESTIMATOR'!D204:O204)</f>
        <v/>
      </c>
      <c r="E182" s="4268"/>
      <c r="F182" s="4268"/>
      <c r="G182" s="4268"/>
      <c r="H182" s="4268"/>
      <c r="I182" s="4268"/>
      <c r="J182" s="4268"/>
      <c r="K182" s="4268"/>
      <c r="L182" s="4269">
        <f>'2 REPAIR ESTIMATOR'!P204</f>
        <v>0</v>
      </c>
      <c r="M182" s="4269"/>
      <c r="N182" s="4270" t="str">
        <f>T('2 REPAIR ESTIMATOR'!S204)</f>
        <v/>
      </c>
      <c r="O182" s="4270"/>
      <c r="P182" s="4271"/>
      <c r="Q182" s="4271"/>
      <c r="R182" s="4271"/>
      <c r="S182" s="4271"/>
      <c r="T182" s="4271"/>
      <c r="U182" s="4271"/>
      <c r="V182" s="4272"/>
      <c r="W182" s="12">
        <f t="shared" si="10"/>
        <v>1</v>
      </c>
      <c r="X182" s="12">
        <f t="shared" si="9"/>
        <v>1</v>
      </c>
      <c r="Y182" s="12">
        <f t="shared" si="11"/>
        <v>1</v>
      </c>
    </row>
    <row r="183" spans="4:25" ht="15.7">
      <c r="D183" s="4267" t="str">
        <f>T('2 REPAIR ESTIMATOR'!D205:O205)</f>
        <v/>
      </c>
      <c r="E183" s="4268"/>
      <c r="F183" s="4268"/>
      <c r="G183" s="4268"/>
      <c r="H183" s="4268"/>
      <c r="I183" s="4268"/>
      <c r="J183" s="4268"/>
      <c r="K183" s="4268"/>
      <c r="L183" s="4269">
        <f>'2 REPAIR ESTIMATOR'!P205</f>
        <v>0</v>
      </c>
      <c r="M183" s="4269"/>
      <c r="N183" s="4270" t="str">
        <f>T('2 REPAIR ESTIMATOR'!S205)</f>
        <v/>
      </c>
      <c r="O183" s="4270"/>
      <c r="P183" s="4271"/>
      <c r="Q183" s="4271"/>
      <c r="R183" s="4271"/>
      <c r="S183" s="4271"/>
      <c r="T183" s="4271"/>
      <c r="U183" s="4271"/>
      <c r="V183" s="4272"/>
      <c r="W183" s="12">
        <f t="shared" si="10"/>
        <v>1</v>
      </c>
      <c r="X183" s="12">
        <f t="shared" si="9"/>
        <v>1</v>
      </c>
      <c r="Y183" s="12">
        <f t="shared" si="11"/>
        <v>1</v>
      </c>
    </row>
    <row r="184" spans="4:25" ht="15.7">
      <c r="D184" s="4267" t="str">
        <f>T('2 REPAIR ESTIMATOR'!D206:O206)</f>
        <v/>
      </c>
      <c r="E184" s="4268"/>
      <c r="F184" s="4268"/>
      <c r="G184" s="4268"/>
      <c r="H184" s="4268"/>
      <c r="I184" s="4268"/>
      <c r="J184" s="4268"/>
      <c r="K184" s="4268"/>
      <c r="L184" s="4269">
        <f>'2 REPAIR ESTIMATOR'!P206</f>
        <v>0</v>
      </c>
      <c r="M184" s="4269"/>
      <c r="N184" s="4270" t="str">
        <f>T('2 REPAIR ESTIMATOR'!S206)</f>
        <v/>
      </c>
      <c r="O184" s="4270"/>
      <c r="P184" s="4271"/>
      <c r="Q184" s="4271"/>
      <c r="R184" s="4271"/>
      <c r="S184" s="4271"/>
      <c r="T184" s="4271"/>
      <c r="U184" s="4271"/>
      <c r="V184" s="4272"/>
      <c r="W184" s="12">
        <f t="shared" si="10"/>
        <v>1</v>
      </c>
      <c r="X184" s="12">
        <f t="shared" si="9"/>
        <v>1</v>
      </c>
      <c r="Y184" s="12">
        <f t="shared" si="11"/>
        <v>1</v>
      </c>
    </row>
    <row r="185" spans="4:25" ht="15.7">
      <c r="D185" s="4267" t="str">
        <f>T('2 REPAIR ESTIMATOR'!D207:O207)</f>
        <v/>
      </c>
      <c r="E185" s="4268"/>
      <c r="F185" s="4268"/>
      <c r="G185" s="4268"/>
      <c r="H185" s="4268"/>
      <c r="I185" s="4268"/>
      <c r="J185" s="4268"/>
      <c r="K185" s="4268"/>
      <c r="L185" s="4269">
        <f>'2 REPAIR ESTIMATOR'!P207</f>
        <v>0</v>
      </c>
      <c r="M185" s="4269"/>
      <c r="N185" s="4270" t="str">
        <f>T('2 REPAIR ESTIMATOR'!S207)</f>
        <v/>
      </c>
      <c r="O185" s="4270"/>
      <c r="P185" s="4271"/>
      <c r="Q185" s="4271"/>
      <c r="R185" s="4271"/>
      <c r="S185" s="4271"/>
      <c r="T185" s="4271"/>
      <c r="U185" s="4271"/>
      <c r="V185" s="4272"/>
      <c r="W185" s="12">
        <f t="shared" si="10"/>
        <v>1</v>
      </c>
      <c r="X185" s="12">
        <f t="shared" si="9"/>
        <v>1</v>
      </c>
      <c r="Y185" s="12">
        <f t="shared" si="11"/>
        <v>1</v>
      </c>
    </row>
    <row r="186" spans="4:25" ht="15.7">
      <c r="D186" s="4267" t="str">
        <f>T('2 REPAIR ESTIMATOR'!D208:O208)</f>
        <v/>
      </c>
      <c r="E186" s="4268"/>
      <c r="F186" s="4268"/>
      <c r="G186" s="4268"/>
      <c r="H186" s="4268"/>
      <c r="I186" s="4268"/>
      <c r="J186" s="4268"/>
      <c r="K186" s="4268"/>
      <c r="L186" s="4269">
        <f>'2 REPAIR ESTIMATOR'!P208</f>
        <v>0</v>
      </c>
      <c r="M186" s="4269"/>
      <c r="N186" s="4270" t="str">
        <f>T('2 REPAIR ESTIMATOR'!S208)</f>
        <v/>
      </c>
      <c r="O186" s="4270"/>
      <c r="P186" s="4271"/>
      <c r="Q186" s="4271"/>
      <c r="R186" s="4271"/>
      <c r="S186" s="4271"/>
      <c r="T186" s="4271"/>
      <c r="U186" s="4271"/>
      <c r="V186" s="4272"/>
      <c r="W186" s="12">
        <f t="shared" si="10"/>
        <v>1</v>
      </c>
      <c r="X186" s="12">
        <f t="shared" si="9"/>
        <v>1</v>
      </c>
      <c r="Y186" s="12">
        <f t="shared" si="11"/>
        <v>1</v>
      </c>
    </row>
    <row r="187" spans="4:25" ht="15.7">
      <c r="D187" s="4267" t="str">
        <f>T('2 REPAIR ESTIMATOR'!D209:O209)</f>
        <v/>
      </c>
      <c r="E187" s="4268"/>
      <c r="F187" s="4268"/>
      <c r="G187" s="4268"/>
      <c r="H187" s="4268"/>
      <c r="I187" s="4268"/>
      <c r="J187" s="4268"/>
      <c r="K187" s="4268"/>
      <c r="L187" s="4269">
        <f>'2 REPAIR ESTIMATOR'!P209</f>
        <v>0</v>
      </c>
      <c r="M187" s="4269"/>
      <c r="N187" s="4270" t="str">
        <f>T('2 REPAIR ESTIMATOR'!S209)</f>
        <v/>
      </c>
      <c r="O187" s="4270"/>
      <c r="P187" s="4271"/>
      <c r="Q187" s="4271"/>
      <c r="R187" s="4271"/>
      <c r="S187" s="4271"/>
      <c r="T187" s="4271"/>
      <c r="U187" s="4271"/>
      <c r="V187" s="4272"/>
      <c r="W187" s="12">
        <f t="shared" si="10"/>
        <v>1</v>
      </c>
      <c r="X187" s="12">
        <f t="shared" ref="X187:X210" si="12">IF(Scope3_Setting="Shown",1,0)</f>
        <v>1</v>
      </c>
      <c r="Y187" s="12">
        <f t="shared" si="11"/>
        <v>1</v>
      </c>
    </row>
    <row r="188" spans="4:25" ht="15.7">
      <c r="D188" s="4267" t="str">
        <f>T('2 REPAIR ESTIMATOR'!D210:O210)</f>
        <v/>
      </c>
      <c r="E188" s="4268"/>
      <c r="F188" s="4268"/>
      <c r="G188" s="4268"/>
      <c r="H188" s="4268"/>
      <c r="I188" s="4268"/>
      <c r="J188" s="4268"/>
      <c r="K188" s="4268"/>
      <c r="L188" s="4269">
        <f>'2 REPAIR ESTIMATOR'!P210</f>
        <v>0</v>
      </c>
      <c r="M188" s="4269"/>
      <c r="N188" s="4270" t="str">
        <f>T('2 REPAIR ESTIMATOR'!S210)</f>
        <v/>
      </c>
      <c r="O188" s="4270"/>
      <c r="P188" s="4271"/>
      <c r="Q188" s="4271"/>
      <c r="R188" s="4271"/>
      <c r="S188" s="4271"/>
      <c r="T188" s="4271"/>
      <c r="U188" s="4271"/>
      <c r="V188" s="4272"/>
      <c r="W188" s="12">
        <f t="shared" si="10"/>
        <v>1</v>
      </c>
      <c r="X188" s="12">
        <f t="shared" si="12"/>
        <v>1</v>
      </c>
      <c r="Y188" s="12">
        <f t="shared" si="11"/>
        <v>1</v>
      </c>
    </row>
    <row r="189" spans="4:25" ht="15.7">
      <c r="D189" s="4267" t="str">
        <f>T('2 REPAIR ESTIMATOR'!D211:O211)</f>
        <v/>
      </c>
      <c r="E189" s="4268"/>
      <c r="F189" s="4268"/>
      <c r="G189" s="4268"/>
      <c r="H189" s="4268"/>
      <c r="I189" s="4268"/>
      <c r="J189" s="4268"/>
      <c r="K189" s="4268"/>
      <c r="L189" s="4269">
        <f>'2 REPAIR ESTIMATOR'!P211</f>
        <v>0</v>
      </c>
      <c r="M189" s="4269"/>
      <c r="N189" s="4270" t="str">
        <f>T('2 REPAIR ESTIMATOR'!S211)</f>
        <v/>
      </c>
      <c r="O189" s="4270"/>
      <c r="P189" s="4271"/>
      <c r="Q189" s="4271"/>
      <c r="R189" s="4271"/>
      <c r="S189" s="4271"/>
      <c r="T189" s="4271"/>
      <c r="U189" s="4271"/>
      <c r="V189" s="4272"/>
      <c r="W189" s="12">
        <f t="shared" si="10"/>
        <v>1</v>
      </c>
      <c r="X189" s="12">
        <f t="shared" si="12"/>
        <v>1</v>
      </c>
      <c r="Y189" s="12">
        <f t="shared" si="11"/>
        <v>1</v>
      </c>
    </row>
    <row r="190" spans="4:25" ht="15.7">
      <c r="D190" s="4267" t="str">
        <f>T('2 REPAIR ESTIMATOR'!D212:O212)</f>
        <v/>
      </c>
      <c r="E190" s="4268"/>
      <c r="F190" s="4268"/>
      <c r="G190" s="4268"/>
      <c r="H190" s="4268"/>
      <c r="I190" s="4268"/>
      <c r="J190" s="4268"/>
      <c r="K190" s="4268"/>
      <c r="L190" s="4269">
        <f>'2 REPAIR ESTIMATOR'!P212</f>
        <v>0</v>
      </c>
      <c r="M190" s="4269"/>
      <c r="N190" s="4270" t="str">
        <f>T('2 REPAIR ESTIMATOR'!S212)</f>
        <v/>
      </c>
      <c r="O190" s="4270"/>
      <c r="P190" s="4271"/>
      <c r="Q190" s="4271"/>
      <c r="R190" s="4271"/>
      <c r="S190" s="4271"/>
      <c r="T190" s="4271"/>
      <c r="U190" s="4271"/>
      <c r="V190" s="4272"/>
      <c r="W190" s="12">
        <f t="shared" si="10"/>
        <v>1</v>
      </c>
      <c r="X190" s="12">
        <f t="shared" si="12"/>
        <v>1</v>
      </c>
      <c r="Y190" s="12">
        <f t="shared" si="11"/>
        <v>1</v>
      </c>
    </row>
    <row r="191" spans="4:25" ht="15.7">
      <c r="D191" s="4267" t="str">
        <f>T('2 REPAIR ESTIMATOR'!D213:O213)</f>
        <v/>
      </c>
      <c r="E191" s="4268"/>
      <c r="F191" s="4268"/>
      <c r="G191" s="4268"/>
      <c r="H191" s="4268"/>
      <c r="I191" s="4268"/>
      <c r="J191" s="4268"/>
      <c r="K191" s="4268"/>
      <c r="L191" s="4269">
        <f>'2 REPAIR ESTIMATOR'!P213</f>
        <v>0</v>
      </c>
      <c r="M191" s="4269"/>
      <c r="N191" s="4270" t="str">
        <f>T('2 REPAIR ESTIMATOR'!S213)</f>
        <v/>
      </c>
      <c r="O191" s="4270"/>
      <c r="P191" s="4271"/>
      <c r="Q191" s="4271"/>
      <c r="R191" s="4271"/>
      <c r="S191" s="4271"/>
      <c r="T191" s="4271"/>
      <c r="U191" s="4271"/>
      <c r="V191" s="4272"/>
      <c r="W191" s="12">
        <f t="shared" si="10"/>
        <v>1</v>
      </c>
      <c r="X191" s="12">
        <f t="shared" si="12"/>
        <v>1</v>
      </c>
      <c r="Y191" s="12">
        <f t="shared" si="11"/>
        <v>1</v>
      </c>
    </row>
    <row r="192" spans="4:25" ht="15.7">
      <c r="D192" s="4267" t="str">
        <f>T('2 REPAIR ESTIMATOR'!D214:O214)</f>
        <v/>
      </c>
      <c r="E192" s="4268"/>
      <c r="F192" s="4268"/>
      <c r="G192" s="4268"/>
      <c r="H192" s="4268"/>
      <c r="I192" s="4268"/>
      <c r="J192" s="4268"/>
      <c r="K192" s="4268"/>
      <c r="L192" s="4269">
        <f>'2 REPAIR ESTIMATOR'!P214</f>
        <v>0</v>
      </c>
      <c r="M192" s="4269"/>
      <c r="N192" s="4270" t="str">
        <f>T('2 REPAIR ESTIMATOR'!S214)</f>
        <v/>
      </c>
      <c r="O192" s="4270"/>
      <c r="P192" s="4271"/>
      <c r="Q192" s="4271"/>
      <c r="R192" s="4271"/>
      <c r="S192" s="4271"/>
      <c r="T192" s="4271"/>
      <c r="U192" s="4271"/>
      <c r="V192" s="4272"/>
      <c r="W192" s="12">
        <f t="shared" si="10"/>
        <v>1</v>
      </c>
      <c r="X192" s="12">
        <f t="shared" si="12"/>
        <v>1</v>
      </c>
      <c r="Y192" s="12">
        <f t="shared" si="11"/>
        <v>1</v>
      </c>
    </row>
    <row r="193" spans="3:25" ht="15.7">
      <c r="D193" s="4267" t="str">
        <f>T('2 REPAIR ESTIMATOR'!D215:O215)</f>
        <v/>
      </c>
      <c r="E193" s="4268"/>
      <c r="F193" s="4268"/>
      <c r="G193" s="4268"/>
      <c r="H193" s="4268"/>
      <c r="I193" s="4268"/>
      <c r="J193" s="4268"/>
      <c r="K193" s="4268"/>
      <c r="L193" s="4269">
        <f>'2 REPAIR ESTIMATOR'!P215</f>
        <v>0</v>
      </c>
      <c r="M193" s="4269"/>
      <c r="N193" s="4270" t="str">
        <f>T('2 REPAIR ESTIMATOR'!S215)</f>
        <v/>
      </c>
      <c r="O193" s="4270"/>
      <c r="P193" s="4271"/>
      <c r="Q193" s="4271"/>
      <c r="R193" s="4271"/>
      <c r="S193" s="4271"/>
      <c r="T193" s="4271"/>
      <c r="U193" s="4271"/>
      <c r="V193" s="4272"/>
      <c r="W193" s="12">
        <f t="shared" si="10"/>
        <v>1</v>
      </c>
      <c r="X193" s="12">
        <f t="shared" si="12"/>
        <v>1</v>
      </c>
      <c r="Y193" s="12">
        <f t="shared" si="11"/>
        <v>1</v>
      </c>
    </row>
    <row r="194" spans="3:25" ht="15.7">
      <c r="D194" s="4267" t="str">
        <f>T('2 REPAIR ESTIMATOR'!D216:O216)</f>
        <v/>
      </c>
      <c r="E194" s="4268"/>
      <c r="F194" s="4268"/>
      <c r="G194" s="4268"/>
      <c r="H194" s="4268"/>
      <c r="I194" s="4268"/>
      <c r="J194" s="4268"/>
      <c r="K194" s="4268"/>
      <c r="L194" s="4269">
        <f>'2 REPAIR ESTIMATOR'!P216</f>
        <v>0</v>
      </c>
      <c r="M194" s="4269"/>
      <c r="N194" s="4270" t="str">
        <f>T('2 REPAIR ESTIMATOR'!S216)</f>
        <v/>
      </c>
      <c r="O194" s="4270"/>
      <c r="P194" s="4271"/>
      <c r="Q194" s="4271"/>
      <c r="R194" s="4271"/>
      <c r="S194" s="4271"/>
      <c r="T194" s="4271"/>
      <c r="U194" s="4271"/>
      <c r="V194" s="4272"/>
      <c r="W194" s="12">
        <f t="shared" si="10"/>
        <v>1</v>
      </c>
      <c r="X194" s="12">
        <f t="shared" si="12"/>
        <v>1</v>
      </c>
      <c r="Y194" s="12">
        <f t="shared" si="11"/>
        <v>1</v>
      </c>
    </row>
    <row r="195" spans="3:25" ht="15.7">
      <c r="D195" s="4267" t="str">
        <f>T('2 REPAIR ESTIMATOR'!D217:O217)</f>
        <v/>
      </c>
      <c r="E195" s="4268"/>
      <c r="F195" s="4268"/>
      <c r="G195" s="4268"/>
      <c r="H195" s="4268"/>
      <c r="I195" s="4268"/>
      <c r="J195" s="4268"/>
      <c r="K195" s="4268"/>
      <c r="L195" s="4269">
        <f>'2 REPAIR ESTIMATOR'!P217</f>
        <v>0</v>
      </c>
      <c r="M195" s="4269"/>
      <c r="N195" s="4270" t="str">
        <f>T('2 REPAIR ESTIMATOR'!S217)</f>
        <v/>
      </c>
      <c r="O195" s="4270"/>
      <c r="P195" s="4271"/>
      <c r="Q195" s="4271"/>
      <c r="R195" s="4271"/>
      <c r="S195" s="4271"/>
      <c r="T195" s="4271"/>
      <c r="U195" s="4271"/>
      <c r="V195" s="4272"/>
      <c r="W195" s="12">
        <f t="shared" si="10"/>
        <v>1</v>
      </c>
      <c r="X195" s="12">
        <f t="shared" si="12"/>
        <v>1</v>
      </c>
      <c r="Y195" s="12">
        <f t="shared" si="11"/>
        <v>1</v>
      </c>
    </row>
    <row r="196" spans="3:25" ht="15.7">
      <c r="C196" s="6"/>
      <c r="D196" s="723"/>
      <c r="E196" s="723"/>
      <c r="F196" s="723"/>
      <c r="G196" s="723"/>
      <c r="H196" s="723"/>
      <c r="I196" s="723"/>
      <c r="J196" s="723"/>
      <c r="K196" s="723"/>
      <c r="L196" s="724"/>
      <c r="M196" s="724"/>
      <c r="N196" s="725"/>
      <c r="O196" s="725"/>
      <c r="P196" s="724"/>
      <c r="Q196" s="445"/>
      <c r="R196" s="445"/>
      <c r="S196" s="725"/>
      <c r="T196" s="725"/>
      <c r="U196" s="725"/>
      <c r="V196" s="725"/>
      <c r="W196" s="12">
        <f>W197</f>
        <v>0</v>
      </c>
      <c r="X196" s="12">
        <f t="shared" si="12"/>
        <v>1</v>
      </c>
      <c r="Y196" s="12">
        <f t="shared" si="11"/>
        <v>0</v>
      </c>
    </row>
    <row r="197" spans="3:25" ht="16.7">
      <c r="C197" s="6"/>
      <c r="D197" s="4266" t="str">
        <f>UPPER(CONCATENATE("Miscellaneous ",D155," Items"))</f>
        <v>MISCELLANEOUS STRUCTURAL CONCRETE ITEMS</v>
      </c>
      <c r="E197" s="4266"/>
      <c r="F197" s="4266"/>
      <c r="G197" s="4266"/>
      <c r="H197" s="4266"/>
      <c r="I197" s="4266"/>
      <c r="J197" s="4266"/>
      <c r="K197" s="4266"/>
      <c r="L197" s="4266"/>
      <c r="M197" s="4266"/>
      <c r="N197" s="4266"/>
      <c r="O197" s="4266"/>
      <c r="P197" s="4266"/>
      <c r="Q197" s="4266"/>
      <c r="R197" s="4266"/>
      <c r="S197" s="4266"/>
      <c r="T197" s="4266"/>
      <c r="U197" s="4266"/>
      <c r="V197" s="4266"/>
      <c r="W197" s="12">
        <f>SUM(W198:W207)</f>
        <v>0</v>
      </c>
      <c r="X197" s="12">
        <f t="shared" si="12"/>
        <v>1</v>
      </c>
      <c r="Y197" s="12">
        <f t="shared" si="11"/>
        <v>0</v>
      </c>
    </row>
    <row r="198" spans="3:25" ht="15.7">
      <c r="C198" s="6"/>
      <c r="D198" s="712">
        <v>1</v>
      </c>
      <c r="E198" s="4263" t="s">
        <v>1442</v>
      </c>
      <c r="F198" s="4263" t="s">
        <v>1377</v>
      </c>
      <c r="G198" s="4263" t="s">
        <v>1377</v>
      </c>
      <c r="H198" s="4263" t="s">
        <v>1377</v>
      </c>
      <c r="I198" s="4263" t="s">
        <v>1377</v>
      </c>
      <c r="J198" s="4263" t="s">
        <v>1377</v>
      </c>
      <c r="K198" s="4263" t="s">
        <v>1377</v>
      </c>
      <c r="L198" s="4263" t="s">
        <v>1377</v>
      </c>
      <c r="M198" s="4263" t="s">
        <v>1377</v>
      </c>
      <c r="N198" s="4263" t="s">
        <v>1377</v>
      </c>
      <c r="O198" s="4263" t="s">
        <v>1377</v>
      </c>
      <c r="P198" s="4263" t="s">
        <v>1377</v>
      </c>
      <c r="Q198" s="4263" t="s">
        <v>1377</v>
      </c>
      <c r="R198" s="4263" t="s">
        <v>1377</v>
      </c>
      <c r="S198" s="4263" t="s">
        <v>1377</v>
      </c>
      <c r="T198" s="4263" t="s">
        <v>1377</v>
      </c>
      <c r="U198" s="4263" t="s">
        <v>1377</v>
      </c>
      <c r="V198" s="4263" t="s">
        <v>1377</v>
      </c>
      <c r="W198" s="12">
        <f>IF(E198&lt;&gt;"",1,0)*W155</f>
        <v>0</v>
      </c>
      <c r="X198" s="12">
        <f t="shared" si="12"/>
        <v>1</v>
      </c>
      <c r="Y198" s="12">
        <f t="shared" si="11"/>
        <v>0</v>
      </c>
    </row>
    <row r="199" spans="3:25" ht="15.7">
      <c r="C199" s="6"/>
      <c r="D199" s="712">
        <v>2</v>
      </c>
      <c r="E199" s="4263" t="s">
        <v>1310</v>
      </c>
      <c r="F199" s="4263" t="s">
        <v>1310</v>
      </c>
      <c r="G199" s="4263" t="s">
        <v>1310</v>
      </c>
      <c r="H199" s="4263" t="s">
        <v>1310</v>
      </c>
      <c r="I199" s="4263" t="s">
        <v>1310</v>
      </c>
      <c r="J199" s="4263" t="s">
        <v>1310</v>
      </c>
      <c r="K199" s="4263" t="s">
        <v>1310</v>
      </c>
      <c r="L199" s="4263" t="s">
        <v>1310</v>
      </c>
      <c r="M199" s="4263" t="s">
        <v>1310</v>
      </c>
      <c r="N199" s="4263" t="s">
        <v>1310</v>
      </c>
      <c r="O199" s="4263" t="s">
        <v>1310</v>
      </c>
      <c r="P199" s="4263" t="s">
        <v>1310</v>
      </c>
      <c r="Q199" s="4263" t="s">
        <v>1310</v>
      </c>
      <c r="R199" s="4263" t="s">
        <v>1310</v>
      </c>
      <c r="S199" s="4263" t="s">
        <v>1310</v>
      </c>
      <c r="T199" s="4263" t="s">
        <v>1310</v>
      </c>
      <c r="U199" s="4263" t="s">
        <v>1310</v>
      </c>
      <c r="V199" s="4263" t="s">
        <v>1310</v>
      </c>
      <c r="W199" s="12">
        <f>IF(E199&lt;&gt;"",1,0)*W155</f>
        <v>0</v>
      </c>
      <c r="X199" s="12">
        <f t="shared" si="12"/>
        <v>1</v>
      </c>
      <c r="Y199" s="12">
        <f t="shared" si="11"/>
        <v>0</v>
      </c>
    </row>
    <row r="200" spans="3:25" ht="15.7">
      <c r="C200" s="6"/>
      <c r="D200" s="712">
        <v>3</v>
      </c>
      <c r="E200" s="4263"/>
      <c r="F200" s="4263"/>
      <c r="G200" s="4263"/>
      <c r="H200" s="4263"/>
      <c r="I200" s="4263"/>
      <c r="J200" s="4263"/>
      <c r="K200" s="4263"/>
      <c r="L200" s="4263"/>
      <c r="M200" s="4263"/>
      <c r="N200" s="4263"/>
      <c r="O200" s="4263"/>
      <c r="P200" s="4263"/>
      <c r="Q200" s="4263"/>
      <c r="R200" s="4263"/>
      <c r="S200" s="4263"/>
      <c r="T200" s="4263"/>
      <c r="U200" s="4263"/>
      <c r="V200" s="4263"/>
      <c r="W200" s="12">
        <f>IF(E200&lt;&gt;"",1,0)*W155</f>
        <v>0</v>
      </c>
      <c r="X200" s="12">
        <f t="shared" si="12"/>
        <v>1</v>
      </c>
      <c r="Y200" s="12">
        <f t="shared" si="11"/>
        <v>0</v>
      </c>
    </row>
    <row r="201" spans="3:25" ht="15.7">
      <c r="C201" s="6"/>
      <c r="D201" s="712">
        <v>4</v>
      </c>
      <c r="E201" s="4263"/>
      <c r="F201" s="4263"/>
      <c r="G201" s="4263"/>
      <c r="H201" s="4263"/>
      <c r="I201" s="4263"/>
      <c r="J201" s="4263"/>
      <c r="K201" s="4263"/>
      <c r="L201" s="4263"/>
      <c r="M201" s="4263"/>
      <c r="N201" s="4263"/>
      <c r="O201" s="4263"/>
      <c r="P201" s="4263"/>
      <c r="Q201" s="4263"/>
      <c r="R201" s="4263"/>
      <c r="S201" s="4263"/>
      <c r="T201" s="4263"/>
      <c r="U201" s="4263"/>
      <c r="V201" s="4263"/>
      <c r="W201" s="12">
        <f>IF(E201&lt;&gt;"",1,0)*W155</f>
        <v>0</v>
      </c>
      <c r="X201" s="12">
        <f t="shared" si="12"/>
        <v>1</v>
      </c>
      <c r="Y201" s="12">
        <f t="shared" si="11"/>
        <v>0</v>
      </c>
    </row>
    <row r="202" spans="3:25" ht="15.7">
      <c r="C202" s="6"/>
      <c r="D202" s="712">
        <v>5</v>
      </c>
      <c r="E202" s="4263"/>
      <c r="F202" s="4263"/>
      <c r="G202" s="4263"/>
      <c r="H202" s="4263"/>
      <c r="I202" s="4263"/>
      <c r="J202" s="4263"/>
      <c r="K202" s="4263"/>
      <c r="L202" s="4263"/>
      <c r="M202" s="4263"/>
      <c r="N202" s="4263"/>
      <c r="O202" s="4263"/>
      <c r="P202" s="4263"/>
      <c r="Q202" s="4263"/>
      <c r="R202" s="4263"/>
      <c r="S202" s="4263"/>
      <c r="T202" s="4263"/>
      <c r="U202" s="4263"/>
      <c r="V202" s="4263"/>
      <c r="W202" s="12">
        <f>IF(E202&lt;&gt;"",1,0)*W155</f>
        <v>0</v>
      </c>
      <c r="X202" s="12">
        <f t="shared" si="12"/>
        <v>1</v>
      </c>
      <c r="Y202" s="12">
        <f t="shared" si="11"/>
        <v>0</v>
      </c>
    </row>
    <row r="203" spans="3:25" ht="15.7">
      <c r="C203" s="6"/>
      <c r="D203" s="712">
        <v>6</v>
      </c>
      <c r="E203" s="4263"/>
      <c r="F203" s="4263"/>
      <c r="G203" s="4263"/>
      <c r="H203" s="4263"/>
      <c r="I203" s="4263"/>
      <c r="J203" s="4263"/>
      <c r="K203" s="4263"/>
      <c r="L203" s="4263"/>
      <c r="M203" s="4263"/>
      <c r="N203" s="4263"/>
      <c r="O203" s="4263"/>
      <c r="P203" s="4263"/>
      <c r="Q203" s="4263"/>
      <c r="R203" s="4263"/>
      <c r="S203" s="4263"/>
      <c r="T203" s="4263"/>
      <c r="U203" s="4263"/>
      <c r="V203" s="4263"/>
      <c r="W203" s="12">
        <f>IF(E203&lt;&gt;"",1,0)*W155</f>
        <v>0</v>
      </c>
      <c r="X203" s="12">
        <f t="shared" si="12"/>
        <v>1</v>
      </c>
      <c r="Y203" s="12">
        <f t="shared" si="11"/>
        <v>0</v>
      </c>
    </row>
    <row r="204" spans="3:25" ht="15.7">
      <c r="C204" s="6"/>
      <c r="D204" s="712">
        <v>7</v>
      </c>
      <c r="E204" s="4263"/>
      <c r="F204" s="4263"/>
      <c r="G204" s="4263"/>
      <c r="H204" s="4263"/>
      <c r="I204" s="4263"/>
      <c r="J204" s="4263"/>
      <c r="K204" s="4263"/>
      <c r="L204" s="4263"/>
      <c r="M204" s="4263"/>
      <c r="N204" s="4263"/>
      <c r="O204" s="4263"/>
      <c r="P204" s="4263"/>
      <c r="Q204" s="4263"/>
      <c r="R204" s="4263"/>
      <c r="S204" s="4263"/>
      <c r="T204" s="4263"/>
      <c r="U204" s="4263"/>
      <c r="V204" s="4263"/>
      <c r="W204" s="12">
        <f>IF(E204&lt;&gt;"",1,0)*W155</f>
        <v>0</v>
      </c>
      <c r="X204" s="12">
        <f t="shared" si="12"/>
        <v>1</v>
      </c>
      <c r="Y204" s="12">
        <f t="shared" si="11"/>
        <v>0</v>
      </c>
    </row>
    <row r="205" spans="3:25" ht="15.7">
      <c r="C205" s="6"/>
      <c r="D205" s="712">
        <v>8</v>
      </c>
      <c r="E205" s="4263"/>
      <c r="F205" s="4263"/>
      <c r="G205" s="4263"/>
      <c r="H205" s="4263"/>
      <c r="I205" s="4263"/>
      <c r="J205" s="4263"/>
      <c r="K205" s="4263"/>
      <c r="L205" s="4263"/>
      <c r="M205" s="4263"/>
      <c r="N205" s="4263"/>
      <c r="O205" s="4263"/>
      <c r="P205" s="4263"/>
      <c r="Q205" s="4263"/>
      <c r="R205" s="4263"/>
      <c r="S205" s="4263"/>
      <c r="T205" s="4263"/>
      <c r="U205" s="4263"/>
      <c r="V205" s="4263"/>
      <c r="W205" s="12">
        <f>IF(E205&lt;&gt;"",1,0)*W155</f>
        <v>0</v>
      </c>
      <c r="X205" s="12">
        <f t="shared" si="12"/>
        <v>1</v>
      </c>
      <c r="Y205" s="12">
        <f t="shared" si="11"/>
        <v>0</v>
      </c>
    </row>
    <row r="206" spans="3:25" ht="15.7">
      <c r="C206" s="6"/>
      <c r="D206" s="712">
        <v>9</v>
      </c>
      <c r="E206" s="4263"/>
      <c r="F206" s="4263"/>
      <c r="G206" s="4263"/>
      <c r="H206" s="4263"/>
      <c r="I206" s="4263"/>
      <c r="J206" s="4263"/>
      <c r="K206" s="4263"/>
      <c r="L206" s="4263"/>
      <c r="M206" s="4263"/>
      <c r="N206" s="4263"/>
      <c r="O206" s="4263"/>
      <c r="P206" s="4263"/>
      <c r="Q206" s="4263"/>
      <c r="R206" s="4263"/>
      <c r="S206" s="4263"/>
      <c r="T206" s="4263"/>
      <c r="U206" s="4263"/>
      <c r="V206" s="4263"/>
      <c r="W206" s="12">
        <f>IF(E206&lt;&gt;"",1,0)*W155</f>
        <v>0</v>
      </c>
      <c r="X206" s="12">
        <f t="shared" si="12"/>
        <v>1</v>
      </c>
      <c r="Y206" s="12">
        <f t="shared" si="11"/>
        <v>0</v>
      </c>
    </row>
    <row r="207" spans="3:25" ht="15.7">
      <c r="C207" s="6"/>
      <c r="D207" s="712">
        <v>10</v>
      </c>
      <c r="E207" s="4263"/>
      <c r="F207" s="4263"/>
      <c r="G207" s="4263"/>
      <c r="H207" s="4263"/>
      <c r="I207" s="4263"/>
      <c r="J207" s="4263"/>
      <c r="K207" s="4263"/>
      <c r="L207" s="4263"/>
      <c r="M207" s="4263"/>
      <c r="N207" s="4263"/>
      <c r="O207" s="4263"/>
      <c r="P207" s="4263"/>
      <c r="Q207" s="4263"/>
      <c r="R207" s="4263"/>
      <c r="S207" s="4263"/>
      <c r="T207" s="4263"/>
      <c r="U207" s="4263"/>
      <c r="V207" s="4263"/>
      <c r="W207" s="12">
        <f>IF(E207&lt;&gt;"",1,0)*W155</f>
        <v>0</v>
      </c>
      <c r="X207" s="12">
        <f t="shared" si="12"/>
        <v>1</v>
      </c>
      <c r="Y207" s="12">
        <f t="shared" si="11"/>
        <v>0</v>
      </c>
    </row>
    <row r="208" spans="3:25" ht="15.7">
      <c r="C208" s="6"/>
      <c r="D208" s="702"/>
      <c r="E208" s="723"/>
      <c r="F208" s="723"/>
      <c r="G208" s="723"/>
      <c r="H208" s="723"/>
      <c r="I208" s="723"/>
      <c r="J208" s="723"/>
      <c r="K208" s="723"/>
      <c r="L208" s="724"/>
      <c r="M208" s="724"/>
      <c r="N208" s="725"/>
      <c r="O208" s="725"/>
      <c r="P208" s="724"/>
      <c r="Q208" s="445"/>
      <c r="R208" s="445"/>
      <c r="S208" s="726"/>
      <c r="T208" s="726"/>
      <c r="U208" s="726"/>
      <c r="V208" s="726"/>
      <c r="W208" s="12">
        <f>W155</f>
        <v>0</v>
      </c>
      <c r="X208" s="12">
        <f t="shared" si="12"/>
        <v>1</v>
      </c>
      <c r="Y208" s="12">
        <f t="shared" si="11"/>
        <v>0</v>
      </c>
    </row>
    <row r="209" spans="3:25" ht="40.5" customHeight="1">
      <c r="C209" s="6"/>
      <c r="D209" s="4264" t="str">
        <f>UPPER(CONCATENATE("TOTAL ",D155))</f>
        <v>TOTAL STRUCTURAL CONCRETE</v>
      </c>
      <c r="E209" s="4264"/>
      <c r="F209" s="4264"/>
      <c r="G209" s="4264"/>
      <c r="H209" s="4264"/>
      <c r="I209" s="4264"/>
      <c r="J209" s="4264"/>
      <c r="K209" s="4264"/>
      <c r="L209" s="4264"/>
      <c r="M209" s="4264"/>
      <c r="N209" s="4264"/>
      <c r="O209" s="4264"/>
      <c r="P209" s="4264"/>
      <c r="Q209" s="4265"/>
      <c r="R209" s="4265"/>
      <c r="S209" s="4265"/>
      <c r="T209" s="4265"/>
      <c r="U209" s="4265"/>
      <c r="V209" s="4265"/>
      <c r="W209" s="12">
        <f>W155</f>
        <v>0</v>
      </c>
      <c r="X209" s="12">
        <f t="shared" si="12"/>
        <v>1</v>
      </c>
      <c r="Y209" s="12">
        <f t="shared" si="11"/>
        <v>0</v>
      </c>
    </row>
    <row r="210" spans="3:25" ht="15.7">
      <c r="D210" s="723"/>
      <c r="E210" s="723"/>
      <c r="F210" s="723"/>
      <c r="G210" s="723"/>
      <c r="H210" s="723"/>
      <c r="I210" s="723"/>
      <c r="J210" s="723"/>
      <c r="K210" s="723"/>
      <c r="L210" s="724"/>
      <c r="M210" s="724"/>
      <c r="N210" s="725"/>
      <c r="O210" s="725"/>
      <c r="P210" s="724"/>
      <c r="Q210" s="445"/>
      <c r="R210" s="445"/>
      <c r="S210" s="726"/>
      <c r="T210" s="726"/>
      <c r="U210" s="726"/>
      <c r="V210" s="726"/>
      <c r="W210" s="12">
        <f>W155</f>
        <v>0</v>
      </c>
      <c r="X210" s="12">
        <f t="shared" si="12"/>
        <v>1</v>
      </c>
      <c r="Y210" s="12">
        <f t="shared" si="11"/>
        <v>0</v>
      </c>
    </row>
    <row r="211" spans="3:25" ht="26.45" customHeight="1">
      <c r="D211" s="4275" t="str">
        <f>T('2 REPAIR ESTIMATOR'!D222:O222)</f>
        <v>CONCRETE &amp; FLATWORK</v>
      </c>
      <c r="E211" s="4275"/>
      <c r="F211" s="4275"/>
      <c r="G211" s="4275"/>
      <c r="H211" s="4275"/>
      <c r="I211" s="4275"/>
      <c r="J211" s="4275"/>
      <c r="K211" s="4276"/>
      <c r="L211" s="4277">
        <f>SUM(L212:M251)</f>
        <v>0</v>
      </c>
      <c r="M211" s="4278"/>
      <c r="N211" s="4279"/>
      <c r="O211" s="4280"/>
      <c r="P211" s="4277"/>
      <c r="Q211" s="4281"/>
      <c r="R211" s="4281"/>
      <c r="S211" s="4281"/>
      <c r="T211" s="4281"/>
      <c r="U211" s="4281"/>
      <c r="V211" s="4281"/>
      <c r="W211" s="12">
        <f>IF(L211&gt;0,1,0)</f>
        <v>0</v>
      </c>
      <c r="X211" s="12">
        <f t="shared" ref="X211:X242" si="13">IF(Scope4_Setting="Shown",1,0)</f>
        <v>1</v>
      </c>
      <c r="Y211" s="12">
        <f t="shared" si="11"/>
        <v>0</v>
      </c>
    </row>
    <row r="212" spans="3:25" ht="15.7">
      <c r="D212" s="4267" t="str">
        <f>T('2 REPAIR ESTIMATOR'!D223:O223)</f>
        <v>Concrete</v>
      </c>
      <c r="E212" s="4268"/>
      <c r="F212" s="4268"/>
      <c r="G212" s="4268"/>
      <c r="H212" s="4268"/>
      <c r="I212" s="4268"/>
      <c r="J212" s="4268"/>
      <c r="K212" s="4268"/>
      <c r="L212" s="4269">
        <f>'2 REPAIR ESTIMATOR'!P223</f>
        <v>0</v>
      </c>
      <c r="M212" s="4269"/>
      <c r="N212" s="4270" t="str">
        <f>T('2 REPAIR ESTIMATOR'!S223)</f>
        <v/>
      </c>
      <c r="O212" s="4270"/>
      <c r="P212" s="4273"/>
      <c r="Q212" s="4273"/>
      <c r="R212" s="4273"/>
      <c r="S212" s="4273"/>
      <c r="T212" s="4273"/>
      <c r="U212" s="4273"/>
      <c r="V212" s="4274"/>
      <c r="W212" s="12">
        <f>IF(L212="",0,1)</f>
        <v>1</v>
      </c>
      <c r="X212" s="12">
        <f t="shared" si="13"/>
        <v>1</v>
      </c>
      <c r="Y212" s="12">
        <f t="shared" si="11"/>
        <v>1</v>
      </c>
    </row>
    <row r="213" spans="3:25" ht="15.7">
      <c r="D213" s="4267" t="str">
        <f>T('2 REPAIR ESTIMATOR'!D224:O224)</f>
        <v>Concrete bid/allowance</v>
      </c>
      <c r="E213" s="4268"/>
      <c r="F213" s="4268"/>
      <c r="G213" s="4268"/>
      <c r="H213" s="4268"/>
      <c r="I213" s="4268"/>
      <c r="J213" s="4268"/>
      <c r="K213" s="4268"/>
      <c r="L213" s="4269">
        <f>'2 REPAIR ESTIMATOR'!P224</f>
        <v>0</v>
      </c>
      <c r="M213" s="4269"/>
      <c r="N213" s="4270" t="str">
        <f>T('2 REPAIR ESTIMATOR'!S224)</f>
        <v>ls</v>
      </c>
      <c r="O213" s="4270"/>
      <c r="P213" s="4271"/>
      <c r="Q213" s="4271"/>
      <c r="R213" s="4271"/>
      <c r="S213" s="4271"/>
      <c r="T213" s="4271"/>
      <c r="U213" s="4271"/>
      <c r="V213" s="4272"/>
      <c r="W213" s="12">
        <f t="shared" ref="W213:W251" si="14">IF(L213="",0,1)</f>
        <v>1</v>
      </c>
      <c r="X213" s="12">
        <f t="shared" si="13"/>
        <v>1</v>
      </c>
      <c r="Y213" s="12">
        <f t="shared" si="11"/>
        <v>1</v>
      </c>
    </row>
    <row r="214" spans="3:25" ht="15.7">
      <c r="D214" s="4267" t="str">
        <f>T('2 REPAIR ESTIMATOR'!D225:O225)</f>
        <v>Concrete flatwork demo</v>
      </c>
      <c r="E214" s="4268"/>
      <c r="F214" s="4268"/>
      <c r="G214" s="4268"/>
      <c r="H214" s="4268"/>
      <c r="I214" s="4268"/>
      <c r="J214" s="4268"/>
      <c r="K214" s="4268"/>
      <c r="L214" s="4269">
        <f>'2 REPAIR ESTIMATOR'!P225</f>
        <v>0</v>
      </c>
      <c r="M214" s="4269"/>
      <c r="N214" s="4270" t="str">
        <f>T('2 REPAIR ESTIMATOR'!S225)</f>
        <v>sf</v>
      </c>
      <c r="O214" s="4270"/>
      <c r="P214" s="4271"/>
      <c r="Q214" s="4271"/>
      <c r="R214" s="4271"/>
      <c r="S214" s="4271"/>
      <c r="T214" s="4271"/>
      <c r="U214" s="4271"/>
      <c r="V214" s="4272"/>
      <c r="W214" s="12">
        <f t="shared" si="14"/>
        <v>1</v>
      </c>
      <c r="X214" s="12">
        <f t="shared" si="13"/>
        <v>1</v>
      </c>
      <c r="Y214" s="12">
        <f t="shared" si="11"/>
        <v>1</v>
      </c>
    </row>
    <row r="215" spans="3:25" ht="15.7">
      <c r="D215" s="4267" t="str">
        <f>T('2 REPAIR ESTIMATOR'!D226:O226)</f>
        <v>Concrete driveway/patio, 6" thick</v>
      </c>
      <c r="E215" s="4268"/>
      <c r="F215" s="4268"/>
      <c r="G215" s="4268"/>
      <c r="H215" s="4268"/>
      <c r="I215" s="4268"/>
      <c r="J215" s="4268"/>
      <c r="K215" s="4268"/>
      <c r="L215" s="4269">
        <f>'2 REPAIR ESTIMATOR'!P226</f>
        <v>0</v>
      </c>
      <c r="M215" s="4269"/>
      <c r="N215" s="4270" t="str">
        <f>T('2 REPAIR ESTIMATOR'!S226)</f>
        <v>sf</v>
      </c>
      <c r="O215" s="4270"/>
      <c r="P215" s="4271"/>
      <c r="Q215" s="4271"/>
      <c r="R215" s="4271"/>
      <c r="S215" s="4271"/>
      <c r="T215" s="4271"/>
      <c r="U215" s="4271"/>
      <c r="V215" s="4272"/>
      <c r="W215" s="12">
        <f t="shared" si="14"/>
        <v>1</v>
      </c>
      <c r="X215" s="12">
        <f t="shared" si="13"/>
        <v>1</v>
      </c>
      <c r="Y215" s="12">
        <f t="shared" si="11"/>
        <v>1</v>
      </c>
    </row>
    <row r="216" spans="3:25" ht="15.7">
      <c r="D216" s="4267" t="str">
        <f>T('2 REPAIR ESTIMATOR'!D227:O227)</f>
        <v>Concrete sidewalk, 4" thick</v>
      </c>
      <c r="E216" s="4268"/>
      <c r="F216" s="4268"/>
      <c r="G216" s="4268"/>
      <c r="H216" s="4268"/>
      <c r="I216" s="4268"/>
      <c r="J216" s="4268"/>
      <c r="K216" s="4268"/>
      <c r="L216" s="4269">
        <f>'2 REPAIR ESTIMATOR'!P227</f>
        <v>0</v>
      </c>
      <c r="M216" s="4269"/>
      <c r="N216" s="4270" t="str">
        <f>T('2 REPAIR ESTIMATOR'!S227)</f>
        <v>sf</v>
      </c>
      <c r="O216" s="4270"/>
      <c r="P216" s="4271"/>
      <c r="Q216" s="4271"/>
      <c r="R216" s="4271"/>
      <c r="S216" s="4271"/>
      <c r="T216" s="4271"/>
      <c r="U216" s="4271"/>
      <c r="V216" s="4272"/>
      <c r="W216" s="12">
        <f t="shared" si="14"/>
        <v>1</v>
      </c>
      <c r="X216" s="12">
        <f t="shared" si="13"/>
        <v>1</v>
      </c>
      <c r="Y216" s="12">
        <f t="shared" si="11"/>
        <v>1</v>
      </c>
    </row>
    <row r="217" spans="3:25" ht="15.7">
      <c r="D217" s="4267" t="str">
        <f>T('2 REPAIR ESTIMATOR'!D228:O228)</f>
        <v>Add for 4" base rock below concrete pavement</v>
      </c>
      <c r="E217" s="4268"/>
      <c r="F217" s="4268"/>
      <c r="G217" s="4268"/>
      <c r="H217" s="4268"/>
      <c r="I217" s="4268"/>
      <c r="J217" s="4268"/>
      <c r="K217" s="4268"/>
      <c r="L217" s="4269">
        <f>'2 REPAIR ESTIMATOR'!P228</f>
        <v>0</v>
      </c>
      <c r="M217" s="4269"/>
      <c r="N217" s="4270" t="str">
        <f>T('2 REPAIR ESTIMATOR'!S228)</f>
        <v>sf</v>
      </c>
      <c r="O217" s="4270"/>
      <c r="P217" s="4271"/>
      <c r="Q217" s="4271"/>
      <c r="R217" s="4271"/>
      <c r="S217" s="4271"/>
      <c r="T217" s="4271"/>
      <c r="U217" s="4271"/>
      <c r="V217" s="4272"/>
      <c r="W217" s="12">
        <f t="shared" si="14"/>
        <v>1</v>
      </c>
      <c r="X217" s="12">
        <f t="shared" si="13"/>
        <v>1</v>
      </c>
      <c r="Y217" s="12">
        <f t="shared" si="11"/>
        <v>1</v>
      </c>
    </row>
    <row r="218" spans="3:25" ht="15.7">
      <c r="D218" s="4267" t="str">
        <f>T('2 REPAIR ESTIMATOR'!D229:O229)</f>
        <v/>
      </c>
      <c r="E218" s="4268"/>
      <c r="F218" s="4268"/>
      <c r="G218" s="4268"/>
      <c r="H218" s="4268"/>
      <c r="I218" s="4268"/>
      <c r="J218" s="4268"/>
      <c r="K218" s="4268"/>
      <c r="L218" s="4269">
        <f>'2 REPAIR ESTIMATOR'!P229</f>
        <v>0</v>
      </c>
      <c r="M218" s="4269"/>
      <c r="N218" s="4270" t="str">
        <f>T('2 REPAIR ESTIMATOR'!S229)</f>
        <v/>
      </c>
      <c r="O218" s="4270"/>
      <c r="P218" s="4271"/>
      <c r="Q218" s="4271"/>
      <c r="R218" s="4271"/>
      <c r="S218" s="4271"/>
      <c r="T218" s="4271"/>
      <c r="U218" s="4271"/>
      <c r="V218" s="4272"/>
      <c r="W218" s="12">
        <f t="shared" si="14"/>
        <v>1</v>
      </c>
      <c r="X218" s="12">
        <f t="shared" si="13"/>
        <v>1</v>
      </c>
      <c r="Y218" s="12">
        <f t="shared" si="11"/>
        <v>1</v>
      </c>
    </row>
    <row r="219" spans="3:25" ht="15.7">
      <c r="D219" s="4267" t="str">
        <f>T('2 REPAIR ESTIMATOR'!D230:O230)</f>
        <v>Asphalt</v>
      </c>
      <c r="E219" s="4268"/>
      <c r="F219" s="4268"/>
      <c r="G219" s="4268"/>
      <c r="H219" s="4268"/>
      <c r="I219" s="4268"/>
      <c r="J219" s="4268"/>
      <c r="K219" s="4268"/>
      <c r="L219" s="4269">
        <f>'2 REPAIR ESTIMATOR'!P230</f>
        <v>0</v>
      </c>
      <c r="M219" s="4269"/>
      <c r="N219" s="4270" t="str">
        <f>T('2 REPAIR ESTIMATOR'!S230)</f>
        <v/>
      </c>
      <c r="O219" s="4270"/>
      <c r="P219" s="4271"/>
      <c r="Q219" s="4271"/>
      <c r="R219" s="4271"/>
      <c r="S219" s="4271"/>
      <c r="T219" s="4271"/>
      <c r="U219" s="4271"/>
      <c r="V219" s="4272"/>
      <c r="W219" s="12">
        <f t="shared" si="14"/>
        <v>1</v>
      </c>
      <c r="X219" s="12">
        <f t="shared" si="13"/>
        <v>1</v>
      </c>
      <c r="Y219" s="12">
        <f t="shared" si="11"/>
        <v>1</v>
      </c>
    </row>
    <row r="220" spans="3:25" ht="15.7">
      <c r="D220" s="4267" t="str">
        <f>T('2 REPAIR ESTIMATOR'!D231:O231)</f>
        <v>Asphalt bid/allowance</v>
      </c>
      <c r="E220" s="4268"/>
      <c r="F220" s="4268"/>
      <c r="G220" s="4268"/>
      <c r="H220" s="4268"/>
      <c r="I220" s="4268"/>
      <c r="J220" s="4268"/>
      <c r="K220" s="4268"/>
      <c r="L220" s="4269">
        <f>'2 REPAIR ESTIMATOR'!P231</f>
        <v>0</v>
      </c>
      <c r="M220" s="4269"/>
      <c r="N220" s="4270" t="str">
        <f>T('2 REPAIR ESTIMATOR'!S231)</f>
        <v>ls</v>
      </c>
      <c r="O220" s="4270"/>
      <c r="P220" s="4271"/>
      <c r="Q220" s="4271"/>
      <c r="R220" s="4271"/>
      <c r="S220" s="4271"/>
      <c r="T220" s="4271"/>
      <c r="U220" s="4271"/>
      <c r="V220" s="4272"/>
      <c r="W220" s="12">
        <f t="shared" si="14"/>
        <v>1</v>
      </c>
      <c r="X220" s="12">
        <f t="shared" si="13"/>
        <v>1</v>
      </c>
      <c r="Y220" s="12">
        <f t="shared" si="11"/>
        <v>1</v>
      </c>
    </row>
    <row r="221" spans="3:25" ht="15.7">
      <c r="D221" s="4267" t="str">
        <f>T('2 REPAIR ESTIMATOR'!D232:O232)</f>
        <v>Asphalt pavement, 5" thick</v>
      </c>
      <c r="E221" s="4268"/>
      <c r="F221" s="4268"/>
      <c r="G221" s="4268"/>
      <c r="H221" s="4268"/>
      <c r="I221" s="4268"/>
      <c r="J221" s="4268"/>
      <c r="K221" s="4268"/>
      <c r="L221" s="4269">
        <f>'2 REPAIR ESTIMATOR'!P232</f>
        <v>0</v>
      </c>
      <c r="M221" s="4269"/>
      <c r="N221" s="4270" t="str">
        <f>T('2 REPAIR ESTIMATOR'!S232)</f>
        <v>sy</v>
      </c>
      <c r="O221" s="4270"/>
      <c r="P221" s="4271"/>
      <c r="Q221" s="4271"/>
      <c r="R221" s="4271"/>
      <c r="S221" s="4271"/>
      <c r="T221" s="4271"/>
      <c r="U221" s="4271"/>
      <c r="V221" s="4272"/>
      <c r="W221" s="12">
        <f t="shared" si="14"/>
        <v>1</v>
      </c>
      <c r="X221" s="12">
        <f t="shared" si="13"/>
        <v>1</v>
      </c>
      <c r="Y221" s="12">
        <f t="shared" si="11"/>
        <v>1</v>
      </c>
    </row>
    <row r="222" spans="3:25" ht="15.7">
      <c r="D222" s="4267" t="str">
        <f>T('2 REPAIR ESTIMATOR'!D233:O233)</f>
        <v>Asphalt pavement, 7" thick</v>
      </c>
      <c r="E222" s="4268"/>
      <c r="F222" s="4268"/>
      <c r="G222" s="4268"/>
      <c r="H222" s="4268"/>
      <c r="I222" s="4268"/>
      <c r="J222" s="4268"/>
      <c r="K222" s="4268"/>
      <c r="L222" s="4269">
        <f>'2 REPAIR ESTIMATOR'!P233</f>
        <v>0</v>
      </c>
      <c r="M222" s="4269"/>
      <c r="N222" s="4270" t="str">
        <f>T('2 REPAIR ESTIMATOR'!S233)</f>
        <v>sy</v>
      </c>
      <c r="O222" s="4270"/>
      <c r="P222" s="4271"/>
      <c r="Q222" s="4271"/>
      <c r="R222" s="4271"/>
      <c r="S222" s="4271"/>
      <c r="T222" s="4271"/>
      <c r="U222" s="4271"/>
      <c r="V222" s="4272"/>
      <c r="W222" s="12">
        <f t="shared" si="14"/>
        <v>1</v>
      </c>
      <c r="X222" s="12">
        <f t="shared" si="13"/>
        <v>1</v>
      </c>
      <c r="Y222" s="12">
        <f t="shared" si="11"/>
        <v>1</v>
      </c>
    </row>
    <row r="223" spans="3:25" ht="15.7">
      <c r="D223" s="4267" t="str">
        <f>T('2 REPAIR ESTIMATOR'!D234:O234)</f>
        <v>Asphalt pavement, wearing course, 1" thick only</v>
      </c>
      <c r="E223" s="4268"/>
      <c r="F223" s="4268"/>
      <c r="G223" s="4268"/>
      <c r="H223" s="4268"/>
      <c r="I223" s="4268"/>
      <c r="J223" s="4268"/>
      <c r="K223" s="4268"/>
      <c r="L223" s="4269">
        <f>'2 REPAIR ESTIMATOR'!P234</f>
        <v>0</v>
      </c>
      <c r="M223" s="4269"/>
      <c r="N223" s="4270" t="str">
        <f>T('2 REPAIR ESTIMATOR'!S234)</f>
        <v>sy</v>
      </c>
      <c r="O223" s="4270"/>
      <c r="P223" s="4271"/>
      <c r="Q223" s="4271"/>
      <c r="R223" s="4271"/>
      <c r="S223" s="4271"/>
      <c r="T223" s="4271"/>
      <c r="U223" s="4271"/>
      <c r="V223" s="4272"/>
      <c r="W223" s="12">
        <f t="shared" si="14"/>
        <v>1</v>
      </c>
      <c r="X223" s="12">
        <f t="shared" si="13"/>
        <v>1</v>
      </c>
      <c r="Y223" s="12">
        <f t="shared" si="11"/>
        <v>1</v>
      </c>
    </row>
    <row r="224" spans="3:25" ht="15.7">
      <c r="D224" s="4267" t="str">
        <f>T('2 REPAIR ESTIMATOR'!D235:O235)</f>
        <v>Asphalt seal coat</v>
      </c>
      <c r="E224" s="4268"/>
      <c r="F224" s="4268"/>
      <c r="G224" s="4268"/>
      <c r="H224" s="4268"/>
      <c r="I224" s="4268"/>
      <c r="J224" s="4268"/>
      <c r="K224" s="4268"/>
      <c r="L224" s="4269">
        <f>'2 REPAIR ESTIMATOR'!P235</f>
        <v>0</v>
      </c>
      <c r="M224" s="4269"/>
      <c r="N224" s="4270" t="str">
        <f>T('2 REPAIR ESTIMATOR'!S235)</f>
        <v>sy</v>
      </c>
      <c r="O224" s="4270"/>
      <c r="P224" s="4271"/>
      <c r="Q224" s="4271"/>
      <c r="R224" s="4271"/>
      <c r="S224" s="4271"/>
      <c r="T224" s="4271"/>
      <c r="U224" s="4271"/>
      <c r="V224" s="4272"/>
      <c r="W224" s="12">
        <f t="shared" si="14"/>
        <v>1</v>
      </c>
      <c r="X224" s="12">
        <f t="shared" si="13"/>
        <v>1</v>
      </c>
      <c r="Y224" s="12">
        <f t="shared" si="11"/>
        <v>1</v>
      </c>
    </row>
    <row r="225" spans="4:25" ht="15.7">
      <c r="D225" s="4267" t="str">
        <f>T('2 REPAIR ESTIMATOR'!D236:O236)</f>
        <v>Add for 4" base rock below asphalt pavement</v>
      </c>
      <c r="E225" s="4268"/>
      <c r="F225" s="4268"/>
      <c r="G225" s="4268"/>
      <c r="H225" s="4268"/>
      <c r="I225" s="4268"/>
      <c r="J225" s="4268"/>
      <c r="K225" s="4268"/>
      <c r="L225" s="4269">
        <f>'2 REPAIR ESTIMATOR'!P236</f>
        <v>0</v>
      </c>
      <c r="M225" s="4269"/>
      <c r="N225" s="4270" t="str">
        <f>T('2 REPAIR ESTIMATOR'!S236)</f>
        <v>sy</v>
      </c>
      <c r="O225" s="4270"/>
      <c r="P225" s="4271"/>
      <c r="Q225" s="4271"/>
      <c r="R225" s="4271"/>
      <c r="S225" s="4271"/>
      <c r="T225" s="4271"/>
      <c r="U225" s="4271"/>
      <c r="V225" s="4272"/>
      <c r="W225" s="12">
        <f t="shared" si="14"/>
        <v>1</v>
      </c>
      <c r="X225" s="12">
        <f t="shared" si="13"/>
        <v>1</v>
      </c>
      <c r="Y225" s="12">
        <f t="shared" si="11"/>
        <v>1</v>
      </c>
    </row>
    <row r="226" spans="4:25" ht="15.7">
      <c r="D226" s="4267" t="str">
        <f>T('2 REPAIR ESTIMATOR'!D237:O237)</f>
        <v/>
      </c>
      <c r="E226" s="4268"/>
      <c r="F226" s="4268"/>
      <c r="G226" s="4268"/>
      <c r="H226" s="4268"/>
      <c r="I226" s="4268"/>
      <c r="J226" s="4268"/>
      <c r="K226" s="4268"/>
      <c r="L226" s="4269">
        <f>'2 REPAIR ESTIMATOR'!P237</f>
        <v>0</v>
      </c>
      <c r="M226" s="4269"/>
      <c r="N226" s="4270" t="str">
        <f>T('2 REPAIR ESTIMATOR'!S237)</f>
        <v/>
      </c>
      <c r="O226" s="4270"/>
      <c r="P226" s="4271"/>
      <c r="Q226" s="4271"/>
      <c r="R226" s="4271"/>
      <c r="S226" s="4271"/>
      <c r="T226" s="4271"/>
      <c r="U226" s="4271"/>
      <c r="V226" s="4272"/>
      <c r="W226" s="12">
        <f t="shared" si="14"/>
        <v>1</v>
      </c>
      <c r="X226" s="12">
        <f t="shared" si="13"/>
        <v>1</v>
      </c>
      <c r="Y226" s="12">
        <f t="shared" si="11"/>
        <v>1</v>
      </c>
    </row>
    <row r="227" spans="4:25" ht="15.7">
      <c r="D227" s="4267" t="str">
        <f>T('2 REPAIR ESTIMATOR'!D238:O238)</f>
        <v>Pavers</v>
      </c>
      <c r="E227" s="4268"/>
      <c r="F227" s="4268"/>
      <c r="G227" s="4268"/>
      <c r="H227" s="4268"/>
      <c r="I227" s="4268"/>
      <c r="J227" s="4268"/>
      <c r="K227" s="4268"/>
      <c r="L227" s="4269">
        <f>'2 REPAIR ESTIMATOR'!P238</f>
        <v>0</v>
      </c>
      <c r="M227" s="4269"/>
      <c r="N227" s="4270" t="str">
        <f>T('2 REPAIR ESTIMATOR'!S238)</f>
        <v/>
      </c>
      <c r="O227" s="4270"/>
      <c r="P227" s="4271"/>
      <c r="Q227" s="4271"/>
      <c r="R227" s="4271"/>
      <c r="S227" s="4271"/>
      <c r="T227" s="4271"/>
      <c r="U227" s="4271"/>
      <c r="V227" s="4272"/>
      <c r="W227" s="12">
        <f t="shared" si="14"/>
        <v>1</v>
      </c>
      <c r="X227" s="12">
        <f t="shared" si="13"/>
        <v>1</v>
      </c>
      <c r="Y227" s="12">
        <f t="shared" si="11"/>
        <v>1</v>
      </c>
    </row>
    <row r="228" spans="4:25" ht="15.7">
      <c r="D228" s="4267" t="str">
        <f>T('2 REPAIR ESTIMATOR'!D239:O239)</f>
        <v>Pavers bid/allowance</v>
      </c>
      <c r="E228" s="4268"/>
      <c r="F228" s="4268"/>
      <c r="G228" s="4268"/>
      <c r="H228" s="4268"/>
      <c r="I228" s="4268"/>
      <c r="J228" s="4268"/>
      <c r="K228" s="4268"/>
      <c r="L228" s="4269">
        <f>'2 REPAIR ESTIMATOR'!P239</f>
        <v>0</v>
      </c>
      <c r="M228" s="4269"/>
      <c r="N228" s="4270" t="str">
        <f>T('2 REPAIR ESTIMATOR'!S239)</f>
        <v>ls</v>
      </c>
      <c r="O228" s="4270"/>
      <c r="P228" s="4271"/>
      <c r="Q228" s="4271"/>
      <c r="R228" s="4271"/>
      <c r="S228" s="4271"/>
      <c r="T228" s="4271"/>
      <c r="U228" s="4271"/>
      <c r="V228" s="4272"/>
      <c r="W228" s="12">
        <f t="shared" si="14"/>
        <v>1</v>
      </c>
      <c r="X228" s="12">
        <f t="shared" si="13"/>
        <v>1</v>
      </c>
      <c r="Y228" s="12">
        <f t="shared" si="11"/>
        <v>1</v>
      </c>
    </row>
    <row r="229" spans="4:25" ht="15.7">
      <c r="D229" s="4267" t="str">
        <f>T('2 REPAIR ESTIMATOR'!D240:O240)</f>
        <v>Brick pavers, sand base</v>
      </c>
      <c r="E229" s="4268"/>
      <c r="F229" s="4268"/>
      <c r="G229" s="4268"/>
      <c r="H229" s="4268"/>
      <c r="I229" s="4268"/>
      <c r="J229" s="4268"/>
      <c r="K229" s="4268"/>
      <c r="L229" s="4269">
        <f>'2 REPAIR ESTIMATOR'!P240</f>
        <v>0</v>
      </c>
      <c r="M229" s="4269"/>
      <c r="N229" s="4270" t="str">
        <f>T('2 REPAIR ESTIMATOR'!S240)</f>
        <v>sf</v>
      </c>
      <c r="O229" s="4270"/>
      <c r="P229" s="4271"/>
      <c r="Q229" s="4271"/>
      <c r="R229" s="4271"/>
      <c r="S229" s="4271"/>
      <c r="T229" s="4271"/>
      <c r="U229" s="4271"/>
      <c r="V229" s="4272"/>
      <c r="W229" s="12">
        <f t="shared" si="14"/>
        <v>1</v>
      </c>
      <c r="X229" s="12">
        <f t="shared" si="13"/>
        <v>1</v>
      </c>
      <c r="Y229" s="12">
        <f t="shared" si="11"/>
        <v>1</v>
      </c>
    </row>
    <row r="230" spans="4:25" ht="15.7">
      <c r="D230" s="4267" t="str">
        <f>T('2 REPAIR ESTIMATOR'!D241:O241)</f>
        <v>Brick pavers, mortar base</v>
      </c>
      <c r="E230" s="4268"/>
      <c r="F230" s="4268"/>
      <c r="G230" s="4268"/>
      <c r="H230" s="4268"/>
      <c r="I230" s="4268"/>
      <c r="J230" s="4268"/>
      <c r="K230" s="4268"/>
      <c r="L230" s="4269">
        <f>'2 REPAIR ESTIMATOR'!P241</f>
        <v>0</v>
      </c>
      <c r="M230" s="4269"/>
      <c r="N230" s="4270" t="str">
        <f>T('2 REPAIR ESTIMATOR'!S241)</f>
        <v>sf</v>
      </c>
      <c r="O230" s="4270"/>
      <c r="P230" s="4271"/>
      <c r="Q230" s="4271"/>
      <c r="R230" s="4271"/>
      <c r="S230" s="4271"/>
      <c r="T230" s="4271"/>
      <c r="U230" s="4271"/>
      <c r="V230" s="4272"/>
      <c r="W230" s="12">
        <f t="shared" si="14"/>
        <v>1</v>
      </c>
      <c r="X230" s="12">
        <f t="shared" si="13"/>
        <v>1</v>
      </c>
      <c r="Y230" s="12">
        <f t="shared" si="11"/>
        <v>1</v>
      </c>
    </row>
    <row r="231" spans="4:25" ht="15.7">
      <c r="D231" s="4267" t="str">
        <f>T('2 REPAIR ESTIMATOR'!D242:O242)</f>
        <v/>
      </c>
      <c r="E231" s="4268"/>
      <c r="F231" s="4268"/>
      <c r="G231" s="4268"/>
      <c r="H231" s="4268"/>
      <c r="I231" s="4268"/>
      <c r="J231" s="4268"/>
      <c r="K231" s="4268"/>
      <c r="L231" s="4269">
        <f>'2 REPAIR ESTIMATOR'!P242</f>
        <v>0</v>
      </c>
      <c r="M231" s="4269"/>
      <c r="N231" s="4270" t="str">
        <f>T('2 REPAIR ESTIMATOR'!S242)</f>
        <v/>
      </c>
      <c r="O231" s="4270"/>
      <c r="P231" s="4271"/>
      <c r="Q231" s="4271"/>
      <c r="R231" s="4271"/>
      <c r="S231" s="4271"/>
      <c r="T231" s="4271"/>
      <c r="U231" s="4271"/>
      <c r="V231" s="4272"/>
      <c r="W231" s="12">
        <f t="shared" si="14"/>
        <v>1</v>
      </c>
      <c r="X231" s="12">
        <f t="shared" si="13"/>
        <v>1</v>
      </c>
      <c r="Y231" s="12">
        <f t="shared" si="11"/>
        <v>1</v>
      </c>
    </row>
    <row r="232" spans="4:25" ht="15.7">
      <c r="D232" s="4267" t="str">
        <f>T('2 REPAIR ESTIMATOR'!D243:O243)</f>
        <v/>
      </c>
      <c r="E232" s="4268"/>
      <c r="F232" s="4268"/>
      <c r="G232" s="4268"/>
      <c r="H232" s="4268"/>
      <c r="I232" s="4268"/>
      <c r="J232" s="4268"/>
      <c r="K232" s="4268"/>
      <c r="L232" s="4269">
        <f>'2 REPAIR ESTIMATOR'!P243</f>
        <v>0</v>
      </c>
      <c r="M232" s="4269"/>
      <c r="N232" s="4270" t="str">
        <f>T('2 REPAIR ESTIMATOR'!S243)</f>
        <v/>
      </c>
      <c r="O232" s="4270"/>
      <c r="P232" s="4271"/>
      <c r="Q232" s="4271"/>
      <c r="R232" s="4271"/>
      <c r="S232" s="4271"/>
      <c r="T232" s="4271"/>
      <c r="U232" s="4271"/>
      <c r="V232" s="4272"/>
      <c r="W232" s="12">
        <f t="shared" si="14"/>
        <v>1</v>
      </c>
      <c r="X232" s="12">
        <f t="shared" si="13"/>
        <v>1</v>
      </c>
      <c r="Y232" s="12">
        <f t="shared" si="11"/>
        <v>1</v>
      </c>
    </row>
    <row r="233" spans="4:25" ht="15.7">
      <c r="D233" s="4267" t="str">
        <f>T('2 REPAIR ESTIMATOR'!D244:O244)</f>
        <v/>
      </c>
      <c r="E233" s="4268"/>
      <c r="F233" s="4268"/>
      <c r="G233" s="4268"/>
      <c r="H233" s="4268"/>
      <c r="I233" s="4268"/>
      <c r="J233" s="4268"/>
      <c r="K233" s="4268"/>
      <c r="L233" s="4269">
        <f>'2 REPAIR ESTIMATOR'!P244</f>
        <v>0</v>
      </c>
      <c r="M233" s="4269"/>
      <c r="N233" s="4270" t="str">
        <f>T('2 REPAIR ESTIMATOR'!S244)</f>
        <v/>
      </c>
      <c r="O233" s="4270"/>
      <c r="P233" s="4271"/>
      <c r="Q233" s="4271"/>
      <c r="R233" s="4271"/>
      <c r="S233" s="4271"/>
      <c r="T233" s="4271"/>
      <c r="U233" s="4271"/>
      <c r="V233" s="4272"/>
      <c r="W233" s="12">
        <f t="shared" si="14"/>
        <v>1</v>
      </c>
      <c r="X233" s="12">
        <f t="shared" si="13"/>
        <v>1</v>
      </c>
      <c r="Y233" s="12">
        <f t="shared" si="11"/>
        <v>1</v>
      </c>
    </row>
    <row r="234" spans="4:25" ht="15.7">
      <c r="D234" s="4267" t="str">
        <f>T('2 REPAIR ESTIMATOR'!D245:O245)</f>
        <v/>
      </c>
      <c r="E234" s="4268"/>
      <c r="F234" s="4268"/>
      <c r="G234" s="4268"/>
      <c r="H234" s="4268"/>
      <c r="I234" s="4268"/>
      <c r="J234" s="4268"/>
      <c r="K234" s="4268"/>
      <c r="L234" s="4269">
        <f>'2 REPAIR ESTIMATOR'!P245</f>
        <v>0</v>
      </c>
      <c r="M234" s="4269"/>
      <c r="N234" s="4270" t="str">
        <f>T('2 REPAIR ESTIMATOR'!S245)</f>
        <v/>
      </c>
      <c r="O234" s="4270"/>
      <c r="P234" s="4271"/>
      <c r="Q234" s="4271"/>
      <c r="R234" s="4271"/>
      <c r="S234" s="4271"/>
      <c r="T234" s="4271"/>
      <c r="U234" s="4271"/>
      <c r="V234" s="4272"/>
      <c r="W234" s="12">
        <f t="shared" si="14"/>
        <v>1</v>
      </c>
      <c r="X234" s="12">
        <f t="shared" si="13"/>
        <v>1</v>
      </c>
      <c r="Y234" s="12">
        <f t="shared" si="11"/>
        <v>1</v>
      </c>
    </row>
    <row r="235" spans="4:25" ht="15.7">
      <c r="D235" s="4267" t="str">
        <f>T('2 REPAIR ESTIMATOR'!D246:O246)</f>
        <v/>
      </c>
      <c r="E235" s="4268"/>
      <c r="F235" s="4268"/>
      <c r="G235" s="4268"/>
      <c r="H235" s="4268"/>
      <c r="I235" s="4268"/>
      <c r="J235" s="4268"/>
      <c r="K235" s="4268"/>
      <c r="L235" s="4269">
        <f>'2 REPAIR ESTIMATOR'!P246</f>
        <v>0</v>
      </c>
      <c r="M235" s="4269"/>
      <c r="N235" s="4270" t="str">
        <f>T('2 REPAIR ESTIMATOR'!S246)</f>
        <v/>
      </c>
      <c r="O235" s="4270"/>
      <c r="P235" s="4271"/>
      <c r="Q235" s="4271"/>
      <c r="R235" s="4271"/>
      <c r="S235" s="4271"/>
      <c r="T235" s="4271"/>
      <c r="U235" s="4271"/>
      <c r="V235" s="4272"/>
      <c r="W235" s="12">
        <f t="shared" si="14"/>
        <v>1</v>
      </c>
      <c r="X235" s="12">
        <f t="shared" si="13"/>
        <v>1</v>
      </c>
      <c r="Y235" s="12">
        <f t="shared" si="11"/>
        <v>1</v>
      </c>
    </row>
    <row r="236" spans="4:25" ht="15.7">
      <c r="D236" s="4267" t="str">
        <f>T('2 REPAIR ESTIMATOR'!D247:O247)</f>
        <v/>
      </c>
      <c r="E236" s="4268"/>
      <c r="F236" s="4268"/>
      <c r="G236" s="4268"/>
      <c r="H236" s="4268"/>
      <c r="I236" s="4268"/>
      <c r="J236" s="4268"/>
      <c r="K236" s="4268"/>
      <c r="L236" s="4269">
        <f>'2 REPAIR ESTIMATOR'!P247</f>
        <v>0</v>
      </c>
      <c r="M236" s="4269"/>
      <c r="N236" s="4270" t="str">
        <f>T('2 REPAIR ESTIMATOR'!S247)</f>
        <v/>
      </c>
      <c r="O236" s="4270"/>
      <c r="P236" s="4271"/>
      <c r="Q236" s="4271"/>
      <c r="R236" s="4271"/>
      <c r="S236" s="4271"/>
      <c r="T236" s="4271"/>
      <c r="U236" s="4271"/>
      <c r="V236" s="4272"/>
      <c r="W236" s="12">
        <f t="shared" si="14"/>
        <v>1</v>
      </c>
      <c r="X236" s="12">
        <f t="shared" si="13"/>
        <v>1</v>
      </c>
      <c r="Y236" s="12">
        <f t="shared" ref="Y236:Y299" si="15">W236*X236</f>
        <v>1</v>
      </c>
    </row>
    <row r="237" spans="4:25" ht="15.7">
      <c r="D237" s="4267" t="str">
        <f>T('2 REPAIR ESTIMATOR'!D248:O248)</f>
        <v/>
      </c>
      <c r="E237" s="4268"/>
      <c r="F237" s="4268"/>
      <c r="G237" s="4268"/>
      <c r="H237" s="4268"/>
      <c r="I237" s="4268"/>
      <c r="J237" s="4268"/>
      <c r="K237" s="4268"/>
      <c r="L237" s="4269">
        <f>'2 REPAIR ESTIMATOR'!P248</f>
        <v>0</v>
      </c>
      <c r="M237" s="4269"/>
      <c r="N237" s="4270" t="str">
        <f>T('2 REPAIR ESTIMATOR'!S248)</f>
        <v/>
      </c>
      <c r="O237" s="4270"/>
      <c r="P237" s="4271"/>
      <c r="Q237" s="4271"/>
      <c r="R237" s="4271"/>
      <c r="S237" s="4271"/>
      <c r="T237" s="4271"/>
      <c r="U237" s="4271"/>
      <c r="V237" s="4272"/>
      <c r="W237" s="12">
        <f t="shared" si="14"/>
        <v>1</v>
      </c>
      <c r="X237" s="12">
        <f t="shared" si="13"/>
        <v>1</v>
      </c>
      <c r="Y237" s="12">
        <f t="shared" si="15"/>
        <v>1</v>
      </c>
    </row>
    <row r="238" spans="4:25" ht="15.7">
      <c r="D238" s="4267" t="str">
        <f>T('2 REPAIR ESTIMATOR'!D249:O249)</f>
        <v/>
      </c>
      <c r="E238" s="4268"/>
      <c r="F238" s="4268"/>
      <c r="G238" s="4268"/>
      <c r="H238" s="4268"/>
      <c r="I238" s="4268"/>
      <c r="J238" s="4268"/>
      <c r="K238" s="4268"/>
      <c r="L238" s="4269">
        <f>'2 REPAIR ESTIMATOR'!P249</f>
        <v>0</v>
      </c>
      <c r="M238" s="4269"/>
      <c r="N238" s="4270" t="str">
        <f>T('2 REPAIR ESTIMATOR'!S249)</f>
        <v/>
      </c>
      <c r="O238" s="4270"/>
      <c r="P238" s="4271"/>
      <c r="Q238" s="4271"/>
      <c r="R238" s="4271"/>
      <c r="S238" s="4271"/>
      <c r="T238" s="4271"/>
      <c r="U238" s="4271"/>
      <c r="V238" s="4272"/>
      <c r="W238" s="12">
        <f t="shared" si="14"/>
        <v>1</v>
      </c>
      <c r="X238" s="12">
        <f t="shared" si="13"/>
        <v>1</v>
      </c>
      <c r="Y238" s="12">
        <f t="shared" si="15"/>
        <v>1</v>
      </c>
    </row>
    <row r="239" spans="4:25" ht="15.7">
      <c r="D239" s="4267" t="str">
        <f>T('2 REPAIR ESTIMATOR'!D250:O250)</f>
        <v/>
      </c>
      <c r="E239" s="4268"/>
      <c r="F239" s="4268"/>
      <c r="G239" s="4268"/>
      <c r="H239" s="4268"/>
      <c r="I239" s="4268"/>
      <c r="J239" s="4268"/>
      <c r="K239" s="4268"/>
      <c r="L239" s="4269">
        <f>'2 REPAIR ESTIMATOR'!P250</f>
        <v>0</v>
      </c>
      <c r="M239" s="4269"/>
      <c r="N239" s="4270" t="str">
        <f>T('2 REPAIR ESTIMATOR'!S250)</f>
        <v/>
      </c>
      <c r="O239" s="4270"/>
      <c r="P239" s="4271"/>
      <c r="Q239" s="4271"/>
      <c r="R239" s="4271"/>
      <c r="S239" s="4271"/>
      <c r="T239" s="4271"/>
      <c r="U239" s="4271"/>
      <c r="V239" s="4272"/>
      <c r="W239" s="12">
        <f t="shared" si="14"/>
        <v>1</v>
      </c>
      <c r="X239" s="12">
        <f t="shared" si="13"/>
        <v>1</v>
      </c>
      <c r="Y239" s="12">
        <f t="shared" si="15"/>
        <v>1</v>
      </c>
    </row>
    <row r="240" spans="4:25" ht="15.7">
      <c r="D240" s="4267" t="str">
        <f>T('2 REPAIR ESTIMATOR'!D251:O251)</f>
        <v/>
      </c>
      <c r="E240" s="4268"/>
      <c r="F240" s="4268"/>
      <c r="G240" s="4268"/>
      <c r="H240" s="4268"/>
      <c r="I240" s="4268"/>
      <c r="J240" s="4268"/>
      <c r="K240" s="4268"/>
      <c r="L240" s="4269">
        <f>'2 REPAIR ESTIMATOR'!P251</f>
        <v>0</v>
      </c>
      <c r="M240" s="4269"/>
      <c r="N240" s="4270" t="str">
        <f>T('2 REPAIR ESTIMATOR'!S251)</f>
        <v/>
      </c>
      <c r="O240" s="4270"/>
      <c r="P240" s="4271"/>
      <c r="Q240" s="4271"/>
      <c r="R240" s="4271"/>
      <c r="S240" s="4271"/>
      <c r="T240" s="4271"/>
      <c r="U240" s="4271"/>
      <c r="V240" s="4272"/>
      <c r="W240" s="12">
        <f t="shared" si="14"/>
        <v>1</v>
      </c>
      <c r="X240" s="12">
        <f t="shared" si="13"/>
        <v>1</v>
      </c>
      <c r="Y240" s="12">
        <f t="shared" si="15"/>
        <v>1</v>
      </c>
    </row>
    <row r="241" spans="3:25" ht="15.7">
      <c r="D241" s="4267" t="str">
        <f>T('2 REPAIR ESTIMATOR'!D252:O252)</f>
        <v/>
      </c>
      <c r="E241" s="4268"/>
      <c r="F241" s="4268"/>
      <c r="G241" s="4268"/>
      <c r="H241" s="4268"/>
      <c r="I241" s="4268"/>
      <c r="J241" s="4268"/>
      <c r="K241" s="4268"/>
      <c r="L241" s="4269">
        <f>'2 REPAIR ESTIMATOR'!P252</f>
        <v>0</v>
      </c>
      <c r="M241" s="4269"/>
      <c r="N241" s="4270" t="str">
        <f>T('2 REPAIR ESTIMATOR'!S252)</f>
        <v/>
      </c>
      <c r="O241" s="4270"/>
      <c r="P241" s="4271"/>
      <c r="Q241" s="4271"/>
      <c r="R241" s="4271"/>
      <c r="S241" s="4271"/>
      <c r="T241" s="4271"/>
      <c r="U241" s="4271"/>
      <c r="V241" s="4272"/>
      <c r="W241" s="12">
        <f t="shared" si="14"/>
        <v>1</v>
      </c>
      <c r="X241" s="12">
        <f t="shared" si="13"/>
        <v>1</v>
      </c>
      <c r="Y241" s="12">
        <f t="shared" si="15"/>
        <v>1</v>
      </c>
    </row>
    <row r="242" spans="3:25" ht="15.7">
      <c r="D242" s="4267" t="str">
        <f>T('2 REPAIR ESTIMATOR'!D253:O253)</f>
        <v/>
      </c>
      <c r="E242" s="4268"/>
      <c r="F242" s="4268"/>
      <c r="G242" s="4268"/>
      <c r="H242" s="4268"/>
      <c r="I242" s="4268"/>
      <c r="J242" s="4268"/>
      <c r="K242" s="4268"/>
      <c r="L242" s="4269">
        <f>'2 REPAIR ESTIMATOR'!P253</f>
        <v>0</v>
      </c>
      <c r="M242" s="4269"/>
      <c r="N242" s="4270" t="str">
        <f>T('2 REPAIR ESTIMATOR'!S253)</f>
        <v/>
      </c>
      <c r="O242" s="4270"/>
      <c r="P242" s="4271"/>
      <c r="Q242" s="4271"/>
      <c r="R242" s="4271"/>
      <c r="S242" s="4271"/>
      <c r="T242" s="4271"/>
      <c r="U242" s="4271"/>
      <c r="V242" s="4272"/>
      <c r="W242" s="12">
        <f t="shared" si="14"/>
        <v>1</v>
      </c>
      <c r="X242" s="12">
        <f t="shared" si="13"/>
        <v>1</v>
      </c>
      <c r="Y242" s="12">
        <f t="shared" si="15"/>
        <v>1</v>
      </c>
    </row>
    <row r="243" spans="3:25" ht="15.7">
      <c r="D243" s="4267" t="str">
        <f>T('2 REPAIR ESTIMATOR'!D254:O254)</f>
        <v/>
      </c>
      <c r="E243" s="4268"/>
      <c r="F243" s="4268"/>
      <c r="G243" s="4268"/>
      <c r="H243" s="4268"/>
      <c r="I243" s="4268"/>
      <c r="J243" s="4268"/>
      <c r="K243" s="4268"/>
      <c r="L243" s="4269">
        <f>'2 REPAIR ESTIMATOR'!P254</f>
        <v>0</v>
      </c>
      <c r="M243" s="4269"/>
      <c r="N243" s="4270" t="str">
        <f>T('2 REPAIR ESTIMATOR'!S254)</f>
        <v/>
      </c>
      <c r="O243" s="4270"/>
      <c r="P243" s="4271"/>
      <c r="Q243" s="4271"/>
      <c r="R243" s="4271"/>
      <c r="S243" s="4271"/>
      <c r="T243" s="4271"/>
      <c r="U243" s="4271"/>
      <c r="V243" s="4272"/>
      <c r="W243" s="12">
        <f t="shared" si="14"/>
        <v>1</v>
      </c>
      <c r="X243" s="12">
        <f t="shared" ref="X243:X266" si="16">IF(Scope4_Setting="Shown",1,0)</f>
        <v>1</v>
      </c>
      <c r="Y243" s="12">
        <f t="shared" si="15"/>
        <v>1</v>
      </c>
    </row>
    <row r="244" spans="3:25" ht="15.7">
      <c r="D244" s="4267" t="str">
        <f>T('2 REPAIR ESTIMATOR'!D255:O255)</f>
        <v/>
      </c>
      <c r="E244" s="4268"/>
      <c r="F244" s="4268"/>
      <c r="G244" s="4268"/>
      <c r="H244" s="4268"/>
      <c r="I244" s="4268"/>
      <c r="J244" s="4268"/>
      <c r="K244" s="4268"/>
      <c r="L244" s="4269">
        <f>'2 REPAIR ESTIMATOR'!P255</f>
        <v>0</v>
      </c>
      <c r="M244" s="4269"/>
      <c r="N244" s="4270" t="str">
        <f>T('2 REPAIR ESTIMATOR'!S255)</f>
        <v/>
      </c>
      <c r="O244" s="4270"/>
      <c r="P244" s="4271"/>
      <c r="Q244" s="4271"/>
      <c r="R244" s="4271"/>
      <c r="S244" s="4271"/>
      <c r="T244" s="4271"/>
      <c r="U244" s="4271"/>
      <c r="V244" s="4272"/>
      <c r="W244" s="12">
        <f t="shared" si="14"/>
        <v>1</v>
      </c>
      <c r="X244" s="12">
        <f t="shared" si="16"/>
        <v>1</v>
      </c>
      <c r="Y244" s="12">
        <f t="shared" si="15"/>
        <v>1</v>
      </c>
    </row>
    <row r="245" spans="3:25" ht="15.7">
      <c r="D245" s="4267" t="str">
        <f>T('2 REPAIR ESTIMATOR'!D256:O256)</f>
        <v/>
      </c>
      <c r="E245" s="4268"/>
      <c r="F245" s="4268"/>
      <c r="G245" s="4268"/>
      <c r="H245" s="4268"/>
      <c r="I245" s="4268"/>
      <c r="J245" s="4268"/>
      <c r="K245" s="4268"/>
      <c r="L245" s="4269">
        <f>'2 REPAIR ESTIMATOR'!P256</f>
        <v>0</v>
      </c>
      <c r="M245" s="4269"/>
      <c r="N245" s="4270" t="str">
        <f>T('2 REPAIR ESTIMATOR'!S256)</f>
        <v/>
      </c>
      <c r="O245" s="4270"/>
      <c r="P245" s="4271"/>
      <c r="Q245" s="4271"/>
      <c r="R245" s="4271"/>
      <c r="S245" s="4271"/>
      <c r="T245" s="4271"/>
      <c r="U245" s="4271"/>
      <c r="V245" s="4272"/>
      <c r="W245" s="12">
        <f t="shared" si="14"/>
        <v>1</v>
      </c>
      <c r="X245" s="12">
        <f t="shared" si="16"/>
        <v>1</v>
      </c>
      <c r="Y245" s="12">
        <f t="shared" si="15"/>
        <v>1</v>
      </c>
    </row>
    <row r="246" spans="3:25" ht="15.7">
      <c r="D246" s="4267" t="str">
        <f>T('2 REPAIR ESTIMATOR'!D257:O257)</f>
        <v/>
      </c>
      <c r="E246" s="4268"/>
      <c r="F246" s="4268"/>
      <c r="G246" s="4268"/>
      <c r="H246" s="4268"/>
      <c r="I246" s="4268"/>
      <c r="J246" s="4268"/>
      <c r="K246" s="4268"/>
      <c r="L246" s="4269">
        <f>'2 REPAIR ESTIMATOR'!P257</f>
        <v>0</v>
      </c>
      <c r="M246" s="4269"/>
      <c r="N246" s="4270" t="str">
        <f>T('2 REPAIR ESTIMATOR'!S257)</f>
        <v/>
      </c>
      <c r="O246" s="4270"/>
      <c r="P246" s="4271"/>
      <c r="Q246" s="4271"/>
      <c r="R246" s="4271"/>
      <c r="S246" s="4271"/>
      <c r="T246" s="4271"/>
      <c r="U246" s="4271"/>
      <c r="V246" s="4272"/>
      <c r="W246" s="12">
        <f t="shared" si="14"/>
        <v>1</v>
      </c>
      <c r="X246" s="12">
        <f t="shared" si="16"/>
        <v>1</v>
      </c>
      <c r="Y246" s="12">
        <f t="shared" si="15"/>
        <v>1</v>
      </c>
    </row>
    <row r="247" spans="3:25" ht="15.7">
      <c r="D247" s="4267" t="str">
        <f>T('2 REPAIR ESTIMATOR'!D258:O258)</f>
        <v/>
      </c>
      <c r="E247" s="4268"/>
      <c r="F247" s="4268"/>
      <c r="G247" s="4268"/>
      <c r="H247" s="4268"/>
      <c r="I247" s="4268"/>
      <c r="J247" s="4268"/>
      <c r="K247" s="4268"/>
      <c r="L247" s="4269">
        <f>'2 REPAIR ESTIMATOR'!P258</f>
        <v>0</v>
      </c>
      <c r="M247" s="4269"/>
      <c r="N247" s="4270" t="str">
        <f>T('2 REPAIR ESTIMATOR'!S258)</f>
        <v/>
      </c>
      <c r="O247" s="4270"/>
      <c r="P247" s="4271"/>
      <c r="Q247" s="4271"/>
      <c r="R247" s="4271"/>
      <c r="S247" s="4271"/>
      <c r="T247" s="4271"/>
      <c r="U247" s="4271"/>
      <c r="V247" s="4272"/>
      <c r="W247" s="12">
        <f t="shared" si="14"/>
        <v>1</v>
      </c>
      <c r="X247" s="12">
        <f t="shared" si="16"/>
        <v>1</v>
      </c>
      <c r="Y247" s="12">
        <f t="shared" si="15"/>
        <v>1</v>
      </c>
    </row>
    <row r="248" spans="3:25" ht="15.7">
      <c r="D248" s="4267" t="str">
        <f>T('2 REPAIR ESTIMATOR'!D259:O259)</f>
        <v/>
      </c>
      <c r="E248" s="4268"/>
      <c r="F248" s="4268"/>
      <c r="G248" s="4268"/>
      <c r="H248" s="4268"/>
      <c r="I248" s="4268"/>
      <c r="J248" s="4268"/>
      <c r="K248" s="4268"/>
      <c r="L248" s="4269">
        <f>'2 REPAIR ESTIMATOR'!P259</f>
        <v>0</v>
      </c>
      <c r="M248" s="4269"/>
      <c r="N248" s="4270" t="str">
        <f>T('2 REPAIR ESTIMATOR'!S259)</f>
        <v/>
      </c>
      <c r="O248" s="4270"/>
      <c r="P248" s="4271"/>
      <c r="Q248" s="4271"/>
      <c r="R248" s="4271"/>
      <c r="S248" s="4271"/>
      <c r="T248" s="4271"/>
      <c r="U248" s="4271"/>
      <c r="V248" s="4272"/>
      <c r="W248" s="12">
        <f t="shared" si="14"/>
        <v>1</v>
      </c>
      <c r="X248" s="12">
        <f t="shared" si="16"/>
        <v>1</v>
      </c>
      <c r="Y248" s="12">
        <f t="shared" si="15"/>
        <v>1</v>
      </c>
    </row>
    <row r="249" spans="3:25" ht="15.7">
      <c r="D249" s="4267" t="str">
        <f>T('2 REPAIR ESTIMATOR'!D260:O260)</f>
        <v/>
      </c>
      <c r="E249" s="4268"/>
      <c r="F249" s="4268"/>
      <c r="G249" s="4268"/>
      <c r="H249" s="4268"/>
      <c r="I249" s="4268"/>
      <c r="J249" s="4268"/>
      <c r="K249" s="4268"/>
      <c r="L249" s="4269">
        <f>'2 REPAIR ESTIMATOR'!P260</f>
        <v>0</v>
      </c>
      <c r="M249" s="4269"/>
      <c r="N249" s="4270" t="str">
        <f>T('2 REPAIR ESTIMATOR'!S260)</f>
        <v/>
      </c>
      <c r="O249" s="4270"/>
      <c r="P249" s="4271"/>
      <c r="Q249" s="4271"/>
      <c r="R249" s="4271"/>
      <c r="S249" s="4271"/>
      <c r="T249" s="4271"/>
      <c r="U249" s="4271"/>
      <c r="V249" s="4272"/>
      <c r="W249" s="12">
        <f t="shared" si="14"/>
        <v>1</v>
      </c>
      <c r="X249" s="12">
        <f t="shared" si="16"/>
        <v>1</v>
      </c>
      <c r="Y249" s="12">
        <f t="shared" si="15"/>
        <v>1</v>
      </c>
    </row>
    <row r="250" spans="3:25" ht="15.7">
      <c r="D250" s="4267" t="str">
        <f>T('2 REPAIR ESTIMATOR'!D261:O261)</f>
        <v/>
      </c>
      <c r="E250" s="4268"/>
      <c r="F250" s="4268"/>
      <c r="G250" s="4268"/>
      <c r="H250" s="4268"/>
      <c r="I250" s="4268"/>
      <c r="J250" s="4268"/>
      <c r="K250" s="4268"/>
      <c r="L250" s="4269">
        <f>'2 REPAIR ESTIMATOR'!P261</f>
        <v>0</v>
      </c>
      <c r="M250" s="4269"/>
      <c r="N250" s="4270" t="str">
        <f>T('2 REPAIR ESTIMATOR'!S261)</f>
        <v/>
      </c>
      <c r="O250" s="4270"/>
      <c r="P250" s="4271"/>
      <c r="Q250" s="4271"/>
      <c r="R250" s="4271"/>
      <c r="S250" s="4271"/>
      <c r="T250" s="4271"/>
      <c r="U250" s="4271"/>
      <c r="V250" s="4272"/>
      <c r="W250" s="12">
        <f t="shared" si="14"/>
        <v>1</v>
      </c>
      <c r="X250" s="12">
        <f t="shared" si="16"/>
        <v>1</v>
      </c>
      <c r="Y250" s="12">
        <f t="shared" si="15"/>
        <v>1</v>
      </c>
    </row>
    <row r="251" spans="3:25" ht="15.7">
      <c r="D251" s="4267" t="str">
        <f>T('2 REPAIR ESTIMATOR'!D262:O262)</f>
        <v/>
      </c>
      <c r="E251" s="4268"/>
      <c r="F251" s="4268"/>
      <c r="G251" s="4268"/>
      <c r="H251" s="4268"/>
      <c r="I251" s="4268"/>
      <c r="J251" s="4268"/>
      <c r="K251" s="4268"/>
      <c r="L251" s="4269">
        <f>'2 REPAIR ESTIMATOR'!P262</f>
        <v>0</v>
      </c>
      <c r="M251" s="4269"/>
      <c r="N251" s="4270" t="str">
        <f>T('2 REPAIR ESTIMATOR'!S262)</f>
        <v/>
      </c>
      <c r="O251" s="4270"/>
      <c r="P251" s="4271"/>
      <c r="Q251" s="4271"/>
      <c r="R251" s="4271"/>
      <c r="S251" s="4271"/>
      <c r="T251" s="4271"/>
      <c r="U251" s="4271"/>
      <c r="V251" s="4272"/>
      <c r="W251" s="12">
        <f t="shared" si="14"/>
        <v>1</v>
      </c>
      <c r="X251" s="12">
        <f t="shared" si="16"/>
        <v>1</v>
      </c>
      <c r="Y251" s="12">
        <f t="shared" si="15"/>
        <v>1</v>
      </c>
    </row>
    <row r="252" spans="3:25" ht="15.7">
      <c r="C252" s="6"/>
      <c r="D252" s="723"/>
      <c r="E252" s="723"/>
      <c r="F252" s="723"/>
      <c r="G252" s="723"/>
      <c r="H252" s="723"/>
      <c r="I252" s="723"/>
      <c r="J252" s="723"/>
      <c r="K252" s="723"/>
      <c r="L252" s="724"/>
      <c r="M252" s="724"/>
      <c r="N252" s="725"/>
      <c r="O252" s="725"/>
      <c r="P252" s="724"/>
      <c r="Q252" s="445"/>
      <c r="R252" s="445"/>
      <c r="S252" s="725"/>
      <c r="T252" s="725"/>
      <c r="U252" s="725"/>
      <c r="V252" s="725"/>
      <c r="W252" s="12">
        <f>W253</f>
        <v>0</v>
      </c>
      <c r="X252" s="12">
        <f t="shared" si="16"/>
        <v>1</v>
      </c>
      <c r="Y252" s="12">
        <f t="shared" si="15"/>
        <v>0</v>
      </c>
    </row>
    <row r="253" spans="3:25" ht="16.7">
      <c r="C253" s="6"/>
      <c r="D253" s="4266" t="str">
        <f>UPPER(CONCATENATE("Miscellaneous ",D211," Items"))</f>
        <v>MISCELLANEOUS CONCRETE &amp; FLATWORK ITEMS</v>
      </c>
      <c r="E253" s="4266"/>
      <c r="F253" s="4266"/>
      <c r="G253" s="4266"/>
      <c r="H253" s="4266"/>
      <c r="I253" s="4266"/>
      <c r="J253" s="4266"/>
      <c r="K253" s="4266"/>
      <c r="L253" s="4266"/>
      <c r="M253" s="4266"/>
      <c r="N253" s="4266"/>
      <c r="O253" s="4266"/>
      <c r="P253" s="4266"/>
      <c r="Q253" s="4266"/>
      <c r="R253" s="4266"/>
      <c r="S253" s="4266"/>
      <c r="T253" s="4266"/>
      <c r="U253" s="4266"/>
      <c r="V253" s="4266"/>
      <c r="W253" s="12">
        <f>SUM(W254:W263)</f>
        <v>0</v>
      </c>
      <c r="X253" s="12">
        <f t="shared" si="16"/>
        <v>1</v>
      </c>
      <c r="Y253" s="12">
        <f t="shared" si="15"/>
        <v>0</v>
      </c>
    </row>
    <row r="254" spans="3:25" ht="15.7">
      <c r="C254" s="6"/>
      <c r="D254" s="712">
        <v>1</v>
      </c>
      <c r="E254" s="4263" t="s">
        <v>1427</v>
      </c>
      <c r="F254" s="4263" t="s">
        <v>1378</v>
      </c>
      <c r="G254" s="4263" t="s">
        <v>1378</v>
      </c>
      <c r="H254" s="4263" t="s">
        <v>1378</v>
      </c>
      <c r="I254" s="4263" t="s">
        <v>1378</v>
      </c>
      <c r="J254" s="4263" t="s">
        <v>1378</v>
      </c>
      <c r="K254" s="4263" t="s">
        <v>1378</v>
      </c>
      <c r="L254" s="4263" t="s">
        <v>1378</v>
      </c>
      <c r="M254" s="4263" t="s">
        <v>1378</v>
      </c>
      <c r="N254" s="4263" t="s">
        <v>1378</v>
      </c>
      <c r="O254" s="4263" t="s">
        <v>1378</v>
      </c>
      <c r="P254" s="4263" t="s">
        <v>1378</v>
      </c>
      <c r="Q254" s="4263" t="s">
        <v>1378</v>
      </c>
      <c r="R254" s="4263" t="s">
        <v>1378</v>
      </c>
      <c r="S254" s="4263" t="s">
        <v>1378</v>
      </c>
      <c r="T254" s="4263" t="s">
        <v>1378</v>
      </c>
      <c r="U254" s="4263" t="s">
        <v>1378</v>
      </c>
      <c r="V254" s="4263" t="s">
        <v>1378</v>
      </c>
      <c r="W254" s="12">
        <f>IF(E254&lt;&gt;"",1,0)*W211</f>
        <v>0</v>
      </c>
      <c r="X254" s="12">
        <f t="shared" si="16"/>
        <v>1</v>
      </c>
      <c r="Y254" s="12">
        <f t="shared" si="15"/>
        <v>0</v>
      </c>
    </row>
    <row r="255" spans="3:25" ht="15.7">
      <c r="C255" s="6"/>
      <c r="D255" s="712">
        <v>2</v>
      </c>
      <c r="E255" s="4263" t="s">
        <v>1307</v>
      </c>
      <c r="F255" s="4263" t="s">
        <v>1307</v>
      </c>
      <c r="G255" s="4263" t="s">
        <v>1307</v>
      </c>
      <c r="H255" s="4263" t="s">
        <v>1307</v>
      </c>
      <c r="I255" s="4263" t="s">
        <v>1307</v>
      </c>
      <c r="J255" s="4263" t="s">
        <v>1307</v>
      </c>
      <c r="K255" s="4263" t="s">
        <v>1307</v>
      </c>
      <c r="L255" s="4263" t="s">
        <v>1307</v>
      </c>
      <c r="M255" s="4263" t="s">
        <v>1307</v>
      </c>
      <c r="N255" s="4263" t="s">
        <v>1307</v>
      </c>
      <c r="O255" s="4263" t="s">
        <v>1307</v>
      </c>
      <c r="P255" s="4263" t="s">
        <v>1307</v>
      </c>
      <c r="Q255" s="4263" t="s">
        <v>1307</v>
      </c>
      <c r="R255" s="4263" t="s">
        <v>1307</v>
      </c>
      <c r="S255" s="4263" t="s">
        <v>1307</v>
      </c>
      <c r="T255" s="4263" t="s">
        <v>1307</v>
      </c>
      <c r="U255" s="4263" t="s">
        <v>1307</v>
      </c>
      <c r="V255" s="4263" t="s">
        <v>1307</v>
      </c>
      <c r="W255" s="12">
        <f>IF(E255&lt;&gt;"",1,0)*W211</f>
        <v>0</v>
      </c>
      <c r="X255" s="12">
        <f t="shared" si="16"/>
        <v>1</v>
      </c>
      <c r="Y255" s="12">
        <f t="shared" si="15"/>
        <v>0</v>
      </c>
    </row>
    <row r="256" spans="3:25" ht="15.7">
      <c r="C256" s="6"/>
      <c r="D256" s="712">
        <v>3</v>
      </c>
      <c r="E256" s="4263" t="s">
        <v>1379</v>
      </c>
      <c r="F256" s="4263" t="s">
        <v>1379</v>
      </c>
      <c r="G256" s="4263" t="s">
        <v>1379</v>
      </c>
      <c r="H256" s="4263" t="s">
        <v>1379</v>
      </c>
      <c r="I256" s="4263" t="s">
        <v>1379</v>
      </c>
      <c r="J256" s="4263" t="s">
        <v>1379</v>
      </c>
      <c r="K256" s="4263" t="s">
        <v>1379</v>
      </c>
      <c r="L256" s="4263" t="s">
        <v>1379</v>
      </c>
      <c r="M256" s="4263" t="s">
        <v>1379</v>
      </c>
      <c r="N256" s="4263" t="s">
        <v>1379</v>
      </c>
      <c r="O256" s="4263" t="s">
        <v>1379</v>
      </c>
      <c r="P256" s="4263" t="s">
        <v>1379</v>
      </c>
      <c r="Q256" s="4263" t="s">
        <v>1379</v>
      </c>
      <c r="R256" s="4263" t="s">
        <v>1379</v>
      </c>
      <c r="S256" s="4263" t="s">
        <v>1379</v>
      </c>
      <c r="T256" s="4263" t="s">
        <v>1379</v>
      </c>
      <c r="U256" s="4263" t="s">
        <v>1379</v>
      </c>
      <c r="V256" s="4263" t="s">
        <v>1379</v>
      </c>
      <c r="W256" s="12">
        <f>IF(E256&lt;&gt;"",1,0)*W211</f>
        <v>0</v>
      </c>
      <c r="X256" s="12">
        <f t="shared" si="16"/>
        <v>1</v>
      </c>
      <c r="Y256" s="12">
        <f t="shared" si="15"/>
        <v>0</v>
      </c>
    </row>
    <row r="257" spans="3:25" ht="15.7">
      <c r="C257" s="6"/>
      <c r="D257" s="712">
        <v>4</v>
      </c>
      <c r="E257" s="4263" t="s">
        <v>1429</v>
      </c>
      <c r="F257" s="4263"/>
      <c r="G257" s="4263"/>
      <c r="H257" s="4263"/>
      <c r="I257" s="4263"/>
      <c r="J257" s="4263"/>
      <c r="K257" s="4263"/>
      <c r="L257" s="4263"/>
      <c r="M257" s="4263"/>
      <c r="N257" s="4263"/>
      <c r="O257" s="4263"/>
      <c r="P257" s="4263"/>
      <c r="Q257" s="4263"/>
      <c r="R257" s="4263"/>
      <c r="S257" s="4263"/>
      <c r="T257" s="4263"/>
      <c r="U257" s="4263"/>
      <c r="V257" s="4263"/>
      <c r="W257" s="12">
        <f>IF(E257&lt;&gt;"",1,0)*W211</f>
        <v>0</v>
      </c>
      <c r="X257" s="12">
        <f t="shared" si="16"/>
        <v>1</v>
      </c>
      <c r="Y257" s="12">
        <f t="shared" si="15"/>
        <v>0</v>
      </c>
    </row>
    <row r="258" spans="3:25" ht="15.7">
      <c r="C258" s="6"/>
      <c r="D258" s="712">
        <v>5</v>
      </c>
      <c r="E258" s="4263" t="s">
        <v>1428</v>
      </c>
      <c r="F258" s="4263"/>
      <c r="G258" s="4263"/>
      <c r="H258" s="4263"/>
      <c r="I258" s="4263"/>
      <c r="J258" s="4263"/>
      <c r="K258" s="4263"/>
      <c r="L258" s="4263"/>
      <c r="M258" s="4263"/>
      <c r="N258" s="4263"/>
      <c r="O258" s="4263"/>
      <c r="P258" s="4263"/>
      <c r="Q258" s="4263"/>
      <c r="R258" s="4263"/>
      <c r="S258" s="4263"/>
      <c r="T258" s="4263"/>
      <c r="U258" s="4263"/>
      <c r="V258" s="4263"/>
      <c r="W258" s="12">
        <f>IF(E258&lt;&gt;"",1,0)*W211</f>
        <v>0</v>
      </c>
      <c r="X258" s="12">
        <f t="shared" si="16"/>
        <v>1</v>
      </c>
      <c r="Y258" s="12">
        <f t="shared" si="15"/>
        <v>0</v>
      </c>
    </row>
    <row r="259" spans="3:25" ht="15.7">
      <c r="C259" s="6"/>
      <c r="D259" s="712">
        <v>6</v>
      </c>
      <c r="E259" s="4263" t="s">
        <v>1430</v>
      </c>
      <c r="F259" s="4263" t="s">
        <v>1308</v>
      </c>
      <c r="G259" s="4263" t="s">
        <v>1308</v>
      </c>
      <c r="H259" s="4263" t="s">
        <v>1308</v>
      </c>
      <c r="I259" s="4263" t="s">
        <v>1308</v>
      </c>
      <c r="J259" s="4263" t="s">
        <v>1308</v>
      </c>
      <c r="K259" s="4263" t="s">
        <v>1308</v>
      </c>
      <c r="L259" s="4263" t="s">
        <v>1308</v>
      </c>
      <c r="M259" s="4263" t="s">
        <v>1308</v>
      </c>
      <c r="N259" s="4263" t="s">
        <v>1308</v>
      </c>
      <c r="O259" s="4263" t="s">
        <v>1308</v>
      </c>
      <c r="P259" s="4263" t="s">
        <v>1308</v>
      </c>
      <c r="Q259" s="4263" t="s">
        <v>1308</v>
      </c>
      <c r="R259" s="4263" t="s">
        <v>1308</v>
      </c>
      <c r="S259" s="4263" t="s">
        <v>1308</v>
      </c>
      <c r="T259" s="4263" t="s">
        <v>1308</v>
      </c>
      <c r="U259" s="4263" t="s">
        <v>1308</v>
      </c>
      <c r="V259" s="4263" t="s">
        <v>1308</v>
      </c>
      <c r="W259" s="12">
        <f>IF(E259&lt;&gt;"",1,0)*W211</f>
        <v>0</v>
      </c>
      <c r="X259" s="12">
        <f t="shared" si="16"/>
        <v>1</v>
      </c>
      <c r="Y259" s="12">
        <f t="shared" si="15"/>
        <v>0</v>
      </c>
    </row>
    <row r="260" spans="3:25" ht="15.7">
      <c r="C260" s="6"/>
      <c r="D260" s="712">
        <v>7</v>
      </c>
      <c r="E260" s="4263" t="s">
        <v>1309</v>
      </c>
      <c r="F260" s="4263" t="s">
        <v>1309</v>
      </c>
      <c r="G260" s="4263" t="s">
        <v>1309</v>
      </c>
      <c r="H260" s="4263" t="s">
        <v>1309</v>
      </c>
      <c r="I260" s="4263" t="s">
        <v>1309</v>
      </c>
      <c r="J260" s="4263" t="s">
        <v>1309</v>
      </c>
      <c r="K260" s="4263" t="s">
        <v>1309</v>
      </c>
      <c r="L260" s="4263" t="s">
        <v>1309</v>
      </c>
      <c r="M260" s="4263" t="s">
        <v>1309</v>
      </c>
      <c r="N260" s="4263" t="s">
        <v>1309</v>
      </c>
      <c r="O260" s="4263" t="s">
        <v>1309</v>
      </c>
      <c r="P260" s="4263" t="s">
        <v>1309</v>
      </c>
      <c r="Q260" s="4263" t="s">
        <v>1309</v>
      </c>
      <c r="R260" s="4263" t="s">
        <v>1309</v>
      </c>
      <c r="S260" s="4263" t="s">
        <v>1309</v>
      </c>
      <c r="T260" s="4263" t="s">
        <v>1309</v>
      </c>
      <c r="U260" s="4263" t="s">
        <v>1309</v>
      </c>
      <c r="V260" s="4263" t="s">
        <v>1309</v>
      </c>
      <c r="W260" s="12">
        <f>IF(E260&lt;&gt;"",1,0)*W211</f>
        <v>0</v>
      </c>
      <c r="X260" s="12">
        <f t="shared" si="16"/>
        <v>1</v>
      </c>
      <c r="Y260" s="12">
        <f t="shared" si="15"/>
        <v>0</v>
      </c>
    </row>
    <row r="261" spans="3:25" ht="15.7">
      <c r="C261" s="6"/>
      <c r="D261" s="712">
        <v>8</v>
      </c>
      <c r="E261" s="4263"/>
      <c r="F261" s="4263"/>
      <c r="G261" s="4263"/>
      <c r="H261" s="4263"/>
      <c r="I261" s="4263"/>
      <c r="J261" s="4263"/>
      <c r="K261" s="4263"/>
      <c r="L261" s="4263"/>
      <c r="M261" s="4263"/>
      <c r="N261" s="4263"/>
      <c r="O261" s="4263"/>
      <c r="P261" s="4263"/>
      <c r="Q261" s="4263"/>
      <c r="R261" s="4263"/>
      <c r="S261" s="4263"/>
      <c r="T261" s="4263"/>
      <c r="U261" s="4263"/>
      <c r="V261" s="4263"/>
      <c r="W261" s="12">
        <f>IF(E261&lt;&gt;"",1,0)*W211</f>
        <v>0</v>
      </c>
      <c r="X261" s="12">
        <f t="shared" si="16"/>
        <v>1</v>
      </c>
      <c r="Y261" s="12">
        <f t="shared" si="15"/>
        <v>0</v>
      </c>
    </row>
    <row r="262" spans="3:25" ht="15.7">
      <c r="C262" s="6"/>
      <c r="D262" s="712">
        <v>9</v>
      </c>
      <c r="E262" s="4263"/>
      <c r="F262" s="4263"/>
      <c r="G262" s="4263"/>
      <c r="H262" s="4263"/>
      <c r="I262" s="4263"/>
      <c r="J262" s="4263"/>
      <c r="K262" s="4263"/>
      <c r="L262" s="4263"/>
      <c r="M262" s="4263"/>
      <c r="N262" s="4263"/>
      <c r="O262" s="4263"/>
      <c r="P262" s="4263"/>
      <c r="Q262" s="4263"/>
      <c r="R262" s="4263"/>
      <c r="S262" s="4263"/>
      <c r="T262" s="4263"/>
      <c r="U262" s="4263"/>
      <c r="V262" s="4263"/>
      <c r="W262" s="12">
        <f>IF(E262&lt;&gt;"",1,0)*W211</f>
        <v>0</v>
      </c>
      <c r="X262" s="12">
        <f t="shared" si="16"/>
        <v>1</v>
      </c>
      <c r="Y262" s="12">
        <f t="shared" si="15"/>
        <v>0</v>
      </c>
    </row>
    <row r="263" spans="3:25" ht="15.7">
      <c r="C263" s="6"/>
      <c r="D263" s="712">
        <v>10</v>
      </c>
      <c r="E263" s="4263"/>
      <c r="F263" s="4263"/>
      <c r="G263" s="4263"/>
      <c r="H263" s="4263"/>
      <c r="I263" s="4263"/>
      <c r="J263" s="4263"/>
      <c r="K263" s="4263"/>
      <c r="L263" s="4263"/>
      <c r="M263" s="4263"/>
      <c r="N263" s="4263"/>
      <c r="O263" s="4263"/>
      <c r="P263" s="4263"/>
      <c r="Q263" s="4263"/>
      <c r="R263" s="4263"/>
      <c r="S263" s="4263"/>
      <c r="T263" s="4263"/>
      <c r="U263" s="4263"/>
      <c r="V263" s="4263"/>
      <c r="W263" s="12">
        <f>IF(E263&lt;&gt;"",1,0)*W211</f>
        <v>0</v>
      </c>
      <c r="X263" s="12">
        <f t="shared" si="16"/>
        <v>1</v>
      </c>
      <c r="Y263" s="12">
        <f t="shared" si="15"/>
        <v>0</v>
      </c>
    </row>
    <row r="264" spans="3:25" ht="15.7">
      <c r="C264" s="6"/>
      <c r="D264" s="723"/>
      <c r="E264" s="723"/>
      <c r="F264" s="723"/>
      <c r="G264" s="723"/>
      <c r="H264" s="723"/>
      <c r="I264" s="723"/>
      <c r="J264" s="723"/>
      <c r="K264" s="723"/>
      <c r="L264" s="724"/>
      <c r="M264" s="724"/>
      <c r="N264" s="725"/>
      <c r="O264" s="725"/>
      <c r="P264" s="724"/>
      <c r="Q264" s="445"/>
      <c r="R264" s="445"/>
      <c r="S264" s="726"/>
      <c r="T264" s="726"/>
      <c r="U264" s="726"/>
      <c r="V264" s="726"/>
      <c r="W264" s="12">
        <f>W211</f>
        <v>0</v>
      </c>
      <c r="X264" s="12">
        <f t="shared" si="16"/>
        <v>1</v>
      </c>
      <c r="Y264" s="12">
        <f t="shared" si="15"/>
        <v>0</v>
      </c>
    </row>
    <row r="265" spans="3:25" ht="40.5" customHeight="1">
      <c r="C265" s="6"/>
      <c r="D265" s="4264" t="str">
        <f>UPPER(CONCATENATE("TOTAL ",D211))</f>
        <v>TOTAL CONCRETE &amp; FLATWORK</v>
      </c>
      <c r="E265" s="4264"/>
      <c r="F265" s="4264"/>
      <c r="G265" s="4264"/>
      <c r="H265" s="4264"/>
      <c r="I265" s="4264"/>
      <c r="J265" s="4264"/>
      <c r="K265" s="4264"/>
      <c r="L265" s="4264"/>
      <c r="M265" s="4264"/>
      <c r="N265" s="4264"/>
      <c r="O265" s="4264"/>
      <c r="P265" s="4264"/>
      <c r="Q265" s="4265"/>
      <c r="R265" s="4265"/>
      <c r="S265" s="4265"/>
      <c r="T265" s="4265"/>
      <c r="U265" s="4265"/>
      <c r="V265" s="4265"/>
      <c r="W265" s="12">
        <f>W211</f>
        <v>0</v>
      </c>
      <c r="X265" s="12">
        <f t="shared" si="16"/>
        <v>1</v>
      </c>
      <c r="Y265" s="12">
        <f t="shared" si="15"/>
        <v>0</v>
      </c>
    </row>
    <row r="266" spans="3:25" ht="15.7">
      <c r="D266" s="723"/>
      <c r="E266" s="723"/>
      <c r="F266" s="723"/>
      <c r="G266" s="723"/>
      <c r="H266" s="723"/>
      <c r="I266" s="723"/>
      <c r="J266" s="723"/>
      <c r="K266" s="723"/>
      <c r="L266" s="724"/>
      <c r="M266" s="724"/>
      <c r="N266" s="725"/>
      <c r="O266" s="725"/>
      <c r="P266" s="724"/>
      <c r="Q266" s="445"/>
      <c r="R266" s="445"/>
      <c r="S266" s="726"/>
      <c r="T266" s="726"/>
      <c r="U266" s="726"/>
      <c r="V266" s="726"/>
      <c r="W266" s="12">
        <f>W211</f>
        <v>0</v>
      </c>
      <c r="X266" s="12">
        <f t="shared" si="16"/>
        <v>1</v>
      </c>
      <c r="Y266" s="12">
        <f t="shared" si="15"/>
        <v>0</v>
      </c>
    </row>
    <row r="267" spans="3:25" ht="26.45" customHeight="1">
      <c r="D267" s="4289" t="str">
        <f>T('2 REPAIR ESTIMATOR'!D267:O267)</f>
        <v>MASONRY</v>
      </c>
      <c r="E267" s="4289"/>
      <c r="F267" s="4289"/>
      <c r="G267" s="4289"/>
      <c r="H267" s="4289"/>
      <c r="I267" s="4289"/>
      <c r="J267" s="4289"/>
      <c r="K267" s="4290"/>
      <c r="L267" s="4277">
        <f>SUM(L268:M307)</f>
        <v>0</v>
      </c>
      <c r="M267" s="4278"/>
      <c r="N267" s="4279"/>
      <c r="O267" s="4280"/>
      <c r="P267" s="4277"/>
      <c r="Q267" s="4281"/>
      <c r="R267" s="4281"/>
      <c r="S267" s="4281"/>
      <c r="T267" s="4281"/>
      <c r="U267" s="4281"/>
      <c r="V267" s="4281"/>
      <c r="W267" s="12">
        <f>IF(L267&gt;0,1,0)</f>
        <v>0</v>
      </c>
      <c r="X267" s="12">
        <f t="shared" ref="X267:X298" si="17">IF(Scope5_Setting="Shown",1,0)</f>
        <v>1</v>
      </c>
      <c r="Y267" s="12">
        <f t="shared" si="15"/>
        <v>0</v>
      </c>
    </row>
    <row r="268" spans="3:25" ht="15.7">
      <c r="D268" s="4267" t="str">
        <f>T('2 REPAIR ESTIMATOR'!D268:O268)</f>
        <v>Masonry bid/allowance</v>
      </c>
      <c r="E268" s="4268"/>
      <c r="F268" s="4268"/>
      <c r="G268" s="4268"/>
      <c r="H268" s="4268"/>
      <c r="I268" s="4268"/>
      <c r="J268" s="4268"/>
      <c r="K268" s="4268"/>
      <c r="L268" s="4291">
        <f>'2 REPAIR ESTIMATOR'!P268</f>
        <v>0</v>
      </c>
      <c r="M268" s="4291"/>
      <c r="N268" s="4292" t="str">
        <f>T('2 REPAIR ESTIMATOR'!S268)</f>
        <v>ls</v>
      </c>
      <c r="O268" s="4292"/>
      <c r="P268" s="4273"/>
      <c r="Q268" s="4273"/>
      <c r="R268" s="4273"/>
      <c r="S268" s="4273"/>
      <c r="T268" s="4273"/>
      <c r="U268" s="4273"/>
      <c r="V268" s="4274"/>
      <c r="W268" s="12">
        <f>IF(L268="",0,1)</f>
        <v>1</v>
      </c>
      <c r="X268" s="12">
        <f t="shared" si="17"/>
        <v>1</v>
      </c>
      <c r="Y268" s="12">
        <f t="shared" si="15"/>
        <v>1</v>
      </c>
    </row>
    <row r="269" spans="3:25" ht="15.7">
      <c r="D269" s="4267" t="str">
        <f>T('2 REPAIR ESTIMATOR'!D269:O269)</f>
        <v>CMU, 4x8</v>
      </c>
      <c r="E269" s="4268"/>
      <c r="F269" s="4268"/>
      <c r="G269" s="4268"/>
      <c r="H269" s="4268"/>
      <c r="I269" s="4268"/>
      <c r="J269" s="4268"/>
      <c r="K269" s="4268"/>
      <c r="L269" s="4269">
        <f>'2 REPAIR ESTIMATOR'!P269</f>
        <v>0</v>
      </c>
      <c r="M269" s="4269"/>
      <c r="N269" s="4270" t="str">
        <f>T('2 REPAIR ESTIMATOR'!S269)</f>
        <v>sf</v>
      </c>
      <c r="O269" s="4270"/>
      <c r="P269" s="4271"/>
      <c r="Q269" s="4271"/>
      <c r="R269" s="4271"/>
      <c r="S269" s="4271"/>
      <c r="T269" s="4271"/>
      <c r="U269" s="4271"/>
      <c r="V269" s="4272"/>
      <c r="W269" s="12">
        <f t="shared" ref="W269:W307" si="18">IF(L269="",0,1)</f>
        <v>1</v>
      </c>
      <c r="X269" s="12">
        <f t="shared" si="17"/>
        <v>1</v>
      </c>
      <c r="Y269" s="12">
        <f t="shared" si="15"/>
        <v>1</v>
      </c>
    </row>
    <row r="270" spans="3:25" ht="15.7">
      <c r="D270" s="4267" t="str">
        <f>T('2 REPAIR ESTIMATOR'!D270:O270)</f>
        <v>CMU, 8x8</v>
      </c>
      <c r="E270" s="4268"/>
      <c r="F270" s="4268"/>
      <c r="G270" s="4268"/>
      <c r="H270" s="4268"/>
      <c r="I270" s="4268"/>
      <c r="J270" s="4268"/>
      <c r="K270" s="4268"/>
      <c r="L270" s="4269">
        <f>'2 REPAIR ESTIMATOR'!P270</f>
        <v>0</v>
      </c>
      <c r="M270" s="4269"/>
      <c r="N270" s="4270" t="str">
        <f>T('2 REPAIR ESTIMATOR'!S270)</f>
        <v>sf</v>
      </c>
      <c r="O270" s="4270"/>
      <c r="P270" s="4271"/>
      <c r="Q270" s="4271"/>
      <c r="R270" s="4271"/>
      <c r="S270" s="4271"/>
      <c r="T270" s="4271"/>
      <c r="U270" s="4271"/>
      <c r="V270" s="4272"/>
      <c r="W270" s="12">
        <f t="shared" si="18"/>
        <v>1</v>
      </c>
      <c r="X270" s="12">
        <f t="shared" si="17"/>
        <v>1</v>
      </c>
      <c r="Y270" s="12">
        <f t="shared" si="15"/>
        <v>1</v>
      </c>
    </row>
    <row r="271" spans="3:25" ht="15.7">
      <c r="D271" s="4267" t="str">
        <f>T('2 REPAIR ESTIMATOR'!D271:O271)</f>
        <v>Brick veneer</v>
      </c>
      <c r="E271" s="4268"/>
      <c r="F271" s="4268"/>
      <c r="G271" s="4268"/>
      <c r="H271" s="4268"/>
      <c r="I271" s="4268"/>
      <c r="J271" s="4268"/>
      <c r="K271" s="4268"/>
      <c r="L271" s="4269">
        <f>'2 REPAIR ESTIMATOR'!P271</f>
        <v>0</v>
      </c>
      <c r="M271" s="4269"/>
      <c r="N271" s="4270" t="str">
        <f>T('2 REPAIR ESTIMATOR'!S271)</f>
        <v>sf</v>
      </c>
      <c r="O271" s="4270"/>
      <c r="P271" s="4271"/>
      <c r="Q271" s="4271"/>
      <c r="R271" s="4271"/>
      <c r="S271" s="4271"/>
      <c r="T271" s="4271"/>
      <c r="U271" s="4271"/>
      <c r="V271" s="4272"/>
      <c r="W271" s="12">
        <f t="shared" si="18"/>
        <v>1</v>
      </c>
      <c r="X271" s="12">
        <f t="shared" si="17"/>
        <v>1</v>
      </c>
      <c r="Y271" s="12">
        <f t="shared" si="15"/>
        <v>1</v>
      </c>
    </row>
    <row r="272" spans="3:25" ht="15.7">
      <c r="D272" s="4267" t="str">
        <f>T('2 REPAIR ESTIMATOR'!D272:O272)</f>
        <v>Natural stone</v>
      </c>
      <c r="E272" s="4268"/>
      <c r="F272" s="4268"/>
      <c r="G272" s="4268"/>
      <c r="H272" s="4268"/>
      <c r="I272" s="4268"/>
      <c r="J272" s="4268"/>
      <c r="K272" s="4268"/>
      <c r="L272" s="4269">
        <f>'2 REPAIR ESTIMATOR'!P272</f>
        <v>0</v>
      </c>
      <c r="M272" s="4269"/>
      <c r="N272" s="4270" t="str">
        <f>T('2 REPAIR ESTIMATOR'!S272)</f>
        <v>sf</v>
      </c>
      <c r="O272" s="4270"/>
      <c r="P272" s="4271"/>
      <c r="Q272" s="4271"/>
      <c r="R272" s="4271"/>
      <c r="S272" s="4271"/>
      <c r="T272" s="4271"/>
      <c r="U272" s="4271"/>
      <c r="V272" s="4272"/>
      <c r="W272" s="12">
        <f t="shared" si="18"/>
        <v>1</v>
      </c>
      <c r="X272" s="12">
        <f t="shared" si="17"/>
        <v>1</v>
      </c>
      <c r="Y272" s="12">
        <f t="shared" si="15"/>
        <v>1</v>
      </c>
    </row>
    <row r="273" spans="4:25" ht="15.7">
      <c r="D273" s="4267" t="str">
        <f>T('2 REPAIR ESTIMATOR'!D273:O273)</f>
        <v>Masonry waterproofing</v>
      </c>
      <c r="E273" s="4268"/>
      <c r="F273" s="4268"/>
      <c r="G273" s="4268"/>
      <c r="H273" s="4268"/>
      <c r="I273" s="4268"/>
      <c r="J273" s="4268"/>
      <c r="K273" s="4268"/>
      <c r="L273" s="4269">
        <f>'2 REPAIR ESTIMATOR'!P273</f>
        <v>0</v>
      </c>
      <c r="M273" s="4269"/>
      <c r="N273" s="4270" t="str">
        <f>T('2 REPAIR ESTIMATOR'!S273)</f>
        <v>sf</v>
      </c>
      <c r="O273" s="4270"/>
      <c r="P273" s="4271"/>
      <c r="Q273" s="4271"/>
      <c r="R273" s="4271"/>
      <c r="S273" s="4271"/>
      <c r="T273" s="4271"/>
      <c r="U273" s="4271"/>
      <c r="V273" s="4272"/>
      <c r="W273" s="12">
        <f t="shared" si="18"/>
        <v>1</v>
      </c>
      <c r="X273" s="12">
        <f t="shared" si="17"/>
        <v>1</v>
      </c>
      <c r="Y273" s="12">
        <f t="shared" si="15"/>
        <v>1</v>
      </c>
    </row>
    <row r="274" spans="4:25" ht="15.7">
      <c r="D274" s="4267" t="str">
        <f>T('2 REPAIR ESTIMATOR'!D274:O274)</f>
        <v>Tuck-point masonry</v>
      </c>
      <c r="E274" s="4268"/>
      <c r="F274" s="4268"/>
      <c r="G274" s="4268"/>
      <c r="H274" s="4268"/>
      <c r="I274" s="4268"/>
      <c r="J274" s="4268"/>
      <c r="K274" s="4268"/>
      <c r="L274" s="4269">
        <f>'2 REPAIR ESTIMATOR'!P274</f>
        <v>0</v>
      </c>
      <c r="M274" s="4269"/>
      <c r="N274" s="4270" t="str">
        <f>T('2 REPAIR ESTIMATOR'!S274)</f>
        <v>sf</v>
      </c>
      <c r="O274" s="4270"/>
      <c r="P274" s="4271"/>
      <c r="Q274" s="4271"/>
      <c r="R274" s="4271"/>
      <c r="S274" s="4271"/>
      <c r="T274" s="4271"/>
      <c r="U274" s="4271"/>
      <c r="V274" s="4272"/>
      <c r="W274" s="12">
        <f t="shared" si="18"/>
        <v>1</v>
      </c>
      <c r="X274" s="12">
        <f t="shared" si="17"/>
        <v>1</v>
      </c>
      <c r="Y274" s="12">
        <f t="shared" si="15"/>
        <v>1</v>
      </c>
    </row>
    <row r="275" spans="4:25" ht="15.7">
      <c r="D275" s="4267" t="str">
        <f>T('2 REPAIR ESTIMATOR'!D275:O275)</f>
        <v>Power wash masonry</v>
      </c>
      <c r="E275" s="4268"/>
      <c r="F275" s="4268"/>
      <c r="G275" s="4268"/>
      <c r="H275" s="4268"/>
      <c r="I275" s="4268"/>
      <c r="J275" s="4268"/>
      <c r="K275" s="4268"/>
      <c r="L275" s="4269">
        <f>'2 REPAIR ESTIMATOR'!P275</f>
        <v>0</v>
      </c>
      <c r="M275" s="4269"/>
      <c r="N275" s="4270" t="str">
        <f>T('2 REPAIR ESTIMATOR'!S275)</f>
        <v>sf</v>
      </c>
      <c r="O275" s="4270"/>
      <c r="P275" s="4271"/>
      <c r="Q275" s="4271"/>
      <c r="R275" s="4271"/>
      <c r="S275" s="4271"/>
      <c r="T275" s="4271"/>
      <c r="U275" s="4271"/>
      <c r="V275" s="4272"/>
      <c r="W275" s="12">
        <f t="shared" si="18"/>
        <v>1</v>
      </c>
      <c r="X275" s="12">
        <f t="shared" si="17"/>
        <v>1</v>
      </c>
      <c r="Y275" s="12">
        <f t="shared" si="15"/>
        <v>1</v>
      </c>
    </row>
    <row r="276" spans="4:25" ht="15.7">
      <c r="D276" s="4267" t="str">
        <f>T('2 REPAIR ESTIMATOR'!D276:O276)</f>
        <v xml:space="preserve">Chimney, brick </v>
      </c>
      <c r="E276" s="4268"/>
      <c r="F276" s="4268"/>
      <c r="G276" s="4268"/>
      <c r="H276" s="4268"/>
      <c r="I276" s="4268"/>
      <c r="J276" s="4268"/>
      <c r="K276" s="4268"/>
      <c r="L276" s="4269">
        <f>'2 REPAIR ESTIMATOR'!P276</f>
        <v>0</v>
      </c>
      <c r="M276" s="4269"/>
      <c r="N276" s="4270" t="str">
        <f>T('2 REPAIR ESTIMATOR'!S276)</f>
        <v>vlf</v>
      </c>
      <c r="O276" s="4270"/>
      <c r="P276" s="4271"/>
      <c r="Q276" s="4271"/>
      <c r="R276" s="4271"/>
      <c r="S276" s="4271"/>
      <c r="T276" s="4271"/>
      <c r="U276" s="4271"/>
      <c r="V276" s="4272"/>
      <c r="W276" s="12">
        <f t="shared" si="18"/>
        <v>1</v>
      </c>
      <c r="X276" s="12">
        <f t="shared" si="17"/>
        <v>1</v>
      </c>
      <c r="Y276" s="12">
        <f t="shared" si="15"/>
        <v>1</v>
      </c>
    </row>
    <row r="277" spans="4:25" ht="15.7">
      <c r="D277" s="4267" t="str">
        <f>T('2 REPAIR ESTIMATOR'!D277:O277)</f>
        <v>Chimney, stone</v>
      </c>
      <c r="E277" s="4268"/>
      <c r="F277" s="4268"/>
      <c r="G277" s="4268"/>
      <c r="H277" s="4268"/>
      <c r="I277" s="4268"/>
      <c r="J277" s="4268"/>
      <c r="K277" s="4268"/>
      <c r="L277" s="4269">
        <f>'2 REPAIR ESTIMATOR'!P277</f>
        <v>0</v>
      </c>
      <c r="M277" s="4269"/>
      <c r="N277" s="4270" t="str">
        <f>T('2 REPAIR ESTIMATOR'!S277)</f>
        <v>vlf</v>
      </c>
      <c r="O277" s="4270"/>
      <c r="P277" s="4271"/>
      <c r="Q277" s="4271"/>
      <c r="R277" s="4271"/>
      <c r="S277" s="4271"/>
      <c r="T277" s="4271"/>
      <c r="U277" s="4271"/>
      <c r="V277" s="4272"/>
      <c r="W277" s="12">
        <f t="shared" si="18"/>
        <v>1</v>
      </c>
      <c r="X277" s="12">
        <f t="shared" si="17"/>
        <v>1</v>
      </c>
      <c r="Y277" s="12">
        <f t="shared" si="15"/>
        <v>1</v>
      </c>
    </row>
    <row r="278" spans="4:25" ht="15.7">
      <c r="D278" s="4267" t="str">
        <f>T('2 REPAIR ESTIMATOR'!D278:O278)</f>
        <v>Add to above for chimney cap</v>
      </c>
      <c r="E278" s="4268"/>
      <c r="F278" s="4268"/>
      <c r="G278" s="4268"/>
      <c r="H278" s="4268"/>
      <c r="I278" s="4268"/>
      <c r="J278" s="4268"/>
      <c r="K278" s="4268"/>
      <c r="L278" s="4269">
        <f>'2 REPAIR ESTIMATOR'!P278</f>
        <v>0</v>
      </c>
      <c r="M278" s="4269"/>
      <c r="N278" s="4270" t="str">
        <f>T('2 REPAIR ESTIMATOR'!S278)</f>
        <v>ea</v>
      </c>
      <c r="O278" s="4270"/>
      <c r="P278" s="4271"/>
      <c r="Q278" s="4271"/>
      <c r="R278" s="4271"/>
      <c r="S278" s="4271"/>
      <c r="T278" s="4271"/>
      <c r="U278" s="4271"/>
      <c r="V278" s="4272"/>
      <c r="W278" s="12">
        <f t="shared" si="18"/>
        <v>1</v>
      </c>
      <c r="X278" s="12">
        <f t="shared" si="17"/>
        <v>1</v>
      </c>
      <c r="Y278" s="12">
        <f t="shared" si="15"/>
        <v>1</v>
      </c>
    </row>
    <row r="279" spans="4:25" ht="15.7">
      <c r="D279" s="4267" t="str">
        <f>T('2 REPAIR ESTIMATOR'!D279:O279)</f>
        <v>Fireplace complete, brick, 3ft-4ft wide w/ chimney</v>
      </c>
      <c r="E279" s="4268"/>
      <c r="F279" s="4268"/>
      <c r="G279" s="4268"/>
      <c r="H279" s="4268"/>
      <c r="I279" s="4268"/>
      <c r="J279" s="4268"/>
      <c r="K279" s="4268"/>
      <c r="L279" s="4269">
        <f>'2 REPAIR ESTIMATOR'!P279</f>
        <v>0</v>
      </c>
      <c r="M279" s="4269"/>
      <c r="N279" s="4270" t="str">
        <f>T('2 REPAIR ESTIMATOR'!S279)</f>
        <v>ea</v>
      </c>
      <c r="O279" s="4270"/>
      <c r="P279" s="4271"/>
      <c r="Q279" s="4271"/>
      <c r="R279" s="4271"/>
      <c r="S279" s="4271"/>
      <c r="T279" s="4271"/>
      <c r="U279" s="4271"/>
      <c r="V279" s="4272"/>
      <c r="W279" s="12">
        <f t="shared" si="18"/>
        <v>1</v>
      </c>
      <c r="X279" s="12">
        <f t="shared" si="17"/>
        <v>1</v>
      </c>
      <c r="Y279" s="12">
        <f t="shared" si="15"/>
        <v>1</v>
      </c>
    </row>
    <row r="280" spans="4:25" ht="15.7">
      <c r="D280" s="4267" t="str">
        <f>T('2 REPAIR ESTIMATOR'!D280:O280)</f>
        <v/>
      </c>
      <c r="E280" s="4268"/>
      <c r="F280" s="4268"/>
      <c r="G280" s="4268"/>
      <c r="H280" s="4268"/>
      <c r="I280" s="4268"/>
      <c r="J280" s="4268"/>
      <c r="K280" s="4268"/>
      <c r="L280" s="4269">
        <f>'2 REPAIR ESTIMATOR'!P280</f>
        <v>0</v>
      </c>
      <c r="M280" s="4269"/>
      <c r="N280" s="4270" t="str">
        <f>T('2 REPAIR ESTIMATOR'!S280)</f>
        <v/>
      </c>
      <c r="O280" s="4270"/>
      <c r="P280" s="4271"/>
      <c r="Q280" s="4271"/>
      <c r="R280" s="4271"/>
      <c r="S280" s="4271"/>
      <c r="T280" s="4271"/>
      <c r="U280" s="4271"/>
      <c r="V280" s="4272"/>
      <c r="W280" s="12">
        <f t="shared" si="18"/>
        <v>1</v>
      </c>
      <c r="X280" s="12">
        <f t="shared" si="17"/>
        <v>1</v>
      </c>
      <c r="Y280" s="12">
        <f t="shared" si="15"/>
        <v>1</v>
      </c>
    </row>
    <row r="281" spans="4:25" ht="15.7">
      <c r="D281" s="4267" t="str">
        <f>T('2 REPAIR ESTIMATOR'!D281:O281)</f>
        <v/>
      </c>
      <c r="E281" s="4268"/>
      <c r="F281" s="4268"/>
      <c r="G281" s="4268"/>
      <c r="H281" s="4268"/>
      <c r="I281" s="4268"/>
      <c r="J281" s="4268"/>
      <c r="K281" s="4268"/>
      <c r="L281" s="4269">
        <f>'2 REPAIR ESTIMATOR'!P281</f>
        <v>0</v>
      </c>
      <c r="M281" s="4269"/>
      <c r="N281" s="4270" t="str">
        <f>T('2 REPAIR ESTIMATOR'!S281)</f>
        <v/>
      </c>
      <c r="O281" s="4270"/>
      <c r="P281" s="4271"/>
      <c r="Q281" s="4271"/>
      <c r="R281" s="4271"/>
      <c r="S281" s="4271"/>
      <c r="T281" s="4271"/>
      <c r="U281" s="4271"/>
      <c r="V281" s="4272"/>
      <c r="W281" s="12">
        <f t="shared" si="18"/>
        <v>1</v>
      </c>
      <c r="X281" s="12">
        <f t="shared" si="17"/>
        <v>1</v>
      </c>
      <c r="Y281" s="12">
        <f t="shared" si="15"/>
        <v>1</v>
      </c>
    </row>
    <row r="282" spans="4:25" ht="15.7">
      <c r="D282" s="4267" t="str">
        <f>T('2 REPAIR ESTIMATOR'!D282:O282)</f>
        <v/>
      </c>
      <c r="E282" s="4268"/>
      <c r="F282" s="4268"/>
      <c r="G282" s="4268"/>
      <c r="H282" s="4268"/>
      <c r="I282" s="4268"/>
      <c r="J282" s="4268"/>
      <c r="K282" s="4268"/>
      <c r="L282" s="4269">
        <f>'2 REPAIR ESTIMATOR'!P282</f>
        <v>0</v>
      </c>
      <c r="M282" s="4269"/>
      <c r="N282" s="4270" t="str">
        <f>T('2 REPAIR ESTIMATOR'!S282)</f>
        <v/>
      </c>
      <c r="O282" s="4270"/>
      <c r="P282" s="4271"/>
      <c r="Q282" s="4271"/>
      <c r="R282" s="4271"/>
      <c r="S282" s="4271"/>
      <c r="T282" s="4271"/>
      <c r="U282" s="4271"/>
      <c r="V282" s="4272"/>
      <c r="W282" s="12">
        <f t="shared" si="18"/>
        <v>1</v>
      </c>
      <c r="X282" s="12">
        <f t="shared" si="17"/>
        <v>1</v>
      </c>
      <c r="Y282" s="12">
        <f t="shared" si="15"/>
        <v>1</v>
      </c>
    </row>
    <row r="283" spans="4:25" ht="15.7">
      <c r="D283" s="4267" t="str">
        <f>T('2 REPAIR ESTIMATOR'!D283:O283)</f>
        <v/>
      </c>
      <c r="E283" s="4268"/>
      <c r="F283" s="4268"/>
      <c r="G283" s="4268"/>
      <c r="H283" s="4268"/>
      <c r="I283" s="4268"/>
      <c r="J283" s="4268"/>
      <c r="K283" s="4268"/>
      <c r="L283" s="4269">
        <f>'2 REPAIR ESTIMATOR'!P283</f>
        <v>0</v>
      </c>
      <c r="M283" s="4269"/>
      <c r="N283" s="4270" t="str">
        <f>T('2 REPAIR ESTIMATOR'!S283)</f>
        <v/>
      </c>
      <c r="O283" s="4270"/>
      <c r="P283" s="4271"/>
      <c r="Q283" s="4271"/>
      <c r="R283" s="4271"/>
      <c r="S283" s="4271"/>
      <c r="T283" s="4271"/>
      <c r="U283" s="4271"/>
      <c r="V283" s="4272"/>
      <c r="W283" s="12">
        <f t="shared" si="18"/>
        <v>1</v>
      </c>
      <c r="X283" s="12">
        <f t="shared" si="17"/>
        <v>1</v>
      </c>
      <c r="Y283" s="12">
        <f t="shared" si="15"/>
        <v>1</v>
      </c>
    </row>
    <row r="284" spans="4:25" ht="15.7">
      <c r="D284" s="4267" t="str">
        <f>T('2 REPAIR ESTIMATOR'!D284:O284)</f>
        <v/>
      </c>
      <c r="E284" s="4268"/>
      <c r="F284" s="4268"/>
      <c r="G284" s="4268"/>
      <c r="H284" s="4268"/>
      <c r="I284" s="4268"/>
      <c r="J284" s="4268"/>
      <c r="K284" s="4268"/>
      <c r="L284" s="4269">
        <f>'2 REPAIR ESTIMATOR'!P284</f>
        <v>0</v>
      </c>
      <c r="M284" s="4269"/>
      <c r="N284" s="4270" t="str">
        <f>T('2 REPAIR ESTIMATOR'!S284)</f>
        <v/>
      </c>
      <c r="O284" s="4270"/>
      <c r="P284" s="4271"/>
      <c r="Q284" s="4271"/>
      <c r="R284" s="4271"/>
      <c r="S284" s="4271"/>
      <c r="T284" s="4271"/>
      <c r="U284" s="4271"/>
      <c r="V284" s="4272"/>
      <c r="W284" s="12">
        <f t="shared" si="18"/>
        <v>1</v>
      </c>
      <c r="X284" s="12">
        <f t="shared" si="17"/>
        <v>1</v>
      </c>
      <c r="Y284" s="12">
        <f t="shared" si="15"/>
        <v>1</v>
      </c>
    </row>
    <row r="285" spans="4:25" ht="15.7">
      <c r="D285" s="4267" t="str">
        <f>T('2 REPAIR ESTIMATOR'!D285:O285)</f>
        <v/>
      </c>
      <c r="E285" s="4268"/>
      <c r="F285" s="4268"/>
      <c r="G285" s="4268"/>
      <c r="H285" s="4268"/>
      <c r="I285" s="4268"/>
      <c r="J285" s="4268"/>
      <c r="K285" s="4268"/>
      <c r="L285" s="4269">
        <f>'2 REPAIR ESTIMATOR'!P285</f>
        <v>0</v>
      </c>
      <c r="M285" s="4269"/>
      <c r="N285" s="4270" t="str">
        <f>T('2 REPAIR ESTIMATOR'!S285)</f>
        <v/>
      </c>
      <c r="O285" s="4270"/>
      <c r="P285" s="4271"/>
      <c r="Q285" s="4271"/>
      <c r="R285" s="4271"/>
      <c r="S285" s="4271"/>
      <c r="T285" s="4271"/>
      <c r="U285" s="4271"/>
      <c r="V285" s="4272"/>
      <c r="W285" s="12">
        <f t="shared" si="18"/>
        <v>1</v>
      </c>
      <c r="X285" s="12">
        <f t="shared" si="17"/>
        <v>1</v>
      </c>
      <c r="Y285" s="12">
        <f t="shared" si="15"/>
        <v>1</v>
      </c>
    </row>
    <row r="286" spans="4:25" ht="15.7">
      <c r="D286" s="4267" t="str">
        <f>T('2 REPAIR ESTIMATOR'!D286:O286)</f>
        <v/>
      </c>
      <c r="E286" s="4268"/>
      <c r="F286" s="4268"/>
      <c r="G286" s="4268"/>
      <c r="H286" s="4268"/>
      <c r="I286" s="4268"/>
      <c r="J286" s="4268"/>
      <c r="K286" s="4268"/>
      <c r="L286" s="4269">
        <f>'2 REPAIR ESTIMATOR'!P286</f>
        <v>0</v>
      </c>
      <c r="M286" s="4269"/>
      <c r="N286" s="4270" t="str">
        <f>T('2 REPAIR ESTIMATOR'!S286)</f>
        <v/>
      </c>
      <c r="O286" s="4270"/>
      <c r="P286" s="4271"/>
      <c r="Q286" s="4271"/>
      <c r="R286" s="4271"/>
      <c r="S286" s="4271"/>
      <c r="T286" s="4271"/>
      <c r="U286" s="4271"/>
      <c r="V286" s="4272"/>
      <c r="W286" s="12">
        <f t="shared" si="18"/>
        <v>1</v>
      </c>
      <c r="X286" s="12">
        <f t="shared" si="17"/>
        <v>1</v>
      </c>
      <c r="Y286" s="12">
        <f t="shared" si="15"/>
        <v>1</v>
      </c>
    </row>
    <row r="287" spans="4:25" ht="15.7">
      <c r="D287" s="4267" t="str">
        <f>T('2 REPAIR ESTIMATOR'!D287:O287)</f>
        <v/>
      </c>
      <c r="E287" s="4268"/>
      <c r="F287" s="4268"/>
      <c r="G287" s="4268"/>
      <c r="H287" s="4268"/>
      <c r="I287" s="4268"/>
      <c r="J287" s="4268"/>
      <c r="K287" s="4268"/>
      <c r="L287" s="4269">
        <f>'2 REPAIR ESTIMATOR'!P287</f>
        <v>0</v>
      </c>
      <c r="M287" s="4269"/>
      <c r="N287" s="4270" t="str">
        <f>T('2 REPAIR ESTIMATOR'!S287)</f>
        <v/>
      </c>
      <c r="O287" s="4270"/>
      <c r="P287" s="4271"/>
      <c r="Q287" s="4271"/>
      <c r="R287" s="4271"/>
      <c r="S287" s="4271"/>
      <c r="T287" s="4271"/>
      <c r="U287" s="4271"/>
      <c r="V287" s="4272"/>
      <c r="W287" s="12">
        <f t="shared" si="18"/>
        <v>1</v>
      </c>
      <c r="X287" s="12">
        <f t="shared" si="17"/>
        <v>1</v>
      </c>
      <c r="Y287" s="12">
        <f t="shared" si="15"/>
        <v>1</v>
      </c>
    </row>
    <row r="288" spans="4:25" ht="15.7">
      <c r="D288" s="4267" t="str">
        <f>T('2 REPAIR ESTIMATOR'!D288:O288)</f>
        <v/>
      </c>
      <c r="E288" s="4268"/>
      <c r="F288" s="4268"/>
      <c r="G288" s="4268"/>
      <c r="H288" s="4268"/>
      <c r="I288" s="4268"/>
      <c r="J288" s="4268"/>
      <c r="K288" s="4268"/>
      <c r="L288" s="4269">
        <f>'2 REPAIR ESTIMATOR'!P288</f>
        <v>0</v>
      </c>
      <c r="M288" s="4269"/>
      <c r="N288" s="4270" t="str">
        <f>T('2 REPAIR ESTIMATOR'!S288)</f>
        <v/>
      </c>
      <c r="O288" s="4270"/>
      <c r="P288" s="4271"/>
      <c r="Q288" s="4271"/>
      <c r="R288" s="4271"/>
      <c r="S288" s="4271"/>
      <c r="T288" s="4271"/>
      <c r="U288" s="4271"/>
      <c r="V288" s="4272"/>
      <c r="W288" s="12">
        <f t="shared" si="18"/>
        <v>1</v>
      </c>
      <c r="X288" s="12">
        <f t="shared" si="17"/>
        <v>1</v>
      </c>
      <c r="Y288" s="12">
        <f t="shared" si="15"/>
        <v>1</v>
      </c>
    </row>
    <row r="289" spans="4:25" ht="15.7">
      <c r="D289" s="4267" t="str">
        <f>T('2 REPAIR ESTIMATOR'!D289:O289)</f>
        <v/>
      </c>
      <c r="E289" s="4268"/>
      <c r="F289" s="4268"/>
      <c r="G289" s="4268"/>
      <c r="H289" s="4268"/>
      <c r="I289" s="4268"/>
      <c r="J289" s="4268"/>
      <c r="K289" s="4268"/>
      <c r="L289" s="4269">
        <f>'2 REPAIR ESTIMATOR'!P289</f>
        <v>0</v>
      </c>
      <c r="M289" s="4269"/>
      <c r="N289" s="4270" t="str">
        <f>T('2 REPAIR ESTIMATOR'!S289)</f>
        <v/>
      </c>
      <c r="O289" s="4270"/>
      <c r="P289" s="4271"/>
      <c r="Q289" s="4271"/>
      <c r="R289" s="4271"/>
      <c r="S289" s="4271"/>
      <c r="T289" s="4271"/>
      <c r="U289" s="4271"/>
      <c r="V289" s="4272"/>
      <c r="W289" s="12">
        <f t="shared" si="18"/>
        <v>1</v>
      </c>
      <c r="X289" s="12">
        <f t="shared" si="17"/>
        <v>1</v>
      </c>
      <c r="Y289" s="12">
        <f t="shared" si="15"/>
        <v>1</v>
      </c>
    </row>
    <row r="290" spans="4:25" ht="15.7">
      <c r="D290" s="4267" t="str">
        <f>T('2 REPAIR ESTIMATOR'!D290:O290)</f>
        <v/>
      </c>
      <c r="E290" s="4268"/>
      <c r="F290" s="4268"/>
      <c r="G290" s="4268"/>
      <c r="H290" s="4268"/>
      <c r="I290" s="4268"/>
      <c r="J290" s="4268"/>
      <c r="K290" s="4268"/>
      <c r="L290" s="4269">
        <f>'2 REPAIR ESTIMATOR'!P290</f>
        <v>0</v>
      </c>
      <c r="M290" s="4269"/>
      <c r="N290" s="4270" t="str">
        <f>T('2 REPAIR ESTIMATOR'!S290)</f>
        <v/>
      </c>
      <c r="O290" s="4270"/>
      <c r="P290" s="4271"/>
      <c r="Q290" s="4271"/>
      <c r="R290" s="4271"/>
      <c r="S290" s="4271"/>
      <c r="T290" s="4271"/>
      <c r="U290" s="4271"/>
      <c r="V290" s="4272"/>
      <c r="W290" s="12">
        <f t="shared" si="18"/>
        <v>1</v>
      </c>
      <c r="X290" s="12">
        <f t="shared" si="17"/>
        <v>1</v>
      </c>
      <c r="Y290" s="12">
        <f t="shared" si="15"/>
        <v>1</v>
      </c>
    </row>
    <row r="291" spans="4:25" ht="15.7">
      <c r="D291" s="4267" t="str">
        <f>T('2 REPAIR ESTIMATOR'!D291:O291)</f>
        <v/>
      </c>
      <c r="E291" s="4268"/>
      <c r="F291" s="4268"/>
      <c r="G291" s="4268"/>
      <c r="H291" s="4268"/>
      <c r="I291" s="4268"/>
      <c r="J291" s="4268"/>
      <c r="K291" s="4268"/>
      <c r="L291" s="4269">
        <f>'2 REPAIR ESTIMATOR'!P291</f>
        <v>0</v>
      </c>
      <c r="M291" s="4269"/>
      <c r="N291" s="4270" t="str">
        <f>T('2 REPAIR ESTIMATOR'!S291)</f>
        <v/>
      </c>
      <c r="O291" s="4270"/>
      <c r="P291" s="4271"/>
      <c r="Q291" s="4271"/>
      <c r="R291" s="4271"/>
      <c r="S291" s="4271"/>
      <c r="T291" s="4271"/>
      <c r="U291" s="4271"/>
      <c r="V291" s="4272"/>
      <c r="W291" s="12">
        <f t="shared" si="18"/>
        <v>1</v>
      </c>
      <c r="X291" s="12">
        <f t="shared" si="17"/>
        <v>1</v>
      </c>
      <c r="Y291" s="12">
        <f t="shared" si="15"/>
        <v>1</v>
      </c>
    </row>
    <row r="292" spans="4:25" ht="15.7">
      <c r="D292" s="4267" t="str">
        <f>T('2 REPAIR ESTIMATOR'!D292:O292)</f>
        <v/>
      </c>
      <c r="E292" s="4268"/>
      <c r="F292" s="4268"/>
      <c r="G292" s="4268"/>
      <c r="H292" s="4268"/>
      <c r="I292" s="4268"/>
      <c r="J292" s="4268"/>
      <c r="K292" s="4268"/>
      <c r="L292" s="4269">
        <f>'2 REPAIR ESTIMATOR'!P292</f>
        <v>0</v>
      </c>
      <c r="M292" s="4269"/>
      <c r="N292" s="4270" t="str">
        <f>T('2 REPAIR ESTIMATOR'!S292)</f>
        <v/>
      </c>
      <c r="O292" s="4270"/>
      <c r="P292" s="4271"/>
      <c r="Q292" s="4271"/>
      <c r="R292" s="4271"/>
      <c r="S292" s="4271"/>
      <c r="T292" s="4271"/>
      <c r="U292" s="4271"/>
      <c r="V292" s="4272"/>
      <c r="W292" s="12">
        <f t="shared" si="18"/>
        <v>1</v>
      </c>
      <c r="X292" s="12">
        <f t="shared" si="17"/>
        <v>1</v>
      </c>
      <c r="Y292" s="12">
        <f t="shared" si="15"/>
        <v>1</v>
      </c>
    </row>
    <row r="293" spans="4:25" ht="15.7">
      <c r="D293" s="4267" t="str">
        <f>T('2 REPAIR ESTIMATOR'!D293:O293)</f>
        <v/>
      </c>
      <c r="E293" s="4268"/>
      <c r="F293" s="4268"/>
      <c r="G293" s="4268"/>
      <c r="H293" s="4268"/>
      <c r="I293" s="4268"/>
      <c r="J293" s="4268"/>
      <c r="K293" s="4268"/>
      <c r="L293" s="4269">
        <f>'2 REPAIR ESTIMATOR'!P293</f>
        <v>0</v>
      </c>
      <c r="M293" s="4269"/>
      <c r="N293" s="4270" t="str">
        <f>T('2 REPAIR ESTIMATOR'!S293)</f>
        <v/>
      </c>
      <c r="O293" s="4270"/>
      <c r="P293" s="4271"/>
      <c r="Q293" s="4271"/>
      <c r="R293" s="4271"/>
      <c r="S293" s="4271"/>
      <c r="T293" s="4271"/>
      <c r="U293" s="4271"/>
      <c r="V293" s="4272"/>
      <c r="W293" s="12">
        <f t="shared" si="18"/>
        <v>1</v>
      </c>
      <c r="X293" s="12">
        <f t="shared" si="17"/>
        <v>1</v>
      </c>
      <c r="Y293" s="12">
        <f t="shared" si="15"/>
        <v>1</v>
      </c>
    </row>
    <row r="294" spans="4:25" ht="15.7">
      <c r="D294" s="4267" t="str">
        <f>T('2 REPAIR ESTIMATOR'!D294:O294)</f>
        <v/>
      </c>
      <c r="E294" s="4268"/>
      <c r="F294" s="4268"/>
      <c r="G294" s="4268"/>
      <c r="H294" s="4268"/>
      <c r="I294" s="4268"/>
      <c r="J294" s="4268"/>
      <c r="K294" s="4268"/>
      <c r="L294" s="4269">
        <f>'2 REPAIR ESTIMATOR'!P294</f>
        <v>0</v>
      </c>
      <c r="M294" s="4269"/>
      <c r="N294" s="4270" t="str">
        <f>T('2 REPAIR ESTIMATOR'!S294)</f>
        <v/>
      </c>
      <c r="O294" s="4270"/>
      <c r="P294" s="4271"/>
      <c r="Q294" s="4271"/>
      <c r="R294" s="4271"/>
      <c r="S294" s="4271"/>
      <c r="T294" s="4271"/>
      <c r="U294" s="4271"/>
      <c r="V294" s="4272"/>
      <c r="W294" s="12">
        <f t="shared" si="18"/>
        <v>1</v>
      </c>
      <c r="X294" s="12">
        <f t="shared" si="17"/>
        <v>1</v>
      </c>
      <c r="Y294" s="12">
        <f t="shared" si="15"/>
        <v>1</v>
      </c>
    </row>
    <row r="295" spans="4:25" ht="15.7">
      <c r="D295" s="4267" t="str">
        <f>T('2 REPAIR ESTIMATOR'!D295:O295)</f>
        <v/>
      </c>
      <c r="E295" s="4268"/>
      <c r="F295" s="4268"/>
      <c r="G295" s="4268"/>
      <c r="H295" s="4268"/>
      <c r="I295" s="4268"/>
      <c r="J295" s="4268"/>
      <c r="K295" s="4268"/>
      <c r="L295" s="4269">
        <f>'2 REPAIR ESTIMATOR'!P295</f>
        <v>0</v>
      </c>
      <c r="M295" s="4269"/>
      <c r="N295" s="4270" t="str">
        <f>T('2 REPAIR ESTIMATOR'!S295)</f>
        <v/>
      </c>
      <c r="O295" s="4270"/>
      <c r="P295" s="4271"/>
      <c r="Q295" s="4271"/>
      <c r="R295" s="4271"/>
      <c r="S295" s="4271"/>
      <c r="T295" s="4271"/>
      <c r="U295" s="4271"/>
      <c r="V295" s="4272"/>
      <c r="W295" s="12">
        <f t="shared" si="18"/>
        <v>1</v>
      </c>
      <c r="X295" s="12">
        <f t="shared" si="17"/>
        <v>1</v>
      </c>
      <c r="Y295" s="12">
        <f t="shared" si="15"/>
        <v>1</v>
      </c>
    </row>
    <row r="296" spans="4:25" ht="15.7">
      <c r="D296" s="4267" t="str">
        <f>T('2 REPAIR ESTIMATOR'!D296:O296)</f>
        <v/>
      </c>
      <c r="E296" s="4268"/>
      <c r="F296" s="4268"/>
      <c r="G296" s="4268"/>
      <c r="H296" s="4268"/>
      <c r="I296" s="4268"/>
      <c r="J296" s="4268"/>
      <c r="K296" s="4268"/>
      <c r="L296" s="4269">
        <f>'2 REPAIR ESTIMATOR'!P296</f>
        <v>0</v>
      </c>
      <c r="M296" s="4269"/>
      <c r="N296" s="4270" t="str">
        <f>T('2 REPAIR ESTIMATOR'!S296)</f>
        <v/>
      </c>
      <c r="O296" s="4270"/>
      <c r="P296" s="4271"/>
      <c r="Q296" s="4271"/>
      <c r="R296" s="4271"/>
      <c r="S296" s="4271"/>
      <c r="T296" s="4271"/>
      <c r="U296" s="4271"/>
      <c r="V296" s="4272"/>
      <c r="W296" s="12">
        <f t="shared" si="18"/>
        <v>1</v>
      </c>
      <c r="X296" s="12">
        <f t="shared" si="17"/>
        <v>1</v>
      </c>
      <c r="Y296" s="12">
        <f t="shared" si="15"/>
        <v>1</v>
      </c>
    </row>
    <row r="297" spans="4:25" ht="15.7">
      <c r="D297" s="4267" t="str">
        <f>T('2 REPAIR ESTIMATOR'!D297:O297)</f>
        <v/>
      </c>
      <c r="E297" s="4268"/>
      <c r="F297" s="4268"/>
      <c r="G297" s="4268"/>
      <c r="H297" s="4268"/>
      <c r="I297" s="4268"/>
      <c r="J297" s="4268"/>
      <c r="K297" s="4268"/>
      <c r="L297" s="4269">
        <f>'2 REPAIR ESTIMATOR'!P297</f>
        <v>0</v>
      </c>
      <c r="M297" s="4269"/>
      <c r="N297" s="4270" t="str">
        <f>T('2 REPAIR ESTIMATOR'!S297)</f>
        <v/>
      </c>
      <c r="O297" s="4270"/>
      <c r="P297" s="4271"/>
      <c r="Q297" s="4271"/>
      <c r="R297" s="4271"/>
      <c r="S297" s="4271"/>
      <c r="T297" s="4271"/>
      <c r="U297" s="4271"/>
      <c r="V297" s="4272"/>
      <c r="W297" s="12">
        <f t="shared" si="18"/>
        <v>1</v>
      </c>
      <c r="X297" s="12">
        <f t="shared" si="17"/>
        <v>1</v>
      </c>
      <c r="Y297" s="12">
        <f t="shared" si="15"/>
        <v>1</v>
      </c>
    </row>
    <row r="298" spans="4:25" ht="15.7">
      <c r="D298" s="4267" t="str">
        <f>T('2 REPAIR ESTIMATOR'!D298:O298)</f>
        <v/>
      </c>
      <c r="E298" s="4268"/>
      <c r="F298" s="4268"/>
      <c r="G298" s="4268"/>
      <c r="H298" s="4268"/>
      <c r="I298" s="4268"/>
      <c r="J298" s="4268"/>
      <c r="K298" s="4268"/>
      <c r="L298" s="4269">
        <f>'2 REPAIR ESTIMATOR'!P298</f>
        <v>0</v>
      </c>
      <c r="M298" s="4269"/>
      <c r="N298" s="4270" t="str">
        <f>T('2 REPAIR ESTIMATOR'!S298)</f>
        <v/>
      </c>
      <c r="O298" s="4270"/>
      <c r="P298" s="4271"/>
      <c r="Q298" s="4271"/>
      <c r="R298" s="4271"/>
      <c r="S298" s="4271"/>
      <c r="T298" s="4271"/>
      <c r="U298" s="4271"/>
      <c r="V298" s="4272"/>
      <c r="W298" s="12">
        <f t="shared" si="18"/>
        <v>1</v>
      </c>
      <c r="X298" s="12">
        <f t="shared" si="17"/>
        <v>1</v>
      </c>
      <c r="Y298" s="12">
        <f t="shared" si="15"/>
        <v>1</v>
      </c>
    </row>
    <row r="299" spans="4:25" ht="15.7">
      <c r="D299" s="4267" t="str">
        <f>T('2 REPAIR ESTIMATOR'!D299:O299)</f>
        <v/>
      </c>
      <c r="E299" s="4268"/>
      <c r="F299" s="4268"/>
      <c r="G299" s="4268"/>
      <c r="H299" s="4268"/>
      <c r="I299" s="4268"/>
      <c r="J299" s="4268"/>
      <c r="K299" s="4268"/>
      <c r="L299" s="4269">
        <f>'2 REPAIR ESTIMATOR'!P299</f>
        <v>0</v>
      </c>
      <c r="M299" s="4269"/>
      <c r="N299" s="4270" t="str">
        <f>T('2 REPAIR ESTIMATOR'!S299)</f>
        <v/>
      </c>
      <c r="O299" s="4270"/>
      <c r="P299" s="4271"/>
      <c r="Q299" s="4271"/>
      <c r="R299" s="4271"/>
      <c r="S299" s="4271"/>
      <c r="T299" s="4271"/>
      <c r="U299" s="4271"/>
      <c r="V299" s="4272"/>
      <c r="W299" s="12">
        <f t="shared" si="18"/>
        <v>1</v>
      </c>
      <c r="X299" s="12">
        <f t="shared" ref="X299:X322" si="19">IF(Scope5_Setting="Shown",1,0)</f>
        <v>1</v>
      </c>
      <c r="Y299" s="12">
        <f t="shared" si="15"/>
        <v>1</v>
      </c>
    </row>
    <row r="300" spans="4:25" ht="15.7">
      <c r="D300" s="4267" t="str">
        <f>T('2 REPAIR ESTIMATOR'!D300:O300)</f>
        <v/>
      </c>
      <c r="E300" s="4268"/>
      <c r="F300" s="4268"/>
      <c r="G300" s="4268"/>
      <c r="H300" s="4268"/>
      <c r="I300" s="4268"/>
      <c r="J300" s="4268"/>
      <c r="K300" s="4268"/>
      <c r="L300" s="4269">
        <f>'2 REPAIR ESTIMATOR'!P300</f>
        <v>0</v>
      </c>
      <c r="M300" s="4269"/>
      <c r="N300" s="4270" t="str">
        <f>T('2 REPAIR ESTIMATOR'!S300)</f>
        <v/>
      </c>
      <c r="O300" s="4270"/>
      <c r="P300" s="4271"/>
      <c r="Q300" s="4271"/>
      <c r="R300" s="4271"/>
      <c r="S300" s="4271"/>
      <c r="T300" s="4271"/>
      <c r="U300" s="4271"/>
      <c r="V300" s="4272"/>
      <c r="W300" s="12">
        <f t="shared" si="18"/>
        <v>1</v>
      </c>
      <c r="X300" s="12">
        <f t="shared" si="19"/>
        <v>1</v>
      </c>
      <c r="Y300" s="12">
        <f t="shared" ref="Y300:Y363" si="20">W300*X300</f>
        <v>1</v>
      </c>
    </row>
    <row r="301" spans="4:25" ht="15.7">
      <c r="D301" s="4267" t="str">
        <f>T('2 REPAIR ESTIMATOR'!D301:O301)</f>
        <v/>
      </c>
      <c r="E301" s="4268"/>
      <c r="F301" s="4268"/>
      <c r="G301" s="4268"/>
      <c r="H301" s="4268"/>
      <c r="I301" s="4268"/>
      <c r="J301" s="4268"/>
      <c r="K301" s="4268"/>
      <c r="L301" s="4269">
        <f>'2 REPAIR ESTIMATOR'!P301</f>
        <v>0</v>
      </c>
      <c r="M301" s="4269"/>
      <c r="N301" s="4270" t="str">
        <f>T('2 REPAIR ESTIMATOR'!S301)</f>
        <v/>
      </c>
      <c r="O301" s="4270"/>
      <c r="P301" s="4271"/>
      <c r="Q301" s="4271"/>
      <c r="R301" s="4271"/>
      <c r="S301" s="4271"/>
      <c r="T301" s="4271"/>
      <c r="U301" s="4271"/>
      <c r="V301" s="4272"/>
      <c r="W301" s="12">
        <f t="shared" si="18"/>
        <v>1</v>
      </c>
      <c r="X301" s="12">
        <f t="shared" si="19"/>
        <v>1</v>
      </c>
      <c r="Y301" s="12">
        <f t="shared" si="20"/>
        <v>1</v>
      </c>
    </row>
    <row r="302" spans="4:25" ht="15.7">
      <c r="D302" s="4267" t="str">
        <f>T('2 REPAIR ESTIMATOR'!D302:O302)</f>
        <v/>
      </c>
      <c r="E302" s="4268"/>
      <c r="F302" s="4268"/>
      <c r="G302" s="4268"/>
      <c r="H302" s="4268"/>
      <c r="I302" s="4268"/>
      <c r="J302" s="4268"/>
      <c r="K302" s="4268"/>
      <c r="L302" s="4269">
        <f>'2 REPAIR ESTIMATOR'!P302</f>
        <v>0</v>
      </c>
      <c r="M302" s="4269"/>
      <c r="N302" s="4270" t="str">
        <f>T('2 REPAIR ESTIMATOR'!S302)</f>
        <v/>
      </c>
      <c r="O302" s="4270"/>
      <c r="P302" s="4271"/>
      <c r="Q302" s="4271"/>
      <c r="R302" s="4271"/>
      <c r="S302" s="4271"/>
      <c r="T302" s="4271"/>
      <c r="U302" s="4271"/>
      <c r="V302" s="4272"/>
      <c r="W302" s="12">
        <f t="shared" si="18"/>
        <v>1</v>
      </c>
      <c r="X302" s="12">
        <f t="shared" si="19"/>
        <v>1</v>
      </c>
      <c r="Y302" s="12">
        <f t="shared" si="20"/>
        <v>1</v>
      </c>
    </row>
    <row r="303" spans="4:25" ht="15.7">
      <c r="D303" s="4267" t="str">
        <f>T('2 REPAIR ESTIMATOR'!D303:O303)</f>
        <v/>
      </c>
      <c r="E303" s="4268"/>
      <c r="F303" s="4268"/>
      <c r="G303" s="4268"/>
      <c r="H303" s="4268"/>
      <c r="I303" s="4268"/>
      <c r="J303" s="4268"/>
      <c r="K303" s="4268"/>
      <c r="L303" s="4269">
        <f>'2 REPAIR ESTIMATOR'!P303</f>
        <v>0</v>
      </c>
      <c r="M303" s="4269"/>
      <c r="N303" s="4270" t="str">
        <f>T('2 REPAIR ESTIMATOR'!S303)</f>
        <v/>
      </c>
      <c r="O303" s="4270"/>
      <c r="P303" s="4271"/>
      <c r="Q303" s="4271"/>
      <c r="R303" s="4271"/>
      <c r="S303" s="4271"/>
      <c r="T303" s="4271"/>
      <c r="U303" s="4271"/>
      <c r="V303" s="4272"/>
      <c r="W303" s="12">
        <f t="shared" si="18"/>
        <v>1</v>
      </c>
      <c r="X303" s="12">
        <f t="shared" si="19"/>
        <v>1</v>
      </c>
      <c r="Y303" s="12">
        <f t="shared" si="20"/>
        <v>1</v>
      </c>
    </row>
    <row r="304" spans="4:25" ht="15.7">
      <c r="D304" s="4267" t="str">
        <f>T('2 REPAIR ESTIMATOR'!D304:O304)</f>
        <v/>
      </c>
      <c r="E304" s="4268"/>
      <c r="F304" s="4268"/>
      <c r="G304" s="4268"/>
      <c r="H304" s="4268"/>
      <c r="I304" s="4268"/>
      <c r="J304" s="4268"/>
      <c r="K304" s="4268"/>
      <c r="L304" s="4269">
        <f>'2 REPAIR ESTIMATOR'!P304</f>
        <v>0</v>
      </c>
      <c r="M304" s="4269"/>
      <c r="N304" s="4270" t="str">
        <f>T('2 REPAIR ESTIMATOR'!S304)</f>
        <v/>
      </c>
      <c r="O304" s="4270"/>
      <c r="P304" s="4271"/>
      <c r="Q304" s="4271"/>
      <c r="R304" s="4271"/>
      <c r="S304" s="4271"/>
      <c r="T304" s="4271"/>
      <c r="U304" s="4271"/>
      <c r="V304" s="4272"/>
      <c r="W304" s="12">
        <f t="shared" si="18"/>
        <v>1</v>
      </c>
      <c r="X304" s="12">
        <f t="shared" si="19"/>
        <v>1</v>
      </c>
      <c r="Y304" s="12">
        <f t="shared" si="20"/>
        <v>1</v>
      </c>
    </row>
    <row r="305" spans="3:25" ht="15.7">
      <c r="D305" s="4267" t="str">
        <f>T('2 REPAIR ESTIMATOR'!D305:O305)</f>
        <v/>
      </c>
      <c r="E305" s="4268"/>
      <c r="F305" s="4268"/>
      <c r="G305" s="4268"/>
      <c r="H305" s="4268"/>
      <c r="I305" s="4268"/>
      <c r="J305" s="4268"/>
      <c r="K305" s="4268"/>
      <c r="L305" s="4269">
        <f>'2 REPAIR ESTIMATOR'!P305</f>
        <v>0</v>
      </c>
      <c r="M305" s="4269"/>
      <c r="N305" s="4270" t="str">
        <f>T('2 REPAIR ESTIMATOR'!S305)</f>
        <v/>
      </c>
      <c r="O305" s="4270"/>
      <c r="P305" s="4271"/>
      <c r="Q305" s="4271"/>
      <c r="R305" s="4271"/>
      <c r="S305" s="4271"/>
      <c r="T305" s="4271"/>
      <c r="U305" s="4271"/>
      <c r="V305" s="4272"/>
      <c r="W305" s="12">
        <f t="shared" si="18"/>
        <v>1</v>
      </c>
      <c r="X305" s="12">
        <f t="shared" si="19"/>
        <v>1</v>
      </c>
      <c r="Y305" s="12">
        <f t="shared" si="20"/>
        <v>1</v>
      </c>
    </row>
    <row r="306" spans="3:25" ht="15.7">
      <c r="D306" s="4267" t="str">
        <f>T('2 REPAIR ESTIMATOR'!D306:O306)</f>
        <v/>
      </c>
      <c r="E306" s="4268"/>
      <c r="F306" s="4268"/>
      <c r="G306" s="4268"/>
      <c r="H306" s="4268"/>
      <c r="I306" s="4268"/>
      <c r="J306" s="4268"/>
      <c r="K306" s="4268"/>
      <c r="L306" s="4269">
        <f>'2 REPAIR ESTIMATOR'!P306</f>
        <v>0</v>
      </c>
      <c r="M306" s="4269"/>
      <c r="N306" s="4270" t="str">
        <f>T('2 REPAIR ESTIMATOR'!S306)</f>
        <v/>
      </c>
      <c r="O306" s="4270"/>
      <c r="P306" s="4271"/>
      <c r="Q306" s="4271"/>
      <c r="R306" s="4271"/>
      <c r="S306" s="4271"/>
      <c r="T306" s="4271"/>
      <c r="U306" s="4271"/>
      <c r="V306" s="4272"/>
      <c r="W306" s="12">
        <f t="shared" si="18"/>
        <v>1</v>
      </c>
      <c r="X306" s="12">
        <f t="shared" si="19"/>
        <v>1</v>
      </c>
      <c r="Y306" s="12">
        <f t="shared" si="20"/>
        <v>1</v>
      </c>
    </row>
    <row r="307" spans="3:25" ht="15.7">
      <c r="D307" s="4267" t="str">
        <f>T('2 REPAIR ESTIMATOR'!D307:O307)</f>
        <v/>
      </c>
      <c r="E307" s="4268"/>
      <c r="F307" s="4268"/>
      <c r="G307" s="4268"/>
      <c r="H307" s="4268"/>
      <c r="I307" s="4268"/>
      <c r="J307" s="4268"/>
      <c r="K307" s="4268"/>
      <c r="L307" s="4269">
        <f>'2 REPAIR ESTIMATOR'!P307</f>
        <v>0</v>
      </c>
      <c r="M307" s="4269"/>
      <c r="N307" s="4270" t="str">
        <f>T('2 REPAIR ESTIMATOR'!S307)</f>
        <v/>
      </c>
      <c r="O307" s="4270"/>
      <c r="P307" s="4271"/>
      <c r="Q307" s="4271"/>
      <c r="R307" s="4271"/>
      <c r="S307" s="4271"/>
      <c r="T307" s="4271"/>
      <c r="U307" s="4271"/>
      <c r="V307" s="4272"/>
      <c r="W307" s="12">
        <f t="shared" si="18"/>
        <v>1</v>
      </c>
      <c r="X307" s="12">
        <f t="shared" si="19"/>
        <v>1</v>
      </c>
      <c r="Y307" s="12">
        <f t="shared" si="20"/>
        <v>1</v>
      </c>
    </row>
    <row r="308" spans="3:25" ht="15.7">
      <c r="C308" s="6"/>
      <c r="D308" s="723"/>
      <c r="E308" s="723"/>
      <c r="F308" s="723"/>
      <c r="G308" s="723"/>
      <c r="H308" s="723"/>
      <c r="I308" s="723"/>
      <c r="J308" s="723"/>
      <c r="K308" s="723"/>
      <c r="L308" s="724"/>
      <c r="M308" s="724"/>
      <c r="N308" s="725"/>
      <c r="O308" s="725"/>
      <c r="P308" s="724"/>
      <c r="Q308" s="445"/>
      <c r="R308" s="445"/>
      <c r="S308" s="725"/>
      <c r="T308" s="725"/>
      <c r="U308" s="725"/>
      <c r="V308" s="725"/>
      <c r="W308" s="12">
        <f>W309</f>
        <v>0</v>
      </c>
      <c r="X308" s="12">
        <f t="shared" si="19"/>
        <v>1</v>
      </c>
      <c r="Y308" s="12">
        <f t="shared" si="20"/>
        <v>0</v>
      </c>
    </row>
    <row r="309" spans="3:25" ht="16.7">
      <c r="C309" s="6"/>
      <c r="D309" s="4266" t="str">
        <f>UPPER(CONCATENATE("Miscellaneous ",D267," Items"))</f>
        <v>MISCELLANEOUS MASONRY ITEMS</v>
      </c>
      <c r="E309" s="4266"/>
      <c r="F309" s="4266"/>
      <c r="G309" s="4266"/>
      <c r="H309" s="4266"/>
      <c r="I309" s="4266"/>
      <c r="J309" s="4266"/>
      <c r="K309" s="4266"/>
      <c r="L309" s="4266"/>
      <c r="M309" s="4266"/>
      <c r="N309" s="4266"/>
      <c r="O309" s="4266"/>
      <c r="P309" s="4266"/>
      <c r="Q309" s="4266"/>
      <c r="R309" s="4266"/>
      <c r="S309" s="4266"/>
      <c r="T309" s="4266"/>
      <c r="U309" s="4266"/>
      <c r="V309" s="4266"/>
      <c r="W309" s="12">
        <f>SUM(W310:W319)</f>
        <v>0</v>
      </c>
      <c r="X309" s="12">
        <f t="shared" si="19"/>
        <v>1</v>
      </c>
      <c r="Y309" s="12">
        <f t="shared" si="20"/>
        <v>0</v>
      </c>
    </row>
    <row r="310" spans="3:25" ht="15.7">
      <c r="C310" s="6"/>
      <c r="D310" s="712">
        <v>1</v>
      </c>
      <c r="E310" s="4263" t="s">
        <v>1431</v>
      </c>
      <c r="F310" s="4263"/>
      <c r="G310" s="4263"/>
      <c r="H310" s="4263"/>
      <c r="I310" s="4263"/>
      <c r="J310" s="4263"/>
      <c r="K310" s="4263"/>
      <c r="L310" s="4263"/>
      <c r="M310" s="4263"/>
      <c r="N310" s="4263"/>
      <c r="O310" s="4263"/>
      <c r="P310" s="4263"/>
      <c r="Q310" s="4263"/>
      <c r="R310" s="4263"/>
      <c r="S310" s="4263"/>
      <c r="T310" s="4263"/>
      <c r="U310" s="4263"/>
      <c r="V310" s="4263"/>
      <c r="W310" s="12">
        <f>IF(E310&lt;&gt;"",1,0)*W267</f>
        <v>0</v>
      </c>
      <c r="X310" s="12">
        <f t="shared" si="19"/>
        <v>1</v>
      </c>
      <c r="Y310" s="12">
        <f t="shared" si="20"/>
        <v>0</v>
      </c>
    </row>
    <row r="311" spans="3:25" ht="15.7">
      <c r="C311" s="6"/>
      <c r="D311" s="712">
        <v>2</v>
      </c>
      <c r="E311" s="4263" t="s">
        <v>1422</v>
      </c>
      <c r="F311" s="4263"/>
      <c r="G311" s="4263"/>
      <c r="H311" s="4263"/>
      <c r="I311" s="4263"/>
      <c r="J311" s="4263"/>
      <c r="K311" s="4263"/>
      <c r="L311" s="4263"/>
      <c r="M311" s="4263"/>
      <c r="N311" s="4263"/>
      <c r="O311" s="4263"/>
      <c r="P311" s="4263"/>
      <c r="Q311" s="4263"/>
      <c r="R311" s="4263"/>
      <c r="S311" s="4263"/>
      <c r="T311" s="4263"/>
      <c r="U311" s="4263"/>
      <c r="V311" s="4263"/>
      <c r="W311" s="12">
        <f>IF(E311&lt;&gt;"",1,0)*W267</f>
        <v>0</v>
      </c>
      <c r="X311" s="12">
        <f t="shared" si="19"/>
        <v>1</v>
      </c>
      <c r="Y311" s="12">
        <f t="shared" si="20"/>
        <v>0</v>
      </c>
    </row>
    <row r="312" spans="3:25" ht="15.7">
      <c r="C312" s="6"/>
      <c r="D312" s="712">
        <v>3</v>
      </c>
      <c r="E312" s="4263" t="s">
        <v>1423</v>
      </c>
      <c r="F312" s="4263"/>
      <c r="G312" s="4263"/>
      <c r="H312" s="4263"/>
      <c r="I312" s="4263"/>
      <c r="J312" s="4263"/>
      <c r="K312" s="4263"/>
      <c r="L312" s="4263"/>
      <c r="M312" s="4263"/>
      <c r="N312" s="4263"/>
      <c r="O312" s="4263"/>
      <c r="P312" s="4263"/>
      <c r="Q312" s="4263"/>
      <c r="R312" s="4263"/>
      <c r="S312" s="4263"/>
      <c r="T312" s="4263"/>
      <c r="U312" s="4263"/>
      <c r="V312" s="4263"/>
      <c r="W312" s="12">
        <f>IF(E312&lt;&gt;"",1,0)*W267</f>
        <v>0</v>
      </c>
      <c r="X312" s="12">
        <f t="shared" si="19"/>
        <v>1</v>
      </c>
      <c r="Y312" s="12">
        <f t="shared" si="20"/>
        <v>0</v>
      </c>
    </row>
    <row r="313" spans="3:25" ht="15.7">
      <c r="C313" s="6"/>
      <c r="D313" s="712">
        <v>4</v>
      </c>
      <c r="E313" s="4263" t="s">
        <v>1425</v>
      </c>
      <c r="F313" s="4263"/>
      <c r="G313" s="4263"/>
      <c r="H313" s="4263"/>
      <c r="I313" s="4263"/>
      <c r="J313" s="4263"/>
      <c r="K313" s="4263"/>
      <c r="L313" s="4263"/>
      <c r="M313" s="4263"/>
      <c r="N313" s="4263"/>
      <c r="O313" s="4263"/>
      <c r="P313" s="4263"/>
      <c r="Q313" s="4263"/>
      <c r="R313" s="4263"/>
      <c r="S313" s="4263"/>
      <c r="T313" s="4263"/>
      <c r="U313" s="4263"/>
      <c r="V313" s="4263"/>
      <c r="W313" s="12">
        <f>IF(E313&lt;&gt;"",1,0)*W267</f>
        <v>0</v>
      </c>
      <c r="X313" s="12">
        <f t="shared" si="19"/>
        <v>1</v>
      </c>
      <c r="Y313" s="12">
        <f t="shared" si="20"/>
        <v>0</v>
      </c>
    </row>
    <row r="314" spans="3:25" ht="15.7">
      <c r="C314" s="6"/>
      <c r="D314" s="712">
        <v>5</v>
      </c>
      <c r="E314" s="4263" t="s">
        <v>1424</v>
      </c>
      <c r="F314" s="4263"/>
      <c r="G314" s="4263"/>
      <c r="H314" s="4263"/>
      <c r="I314" s="4263"/>
      <c r="J314" s="4263"/>
      <c r="K314" s="4263"/>
      <c r="L314" s="4263"/>
      <c r="M314" s="4263"/>
      <c r="N314" s="4263"/>
      <c r="O314" s="4263"/>
      <c r="P314" s="4263"/>
      <c r="Q314" s="4263"/>
      <c r="R314" s="4263"/>
      <c r="S314" s="4263"/>
      <c r="T314" s="4263"/>
      <c r="U314" s="4263"/>
      <c r="V314" s="4263"/>
      <c r="W314" s="12">
        <f>IF(E314&lt;&gt;"",1,0)*W267</f>
        <v>0</v>
      </c>
      <c r="X314" s="12">
        <f t="shared" si="19"/>
        <v>1</v>
      </c>
      <c r="Y314" s="12">
        <f t="shared" si="20"/>
        <v>0</v>
      </c>
    </row>
    <row r="315" spans="3:25" ht="15.7">
      <c r="C315" s="6"/>
      <c r="D315" s="712">
        <v>6</v>
      </c>
      <c r="E315" s="4263" t="s">
        <v>1421</v>
      </c>
      <c r="F315" s="4263"/>
      <c r="G315" s="4263"/>
      <c r="H315" s="4263"/>
      <c r="I315" s="4263"/>
      <c r="J315" s="4263"/>
      <c r="K315" s="4263"/>
      <c r="L315" s="4263"/>
      <c r="M315" s="4263"/>
      <c r="N315" s="4263"/>
      <c r="O315" s="4263"/>
      <c r="P315" s="4263"/>
      <c r="Q315" s="4263"/>
      <c r="R315" s="4263"/>
      <c r="S315" s="4263"/>
      <c r="T315" s="4263"/>
      <c r="U315" s="4263"/>
      <c r="V315" s="4263"/>
      <c r="W315" s="12">
        <f>IF(E315&lt;&gt;"",1,0)*W267</f>
        <v>0</v>
      </c>
      <c r="X315" s="12">
        <f t="shared" si="19"/>
        <v>1</v>
      </c>
      <c r="Y315" s="12">
        <f t="shared" si="20"/>
        <v>0</v>
      </c>
    </row>
    <row r="316" spans="3:25" ht="15.7">
      <c r="C316" s="6"/>
      <c r="D316" s="712">
        <v>7</v>
      </c>
      <c r="E316" s="4263" t="s">
        <v>1426</v>
      </c>
      <c r="F316" s="4263"/>
      <c r="G316" s="4263"/>
      <c r="H316" s="4263"/>
      <c r="I316" s="4263"/>
      <c r="J316" s="4263"/>
      <c r="K316" s="4263"/>
      <c r="L316" s="4263"/>
      <c r="M316" s="4263"/>
      <c r="N316" s="4263"/>
      <c r="O316" s="4263"/>
      <c r="P316" s="4263"/>
      <c r="Q316" s="4263"/>
      <c r="R316" s="4263"/>
      <c r="S316" s="4263"/>
      <c r="T316" s="4263"/>
      <c r="U316" s="4263"/>
      <c r="V316" s="4263"/>
      <c r="W316" s="12">
        <f>IF(E316&lt;&gt;"",1,0)*W267</f>
        <v>0</v>
      </c>
      <c r="X316" s="12">
        <f t="shared" si="19"/>
        <v>1</v>
      </c>
      <c r="Y316" s="12">
        <f t="shared" si="20"/>
        <v>0</v>
      </c>
    </row>
    <row r="317" spans="3:25" ht="15.7">
      <c r="C317" s="6"/>
      <c r="D317" s="712">
        <v>8</v>
      </c>
      <c r="E317" s="4263" t="s">
        <v>1435</v>
      </c>
      <c r="F317" s="4263"/>
      <c r="G317" s="4263"/>
      <c r="H317" s="4263"/>
      <c r="I317" s="4263"/>
      <c r="J317" s="4263"/>
      <c r="K317" s="4263"/>
      <c r="L317" s="4263"/>
      <c r="M317" s="4263"/>
      <c r="N317" s="4263"/>
      <c r="O317" s="4263"/>
      <c r="P317" s="4263"/>
      <c r="Q317" s="4263"/>
      <c r="R317" s="4263"/>
      <c r="S317" s="4263"/>
      <c r="T317" s="4263"/>
      <c r="U317" s="4263"/>
      <c r="V317" s="4263"/>
      <c r="W317" s="12">
        <f>IF(E317&lt;&gt;"",1,0)*W267</f>
        <v>0</v>
      </c>
      <c r="X317" s="12">
        <f t="shared" si="19"/>
        <v>1</v>
      </c>
      <c r="Y317" s="12">
        <f t="shared" si="20"/>
        <v>0</v>
      </c>
    </row>
    <row r="318" spans="3:25" ht="15.7">
      <c r="C318" s="6"/>
      <c r="D318" s="712">
        <v>9</v>
      </c>
      <c r="E318" s="4263"/>
      <c r="F318" s="4263"/>
      <c r="G318" s="4263"/>
      <c r="H318" s="4263"/>
      <c r="I318" s="4263"/>
      <c r="J318" s="4263"/>
      <c r="K318" s="4263"/>
      <c r="L318" s="4263"/>
      <c r="M318" s="4263"/>
      <c r="N318" s="4263"/>
      <c r="O318" s="4263"/>
      <c r="P318" s="4263"/>
      <c r="Q318" s="4263"/>
      <c r="R318" s="4263"/>
      <c r="S318" s="4263"/>
      <c r="T318" s="4263"/>
      <c r="U318" s="4263"/>
      <c r="V318" s="4263"/>
      <c r="W318" s="12">
        <f>IF(E318&lt;&gt;"",1,0)*W267</f>
        <v>0</v>
      </c>
      <c r="X318" s="12">
        <f t="shared" si="19"/>
        <v>1</v>
      </c>
      <c r="Y318" s="12">
        <f t="shared" si="20"/>
        <v>0</v>
      </c>
    </row>
    <row r="319" spans="3:25" ht="15.7">
      <c r="C319" s="6"/>
      <c r="D319" s="712">
        <v>10</v>
      </c>
      <c r="E319" s="4263"/>
      <c r="F319" s="4263"/>
      <c r="G319" s="4263"/>
      <c r="H319" s="4263"/>
      <c r="I319" s="4263"/>
      <c r="J319" s="4263"/>
      <c r="K319" s="4263"/>
      <c r="L319" s="4263"/>
      <c r="M319" s="4263"/>
      <c r="N319" s="4263"/>
      <c r="O319" s="4263"/>
      <c r="P319" s="4263"/>
      <c r="Q319" s="4263"/>
      <c r="R319" s="4263"/>
      <c r="S319" s="4263"/>
      <c r="T319" s="4263"/>
      <c r="U319" s="4263"/>
      <c r="V319" s="4263"/>
      <c r="W319" s="12">
        <f>IF(E319&lt;&gt;"",1,0)*W267</f>
        <v>0</v>
      </c>
      <c r="X319" s="12">
        <f t="shared" si="19"/>
        <v>1</v>
      </c>
      <c r="Y319" s="12">
        <f t="shared" si="20"/>
        <v>0</v>
      </c>
    </row>
    <row r="320" spans="3:25" ht="15.7">
      <c r="C320" s="6"/>
      <c r="D320" s="723"/>
      <c r="E320" s="723"/>
      <c r="F320" s="723"/>
      <c r="G320" s="723"/>
      <c r="H320" s="723"/>
      <c r="I320" s="723"/>
      <c r="J320" s="723"/>
      <c r="K320" s="723"/>
      <c r="L320" s="724"/>
      <c r="M320" s="724"/>
      <c r="N320" s="725"/>
      <c r="O320" s="725"/>
      <c r="P320" s="724"/>
      <c r="Q320" s="445"/>
      <c r="R320" s="445"/>
      <c r="S320" s="726"/>
      <c r="T320" s="726"/>
      <c r="U320" s="726"/>
      <c r="V320" s="726"/>
      <c r="W320" s="12">
        <f>W267</f>
        <v>0</v>
      </c>
      <c r="X320" s="12">
        <f t="shared" si="19"/>
        <v>1</v>
      </c>
      <c r="Y320" s="12">
        <f t="shared" si="20"/>
        <v>0</v>
      </c>
    </row>
    <row r="321" spans="3:25" ht="40.5" customHeight="1">
      <c r="C321" s="6"/>
      <c r="D321" s="4264" t="str">
        <f>UPPER(CONCATENATE("TOTAL ",D267))</f>
        <v>TOTAL MASONRY</v>
      </c>
      <c r="E321" s="4264"/>
      <c r="F321" s="4264"/>
      <c r="G321" s="4264"/>
      <c r="H321" s="4264"/>
      <c r="I321" s="4264"/>
      <c r="J321" s="4264"/>
      <c r="K321" s="4264"/>
      <c r="L321" s="4264"/>
      <c r="M321" s="4264"/>
      <c r="N321" s="4264"/>
      <c r="O321" s="4264"/>
      <c r="P321" s="4264"/>
      <c r="Q321" s="4265"/>
      <c r="R321" s="4265"/>
      <c r="S321" s="4265"/>
      <c r="T321" s="4265"/>
      <c r="U321" s="4265"/>
      <c r="V321" s="4265"/>
      <c r="W321" s="12">
        <f>W267</f>
        <v>0</v>
      </c>
      <c r="X321" s="12">
        <f t="shared" si="19"/>
        <v>1</v>
      </c>
      <c r="Y321" s="12">
        <f t="shared" si="20"/>
        <v>0</v>
      </c>
    </row>
    <row r="322" spans="3:25" ht="15.7">
      <c r="D322" s="723"/>
      <c r="E322" s="723"/>
      <c r="F322" s="723"/>
      <c r="G322" s="723"/>
      <c r="H322" s="723"/>
      <c r="I322" s="723"/>
      <c r="J322" s="723"/>
      <c r="K322" s="723"/>
      <c r="L322" s="724"/>
      <c r="M322" s="724"/>
      <c r="N322" s="725"/>
      <c r="O322" s="725"/>
      <c r="P322" s="724"/>
      <c r="Q322" s="445"/>
      <c r="R322" s="445"/>
      <c r="S322" s="726"/>
      <c r="T322" s="726"/>
      <c r="U322" s="726"/>
      <c r="V322" s="726"/>
      <c r="W322" s="12">
        <f>W267</f>
        <v>0</v>
      </c>
      <c r="X322" s="12">
        <f t="shared" si="19"/>
        <v>1</v>
      </c>
      <c r="Y322" s="12">
        <f t="shared" si="20"/>
        <v>0</v>
      </c>
    </row>
    <row r="323" spans="3:25" ht="26.45" customHeight="1">
      <c r="D323" s="4275" t="str">
        <f>T('2 REPAIR ESTIMATOR'!D312:O312)</f>
        <v>SIDING</v>
      </c>
      <c r="E323" s="4275"/>
      <c r="F323" s="4275"/>
      <c r="G323" s="4275"/>
      <c r="H323" s="4275"/>
      <c r="I323" s="4275"/>
      <c r="J323" s="4275"/>
      <c r="K323" s="4276"/>
      <c r="L323" s="4277">
        <f>SUM(L324:M363)</f>
        <v>0</v>
      </c>
      <c r="M323" s="4278"/>
      <c r="N323" s="4279"/>
      <c r="O323" s="4280"/>
      <c r="P323" s="4277"/>
      <c r="Q323" s="4281"/>
      <c r="R323" s="4281"/>
      <c r="S323" s="4281"/>
      <c r="T323" s="4281"/>
      <c r="U323" s="4281"/>
      <c r="V323" s="4281"/>
      <c r="W323" s="12">
        <f>IF(L323&gt;0,1,0)</f>
        <v>0</v>
      </c>
      <c r="X323" s="12">
        <f t="shared" ref="X323:X354" si="21">IF(Scope6_Setting="Shown",1,0)</f>
        <v>1</v>
      </c>
      <c r="Y323" s="12">
        <f t="shared" si="20"/>
        <v>0</v>
      </c>
    </row>
    <row r="324" spans="3:25" ht="15.7">
      <c r="D324" s="4267" t="str">
        <f>T('2 REPAIR ESTIMATOR'!D313:O313)</f>
        <v>Siding bid/allowance</v>
      </c>
      <c r="E324" s="4268"/>
      <c r="F324" s="4268"/>
      <c r="G324" s="4268"/>
      <c r="H324" s="4268"/>
      <c r="I324" s="4268"/>
      <c r="J324" s="4268"/>
      <c r="K324" s="4268"/>
      <c r="L324" s="4269">
        <f>'2 REPAIR ESTIMATOR'!P313</f>
        <v>0</v>
      </c>
      <c r="M324" s="4269"/>
      <c r="N324" s="4270" t="str">
        <f>T('2 REPAIR ESTIMATOR'!S313)</f>
        <v>ls</v>
      </c>
      <c r="O324" s="4270"/>
      <c r="P324" s="4273"/>
      <c r="Q324" s="4273"/>
      <c r="R324" s="4273"/>
      <c r="S324" s="4273"/>
      <c r="T324" s="4273"/>
      <c r="U324" s="4273"/>
      <c r="V324" s="4274"/>
      <c r="W324" s="12">
        <f>IF(L324="",0,1)</f>
        <v>1</v>
      </c>
      <c r="X324" s="12">
        <f t="shared" si="21"/>
        <v>1</v>
      </c>
      <c r="Y324" s="12">
        <f t="shared" si="20"/>
        <v>1</v>
      </c>
    </row>
    <row r="325" spans="3:25" ht="15.7">
      <c r="D325" s="4267" t="str">
        <f>T('2 REPAIR ESTIMATOR'!D314:O314)</f>
        <v>Demo existing siding</v>
      </c>
      <c r="E325" s="4268"/>
      <c r="F325" s="4268"/>
      <c r="G325" s="4268"/>
      <c r="H325" s="4268"/>
      <c r="I325" s="4268"/>
      <c r="J325" s="4268"/>
      <c r="K325" s="4268"/>
      <c r="L325" s="4269">
        <f>'2 REPAIR ESTIMATOR'!P314</f>
        <v>0</v>
      </c>
      <c r="M325" s="4269"/>
      <c r="N325" s="4270" t="str">
        <f>T('2 REPAIR ESTIMATOR'!S314)</f>
        <v>sf</v>
      </c>
      <c r="O325" s="4270"/>
      <c r="P325" s="4271"/>
      <c r="Q325" s="4271"/>
      <c r="R325" s="4271"/>
      <c r="S325" s="4271"/>
      <c r="T325" s="4271"/>
      <c r="U325" s="4271"/>
      <c r="V325" s="4272"/>
      <c r="W325" s="12">
        <f t="shared" ref="W325:W363" si="22">IF(L325="",0,1)</f>
        <v>1</v>
      </c>
      <c r="X325" s="12">
        <f t="shared" si="21"/>
        <v>1</v>
      </c>
      <c r="Y325" s="12">
        <f t="shared" si="20"/>
        <v>1</v>
      </c>
    </row>
    <row r="326" spans="3:25" ht="15.7">
      <c r="D326" s="4267" t="str">
        <f>T('2 REPAIR ESTIMATOR'!D315:O315)</f>
        <v>Plywood panel, douglas fir</v>
      </c>
      <c r="E326" s="4268"/>
      <c r="F326" s="4268"/>
      <c r="G326" s="4268"/>
      <c r="H326" s="4268"/>
      <c r="I326" s="4268"/>
      <c r="J326" s="4268"/>
      <c r="K326" s="4268"/>
      <c r="L326" s="4269">
        <f>'2 REPAIR ESTIMATOR'!P315</f>
        <v>0</v>
      </c>
      <c r="M326" s="4269"/>
      <c r="N326" s="4270" t="str">
        <f>T('2 REPAIR ESTIMATOR'!S315)</f>
        <v>sf</v>
      </c>
      <c r="O326" s="4270"/>
      <c r="P326" s="4271"/>
      <c r="Q326" s="4271"/>
      <c r="R326" s="4271"/>
      <c r="S326" s="4271"/>
      <c r="T326" s="4271"/>
      <c r="U326" s="4271"/>
      <c r="V326" s="4272"/>
      <c r="W326" s="12">
        <f t="shared" si="22"/>
        <v>1</v>
      </c>
      <c r="X326" s="12">
        <f t="shared" si="21"/>
        <v>1</v>
      </c>
      <c r="Y326" s="12">
        <f t="shared" si="20"/>
        <v>1</v>
      </c>
    </row>
    <row r="327" spans="3:25" ht="15.7">
      <c r="D327" s="4267" t="str">
        <f>T('2 REPAIR ESTIMATOR'!D316:O316)</f>
        <v>Plywood panel, cedar</v>
      </c>
      <c r="E327" s="4268"/>
      <c r="F327" s="4268"/>
      <c r="G327" s="4268"/>
      <c r="H327" s="4268"/>
      <c r="I327" s="4268"/>
      <c r="J327" s="4268"/>
      <c r="K327" s="4268"/>
      <c r="L327" s="4269">
        <f>'2 REPAIR ESTIMATOR'!P316</f>
        <v>0</v>
      </c>
      <c r="M327" s="4269"/>
      <c r="N327" s="4270" t="str">
        <f>T('2 REPAIR ESTIMATOR'!S316)</f>
        <v>sf</v>
      </c>
      <c r="O327" s="4270"/>
      <c r="P327" s="4271"/>
      <c r="Q327" s="4271"/>
      <c r="R327" s="4271"/>
      <c r="S327" s="4271"/>
      <c r="T327" s="4271"/>
      <c r="U327" s="4271"/>
      <c r="V327" s="4272"/>
      <c r="W327" s="12">
        <f t="shared" si="22"/>
        <v>1</v>
      </c>
      <c r="X327" s="12">
        <f t="shared" si="21"/>
        <v>1</v>
      </c>
      <c r="Y327" s="12">
        <f t="shared" si="20"/>
        <v>1</v>
      </c>
    </row>
    <row r="328" spans="3:25" ht="15.7">
      <c r="D328" s="4267" t="str">
        <f>T('2 REPAIR ESTIMATOR'!D317:O317)</f>
        <v>Tongue and groove, douglas fir</v>
      </c>
      <c r="E328" s="4268"/>
      <c r="F328" s="4268"/>
      <c r="G328" s="4268"/>
      <c r="H328" s="4268"/>
      <c r="I328" s="4268"/>
      <c r="J328" s="4268"/>
      <c r="K328" s="4268"/>
      <c r="L328" s="4269">
        <f>'2 REPAIR ESTIMATOR'!P317</f>
        <v>0</v>
      </c>
      <c r="M328" s="4269"/>
      <c r="N328" s="4270" t="str">
        <f>T('2 REPAIR ESTIMATOR'!S317)</f>
        <v>sf</v>
      </c>
      <c r="O328" s="4270"/>
      <c r="P328" s="4271"/>
      <c r="Q328" s="4271"/>
      <c r="R328" s="4271"/>
      <c r="S328" s="4271"/>
      <c r="T328" s="4271"/>
      <c r="U328" s="4271"/>
      <c r="V328" s="4272"/>
      <c r="W328" s="12">
        <f t="shared" si="22"/>
        <v>1</v>
      </c>
      <c r="X328" s="12">
        <f t="shared" si="21"/>
        <v>1</v>
      </c>
      <c r="Y328" s="12">
        <f t="shared" si="20"/>
        <v>1</v>
      </c>
    </row>
    <row r="329" spans="3:25" ht="15.7">
      <c r="D329" s="4267" t="str">
        <f>T('2 REPAIR ESTIMATOR'!D318:O318)</f>
        <v>Tongue and groove, cedar</v>
      </c>
      <c r="E329" s="4268"/>
      <c r="F329" s="4268"/>
      <c r="G329" s="4268"/>
      <c r="H329" s="4268"/>
      <c r="I329" s="4268"/>
      <c r="J329" s="4268"/>
      <c r="K329" s="4268"/>
      <c r="L329" s="4269">
        <f>'2 REPAIR ESTIMATOR'!P318</f>
        <v>0</v>
      </c>
      <c r="M329" s="4269"/>
      <c r="N329" s="4270" t="str">
        <f>T('2 REPAIR ESTIMATOR'!S318)</f>
        <v>sf</v>
      </c>
      <c r="O329" s="4270"/>
      <c r="P329" s="4271"/>
      <c r="Q329" s="4271"/>
      <c r="R329" s="4271"/>
      <c r="S329" s="4271"/>
      <c r="T329" s="4271"/>
      <c r="U329" s="4271"/>
      <c r="V329" s="4272"/>
      <c r="W329" s="12">
        <f t="shared" si="22"/>
        <v>1</v>
      </c>
      <c r="X329" s="12">
        <f t="shared" si="21"/>
        <v>1</v>
      </c>
      <c r="Y329" s="12">
        <f t="shared" si="20"/>
        <v>1</v>
      </c>
    </row>
    <row r="330" spans="3:25" ht="15.7">
      <c r="D330" s="4267" t="str">
        <f>T('2 REPAIR ESTIMATOR'!D319:O319)</f>
        <v>Board and batten, douglas fir</v>
      </c>
      <c r="E330" s="4268"/>
      <c r="F330" s="4268"/>
      <c r="G330" s="4268"/>
      <c r="H330" s="4268"/>
      <c r="I330" s="4268"/>
      <c r="J330" s="4268"/>
      <c r="K330" s="4268"/>
      <c r="L330" s="4269">
        <f>'2 REPAIR ESTIMATOR'!P319</f>
        <v>0</v>
      </c>
      <c r="M330" s="4269"/>
      <c r="N330" s="4270" t="str">
        <f>T('2 REPAIR ESTIMATOR'!S319)</f>
        <v>sf</v>
      </c>
      <c r="O330" s="4270"/>
      <c r="P330" s="4271"/>
      <c r="Q330" s="4271"/>
      <c r="R330" s="4271"/>
      <c r="S330" s="4271"/>
      <c r="T330" s="4271"/>
      <c r="U330" s="4271"/>
      <c r="V330" s="4272"/>
      <c r="W330" s="12">
        <f t="shared" si="22"/>
        <v>1</v>
      </c>
      <c r="X330" s="12">
        <f t="shared" si="21"/>
        <v>1</v>
      </c>
      <c r="Y330" s="12">
        <f t="shared" si="20"/>
        <v>1</v>
      </c>
    </row>
    <row r="331" spans="3:25" ht="15.7">
      <c r="D331" s="4267" t="str">
        <f>T('2 REPAIR ESTIMATOR'!D320:O320)</f>
        <v>Board and batten, cedar</v>
      </c>
      <c r="E331" s="4268"/>
      <c r="F331" s="4268"/>
      <c r="G331" s="4268"/>
      <c r="H331" s="4268"/>
      <c r="I331" s="4268"/>
      <c r="J331" s="4268"/>
      <c r="K331" s="4268"/>
      <c r="L331" s="4269">
        <f>'2 REPAIR ESTIMATOR'!P320</f>
        <v>0</v>
      </c>
      <c r="M331" s="4269"/>
      <c r="N331" s="4270" t="str">
        <f>T('2 REPAIR ESTIMATOR'!S320)</f>
        <v>sf</v>
      </c>
      <c r="O331" s="4270"/>
      <c r="P331" s="4271"/>
      <c r="Q331" s="4271"/>
      <c r="R331" s="4271"/>
      <c r="S331" s="4271"/>
      <c r="T331" s="4271"/>
      <c r="U331" s="4271"/>
      <c r="V331" s="4272"/>
      <c r="W331" s="12">
        <f t="shared" si="22"/>
        <v>1</v>
      </c>
      <c r="X331" s="12">
        <f t="shared" si="21"/>
        <v>1</v>
      </c>
      <c r="Y331" s="12">
        <f t="shared" si="20"/>
        <v>1</v>
      </c>
    </row>
    <row r="332" spans="3:25" ht="15.7">
      <c r="D332" s="4267" t="str">
        <f>T('2 REPAIR ESTIMATOR'!D321:O321)</f>
        <v>Wood shingle/shake</v>
      </c>
      <c r="E332" s="4268"/>
      <c r="F332" s="4268"/>
      <c r="G332" s="4268"/>
      <c r="H332" s="4268"/>
      <c r="I332" s="4268"/>
      <c r="J332" s="4268"/>
      <c r="K332" s="4268"/>
      <c r="L332" s="4269">
        <f>'2 REPAIR ESTIMATOR'!P321</f>
        <v>0</v>
      </c>
      <c r="M332" s="4269"/>
      <c r="N332" s="4270" t="str">
        <f>T('2 REPAIR ESTIMATOR'!S321)</f>
        <v>sf</v>
      </c>
      <c r="O332" s="4270"/>
      <c r="P332" s="4271"/>
      <c r="Q332" s="4271"/>
      <c r="R332" s="4271"/>
      <c r="S332" s="4271"/>
      <c r="T332" s="4271"/>
      <c r="U332" s="4271"/>
      <c r="V332" s="4272"/>
      <c r="W332" s="12">
        <f t="shared" si="22"/>
        <v>1</v>
      </c>
      <c r="X332" s="12">
        <f t="shared" si="21"/>
        <v>1</v>
      </c>
      <c r="Y332" s="12">
        <f t="shared" si="20"/>
        <v>1</v>
      </c>
    </row>
    <row r="333" spans="3:25" ht="15.7">
      <c r="D333" s="4267" t="str">
        <f>T('2 REPAIR ESTIMATOR'!D322:O322)</f>
        <v>Fiber cement siding, 4x8 panels</v>
      </c>
      <c r="E333" s="4268"/>
      <c r="F333" s="4268"/>
      <c r="G333" s="4268"/>
      <c r="H333" s="4268"/>
      <c r="I333" s="4268"/>
      <c r="J333" s="4268"/>
      <c r="K333" s="4268"/>
      <c r="L333" s="4269">
        <f>'2 REPAIR ESTIMATOR'!P322</f>
        <v>0</v>
      </c>
      <c r="M333" s="4269"/>
      <c r="N333" s="4270" t="str">
        <f>T('2 REPAIR ESTIMATOR'!S322)</f>
        <v>sf</v>
      </c>
      <c r="O333" s="4270"/>
      <c r="P333" s="4271"/>
      <c r="Q333" s="4271"/>
      <c r="R333" s="4271"/>
      <c r="S333" s="4271"/>
      <c r="T333" s="4271"/>
      <c r="U333" s="4271"/>
      <c r="V333" s="4272"/>
      <c r="W333" s="12">
        <f t="shared" si="22"/>
        <v>1</v>
      </c>
      <c r="X333" s="12">
        <f t="shared" si="21"/>
        <v>1</v>
      </c>
      <c r="Y333" s="12">
        <f t="shared" si="20"/>
        <v>1</v>
      </c>
    </row>
    <row r="334" spans="3:25" ht="15.7">
      <c r="D334" s="4267" t="str">
        <f>T('2 REPAIR ESTIMATOR'!D323:O323)</f>
        <v>Fiber cement siding, lap</v>
      </c>
      <c r="E334" s="4268"/>
      <c r="F334" s="4268"/>
      <c r="G334" s="4268"/>
      <c r="H334" s="4268"/>
      <c r="I334" s="4268"/>
      <c r="J334" s="4268"/>
      <c r="K334" s="4268"/>
      <c r="L334" s="4269">
        <f>'2 REPAIR ESTIMATOR'!P323</f>
        <v>0</v>
      </c>
      <c r="M334" s="4269"/>
      <c r="N334" s="4270" t="str">
        <f>T('2 REPAIR ESTIMATOR'!S323)</f>
        <v>sf</v>
      </c>
      <c r="O334" s="4270"/>
      <c r="P334" s="4271"/>
      <c r="Q334" s="4271"/>
      <c r="R334" s="4271"/>
      <c r="S334" s="4271"/>
      <c r="T334" s="4271"/>
      <c r="U334" s="4271"/>
      <c r="V334" s="4272"/>
      <c r="W334" s="12">
        <f t="shared" si="22"/>
        <v>1</v>
      </c>
      <c r="X334" s="12">
        <f t="shared" si="21"/>
        <v>1</v>
      </c>
      <c r="Y334" s="12">
        <f t="shared" si="20"/>
        <v>1</v>
      </c>
    </row>
    <row r="335" spans="3:25" ht="15.7">
      <c r="D335" s="4267" t="str">
        <f>T('2 REPAIR ESTIMATOR'!D324:O324)</f>
        <v>Vinyl siding, non-insulated</v>
      </c>
      <c r="E335" s="4268"/>
      <c r="F335" s="4268"/>
      <c r="G335" s="4268"/>
      <c r="H335" s="4268"/>
      <c r="I335" s="4268"/>
      <c r="J335" s="4268"/>
      <c r="K335" s="4268"/>
      <c r="L335" s="4269">
        <f>'2 REPAIR ESTIMATOR'!P324</f>
        <v>0</v>
      </c>
      <c r="M335" s="4269"/>
      <c r="N335" s="4270" t="str">
        <f>T('2 REPAIR ESTIMATOR'!S324)</f>
        <v>sf</v>
      </c>
      <c r="O335" s="4270"/>
      <c r="P335" s="4271"/>
      <c r="Q335" s="4271"/>
      <c r="R335" s="4271"/>
      <c r="S335" s="4271"/>
      <c r="T335" s="4271"/>
      <c r="U335" s="4271"/>
      <c r="V335" s="4272"/>
      <c r="W335" s="12">
        <f t="shared" si="22"/>
        <v>1</v>
      </c>
      <c r="X335" s="12">
        <f t="shared" si="21"/>
        <v>1</v>
      </c>
      <c r="Y335" s="12">
        <f t="shared" si="20"/>
        <v>1</v>
      </c>
    </row>
    <row r="336" spans="3:25" ht="15.7">
      <c r="D336" s="4267" t="str">
        <f>T('2 REPAIR ESTIMATOR'!D325:O325)</f>
        <v>Vinyl siding, insulated</v>
      </c>
      <c r="E336" s="4268"/>
      <c r="F336" s="4268"/>
      <c r="G336" s="4268"/>
      <c r="H336" s="4268"/>
      <c r="I336" s="4268"/>
      <c r="J336" s="4268"/>
      <c r="K336" s="4268"/>
      <c r="L336" s="4269">
        <f>'2 REPAIR ESTIMATOR'!P325</f>
        <v>0</v>
      </c>
      <c r="M336" s="4269"/>
      <c r="N336" s="4270" t="str">
        <f>T('2 REPAIR ESTIMATOR'!S325)</f>
        <v>sf</v>
      </c>
      <c r="O336" s="4270"/>
      <c r="P336" s="4271"/>
      <c r="Q336" s="4271"/>
      <c r="R336" s="4271"/>
      <c r="S336" s="4271"/>
      <c r="T336" s="4271"/>
      <c r="U336" s="4271"/>
      <c r="V336" s="4272"/>
      <c r="W336" s="12">
        <f t="shared" si="22"/>
        <v>1</v>
      </c>
      <c r="X336" s="12">
        <f t="shared" si="21"/>
        <v>1</v>
      </c>
      <c r="Y336" s="12">
        <f t="shared" si="20"/>
        <v>1</v>
      </c>
    </row>
    <row r="337" spans="4:25" ht="15.7">
      <c r="D337" s="4267" t="str">
        <f>T('2 REPAIR ESTIMATOR'!D326:O326)</f>
        <v>Trim, 1"x3", pine</v>
      </c>
      <c r="E337" s="4268"/>
      <c r="F337" s="4268"/>
      <c r="G337" s="4268"/>
      <c r="H337" s="4268"/>
      <c r="I337" s="4268"/>
      <c r="J337" s="4268"/>
      <c r="K337" s="4268"/>
      <c r="L337" s="4269">
        <f>'2 REPAIR ESTIMATOR'!P326</f>
        <v>0</v>
      </c>
      <c r="M337" s="4269"/>
      <c r="N337" s="4270" t="str">
        <f>T('2 REPAIR ESTIMATOR'!S326)</f>
        <v>lf</v>
      </c>
      <c r="O337" s="4270"/>
      <c r="P337" s="4271"/>
      <c r="Q337" s="4271"/>
      <c r="R337" s="4271"/>
      <c r="S337" s="4271"/>
      <c r="T337" s="4271"/>
      <c r="U337" s="4271"/>
      <c r="V337" s="4272"/>
      <c r="W337" s="12">
        <f t="shared" si="22"/>
        <v>1</v>
      </c>
      <c r="X337" s="12">
        <f t="shared" si="21"/>
        <v>1</v>
      </c>
      <c r="Y337" s="12">
        <f t="shared" si="20"/>
        <v>1</v>
      </c>
    </row>
    <row r="338" spans="4:25" ht="15.7">
      <c r="D338" s="4267" t="str">
        <f>T('2 REPAIR ESTIMATOR'!D327:O327)</f>
        <v>Trim, 1"x4", pine</v>
      </c>
      <c r="E338" s="4268"/>
      <c r="F338" s="4268"/>
      <c r="G338" s="4268"/>
      <c r="H338" s="4268"/>
      <c r="I338" s="4268"/>
      <c r="J338" s="4268"/>
      <c r="K338" s="4268"/>
      <c r="L338" s="4269">
        <f>'2 REPAIR ESTIMATOR'!P327</f>
        <v>0</v>
      </c>
      <c r="M338" s="4269"/>
      <c r="N338" s="4270" t="str">
        <f>T('2 REPAIR ESTIMATOR'!S327)</f>
        <v>lf</v>
      </c>
      <c r="O338" s="4270"/>
      <c r="P338" s="4271"/>
      <c r="Q338" s="4271"/>
      <c r="R338" s="4271"/>
      <c r="S338" s="4271"/>
      <c r="T338" s="4271"/>
      <c r="U338" s="4271"/>
      <c r="V338" s="4272"/>
      <c r="W338" s="12">
        <f t="shared" si="22"/>
        <v>1</v>
      </c>
      <c r="X338" s="12">
        <f t="shared" si="21"/>
        <v>1</v>
      </c>
      <c r="Y338" s="12">
        <f t="shared" si="20"/>
        <v>1</v>
      </c>
    </row>
    <row r="339" spans="4:25" ht="15.7">
      <c r="D339" s="4267" t="str">
        <f>T('2 REPAIR ESTIMATOR'!D328:O328)</f>
        <v>Trim, 1"x6", pine</v>
      </c>
      <c r="E339" s="4268"/>
      <c r="F339" s="4268"/>
      <c r="G339" s="4268"/>
      <c r="H339" s="4268"/>
      <c r="I339" s="4268"/>
      <c r="J339" s="4268"/>
      <c r="K339" s="4268"/>
      <c r="L339" s="4269">
        <f>'2 REPAIR ESTIMATOR'!P328</f>
        <v>0</v>
      </c>
      <c r="M339" s="4269"/>
      <c r="N339" s="4270" t="str">
        <f>T('2 REPAIR ESTIMATOR'!S328)</f>
        <v>lf</v>
      </c>
      <c r="O339" s="4270"/>
      <c r="P339" s="4271"/>
      <c r="Q339" s="4271"/>
      <c r="R339" s="4271"/>
      <c r="S339" s="4271"/>
      <c r="T339" s="4271"/>
      <c r="U339" s="4271"/>
      <c r="V339" s="4272"/>
      <c r="W339" s="12">
        <f t="shared" si="22"/>
        <v>1</v>
      </c>
      <c r="X339" s="12">
        <f t="shared" si="21"/>
        <v>1</v>
      </c>
      <c r="Y339" s="12">
        <f t="shared" si="20"/>
        <v>1</v>
      </c>
    </row>
    <row r="340" spans="4:25" ht="15.7">
      <c r="D340" s="4267" t="str">
        <f>T('2 REPAIR ESTIMATOR'!D329:O329)</f>
        <v>Siding patch, window/door, siding, insulation</v>
      </c>
      <c r="E340" s="4268"/>
      <c r="F340" s="4268"/>
      <c r="G340" s="4268"/>
      <c r="H340" s="4268"/>
      <c r="I340" s="4268"/>
      <c r="J340" s="4268"/>
      <c r="K340" s="4268"/>
      <c r="L340" s="4269">
        <f>'2 REPAIR ESTIMATOR'!P329</f>
        <v>0</v>
      </c>
      <c r="M340" s="4269"/>
      <c r="N340" s="4270" t="str">
        <f>T('2 REPAIR ESTIMATOR'!S329)</f>
        <v>ea</v>
      </c>
      <c r="O340" s="4270"/>
      <c r="P340" s="4271"/>
      <c r="Q340" s="4271"/>
      <c r="R340" s="4271"/>
      <c r="S340" s="4271"/>
      <c r="T340" s="4271"/>
      <c r="U340" s="4271"/>
      <c r="V340" s="4272"/>
      <c r="W340" s="12">
        <f t="shared" si="22"/>
        <v>1</v>
      </c>
      <c r="X340" s="12">
        <f t="shared" si="21"/>
        <v>1</v>
      </c>
      <c r="Y340" s="12">
        <f t="shared" si="20"/>
        <v>1</v>
      </c>
    </row>
    <row r="341" spans="4:25" ht="15.7">
      <c r="D341" s="4267" t="str">
        <f>T('2 REPAIR ESTIMATOR'!D330:O330)</f>
        <v>Stucco</v>
      </c>
      <c r="E341" s="4268"/>
      <c r="F341" s="4268"/>
      <c r="G341" s="4268"/>
      <c r="H341" s="4268"/>
      <c r="I341" s="4268"/>
      <c r="J341" s="4268"/>
      <c r="K341" s="4268"/>
      <c r="L341" s="4269">
        <f>'2 REPAIR ESTIMATOR'!P330</f>
        <v>0</v>
      </c>
      <c r="M341" s="4269"/>
      <c r="N341" s="4270" t="str">
        <f>T('2 REPAIR ESTIMATOR'!S330)</f>
        <v>sf</v>
      </c>
      <c r="O341" s="4270"/>
      <c r="P341" s="4271"/>
      <c r="Q341" s="4271"/>
      <c r="R341" s="4271"/>
      <c r="S341" s="4271"/>
      <c r="T341" s="4271"/>
      <c r="U341" s="4271"/>
      <c r="V341" s="4272"/>
      <c r="W341" s="12">
        <f t="shared" si="22"/>
        <v>1</v>
      </c>
      <c r="X341" s="12">
        <f t="shared" si="21"/>
        <v>1</v>
      </c>
      <c r="Y341" s="12">
        <f t="shared" si="20"/>
        <v>1</v>
      </c>
    </row>
    <row r="342" spans="4:25" ht="15.7">
      <c r="D342" s="4267" t="str">
        <f>T('2 REPAIR ESTIMATOR'!D331:O331)</f>
        <v/>
      </c>
      <c r="E342" s="4268"/>
      <c r="F342" s="4268"/>
      <c r="G342" s="4268"/>
      <c r="H342" s="4268"/>
      <c r="I342" s="4268"/>
      <c r="J342" s="4268"/>
      <c r="K342" s="4268"/>
      <c r="L342" s="4269">
        <f>'2 REPAIR ESTIMATOR'!P331</f>
        <v>0</v>
      </c>
      <c r="M342" s="4269"/>
      <c r="N342" s="4270" t="str">
        <f>T('2 REPAIR ESTIMATOR'!S331)</f>
        <v/>
      </c>
      <c r="O342" s="4270"/>
      <c r="P342" s="4271"/>
      <c r="Q342" s="4271"/>
      <c r="R342" s="4271"/>
      <c r="S342" s="4271"/>
      <c r="T342" s="4271"/>
      <c r="U342" s="4271"/>
      <c r="V342" s="4272"/>
      <c r="W342" s="12">
        <f t="shared" si="22"/>
        <v>1</v>
      </c>
      <c r="X342" s="12">
        <f t="shared" si="21"/>
        <v>1</v>
      </c>
      <c r="Y342" s="12">
        <f t="shared" si="20"/>
        <v>1</v>
      </c>
    </row>
    <row r="343" spans="4:25" ht="15.7">
      <c r="D343" s="4267" t="str">
        <f>T('2 REPAIR ESTIMATOR'!D332:O332)</f>
        <v/>
      </c>
      <c r="E343" s="4268"/>
      <c r="F343" s="4268"/>
      <c r="G343" s="4268"/>
      <c r="H343" s="4268"/>
      <c r="I343" s="4268"/>
      <c r="J343" s="4268"/>
      <c r="K343" s="4268"/>
      <c r="L343" s="4269">
        <f>'2 REPAIR ESTIMATOR'!P332</f>
        <v>0</v>
      </c>
      <c r="M343" s="4269"/>
      <c r="N343" s="4270" t="str">
        <f>T('2 REPAIR ESTIMATOR'!S332)</f>
        <v/>
      </c>
      <c r="O343" s="4270"/>
      <c r="P343" s="4271"/>
      <c r="Q343" s="4271"/>
      <c r="R343" s="4271"/>
      <c r="S343" s="4271"/>
      <c r="T343" s="4271"/>
      <c r="U343" s="4271"/>
      <c r="V343" s="4272"/>
      <c r="W343" s="12">
        <f t="shared" si="22"/>
        <v>1</v>
      </c>
      <c r="X343" s="12">
        <f t="shared" si="21"/>
        <v>1</v>
      </c>
      <c r="Y343" s="12">
        <f t="shared" si="20"/>
        <v>1</v>
      </c>
    </row>
    <row r="344" spans="4:25" ht="15.7">
      <c r="D344" s="4267" t="str">
        <f>T('2 REPAIR ESTIMATOR'!D333:O333)</f>
        <v/>
      </c>
      <c r="E344" s="4268"/>
      <c r="F344" s="4268"/>
      <c r="G344" s="4268"/>
      <c r="H344" s="4268"/>
      <c r="I344" s="4268"/>
      <c r="J344" s="4268"/>
      <c r="K344" s="4268"/>
      <c r="L344" s="4269">
        <f>'2 REPAIR ESTIMATOR'!P333</f>
        <v>0</v>
      </c>
      <c r="M344" s="4269"/>
      <c r="N344" s="4270" t="str">
        <f>T('2 REPAIR ESTIMATOR'!S333)</f>
        <v/>
      </c>
      <c r="O344" s="4270"/>
      <c r="P344" s="4271"/>
      <c r="Q344" s="4271"/>
      <c r="R344" s="4271"/>
      <c r="S344" s="4271"/>
      <c r="T344" s="4271"/>
      <c r="U344" s="4271"/>
      <c r="V344" s="4272"/>
      <c r="W344" s="12">
        <f t="shared" si="22"/>
        <v>1</v>
      </c>
      <c r="X344" s="12">
        <f t="shared" si="21"/>
        <v>1</v>
      </c>
      <c r="Y344" s="12">
        <f t="shared" si="20"/>
        <v>1</v>
      </c>
    </row>
    <row r="345" spans="4:25" ht="15.7">
      <c r="D345" s="4267" t="str">
        <f>T('2 REPAIR ESTIMATOR'!D334:O334)</f>
        <v/>
      </c>
      <c r="E345" s="4268"/>
      <c r="F345" s="4268"/>
      <c r="G345" s="4268"/>
      <c r="H345" s="4268"/>
      <c r="I345" s="4268"/>
      <c r="J345" s="4268"/>
      <c r="K345" s="4268"/>
      <c r="L345" s="4269">
        <f>'2 REPAIR ESTIMATOR'!P334</f>
        <v>0</v>
      </c>
      <c r="M345" s="4269"/>
      <c r="N345" s="4270" t="str">
        <f>T('2 REPAIR ESTIMATOR'!S334)</f>
        <v/>
      </c>
      <c r="O345" s="4270"/>
      <c r="P345" s="4271"/>
      <c r="Q345" s="4271"/>
      <c r="R345" s="4271"/>
      <c r="S345" s="4271"/>
      <c r="T345" s="4271"/>
      <c r="U345" s="4271"/>
      <c r="V345" s="4272"/>
      <c r="W345" s="12">
        <f t="shared" si="22"/>
        <v>1</v>
      </c>
      <c r="X345" s="12">
        <f t="shared" si="21"/>
        <v>1</v>
      </c>
      <c r="Y345" s="12">
        <f t="shared" si="20"/>
        <v>1</v>
      </c>
    </row>
    <row r="346" spans="4:25" ht="15.7">
      <c r="D346" s="4267" t="str">
        <f>T('2 REPAIR ESTIMATOR'!D335:O335)</f>
        <v/>
      </c>
      <c r="E346" s="4268"/>
      <c r="F346" s="4268"/>
      <c r="G346" s="4268"/>
      <c r="H346" s="4268"/>
      <c r="I346" s="4268"/>
      <c r="J346" s="4268"/>
      <c r="K346" s="4268"/>
      <c r="L346" s="4269">
        <f>'2 REPAIR ESTIMATOR'!P335</f>
        <v>0</v>
      </c>
      <c r="M346" s="4269"/>
      <c r="N346" s="4270" t="str">
        <f>T('2 REPAIR ESTIMATOR'!S335)</f>
        <v/>
      </c>
      <c r="O346" s="4270"/>
      <c r="P346" s="4271"/>
      <c r="Q346" s="4271"/>
      <c r="R346" s="4271"/>
      <c r="S346" s="4271"/>
      <c r="T346" s="4271"/>
      <c r="U346" s="4271"/>
      <c r="V346" s="4272"/>
      <c r="W346" s="12">
        <f t="shared" si="22"/>
        <v>1</v>
      </c>
      <c r="X346" s="12">
        <f t="shared" si="21"/>
        <v>1</v>
      </c>
      <c r="Y346" s="12">
        <f t="shared" si="20"/>
        <v>1</v>
      </c>
    </row>
    <row r="347" spans="4:25" ht="15.7">
      <c r="D347" s="4267" t="str">
        <f>T('2 REPAIR ESTIMATOR'!D336:O336)</f>
        <v/>
      </c>
      <c r="E347" s="4268"/>
      <c r="F347" s="4268"/>
      <c r="G347" s="4268"/>
      <c r="H347" s="4268"/>
      <c r="I347" s="4268"/>
      <c r="J347" s="4268"/>
      <c r="K347" s="4268"/>
      <c r="L347" s="4269">
        <f>'2 REPAIR ESTIMATOR'!P336</f>
        <v>0</v>
      </c>
      <c r="M347" s="4269"/>
      <c r="N347" s="4270" t="str">
        <f>T('2 REPAIR ESTIMATOR'!S336)</f>
        <v/>
      </c>
      <c r="O347" s="4270"/>
      <c r="P347" s="4271"/>
      <c r="Q347" s="4271"/>
      <c r="R347" s="4271"/>
      <c r="S347" s="4271"/>
      <c r="T347" s="4271"/>
      <c r="U347" s="4271"/>
      <c r="V347" s="4272"/>
      <c r="W347" s="12">
        <f t="shared" si="22"/>
        <v>1</v>
      </c>
      <c r="X347" s="12">
        <f t="shared" si="21"/>
        <v>1</v>
      </c>
      <c r="Y347" s="12">
        <f t="shared" si="20"/>
        <v>1</v>
      </c>
    </row>
    <row r="348" spans="4:25" ht="15.7">
      <c r="D348" s="4267" t="str">
        <f>T('2 REPAIR ESTIMATOR'!D337:O337)</f>
        <v/>
      </c>
      <c r="E348" s="4268"/>
      <c r="F348" s="4268"/>
      <c r="G348" s="4268"/>
      <c r="H348" s="4268"/>
      <c r="I348" s="4268"/>
      <c r="J348" s="4268"/>
      <c r="K348" s="4268"/>
      <c r="L348" s="4269">
        <f>'2 REPAIR ESTIMATOR'!P337</f>
        <v>0</v>
      </c>
      <c r="M348" s="4269"/>
      <c r="N348" s="4270" t="str">
        <f>T('2 REPAIR ESTIMATOR'!S337)</f>
        <v/>
      </c>
      <c r="O348" s="4270"/>
      <c r="P348" s="4271"/>
      <c r="Q348" s="4271"/>
      <c r="R348" s="4271"/>
      <c r="S348" s="4271"/>
      <c r="T348" s="4271"/>
      <c r="U348" s="4271"/>
      <c r="V348" s="4272"/>
      <c r="W348" s="12">
        <f t="shared" si="22"/>
        <v>1</v>
      </c>
      <c r="X348" s="12">
        <f t="shared" si="21"/>
        <v>1</v>
      </c>
      <c r="Y348" s="12">
        <f t="shared" si="20"/>
        <v>1</v>
      </c>
    </row>
    <row r="349" spans="4:25" ht="15.7">
      <c r="D349" s="4267" t="str">
        <f>T('2 REPAIR ESTIMATOR'!D338:O338)</f>
        <v/>
      </c>
      <c r="E349" s="4268"/>
      <c r="F349" s="4268"/>
      <c r="G349" s="4268"/>
      <c r="H349" s="4268"/>
      <c r="I349" s="4268"/>
      <c r="J349" s="4268"/>
      <c r="K349" s="4268"/>
      <c r="L349" s="4269">
        <f>'2 REPAIR ESTIMATOR'!P338</f>
        <v>0</v>
      </c>
      <c r="M349" s="4269"/>
      <c r="N349" s="4270" t="str">
        <f>T('2 REPAIR ESTIMATOR'!S338)</f>
        <v/>
      </c>
      <c r="O349" s="4270"/>
      <c r="P349" s="4271"/>
      <c r="Q349" s="4271"/>
      <c r="R349" s="4271"/>
      <c r="S349" s="4271"/>
      <c r="T349" s="4271"/>
      <c r="U349" s="4271"/>
      <c r="V349" s="4272"/>
      <c r="W349" s="12">
        <f t="shared" si="22"/>
        <v>1</v>
      </c>
      <c r="X349" s="12">
        <f t="shared" si="21"/>
        <v>1</v>
      </c>
      <c r="Y349" s="12">
        <f t="shared" si="20"/>
        <v>1</v>
      </c>
    </row>
    <row r="350" spans="4:25" ht="15.7">
      <c r="D350" s="4267" t="str">
        <f>T('2 REPAIR ESTIMATOR'!D339:O339)</f>
        <v/>
      </c>
      <c r="E350" s="4268"/>
      <c r="F350" s="4268"/>
      <c r="G350" s="4268"/>
      <c r="H350" s="4268"/>
      <c r="I350" s="4268"/>
      <c r="J350" s="4268"/>
      <c r="K350" s="4268"/>
      <c r="L350" s="4269">
        <f>'2 REPAIR ESTIMATOR'!P339</f>
        <v>0</v>
      </c>
      <c r="M350" s="4269"/>
      <c r="N350" s="4270" t="str">
        <f>T('2 REPAIR ESTIMATOR'!S339)</f>
        <v/>
      </c>
      <c r="O350" s="4270"/>
      <c r="P350" s="4271"/>
      <c r="Q350" s="4271"/>
      <c r="R350" s="4271"/>
      <c r="S350" s="4271"/>
      <c r="T350" s="4271"/>
      <c r="U350" s="4271"/>
      <c r="V350" s="4272"/>
      <c r="W350" s="12">
        <f t="shared" si="22"/>
        <v>1</v>
      </c>
      <c r="X350" s="12">
        <f t="shared" si="21"/>
        <v>1</v>
      </c>
      <c r="Y350" s="12">
        <f t="shared" si="20"/>
        <v>1</v>
      </c>
    </row>
    <row r="351" spans="4:25" ht="15.7">
      <c r="D351" s="4267" t="str">
        <f>T('2 REPAIR ESTIMATOR'!D340:O340)</f>
        <v/>
      </c>
      <c r="E351" s="4268"/>
      <c r="F351" s="4268"/>
      <c r="G351" s="4268"/>
      <c r="H351" s="4268"/>
      <c r="I351" s="4268"/>
      <c r="J351" s="4268"/>
      <c r="K351" s="4268"/>
      <c r="L351" s="4269">
        <f>'2 REPAIR ESTIMATOR'!P340</f>
        <v>0</v>
      </c>
      <c r="M351" s="4269"/>
      <c r="N351" s="4270" t="str">
        <f>T('2 REPAIR ESTIMATOR'!S340)</f>
        <v/>
      </c>
      <c r="O351" s="4270"/>
      <c r="P351" s="4271"/>
      <c r="Q351" s="4271"/>
      <c r="R351" s="4271"/>
      <c r="S351" s="4271"/>
      <c r="T351" s="4271"/>
      <c r="U351" s="4271"/>
      <c r="V351" s="4272"/>
      <c r="W351" s="12">
        <f t="shared" si="22"/>
        <v>1</v>
      </c>
      <c r="X351" s="12">
        <f t="shared" si="21"/>
        <v>1</v>
      </c>
      <c r="Y351" s="12">
        <f t="shared" si="20"/>
        <v>1</v>
      </c>
    </row>
    <row r="352" spans="4:25" ht="15.7">
      <c r="D352" s="4267" t="str">
        <f>T('2 REPAIR ESTIMATOR'!D341:O341)</f>
        <v/>
      </c>
      <c r="E352" s="4268"/>
      <c r="F352" s="4268"/>
      <c r="G352" s="4268"/>
      <c r="H352" s="4268"/>
      <c r="I352" s="4268"/>
      <c r="J352" s="4268"/>
      <c r="K352" s="4268"/>
      <c r="L352" s="4269">
        <f>'2 REPAIR ESTIMATOR'!P341</f>
        <v>0</v>
      </c>
      <c r="M352" s="4269"/>
      <c r="N352" s="4270" t="str">
        <f>T('2 REPAIR ESTIMATOR'!S341)</f>
        <v/>
      </c>
      <c r="O352" s="4270"/>
      <c r="P352" s="4271"/>
      <c r="Q352" s="4271"/>
      <c r="R352" s="4271"/>
      <c r="S352" s="4271"/>
      <c r="T352" s="4271"/>
      <c r="U352" s="4271"/>
      <c r="V352" s="4272"/>
      <c r="W352" s="12">
        <f t="shared" si="22"/>
        <v>1</v>
      </c>
      <c r="X352" s="12">
        <f t="shared" si="21"/>
        <v>1</v>
      </c>
      <c r="Y352" s="12">
        <f t="shared" si="20"/>
        <v>1</v>
      </c>
    </row>
    <row r="353" spans="3:25" ht="15.7">
      <c r="D353" s="4267" t="str">
        <f>T('2 REPAIR ESTIMATOR'!D342:O342)</f>
        <v/>
      </c>
      <c r="E353" s="4268"/>
      <c r="F353" s="4268"/>
      <c r="G353" s="4268"/>
      <c r="H353" s="4268"/>
      <c r="I353" s="4268"/>
      <c r="J353" s="4268"/>
      <c r="K353" s="4268"/>
      <c r="L353" s="4269">
        <f>'2 REPAIR ESTIMATOR'!P342</f>
        <v>0</v>
      </c>
      <c r="M353" s="4269"/>
      <c r="N353" s="4270" t="str">
        <f>T('2 REPAIR ESTIMATOR'!S342)</f>
        <v/>
      </c>
      <c r="O353" s="4270"/>
      <c r="P353" s="4271"/>
      <c r="Q353" s="4271"/>
      <c r="R353" s="4271"/>
      <c r="S353" s="4271"/>
      <c r="T353" s="4271"/>
      <c r="U353" s="4271"/>
      <c r="V353" s="4272"/>
      <c r="W353" s="12">
        <f t="shared" si="22"/>
        <v>1</v>
      </c>
      <c r="X353" s="12">
        <f t="shared" si="21"/>
        <v>1</v>
      </c>
      <c r="Y353" s="12">
        <f t="shared" si="20"/>
        <v>1</v>
      </c>
    </row>
    <row r="354" spans="3:25" ht="15.7">
      <c r="D354" s="4267" t="str">
        <f>T('2 REPAIR ESTIMATOR'!D343:O343)</f>
        <v/>
      </c>
      <c r="E354" s="4268"/>
      <c r="F354" s="4268"/>
      <c r="G354" s="4268"/>
      <c r="H354" s="4268"/>
      <c r="I354" s="4268"/>
      <c r="J354" s="4268"/>
      <c r="K354" s="4268"/>
      <c r="L354" s="4269">
        <f>'2 REPAIR ESTIMATOR'!P343</f>
        <v>0</v>
      </c>
      <c r="M354" s="4269"/>
      <c r="N354" s="4270" t="str">
        <f>T('2 REPAIR ESTIMATOR'!S343)</f>
        <v/>
      </c>
      <c r="O354" s="4270"/>
      <c r="P354" s="4271"/>
      <c r="Q354" s="4271"/>
      <c r="R354" s="4271"/>
      <c r="S354" s="4271"/>
      <c r="T354" s="4271"/>
      <c r="U354" s="4271"/>
      <c r="V354" s="4272"/>
      <c r="W354" s="12">
        <f t="shared" si="22"/>
        <v>1</v>
      </c>
      <c r="X354" s="12">
        <f t="shared" si="21"/>
        <v>1</v>
      </c>
      <c r="Y354" s="12">
        <f t="shared" si="20"/>
        <v>1</v>
      </c>
    </row>
    <row r="355" spans="3:25" ht="15.7">
      <c r="D355" s="4267" t="str">
        <f>T('2 REPAIR ESTIMATOR'!D344:O344)</f>
        <v/>
      </c>
      <c r="E355" s="4268"/>
      <c r="F355" s="4268"/>
      <c r="G355" s="4268"/>
      <c r="H355" s="4268"/>
      <c r="I355" s="4268"/>
      <c r="J355" s="4268"/>
      <c r="K355" s="4268"/>
      <c r="L355" s="4269">
        <f>'2 REPAIR ESTIMATOR'!P344</f>
        <v>0</v>
      </c>
      <c r="M355" s="4269"/>
      <c r="N355" s="4270" t="str">
        <f>T('2 REPAIR ESTIMATOR'!S344)</f>
        <v/>
      </c>
      <c r="O355" s="4270"/>
      <c r="P355" s="4271"/>
      <c r="Q355" s="4271"/>
      <c r="R355" s="4271"/>
      <c r="S355" s="4271"/>
      <c r="T355" s="4271"/>
      <c r="U355" s="4271"/>
      <c r="V355" s="4272"/>
      <c r="W355" s="12">
        <f t="shared" si="22"/>
        <v>1</v>
      </c>
      <c r="X355" s="12">
        <f t="shared" ref="X355:X378" si="23">IF(Scope6_Setting="Shown",1,0)</f>
        <v>1</v>
      </c>
      <c r="Y355" s="12">
        <f t="shared" si="20"/>
        <v>1</v>
      </c>
    </row>
    <row r="356" spans="3:25" ht="15.7">
      <c r="D356" s="4267" t="str">
        <f>T('2 REPAIR ESTIMATOR'!D345:O345)</f>
        <v/>
      </c>
      <c r="E356" s="4268"/>
      <c r="F356" s="4268"/>
      <c r="G356" s="4268"/>
      <c r="H356" s="4268"/>
      <c r="I356" s="4268"/>
      <c r="J356" s="4268"/>
      <c r="K356" s="4268"/>
      <c r="L356" s="4269">
        <f>'2 REPAIR ESTIMATOR'!P345</f>
        <v>0</v>
      </c>
      <c r="M356" s="4269"/>
      <c r="N356" s="4270" t="str">
        <f>T('2 REPAIR ESTIMATOR'!S345)</f>
        <v/>
      </c>
      <c r="O356" s="4270"/>
      <c r="P356" s="4271"/>
      <c r="Q356" s="4271"/>
      <c r="R356" s="4271"/>
      <c r="S356" s="4271"/>
      <c r="T356" s="4271"/>
      <c r="U356" s="4271"/>
      <c r="V356" s="4272"/>
      <c r="W356" s="12">
        <f t="shared" si="22"/>
        <v>1</v>
      </c>
      <c r="X356" s="12">
        <f t="shared" si="23"/>
        <v>1</v>
      </c>
      <c r="Y356" s="12">
        <f t="shared" si="20"/>
        <v>1</v>
      </c>
    </row>
    <row r="357" spans="3:25" ht="15.7">
      <c r="D357" s="4267" t="str">
        <f>T('2 REPAIR ESTIMATOR'!D346:O346)</f>
        <v/>
      </c>
      <c r="E357" s="4268"/>
      <c r="F357" s="4268"/>
      <c r="G357" s="4268"/>
      <c r="H357" s="4268"/>
      <c r="I357" s="4268"/>
      <c r="J357" s="4268"/>
      <c r="K357" s="4268"/>
      <c r="L357" s="4269">
        <f>'2 REPAIR ESTIMATOR'!P346</f>
        <v>0</v>
      </c>
      <c r="M357" s="4269"/>
      <c r="N357" s="4270" t="str">
        <f>T('2 REPAIR ESTIMATOR'!S346)</f>
        <v/>
      </c>
      <c r="O357" s="4270"/>
      <c r="P357" s="4271"/>
      <c r="Q357" s="4271"/>
      <c r="R357" s="4271"/>
      <c r="S357" s="4271"/>
      <c r="T357" s="4271"/>
      <c r="U357" s="4271"/>
      <c r="V357" s="4272"/>
      <c r="W357" s="12">
        <f t="shared" si="22"/>
        <v>1</v>
      </c>
      <c r="X357" s="12">
        <f t="shared" si="23"/>
        <v>1</v>
      </c>
      <c r="Y357" s="12">
        <f t="shared" si="20"/>
        <v>1</v>
      </c>
    </row>
    <row r="358" spans="3:25" ht="15.7">
      <c r="D358" s="4267" t="str">
        <f>T('2 REPAIR ESTIMATOR'!D347:O347)</f>
        <v/>
      </c>
      <c r="E358" s="4268"/>
      <c r="F358" s="4268"/>
      <c r="G358" s="4268"/>
      <c r="H358" s="4268"/>
      <c r="I358" s="4268"/>
      <c r="J358" s="4268"/>
      <c r="K358" s="4268"/>
      <c r="L358" s="4269">
        <f>'2 REPAIR ESTIMATOR'!P347</f>
        <v>0</v>
      </c>
      <c r="M358" s="4269"/>
      <c r="N358" s="4270" t="str">
        <f>T('2 REPAIR ESTIMATOR'!S347)</f>
        <v/>
      </c>
      <c r="O358" s="4270"/>
      <c r="P358" s="4271"/>
      <c r="Q358" s="4271"/>
      <c r="R358" s="4271"/>
      <c r="S358" s="4271"/>
      <c r="T358" s="4271"/>
      <c r="U358" s="4271"/>
      <c r="V358" s="4272"/>
      <c r="W358" s="12">
        <f t="shared" si="22"/>
        <v>1</v>
      </c>
      <c r="X358" s="12">
        <f t="shared" si="23"/>
        <v>1</v>
      </c>
      <c r="Y358" s="12">
        <f t="shared" si="20"/>
        <v>1</v>
      </c>
    </row>
    <row r="359" spans="3:25" ht="15.7">
      <c r="D359" s="4267" t="str">
        <f>T('2 REPAIR ESTIMATOR'!D348:O348)</f>
        <v/>
      </c>
      <c r="E359" s="4268"/>
      <c r="F359" s="4268"/>
      <c r="G359" s="4268"/>
      <c r="H359" s="4268"/>
      <c r="I359" s="4268"/>
      <c r="J359" s="4268"/>
      <c r="K359" s="4268"/>
      <c r="L359" s="4269">
        <f>'2 REPAIR ESTIMATOR'!P348</f>
        <v>0</v>
      </c>
      <c r="M359" s="4269"/>
      <c r="N359" s="4270" t="str">
        <f>T('2 REPAIR ESTIMATOR'!S348)</f>
        <v/>
      </c>
      <c r="O359" s="4270"/>
      <c r="P359" s="4271"/>
      <c r="Q359" s="4271"/>
      <c r="R359" s="4271"/>
      <c r="S359" s="4271"/>
      <c r="T359" s="4271"/>
      <c r="U359" s="4271"/>
      <c r="V359" s="4272"/>
      <c r="W359" s="12">
        <f t="shared" si="22"/>
        <v>1</v>
      </c>
      <c r="X359" s="12">
        <f t="shared" si="23"/>
        <v>1</v>
      </c>
      <c r="Y359" s="12">
        <f t="shared" si="20"/>
        <v>1</v>
      </c>
    </row>
    <row r="360" spans="3:25" ht="15.7">
      <c r="D360" s="4267" t="str">
        <f>T('2 REPAIR ESTIMATOR'!D349:O349)</f>
        <v/>
      </c>
      <c r="E360" s="4268"/>
      <c r="F360" s="4268"/>
      <c r="G360" s="4268"/>
      <c r="H360" s="4268"/>
      <c r="I360" s="4268"/>
      <c r="J360" s="4268"/>
      <c r="K360" s="4268"/>
      <c r="L360" s="4269">
        <f>'2 REPAIR ESTIMATOR'!P349</f>
        <v>0</v>
      </c>
      <c r="M360" s="4269"/>
      <c r="N360" s="4270" t="str">
        <f>T('2 REPAIR ESTIMATOR'!S349)</f>
        <v/>
      </c>
      <c r="O360" s="4270"/>
      <c r="P360" s="4271"/>
      <c r="Q360" s="4271"/>
      <c r="R360" s="4271"/>
      <c r="S360" s="4271"/>
      <c r="T360" s="4271"/>
      <c r="U360" s="4271"/>
      <c r="V360" s="4272"/>
      <c r="W360" s="12">
        <f t="shared" si="22"/>
        <v>1</v>
      </c>
      <c r="X360" s="12">
        <f t="shared" si="23"/>
        <v>1</v>
      </c>
      <c r="Y360" s="12">
        <f t="shared" si="20"/>
        <v>1</v>
      </c>
    </row>
    <row r="361" spans="3:25" ht="15.7">
      <c r="D361" s="4267" t="str">
        <f>T('2 REPAIR ESTIMATOR'!D350:O350)</f>
        <v/>
      </c>
      <c r="E361" s="4268"/>
      <c r="F361" s="4268"/>
      <c r="G361" s="4268"/>
      <c r="H361" s="4268"/>
      <c r="I361" s="4268"/>
      <c r="J361" s="4268"/>
      <c r="K361" s="4268"/>
      <c r="L361" s="4269">
        <f>'2 REPAIR ESTIMATOR'!P350</f>
        <v>0</v>
      </c>
      <c r="M361" s="4269"/>
      <c r="N361" s="4270" t="str">
        <f>T('2 REPAIR ESTIMATOR'!S350)</f>
        <v/>
      </c>
      <c r="O361" s="4270"/>
      <c r="P361" s="4271"/>
      <c r="Q361" s="4271"/>
      <c r="R361" s="4271"/>
      <c r="S361" s="4271"/>
      <c r="T361" s="4271"/>
      <c r="U361" s="4271"/>
      <c r="V361" s="4272"/>
      <c r="W361" s="12">
        <f t="shared" si="22"/>
        <v>1</v>
      </c>
      <c r="X361" s="12">
        <f t="shared" si="23"/>
        <v>1</v>
      </c>
      <c r="Y361" s="12">
        <f t="shared" si="20"/>
        <v>1</v>
      </c>
    </row>
    <row r="362" spans="3:25" ht="15.7">
      <c r="D362" s="4267" t="str">
        <f>T('2 REPAIR ESTIMATOR'!D351:O351)</f>
        <v/>
      </c>
      <c r="E362" s="4268"/>
      <c r="F362" s="4268"/>
      <c r="G362" s="4268"/>
      <c r="H362" s="4268"/>
      <c r="I362" s="4268"/>
      <c r="J362" s="4268"/>
      <c r="K362" s="4268"/>
      <c r="L362" s="4269">
        <f>'2 REPAIR ESTIMATOR'!P351</f>
        <v>0</v>
      </c>
      <c r="M362" s="4269"/>
      <c r="N362" s="4270" t="str">
        <f>T('2 REPAIR ESTIMATOR'!S351)</f>
        <v/>
      </c>
      <c r="O362" s="4270"/>
      <c r="P362" s="4271"/>
      <c r="Q362" s="4271"/>
      <c r="R362" s="4271"/>
      <c r="S362" s="4271"/>
      <c r="T362" s="4271"/>
      <c r="U362" s="4271"/>
      <c r="V362" s="4272"/>
      <c r="W362" s="12">
        <f t="shared" si="22"/>
        <v>1</v>
      </c>
      <c r="X362" s="12">
        <f t="shared" si="23"/>
        <v>1</v>
      </c>
      <c r="Y362" s="12">
        <f t="shared" si="20"/>
        <v>1</v>
      </c>
    </row>
    <row r="363" spans="3:25" ht="15.7">
      <c r="D363" s="4267" t="str">
        <f>T('2 REPAIR ESTIMATOR'!D352:O352)</f>
        <v/>
      </c>
      <c r="E363" s="4268"/>
      <c r="F363" s="4268"/>
      <c r="G363" s="4268"/>
      <c r="H363" s="4268"/>
      <c r="I363" s="4268"/>
      <c r="J363" s="4268"/>
      <c r="K363" s="4268"/>
      <c r="L363" s="4269">
        <f>'2 REPAIR ESTIMATOR'!P352</f>
        <v>0</v>
      </c>
      <c r="M363" s="4269"/>
      <c r="N363" s="4270" t="str">
        <f>T('2 REPAIR ESTIMATOR'!S352)</f>
        <v/>
      </c>
      <c r="O363" s="4270"/>
      <c r="P363" s="4271"/>
      <c r="Q363" s="4271"/>
      <c r="R363" s="4271"/>
      <c r="S363" s="4271"/>
      <c r="T363" s="4271"/>
      <c r="U363" s="4271"/>
      <c r="V363" s="4272"/>
      <c r="W363" s="12">
        <f t="shared" si="22"/>
        <v>1</v>
      </c>
      <c r="X363" s="12">
        <f t="shared" si="23"/>
        <v>1</v>
      </c>
      <c r="Y363" s="12">
        <f t="shared" si="20"/>
        <v>1</v>
      </c>
    </row>
    <row r="364" spans="3:25" ht="15.7">
      <c r="C364" s="6"/>
      <c r="D364" s="723"/>
      <c r="E364" s="723"/>
      <c r="F364" s="723"/>
      <c r="G364" s="723"/>
      <c r="H364" s="723"/>
      <c r="I364" s="723"/>
      <c r="J364" s="723"/>
      <c r="K364" s="723"/>
      <c r="L364" s="724"/>
      <c r="M364" s="724"/>
      <c r="N364" s="725"/>
      <c r="O364" s="725"/>
      <c r="P364" s="724"/>
      <c r="Q364" s="445"/>
      <c r="R364" s="445"/>
      <c r="S364" s="725"/>
      <c r="T364" s="725"/>
      <c r="U364" s="725"/>
      <c r="V364" s="725"/>
      <c r="W364" s="12">
        <f>W365</f>
        <v>0</v>
      </c>
      <c r="X364" s="12">
        <f t="shared" si="23"/>
        <v>1</v>
      </c>
      <c r="Y364" s="12">
        <f t="shared" ref="Y364:Y427" si="24">W364*X364</f>
        <v>0</v>
      </c>
    </row>
    <row r="365" spans="3:25" ht="16.7">
      <c r="C365" s="6"/>
      <c r="D365" s="4266" t="str">
        <f>UPPER(CONCATENATE("Miscellaneous ",D323," Items"))</f>
        <v>MISCELLANEOUS SIDING ITEMS</v>
      </c>
      <c r="E365" s="4266"/>
      <c r="F365" s="4266"/>
      <c r="G365" s="4266"/>
      <c r="H365" s="4266"/>
      <c r="I365" s="4266"/>
      <c r="J365" s="4266"/>
      <c r="K365" s="4266"/>
      <c r="L365" s="4266"/>
      <c r="M365" s="4266"/>
      <c r="N365" s="4266"/>
      <c r="O365" s="4266"/>
      <c r="P365" s="4266"/>
      <c r="Q365" s="4266"/>
      <c r="R365" s="4266"/>
      <c r="S365" s="4266"/>
      <c r="T365" s="4266"/>
      <c r="U365" s="4266"/>
      <c r="V365" s="4266"/>
      <c r="W365" s="12">
        <f>SUM(W366:W375)</f>
        <v>0</v>
      </c>
      <c r="X365" s="12">
        <f t="shared" si="23"/>
        <v>1</v>
      </c>
      <c r="Y365" s="12">
        <f t="shared" si="24"/>
        <v>0</v>
      </c>
    </row>
    <row r="366" spans="3:25" ht="15.7">
      <c r="C366" s="6"/>
      <c r="D366" s="712">
        <v>1</v>
      </c>
      <c r="E366" s="4263" t="s">
        <v>1420</v>
      </c>
      <c r="F366" s="4263"/>
      <c r="G366" s="4263"/>
      <c r="H366" s="4263"/>
      <c r="I366" s="4263"/>
      <c r="J366" s="4263"/>
      <c r="K366" s="4263"/>
      <c r="L366" s="4263"/>
      <c r="M366" s="4263"/>
      <c r="N366" s="4263"/>
      <c r="O366" s="4263"/>
      <c r="P366" s="4263"/>
      <c r="Q366" s="4263"/>
      <c r="R366" s="4263"/>
      <c r="S366" s="4263"/>
      <c r="T366" s="4263"/>
      <c r="U366" s="4263"/>
      <c r="V366" s="4263"/>
      <c r="W366" s="12">
        <f>IF(E366&lt;&gt;"",1,0)*W323</f>
        <v>0</v>
      </c>
      <c r="X366" s="12">
        <f t="shared" si="23"/>
        <v>1</v>
      </c>
      <c r="Y366" s="12">
        <f t="shared" si="24"/>
        <v>0</v>
      </c>
    </row>
    <row r="367" spans="3:25" ht="15.7">
      <c r="C367" s="6"/>
      <c r="D367" s="712">
        <v>2</v>
      </c>
      <c r="E367" s="4263" t="s">
        <v>1432</v>
      </c>
      <c r="F367" s="4263"/>
      <c r="G367" s="4263"/>
      <c r="H367" s="4263"/>
      <c r="I367" s="4263"/>
      <c r="J367" s="4263"/>
      <c r="K367" s="4263"/>
      <c r="L367" s="4263"/>
      <c r="M367" s="4263"/>
      <c r="N367" s="4263"/>
      <c r="O367" s="4263"/>
      <c r="P367" s="4263"/>
      <c r="Q367" s="4263"/>
      <c r="R367" s="4263"/>
      <c r="S367" s="4263"/>
      <c r="T367" s="4263"/>
      <c r="U367" s="4263"/>
      <c r="V367" s="4263"/>
      <c r="W367" s="12">
        <f>IF(E367&lt;&gt;"",1,0)*W323</f>
        <v>0</v>
      </c>
      <c r="X367" s="12">
        <f t="shared" si="23"/>
        <v>1</v>
      </c>
      <c r="Y367" s="12">
        <f t="shared" si="24"/>
        <v>0</v>
      </c>
    </row>
    <row r="368" spans="3:25" ht="15.7">
      <c r="C368" s="6"/>
      <c r="D368" s="712">
        <v>3</v>
      </c>
      <c r="E368" s="4263" t="s">
        <v>1433</v>
      </c>
      <c r="F368" s="4263"/>
      <c r="G368" s="4263"/>
      <c r="H368" s="4263"/>
      <c r="I368" s="4263"/>
      <c r="J368" s="4263"/>
      <c r="K368" s="4263"/>
      <c r="L368" s="4263"/>
      <c r="M368" s="4263"/>
      <c r="N368" s="4263"/>
      <c r="O368" s="4263"/>
      <c r="P368" s="4263"/>
      <c r="Q368" s="4263"/>
      <c r="R368" s="4263"/>
      <c r="S368" s="4263"/>
      <c r="T368" s="4263"/>
      <c r="U368" s="4263"/>
      <c r="V368" s="4263"/>
      <c r="W368" s="12">
        <f>IF(E368&lt;&gt;"",1,0)*W323</f>
        <v>0</v>
      </c>
      <c r="X368" s="12">
        <f t="shared" si="23"/>
        <v>1</v>
      </c>
      <c r="Y368" s="12">
        <f t="shared" si="24"/>
        <v>0</v>
      </c>
    </row>
    <row r="369" spans="3:25" ht="15.7">
      <c r="C369" s="6"/>
      <c r="D369" s="712">
        <v>4</v>
      </c>
      <c r="E369" s="4263" t="s">
        <v>1434</v>
      </c>
      <c r="F369" s="4263"/>
      <c r="G369" s="4263"/>
      <c r="H369" s="4263"/>
      <c r="I369" s="4263"/>
      <c r="J369" s="4263"/>
      <c r="K369" s="4263"/>
      <c r="L369" s="4263"/>
      <c r="M369" s="4263"/>
      <c r="N369" s="4263"/>
      <c r="O369" s="4263"/>
      <c r="P369" s="4263"/>
      <c r="Q369" s="4263"/>
      <c r="R369" s="4263"/>
      <c r="S369" s="4263"/>
      <c r="T369" s="4263"/>
      <c r="U369" s="4263"/>
      <c r="V369" s="4263"/>
      <c r="W369" s="12">
        <f>IF(E369&lt;&gt;"",1,0)*W323</f>
        <v>0</v>
      </c>
      <c r="X369" s="12">
        <f t="shared" si="23"/>
        <v>1</v>
      </c>
      <c r="Y369" s="12">
        <f t="shared" si="24"/>
        <v>0</v>
      </c>
    </row>
    <row r="370" spans="3:25" ht="15.7">
      <c r="C370" s="6"/>
      <c r="D370" s="712">
        <v>5</v>
      </c>
      <c r="E370" s="4263" t="s">
        <v>1437</v>
      </c>
      <c r="F370" s="4263"/>
      <c r="G370" s="4263"/>
      <c r="H370" s="4263"/>
      <c r="I370" s="4263"/>
      <c r="J370" s="4263"/>
      <c r="K370" s="4263"/>
      <c r="L370" s="4263"/>
      <c r="M370" s="4263"/>
      <c r="N370" s="4263"/>
      <c r="O370" s="4263"/>
      <c r="P370" s="4263"/>
      <c r="Q370" s="4263"/>
      <c r="R370" s="4263"/>
      <c r="S370" s="4263"/>
      <c r="T370" s="4263"/>
      <c r="U370" s="4263"/>
      <c r="V370" s="4263"/>
      <c r="W370" s="12">
        <f>IF(E370&lt;&gt;"",1,0)*W323</f>
        <v>0</v>
      </c>
      <c r="X370" s="12">
        <f t="shared" si="23"/>
        <v>1</v>
      </c>
      <c r="Y370" s="12">
        <f t="shared" si="24"/>
        <v>0</v>
      </c>
    </row>
    <row r="371" spans="3:25" ht="15.7">
      <c r="C371" s="6"/>
      <c r="D371" s="712">
        <v>6</v>
      </c>
      <c r="E371" s="4263"/>
      <c r="F371" s="4263"/>
      <c r="G371" s="4263"/>
      <c r="H371" s="4263"/>
      <c r="I371" s="4263"/>
      <c r="J371" s="4263"/>
      <c r="K371" s="4263"/>
      <c r="L371" s="4263"/>
      <c r="M371" s="4263"/>
      <c r="N371" s="4263"/>
      <c r="O371" s="4263"/>
      <c r="P371" s="4263"/>
      <c r="Q371" s="4263"/>
      <c r="R371" s="4263"/>
      <c r="S371" s="4263"/>
      <c r="T371" s="4263"/>
      <c r="U371" s="4263"/>
      <c r="V371" s="4263"/>
      <c r="W371" s="12">
        <f>IF(E371&lt;&gt;"",1,0)*W323</f>
        <v>0</v>
      </c>
      <c r="X371" s="12">
        <f t="shared" si="23"/>
        <v>1</v>
      </c>
      <c r="Y371" s="12">
        <f t="shared" si="24"/>
        <v>0</v>
      </c>
    </row>
    <row r="372" spans="3:25" ht="15.7">
      <c r="C372" s="6"/>
      <c r="D372" s="712">
        <v>7</v>
      </c>
      <c r="E372" s="4263"/>
      <c r="F372" s="4263"/>
      <c r="G372" s="4263"/>
      <c r="H372" s="4263"/>
      <c r="I372" s="4263"/>
      <c r="J372" s="4263"/>
      <c r="K372" s="4263"/>
      <c r="L372" s="4263"/>
      <c r="M372" s="4263"/>
      <c r="N372" s="4263"/>
      <c r="O372" s="4263"/>
      <c r="P372" s="4263"/>
      <c r="Q372" s="4263"/>
      <c r="R372" s="4263"/>
      <c r="S372" s="4263"/>
      <c r="T372" s="4263"/>
      <c r="U372" s="4263"/>
      <c r="V372" s="4263"/>
      <c r="W372" s="12">
        <f>IF(E372&lt;&gt;"",1,0)*W323</f>
        <v>0</v>
      </c>
      <c r="X372" s="12">
        <f t="shared" si="23"/>
        <v>1</v>
      </c>
      <c r="Y372" s="12">
        <f t="shared" si="24"/>
        <v>0</v>
      </c>
    </row>
    <row r="373" spans="3:25" ht="15.7">
      <c r="C373" s="6"/>
      <c r="D373" s="712">
        <v>8</v>
      </c>
      <c r="E373" s="4263"/>
      <c r="F373" s="4263"/>
      <c r="G373" s="4263"/>
      <c r="H373" s="4263"/>
      <c r="I373" s="4263"/>
      <c r="J373" s="4263"/>
      <c r="K373" s="4263"/>
      <c r="L373" s="4263"/>
      <c r="M373" s="4263"/>
      <c r="N373" s="4263"/>
      <c r="O373" s="4263"/>
      <c r="P373" s="4263"/>
      <c r="Q373" s="4263"/>
      <c r="R373" s="4263"/>
      <c r="S373" s="4263"/>
      <c r="T373" s="4263"/>
      <c r="U373" s="4263"/>
      <c r="V373" s="4263"/>
      <c r="W373" s="12">
        <f>IF(E373&lt;&gt;"",1,0)*W323</f>
        <v>0</v>
      </c>
      <c r="X373" s="12">
        <f t="shared" si="23"/>
        <v>1</v>
      </c>
      <c r="Y373" s="12">
        <f t="shared" si="24"/>
        <v>0</v>
      </c>
    </row>
    <row r="374" spans="3:25" ht="15.7">
      <c r="C374" s="6"/>
      <c r="D374" s="712">
        <v>9</v>
      </c>
      <c r="E374" s="4263"/>
      <c r="F374" s="4263"/>
      <c r="G374" s="4263"/>
      <c r="H374" s="4263"/>
      <c r="I374" s="4263"/>
      <c r="J374" s="4263"/>
      <c r="K374" s="4263"/>
      <c r="L374" s="4263"/>
      <c r="M374" s="4263"/>
      <c r="N374" s="4263"/>
      <c r="O374" s="4263"/>
      <c r="P374" s="4263"/>
      <c r="Q374" s="4263"/>
      <c r="R374" s="4263"/>
      <c r="S374" s="4263"/>
      <c r="T374" s="4263"/>
      <c r="U374" s="4263"/>
      <c r="V374" s="4263"/>
      <c r="W374" s="12">
        <f>IF(E374&lt;&gt;"",1,0)*W323</f>
        <v>0</v>
      </c>
      <c r="X374" s="12">
        <f t="shared" si="23"/>
        <v>1</v>
      </c>
      <c r="Y374" s="12">
        <f t="shared" si="24"/>
        <v>0</v>
      </c>
    </row>
    <row r="375" spans="3:25" ht="15.7">
      <c r="C375" s="6"/>
      <c r="D375" s="712">
        <v>10</v>
      </c>
      <c r="E375" s="4263"/>
      <c r="F375" s="4263"/>
      <c r="G375" s="4263"/>
      <c r="H375" s="4263"/>
      <c r="I375" s="4263"/>
      <c r="J375" s="4263"/>
      <c r="K375" s="4263"/>
      <c r="L375" s="4263"/>
      <c r="M375" s="4263"/>
      <c r="N375" s="4263"/>
      <c r="O375" s="4263"/>
      <c r="P375" s="4263"/>
      <c r="Q375" s="4263"/>
      <c r="R375" s="4263"/>
      <c r="S375" s="4263"/>
      <c r="T375" s="4263"/>
      <c r="U375" s="4263"/>
      <c r="V375" s="4263"/>
      <c r="W375" s="12">
        <f>IF(E375&lt;&gt;"",1,0)*W323</f>
        <v>0</v>
      </c>
      <c r="X375" s="12">
        <f t="shared" si="23"/>
        <v>1</v>
      </c>
      <c r="Y375" s="12">
        <f t="shared" si="24"/>
        <v>0</v>
      </c>
    </row>
    <row r="376" spans="3:25" ht="15.7">
      <c r="C376" s="6"/>
      <c r="D376" s="723"/>
      <c r="E376" s="723"/>
      <c r="F376" s="723"/>
      <c r="G376" s="723"/>
      <c r="H376" s="723"/>
      <c r="I376" s="723"/>
      <c r="J376" s="723"/>
      <c r="K376" s="723"/>
      <c r="L376" s="724"/>
      <c r="M376" s="724"/>
      <c r="N376" s="725"/>
      <c r="O376" s="725"/>
      <c r="P376" s="724"/>
      <c r="Q376" s="445"/>
      <c r="R376" s="445"/>
      <c r="S376" s="726"/>
      <c r="T376" s="726"/>
      <c r="U376" s="726"/>
      <c r="V376" s="726"/>
      <c r="W376" s="12">
        <f>W323</f>
        <v>0</v>
      </c>
      <c r="X376" s="12">
        <f t="shared" si="23"/>
        <v>1</v>
      </c>
      <c r="Y376" s="12">
        <f t="shared" si="24"/>
        <v>0</v>
      </c>
    </row>
    <row r="377" spans="3:25" ht="40.5" customHeight="1">
      <c r="C377" s="6"/>
      <c r="D377" s="4264" t="str">
        <f>UPPER(CONCATENATE("TOTAL ",D323))</f>
        <v>TOTAL SIDING</v>
      </c>
      <c r="E377" s="4264"/>
      <c r="F377" s="4264"/>
      <c r="G377" s="4264"/>
      <c r="H377" s="4264"/>
      <c r="I377" s="4264"/>
      <c r="J377" s="4264"/>
      <c r="K377" s="4264"/>
      <c r="L377" s="4264"/>
      <c r="M377" s="4264"/>
      <c r="N377" s="4264"/>
      <c r="O377" s="4264"/>
      <c r="P377" s="4264"/>
      <c r="Q377" s="4265"/>
      <c r="R377" s="4265"/>
      <c r="S377" s="4265"/>
      <c r="T377" s="4265"/>
      <c r="U377" s="4265"/>
      <c r="V377" s="4265"/>
      <c r="W377" s="12">
        <f>W323</f>
        <v>0</v>
      </c>
      <c r="X377" s="12">
        <f t="shared" si="23"/>
        <v>1</v>
      </c>
      <c r="Y377" s="12">
        <f t="shared" si="24"/>
        <v>0</v>
      </c>
    </row>
    <row r="378" spans="3:25" ht="15.7">
      <c r="D378" s="723"/>
      <c r="E378" s="723"/>
      <c r="F378" s="723"/>
      <c r="G378" s="723"/>
      <c r="H378" s="723"/>
      <c r="I378" s="723"/>
      <c r="J378" s="723"/>
      <c r="K378" s="723"/>
      <c r="L378" s="724"/>
      <c r="M378" s="724"/>
      <c r="N378" s="725"/>
      <c r="O378" s="725"/>
      <c r="P378" s="724"/>
      <c r="Q378" s="445"/>
      <c r="R378" s="445"/>
      <c r="S378" s="726"/>
      <c r="T378" s="726"/>
      <c r="U378" s="726"/>
      <c r="V378" s="726"/>
      <c r="W378" s="12">
        <f>W323</f>
        <v>0</v>
      </c>
      <c r="X378" s="12">
        <f t="shared" si="23"/>
        <v>1</v>
      </c>
      <c r="Y378" s="12">
        <f t="shared" si="24"/>
        <v>0</v>
      </c>
    </row>
    <row r="379" spans="3:25" ht="26.45" customHeight="1">
      <c r="D379" s="4275" t="str">
        <f>T('2 REPAIR ESTIMATOR'!D357:O357)</f>
        <v>DECKING AND PATIOS</v>
      </c>
      <c r="E379" s="4275"/>
      <c r="F379" s="4275"/>
      <c r="G379" s="4275"/>
      <c r="H379" s="4275"/>
      <c r="I379" s="4275"/>
      <c r="J379" s="4275"/>
      <c r="K379" s="4276"/>
      <c r="L379" s="4277">
        <f>SUM(L380:M419)</f>
        <v>0</v>
      </c>
      <c r="M379" s="4278"/>
      <c r="N379" s="4279"/>
      <c r="O379" s="4280"/>
      <c r="P379" s="4277"/>
      <c r="Q379" s="4281"/>
      <c r="R379" s="4281"/>
      <c r="S379" s="4281"/>
      <c r="T379" s="4281"/>
      <c r="U379" s="4281"/>
      <c r="V379" s="4281"/>
      <c r="W379" s="12">
        <f>IF(L379&gt;0,1,0)</f>
        <v>0</v>
      </c>
      <c r="X379" s="12">
        <f t="shared" ref="X379:X410" si="25">IF(Scope7_Setting="Shown",1,0)</f>
        <v>1</v>
      </c>
      <c r="Y379" s="12">
        <f t="shared" si="24"/>
        <v>0</v>
      </c>
    </row>
    <row r="380" spans="3:25" ht="15.7">
      <c r="D380" s="4267" t="str">
        <f>T('2 REPAIR ESTIMATOR'!D358:O358)</f>
        <v>Decking</v>
      </c>
      <c r="E380" s="4268"/>
      <c r="F380" s="4268"/>
      <c r="G380" s="4268"/>
      <c r="H380" s="4268"/>
      <c r="I380" s="4268"/>
      <c r="J380" s="4268"/>
      <c r="K380" s="4268"/>
      <c r="L380" s="4269">
        <f>'2 REPAIR ESTIMATOR'!P358</f>
        <v>0</v>
      </c>
      <c r="M380" s="4269"/>
      <c r="N380" s="4270" t="str">
        <f>T('2 REPAIR ESTIMATOR'!S358)</f>
        <v/>
      </c>
      <c r="O380" s="4270"/>
      <c r="P380" s="4273"/>
      <c r="Q380" s="4273"/>
      <c r="R380" s="4273"/>
      <c r="S380" s="4273"/>
      <c r="T380" s="4273"/>
      <c r="U380" s="4273"/>
      <c r="V380" s="4274"/>
      <c r="W380" s="12">
        <f>IF(L380="",0,1)</f>
        <v>1</v>
      </c>
      <c r="X380" s="12">
        <f t="shared" si="25"/>
        <v>1</v>
      </c>
      <c r="Y380" s="12">
        <f t="shared" si="24"/>
        <v>1</v>
      </c>
    </row>
    <row r="381" spans="3:25" ht="15.7">
      <c r="D381" s="4267" t="str">
        <f>T('2 REPAIR ESTIMATOR'!D359:O359)</f>
        <v>Deck bid/allowance</v>
      </c>
      <c r="E381" s="4268"/>
      <c r="F381" s="4268"/>
      <c r="G381" s="4268"/>
      <c r="H381" s="4268"/>
      <c r="I381" s="4268"/>
      <c r="J381" s="4268"/>
      <c r="K381" s="4268"/>
      <c r="L381" s="4269">
        <f>'2 REPAIR ESTIMATOR'!P359</f>
        <v>0</v>
      </c>
      <c r="M381" s="4269"/>
      <c r="N381" s="4270" t="str">
        <f>T('2 REPAIR ESTIMATOR'!S359)</f>
        <v>ls</v>
      </c>
      <c r="O381" s="4270"/>
      <c r="P381" s="4271"/>
      <c r="Q381" s="4271"/>
      <c r="R381" s="4271"/>
      <c r="S381" s="4271"/>
      <c r="T381" s="4271"/>
      <c r="U381" s="4271"/>
      <c r="V381" s="4272"/>
      <c r="W381" s="12">
        <f t="shared" ref="W381:W419" si="26">IF(L381="",0,1)</f>
        <v>1</v>
      </c>
      <c r="X381" s="12">
        <f t="shared" si="25"/>
        <v>1</v>
      </c>
      <c r="Y381" s="12">
        <f t="shared" si="24"/>
        <v>1</v>
      </c>
    </row>
    <row r="382" spans="3:25" ht="15.7">
      <c r="D382" s="4267" t="str">
        <f>T('2 REPAIR ESTIMATOR'!D360:O360)</f>
        <v>New deck, columns, joists, railing-treated lumber</v>
      </c>
      <c r="E382" s="4268"/>
      <c r="F382" s="4268"/>
      <c r="G382" s="4268"/>
      <c r="H382" s="4268"/>
      <c r="I382" s="4268"/>
      <c r="J382" s="4268"/>
      <c r="K382" s="4268"/>
      <c r="L382" s="4269">
        <f>'2 REPAIR ESTIMATOR'!P360</f>
        <v>0</v>
      </c>
      <c r="M382" s="4269"/>
      <c r="N382" s="4270" t="str">
        <f>T('2 REPAIR ESTIMATOR'!S360)</f>
        <v>sf</v>
      </c>
      <c r="O382" s="4270"/>
      <c r="P382" s="4271"/>
      <c r="Q382" s="4271"/>
      <c r="R382" s="4271"/>
      <c r="S382" s="4271"/>
      <c r="T382" s="4271"/>
      <c r="U382" s="4271"/>
      <c r="V382" s="4272"/>
      <c r="W382" s="12">
        <f t="shared" si="26"/>
        <v>1</v>
      </c>
      <c r="X382" s="12">
        <f t="shared" si="25"/>
        <v>1</v>
      </c>
      <c r="Y382" s="12">
        <f t="shared" si="24"/>
        <v>1</v>
      </c>
    </row>
    <row r="383" spans="3:25" ht="15.7">
      <c r="D383" s="4267" t="str">
        <f>T('2 REPAIR ESTIMATOR'!D361:O361)</f>
        <v>New deck, columns, joists, railing-cedar</v>
      </c>
      <c r="E383" s="4268"/>
      <c r="F383" s="4268"/>
      <c r="G383" s="4268"/>
      <c r="H383" s="4268"/>
      <c r="I383" s="4268"/>
      <c r="J383" s="4268"/>
      <c r="K383" s="4268"/>
      <c r="L383" s="4269">
        <f>'2 REPAIR ESTIMATOR'!P361</f>
        <v>0</v>
      </c>
      <c r="M383" s="4269"/>
      <c r="N383" s="4270" t="str">
        <f>T('2 REPAIR ESTIMATOR'!S361)</f>
        <v>sf</v>
      </c>
      <c r="O383" s="4270"/>
      <c r="P383" s="4271"/>
      <c r="Q383" s="4271"/>
      <c r="R383" s="4271"/>
      <c r="S383" s="4271"/>
      <c r="T383" s="4271"/>
      <c r="U383" s="4271"/>
      <c r="V383" s="4272"/>
      <c r="W383" s="12">
        <f t="shared" si="26"/>
        <v>1</v>
      </c>
      <c r="X383" s="12">
        <f t="shared" si="25"/>
        <v>1</v>
      </c>
      <c r="Y383" s="12">
        <f t="shared" si="24"/>
        <v>1</v>
      </c>
    </row>
    <row r="384" spans="3:25" ht="15.7">
      <c r="D384" s="4267" t="str">
        <f>T('2 REPAIR ESTIMATOR'!D362:O362)</f>
        <v>Existing deck, replace decking</v>
      </c>
      <c r="E384" s="4268"/>
      <c r="F384" s="4268"/>
      <c r="G384" s="4268"/>
      <c r="H384" s="4268"/>
      <c r="I384" s="4268"/>
      <c r="J384" s="4268"/>
      <c r="K384" s="4268"/>
      <c r="L384" s="4269">
        <f>'2 REPAIR ESTIMATOR'!P362</f>
        <v>0</v>
      </c>
      <c r="M384" s="4269"/>
      <c r="N384" s="4270" t="str">
        <f>T('2 REPAIR ESTIMATOR'!S362)</f>
        <v>sf</v>
      </c>
      <c r="O384" s="4270"/>
      <c r="P384" s="4271"/>
      <c r="Q384" s="4271"/>
      <c r="R384" s="4271"/>
      <c r="S384" s="4271"/>
      <c r="T384" s="4271"/>
      <c r="U384" s="4271"/>
      <c r="V384" s="4272"/>
      <c r="W384" s="12">
        <f t="shared" si="26"/>
        <v>1</v>
      </c>
      <c r="X384" s="12">
        <f t="shared" si="25"/>
        <v>1</v>
      </c>
      <c r="Y384" s="12">
        <f t="shared" si="24"/>
        <v>1</v>
      </c>
    </row>
    <row r="385" spans="4:25" ht="15.7">
      <c r="D385" s="4267" t="str">
        <f>T('2 REPAIR ESTIMATOR'!D363:O363)</f>
        <v>Install railing w/ wood balusters only</v>
      </c>
      <c r="E385" s="4268"/>
      <c r="F385" s="4268"/>
      <c r="G385" s="4268"/>
      <c r="H385" s="4268"/>
      <c r="I385" s="4268"/>
      <c r="J385" s="4268"/>
      <c r="K385" s="4268"/>
      <c r="L385" s="4269">
        <f>'2 REPAIR ESTIMATOR'!P363</f>
        <v>0</v>
      </c>
      <c r="M385" s="4269"/>
      <c r="N385" s="4270" t="str">
        <f>T('2 REPAIR ESTIMATOR'!S363)</f>
        <v>lf</v>
      </c>
      <c r="O385" s="4270"/>
      <c r="P385" s="4271"/>
      <c r="Q385" s="4271"/>
      <c r="R385" s="4271"/>
      <c r="S385" s="4271"/>
      <c r="T385" s="4271"/>
      <c r="U385" s="4271"/>
      <c r="V385" s="4272"/>
      <c r="W385" s="12">
        <f t="shared" si="26"/>
        <v>1</v>
      </c>
      <c r="X385" s="12">
        <f t="shared" si="25"/>
        <v>1</v>
      </c>
      <c r="Y385" s="12">
        <f t="shared" si="24"/>
        <v>1</v>
      </c>
    </row>
    <row r="386" spans="4:25" ht="15.7">
      <c r="D386" s="4267" t="str">
        <f>T('2 REPAIR ESTIMATOR'!D364:O364)</f>
        <v>Install railing w/ metal balusters only</v>
      </c>
      <c r="E386" s="4268"/>
      <c r="F386" s="4268"/>
      <c r="G386" s="4268"/>
      <c r="H386" s="4268"/>
      <c r="I386" s="4268"/>
      <c r="J386" s="4268"/>
      <c r="K386" s="4268"/>
      <c r="L386" s="4269">
        <f>'2 REPAIR ESTIMATOR'!P364</f>
        <v>0</v>
      </c>
      <c r="M386" s="4269"/>
      <c r="N386" s="4270" t="str">
        <f>T('2 REPAIR ESTIMATOR'!S364)</f>
        <v>lf</v>
      </c>
      <c r="O386" s="4270"/>
      <c r="P386" s="4271"/>
      <c r="Q386" s="4271"/>
      <c r="R386" s="4271"/>
      <c r="S386" s="4271"/>
      <c r="T386" s="4271"/>
      <c r="U386" s="4271"/>
      <c r="V386" s="4272"/>
      <c r="W386" s="12">
        <f t="shared" si="26"/>
        <v>1</v>
      </c>
      <c r="X386" s="12">
        <f t="shared" si="25"/>
        <v>1</v>
      </c>
      <c r="Y386" s="12">
        <f t="shared" si="24"/>
        <v>1</v>
      </c>
    </row>
    <row r="387" spans="4:25" ht="15.7">
      <c r="D387" s="4267" t="str">
        <f>T('2 REPAIR ESTIMATOR'!D365:O365)</f>
        <v>Stairs, 5 to 7 risers</v>
      </c>
      <c r="E387" s="4268"/>
      <c r="F387" s="4268"/>
      <c r="G387" s="4268"/>
      <c r="H387" s="4268"/>
      <c r="I387" s="4268"/>
      <c r="J387" s="4268"/>
      <c r="K387" s="4268"/>
      <c r="L387" s="4269">
        <f>'2 REPAIR ESTIMATOR'!P365</f>
        <v>0</v>
      </c>
      <c r="M387" s="4269"/>
      <c r="N387" s="4270" t="str">
        <f>T('2 REPAIR ESTIMATOR'!S365)</f>
        <v>ea</v>
      </c>
      <c r="O387" s="4270"/>
      <c r="P387" s="4271"/>
      <c r="Q387" s="4271"/>
      <c r="R387" s="4271"/>
      <c r="S387" s="4271"/>
      <c r="T387" s="4271"/>
      <c r="U387" s="4271"/>
      <c r="V387" s="4272"/>
      <c r="W387" s="12">
        <f t="shared" si="26"/>
        <v>1</v>
      </c>
      <c r="X387" s="12">
        <f t="shared" si="25"/>
        <v>1</v>
      </c>
      <c r="Y387" s="12">
        <f t="shared" si="24"/>
        <v>1</v>
      </c>
    </row>
    <row r="388" spans="4:25" ht="15.7">
      <c r="D388" s="4267" t="str">
        <f>T('2 REPAIR ESTIMATOR'!D366:O366)</f>
        <v/>
      </c>
      <c r="E388" s="4268"/>
      <c r="F388" s="4268"/>
      <c r="G388" s="4268"/>
      <c r="H388" s="4268"/>
      <c r="I388" s="4268"/>
      <c r="J388" s="4268"/>
      <c r="K388" s="4268"/>
      <c r="L388" s="4269">
        <f>'2 REPAIR ESTIMATOR'!P366</f>
        <v>0</v>
      </c>
      <c r="M388" s="4269"/>
      <c r="N388" s="4270" t="str">
        <f>T('2 REPAIR ESTIMATOR'!S366)</f>
        <v/>
      </c>
      <c r="O388" s="4270"/>
      <c r="P388" s="4271"/>
      <c r="Q388" s="4271"/>
      <c r="R388" s="4271"/>
      <c r="S388" s="4271"/>
      <c r="T388" s="4271"/>
      <c r="U388" s="4271"/>
      <c r="V388" s="4272"/>
      <c r="W388" s="12">
        <f t="shared" si="26"/>
        <v>1</v>
      </c>
      <c r="X388" s="12">
        <f t="shared" si="25"/>
        <v>1</v>
      </c>
      <c r="Y388" s="12">
        <f t="shared" si="24"/>
        <v>1</v>
      </c>
    </row>
    <row r="389" spans="4:25" ht="15.7">
      <c r="D389" s="4267" t="str">
        <f>T('2 REPAIR ESTIMATOR'!D367:O367)</f>
        <v/>
      </c>
      <c r="E389" s="4268"/>
      <c r="F389" s="4268"/>
      <c r="G389" s="4268"/>
      <c r="H389" s="4268"/>
      <c r="I389" s="4268"/>
      <c r="J389" s="4268"/>
      <c r="K389" s="4268"/>
      <c r="L389" s="4269">
        <f>'2 REPAIR ESTIMATOR'!P367</f>
        <v>0</v>
      </c>
      <c r="M389" s="4269"/>
      <c r="N389" s="4270" t="str">
        <f>T('2 REPAIR ESTIMATOR'!S367)</f>
        <v/>
      </c>
      <c r="O389" s="4270"/>
      <c r="P389" s="4271"/>
      <c r="Q389" s="4271"/>
      <c r="R389" s="4271"/>
      <c r="S389" s="4271"/>
      <c r="T389" s="4271"/>
      <c r="U389" s="4271"/>
      <c r="V389" s="4272"/>
      <c r="W389" s="12">
        <f t="shared" si="26"/>
        <v>1</v>
      </c>
      <c r="X389" s="12">
        <f t="shared" si="25"/>
        <v>1</v>
      </c>
      <c r="Y389" s="12">
        <f t="shared" si="24"/>
        <v>1</v>
      </c>
    </row>
    <row r="390" spans="4:25" ht="15.7">
      <c r="D390" s="4267" t="str">
        <f>T('2 REPAIR ESTIMATOR'!D368:O368)</f>
        <v>Covered Patio</v>
      </c>
      <c r="E390" s="4268"/>
      <c r="F390" s="4268"/>
      <c r="G390" s="4268"/>
      <c r="H390" s="4268"/>
      <c r="I390" s="4268"/>
      <c r="J390" s="4268"/>
      <c r="K390" s="4268"/>
      <c r="L390" s="4269">
        <f>'2 REPAIR ESTIMATOR'!P368</f>
        <v>0</v>
      </c>
      <c r="M390" s="4269"/>
      <c r="N390" s="4270" t="str">
        <f>T('2 REPAIR ESTIMATOR'!S368)</f>
        <v/>
      </c>
      <c r="O390" s="4270"/>
      <c r="P390" s="4271"/>
      <c r="Q390" s="4271"/>
      <c r="R390" s="4271"/>
      <c r="S390" s="4271"/>
      <c r="T390" s="4271"/>
      <c r="U390" s="4271"/>
      <c r="V390" s="4272"/>
      <c r="W390" s="12">
        <f t="shared" si="26"/>
        <v>1</v>
      </c>
      <c r="X390" s="12">
        <f t="shared" si="25"/>
        <v>1</v>
      </c>
      <c r="Y390" s="12">
        <f t="shared" si="24"/>
        <v>1</v>
      </c>
    </row>
    <row r="391" spans="4:25" ht="15.7">
      <c r="D391" s="4267" t="str">
        <f>T('2 REPAIR ESTIMATOR'!D369:O369)</f>
        <v>Covered Patio bid/allowance</v>
      </c>
      <c r="E391" s="4268"/>
      <c r="F391" s="4268"/>
      <c r="G391" s="4268"/>
      <c r="H391" s="4268"/>
      <c r="I391" s="4268"/>
      <c r="J391" s="4268"/>
      <c r="K391" s="4268"/>
      <c r="L391" s="4269">
        <f>'2 REPAIR ESTIMATOR'!P369</f>
        <v>0</v>
      </c>
      <c r="M391" s="4269"/>
      <c r="N391" s="4270" t="str">
        <f>T('2 REPAIR ESTIMATOR'!S369)</f>
        <v>ls</v>
      </c>
      <c r="O391" s="4270"/>
      <c r="P391" s="4271"/>
      <c r="Q391" s="4271"/>
      <c r="R391" s="4271"/>
      <c r="S391" s="4271"/>
      <c r="T391" s="4271"/>
      <c r="U391" s="4271"/>
      <c r="V391" s="4272"/>
      <c r="W391" s="12">
        <f t="shared" si="26"/>
        <v>1</v>
      </c>
      <c r="X391" s="12">
        <f t="shared" si="25"/>
        <v>1</v>
      </c>
      <c r="Y391" s="12">
        <f t="shared" si="24"/>
        <v>1</v>
      </c>
    </row>
    <row r="392" spans="4:25" ht="15.7">
      <c r="D392" s="4267" t="str">
        <f>T('2 REPAIR ESTIMATOR'!D370:O370)</f>
        <v>Covered patio, floor, roof frame, decking, treated</v>
      </c>
      <c r="E392" s="4268"/>
      <c r="F392" s="4268"/>
      <c r="G392" s="4268"/>
      <c r="H392" s="4268"/>
      <c r="I392" s="4268"/>
      <c r="J392" s="4268"/>
      <c r="K392" s="4268"/>
      <c r="L392" s="4269">
        <f>'2 REPAIR ESTIMATOR'!P370</f>
        <v>0</v>
      </c>
      <c r="M392" s="4269"/>
      <c r="N392" s="4270" t="str">
        <f>T('2 REPAIR ESTIMATOR'!S370)</f>
        <v>sf</v>
      </c>
      <c r="O392" s="4270"/>
      <c r="P392" s="4271"/>
      <c r="Q392" s="4271"/>
      <c r="R392" s="4271"/>
      <c r="S392" s="4271"/>
      <c r="T392" s="4271"/>
      <c r="U392" s="4271"/>
      <c r="V392" s="4272"/>
      <c r="W392" s="12">
        <f t="shared" si="26"/>
        <v>1</v>
      </c>
      <c r="X392" s="12">
        <f t="shared" si="25"/>
        <v>1</v>
      </c>
      <c r="Y392" s="12">
        <f t="shared" si="24"/>
        <v>1</v>
      </c>
    </row>
    <row r="393" spans="4:25" ht="15.7">
      <c r="D393" s="4267" t="str">
        <f>T('2 REPAIR ESTIMATOR'!D371:O371)</f>
        <v>Install railing w/ wood balusters only</v>
      </c>
      <c r="E393" s="4268"/>
      <c r="F393" s="4268"/>
      <c r="G393" s="4268"/>
      <c r="H393" s="4268"/>
      <c r="I393" s="4268"/>
      <c r="J393" s="4268"/>
      <c r="K393" s="4268"/>
      <c r="L393" s="4269">
        <f>'2 REPAIR ESTIMATOR'!P371</f>
        <v>0</v>
      </c>
      <c r="M393" s="4269"/>
      <c r="N393" s="4270" t="str">
        <f>T('2 REPAIR ESTIMATOR'!S371)</f>
        <v>lf</v>
      </c>
      <c r="O393" s="4270"/>
      <c r="P393" s="4271"/>
      <c r="Q393" s="4271"/>
      <c r="R393" s="4271"/>
      <c r="S393" s="4271"/>
      <c r="T393" s="4271"/>
      <c r="U393" s="4271"/>
      <c r="V393" s="4272"/>
      <c r="W393" s="12">
        <f t="shared" si="26"/>
        <v>1</v>
      </c>
      <c r="X393" s="12">
        <f t="shared" si="25"/>
        <v>1</v>
      </c>
      <c r="Y393" s="12">
        <f t="shared" si="24"/>
        <v>1</v>
      </c>
    </row>
    <row r="394" spans="4:25" ht="15.7">
      <c r="D394" s="4267" t="str">
        <f>T('2 REPAIR ESTIMATOR'!D372:O372)</f>
        <v>Install railing w/ metal balusters only</v>
      </c>
      <c r="E394" s="4268"/>
      <c r="F394" s="4268"/>
      <c r="G394" s="4268"/>
      <c r="H394" s="4268"/>
      <c r="I394" s="4268"/>
      <c r="J394" s="4268"/>
      <c r="K394" s="4268"/>
      <c r="L394" s="4269">
        <f>'2 REPAIR ESTIMATOR'!P372</f>
        <v>0</v>
      </c>
      <c r="M394" s="4269"/>
      <c r="N394" s="4270" t="str">
        <f>T('2 REPAIR ESTIMATOR'!S372)</f>
        <v>lf</v>
      </c>
      <c r="O394" s="4270"/>
      <c r="P394" s="4271"/>
      <c r="Q394" s="4271"/>
      <c r="R394" s="4271"/>
      <c r="S394" s="4271"/>
      <c r="T394" s="4271"/>
      <c r="U394" s="4271"/>
      <c r="V394" s="4272"/>
      <c r="W394" s="12">
        <f t="shared" si="26"/>
        <v>1</v>
      </c>
      <c r="X394" s="12">
        <f t="shared" si="25"/>
        <v>1</v>
      </c>
      <c r="Y394" s="12">
        <f t="shared" si="24"/>
        <v>1</v>
      </c>
    </row>
    <row r="395" spans="4:25" ht="15.7">
      <c r="D395" s="4267" t="str">
        <f>T('2 REPAIR ESTIMATOR'!D373:O373)</f>
        <v>Stairs, 5 to 7 risers</v>
      </c>
      <c r="E395" s="4268"/>
      <c r="F395" s="4268"/>
      <c r="G395" s="4268"/>
      <c r="H395" s="4268"/>
      <c r="I395" s="4268"/>
      <c r="J395" s="4268"/>
      <c r="K395" s="4268"/>
      <c r="L395" s="4269">
        <f>'2 REPAIR ESTIMATOR'!P373</f>
        <v>0</v>
      </c>
      <c r="M395" s="4269"/>
      <c r="N395" s="4270" t="str">
        <f>T('2 REPAIR ESTIMATOR'!S373)</f>
        <v>ea</v>
      </c>
      <c r="O395" s="4270"/>
      <c r="P395" s="4271"/>
      <c r="Q395" s="4271"/>
      <c r="R395" s="4271"/>
      <c r="S395" s="4271"/>
      <c r="T395" s="4271"/>
      <c r="U395" s="4271"/>
      <c r="V395" s="4272"/>
      <c r="W395" s="12">
        <f t="shared" si="26"/>
        <v>1</v>
      </c>
      <c r="X395" s="12">
        <f t="shared" si="25"/>
        <v>1</v>
      </c>
      <c r="Y395" s="12">
        <f t="shared" si="24"/>
        <v>1</v>
      </c>
    </row>
    <row r="396" spans="4:25" ht="15.7">
      <c r="D396" s="4267" t="str">
        <f>T('2 REPAIR ESTIMATOR'!D374:O374)</f>
        <v>Wood board ceiling, tongue and groove</v>
      </c>
      <c r="E396" s="4268"/>
      <c r="F396" s="4268"/>
      <c r="G396" s="4268"/>
      <c r="H396" s="4268"/>
      <c r="I396" s="4268"/>
      <c r="J396" s="4268"/>
      <c r="K396" s="4268"/>
      <c r="L396" s="4269">
        <f>'2 REPAIR ESTIMATOR'!P374</f>
        <v>0</v>
      </c>
      <c r="M396" s="4269"/>
      <c r="N396" s="4270" t="str">
        <f>T('2 REPAIR ESTIMATOR'!S374)</f>
        <v>sf</v>
      </c>
      <c r="O396" s="4270"/>
      <c r="P396" s="4271"/>
      <c r="Q396" s="4271"/>
      <c r="R396" s="4271"/>
      <c r="S396" s="4271"/>
      <c r="T396" s="4271"/>
      <c r="U396" s="4271"/>
      <c r="V396" s="4272"/>
      <c r="W396" s="12">
        <f t="shared" si="26"/>
        <v>1</v>
      </c>
      <c r="X396" s="12">
        <f t="shared" si="25"/>
        <v>1</v>
      </c>
      <c r="Y396" s="12">
        <f t="shared" si="24"/>
        <v>1</v>
      </c>
    </row>
    <row r="397" spans="4:25" ht="15.7">
      <c r="D397" s="4267" t="str">
        <f>T('2 REPAIR ESTIMATOR'!D375:O375)</f>
        <v>Insect screening</v>
      </c>
      <c r="E397" s="4268"/>
      <c r="F397" s="4268"/>
      <c r="G397" s="4268"/>
      <c r="H397" s="4268"/>
      <c r="I397" s="4268"/>
      <c r="J397" s="4268"/>
      <c r="K397" s="4268"/>
      <c r="L397" s="4269">
        <f>'2 REPAIR ESTIMATOR'!P375</f>
        <v>0</v>
      </c>
      <c r="M397" s="4269"/>
      <c r="N397" s="4270" t="str">
        <f>T('2 REPAIR ESTIMATOR'!S375)</f>
        <v>sf</v>
      </c>
      <c r="O397" s="4270"/>
      <c r="P397" s="4271"/>
      <c r="Q397" s="4271"/>
      <c r="R397" s="4271"/>
      <c r="S397" s="4271"/>
      <c r="T397" s="4271"/>
      <c r="U397" s="4271"/>
      <c r="V397" s="4272"/>
      <c r="W397" s="12">
        <f t="shared" si="26"/>
        <v>1</v>
      </c>
      <c r="X397" s="12">
        <f t="shared" si="25"/>
        <v>1</v>
      </c>
      <c r="Y397" s="12">
        <f t="shared" si="24"/>
        <v>1</v>
      </c>
    </row>
    <row r="398" spans="4:25" ht="15.7">
      <c r="D398" s="4267" t="str">
        <f>T('2 REPAIR ESTIMATOR'!D376:O376)</f>
        <v/>
      </c>
      <c r="E398" s="4268"/>
      <c r="F398" s="4268"/>
      <c r="G398" s="4268"/>
      <c r="H398" s="4268"/>
      <c r="I398" s="4268"/>
      <c r="J398" s="4268"/>
      <c r="K398" s="4268"/>
      <c r="L398" s="4269">
        <f>'2 REPAIR ESTIMATOR'!P376</f>
        <v>0</v>
      </c>
      <c r="M398" s="4269"/>
      <c r="N398" s="4270" t="str">
        <f>T('2 REPAIR ESTIMATOR'!S376)</f>
        <v/>
      </c>
      <c r="O398" s="4270"/>
      <c r="P398" s="4271"/>
      <c r="Q398" s="4271"/>
      <c r="R398" s="4271"/>
      <c r="S398" s="4271"/>
      <c r="T398" s="4271"/>
      <c r="U398" s="4271"/>
      <c r="V398" s="4272"/>
      <c r="W398" s="12">
        <f t="shared" si="26"/>
        <v>1</v>
      </c>
      <c r="X398" s="12">
        <f t="shared" si="25"/>
        <v>1</v>
      </c>
      <c r="Y398" s="12">
        <f t="shared" si="24"/>
        <v>1</v>
      </c>
    </row>
    <row r="399" spans="4:25" ht="15.7">
      <c r="D399" s="4267" t="str">
        <f>T('2 REPAIR ESTIMATOR'!D377:O377)</f>
        <v/>
      </c>
      <c r="E399" s="4268"/>
      <c r="F399" s="4268"/>
      <c r="G399" s="4268"/>
      <c r="H399" s="4268"/>
      <c r="I399" s="4268"/>
      <c r="J399" s="4268"/>
      <c r="K399" s="4268"/>
      <c r="L399" s="4269">
        <f>'2 REPAIR ESTIMATOR'!P377</f>
        <v>0</v>
      </c>
      <c r="M399" s="4269"/>
      <c r="N399" s="4270" t="str">
        <f>T('2 REPAIR ESTIMATOR'!S377)</f>
        <v/>
      </c>
      <c r="O399" s="4270"/>
      <c r="P399" s="4271"/>
      <c r="Q399" s="4271"/>
      <c r="R399" s="4271"/>
      <c r="S399" s="4271"/>
      <c r="T399" s="4271"/>
      <c r="U399" s="4271"/>
      <c r="V399" s="4272"/>
      <c r="W399" s="12">
        <f t="shared" si="26"/>
        <v>1</v>
      </c>
      <c r="X399" s="12">
        <f t="shared" si="25"/>
        <v>1</v>
      </c>
      <c r="Y399" s="12">
        <f t="shared" si="24"/>
        <v>1</v>
      </c>
    </row>
    <row r="400" spans="4:25" ht="15.7">
      <c r="D400" s="4267" t="str">
        <f>T('2 REPAIR ESTIMATOR'!D378:O378)</f>
        <v/>
      </c>
      <c r="E400" s="4268"/>
      <c r="F400" s="4268"/>
      <c r="G400" s="4268"/>
      <c r="H400" s="4268"/>
      <c r="I400" s="4268"/>
      <c r="J400" s="4268"/>
      <c r="K400" s="4268"/>
      <c r="L400" s="4269">
        <f>'2 REPAIR ESTIMATOR'!P378</f>
        <v>0</v>
      </c>
      <c r="M400" s="4269"/>
      <c r="N400" s="4270" t="str">
        <f>T('2 REPAIR ESTIMATOR'!S378)</f>
        <v/>
      </c>
      <c r="O400" s="4270"/>
      <c r="P400" s="4271"/>
      <c r="Q400" s="4271"/>
      <c r="R400" s="4271"/>
      <c r="S400" s="4271"/>
      <c r="T400" s="4271"/>
      <c r="U400" s="4271"/>
      <c r="V400" s="4272"/>
      <c r="W400" s="12">
        <f t="shared" si="26"/>
        <v>1</v>
      </c>
      <c r="X400" s="12">
        <f t="shared" si="25"/>
        <v>1</v>
      </c>
      <c r="Y400" s="12">
        <f t="shared" si="24"/>
        <v>1</v>
      </c>
    </row>
    <row r="401" spans="4:25" ht="15.7">
      <c r="D401" s="4267" t="str">
        <f>T('2 REPAIR ESTIMATOR'!D379:O379)</f>
        <v/>
      </c>
      <c r="E401" s="4268"/>
      <c r="F401" s="4268"/>
      <c r="G401" s="4268"/>
      <c r="H401" s="4268"/>
      <c r="I401" s="4268"/>
      <c r="J401" s="4268"/>
      <c r="K401" s="4268"/>
      <c r="L401" s="4269">
        <f>'2 REPAIR ESTIMATOR'!P379</f>
        <v>0</v>
      </c>
      <c r="M401" s="4269"/>
      <c r="N401" s="4270" t="str">
        <f>T('2 REPAIR ESTIMATOR'!S379)</f>
        <v/>
      </c>
      <c r="O401" s="4270"/>
      <c r="P401" s="4271"/>
      <c r="Q401" s="4271"/>
      <c r="R401" s="4271"/>
      <c r="S401" s="4271"/>
      <c r="T401" s="4271"/>
      <c r="U401" s="4271"/>
      <c r="V401" s="4272"/>
      <c r="W401" s="12">
        <f t="shared" si="26"/>
        <v>1</v>
      </c>
      <c r="X401" s="12">
        <f t="shared" si="25"/>
        <v>1</v>
      </c>
      <c r="Y401" s="12">
        <f t="shared" si="24"/>
        <v>1</v>
      </c>
    </row>
    <row r="402" spans="4:25" ht="15.7">
      <c r="D402" s="4267" t="str">
        <f>T('2 REPAIR ESTIMATOR'!D380:O380)</f>
        <v/>
      </c>
      <c r="E402" s="4268"/>
      <c r="F402" s="4268"/>
      <c r="G402" s="4268"/>
      <c r="H402" s="4268"/>
      <c r="I402" s="4268"/>
      <c r="J402" s="4268"/>
      <c r="K402" s="4268"/>
      <c r="L402" s="4269">
        <f>'2 REPAIR ESTIMATOR'!P380</f>
        <v>0</v>
      </c>
      <c r="M402" s="4269"/>
      <c r="N402" s="4270" t="str">
        <f>T('2 REPAIR ESTIMATOR'!S380)</f>
        <v/>
      </c>
      <c r="O402" s="4270"/>
      <c r="P402" s="4271"/>
      <c r="Q402" s="4271"/>
      <c r="R402" s="4271"/>
      <c r="S402" s="4271"/>
      <c r="T402" s="4271"/>
      <c r="U402" s="4271"/>
      <c r="V402" s="4272"/>
      <c r="W402" s="12">
        <f t="shared" si="26"/>
        <v>1</v>
      </c>
      <c r="X402" s="12">
        <f t="shared" si="25"/>
        <v>1</v>
      </c>
      <c r="Y402" s="12">
        <f t="shared" si="24"/>
        <v>1</v>
      </c>
    </row>
    <row r="403" spans="4:25" ht="15.7">
      <c r="D403" s="4267" t="str">
        <f>T('2 REPAIR ESTIMATOR'!D381:O381)</f>
        <v/>
      </c>
      <c r="E403" s="4268"/>
      <c r="F403" s="4268"/>
      <c r="G403" s="4268"/>
      <c r="H403" s="4268"/>
      <c r="I403" s="4268"/>
      <c r="J403" s="4268"/>
      <c r="K403" s="4268"/>
      <c r="L403" s="4269">
        <f>'2 REPAIR ESTIMATOR'!P381</f>
        <v>0</v>
      </c>
      <c r="M403" s="4269"/>
      <c r="N403" s="4270" t="str">
        <f>T('2 REPAIR ESTIMATOR'!S381)</f>
        <v/>
      </c>
      <c r="O403" s="4270"/>
      <c r="P403" s="4271"/>
      <c r="Q403" s="4271"/>
      <c r="R403" s="4271"/>
      <c r="S403" s="4271"/>
      <c r="T403" s="4271"/>
      <c r="U403" s="4271"/>
      <c r="V403" s="4272"/>
      <c r="W403" s="12">
        <f t="shared" si="26"/>
        <v>1</v>
      </c>
      <c r="X403" s="12">
        <f t="shared" si="25"/>
        <v>1</v>
      </c>
      <c r="Y403" s="12">
        <f t="shared" si="24"/>
        <v>1</v>
      </c>
    </row>
    <row r="404" spans="4:25" ht="15.7">
      <c r="D404" s="4267" t="str">
        <f>T('2 REPAIR ESTIMATOR'!D382:O382)</f>
        <v/>
      </c>
      <c r="E404" s="4268"/>
      <c r="F404" s="4268"/>
      <c r="G404" s="4268"/>
      <c r="H404" s="4268"/>
      <c r="I404" s="4268"/>
      <c r="J404" s="4268"/>
      <c r="K404" s="4268"/>
      <c r="L404" s="4269">
        <f>'2 REPAIR ESTIMATOR'!P382</f>
        <v>0</v>
      </c>
      <c r="M404" s="4269"/>
      <c r="N404" s="4270" t="str">
        <f>T('2 REPAIR ESTIMATOR'!S382)</f>
        <v/>
      </c>
      <c r="O404" s="4270"/>
      <c r="P404" s="4271"/>
      <c r="Q404" s="4271"/>
      <c r="R404" s="4271"/>
      <c r="S404" s="4271"/>
      <c r="T404" s="4271"/>
      <c r="U404" s="4271"/>
      <c r="V404" s="4272"/>
      <c r="W404" s="12">
        <f t="shared" si="26"/>
        <v>1</v>
      </c>
      <c r="X404" s="12">
        <f t="shared" si="25"/>
        <v>1</v>
      </c>
      <c r="Y404" s="12">
        <f t="shared" si="24"/>
        <v>1</v>
      </c>
    </row>
    <row r="405" spans="4:25" ht="15.7">
      <c r="D405" s="4267" t="str">
        <f>T('2 REPAIR ESTIMATOR'!D383:O383)</f>
        <v/>
      </c>
      <c r="E405" s="4268"/>
      <c r="F405" s="4268"/>
      <c r="G405" s="4268"/>
      <c r="H405" s="4268"/>
      <c r="I405" s="4268"/>
      <c r="J405" s="4268"/>
      <c r="K405" s="4268"/>
      <c r="L405" s="4269">
        <f>'2 REPAIR ESTIMATOR'!P383</f>
        <v>0</v>
      </c>
      <c r="M405" s="4269"/>
      <c r="N405" s="4270" t="str">
        <f>T('2 REPAIR ESTIMATOR'!S383)</f>
        <v/>
      </c>
      <c r="O405" s="4270"/>
      <c r="P405" s="4271"/>
      <c r="Q405" s="4271"/>
      <c r="R405" s="4271"/>
      <c r="S405" s="4271"/>
      <c r="T405" s="4271"/>
      <c r="U405" s="4271"/>
      <c r="V405" s="4272"/>
      <c r="W405" s="12">
        <f t="shared" si="26"/>
        <v>1</v>
      </c>
      <c r="X405" s="12">
        <f t="shared" si="25"/>
        <v>1</v>
      </c>
      <c r="Y405" s="12">
        <f t="shared" si="24"/>
        <v>1</v>
      </c>
    </row>
    <row r="406" spans="4:25" ht="15.7">
      <c r="D406" s="4267" t="str">
        <f>T('2 REPAIR ESTIMATOR'!D384:O384)</f>
        <v/>
      </c>
      <c r="E406" s="4268"/>
      <c r="F406" s="4268"/>
      <c r="G406" s="4268"/>
      <c r="H406" s="4268"/>
      <c r="I406" s="4268"/>
      <c r="J406" s="4268"/>
      <c r="K406" s="4268"/>
      <c r="L406" s="4269">
        <f>'2 REPAIR ESTIMATOR'!P384</f>
        <v>0</v>
      </c>
      <c r="M406" s="4269"/>
      <c r="N406" s="4270" t="str">
        <f>T('2 REPAIR ESTIMATOR'!S384)</f>
        <v/>
      </c>
      <c r="O406" s="4270"/>
      <c r="P406" s="4271"/>
      <c r="Q406" s="4271"/>
      <c r="R406" s="4271"/>
      <c r="S406" s="4271"/>
      <c r="T406" s="4271"/>
      <c r="U406" s="4271"/>
      <c r="V406" s="4272"/>
      <c r="W406" s="12">
        <f t="shared" si="26"/>
        <v>1</v>
      </c>
      <c r="X406" s="12">
        <f t="shared" si="25"/>
        <v>1</v>
      </c>
      <c r="Y406" s="12">
        <f t="shared" si="24"/>
        <v>1</v>
      </c>
    </row>
    <row r="407" spans="4:25" ht="15.7">
      <c r="D407" s="4267" t="str">
        <f>T('2 REPAIR ESTIMATOR'!D385:O385)</f>
        <v/>
      </c>
      <c r="E407" s="4268"/>
      <c r="F407" s="4268"/>
      <c r="G407" s="4268"/>
      <c r="H407" s="4268"/>
      <c r="I407" s="4268"/>
      <c r="J407" s="4268"/>
      <c r="K407" s="4268"/>
      <c r="L407" s="4269">
        <f>'2 REPAIR ESTIMATOR'!P385</f>
        <v>0</v>
      </c>
      <c r="M407" s="4269"/>
      <c r="N407" s="4270" t="str">
        <f>T('2 REPAIR ESTIMATOR'!S385)</f>
        <v/>
      </c>
      <c r="O407" s="4270"/>
      <c r="P407" s="4271"/>
      <c r="Q407" s="4271"/>
      <c r="R407" s="4271"/>
      <c r="S407" s="4271"/>
      <c r="T407" s="4271"/>
      <c r="U407" s="4271"/>
      <c r="V407" s="4272"/>
      <c r="W407" s="12">
        <f t="shared" si="26"/>
        <v>1</v>
      </c>
      <c r="X407" s="12">
        <f t="shared" si="25"/>
        <v>1</v>
      </c>
      <c r="Y407" s="12">
        <f t="shared" si="24"/>
        <v>1</v>
      </c>
    </row>
    <row r="408" spans="4:25" ht="15.7">
      <c r="D408" s="4267" t="str">
        <f>T('2 REPAIR ESTIMATOR'!D386:O386)</f>
        <v/>
      </c>
      <c r="E408" s="4268"/>
      <c r="F408" s="4268"/>
      <c r="G408" s="4268"/>
      <c r="H408" s="4268"/>
      <c r="I408" s="4268"/>
      <c r="J408" s="4268"/>
      <c r="K408" s="4268"/>
      <c r="L408" s="4269">
        <f>'2 REPAIR ESTIMATOR'!P386</f>
        <v>0</v>
      </c>
      <c r="M408" s="4269"/>
      <c r="N408" s="4270" t="str">
        <f>T('2 REPAIR ESTIMATOR'!S386)</f>
        <v/>
      </c>
      <c r="O408" s="4270"/>
      <c r="P408" s="4271"/>
      <c r="Q408" s="4271"/>
      <c r="R408" s="4271"/>
      <c r="S408" s="4271"/>
      <c r="T408" s="4271"/>
      <c r="U408" s="4271"/>
      <c r="V408" s="4272"/>
      <c r="W408" s="12">
        <f t="shared" si="26"/>
        <v>1</v>
      </c>
      <c r="X408" s="12">
        <f t="shared" si="25"/>
        <v>1</v>
      </c>
      <c r="Y408" s="12">
        <f t="shared" si="24"/>
        <v>1</v>
      </c>
    </row>
    <row r="409" spans="4:25" ht="15.7">
      <c r="D409" s="4267" t="str">
        <f>T('2 REPAIR ESTIMATOR'!D387:O387)</f>
        <v/>
      </c>
      <c r="E409" s="4268"/>
      <c r="F409" s="4268"/>
      <c r="G409" s="4268"/>
      <c r="H409" s="4268"/>
      <c r="I409" s="4268"/>
      <c r="J409" s="4268"/>
      <c r="K409" s="4268"/>
      <c r="L409" s="4269">
        <f>'2 REPAIR ESTIMATOR'!P387</f>
        <v>0</v>
      </c>
      <c r="M409" s="4269"/>
      <c r="N409" s="4270" t="str">
        <f>T('2 REPAIR ESTIMATOR'!S387)</f>
        <v/>
      </c>
      <c r="O409" s="4270"/>
      <c r="P409" s="4271"/>
      <c r="Q409" s="4271"/>
      <c r="R409" s="4271"/>
      <c r="S409" s="4271"/>
      <c r="T409" s="4271"/>
      <c r="U409" s="4271"/>
      <c r="V409" s="4272"/>
      <c r="W409" s="12">
        <f t="shared" si="26"/>
        <v>1</v>
      </c>
      <c r="X409" s="12">
        <f t="shared" si="25"/>
        <v>1</v>
      </c>
      <c r="Y409" s="12">
        <f t="shared" si="24"/>
        <v>1</v>
      </c>
    </row>
    <row r="410" spans="4:25" ht="15.7">
      <c r="D410" s="4267" t="str">
        <f>T('2 REPAIR ESTIMATOR'!D388:O388)</f>
        <v/>
      </c>
      <c r="E410" s="4268"/>
      <c r="F410" s="4268"/>
      <c r="G410" s="4268"/>
      <c r="H410" s="4268"/>
      <c r="I410" s="4268"/>
      <c r="J410" s="4268"/>
      <c r="K410" s="4268"/>
      <c r="L410" s="4269">
        <f>'2 REPAIR ESTIMATOR'!P388</f>
        <v>0</v>
      </c>
      <c r="M410" s="4269"/>
      <c r="N410" s="4270" t="str">
        <f>T('2 REPAIR ESTIMATOR'!S388)</f>
        <v/>
      </c>
      <c r="O410" s="4270"/>
      <c r="P410" s="4271"/>
      <c r="Q410" s="4271"/>
      <c r="R410" s="4271"/>
      <c r="S410" s="4271"/>
      <c r="T410" s="4271"/>
      <c r="U410" s="4271"/>
      <c r="V410" s="4272"/>
      <c r="W410" s="12">
        <f t="shared" si="26"/>
        <v>1</v>
      </c>
      <c r="X410" s="12">
        <f t="shared" si="25"/>
        <v>1</v>
      </c>
      <c r="Y410" s="12">
        <f t="shared" si="24"/>
        <v>1</v>
      </c>
    </row>
    <row r="411" spans="4:25" ht="15.7">
      <c r="D411" s="4267" t="str">
        <f>T('2 REPAIR ESTIMATOR'!D389:O389)</f>
        <v/>
      </c>
      <c r="E411" s="4268"/>
      <c r="F411" s="4268"/>
      <c r="G411" s="4268"/>
      <c r="H411" s="4268"/>
      <c r="I411" s="4268"/>
      <c r="J411" s="4268"/>
      <c r="K411" s="4268"/>
      <c r="L411" s="4269">
        <f>'2 REPAIR ESTIMATOR'!P389</f>
        <v>0</v>
      </c>
      <c r="M411" s="4269"/>
      <c r="N411" s="4270" t="str">
        <f>T('2 REPAIR ESTIMATOR'!S389)</f>
        <v/>
      </c>
      <c r="O411" s="4270"/>
      <c r="P411" s="4271"/>
      <c r="Q411" s="4271"/>
      <c r="R411" s="4271"/>
      <c r="S411" s="4271"/>
      <c r="T411" s="4271"/>
      <c r="U411" s="4271"/>
      <c r="V411" s="4272"/>
      <c r="W411" s="12">
        <f t="shared" si="26"/>
        <v>1</v>
      </c>
      <c r="X411" s="12">
        <f t="shared" ref="X411:X434" si="27">IF(Scope7_Setting="Shown",1,0)</f>
        <v>1</v>
      </c>
      <c r="Y411" s="12">
        <f t="shared" si="24"/>
        <v>1</v>
      </c>
    </row>
    <row r="412" spans="4:25" ht="15.7">
      <c r="D412" s="4267" t="str">
        <f>T('2 REPAIR ESTIMATOR'!D390:O390)</f>
        <v/>
      </c>
      <c r="E412" s="4268"/>
      <c r="F412" s="4268"/>
      <c r="G412" s="4268"/>
      <c r="H412" s="4268"/>
      <c r="I412" s="4268"/>
      <c r="J412" s="4268"/>
      <c r="K412" s="4268"/>
      <c r="L412" s="4269">
        <f>'2 REPAIR ESTIMATOR'!P390</f>
        <v>0</v>
      </c>
      <c r="M412" s="4269"/>
      <c r="N412" s="4270" t="str">
        <f>T('2 REPAIR ESTIMATOR'!S390)</f>
        <v/>
      </c>
      <c r="O412" s="4270"/>
      <c r="P412" s="4271"/>
      <c r="Q412" s="4271"/>
      <c r="R412" s="4271"/>
      <c r="S412" s="4271"/>
      <c r="T412" s="4271"/>
      <c r="U412" s="4271"/>
      <c r="V412" s="4272"/>
      <c r="W412" s="12">
        <f t="shared" si="26"/>
        <v>1</v>
      </c>
      <c r="X412" s="12">
        <f t="shared" si="27"/>
        <v>1</v>
      </c>
      <c r="Y412" s="12">
        <f t="shared" si="24"/>
        <v>1</v>
      </c>
    </row>
    <row r="413" spans="4:25" ht="15.7">
      <c r="D413" s="4267" t="str">
        <f>T('2 REPAIR ESTIMATOR'!D391:O391)</f>
        <v/>
      </c>
      <c r="E413" s="4268"/>
      <c r="F413" s="4268"/>
      <c r="G413" s="4268"/>
      <c r="H413" s="4268"/>
      <c r="I413" s="4268"/>
      <c r="J413" s="4268"/>
      <c r="K413" s="4268"/>
      <c r="L413" s="4269">
        <f>'2 REPAIR ESTIMATOR'!P391</f>
        <v>0</v>
      </c>
      <c r="M413" s="4269"/>
      <c r="N413" s="4270" t="str">
        <f>T('2 REPAIR ESTIMATOR'!S391)</f>
        <v/>
      </c>
      <c r="O413" s="4270"/>
      <c r="P413" s="4271"/>
      <c r="Q413" s="4271"/>
      <c r="R413" s="4271"/>
      <c r="S413" s="4271"/>
      <c r="T413" s="4271"/>
      <c r="U413" s="4271"/>
      <c r="V413" s="4272"/>
      <c r="W413" s="12">
        <f t="shared" si="26"/>
        <v>1</v>
      </c>
      <c r="X413" s="12">
        <f t="shared" si="27"/>
        <v>1</v>
      </c>
      <c r="Y413" s="12">
        <f t="shared" si="24"/>
        <v>1</v>
      </c>
    </row>
    <row r="414" spans="4:25" ht="15.7">
      <c r="D414" s="4267" t="str">
        <f>T('2 REPAIR ESTIMATOR'!D392:O392)</f>
        <v/>
      </c>
      <c r="E414" s="4268"/>
      <c r="F414" s="4268"/>
      <c r="G414" s="4268"/>
      <c r="H414" s="4268"/>
      <c r="I414" s="4268"/>
      <c r="J414" s="4268"/>
      <c r="K414" s="4268"/>
      <c r="L414" s="4269">
        <f>'2 REPAIR ESTIMATOR'!P392</f>
        <v>0</v>
      </c>
      <c r="M414" s="4269"/>
      <c r="N414" s="4270" t="str">
        <f>T('2 REPAIR ESTIMATOR'!S392)</f>
        <v/>
      </c>
      <c r="O414" s="4270"/>
      <c r="P414" s="4271"/>
      <c r="Q414" s="4271"/>
      <c r="R414" s="4271"/>
      <c r="S414" s="4271"/>
      <c r="T414" s="4271"/>
      <c r="U414" s="4271"/>
      <c r="V414" s="4272"/>
      <c r="W414" s="12">
        <f t="shared" si="26"/>
        <v>1</v>
      </c>
      <c r="X414" s="12">
        <f t="shared" si="27"/>
        <v>1</v>
      </c>
      <c r="Y414" s="12">
        <f t="shared" si="24"/>
        <v>1</v>
      </c>
    </row>
    <row r="415" spans="4:25" ht="15.7">
      <c r="D415" s="4267" t="str">
        <f>T('2 REPAIR ESTIMATOR'!D393:O393)</f>
        <v/>
      </c>
      <c r="E415" s="4268"/>
      <c r="F415" s="4268"/>
      <c r="G415" s="4268"/>
      <c r="H415" s="4268"/>
      <c r="I415" s="4268"/>
      <c r="J415" s="4268"/>
      <c r="K415" s="4268"/>
      <c r="L415" s="4269">
        <f>'2 REPAIR ESTIMATOR'!P393</f>
        <v>0</v>
      </c>
      <c r="M415" s="4269"/>
      <c r="N415" s="4270" t="str">
        <f>T('2 REPAIR ESTIMATOR'!S393)</f>
        <v/>
      </c>
      <c r="O415" s="4270"/>
      <c r="P415" s="4271"/>
      <c r="Q415" s="4271"/>
      <c r="R415" s="4271"/>
      <c r="S415" s="4271"/>
      <c r="T415" s="4271"/>
      <c r="U415" s="4271"/>
      <c r="V415" s="4272"/>
      <c r="W415" s="12">
        <f t="shared" si="26"/>
        <v>1</v>
      </c>
      <c r="X415" s="12">
        <f t="shared" si="27"/>
        <v>1</v>
      </c>
      <c r="Y415" s="12">
        <f t="shared" si="24"/>
        <v>1</v>
      </c>
    </row>
    <row r="416" spans="4:25" ht="15.7">
      <c r="D416" s="4267" t="str">
        <f>T('2 REPAIR ESTIMATOR'!D394:O394)</f>
        <v/>
      </c>
      <c r="E416" s="4268"/>
      <c r="F416" s="4268"/>
      <c r="G416" s="4268"/>
      <c r="H416" s="4268"/>
      <c r="I416" s="4268"/>
      <c r="J416" s="4268"/>
      <c r="K416" s="4268"/>
      <c r="L416" s="4269">
        <f>'2 REPAIR ESTIMATOR'!P394</f>
        <v>0</v>
      </c>
      <c r="M416" s="4269"/>
      <c r="N416" s="4270" t="str">
        <f>T('2 REPAIR ESTIMATOR'!S394)</f>
        <v/>
      </c>
      <c r="O416" s="4270"/>
      <c r="P416" s="4271"/>
      <c r="Q416" s="4271"/>
      <c r="R416" s="4271"/>
      <c r="S416" s="4271"/>
      <c r="T416" s="4271"/>
      <c r="U416" s="4271"/>
      <c r="V416" s="4272"/>
      <c r="W416" s="12">
        <f t="shared" si="26"/>
        <v>1</v>
      </c>
      <c r="X416" s="12">
        <f t="shared" si="27"/>
        <v>1</v>
      </c>
      <c r="Y416" s="12">
        <f t="shared" si="24"/>
        <v>1</v>
      </c>
    </row>
    <row r="417" spans="3:25" ht="15.7">
      <c r="D417" s="4267" t="str">
        <f>T('2 REPAIR ESTIMATOR'!D395:O395)</f>
        <v/>
      </c>
      <c r="E417" s="4268"/>
      <c r="F417" s="4268"/>
      <c r="G417" s="4268"/>
      <c r="H417" s="4268"/>
      <c r="I417" s="4268"/>
      <c r="J417" s="4268"/>
      <c r="K417" s="4268"/>
      <c r="L417" s="4269">
        <f>'2 REPAIR ESTIMATOR'!P395</f>
        <v>0</v>
      </c>
      <c r="M417" s="4269"/>
      <c r="N417" s="4270" t="str">
        <f>T('2 REPAIR ESTIMATOR'!S395)</f>
        <v/>
      </c>
      <c r="O417" s="4270"/>
      <c r="P417" s="4271"/>
      <c r="Q417" s="4271"/>
      <c r="R417" s="4271"/>
      <c r="S417" s="4271"/>
      <c r="T417" s="4271"/>
      <c r="U417" s="4271"/>
      <c r="V417" s="4272"/>
      <c r="W417" s="12">
        <f t="shared" si="26"/>
        <v>1</v>
      </c>
      <c r="X417" s="12">
        <f t="shared" si="27"/>
        <v>1</v>
      </c>
      <c r="Y417" s="12">
        <f t="shared" si="24"/>
        <v>1</v>
      </c>
    </row>
    <row r="418" spans="3:25" ht="15.7">
      <c r="D418" s="4267" t="str">
        <f>T('2 REPAIR ESTIMATOR'!D396:O396)</f>
        <v/>
      </c>
      <c r="E418" s="4268"/>
      <c r="F418" s="4268"/>
      <c r="G418" s="4268"/>
      <c r="H418" s="4268"/>
      <c r="I418" s="4268"/>
      <c r="J418" s="4268"/>
      <c r="K418" s="4268"/>
      <c r="L418" s="4269">
        <f>'2 REPAIR ESTIMATOR'!P396</f>
        <v>0</v>
      </c>
      <c r="M418" s="4269"/>
      <c r="N418" s="4270" t="str">
        <f>T('2 REPAIR ESTIMATOR'!S396)</f>
        <v/>
      </c>
      <c r="O418" s="4270"/>
      <c r="P418" s="4271"/>
      <c r="Q418" s="4271"/>
      <c r="R418" s="4271"/>
      <c r="S418" s="4271"/>
      <c r="T418" s="4271"/>
      <c r="U418" s="4271"/>
      <c r="V418" s="4272"/>
      <c r="W418" s="12">
        <f t="shared" si="26"/>
        <v>1</v>
      </c>
      <c r="X418" s="12">
        <f t="shared" si="27"/>
        <v>1</v>
      </c>
      <c r="Y418" s="12">
        <f t="shared" si="24"/>
        <v>1</v>
      </c>
    </row>
    <row r="419" spans="3:25" ht="15.7">
      <c r="D419" s="4267" t="str">
        <f>T('2 REPAIR ESTIMATOR'!D397:O397)</f>
        <v/>
      </c>
      <c r="E419" s="4268"/>
      <c r="F419" s="4268"/>
      <c r="G419" s="4268"/>
      <c r="H419" s="4268"/>
      <c r="I419" s="4268"/>
      <c r="J419" s="4268"/>
      <c r="K419" s="4268"/>
      <c r="L419" s="4269">
        <f>'2 REPAIR ESTIMATOR'!P397</f>
        <v>0</v>
      </c>
      <c r="M419" s="4269"/>
      <c r="N419" s="4270" t="str">
        <f>T('2 REPAIR ESTIMATOR'!S397)</f>
        <v/>
      </c>
      <c r="O419" s="4270"/>
      <c r="P419" s="4271"/>
      <c r="Q419" s="4271"/>
      <c r="R419" s="4271"/>
      <c r="S419" s="4271"/>
      <c r="T419" s="4271"/>
      <c r="U419" s="4271"/>
      <c r="V419" s="4272"/>
      <c r="W419" s="12">
        <f t="shared" si="26"/>
        <v>1</v>
      </c>
      <c r="X419" s="12">
        <f t="shared" si="27"/>
        <v>1</v>
      </c>
      <c r="Y419" s="12">
        <f t="shared" si="24"/>
        <v>1</v>
      </c>
    </row>
    <row r="420" spans="3:25" ht="15.7">
      <c r="C420" s="6"/>
      <c r="D420" s="723"/>
      <c r="E420" s="723"/>
      <c r="F420" s="723"/>
      <c r="G420" s="723"/>
      <c r="H420" s="723"/>
      <c r="I420" s="723"/>
      <c r="J420" s="723"/>
      <c r="K420" s="723"/>
      <c r="L420" s="724"/>
      <c r="M420" s="724"/>
      <c r="N420" s="725"/>
      <c r="O420" s="725"/>
      <c r="P420" s="724"/>
      <c r="Q420" s="445"/>
      <c r="R420" s="445"/>
      <c r="S420" s="725"/>
      <c r="T420" s="725"/>
      <c r="U420" s="725"/>
      <c r="V420" s="725"/>
      <c r="W420" s="12">
        <f>W421</f>
        <v>0</v>
      </c>
      <c r="X420" s="12">
        <f t="shared" si="27"/>
        <v>1</v>
      </c>
      <c r="Y420" s="12">
        <f t="shared" si="24"/>
        <v>0</v>
      </c>
    </row>
    <row r="421" spans="3:25" ht="16.7">
      <c r="C421" s="6"/>
      <c r="D421" s="4266" t="str">
        <f>UPPER(CONCATENATE("Miscellaneous ",D379," Items"))</f>
        <v>MISCELLANEOUS DECKING AND PATIOS ITEMS</v>
      </c>
      <c r="E421" s="4266"/>
      <c r="F421" s="4266"/>
      <c r="G421" s="4266"/>
      <c r="H421" s="4266"/>
      <c r="I421" s="4266"/>
      <c r="J421" s="4266"/>
      <c r="K421" s="4266"/>
      <c r="L421" s="4266"/>
      <c r="M421" s="4266"/>
      <c r="N421" s="4266"/>
      <c r="O421" s="4266"/>
      <c r="P421" s="4266"/>
      <c r="Q421" s="4266"/>
      <c r="R421" s="4266"/>
      <c r="S421" s="4266"/>
      <c r="T421" s="4266"/>
      <c r="U421" s="4266"/>
      <c r="V421" s="4266"/>
      <c r="W421" s="12">
        <f>SUM(W422:W431)</f>
        <v>0</v>
      </c>
      <c r="X421" s="12">
        <f t="shared" si="27"/>
        <v>1</v>
      </c>
      <c r="Y421" s="12">
        <f t="shared" si="24"/>
        <v>0</v>
      </c>
    </row>
    <row r="422" spans="3:25" ht="15.7">
      <c r="C422" s="6"/>
      <c r="D422" s="712">
        <v>1</v>
      </c>
      <c r="E422" s="4263" t="s">
        <v>1441</v>
      </c>
      <c r="F422" s="4263" t="s">
        <v>1380</v>
      </c>
      <c r="G422" s="4263" t="s">
        <v>1380</v>
      </c>
      <c r="H422" s="4263" t="s">
        <v>1380</v>
      </c>
      <c r="I422" s="4263" t="s">
        <v>1380</v>
      </c>
      <c r="J422" s="4263" t="s">
        <v>1380</v>
      </c>
      <c r="K422" s="4263" t="s">
        <v>1380</v>
      </c>
      <c r="L422" s="4263" t="s">
        <v>1380</v>
      </c>
      <c r="M422" s="4263" t="s">
        <v>1380</v>
      </c>
      <c r="N422" s="4263" t="s">
        <v>1380</v>
      </c>
      <c r="O422" s="4263" t="s">
        <v>1380</v>
      </c>
      <c r="P422" s="4263" t="s">
        <v>1380</v>
      </c>
      <c r="Q422" s="4263" t="s">
        <v>1380</v>
      </c>
      <c r="R422" s="4263" t="s">
        <v>1380</v>
      </c>
      <c r="S422" s="4263" t="s">
        <v>1380</v>
      </c>
      <c r="T422" s="4263" t="s">
        <v>1380</v>
      </c>
      <c r="U422" s="4263" t="s">
        <v>1380</v>
      </c>
      <c r="V422" s="4263" t="s">
        <v>1380</v>
      </c>
      <c r="W422" s="12">
        <f>IF(E422&lt;&gt;"",1,0)*W379</f>
        <v>0</v>
      </c>
      <c r="X422" s="12">
        <f t="shared" si="27"/>
        <v>1</v>
      </c>
      <c r="Y422" s="12">
        <f t="shared" si="24"/>
        <v>0</v>
      </c>
    </row>
    <row r="423" spans="3:25" ht="15.7">
      <c r="C423" s="6"/>
      <c r="D423" s="712">
        <v>2</v>
      </c>
      <c r="E423" s="4263" t="s">
        <v>1311</v>
      </c>
      <c r="F423" s="4263" t="s">
        <v>1311</v>
      </c>
      <c r="G423" s="4263" t="s">
        <v>1311</v>
      </c>
      <c r="H423" s="4263" t="s">
        <v>1311</v>
      </c>
      <c r="I423" s="4263" t="s">
        <v>1311</v>
      </c>
      <c r="J423" s="4263" t="s">
        <v>1311</v>
      </c>
      <c r="K423" s="4263" t="s">
        <v>1311</v>
      </c>
      <c r="L423" s="4263" t="s">
        <v>1311</v>
      </c>
      <c r="M423" s="4263" t="s">
        <v>1311</v>
      </c>
      <c r="N423" s="4263" t="s">
        <v>1311</v>
      </c>
      <c r="O423" s="4263" t="s">
        <v>1311</v>
      </c>
      <c r="P423" s="4263" t="s">
        <v>1311</v>
      </c>
      <c r="Q423" s="4263" t="s">
        <v>1311</v>
      </c>
      <c r="R423" s="4263" t="s">
        <v>1311</v>
      </c>
      <c r="S423" s="4263" t="s">
        <v>1311</v>
      </c>
      <c r="T423" s="4263" t="s">
        <v>1311</v>
      </c>
      <c r="U423" s="4263" t="s">
        <v>1311</v>
      </c>
      <c r="V423" s="4263" t="s">
        <v>1311</v>
      </c>
      <c r="W423" s="12">
        <f>IF(E423&lt;&gt;"",1,0)*W379</f>
        <v>0</v>
      </c>
      <c r="X423" s="12">
        <f t="shared" si="27"/>
        <v>1</v>
      </c>
      <c r="Y423" s="12">
        <f t="shared" si="24"/>
        <v>0</v>
      </c>
    </row>
    <row r="424" spans="3:25" ht="15.7">
      <c r="C424" s="6"/>
      <c r="D424" s="712">
        <v>3</v>
      </c>
      <c r="E424" s="4263" t="s">
        <v>1312</v>
      </c>
      <c r="F424" s="4263" t="s">
        <v>1312</v>
      </c>
      <c r="G424" s="4263" t="s">
        <v>1312</v>
      </c>
      <c r="H424" s="4263" t="s">
        <v>1312</v>
      </c>
      <c r="I424" s="4263" t="s">
        <v>1312</v>
      </c>
      <c r="J424" s="4263" t="s">
        <v>1312</v>
      </c>
      <c r="K424" s="4263" t="s">
        <v>1312</v>
      </c>
      <c r="L424" s="4263" t="s">
        <v>1312</v>
      </c>
      <c r="M424" s="4263" t="s">
        <v>1312</v>
      </c>
      <c r="N424" s="4263" t="s">
        <v>1312</v>
      </c>
      <c r="O424" s="4263" t="s">
        <v>1312</v>
      </c>
      <c r="P424" s="4263" t="s">
        <v>1312</v>
      </c>
      <c r="Q424" s="4263" t="s">
        <v>1312</v>
      </c>
      <c r="R424" s="4263" t="s">
        <v>1312</v>
      </c>
      <c r="S424" s="4263" t="s">
        <v>1312</v>
      </c>
      <c r="T424" s="4263" t="s">
        <v>1312</v>
      </c>
      <c r="U424" s="4263" t="s">
        <v>1312</v>
      </c>
      <c r="V424" s="4263" t="s">
        <v>1312</v>
      </c>
      <c r="W424" s="12">
        <f>IF(E424&lt;&gt;"",1,0)*W379</f>
        <v>0</v>
      </c>
      <c r="X424" s="12">
        <f t="shared" si="27"/>
        <v>1</v>
      </c>
      <c r="Y424" s="12">
        <f t="shared" si="24"/>
        <v>0</v>
      </c>
    </row>
    <row r="425" spans="3:25" ht="15.7">
      <c r="C425" s="6"/>
      <c r="D425" s="712">
        <v>4</v>
      </c>
      <c r="E425" s="4263" t="s">
        <v>1419</v>
      </c>
      <c r="F425" s="4263" t="s">
        <v>1381</v>
      </c>
      <c r="G425" s="4263" t="s">
        <v>1381</v>
      </c>
      <c r="H425" s="4263" t="s">
        <v>1381</v>
      </c>
      <c r="I425" s="4263" t="s">
        <v>1381</v>
      </c>
      <c r="J425" s="4263" t="s">
        <v>1381</v>
      </c>
      <c r="K425" s="4263" t="s">
        <v>1381</v>
      </c>
      <c r="L425" s="4263" t="s">
        <v>1381</v>
      </c>
      <c r="M425" s="4263" t="s">
        <v>1381</v>
      </c>
      <c r="N425" s="4263" t="s">
        <v>1381</v>
      </c>
      <c r="O425" s="4263" t="s">
        <v>1381</v>
      </c>
      <c r="P425" s="4263" t="s">
        <v>1381</v>
      </c>
      <c r="Q425" s="4263" t="s">
        <v>1381</v>
      </c>
      <c r="R425" s="4263" t="s">
        <v>1381</v>
      </c>
      <c r="S425" s="4263" t="s">
        <v>1381</v>
      </c>
      <c r="T425" s="4263" t="s">
        <v>1381</v>
      </c>
      <c r="U425" s="4263" t="s">
        <v>1381</v>
      </c>
      <c r="V425" s="4263" t="s">
        <v>1381</v>
      </c>
      <c r="W425" s="12">
        <f>IF(E425&lt;&gt;"",1,0)*W379</f>
        <v>0</v>
      </c>
      <c r="X425" s="12">
        <f t="shared" si="27"/>
        <v>1</v>
      </c>
      <c r="Y425" s="12">
        <f t="shared" si="24"/>
        <v>0</v>
      </c>
    </row>
    <row r="426" spans="3:25" ht="15.7">
      <c r="C426" s="6"/>
      <c r="D426" s="712">
        <v>5</v>
      </c>
      <c r="E426" s="4263" t="s">
        <v>1381</v>
      </c>
      <c r="F426" s="4263" t="s">
        <v>1381</v>
      </c>
      <c r="G426" s="4263" t="s">
        <v>1381</v>
      </c>
      <c r="H426" s="4263" t="s">
        <v>1381</v>
      </c>
      <c r="I426" s="4263" t="s">
        <v>1381</v>
      </c>
      <c r="J426" s="4263" t="s">
        <v>1381</v>
      </c>
      <c r="K426" s="4263" t="s">
        <v>1381</v>
      </c>
      <c r="L426" s="4263" t="s">
        <v>1381</v>
      </c>
      <c r="M426" s="4263" t="s">
        <v>1381</v>
      </c>
      <c r="N426" s="4263" t="s">
        <v>1381</v>
      </c>
      <c r="O426" s="4263" t="s">
        <v>1381</v>
      </c>
      <c r="P426" s="4263" t="s">
        <v>1381</v>
      </c>
      <c r="Q426" s="4263" t="s">
        <v>1381</v>
      </c>
      <c r="R426" s="4263" t="s">
        <v>1381</v>
      </c>
      <c r="S426" s="4263" t="s">
        <v>1381</v>
      </c>
      <c r="T426" s="4263" t="s">
        <v>1381</v>
      </c>
      <c r="U426" s="4263" t="s">
        <v>1381</v>
      </c>
      <c r="V426" s="4263" t="s">
        <v>1381</v>
      </c>
      <c r="W426" s="12">
        <f>IF(E426&lt;&gt;"",1,0)*W379</f>
        <v>0</v>
      </c>
      <c r="X426" s="12">
        <f t="shared" si="27"/>
        <v>1</v>
      </c>
      <c r="Y426" s="12">
        <f t="shared" si="24"/>
        <v>0</v>
      </c>
    </row>
    <row r="427" spans="3:25" ht="15.7">
      <c r="C427" s="6"/>
      <c r="D427" s="712">
        <v>6</v>
      </c>
      <c r="E427" s="4263" t="s">
        <v>1436</v>
      </c>
      <c r="F427" s="4263"/>
      <c r="G427" s="4263"/>
      <c r="H427" s="4263"/>
      <c r="I427" s="4263"/>
      <c r="J427" s="4263"/>
      <c r="K427" s="4263"/>
      <c r="L427" s="4263"/>
      <c r="M427" s="4263"/>
      <c r="N427" s="4263"/>
      <c r="O427" s="4263"/>
      <c r="P427" s="4263"/>
      <c r="Q427" s="4263"/>
      <c r="R427" s="4263"/>
      <c r="S427" s="4263"/>
      <c r="T427" s="4263"/>
      <c r="U427" s="4263"/>
      <c r="V427" s="4263"/>
      <c r="W427" s="12">
        <f>IF(E427&lt;&gt;"",1,0)*W379</f>
        <v>0</v>
      </c>
      <c r="X427" s="12">
        <f t="shared" si="27"/>
        <v>1</v>
      </c>
      <c r="Y427" s="12">
        <f t="shared" si="24"/>
        <v>0</v>
      </c>
    </row>
    <row r="428" spans="3:25" ht="15.7">
      <c r="C428" s="6"/>
      <c r="D428" s="712">
        <v>7</v>
      </c>
      <c r="E428" s="4263"/>
      <c r="F428" s="4263"/>
      <c r="G428" s="4263"/>
      <c r="H428" s="4263"/>
      <c r="I428" s="4263"/>
      <c r="J428" s="4263"/>
      <c r="K428" s="4263"/>
      <c r="L428" s="4263"/>
      <c r="M428" s="4263"/>
      <c r="N428" s="4263"/>
      <c r="O428" s="4263"/>
      <c r="P428" s="4263"/>
      <c r="Q428" s="4263"/>
      <c r="R428" s="4263"/>
      <c r="S428" s="4263"/>
      <c r="T428" s="4263"/>
      <c r="U428" s="4263"/>
      <c r="V428" s="4263"/>
      <c r="W428" s="12">
        <f>IF(E428&lt;&gt;"",1,0)*W379</f>
        <v>0</v>
      </c>
      <c r="X428" s="12">
        <f t="shared" si="27"/>
        <v>1</v>
      </c>
      <c r="Y428" s="12">
        <f t="shared" ref="Y428:Y491" si="28">W428*X428</f>
        <v>0</v>
      </c>
    </row>
    <row r="429" spans="3:25" ht="15.7">
      <c r="C429" s="6"/>
      <c r="D429" s="712">
        <v>8</v>
      </c>
      <c r="E429" s="4263"/>
      <c r="F429" s="4263"/>
      <c r="G429" s="4263"/>
      <c r="H429" s="4263"/>
      <c r="I429" s="4263"/>
      <c r="J429" s="4263"/>
      <c r="K429" s="4263"/>
      <c r="L429" s="4263"/>
      <c r="M429" s="4263"/>
      <c r="N429" s="4263"/>
      <c r="O429" s="4263"/>
      <c r="P429" s="4263"/>
      <c r="Q429" s="4263"/>
      <c r="R429" s="4263"/>
      <c r="S429" s="4263"/>
      <c r="T429" s="4263"/>
      <c r="U429" s="4263"/>
      <c r="V429" s="4263"/>
      <c r="W429" s="12">
        <f>IF(E429&lt;&gt;"",1,0)*W379</f>
        <v>0</v>
      </c>
      <c r="X429" s="12">
        <f t="shared" si="27"/>
        <v>1</v>
      </c>
      <c r="Y429" s="12">
        <f t="shared" si="28"/>
        <v>0</v>
      </c>
    </row>
    <row r="430" spans="3:25" ht="15.7">
      <c r="C430" s="6"/>
      <c r="D430" s="712">
        <v>9</v>
      </c>
      <c r="E430" s="4263"/>
      <c r="F430" s="4263"/>
      <c r="G430" s="4263"/>
      <c r="H430" s="4263"/>
      <c r="I430" s="4263"/>
      <c r="J430" s="4263"/>
      <c r="K430" s="4263"/>
      <c r="L430" s="4263"/>
      <c r="M430" s="4263"/>
      <c r="N430" s="4263"/>
      <c r="O430" s="4263"/>
      <c r="P430" s="4263"/>
      <c r="Q430" s="4263"/>
      <c r="R430" s="4263"/>
      <c r="S430" s="4263"/>
      <c r="T430" s="4263"/>
      <c r="U430" s="4263"/>
      <c r="V430" s="4263"/>
      <c r="W430" s="12">
        <f>IF(E430&lt;&gt;"",1,0)*W379</f>
        <v>0</v>
      </c>
      <c r="X430" s="12">
        <f t="shared" si="27"/>
        <v>1</v>
      </c>
      <c r="Y430" s="12">
        <f t="shared" si="28"/>
        <v>0</v>
      </c>
    </row>
    <row r="431" spans="3:25" ht="15.7">
      <c r="C431" s="6"/>
      <c r="D431" s="712">
        <v>10</v>
      </c>
      <c r="E431" s="4263"/>
      <c r="F431" s="4263"/>
      <c r="G431" s="4263"/>
      <c r="H431" s="4263"/>
      <c r="I431" s="4263"/>
      <c r="J431" s="4263"/>
      <c r="K431" s="4263"/>
      <c r="L431" s="4263"/>
      <c r="M431" s="4263"/>
      <c r="N431" s="4263"/>
      <c r="O431" s="4263"/>
      <c r="P431" s="4263"/>
      <c r="Q431" s="4263"/>
      <c r="R431" s="4263"/>
      <c r="S431" s="4263"/>
      <c r="T431" s="4263"/>
      <c r="U431" s="4263"/>
      <c r="V431" s="4263"/>
      <c r="W431" s="12">
        <f>IF(E431&lt;&gt;"",1,0)*W379</f>
        <v>0</v>
      </c>
      <c r="X431" s="12">
        <f t="shared" si="27"/>
        <v>1</v>
      </c>
      <c r="Y431" s="12">
        <f t="shared" si="28"/>
        <v>0</v>
      </c>
    </row>
    <row r="432" spans="3:25" ht="15.7">
      <c r="C432" s="6"/>
      <c r="D432" s="723"/>
      <c r="E432" s="723"/>
      <c r="F432" s="723"/>
      <c r="G432" s="723"/>
      <c r="H432" s="723"/>
      <c r="I432" s="723"/>
      <c r="J432" s="723"/>
      <c r="K432" s="723"/>
      <c r="L432" s="724"/>
      <c r="M432" s="724"/>
      <c r="N432" s="725"/>
      <c r="O432" s="725"/>
      <c r="P432" s="724"/>
      <c r="Q432" s="445"/>
      <c r="R432" s="445"/>
      <c r="S432" s="726"/>
      <c r="T432" s="726"/>
      <c r="U432" s="726"/>
      <c r="V432" s="726"/>
      <c r="W432" s="12">
        <f>W379</f>
        <v>0</v>
      </c>
      <c r="X432" s="12">
        <f t="shared" si="27"/>
        <v>1</v>
      </c>
      <c r="Y432" s="12">
        <f t="shared" si="28"/>
        <v>0</v>
      </c>
    </row>
    <row r="433" spans="3:25" ht="40.5" customHeight="1">
      <c r="C433" s="6"/>
      <c r="D433" s="4264" t="str">
        <f>UPPER(CONCATENATE("TOTAL ",D379))</f>
        <v>TOTAL DECKING AND PATIOS</v>
      </c>
      <c r="E433" s="4264"/>
      <c r="F433" s="4264"/>
      <c r="G433" s="4264"/>
      <c r="H433" s="4264"/>
      <c r="I433" s="4264"/>
      <c r="J433" s="4264"/>
      <c r="K433" s="4264"/>
      <c r="L433" s="4264"/>
      <c r="M433" s="4264"/>
      <c r="N433" s="4264"/>
      <c r="O433" s="4264"/>
      <c r="P433" s="4264"/>
      <c r="Q433" s="4265"/>
      <c r="R433" s="4265"/>
      <c r="S433" s="4265"/>
      <c r="T433" s="4265"/>
      <c r="U433" s="4265"/>
      <c r="V433" s="4265"/>
      <c r="W433" s="12">
        <f>W379</f>
        <v>0</v>
      </c>
      <c r="X433" s="12">
        <f t="shared" si="27"/>
        <v>1</v>
      </c>
      <c r="Y433" s="12">
        <f t="shared" si="28"/>
        <v>0</v>
      </c>
    </row>
    <row r="434" spans="3:25" ht="15.7">
      <c r="D434" s="723"/>
      <c r="E434" s="723"/>
      <c r="F434" s="723"/>
      <c r="G434" s="723"/>
      <c r="H434" s="723"/>
      <c r="I434" s="723"/>
      <c r="J434" s="723"/>
      <c r="K434" s="723"/>
      <c r="L434" s="724"/>
      <c r="M434" s="724"/>
      <c r="N434" s="725"/>
      <c r="O434" s="725"/>
      <c r="P434" s="724"/>
      <c r="Q434" s="445"/>
      <c r="R434" s="445"/>
      <c r="S434" s="726"/>
      <c r="T434" s="726"/>
      <c r="U434" s="726"/>
      <c r="V434" s="726"/>
      <c r="W434" s="12">
        <f>W379</f>
        <v>0</v>
      </c>
      <c r="X434" s="12">
        <f t="shared" si="27"/>
        <v>1</v>
      </c>
      <c r="Y434" s="12">
        <f t="shared" si="28"/>
        <v>0</v>
      </c>
    </row>
    <row r="435" spans="3:25" ht="26.45" customHeight="1">
      <c r="D435" s="4275" t="str">
        <f>T('2 REPAIR ESTIMATOR'!D402:O402)</f>
        <v>ROOFING</v>
      </c>
      <c r="E435" s="4275"/>
      <c r="F435" s="4275"/>
      <c r="G435" s="4275"/>
      <c r="H435" s="4275"/>
      <c r="I435" s="4275"/>
      <c r="J435" s="4275"/>
      <c r="K435" s="4276"/>
      <c r="L435" s="4277">
        <f>SUM(L436:M475)</f>
        <v>0</v>
      </c>
      <c r="M435" s="4278"/>
      <c r="N435" s="4279"/>
      <c r="O435" s="4280"/>
      <c r="P435" s="4277"/>
      <c r="Q435" s="4281"/>
      <c r="R435" s="4281"/>
      <c r="S435" s="4281"/>
      <c r="T435" s="4281"/>
      <c r="U435" s="4281"/>
      <c r="V435" s="4281"/>
      <c r="W435" s="12">
        <f>IF(L435&gt;0,1,0)</f>
        <v>0</v>
      </c>
      <c r="X435" s="12">
        <f t="shared" ref="X435:X466" si="29">IF(Scope8_Setting="Shown",1,0)</f>
        <v>1</v>
      </c>
      <c r="Y435" s="12">
        <f t="shared" si="28"/>
        <v>0</v>
      </c>
    </row>
    <row r="436" spans="3:25" ht="15.7">
      <c r="D436" s="4267" t="str">
        <f>T('2 REPAIR ESTIMATOR'!D403:O403)</f>
        <v>Roofing bid/allowance</v>
      </c>
      <c r="E436" s="4268"/>
      <c r="F436" s="4268"/>
      <c r="G436" s="4268"/>
      <c r="H436" s="4268"/>
      <c r="I436" s="4268"/>
      <c r="J436" s="4268"/>
      <c r="K436" s="4268"/>
      <c r="L436" s="4269">
        <f>'2 REPAIR ESTIMATOR'!P403</f>
        <v>0</v>
      </c>
      <c r="M436" s="4269"/>
      <c r="N436" s="4270" t="str">
        <f>T('2 REPAIR ESTIMATOR'!S403)</f>
        <v>ls</v>
      </c>
      <c r="O436" s="4270"/>
      <c r="P436" s="4273"/>
      <c r="Q436" s="4273"/>
      <c r="R436" s="4273"/>
      <c r="S436" s="4273"/>
      <c r="T436" s="4273"/>
      <c r="U436" s="4273"/>
      <c r="V436" s="4274"/>
      <c r="W436" s="12">
        <f>IF(L436="",0,1)</f>
        <v>1</v>
      </c>
      <c r="X436" s="12">
        <f t="shared" si="29"/>
        <v>1</v>
      </c>
      <c r="Y436" s="12">
        <f t="shared" si="28"/>
        <v>1</v>
      </c>
    </row>
    <row r="437" spans="3:25" ht="15.7">
      <c r="D437" s="4267" t="str">
        <f>T('2 REPAIR ESTIMATOR'!D404:O404)</f>
        <v>Asphalt shingle roof</v>
      </c>
      <c r="E437" s="4268"/>
      <c r="F437" s="4268"/>
      <c r="G437" s="4268"/>
      <c r="H437" s="4268"/>
      <c r="I437" s="4268"/>
      <c r="J437" s="4268"/>
      <c r="K437" s="4268"/>
      <c r="L437" s="4269">
        <f>'2 REPAIR ESTIMATOR'!P404</f>
        <v>0</v>
      </c>
      <c r="M437" s="4269"/>
      <c r="N437" s="4270" t="str">
        <f>T('2 REPAIR ESTIMATOR'!S404)</f>
        <v/>
      </c>
      <c r="O437" s="4270"/>
      <c r="P437" s="4271"/>
      <c r="Q437" s="4271"/>
      <c r="R437" s="4271"/>
      <c r="S437" s="4271"/>
      <c r="T437" s="4271"/>
      <c r="U437" s="4271"/>
      <c r="V437" s="4272"/>
      <c r="W437" s="12">
        <f t="shared" ref="W437:W475" si="30">IF(L437="",0,1)</f>
        <v>1</v>
      </c>
      <c r="X437" s="12">
        <f t="shared" si="29"/>
        <v>1</v>
      </c>
      <c r="Y437" s="12">
        <f t="shared" si="28"/>
        <v>1</v>
      </c>
    </row>
    <row r="438" spans="3:25" ht="15.7">
      <c r="D438" s="4267" t="str">
        <f>T('2 REPAIR ESTIMATOR'!D405:O405)</f>
        <v>Roof repair/patch, asphalt</v>
      </c>
      <c r="E438" s="4268"/>
      <c r="F438" s="4268"/>
      <c r="G438" s="4268"/>
      <c r="H438" s="4268"/>
      <c r="I438" s="4268"/>
      <c r="J438" s="4268"/>
      <c r="K438" s="4268"/>
      <c r="L438" s="4269">
        <f>'2 REPAIR ESTIMATOR'!P405</f>
        <v>0</v>
      </c>
      <c r="M438" s="4269"/>
      <c r="N438" s="4270" t="str">
        <f>T('2 REPAIR ESTIMATOR'!S405)</f>
        <v>ea</v>
      </c>
      <c r="O438" s="4270"/>
      <c r="P438" s="4271"/>
      <c r="Q438" s="4271"/>
      <c r="R438" s="4271"/>
      <c r="S438" s="4271"/>
      <c r="T438" s="4271"/>
      <c r="U438" s="4271"/>
      <c r="V438" s="4272"/>
      <c r="W438" s="12">
        <f t="shared" si="30"/>
        <v>1</v>
      </c>
      <c r="X438" s="12">
        <f t="shared" si="29"/>
        <v>1</v>
      </c>
      <c r="Y438" s="12">
        <f t="shared" si="28"/>
        <v>1</v>
      </c>
    </row>
    <row r="439" spans="3:25" ht="15.7">
      <c r="D439" s="4267" t="str">
        <f>T('2 REPAIR ESTIMATOR'!D406:O406)</f>
        <v>Roof replacement-demo &amp; replace, 3-tab</v>
      </c>
      <c r="E439" s="4268"/>
      <c r="F439" s="4268"/>
      <c r="G439" s="4268"/>
      <c r="H439" s="4268"/>
      <c r="I439" s="4268"/>
      <c r="J439" s="4268"/>
      <c r="K439" s="4268"/>
      <c r="L439" s="4269">
        <f>'2 REPAIR ESTIMATOR'!P406</f>
        <v>0</v>
      </c>
      <c r="M439" s="4269"/>
      <c r="N439" s="4270" t="str">
        <f>T('2 REPAIR ESTIMATOR'!S406)</f>
        <v>sq</v>
      </c>
      <c r="O439" s="4270"/>
      <c r="P439" s="4271"/>
      <c r="Q439" s="4271"/>
      <c r="R439" s="4271"/>
      <c r="S439" s="4271"/>
      <c r="T439" s="4271"/>
      <c r="U439" s="4271"/>
      <c r="V439" s="4272"/>
      <c r="W439" s="12">
        <f t="shared" si="30"/>
        <v>1</v>
      </c>
      <c r="X439" s="12">
        <f t="shared" si="29"/>
        <v>1</v>
      </c>
      <c r="Y439" s="12">
        <f t="shared" si="28"/>
        <v>1</v>
      </c>
    </row>
    <row r="440" spans="3:25" ht="15.7">
      <c r="D440" s="4267" t="str">
        <f>T('2 REPAIR ESTIMATOR'!D407:O407)</f>
        <v>Roof replacement-demo &amp; replace, architectural</v>
      </c>
      <c r="E440" s="4268"/>
      <c r="F440" s="4268"/>
      <c r="G440" s="4268"/>
      <c r="H440" s="4268"/>
      <c r="I440" s="4268"/>
      <c r="J440" s="4268"/>
      <c r="K440" s="4268"/>
      <c r="L440" s="4269">
        <f>'2 REPAIR ESTIMATOR'!P407</f>
        <v>0</v>
      </c>
      <c r="M440" s="4269"/>
      <c r="N440" s="4270" t="str">
        <f>T('2 REPAIR ESTIMATOR'!S407)</f>
        <v>sq</v>
      </c>
      <c r="O440" s="4270"/>
      <c r="P440" s="4271"/>
      <c r="Q440" s="4271"/>
      <c r="R440" s="4271"/>
      <c r="S440" s="4271"/>
      <c r="T440" s="4271"/>
      <c r="U440" s="4271"/>
      <c r="V440" s="4272"/>
      <c r="W440" s="12">
        <f t="shared" si="30"/>
        <v>1</v>
      </c>
      <c r="X440" s="12">
        <f t="shared" si="29"/>
        <v>1</v>
      </c>
      <c r="Y440" s="12">
        <f t="shared" si="28"/>
        <v>1</v>
      </c>
    </row>
    <row r="441" spans="3:25" ht="15.7">
      <c r="D441" s="4267" t="str">
        <f>T('2 REPAIR ESTIMATOR'!D408:O408)</f>
        <v>Premium for 3 layer tear off</v>
      </c>
      <c r="E441" s="4268"/>
      <c r="F441" s="4268"/>
      <c r="G441" s="4268"/>
      <c r="H441" s="4268"/>
      <c r="I441" s="4268"/>
      <c r="J441" s="4268"/>
      <c r="K441" s="4268"/>
      <c r="L441" s="4269">
        <f>'2 REPAIR ESTIMATOR'!P408</f>
        <v>0</v>
      </c>
      <c r="M441" s="4269"/>
      <c r="N441" s="4270" t="str">
        <f>T('2 REPAIR ESTIMATOR'!S408)</f>
        <v>sq</v>
      </c>
      <c r="O441" s="4270"/>
      <c r="P441" s="4271"/>
      <c r="Q441" s="4271"/>
      <c r="R441" s="4271"/>
      <c r="S441" s="4271"/>
      <c r="T441" s="4271"/>
      <c r="U441" s="4271"/>
      <c r="V441" s="4272"/>
      <c r="W441" s="12">
        <f t="shared" si="30"/>
        <v>1</v>
      </c>
      <c r="X441" s="12">
        <f t="shared" si="29"/>
        <v>1</v>
      </c>
      <c r="Y441" s="12">
        <f t="shared" si="28"/>
        <v>1</v>
      </c>
    </row>
    <row r="442" spans="3:25" ht="15.7">
      <c r="D442" s="4267" t="str">
        <f>T('2 REPAIR ESTIMATOR'!D409:O409)</f>
        <v>Premium for steep pitch roof</v>
      </c>
      <c r="E442" s="4268"/>
      <c r="F442" s="4268"/>
      <c r="G442" s="4268"/>
      <c r="H442" s="4268"/>
      <c r="I442" s="4268"/>
      <c r="J442" s="4268"/>
      <c r="K442" s="4268"/>
      <c r="L442" s="4269">
        <f>'2 REPAIR ESTIMATOR'!P409</f>
        <v>0</v>
      </c>
      <c r="M442" s="4269"/>
      <c r="N442" s="4270" t="str">
        <f>T('2 REPAIR ESTIMATOR'!S409)</f>
        <v>sq</v>
      </c>
      <c r="O442" s="4270"/>
      <c r="P442" s="4271"/>
      <c r="Q442" s="4271"/>
      <c r="R442" s="4271"/>
      <c r="S442" s="4271"/>
      <c r="T442" s="4271"/>
      <c r="U442" s="4271"/>
      <c r="V442" s="4272"/>
      <c r="W442" s="12">
        <f t="shared" si="30"/>
        <v>1</v>
      </c>
      <c r="X442" s="12">
        <f t="shared" si="29"/>
        <v>1</v>
      </c>
      <c r="Y442" s="12">
        <f t="shared" si="28"/>
        <v>1</v>
      </c>
    </row>
    <row r="443" spans="3:25" ht="15.7">
      <c r="D443" s="4267" t="str">
        <f>T('2 REPAIR ESTIMATOR'!D410:O410)</f>
        <v/>
      </c>
      <c r="E443" s="4268"/>
      <c r="F443" s="4268"/>
      <c r="G443" s="4268"/>
      <c r="H443" s="4268"/>
      <c r="I443" s="4268"/>
      <c r="J443" s="4268"/>
      <c r="K443" s="4268"/>
      <c r="L443" s="4269">
        <f>'2 REPAIR ESTIMATOR'!P410</f>
        <v>0</v>
      </c>
      <c r="M443" s="4269"/>
      <c r="N443" s="4270" t="str">
        <f>T('2 REPAIR ESTIMATOR'!S410)</f>
        <v/>
      </c>
      <c r="O443" s="4270"/>
      <c r="P443" s="4271"/>
      <c r="Q443" s="4271"/>
      <c r="R443" s="4271"/>
      <c r="S443" s="4271"/>
      <c r="T443" s="4271"/>
      <c r="U443" s="4271"/>
      <c r="V443" s="4272"/>
      <c r="W443" s="12">
        <f t="shared" si="30"/>
        <v>1</v>
      </c>
      <c r="X443" s="12">
        <f t="shared" si="29"/>
        <v>1</v>
      </c>
      <c r="Y443" s="12">
        <f t="shared" si="28"/>
        <v>1</v>
      </c>
    </row>
    <row r="444" spans="3:25" ht="15.7">
      <c r="D444" s="4267" t="str">
        <f>T('2 REPAIR ESTIMATOR'!D411:O411)</f>
        <v>Wood Shingle Roof</v>
      </c>
      <c r="E444" s="4268"/>
      <c r="F444" s="4268"/>
      <c r="G444" s="4268"/>
      <c r="H444" s="4268"/>
      <c r="I444" s="4268"/>
      <c r="J444" s="4268"/>
      <c r="K444" s="4268"/>
      <c r="L444" s="4269">
        <f>'2 REPAIR ESTIMATOR'!P411</f>
        <v>0</v>
      </c>
      <c r="M444" s="4269"/>
      <c r="N444" s="4270" t="str">
        <f>T('2 REPAIR ESTIMATOR'!S411)</f>
        <v/>
      </c>
      <c r="O444" s="4270"/>
      <c r="P444" s="4271"/>
      <c r="Q444" s="4271"/>
      <c r="R444" s="4271"/>
      <c r="S444" s="4271"/>
      <c r="T444" s="4271"/>
      <c r="U444" s="4271"/>
      <c r="V444" s="4272"/>
      <c r="W444" s="12">
        <f t="shared" si="30"/>
        <v>1</v>
      </c>
      <c r="X444" s="12">
        <f t="shared" si="29"/>
        <v>1</v>
      </c>
      <c r="Y444" s="12">
        <f t="shared" si="28"/>
        <v>1</v>
      </c>
    </row>
    <row r="445" spans="3:25" ht="15.7">
      <c r="D445" s="4267" t="str">
        <f>T('2 REPAIR ESTIMATOR'!D412:O412)</f>
        <v>Roof repair/patch, wood</v>
      </c>
      <c r="E445" s="4268"/>
      <c r="F445" s="4268"/>
      <c r="G445" s="4268"/>
      <c r="H445" s="4268"/>
      <c r="I445" s="4268"/>
      <c r="J445" s="4268"/>
      <c r="K445" s="4268"/>
      <c r="L445" s="4269">
        <f>'2 REPAIR ESTIMATOR'!P412</f>
        <v>0</v>
      </c>
      <c r="M445" s="4269"/>
      <c r="N445" s="4270" t="str">
        <f>T('2 REPAIR ESTIMATOR'!S412)</f>
        <v>ea</v>
      </c>
      <c r="O445" s="4270"/>
      <c r="P445" s="4271"/>
      <c r="Q445" s="4271"/>
      <c r="R445" s="4271"/>
      <c r="S445" s="4271"/>
      <c r="T445" s="4271"/>
      <c r="U445" s="4271"/>
      <c r="V445" s="4272"/>
      <c r="W445" s="12">
        <f t="shared" si="30"/>
        <v>1</v>
      </c>
      <c r="X445" s="12">
        <f t="shared" si="29"/>
        <v>1</v>
      </c>
      <c r="Y445" s="12">
        <f t="shared" si="28"/>
        <v>1</v>
      </c>
    </row>
    <row r="446" spans="3:25" ht="15.7">
      <c r="D446" s="4267" t="str">
        <f>T('2 REPAIR ESTIMATOR'!D413:O413)</f>
        <v>Roof replacement-demo &amp; replace, 3-tab</v>
      </c>
      <c r="E446" s="4268"/>
      <c r="F446" s="4268"/>
      <c r="G446" s="4268"/>
      <c r="H446" s="4268"/>
      <c r="I446" s="4268"/>
      <c r="J446" s="4268"/>
      <c r="K446" s="4268"/>
      <c r="L446" s="4269">
        <f>'2 REPAIR ESTIMATOR'!P413</f>
        <v>0</v>
      </c>
      <c r="M446" s="4269"/>
      <c r="N446" s="4270" t="str">
        <f>T('2 REPAIR ESTIMATOR'!S413)</f>
        <v>sq</v>
      </c>
      <c r="O446" s="4270"/>
      <c r="P446" s="4271"/>
      <c r="Q446" s="4271"/>
      <c r="R446" s="4271"/>
      <c r="S446" s="4271"/>
      <c r="T446" s="4271"/>
      <c r="U446" s="4271"/>
      <c r="V446" s="4272"/>
      <c r="W446" s="12">
        <f t="shared" si="30"/>
        <v>1</v>
      </c>
      <c r="X446" s="12">
        <f t="shared" si="29"/>
        <v>1</v>
      </c>
      <c r="Y446" s="12">
        <f t="shared" si="28"/>
        <v>1</v>
      </c>
    </row>
    <row r="447" spans="3:25" ht="15.7">
      <c r="D447" s="4267" t="str">
        <f>T('2 REPAIR ESTIMATOR'!D414:O414)</f>
        <v>Wood shingle, low end</v>
      </c>
      <c r="E447" s="4268"/>
      <c r="F447" s="4268"/>
      <c r="G447" s="4268"/>
      <c r="H447" s="4268"/>
      <c r="I447" s="4268"/>
      <c r="J447" s="4268"/>
      <c r="K447" s="4268"/>
      <c r="L447" s="4269">
        <f>'2 REPAIR ESTIMATOR'!P414</f>
        <v>0</v>
      </c>
      <c r="M447" s="4269"/>
      <c r="N447" s="4270" t="str">
        <f>T('2 REPAIR ESTIMATOR'!S414)</f>
        <v>sq</v>
      </c>
      <c r="O447" s="4270"/>
      <c r="P447" s="4271"/>
      <c r="Q447" s="4271"/>
      <c r="R447" s="4271"/>
      <c r="S447" s="4271"/>
      <c r="T447" s="4271"/>
      <c r="U447" s="4271"/>
      <c r="V447" s="4272"/>
      <c r="W447" s="12">
        <f t="shared" si="30"/>
        <v>1</v>
      </c>
      <c r="X447" s="12">
        <f t="shared" si="29"/>
        <v>1</v>
      </c>
      <c r="Y447" s="12">
        <f t="shared" si="28"/>
        <v>1</v>
      </c>
    </row>
    <row r="448" spans="3:25" ht="15.7">
      <c r="D448" s="4267" t="str">
        <f>T('2 REPAIR ESTIMATOR'!D415:O415)</f>
        <v>Wood shingle, high end</v>
      </c>
      <c r="E448" s="4268"/>
      <c r="F448" s="4268"/>
      <c r="G448" s="4268"/>
      <c r="H448" s="4268"/>
      <c r="I448" s="4268"/>
      <c r="J448" s="4268"/>
      <c r="K448" s="4268"/>
      <c r="L448" s="4269">
        <f>'2 REPAIR ESTIMATOR'!P415</f>
        <v>0</v>
      </c>
      <c r="M448" s="4269"/>
      <c r="N448" s="4270" t="str">
        <f>T('2 REPAIR ESTIMATOR'!S415)</f>
        <v>sq</v>
      </c>
      <c r="O448" s="4270"/>
      <c r="P448" s="4271"/>
      <c r="Q448" s="4271"/>
      <c r="R448" s="4271"/>
      <c r="S448" s="4271"/>
      <c r="T448" s="4271"/>
      <c r="U448" s="4271"/>
      <c r="V448" s="4272"/>
      <c r="W448" s="12">
        <f t="shared" si="30"/>
        <v>1</v>
      </c>
      <c r="X448" s="12">
        <f t="shared" si="29"/>
        <v>1</v>
      </c>
      <c r="Y448" s="12">
        <f t="shared" si="28"/>
        <v>1</v>
      </c>
    </row>
    <row r="449" spans="4:25" ht="15.7">
      <c r="D449" s="4267" t="str">
        <f>T('2 REPAIR ESTIMATOR'!D416:O416)</f>
        <v>Roof sheathing, plywood 1/2", remove &amp; install</v>
      </c>
      <c r="E449" s="4268"/>
      <c r="F449" s="4268"/>
      <c r="G449" s="4268"/>
      <c r="H449" s="4268"/>
      <c r="I449" s="4268"/>
      <c r="J449" s="4268"/>
      <c r="K449" s="4268"/>
      <c r="L449" s="4269">
        <f>'2 REPAIR ESTIMATOR'!P416</f>
        <v>0</v>
      </c>
      <c r="M449" s="4269"/>
      <c r="N449" s="4270" t="str">
        <f>T('2 REPAIR ESTIMATOR'!S416)</f>
        <v>sheet</v>
      </c>
      <c r="O449" s="4270"/>
      <c r="P449" s="4271"/>
      <c r="Q449" s="4271"/>
      <c r="R449" s="4271"/>
      <c r="S449" s="4271"/>
      <c r="T449" s="4271"/>
      <c r="U449" s="4271"/>
      <c r="V449" s="4272"/>
      <c r="W449" s="12">
        <f t="shared" si="30"/>
        <v>1</v>
      </c>
      <c r="X449" s="12">
        <f t="shared" si="29"/>
        <v>1</v>
      </c>
      <c r="Y449" s="12">
        <f t="shared" si="28"/>
        <v>1</v>
      </c>
    </row>
    <row r="450" spans="4:25" ht="15.7">
      <c r="D450" s="4267" t="str">
        <f>T('2 REPAIR ESTIMATOR'!D417:O417)</f>
        <v/>
      </c>
      <c r="E450" s="4268"/>
      <c r="F450" s="4268"/>
      <c r="G450" s="4268"/>
      <c r="H450" s="4268"/>
      <c r="I450" s="4268"/>
      <c r="J450" s="4268"/>
      <c r="K450" s="4268"/>
      <c r="L450" s="4269">
        <f>'2 REPAIR ESTIMATOR'!P417</f>
        <v>0</v>
      </c>
      <c r="M450" s="4269"/>
      <c r="N450" s="4270" t="str">
        <f>T('2 REPAIR ESTIMATOR'!S417)</f>
        <v/>
      </c>
      <c r="O450" s="4270"/>
      <c r="P450" s="4271"/>
      <c r="Q450" s="4271"/>
      <c r="R450" s="4271"/>
      <c r="S450" s="4271"/>
      <c r="T450" s="4271"/>
      <c r="U450" s="4271"/>
      <c r="V450" s="4272"/>
      <c r="W450" s="12">
        <f t="shared" si="30"/>
        <v>1</v>
      </c>
      <c r="X450" s="12">
        <f t="shared" si="29"/>
        <v>1</v>
      </c>
      <c r="Y450" s="12">
        <f t="shared" si="28"/>
        <v>1</v>
      </c>
    </row>
    <row r="451" spans="4:25" ht="15.7">
      <c r="D451" s="4267" t="str">
        <f>T('2 REPAIR ESTIMATOR'!D418:O418)</f>
        <v>Slate/Clay Tile</v>
      </c>
      <c r="E451" s="4268"/>
      <c r="F451" s="4268"/>
      <c r="G451" s="4268"/>
      <c r="H451" s="4268"/>
      <c r="I451" s="4268"/>
      <c r="J451" s="4268"/>
      <c r="K451" s="4268"/>
      <c r="L451" s="4269">
        <f>'2 REPAIR ESTIMATOR'!P418</f>
        <v>0</v>
      </c>
      <c r="M451" s="4269"/>
      <c r="N451" s="4270" t="str">
        <f>T('2 REPAIR ESTIMATOR'!S418)</f>
        <v/>
      </c>
      <c r="O451" s="4270"/>
      <c r="P451" s="4271"/>
      <c r="Q451" s="4271"/>
      <c r="R451" s="4271"/>
      <c r="S451" s="4271"/>
      <c r="T451" s="4271"/>
      <c r="U451" s="4271"/>
      <c r="V451" s="4272"/>
      <c r="W451" s="12">
        <f t="shared" si="30"/>
        <v>1</v>
      </c>
      <c r="X451" s="12">
        <f t="shared" si="29"/>
        <v>1</v>
      </c>
      <c r="Y451" s="12">
        <f t="shared" si="28"/>
        <v>1</v>
      </c>
    </row>
    <row r="452" spans="4:25" ht="15.7">
      <c r="D452" s="4267" t="str">
        <f>T('2 REPAIR ESTIMATOR'!D419:O419)</f>
        <v>Roof replacement-demo &amp; replace, slate</v>
      </c>
      <c r="E452" s="4268"/>
      <c r="F452" s="4268"/>
      <c r="G452" s="4268"/>
      <c r="H452" s="4268"/>
      <c r="I452" s="4268"/>
      <c r="J452" s="4268"/>
      <c r="K452" s="4268"/>
      <c r="L452" s="4269">
        <f>'2 REPAIR ESTIMATOR'!P419</f>
        <v>0</v>
      </c>
      <c r="M452" s="4269"/>
      <c r="N452" s="4270" t="str">
        <f>T('2 REPAIR ESTIMATOR'!S419)</f>
        <v>sq</v>
      </c>
      <c r="O452" s="4270"/>
      <c r="P452" s="4271"/>
      <c r="Q452" s="4271"/>
      <c r="R452" s="4271"/>
      <c r="S452" s="4271"/>
      <c r="T452" s="4271"/>
      <c r="U452" s="4271"/>
      <c r="V452" s="4272"/>
      <c r="W452" s="12">
        <f t="shared" si="30"/>
        <v>1</v>
      </c>
      <c r="X452" s="12">
        <f t="shared" si="29"/>
        <v>1</v>
      </c>
      <c r="Y452" s="12">
        <f t="shared" si="28"/>
        <v>1</v>
      </c>
    </row>
    <row r="453" spans="4:25" ht="15.7">
      <c r="D453" s="4267" t="str">
        <f>T('2 REPAIR ESTIMATOR'!D420:O420)</f>
        <v/>
      </c>
      <c r="E453" s="4268"/>
      <c r="F453" s="4268"/>
      <c r="G453" s="4268"/>
      <c r="H453" s="4268"/>
      <c r="I453" s="4268"/>
      <c r="J453" s="4268"/>
      <c r="K453" s="4268"/>
      <c r="L453" s="4269">
        <f>'2 REPAIR ESTIMATOR'!P420</f>
        <v>0</v>
      </c>
      <c r="M453" s="4269"/>
      <c r="N453" s="4270" t="str">
        <f>T('2 REPAIR ESTIMATOR'!S420)</f>
        <v/>
      </c>
      <c r="O453" s="4270"/>
      <c r="P453" s="4271"/>
      <c r="Q453" s="4271"/>
      <c r="R453" s="4271"/>
      <c r="S453" s="4271"/>
      <c r="T453" s="4271"/>
      <c r="U453" s="4271"/>
      <c r="V453" s="4272"/>
      <c r="W453" s="12">
        <f t="shared" si="30"/>
        <v>1</v>
      </c>
      <c r="X453" s="12">
        <f t="shared" si="29"/>
        <v>1</v>
      </c>
      <c r="Y453" s="12">
        <f t="shared" si="28"/>
        <v>1</v>
      </c>
    </row>
    <row r="454" spans="4:25" ht="15.7">
      <c r="D454" s="4267" t="str">
        <f>T('2 REPAIR ESTIMATOR'!D421:O421)</f>
        <v>Gutters &amp; downspouts, aluminum</v>
      </c>
      <c r="E454" s="4268"/>
      <c r="F454" s="4268"/>
      <c r="G454" s="4268"/>
      <c r="H454" s="4268"/>
      <c r="I454" s="4268"/>
      <c r="J454" s="4268"/>
      <c r="K454" s="4268"/>
      <c r="L454" s="4269">
        <f>'2 REPAIR ESTIMATOR'!P421</f>
        <v>0</v>
      </c>
      <c r="M454" s="4269"/>
      <c r="N454" s="4270" t="str">
        <f>T('2 REPAIR ESTIMATOR'!S421)</f>
        <v>lf</v>
      </c>
      <c r="O454" s="4270"/>
      <c r="P454" s="4271"/>
      <c r="Q454" s="4271"/>
      <c r="R454" s="4271"/>
      <c r="S454" s="4271"/>
      <c r="T454" s="4271"/>
      <c r="U454" s="4271"/>
      <c r="V454" s="4272"/>
      <c r="W454" s="12">
        <f t="shared" si="30"/>
        <v>1</v>
      </c>
      <c r="X454" s="12">
        <f t="shared" si="29"/>
        <v>1</v>
      </c>
      <c r="Y454" s="12">
        <f t="shared" si="28"/>
        <v>1</v>
      </c>
    </row>
    <row r="455" spans="4:25" ht="15.7">
      <c r="D455" s="4267" t="str">
        <f>T('2 REPAIR ESTIMATOR'!D422:O422)</f>
        <v>Clean gutters &amp; downspouts</v>
      </c>
      <c r="E455" s="4268"/>
      <c r="F455" s="4268"/>
      <c r="G455" s="4268"/>
      <c r="H455" s="4268"/>
      <c r="I455" s="4268"/>
      <c r="J455" s="4268"/>
      <c r="K455" s="4268"/>
      <c r="L455" s="4269">
        <f>'2 REPAIR ESTIMATOR'!P422</f>
        <v>0</v>
      </c>
      <c r="M455" s="4269"/>
      <c r="N455" s="4270" t="str">
        <f>T('2 REPAIR ESTIMATOR'!S422)</f>
        <v>hrs</v>
      </c>
      <c r="O455" s="4270"/>
      <c r="P455" s="4271"/>
      <c r="Q455" s="4271"/>
      <c r="R455" s="4271"/>
      <c r="S455" s="4271"/>
      <c r="T455" s="4271"/>
      <c r="U455" s="4271"/>
      <c r="V455" s="4272"/>
      <c r="W455" s="12">
        <f t="shared" si="30"/>
        <v>1</v>
      </c>
      <c r="X455" s="12">
        <f t="shared" si="29"/>
        <v>1</v>
      </c>
      <c r="Y455" s="12">
        <f t="shared" si="28"/>
        <v>1</v>
      </c>
    </row>
    <row r="456" spans="4:25" ht="15.7">
      <c r="D456" s="4267" t="str">
        <f>T('2 REPAIR ESTIMATOR'!D423:O423)</f>
        <v/>
      </c>
      <c r="E456" s="4268"/>
      <c r="F456" s="4268"/>
      <c r="G456" s="4268"/>
      <c r="H456" s="4268"/>
      <c r="I456" s="4268"/>
      <c r="J456" s="4268"/>
      <c r="K456" s="4268"/>
      <c r="L456" s="4269">
        <f>'2 REPAIR ESTIMATOR'!P423</f>
        <v>0</v>
      </c>
      <c r="M456" s="4269"/>
      <c r="N456" s="4270" t="str">
        <f>T('2 REPAIR ESTIMATOR'!S423)</f>
        <v/>
      </c>
      <c r="O456" s="4270"/>
      <c r="P456" s="4271"/>
      <c r="Q456" s="4271"/>
      <c r="R456" s="4271"/>
      <c r="S456" s="4271"/>
      <c r="T456" s="4271"/>
      <c r="U456" s="4271"/>
      <c r="V456" s="4272"/>
      <c r="W456" s="12">
        <f t="shared" si="30"/>
        <v>1</v>
      </c>
      <c r="X456" s="12">
        <f t="shared" si="29"/>
        <v>1</v>
      </c>
      <c r="Y456" s="12">
        <f t="shared" si="28"/>
        <v>1</v>
      </c>
    </row>
    <row r="457" spans="4:25" ht="15.7">
      <c r="D457" s="4267" t="str">
        <f>T('2 REPAIR ESTIMATOR'!D424:O424)</f>
        <v/>
      </c>
      <c r="E457" s="4268"/>
      <c r="F457" s="4268"/>
      <c r="G457" s="4268"/>
      <c r="H457" s="4268"/>
      <c r="I457" s="4268"/>
      <c r="J457" s="4268"/>
      <c r="K457" s="4268"/>
      <c r="L457" s="4269">
        <f>'2 REPAIR ESTIMATOR'!P424</f>
        <v>0</v>
      </c>
      <c r="M457" s="4269"/>
      <c r="N457" s="4270" t="str">
        <f>T('2 REPAIR ESTIMATOR'!S424)</f>
        <v/>
      </c>
      <c r="O457" s="4270"/>
      <c r="P457" s="4271"/>
      <c r="Q457" s="4271"/>
      <c r="R457" s="4271"/>
      <c r="S457" s="4271"/>
      <c r="T457" s="4271"/>
      <c r="U457" s="4271"/>
      <c r="V457" s="4272"/>
      <c r="W457" s="12">
        <f t="shared" si="30"/>
        <v>1</v>
      </c>
      <c r="X457" s="12">
        <f t="shared" si="29"/>
        <v>1</v>
      </c>
      <c r="Y457" s="12">
        <f t="shared" si="28"/>
        <v>1</v>
      </c>
    </row>
    <row r="458" spans="4:25" ht="15.7">
      <c r="D458" s="4267" t="str">
        <f>T('2 REPAIR ESTIMATOR'!D425:O425)</f>
        <v/>
      </c>
      <c r="E458" s="4268"/>
      <c r="F458" s="4268"/>
      <c r="G458" s="4268"/>
      <c r="H458" s="4268"/>
      <c r="I458" s="4268"/>
      <c r="J458" s="4268"/>
      <c r="K458" s="4268"/>
      <c r="L458" s="4269">
        <f>'2 REPAIR ESTIMATOR'!P425</f>
        <v>0</v>
      </c>
      <c r="M458" s="4269"/>
      <c r="N458" s="4270" t="str">
        <f>T('2 REPAIR ESTIMATOR'!S425)</f>
        <v/>
      </c>
      <c r="O458" s="4270"/>
      <c r="P458" s="4271"/>
      <c r="Q458" s="4271"/>
      <c r="R458" s="4271"/>
      <c r="S458" s="4271"/>
      <c r="T458" s="4271"/>
      <c r="U458" s="4271"/>
      <c r="V458" s="4272"/>
      <c r="W458" s="12">
        <f t="shared" si="30"/>
        <v>1</v>
      </c>
      <c r="X458" s="12">
        <f t="shared" si="29"/>
        <v>1</v>
      </c>
      <c r="Y458" s="12">
        <f t="shared" si="28"/>
        <v>1</v>
      </c>
    </row>
    <row r="459" spans="4:25" ht="15.7">
      <c r="D459" s="4267" t="str">
        <f>T('2 REPAIR ESTIMATOR'!D426:O426)</f>
        <v/>
      </c>
      <c r="E459" s="4268"/>
      <c r="F459" s="4268"/>
      <c r="G459" s="4268"/>
      <c r="H459" s="4268"/>
      <c r="I459" s="4268"/>
      <c r="J459" s="4268"/>
      <c r="K459" s="4268"/>
      <c r="L459" s="4269">
        <f>'2 REPAIR ESTIMATOR'!P426</f>
        <v>0</v>
      </c>
      <c r="M459" s="4269"/>
      <c r="N459" s="4270" t="str">
        <f>T('2 REPAIR ESTIMATOR'!S426)</f>
        <v/>
      </c>
      <c r="O459" s="4270"/>
      <c r="P459" s="4271"/>
      <c r="Q459" s="4271"/>
      <c r="R459" s="4271"/>
      <c r="S459" s="4271"/>
      <c r="T459" s="4271"/>
      <c r="U459" s="4271"/>
      <c r="V459" s="4272"/>
      <c r="W459" s="12">
        <f t="shared" si="30"/>
        <v>1</v>
      </c>
      <c r="X459" s="12">
        <f t="shared" si="29"/>
        <v>1</v>
      </c>
      <c r="Y459" s="12">
        <f t="shared" si="28"/>
        <v>1</v>
      </c>
    </row>
    <row r="460" spans="4:25" ht="15.7">
      <c r="D460" s="4267" t="str">
        <f>T('2 REPAIR ESTIMATOR'!D427:O427)</f>
        <v/>
      </c>
      <c r="E460" s="4268"/>
      <c r="F460" s="4268"/>
      <c r="G460" s="4268"/>
      <c r="H460" s="4268"/>
      <c r="I460" s="4268"/>
      <c r="J460" s="4268"/>
      <c r="K460" s="4268"/>
      <c r="L460" s="4269">
        <f>'2 REPAIR ESTIMATOR'!P427</f>
        <v>0</v>
      </c>
      <c r="M460" s="4269"/>
      <c r="N460" s="4270" t="str">
        <f>T('2 REPAIR ESTIMATOR'!S427)</f>
        <v/>
      </c>
      <c r="O460" s="4270"/>
      <c r="P460" s="4271"/>
      <c r="Q460" s="4271"/>
      <c r="R460" s="4271"/>
      <c r="S460" s="4271"/>
      <c r="T460" s="4271"/>
      <c r="U460" s="4271"/>
      <c r="V460" s="4272"/>
      <c r="W460" s="12">
        <f t="shared" si="30"/>
        <v>1</v>
      </c>
      <c r="X460" s="12">
        <f t="shared" si="29"/>
        <v>1</v>
      </c>
      <c r="Y460" s="12">
        <f t="shared" si="28"/>
        <v>1</v>
      </c>
    </row>
    <row r="461" spans="4:25" ht="15.7">
      <c r="D461" s="4267" t="str">
        <f>T('2 REPAIR ESTIMATOR'!D428:O428)</f>
        <v/>
      </c>
      <c r="E461" s="4268"/>
      <c r="F461" s="4268"/>
      <c r="G461" s="4268"/>
      <c r="H461" s="4268"/>
      <c r="I461" s="4268"/>
      <c r="J461" s="4268"/>
      <c r="K461" s="4268"/>
      <c r="L461" s="4269">
        <f>'2 REPAIR ESTIMATOR'!P428</f>
        <v>0</v>
      </c>
      <c r="M461" s="4269"/>
      <c r="N461" s="4270" t="str">
        <f>T('2 REPAIR ESTIMATOR'!S428)</f>
        <v/>
      </c>
      <c r="O461" s="4270"/>
      <c r="P461" s="4271"/>
      <c r="Q461" s="4271"/>
      <c r="R461" s="4271"/>
      <c r="S461" s="4271"/>
      <c r="T461" s="4271"/>
      <c r="U461" s="4271"/>
      <c r="V461" s="4272"/>
      <c r="W461" s="12">
        <f t="shared" si="30"/>
        <v>1</v>
      </c>
      <c r="X461" s="12">
        <f t="shared" si="29"/>
        <v>1</v>
      </c>
      <c r="Y461" s="12">
        <f t="shared" si="28"/>
        <v>1</v>
      </c>
    </row>
    <row r="462" spans="4:25" ht="15.7">
      <c r="D462" s="4267" t="str">
        <f>T('2 REPAIR ESTIMATOR'!D429:O429)</f>
        <v/>
      </c>
      <c r="E462" s="4268"/>
      <c r="F462" s="4268"/>
      <c r="G462" s="4268"/>
      <c r="H462" s="4268"/>
      <c r="I462" s="4268"/>
      <c r="J462" s="4268"/>
      <c r="K462" s="4268"/>
      <c r="L462" s="4269">
        <f>'2 REPAIR ESTIMATOR'!P429</f>
        <v>0</v>
      </c>
      <c r="M462" s="4269"/>
      <c r="N462" s="4270" t="str">
        <f>T('2 REPAIR ESTIMATOR'!S429)</f>
        <v/>
      </c>
      <c r="O462" s="4270"/>
      <c r="P462" s="4271"/>
      <c r="Q462" s="4271"/>
      <c r="R462" s="4271"/>
      <c r="S462" s="4271"/>
      <c r="T462" s="4271"/>
      <c r="U462" s="4271"/>
      <c r="V462" s="4272"/>
      <c r="W462" s="12">
        <f t="shared" si="30"/>
        <v>1</v>
      </c>
      <c r="X462" s="12">
        <f t="shared" si="29"/>
        <v>1</v>
      </c>
      <c r="Y462" s="12">
        <f t="shared" si="28"/>
        <v>1</v>
      </c>
    </row>
    <row r="463" spans="4:25" ht="15.7">
      <c r="D463" s="4267" t="str">
        <f>T('2 REPAIR ESTIMATOR'!D430:O430)</f>
        <v/>
      </c>
      <c r="E463" s="4268"/>
      <c r="F463" s="4268"/>
      <c r="G463" s="4268"/>
      <c r="H463" s="4268"/>
      <c r="I463" s="4268"/>
      <c r="J463" s="4268"/>
      <c r="K463" s="4268"/>
      <c r="L463" s="4269">
        <f>'2 REPAIR ESTIMATOR'!P430</f>
        <v>0</v>
      </c>
      <c r="M463" s="4269"/>
      <c r="N463" s="4270" t="str">
        <f>T('2 REPAIR ESTIMATOR'!S430)</f>
        <v/>
      </c>
      <c r="O463" s="4270"/>
      <c r="P463" s="4271"/>
      <c r="Q463" s="4271"/>
      <c r="R463" s="4271"/>
      <c r="S463" s="4271"/>
      <c r="T463" s="4271"/>
      <c r="U463" s="4271"/>
      <c r="V463" s="4272"/>
      <c r="W463" s="12">
        <f t="shared" si="30"/>
        <v>1</v>
      </c>
      <c r="X463" s="12">
        <f t="shared" si="29"/>
        <v>1</v>
      </c>
      <c r="Y463" s="12">
        <f t="shared" si="28"/>
        <v>1</v>
      </c>
    </row>
    <row r="464" spans="4:25" ht="15.7">
      <c r="D464" s="4267" t="str">
        <f>T('2 REPAIR ESTIMATOR'!D431:O431)</f>
        <v/>
      </c>
      <c r="E464" s="4268"/>
      <c r="F464" s="4268"/>
      <c r="G464" s="4268"/>
      <c r="H464" s="4268"/>
      <c r="I464" s="4268"/>
      <c r="J464" s="4268"/>
      <c r="K464" s="4268"/>
      <c r="L464" s="4269">
        <f>'2 REPAIR ESTIMATOR'!P431</f>
        <v>0</v>
      </c>
      <c r="M464" s="4269"/>
      <c r="N464" s="4270" t="str">
        <f>T('2 REPAIR ESTIMATOR'!S431)</f>
        <v/>
      </c>
      <c r="O464" s="4270"/>
      <c r="P464" s="4271"/>
      <c r="Q464" s="4271"/>
      <c r="R464" s="4271"/>
      <c r="S464" s="4271"/>
      <c r="T464" s="4271"/>
      <c r="U464" s="4271"/>
      <c r="V464" s="4272"/>
      <c r="W464" s="12">
        <f t="shared" si="30"/>
        <v>1</v>
      </c>
      <c r="X464" s="12">
        <f t="shared" si="29"/>
        <v>1</v>
      </c>
      <c r="Y464" s="12">
        <f t="shared" si="28"/>
        <v>1</v>
      </c>
    </row>
    <row r="465" spans="3:25" ht="15.7">
      <c r="D465" s="4267" t="str">
        <f>T('2 REPAIR ESTIMATOR'!D432:O432)</f>
        <v/>
      </c>
      <c r="E465" s="4268"/>
      <c r="F465" s="4268"/>
      <c r="G465" s="4268"/>
      <c r="H465" s="4268"/>
      <c r="I465" s="4268"/>
      <c r="J465" s="4268"/>
      <c r="K465" s="4268"/>
      <c r="L465" s="4269">
        <f>'2 REPAIR ESTIMATOR'!P432</f>
        <v>0</v>
      </c>
      <c r="M465" s="4269"/>
      <c r="N465" s="4270" t="str">
        <f>T('2 REPAIR ESTIMATOR'!S432)</f>
        <v/>
      </c>
      <c r="O465" s="4270"/>
      <c r="P465" s="4271"/>
      <c r="Q465" s="4271"/>
      <c r="R465" s="4271"/>
      <c r="S465" s="4271"/>
      <c r="T465" s="4271"/>
      <c r="U465" s="4271"/>
      <c r="V465" s="4272"/>
      <c r="W465" s="12">
        <f t="shared" si="30"/>
        <v>1</v>
      </c>
      <c r="X465" s="12">
        <f t="shared" si="29"/>
        <v>1</v>
      </c>
      <c r="Y465" s="12">
        <f t="shared" si="28"/>
        <v>1</v>
      </c>
    </row>
    <row r="466" spans="3:25" ht="15.7">
      <c r="D466" s="4267" t="str">
        <f>T('2 REPAIR ESTIMATOR'!D433:O433)</f>
        <v/>
      </c>
      <c r="E466" s="4268"/>
      <c r="F466" s="4268"/>
      <c r="G466" s="4268"/>
      <c r="H466" s="4268"/>
      <c r="I466" s="4268"/>
      <c r="J466" s="4268"/>
      <c r="K466" s="4268"/>
      <c r="L466" s="4269">
        <f>'2 REPAIR ESTIMATOR'!P433</f>
        <v>0</v>
      </c>
      <c r="M466" s="4269"/>
      <c r="N466" s="4270" t="str">
        <f>T('2 REPAIR ESTIMATOR'!S433)</f>
        <v/>
      </c>
      <c r="O466" s="4270"/>
      <c r="P466" s="4271"/>
      <c r="Q466" s="4271"/>
      <c r="R466" s="4271"/>
      <c r="S466" s="4271"/>
      <c r="T466" s="4271"/>
      <c r="U466" s="4271"/>
      <c r="V466" s="4272"/>
      <c r="W466" s="12">
        <f t="shared" si="30"/>
        <v>1</v>
      </c>
      <c r="X466" s="12">
        <f t="shared" si="29"/>
        <v>1</v>
      </c>
      <c r="Y466" s="12">
        <f t="shared" si="28"/>
        <v>1</v>
      </c>
    </row>
    <row r="467" spans="3:25" ht="15.7">
      <c r="D467" s="4267" t="str">
        <f>T('2 REPAIR ESTIMATOR'!D434:O434)</f>
        <v/>
      </c>
      <c r="E467" s="4268"/>
      <c r="F467" s="4268"/>
      <c r="G467" s="4268"/>
      <c r="H467" s="4268"/>
      <c r="I467" s="4268"/>
      <c r="J467" s="4268"/>
      <c r="K467" s="4268"/>
      <c r="L467" s="4269">
        <f>'2 REPAIR ESTIMATOR'!P434</f>
        <v>0</v>
      </c>
      <c r="M467" s="4269"/>
      <c r="N467" s="4270" t="str">
        <f>T('2 REPAIR ESTIMATOR'!S434)</f>
        <v/>
      </c>
      <c r="O467" s="4270"/>
      <c r="P467" s="4271"/>
      <c r="Q467" s="4271"/>
      <c r="R467" s="4271"/>
      <c r="S467" s="4271"/>
      <c r="T467" s="4271"/>
      <c r="U467" s="4271"/>
      <c r="V467" s="4272"/>
      <c r="W467" s="12">
        <f t="shared" si="30"/>
        <v>1</v>
      </c>
      <c r="X467" s="12">
        <f t="shared" ref="X467:X490" si="31">IF(Scope8_Setting="Shown",1,0)</f>
        <v>1</v>
      </c>
      <c r="Y467" s="12">
        <f t="shared" si="28"/>
        <v>1</v>
      </c>
    </row>
    <row r="468" spans="3:25" ht="15.7">
      <c r="D468" s="4267" t="str">
        <f>T('2 REPAIR ESTIMATOR'!D435:O435)</f>
        <v/>
      </c>
      <c r="E468" s="4268"/>
      <c r="F468" s="4268"/>
      <c r="G468" s="4268"/>
      <c r="H468" s="4268"/>
      <c r="I468" s="4268"/>
      <c r="J468" s="4268"/>
      <c r="K468" s="4268"/>
      <c r="L468" s="4269">
        <f>'2 REPAIR ESTIMATOR'!P435</f>
        <v>0</v>
      </c>
      <c r="M468" s="4269"/>
      <c r="N468" s="4270" t="str">
        <f>T('2 REPAIR ESTIMATOR'!S435)</f>
        <v/>
      </c>
      <c r="O468" s="4270"/>
      <c r="P468" s="4271"/>
      <c r="Q468" s="4271"/>
      <c r="R468" s="4271"/>
      <c r="S468" s="4271"/>
      <c r="T468" s="4271"/>
      <c r="U468" s="4271"/>
      <c r="V468" s="4272"/>
      <c r="W468" s="12">
        <f t="shared" si="30"/>
        <v>1</v>
      </c>
      <c r="X468" s="12">
        <f t="shared" si="31"/>
        <v>1</v>
      </c>
      <c r="Y468" s="12">
        <f t="shared" si="28"/>
        <v>1</v>
      </c>
    </row>
    <row r="469" spans="3:25" ht="15.7">
      <c r="D469" s="4267" t="str">
        <f>T('2 REPAIR ESTIMATOR'!D436:O436)</f>
        <v/>
      </c>
      <c r="E469" s="4268"/>
      <c r="F469" s="4268"/>
      <c r="G469" s="4268"/>
      <c r="H469" s="4268"/>
      <c r="I469" s="4268"/>
      <c r="J469" s="4268"/>
      <c r="K469" s="4268"/>
      <c r="L469" s="4269">
        <f>'2 REPAIR ESTIMATOR'!P436</f>
        <v>0</v>
      </c>
      <c r="M469" s="4269"/>
      <c r="N469" s="4270" t="str">
        <f>T('2 REPAIR ESTIMATOR'!S436)</f>
        <v/>
      </c>
      <c r="O469" s="4270"/>
      <c r="P469" s="4271"/>
      <c r="Q469" s="4271"/>
      <c r="R469" s="4271"/>
      <c r="S469" s="4271"/>
      <c r="T469" s="4271"/>
      <c r="U469" s="4271"/>
      <c r="V469" s="4272"/>
      <c r="W469" s="12">
        <f t="shared" si="30"/>
        <v>1</v>
      </c>
      <c r="X469" s="12">
        <f t="shared" si="31"/>
        <v>1</v>
      </c>
      <c r="Y469" s="12">
        <f t="shared" si="28"/>
        <v>1</v>
      </c>
    </row>
    <row r="470" spans="3:25" ht="15.7">
      <c r="D470" s="4267" t="str">
        <f>T('2 REPAIR ESTIMATOR'!D437:O437)</f>
        <v/>
      </c>
      <c r="E470" s="4268"/>
      <c r="F470" s="4268"/>
      <c r="G470" s="4268"/>
      <c r="H470" s="4268"/>
      <c r="I470" s="4268"/>
      <c r="J470" s="4268"/>
      <c r="K470" s="4268"/>
      <c r="L470" s="4269">
        <f>'2 REPAIR ESTIMATOR'!P437</f>
        <v>0</v>
      </c>
      <c r="M470" s="4269"/>
      <c r="N470" s="4270" t="str">
        <f>T('2 REPAIR ESTIMATOR'!S437)</f>
        <v/>
      </c>
      <c r="O470" s="4270"/>
      <c r="P470" s="4271"/>
      <c r="Q470" s="4271"/>
      <c r="R470" s="4271"/>
      <c r="S470" s="4271"/>
      <c r="T470" s="4271"/>
      <c r="U470" s="4271"/>
      <c r="V470" s="4272"/>
      <c r="W470" s="12">
        <f t="shared" si="30"/>
        <v>1</v>
      </c>
      <c r="X470" s="12">
        <f t="shared" si="31"/>
        <v>1</v>
      </c>
      <c r="Y470" s="12">
        <f t="shared" si="28"/>
        <v>1</v>
      </c>
    </row>
    <row r="471" spans="3:25" ht="15.7">
      <c r="D471" s="4267" t="str">
        <f>T('2 REPAIR ESTIMATOR'!D438:O438)</f>
        <v/>
      </c>
      <c r="E471" s="4268"/>
      <c r="F471" s="4268"/>
      <c r="G471" s="4268"/>
      <c r="H471" s="4268"/>
      <c r="I471" s="4268"/>
      <c r="J471" s="4268"/>
      <c r="K471" s="4268"/>
      <c r="L471" s="4269">
        <f>'2 REPAIR ESTIMATOR'!P438</f>
        <v>0</v>
      </c>
      <c r="M471" s="4269"/>
      <c r="N471" s="4270" t="str">
        <f>T('2 REPAIR ESTIMATOR'!S438)</f>
        <v/>
      </c>
      <c r="O471" s="4270"/>
      <c r="P471" s="4271"/>
      <c r="Q471" s="4271"/>
      <c r="R471" s="4271"/>
      <c r="S471" s="4271"/>
      <c r="T471" s="4271"/>
      <c r="U471" s="4271"/>
      <c r="V471" s="4272"/>
      <c r="W471" s="12">
        <f t="shared" si="30"/>
        <v>1</v>
      </c>
      <c r="X471" s="12">
        <f t="shared" si="31"/>
        <v>1</v>
      </c>
      <c r="Y471" s="12">
        <f t="shared" si="28"/>
        <v>1</v>
      </c>
    </row>
    <row r="472" spans="3:25" ht="15.7">
      <c r="D472" s="4267" t="str">
        <f>T('2 REPAIR ESTIMATOR'!D439:O439)</f>
        <v/>
      </c>
      <c r="E472" s="4268"/>
      <c r="F472" s="4268"/>
      <c r="G472" s="4268"/>
      <c r="H472" s="4268"/>
      <c r="I472" s="4268"/>
      <c r="J472" s="4268"/>
      <c r="K472" s="4268"/>
      <c r="L472" s="4269">
        <f>'2 REPAIR ESTIMATOR'!P439</f>
        <v>0</v>
      </c>
      <c r="M472" s="4269"/>
      <c r="N472" s="4270" t="str">
        <f>T('2 REPAIR ESTIMATOR'!S439)</f>
        <v/>
      </c>
      <c r="O472" s="4270"/>
      <c r="P472" s="4271"/>
      <c r="Q472" s="4271"/>
      <c r="R472" s="4271"/>
      <c r="S472" s="4271"/>
      <c r="T472" s="4271"/>
      <c r="U472" s="4271"/>
      <c r="V472" s="4272"/>
      <c r="W472" s="12">
        <f t="shared" si="30"/>
        <v>1</v>
      </c>
      <c r="X472" s="12">
        <f t="shared" si="31"/>
        <v>1</v>
      </c>
      <c r="Y472" s="12">
        <f t="shared" si="28"/>
        <v>1</v>
      </c>
    </row>
    <row r="473" spans="3:25" ht="15.7">
      <c r="D473" s="4267" t="str">
        <f>T('2 REPAIR ESTIMATOR'!D440:O440)</f>
        <v/>
      </c>
      <c r="E473" s="4268"/>
      <c r="F473" s="4268"/>
      <c r="G473" s="4268"/>
      <c r="H473" s="4268"/>
      <c r="I473" s="4268"/>
      <c r="J473" s="4268"/>
      <c r="K473" s="4268"/>
      <c r="L473" s="4269">
        <f>'2 REPAIR ESTIMATOR'!P440</f>
        <v>0</v>
      </c>
      <c r="M473" s="4269"/>
      <c r="N473" s="4270" t="str">
        <f>T('2 REPAIR ESTIMATOR'!S440)</f>
        <v/>
      </c>
      <c r="O473" s="4270"/>
      <c r="P473" s="4271"/>
      <c r="Q473" s="4271"/>
      <c r="R473" s="4271"/>
      <c r="S473" s="4271"/>
      <c r="T473" s="4271"/>
      <c r="U473" s="4271"/>
      <c r="V473" s="4272"/>
      <c r="W473" s="12">
        <f t="shared" si="30"/>
        <v>1</v>
      </c>
      <c r="X473" s="12">
        <f t="shared" si="31"/>
        <v>1</v>
      </c>
      <c r="Y473" s="12">
        <f t="shared" si="28"/>
        <v>1</v>
      </c>
    </row>
    <row r="474" spans="3:25" ht="15.7">
      <c r="D474" s="4267" t="str">
        <f>T('2 REPAIR ESTIMATOR'!D441:O441)</f>
        <v/>
      </c>
      <c r="E474" s="4268"/>
      <c r="F474" s="4268"/>
      <c r="G474" s="4268"/>
      <c r="H474" s="4268"/>
      <c r="I474" s="4268"/>
      <c r="J474" s="4268"/>
      <c r="K474" s="4268"/>
      <c r="L474" s="4269">
        <f>'2 REPAIR ESTIMATOR'!P441</f>
        <v>0</v>
      </c>
      <c r="M474" s="4269"/>
      <c r="N474" s="4270" t="str">
        <f>T('2 REPAIR ESTIMATOR'!S441)</f>
        <v/>
      </c>
      <c r="O474" s="4270"/>
      <c r="P474" s="4271"/>
      <c r="Q474" s="4271"/>
      <c r="R474" s="4271"/>
      <c r="S474" s="4271"/>
      <c r="T474" s="4271"/>
      <c r="U474" s="4271"/>
      <c r="V474" s="4272"/>
      <c r="W474" s="12">
        <f t="shared" si="30"/>
        <v>1</v>
      </c>
      <c r="X474" s="12">
        <f t="shared" si="31"/>
        <v>1</v>
      </c>
      <c r="Y474" s="12">
        <f t="shared" si="28"/>
        <v>1</v>
      </c>
    </row>
    <row r="475" spans="3:25" ht="15.7">
      <c r="D475" s="4267" t="str">
        <f>T('2 REPAIR ESTIMATOR'!D442:O442)</f>
        <v/>
      </c>
      <c r="E475" s="4268"/>
      <c r="F475" s="4268"/>
      <c r="G475" s="4268"/>
      <c r="H475" s="4268"/>
      <c r="I475" s="4268"/>
      <c r="J475" s="4268"/>
      <c r="K475" s="4268"/>
      <c r="L475" s="4269">
        <f>'2 REPAIR ESTIMATOR'!P442</f>
        <v>0</v>
      </c>
      <c r="M475" s="4269"/>
      <c r="N475" s="4270" t="str">
        <f>T('2 REPAIR ESTIMATOR'!S442)</f>
        <v/>
      </c>
      <c r="O475" s="4270"/>
      <c r="P475" s="4271"/>
      <c r="Q475" s="4271"/>
      <c r="R475" s="4271"/>
      <c r="S475" s="4271"/>
      <c r="T475" s="4271"/>
      <c r="U475" s="4271"/>
      <c r="V475" s="4272"/>
      <c r="W475" s="12">
        <f t="shared" si="30"/>
        <v>1</v>
      </c>
      <c r="X475" s="12">
        <f t="shared" si="31"/>
        <v>1</v>
      </c>
      <c r="Y475" s="12">
        <f t="shared" si="28"/>
        <v>1</v>
      </c>
    </row>
    <row r="476" spans="3:25" ht="15.7">
      <c r="C476" s="6"/>
      <c r="D476" s="723"/>
      <c r="E476" s="723"/>
      <c r="F476" s="723"/>
      <c r="G476" s="723"/>
      <c r="H476" s="723"/>
      <c r="I476" s="723"/>
      <c r="J476" s="723"/>
      <c r="K476" s="723"/>
      <c r="L476" s="724"/>
      <c r="M476" s="724"/>
      <c r="N476" s="725"/>
      <c r="O476" s="725"/>
      <c r="P476" s="724"/>
      <c r="Q476" s="445"/>
      <c r="R476" s="445"/>
      <c r="S476" s="725"/>
      <c r="T476" s="725"/>
      <c r="U476" s="725"/>
      <c r="V476" s="725"/>
      <c r="W476" s="12">
        <f>W477</f>
        <v>0</v>
      </c>
      <c r="X476" s="12">
        <f t="shared" si="31"/>
        <v>1</v>
      </c>
      <c r="Y476" s="12">
        <f t="shared" si="28"/>
        <v>0</v>
      </c>
    </row>
    <row r="477" spans="3:25" ht="16.7">
      <c r="C477" s="6"/>
      <c r="D477" s="4266" t="str">
        <f>UPPER(CONCATENATE("Miscellaneous ",D435," Items"))</f>
        <v>MISCELLANEOUS ROOFING ITEMS</v>
      </c>
      <c r="E477" s="4266"/>
      <c r="F477" s="4266"/>
      <c r="G477" s="4266"/>
      <c r="H477" s="4266"/>
      <c r="I477" s="4266"/>
      <c r="J477" s="4266"/>
      <c r="K477" s="4266"/>
      <c r="L477" s="4266"/>
      <c r="M477" s="4266"/>
      <c r="N477" s="4266"/>
      <c r="O477" s="4266"/>
      <c r="P477" s="4266"/>
      <c r="Q477" s="4266"/>
      <c r="R477" s="4266"/>
      <c r="S477" s="4266"/>
      <c r="T477" s="4266"/>
      <c r="U477" s="4266"/>
      <c r="V477" s="4266"/>
      <c r="W477" s="12">
        <f>SUM(W478:W487)</f>
        <v>0</v>
      </c>
      <c r="X477" s="12">
        <f t="shared" si="31"/>
        <v>1</v>
      </c>
      <c r="Y477" s="12">
        <f t="shared" si="28"/>
        <v>0</v>
      </c>
    </row>
    <row r="478" spans="3:25" ht="15.7">
      <c r="C478" s="6"/>
      <c r="D478" s="712">
        <v>1</v>
      </c>
      <c r="E478" s="4263" t="s">
        <v>1440</v>
      </c>
      <c r="F478" s="4263" t="s">
        <v>1382</v>
      </c>
      <c r="G478" s="4263" t="s">
        <v>1382</v>
      </c>
      <c r="H478" s="4263" t="s">
        <v>1382</v>
      </c>
      <c r="I478" s="4263" t="s">
        <v>1382</v>
      </c>
      <c r="J478" s="4263" t="s">
        <v>1382</v>
      </c>
      <c r="K478" s="4263" t="s">
        <v>1382</v>
      </c>
      <c r="L478" s="4263" t="s">
        <v>1382</v>
      </c>
      <c r="M478" s="4263" t="s">
        <v>1382</v>
      </c>
      <c r="N478" s="4263" t="s">
        <v>1382</v>
      </c>
      <c r="O478" s="4263" t="s">
        <v>1382</v>
      </c>
      <c r="P478" s="4263" t="s">
        <v>1382</v>
      </c>
      <c r="Q478" s="4263" t="s">
        <v>1382</v>
      </c>
      <c r="R478" s="4263" t="s">
        <v>1382</v>
      </c>
      <c r="S478" s="4263" t="s">
        <v>1382</v>
      </c>
      <c r="T478" s="4263" t="s">
        <v>1382</v>
      </c>
      <c r="U478" s="4263" t="s">
        <v>1382</v>
      </c>
      <c r="V478" s="4263" t="s">
        <v>1382</v>
      </c>
      <c r="W478" s="12">
        <f>IF(E478&lt;&gt;"",1,0)*W435</f>
        <v>0</v>
      </c>
      <c r="X478" s="12">
        <f t="shared" si="31"/>
        <v>1</v>
      </c>
      <c r="Y478" s="12">
        <f t="shared" si="28"/>
        <v>0</v>
      </c>
    </row>
    <row r="479" spans="3:25" ht="15.7">
      <c r="C479" s="6"/>
      <c r="D479" s="712">
        <v>2</v>
      </c>
      <c r="E479" s="4263" t="s">
        <v>1313</v>
      </c>
      <c r="F479" s="4263" t="s">
        <v>1313</v>
      </c>
      <c r="G479" s="4263" t="s">
        <v>1313</v>
      </c>
      <c r="H479" s="4263" t="s">
        <v>1313</v>
      </c>
      <c r="I479" s="4263" t="s">
        <v>1313</v>
      </c>
      <c r="J479" s="4263" t="s">
        <v>1313</v>
      </c>
      <c r="K479" s="4263" t="s">
        <v>1313</v>
      </c>
      <c r="L479" s="4263" t="s">
        <v>1313</v>
      </c>
      <c r="M479" s="4263" t="s">
        <v>1313</v>
      </c>
      <c r="N479" s="4263" t="s">
        <v>1313</v>
      </c>
      <c r="O479" s="4263" t="s">
        <v>1313</v>
      </c>
      <c r="P479" s="4263" t="s">
        <v>1313</v>
      </c>
      <c r="Q479" s="4263" t="s">
        <v>1313</v>
      </c>
      <c r="R479" s="4263" t="s">
        <v>1313</v>
      </c>
      <c r="S479" s="4263" t="s">
        <v>1313</v>
      </c>
      <c r="T479" s="4263" t="s">
        <v>1313</v>
      </c>
      <c r="U479" s="4263" t="s">
        <v>1313</v>
      </c>
      <c r="V479" s="4263" t="s">
        <v>1313</v>
      </c>
      <c r="W479" s="12">
        <f>IF(E479&lt;&gt;"",1,0)*W435</f>
        <v>0</v>
      </c>
      <c r="X479" s="12">
        <f t="shared" si="31"/>
        <v>1</v>
      </c>
      <c r="Y479" s="12">
        <f t="shared" si="28"/>
        <v>0</v>
      </c>
    </row>
    <row r="480" spans="3:25" ht="15.7">
      <c r="C480" s="6"/>
      <c r="D480" s="712">
        <v>3</v>
      </c>
      <c r="E480" s="4263" t="s">
        <v>1315</v>
      </c>
      <c r="F480" s="4263" t="s">
        <v>1315</v>
      </c>
      <c r="G480" s="4263" t="s">
        <v>1315</v>
      </c>
      <c r="H480" s="4263" t="s">
        <v>1315</v>
      </c>
      <c r="I480" s="4263" t="s">
        <v>1315</v>
      </c>
      <c r="J480" s="4263" t="s">
        <v>1315</v>
      </c>
      <c r="K480" s="4263" t="s">
        <v>1315</v>
      </c>
      <c r="L480" s="4263" t="s">
        <v>1315</v>
      </c>
      <c r="M480" s="4263" t="s">
        <v>1315</v>
      </c>
      <c r="N480" s="4263" t="s">
        <v>1315</v>
      </c>
      <c r="O480" s="4263" t="s">
        <v>1315</v>
      </c>
      <c r="P480" s="4263" t="s">
        <v>1315</v>
      </c>
      <c r="Q480" s="4263" t="s">
        <v>1315</v>
      </c>
      <c r="R480" s="4263" t="s">
        <v>1315</v>
      </c>
      <c r="S480" s="4263" t="s">
        <v>1315</v>
      </c>
      <c r="T480" s="4263" t="s">
        <v>1315</v>
      </c>
      <c r="U480" s="4263" t="s">
        <v>1315</v>
      </c>
      <c r="V480" s="4263" t="s">
        <v>1315</v>
      </c>
      <c r="W480" s="12">
        <f>IF(E480&lt;&gt;"",1,0)*W435</f>
        <v>0</v>
      </c>
      <c r="X480" s="12">
        <f t="shared" si="31"/>
        <v>1</v>
      </c>
      <c r="Y480" s="12">
        <f t="shared" si="28"/>
        <v>0</v>
      </c>
    </row>
    <row r="481" spans="3:25" ht="15.7">
      <c r="C481" s="6"/>
      <c r="D481" s="712">
        <v>4</v>
      </c>
      <c r="E481" s="4263" t="s">
        <v>1314</v>
      </c>
      <c r="F481" s="4263" t="s">
        <v>1314</v>
      </c>
      <c r="G481" s="4263" t="s">
        <v>1314</v>
      </c>
      <c r="H481" s="4263" t="s">
        <v>1314</v>
      </c>
      <c r="I481" s="4263" t="s">
        <v>1314</v>
      </c>
      <c r="J481" s="4263" t="s">
        <v>1314</v>
      </c>
      <c r="K481" s="4263" t="s">
        <v>1314</v>
      </c>
      <c r="L481" s="4263" t="s">
        <v>1314</v>
      </c>
      <c r="M481" s="4263" t="s">
        <v>1314</v>
      </c>
      <c r="N481" s="4263" t="s">
        <v>1314</v>
      </c>
      <c r="O481" s="4263" t="s">
        <v>1314</v>
      </c>
      <c r="P481" s="4263" t="s">
        <v>1314</v>
      </c>
      <c r="Q481" s="4263" t="s">
        <v>1314</v>
      </c>
      <c r="R481" s="4263" t="s">
        <v>1314</v>
      </c>
      <c r="S481" s="4263" t="s">
        <v>1314</v>
      </c>
      <c r="T481" s="4263" t="s">
        <v>1314</v>
      </c>
      <c r="U481" s="4263" t="s">
        <v>1314</v>
      </c>
      <c r="V481" s="4263" t="s">
        <v>1314</v>
      </c>
      <c r="W481" s="12">
        <f>IF(E481&lt;&gt;"",1,0)*W435</f>
        <v>0</v>
      </c>
      <c r="X481" s="12">
        <f t="shared" si="31"/>
        <v>1</v>
      </c>
      <c r="Y481" s="12">
        <f t="shared" si="28"/>
        <v>0</v>
      </c>
    </row>
    <row r="482" spans="3:25" ht="15.7">
      <c r="C482" s="6"/>
      <c r="D482" s="712">
        <v>5</v>
      </c>
      <c r="E482" s="4263" t="s">
        <v>1316</v>
      </c>
      <c r="F482" s="4263" t="s">
        <v>1316</v>
      </c>
      <c r="G482" s="4263" t="s">
        <v>1316</v>
      </c>
      <c r="H482" s="4263" t="s">
        <v>1316</v>
      </c>
      <c r="I482" s="4263" t="s">
        <v>1316</v>
      </c>
      <c r="J482" s="4263" t="s">
        <v>1316</v>
      </c>
      <c r="K482" s="4263" t="s">
        <v>1316</v>
      </c>
      <c r="L482" s="4263" t="s">
        <v>1316</v>
      </c>
      <c r="M482" s="4263" t="s">
        <v>1316</v>
      </c>
      <c r="N482" s="4263" t="s">
        <v>1316</v>
      </c>
      <c r="O482" s="4263" t="s">
        <v>1316</v>
      </c>
      <c r="P482" s="4263" t="s">
        <v>1316</v>
      </c>
      <c r="Q482" s="4263" t="s">
        <v>1316</v>
      </c>
      <c r="R482" s="4263" t="s">
        <v>1316</v>
      </c>
      <c r="S482" s="4263" t="s">
        <v>1316</v>
      </c>
      <c r="T482" s="4263" t="s">
        <v>1316</v>
      </c>
      <c r="U482" s="4263" t="s">
        <v>1316</v>
      </c>
      <c r="V482" s="4263" t="s">
        <v>1316</v>
      </c>
      <c r="W482" s="12">
        <f>IF(E482&lt;&gt;"",1,0)*W435</f>
        <v>0</v>
      </c>
      <c r="X482" s="12">
        <f t="shared" si="31"/>
        <v>1</v>
      </c>
      <c r="Y482" s="12">
        <f t="shared" si="28"/>
        <v>0</v>
      </c>
    </row>
    <row r="483" spans="3:25" ht="15.7">
      <c r="C483" s="6"/>
      <c r="D483" s="712">
        <v>6</v>
      </c>
      <c r="E483" s="4263" t="s">
        <v>1317</v>
      </c>
      <c r="F483" s="4263" t="s">
        <v>1317</v>
      </c>
      <c r="G483" s="4263" t="s">
        <v>1317</v>
      </c>
      <c r="H483" s="4263" t="s">
        <v>1317</v>
      </c>
      <c r="I483" s="4263" t="s">
        <v>1317</v>
      </c>
      <c r="J483" s="4263" t="s">
        <v>1317</v>
      </c>
      <c r="K483" s="4263" t="s">
        <v>1317</v>
      </c>
      <c r="L483" s="4263" t="s">
        <v>1317</v>
      </c>
      <c r="M483" s="4263" t="s">
        <v>1317</v>
      </c>
      <c r="N483" s="4263" t="s">
        <v>1317</v>
      </c>
      <c r="O483" s="4263" t="s">
        <v>1317</v>
      </c>
      <c r="P483" s="4263" t="s">
        <v>1317</v>
      </c>
      <c r="Q483" s="4263" t="s">
        <v>1317</v>
      </c>
      <c r="R483" s="4263" t="s">
        <v>1317</v>
      </c>
      <c r="S483" s="4263" t="s">
        <v>1317</v>
      </c>
      <c r="T483" s="4263" t="s">
        <v>1317</v>
      </c>
      <c r="U483" s="4263" t="s">
        <v>1317</v>
      </c>
      <c r="V483" s="4263" t="s">
        <v>1317</v>
      </c>
      <c r="W483" s="12">
        <f>IF(E483&lt;&gt;"",1,0)*W435</f>
        <v>0</v>
      </c>
      <c r="X483" s="12">
        <f t="shared" si="31"/>
        <v>1</v>
      </c>
      <c r="Y483" s="12">
        <f t="shared" si="28"/>
        <v>0</v>
      </c>
    </row>
    <row r="484" spans="3:25" ht="15.7">
      <c r="C484" s="6"/>
      <c r="D484" s="712">
        <v>7</v>
      </c>
      <c r="E484" s="4263" t="s">
        <v>1318</v>
      </c>
      <c r="F484" s="4263" t="s">
        <v>1318</v>
      </c>
      <c r="G484" s="4263" t="s">
        <v>1318</v>
      </c>
      <c r="H484" s="4263" t="s">
        <v>1318</v>
      </c>
      <c r="I484" s="4263" t="s">
        <v>1318</v>
      </c>
      <c r="J484" s="4263" t="s">
        <v>1318</v>
      </c>
      <c r="K484" s="4263" t="s">
        <v>1318</v>
      </c>
      <c r="L484" s="4263" t="s">
        <v>1318</v>
      </c>
      <c r="M484" s="4263" t="s">
        <v>1318</v>
      </c>
      <c r="N484" s="4263" t="s">
        <v>1318</v>
      </c>
      <c r="O484" s="4263" t="s">
        <v>1318</v>
      </c>
      <c r="P484" s="4263" t="s">
        <v>1318</v>
      </c>
      <c r="Q484" s="4263" t="s">
        <v>1318</v>
      </c>
      <c r="R484" s="4263" t="s">
        <v>1318</v>
      </c>
      <c r="S484" s="4263" t="s">
        <v>1318</v>
      </c>
      <c r="T484" s="4263" t="s">
        <v>1318</v>
      </c>
      <c r="U484" s="4263" t="s">
        <v>1318</v>
      </c>
      <c r="V484" s="4263" t="s">
        <v>1318</v>
      </c>
      <c r="W484" s="12">
        <f>IF(E484&lt;&gt;"",1,0)*W435</f>
        <v>0</v>
      </c>
      <c r="X484" s="12">
        <f t="shared" si="31"/>
        <v>1</v>
      </c>
      <c r="Y484" s="12">
        <f t="shared" si="28"/>
        <v>0</v>
      </c>
    </row>
    <row r="485" spans="3:25" ht="15.7">
      <c r="C485" s="6"/>
      <c r="D485" s="712">
        <v>8</v>
      </c>
      <c r="E485" s="4263" t="s">
        <v>1319</v>
      </c>
      <c r="F485" s="4263" t="s">
        <v>1319</v>
      </c>
      <c r="G485" s="4263" t="s">
        <v>1319</v>
      </c>
      <c r="H485" s="4263" t="s">
        <v>1319</v>
      </c>
      <c r="I485" s="4263" t="s">
        <v>1319</v>
      </c>
      <c r="J485" s="4263" t="s">
        <v>1319</v>
      </c>
      <c r="K485" s="4263" t="s">
        <v>1319</v>
      </c>
      <c r="L485" s="4263" t="s">
        <v>1319</v>
      </c>
      <c r="M485" s="4263" t="s">
        <v>1319</v>
      </c>
      <c r="N485" s="4263" t="s">
        <v>1319</v>
      </c>
      <c r="O485" s="4263" t="s">
        <v>1319</v>
      </c>
      <c r="P485" s="4263" t="s">
        <v>1319</v>
      </c>
      <c r="Q485" s="4263" t="s">
        <v>1319</v>
      </c>
      <c r="R485" s="4263" t="s">
        <v>1319</v>
      </c>
      <c r="S485" s="4263" t="s">
        <v>1319</v>
      </c>
      <c r="T485" s="4263" t="s">
        <v>1319</v>
      </c>
      <c r="U485" s="4263" t="s">
        <v>1319</v>
      </c>
      <c r="V485" s="4263" t="s">
        <v>1319</v>
      </c>
      <c r="W485" s="12">
        <f>IF(E485&lt;&gt;"",1,0)*W435</f>
        <v>0</v>
      </c>
      <c r="X485" s="12">
        <f t="shared" si="31"/>
        <v>1</v>
      </c>
      <c r="Y485" s="12">
        <f t="shared" si="28"/>
        <v>0</v>
      </c>
    </row>
    <row r="486" spans="3:25" ht="15.7">
      <c r="C486" s="6"/>
      <c r="D486" s="712">
        <v>9</v>
      </c>
      <c r="E486" s="4263" t="s">
        <v>1438</v>
      </c>
      <c r="F486" s="4263"/>
      <c r="G486" s="4263"/>
      <c r="H486" s="4263"/>
      <c r="I486" s="4263"/>
      <c r="J486" s="4263"/>
      <c r="K486" s="4263"/>
      <c r="L486" s="4263"/>
      <c r="M486" s="4263"/>
      <c r="N486" s="4263"/>
      <c r="O486" s="4263"/>
      <c r="P486" s="4263"/>
      <c r="Q486" s="4263"/>
      <c r="R486" s="4263"/>
      <c r="S486" s="4263"/>
      <c r="T486" s="4263"/>
      <c r="U486" s="4263"/>
      <c r="V486" s="4263"/>
      <c r="W486" s="12">
        <f>IF(E486&lt;&gt;"",1,0)*W435</f>
        <v>0</v>
      </c>
      <c r="X486" s="12">
        <f t="shared" si="31"/>
        <v>1</v>
      </c>
      <c r="Y486" s="12">
        <f t="shared" si="28"/>
        <v>0</v>
      </c>
    </row>
    <row r="487" spans="3:25" ht="15.7">
      <c r="C487" s="6"/>
      <c r="D487" s="712">
        <v>10</v>
      </c>
      <c r="E487" s="4263"/>
      <c r="F487" s="4263"/>
      <c r="G487" s="4263"/>
      <c r="H487" s="4263"/>
      <c r="I487" s="4263"/>
      <c r="J487" s="4263"/>
      <c r="K487" s="4263"/>
      <c r="L487" s="4263"/>
      <c r="M487" s="4263"/>
      <c r="N487" s="4263"/>
      <c r="O487" s="4263"/>
      <c r="P487" s="4263"/>
      <c r="Q487" s="4263"/>
      <c r="R487" s="4263"/>
      <c r="S487" s="4263"/>
      <c r="T487" s="4263"/>
      <c r="U487" s="4263"/>
      <c r="V487" s="4263"/>
      <c r="W487" s="12">
        <f>IF(E487&lt;&gt;"",1,0)*W435</f>
        <v>0</v>
      </c>
      <c r="X487" s="12">
        <f t="shared" si="31"/>
        <v>1</v>
      </c>
      <c r="Y487" s="12">
        <f t="shared" si="28"/>
        <v>0</v>
      </c>
    </row>
    <row r="488" spans="3:25" ht="15.7">
      <c r="C488" s="6"/>
      <c r="D488" s="723"/>
      <c r="E488" s="723"/>
      <c r="F488" s="723"/>
      <c r="G488" s="723"/>
      <c r="H488" s="723"/>
      <c r="I488" s="723"/>
      <c r="J488" s="723"/>
      <c r="K488" s="723"/>
      <c r="L488" s="724"/>
      <c r="M488" s="724"/>
      <c r="N488" s="725"/>
      <c r="O488" s="725"/>
      <c r="P488" s="724"/>
      <c r="Q488" s="445"/>
      <c r="R488" s="445"/>
      <c r="S488" s="726"/>
      <c r="T488" s="726"/>
      <c r="U488" s="726"/>
      <c r="V488" s="726"/>
      <c r="W488" s="12">
        <f>W435</f>
        <v>0</v>
      </c>
      <c r="X488" s="12">
        <f t="shared" si="31"/>
        <v>1</v>
      </c>
      <c r="Y488" s="12">
        <f t="shared" si="28"/>
        <v>0</v>
      </c>
    </row>
    <row r="489" spans="3:25" ht="40.5" customHeight="1">
      <c r="C489" s="6"/>
      <c r="D489" s="4264" t="str">
        <f>UPPER(CONCATENATE("TOTAL ",D435))</f>
        <v>TOTAL ROOFING</v>
      </c>
      <c r="E489" s="4264"/>
      <c r="F489" s="4264"/>
      <c r="G489" s="4264"/>
      <c r="H489" s="4264"/>
      <c r="I489" s="4264"/>
      <c r="J489" s="4264"/>
      <c r="K489" s="4264"/>
      <c r="L489" s="4264"/>
      <c r="M489" s="4264"/>
      <c r="N489" s="4264"/>
      <c r="O489" s="4264"/>
      <c r="P489" s="4264"/>
      <c r="Q489" s="4265"/>
      <c r="R489" s="4265"/>
      <c r="S489" s="4265"/>
      <c r="T489" s="4265"/>
      <c r="U489" s="4265"/>
      <c r="V489" s="4265"/>
      <c r="W489" s="12">
        <f>W435</f>
        <v>0</v>
      </c>
      <c r="X489" s="12">
        <f t="shared" si="31"/>
        <v>1</v>
      </c>
      <c r="Y489" s="12">
        <f t="shared" si="28"/>
        <v>0</v>
      </c>
    </row>
    <row r="490" spans="3:25" ht="15.7">
      <c r="D490" s="723"/>
      <c r="E490" s="723"/>
      <c r="F490" s="723"/>
      <c r="G490" s="723"/>
      <c r="H490" s="723"/>
      <c r="I490" s="723"/>
      <c r="J490" s="723"/>
      <c r="K490" s="723"/>
      <c r="L490" s="724"/>
      <c r="M490" s="724"/>
      <c r="N490" s="725"/>
      <c r="O490" s="725"/>
      <c r="P490" s="724"/>
      <c r="Q490" s="445"/>
      <c r="R490" s="445"/>
      <c r="S490" s="726"/>
      <c r="T490" s="726"/>
      <c r="U490" s="726"/>
      <c r="V490" s="726"/>
      <c r="W490" s="12">
        <f>W435</f>
        <v>0</v>
      </c>
      <c r="X490" s="12">
        <f t="shared" si="31"/>
        <v>1</v>
      </c>
      <c r="Y490" s="12">
        <f t="shared" si="28"/>
        <v>0</v>
      </c>
    </row>
    <row r="491" spans="3:25" ht="26.45" customHeight="1">
      <c r="D491" s="4275" t="str">
        <f>T('2 REPAIR ESTIMATOR'!D447:O447)</f>
        <v>EXTERIOR DOORS &amp; WINDOWS</v>
      </c>
      <c r="E491" s="4275"/>
      <c r="F491" s="4275"/>
      <c r="G491" s="4275"/>
      <c r="H491" s="4275"/>
      <c r="I491" s="4275"/>
      <c r="J491" s="4275"/>
      <c r="K491" s="4276"/>
      <c r="L491" s="4277">
        <f>SUM(L492:M531)</f>
        <v>0</v>
      </c>
      <c r="M491" s="4278"/>
      <c r="N491" s="4279"/>
      <c r="O491" s="4280"/>
      <c r="P491" s="4277"/>
      <c r="Q491" s="4281"/>
      <c r="R491" s="4281"/>
      <c r="S491" s="4281"/>
      <c r="T491" s="4281"/>
      <c r="U491" s="4281"/>
      <c r="V491" s="4281"/>
      <c r="W491" s="12">
        <f>IF(L491&gt;0,1,0)</f>
        <v>0</v>
      </c>
      <c r="X491" s="12">
        <f t="shared" ref="X491:X522" si="32">IF(Scope9_Setting="Shown",1,0)</f>
        <v>1</v>
      </c>
      <c r="Y491" s="12">
        <f t="shared" si="28"/>
        <v>0</v>
      </c>
    </row>
    <row r="492" spans="3:25" ht="15.7">
      <c r="D492" s="4267" t="str">
        <f>T('2 REPAIR ESTIMATOR'!D448:O448)</f>
        <v>Exterior Doors</v>
      </c>
      <c r="E492" s="4268"/>
      <c r="F492" s="4268"/>
      <c r="G492" s="4268"/>
      <c r="H492" s="4268"/>
      <c r="I492" s="4268"/>
      <c r="J492" s="4268"/>
      <c r="K492" s="4268"/>
      <c r="L492" s="4269">
        <f>'2 REPAIR ESTIMATOR'!P448</f>
        <v>0</v>
      </c>
      <c r="M492" s="4269"/>
      <c r="N492" s="4270" t="str">
        <f>T('2 REPAIR ESTIMATOR'!S448)</f>
        <v/>
      </c>
      <c r="O492" s="4270"/>
      <c r="P492" s="4273"/>
      <c r="Q492" s="4273"/>
      <c r="R492" s="4273"/>
      <c r="S492" s="4273"/>
      <c r="T492" s="4273"/>
      <c r="U492" s="4273"/>
      <c r="V492" s="4274"/>
      <c r="W492" s="12">
        <f>IF(L492="",0,1)</f>
        <v>1</v>
      </c>
      <c r="X492" s="12">
        <f t="shared" si="32"/>
        <v>1</v>
      </c>
      <c r="Y492" s="12">
        <f t="shared" ref="Y492:Y555" si="33">W492*X492</f>
        <v>1</v>
      </c>
    </row>
    <row r="493" spans="3:25" ht="15.7">
      <c r="D493" s="4267" t="str">
        <f>T('2 REPAIR ESTIMATOR'!D449:O449)</f>
        <v>Exterior doors bid/allowance</v>
      </c>
      <c r="E493" s="4268"/>
      <c r="F493" s="4268"/>
      <c r="G493" s="4268"/>
      <c r="H493" s="4268"/>
      <c r="I493" s="4268"/>
      <c r="J493" s="4268"/>
      <c r="K493" s="4268"/>
      <c r="L493" s="4269">
        <f>'2 REPAIR ESTIMATOR'!P449</f>
        <v>0</v>
      </c>
      <c r="M493" s="4269"/>
      <c r="N493" s="4270" t="str">
        <f>T('2 REPAIR ESTIMATOR'!S449)</f>
        <v>ls</v>
      </c>
      <c r="O493" s="4270"/>
      <c r="P493" s="4271"/>
      <c r="Q493" s="4271"/>
      <c r="R493" s="4271"/>
      <c r="S493" s="4271"/>
      <c r="T493" s="4271"/>
      <c r="U493" s="4271"/>
      <c r="V493" s="4272"/>
      <c r="W493" s="12">
        <f t="shared" ref="W493:W531" si="34">IF(L493="",0,1)</f>
        <v>1</v>
      </c>
      <c r="X493" s="12">
        <f t="shared" si="32"/>
        <v>1</v>
      </c>
      <c r="Y493" s="12">
        <f t="shared" si="33"/>
        <v>1</v>
      </c>
    </row>
    <row r="494" spans="3:25" ht="15.7">
      <c r="D494" s="4267" t="str">
        <f>T('2 REPAIR ESTIMATOR'!D450:O450)</f>
        <v>Steel entry door,  single</v>
      </c>
      <c r="E494" s="4268"/>
      <c r="F494" s="4268"/>
      <c r="G494" s="4268"/>
      <c r="H494" s="4268"/>
      <c r="I494" s="4268"/>
      <c r="J494" s="4268"/>
      <c r="K494" s="4268"/>
      <c r="L494" s="4269">
        <f>'2 REPAIR ESTIMATOR'!P450</f>
        <v>0</v>
      </c>
      <c r="M494" s="4269"/>
      <c r="N494" s="4270" t="str">
        <f>T('2 REPAIR ESTIMATOR'!S450)</f>
        <v>ea</v>
      </c>
      <c r="O494" s="4270"/>
      <c r="P494" s="4271"/>
      <c r="Q494" s="4271"/>
      <c r="R494" s="4271"/>
      <c r="S494" s="4271"/>
      <c r="T494" s="4271"/>
      <c r="U494" s="4271"/>
      <c r="V494" s="4272"/>
      <c r="W494" s="12">
        <f t="shared" si="34"/>
        <v>1</v>
      </c>
      <c r="X494" s="12">
        <f t="shared" si="32"/>
        <v>1</v>
      </c>
      <c r="Y494" s="12">
        <f t="shared" si="33"/>
        <v>1</v>
      </c>
    </row>
    <row r="495" spans="3:25" ht="15.7">
      <c r="D495" s="4267" t="str">
        <f>T('2 REPAIR ESTIMATOR'!D451:O451)</f>
        <v>French patio door, pair</v>
      </c>
      <c r="E495" s="4268"/>
      <c r="F495" s="4268"/>
      <c r="G495" s="4268"/>
      <c r="H495" s="4268"/>
      <c r="I495" s="4268"/>
      <c r="J495" s="4268"/>
      <c r="K495" s="4268"/>
      <c r="L495" s="4269">
        <f>'2 REPAIR ESTIMATOR'!P451</f>
        <v>0</v>
      </c>
      <c r="M495" s="4269"/>
      <c r="N495" s="4270" t="str">
        <f>T('2 REPAIR ESTIMATOR'!S451)</f>
        <v>ea</v>
      </c>
      <c r="O495" s="4270"/>
      <c r="P495" s="4271"/>
      <c r="Q495" s="4271"/>
      <c r="R495" s="4271"/>
      <c r="S495" s="4271"/>
      <c r="T495" s="4271"/>
      <c r="U495" s="4271"/>
      <c r="V495" s="4272"/>
      <c r="W495" s="12">
        <f t="shared" si="34"/>
        <v>1</v>
      </c>
      <c r="X495" s="12">
        <f t="shared" si="32"/>
        <v>1</v>
      </c>
      <c r="Y495" s="12">
        <f t="shared" si="33"/>
        <v>1</v>
      </c>
    </row>
    <row r="496" spans="3:25" ht="15.7">
      <c r="D496" s="4267" t="str">
        <f>T('2 REPAIR ESTIMATOR'!D452:O452)</f>
        <v xml:space="preserve">Exterior door hardware w/ dead bolt </v>
      </c>
      <c r="E496" s="4268"/>
      <c r="F496" s="4268"/>
      <c r="G496" s="4268"/>
      <c r="H496" s="4268"/>
      <c r="I496" s="4268"/>
      <c r="J496" s="4268"/>
      <c r="K496" s="4268"/>
      <c r="L496" s="4269">
        <f>'2 REPAIR ESTIMATOR'!P452</f>
        <v>0</v>
      </c>
      <c r="M496" s="4269"/>
      <c r="N496" s="4270" t="str">
        <f>T('2 REPAIR ESTIMATOR'!S452)</f>
        <v>ea</v>
      </c>
      <c r="O496" s="4270"/>
      <c r="P496" s="4271"/>
      <c r="Q496" s="4271"/>
      <c r="R496" s="4271"/>
      <c r="S496" s="4271"/>
      <c r="T496" s="4271"/>
      <c r="U496" s="4271"/>
      <c r="V496" s="4272"/>
      <c r="W496" s="12">
        <f t="shared" si="34"/>
        <v>1</v>
      </c>
      <c r="X496" s="12">
        <f t="shared" si="32"/>
        <v>1</v>
      </c>
      <c r="Y496" s="12">
        <f t="shared" si="33"/>
        <v>1</v>
      </c>
    </row>
    <row r="497" spans="4:25" ht="15.7">
      <c r="D497" s="4267" t="str">
        <f>T('2 REPAIR ESTIMATOR'!D453:O453)</f>
        <v>Glass storm door, single</v>
      </c>
      <c r="E497" s="4268"/>
      <c r="F497" s="4268"/>
      <c r="G497" s="4268"/>
      <c r="H497" s="4268"/>
      <c r="I497" s="4268"/>
      <c r="J497" s="4268"/>
      <c r="K497" s="4268"/>
      <c r="L497" s="4269">
        <f>'2 REPAIR ESTIMATOR'!P453</f>
        <v>0</v>
      </c>
      <c r="M497" s="4269"/>
      <c r="N497" s="4270" t="str">
        <f>T('2 REPAIR ESTIMATOR'!S453)</f>
        <v>ea</v>
      </c>
      <c r="O497" s="4270"/>
      <c r="P497" s="4271"/>
      <c r="Q497" s="4271"/>
      <c r="R497" s="4271"/>
      <c r="S497" s="4271"/>
      <c r="T497" s="4271"/>
      <c r="U497" s="4271"/>
      <c r="V497" s="4272"/>
      <c r="W497" s="12">
        <f t="shared" si="34"/>
        <v>1</v>
      </c>
      <c r="X497" s="12">
        <f t="shared" si="32"/>
        <v>1</v>
      </c>
      <c r="Y497" s="12">
        <f t="shared" si="33"/>
        <v>1</v>
      </c>
    </row>
    <row r="498" spans="4:25" ht="15.7">
      <c r="D498" s="4267" t="str">
        <f>T('2 REPAIR ESTIMATOR'!D454:O454)</f>
        <v>Sliding glass door, vinyl, double</v>
      </c>
      <c r="E498" s="4268"/>
      <c r="F498" s="4268"/>
      <c r="G498" s="4268"/>
      <c r="H498" s="4268"/>
      <c r="I498" s="4268"/>
      <c r="J498" s="4268"/>
      <c r="K498" s="4268"/>
      <c r="L498" s="4269">
        <f>'2 REPAIR ESTIMATOR'!P454</f>
        <v>0</v>
      </c>
      <c r="M498" s="4269"/>
      <c r="N498" s="4270" t="str">
        <f>T('2 REPAIR ESTIMATOR'!S454)</f>
        <v>ea</v>
      </c>
      <c r="O498" s="4270"/>
      <c r="P498" s="4271"/>
      <c r="Q498" s="4271"/>
      <c r="R498" s="4271"/>
      <c r="S498" s="4271"/>
      <c r="T498" s="4271"/>
      <c r="U498" s="4271"/>
      <c r="V498" s="4272"/>
      <c r="W498" s="12">
        <f t="shared" si="34"/>
        <v>1</v>
      </c>
      <c r="X498" s="12">
        <f t="shared" si="32"/>
        <v>1</v>
      </c>
      <c r="Y498" s="12">
        <f t="shared" si="33"/>
        <v>1</v>
      </c>
    </row>
    <row r="499" spans="4:25" ht="15.7">
      <c r="D499" s="4267" t="str">
        <f>T('2 REPAIR ESTIMATOR'!D455:O455)</f>
        <v/>
      </c>
      <c r="E499" s="4268"/>
      <c r="F499" s="4268"/>
      <c r="G499" s="4268"/>
      <c r="H499" s="4268"/>
      <c r="I499" s="4268"/>
      <c r="J499" s="4268"/>
      <c r="K499" s="4268"/>
      <c r="L499" s="4269">
        <f>'2 REPAIR ESTIMATOR'!P455</f>
        <v>0</v>
      </c>
      <c r="M499" s="4269"/>
      <c r="N499" s="4270" t="str">
        <f>T('2 REPAIR ESTIMATOR'!S455)</f>
        <v/>
      </c>
      <c r="O499" s="4270"/>
      <c r="P499" s="4271"/>
      <c r="Q499" s="4271"/>
      <c r="R499" s="4271"/>
      <c r="S499" s="4271"/>
      <c r="T499" s="4271"/>
      <c r="U499" s="4271"/>
      <c r="V499" s="4272"/>
      <c r="W499" s="12">
        <f t="shared" si="34"/>
        <v>1</v>
      </c>
      <c r="X499" s="12">
        <f t="shared" si="32"/>
        <v>1</v>
      </c>
      <c r="Y499" s="12">
        <f t="shared" si="33"/>
        <v>1</v>
      </c>
    </row>
    <row r="500" spans="4:25" ht="15.7">
      <c r="D500" s="4267" t="str">
        <f>T('2 REPAIR ESTIMATOR'!D456:O456)</f>
        <v/>
      </c>
      <c r="E500" s="4268"/>
      <c r="F500" s="4268"/>
      <c r="G500" s="4268"/>
      <c r="H500" s="4268"/>
      <c r="I500" s="4268"/>
      <c r="J500" s="4268"/>
      <c r="K500" s="4268"/>
      <c r="L500" s="4269">
        <f>'2 REPAIR ESTIMATOR'!P456</f>
        <v>0</v>
      </c>
      <c r="M500" s="4269"/>
      <c r="N500" s="4270" t="str">
        <f>T('2 REPAIR ESTIMATOR'!S456)</f>
        <v/>
      </c>
      <c r="O500" s="4270"/>
      <c r="P500" s="4271"/>
      <c r="Q500" s="4271"/>
      <c r="R500" s="4271"/>
      <c r="S500" s="4271"/>
      <c r="T500" s="4271"/>
      <c r="U500" s="4271"/>
      <c r="V500" s="4272"/>
      <c r="W500" s="12">
        <f t="shared" si="34"/>
        <v>1</v>
      </c>
      <c r="X500" s="12">
        <f t="shared" si="32"/>
        <v>1</v>
      </c>
      <c r="Y500" s="12">
        <f t="shared" si="33"/>
        <v>1</v>
      </c>
    </row>
    <row r="501" spans="4:25" ht="15.7">
      <c r="D501" s="4267" t="str">
        <f>T('2 REPAIR ESTIMATOR'!D457:O457)</f>
        <v>Windows</v>
      </c>
      <c r="E501" s="4268"/>
      <c r="F501" s="4268"/>
      <c r="G501" s="4268"/>
      <c r="H501" s="4268"/>
      <c r="I501" s="4268"/>
      <c r="J501" s="4268"/>
      <c r="K501" s="4268"/>
      <c r="L501" s="4269">
        <f>'2 REPAIR ESTIMATOR'!P457</f>
        <v>0</v>
      </c>
      <c r="M501" s="4269"/>
      <c r="N501" s="4270" t="str">
        <f>T('2 REPAIR ESTIMATOR'!S457)</f>
        <v/>
      </c>
      <c r="O501" s="4270"/>
      <c r="P501" s="4271"/>
      <c r="Q501" s="4271"/>
      <c r="R501" s="4271"/>
      <c r="S501" s="4271"/>
      <c r="T501" s="4271"/>
      <c r="U501" s="4271"/>
      <c r="V501" s="4272"/>
      <c r="W501" s="12">
        <f t="shared" si="34"/>
        <v>1</v>
      </c>
      <c r="X501" s="12">
        <f t="shared" si="32"/>
        <v>1</v>
      </c>
      <c r="Y501" s="12">
        <f t="shared" si="33"/>
        <v>1</v>
      </c>
    </row>
    <row r="502" spans="4:25" ht="15.7">
      <c r="D502" s="4267" t="str">
        <f>T('2 REPAIR ESTIMATOR'!D458:O458)</f>
        <v>New windows, vinyl, average size</v>
      </c>
      <c r="E502" s="4268"/>
      <c r="F502" s="4268"/>
      <c r="G502" s="4268"/>
      <c r="H502" s="4268"/>
      <c r="I502" s="4268"/>
      <c r="J502" s="4268"/>
      <c r="K502" s="4268"/>
      <c r="L502" s="4269">
        <f>'2 REPAIR ESTIMATOR'!P458</f>
        <v>0</v>
      </c>
      <c r="M502" s="4269"/>
      <c r="N502" s="4270" t="str">
        <f>T('2 REPAIR ESTIMATOR'!S458)</f>
        <v>ea</v>
      </c>
      <c r="O502" s="4270"/>
      <c r="P502" s="4271"/>
      <c r="Q502" s="4271"/>
      <c r="R502" s="4271"/>
      <c r="S502" s="4271"/>
      <c r="T502" s="4271"/>
      <c r="U502" s="4271"/>
      <c r="V502" s="4272"/>
      <c r="W502" s="12">
        <f t="shared" si="34"/>
        <v>1</v>
      </c>
      <c r="X502" s="12">
        <f t="shared" si="32"/>
        <v>1</v>
      </c>
      <c r="Y502" s="12">
        <f t="shared" si="33"/>
        <v>1</v>
      </c>
    </row>
    <row r="503" spans="4:25" ht="15.7">
      <c r="D503" s="4267" t="str">
        <f>T('2 REPAIR ESTIMATOR'!D459:O459)</f>
        <v>Replacement windows, vinyl, average size</v>
      </c>
      <c r="E503" s="4268"/>
      <c r="F503" s="4268"/>
      <c r="G503" s="4268"/>
      <c r="H503" s="4268"/>
      <c r="I503" s="4268"/>
      <c r="J503" s="4268"/>
      <c r="K503" s="4268"/>
      <c r="L503" s="4269">
        <f>'2 REPAIR ESTIMATOR'!P459</f>
        <v>0</v>
      </c>
      <c r="M503" s="4269"/>
      <c r="N503" s="4270" t="str">
        <f>T('2 REPAIR ESTIMATOR'!S459)</f>
        <v>ea</v>
      </c>
      <c r="O503" s="4270"/>
      <c r="P503" s="4271"/>
      <c r="Q503" s="4271"/>
      <c r="R503" s="4271"/>
      <c r="S503" s="4271"/>
      <c r="T503" s="4271"/>
      <c r="U503" s="4271"/>
      <c r="V503" s="4272"/>
      <c r="W503" s="12">
        <f t="shared" si="34"/>
        <v>1</v>
      </c>
      <c r="X503" s="12">
        <f t="shared" si="32"/>
        <v>1</v>
      </c>
      <c r="Y503" s="12">
        <f t="shared" si="33"/>
        <v>1</v>
      </c>
    </row>
    <row r="504" spans="4:25" ht="15.7">
      <c r="D504" s="4267" t="str">
        <f>T('2 REPAIR ESTIMATOR'!D460:O460)</f>
        <v>Wood windows, average size</v>
      </c>
      <c r="E504" s="4268"/>
      <c r="F504" s="4268"/>
      <c r="G504" s="4268"/>
      <c r="H504" s="4268"/>
      <c r="I504" s="4268"/>
      <c r="J504" s="4268"/>
      <c r="K504" s="4268"/>
      <c r="L504" s="4269">
        <f>'2 REPAIR ESTIMATOR'!P460</f>
        <v>0</v>
      </c>
      <c r="M504" s="4269"/>
      <c r="N504" s="4270" t="str">
        <f>T('2 REPAIR ESTIMATOR'!S460)</f>
        <v>ea</v>
      </c>
      <c r="O504" s="4270"/>
      <c r="P504" s="4271"/>
      <c r="Q504" s="4271"/>
      <c r="R504" s="4271"/>
      <c r="S504" s="4271"/>
      <c r="T504" s="4271"/>
      <c r="U504" s="4271"/>
      <c r="V504" s="4272"/>
      <c r="W504" s="12">
        <f t="shared" si="34"/>
        <v>1</v>
      </c>
      <c r="X504" s="12">
        <f t="shared" si="32"/>
        <v>1</v>
      </c>
      <c r="Y504" s="12">
        <f t="shared" si="33"/>
        <v>1</v>
      </c>
    </row>
    <row r="505" spans="4:25" ht="15.7">
      <c r="D505" s="4267" t="str">
        <f>T('2 REPAIR ESTIMATOR'!D461:O461)</f>
        <v>Replace broken window pane</v>
      </c>
      <c r="E505" s="4268"/>
      <c r="F505" s="4268"/>
      <c r="G505" s="4268"/>
      <c r="H505" s="4268"/>
      <c r="I505" s="4268"/>
      <c r="J505" s="4268"/>
      <c r="K505" s="4268"/>
      <c r="L505" s="4269">
        <f>'2 REPAIR ESTIMATOR'!P461</f>
        <v>0</v>
      </c>
      <c r="M505" s="4269"/>
      <c r="N505" s="4270" t="str">
        <f>T('2 REPAIR ESTIMATOR'!S461)</f>
        <v>ea</v>
      </c>
      <c r="O505" s="4270"/>
      <c r="P505" s="4271"/>
      <c r="Q505" s="4271"/>
      <c r="R505" s="4271"/>
      <c r="S505" s="4271"/>
      <c r="T505" s="4271"/>
      <c r="U505" s="4271"/>
      <c r="V505" s="4272"/>
      <c r="W505" s="12">
        <f t="shared" si="34"/>
        <v>1</v>
      </c>
      <c r="X505" s="12">
        <f t="shared" si="32"/>
        <v>1</v>
      </c>
      <c r="Y505" s="12">
        <f t="shared" si="33"/>
        <v>1</v>
      </c>
    </row>
    <row r="506" spans="4:25" ht="15.7">
      <c r="D506" s="4267" t="str">
        <f>T('2 REPAIR ESTIMATOR'!D462:O462)</f>
        <v>Replace broken screens</v>
      </c>
      <c r="E506" s="4268"/>
      <c r="F506" s="4268"/>
      <c r="G506" s="4268"/>
      <c r="H506" s="4268"/>
      <c r="I506" s="4268"/>
      <c r="J506" s="4268"/>
      <c r="K506" s="4268"/>
      <c r="L506" s="4269">
        <f>'2 REPAIR ESTIMATOR'!P462</f>
        <v>0</v>
      </c>
      <c r="M506" s="4269"/>
      <c r="N506" s="4270" t="str">
        <f>T('2 REPAIR ESTIMATOR'!S462)</f>
        <v>ea</v>
      </c>
      <c r="O506" s="4270"/>
      <c r="P506" s="4271"/>
      <c r="Q506" s="4271"/>
      <c r="R506" s="4271"/>
      <c r="S506" s="4271"/>
      <c r="T506" s="4271"/>
      <c r="U506" s="4271"/>
      <c r="V506" s="4272"/>
      <c r="W506" s="12">
        <f t="shared" si="34"/>
        <v>1</v>
      </c>
      <c r="X506" s="12">
        <f t="shared" si="32"/>
        <v>1</v>
      </c>
      <c r="Y506" s="12">
        <f t="shared" si="33"/>
        <v>1</v>
      </c>
    </row>
    <row r="507" spans="4:25" ht="15.7">
      <c r="D507" s="4267" t="str">
        <f>T('2 REPAIR ESTIMATOR'!D463:O463)</f>
        <v>Repair broken screens</v>
      </c>
      <c r="E507" s="4268"/>
      <c r="F507" s="4268"/>
      <c r="G507" s="4268"/>
      <c r="H507" s="4268"/>
      <c r="I507" s="4268"/>
      <c r="J507" s="4268"/>
      <c r="K507" s="4268"/>
      <c r="L507" s="4269">
        <f>'2 REPAIR ESTIMATOR'!P463</f>
        <v>0</v>
      </c>
      <c r="M507" s="4269"/>
      <c r="N507" s="4270" t="str">
        <f>T('2 REPAIR ESTIMATOR'!S463)</f>
        <v>ea</v>
      </c>
      <c r="O507" s="4270"/>
      <c r="P507" s="4271"/>
      <c r="Q507" s="4271"/>
      <c r="R507" s="4271"/>
      <c r="S507" s="4271"/>
      <c r="T507" s="4271"/>
      <c r="U507" s="4271"/>
      <c r="V507" s="4272"/>
      <c r="W507" s="12">
        <f t="shared" si="34"/>
        <v>1</v>
      </c>
      <c r="X507" s="12">
        <f t="shared" si="32"/>
        <v>1</v>
      </c>
      <c r="Y507" s="12">
        <f t="shared" si="33"/>
        <v>1</v>
      </c>
    </row>
    <row r="508" spans="4:25" ht="15.7">
      <c r="D508" s="4267" t="str">
        <f>T('2 REPAIR ESTIMATOR'!D464:O464)</f>
        <v>Skylight, 3x3, fixed</v>
      </c>
      <c r="E508" s="4268"/>
      <c r="F508" s="4268"/>
      <c r="G508" s="4268"/>
      <c r="H508" s="4268"/>
      <c r="I508" s="4268"/>
      <c r="J508" s="4268"/>
      <c r="K508" s="4268"/>
      <c r="L508" s="4269">
        <f>'2 REPAIR ESTIMATOR'!P464</f>
        <v>0</v>
      </c>
      <c r="M508" s="4269"/>
      <c r="N508" s="4270" t="str">
        <f>T('2 REPAIR ESTIMATOR'!S464)</f>
        <v>ea</v>
      </c>
      <c r="O508" s="4270"/>
      <c r="P508" s="4271"/>
      <c r="Q508" s="4271"/>
      <c r="R508" s="4271"/>
      <c r="S508" s="4271"/>
      <c r="T508" s="4271"/>
      <c r="U508" s="4271"/>
      <c r="V508" s="4272"/>
      <c r="W508" s="12">
        <f t="shared" si="34"/>
        <v>1</v>
      </c>
      <c r="X508" s="12">
        <f t="shared" si="32"/>
        <v>1</v>
      </c>
      <c r="Y508" s="12">
        <f t="shared" si="33"/>
        <v>1</v>
      </c>
    </row>
    <row r="509" spans="4:25" ht="15.7">
      <c r="D509" s="4267" t="str">
        <f>T('2 REPAIR ESTIMATOR'!D465:O465)</f>
        <v>Skylight, operable</v>
      </c>
      <c r="E509" s="4268"/>
      <c r="F509" s="4268"/>
      <c r="G509" s="4268"/>
      <c r="H509" s="4268"/>
      <c r="I509" s="4268"/>
      <c r="J509" s="4268"/>
      <c r="K509" s="4268"/>
      <c r="L509" s="4269">
        <f>'2 REPAIR ESTIMATOR'!P465</f>
        <v>0</v>
      </c>
      <c r="M509" s="4269"/>
      <c r="N509" s="4270" t="str">
        <f>T('2 REPAIR ESTIMATOR'!S465)</f>
        <v>ea</v>
      </c>
      <c r="O509" s="4270"/>
      <c r="P509" s="4271"/>
      <c r="Q509" s="4271"/>
      <c r="R509" s="4271"/>
      <c r="S509" s="4271"/>
      <c r="T509" s="4271"/>
      <c r="U509" s="4271"/>
      <c r="V509" s="4272"/>
      <c r="W509" s="12">
        <f t="shared" si="34"/>
        <v>1</v>
      </c>
      <c r="X509" s="12">
        <f t="shared" si="32"/>
        <v>1</v>
      </c>
      <c r="Y509" s="12">
        <f t="shared" si="33"/>
        <v>1</v>
      </c>
    </row>
    <row r="510" spans="4:25" ht="15.7">
      <c r="D510" s="4267" t="str">
        <f>T('2 REPAIR ESTIMATOR'!D466:O466)</f>
        <v/>
      </c>
      <c r="E510" s="4268"/>
      <c r="F510" s="4268"/>
      <c r="G510" s="4268"/>
      <c r="H510" s="4268"/>
      <c r="I510" s="4268"/>
      <c r="J510" s="4268"/>
      <c r="K510" s="4268"/>
      <c r="L510" s="4269">
        <f>'2 REPAIR ESTIMATOR'!P466</f>
        <v>0</v>
      </c>
      <c r="M510" s="4269"/>
      <c r="N510" s="4270" t="str">
        <f>T('2 REPAIR ESTIMATOR'!S466)</f>
        <v/>
      </c>
      <c r="O510" s="4270"/>
      <c r="P510" s="4271"/>
      <c r="Q510" s="4271"/>
      <c r="R510" s="4271"/>
      <c r="S510" s="4271"/>
      <c r="T510" s="4271"/>
      <c r="U510" s="4271"/>
      <c r="V510" s="4272"/>
      <c r="W510" s="12">
        <f t="shared" si="34"/>
        <v>1</v>
      </c>
      <c r="X510" s="12">
        <f t="shared" si="32"/>
        <v>1</v>
      </c>
      <c r="Y510" s="12">
        <f t="shared" si="33"/>
        <v>1</v>
      </c>
    </row>
    <row r="511" spans="4:25" ht="15.7">
      <c r="D511" s="4267" t="str">
        <f>T('2 REPAIR ESTIMATOR'!D467:O467)</f>
        <v/>
      </c>
      <c r="E511" s="4268"/>
      <c r="F511" s="4268"/>
      <c r="G511" s="4268"/>
      <c r="H511" s="4268"/>
      <c r="I511" s="4268"/>
      <c r="J511" s="4268"/>
      <c r="K511" s="4268"/>
      <c r="L511" s="4269">
        <f>'2 REPAIR ESTIMATOR'!P467</f>
        <v>0</v>
      </c>
      <c r="M511" s="4269"/>
      <c r="N511" s="4270" t="str">
        <f>T('2 REPAIR ESTIMATOR'!S467)</f>
        <v/>
      </c>
      <c r="O511" s="4270"/>
      <c r="P511" s="4271"/>
      <c r="Q511" s="4271"/>
      <c r="R511" s="4271"/>
      <c r="S511" s="4271"/>
      <c r="T511" s="4271"/>
      <c r="U511" s="4271"/>
      <c r="V511" s="4272"/>
      <c r="W511" s="12">
        <f t="shared" si="34"/>
        <v>1</v>
      </c>
      <c r="X511" s="12">
        <f t="shared" si="32"/>
        <v>1</v>
      </c>
      <c r="Y511" s="12">
        <f t="shared" si="33"/>
        <v>1</v>
      </c>
    </row>
    <row r="512" spans="4:25" ht="15.7">
      <c r="D512" s="4267" t="str">
        <f>T('2 REPAIR ESTIMATOR'!D468:O468)</f>
        <v/>
      </c>
      <c r="E512" s="4268"/>
      <c r="F512" s="4268"/>
      <c r="G512" s="4268"/>
      <c r="H512" s="4268"/>
      <c r="I512" s="4268"/>
      <c r="J512" s="4268"/>
      <c r="K512" s="4268"/>
      <c r="L512" s="4269">
        <f>'2 REPAIR ESTIMATOR'!P468</f>
        <v>0</v>
      </c>
      <c r="M512" s="4269"/>
      <c r="N512" s="4270" t="str">
        <f>T('2 REPAIR ESTIMATOR'!S468)</f>
        <v/>
      </c>
      <c r="O512" s="4270"/>
      <c r="P512" s="4271"/>
      <c r="Q512" s="4271"/>
      <c r="R512" s="4271"/>
      <c r="S512" s="4271"/>
      <c r="T512" s="4271"/>
      <c r="U512" s="4271"/>
      <c r="V512" s="4272"/>
      <c r="W512" s="12">
        <f t="shared" si="34"/>
        <v>1</v>
      </c>
      <c r="X512" s="12">
        <f t="shared" si="32"/>
        <v>1</v>
      </c>
      <c r="Y512" s="12">
        <f t="shared" si="33"/>
        <v>1</v>
      </c>
    </row>
    <row r="513" spans="4:25" ht="15.7">
      <c r="D513" s="4267" t="str">
        <f>T('2 REPAIR ESTIMATOR'!D469:O469)</f>
        <v/>
      </c>
      <c r="E513" s="4268"/>
      <c r="F513" s="4268"/>
      <c r="G513" s="4268"/>
      <c r="H513" s="4268"/>
      <c r="I513" s="4268"/>
      <c r="J513" s="4268"/>
      <c r="K513" s="4268"/>
      <c r="L513" s="4269">
        <f>'2 REPAIR ESTIMATOR'!P469</f>
        <v>0</v>
      </c>
      <c r="M513" s="4269"/>
      <c r="N513" s="4270" t="str">
        <f>T('2 REPAIR ESTIMATOR'!S469)</f>
        <v/>
      </c>
      <c r="O513" s="4270"/>
      <c r="P513" s="4271"/>
      <c r="Q513" s="4271"/>
      <c r="R513" s="4271"/>
      <c r="S513" s="4271"/>
      <c r="T513" s="4271"/>
      <c r="U513" s="4271"/>
      <c r="V513" s="4272"/>
      <c r="W513" s="12">
        <f t="shared" si="34"/>
        <v>1</v>
      </c>
      <c r="X513" s="12">
        <f t="shared" si="32"/>
        <v>1</v>
      </c>
      <c r="Y513" s="12">
        <f t="shared" si="33"/>
        <v>1</v>
      </c>
    </row>
    <row r="514" spans="4:25" ht="15.7">
      <c r="D514" s="4267" t="str">
        <f>T('2 REPAIR ESTIMATOR'!D470:O470)</f>
        <v/>
      </c>
      <c r="E514" s="4268"/>
      <c r="F514" s="4268"/>
      <c r="G514" s="4268"/>
      <c r="H514" s="4268"/>
      <c r="I514" s="4268"/>
      <c r="J514" s="4268"/>
      <c r="K514" s="4268"/>
      <c r="L514" s="4269">
        <f>'2 REPAIR ESTIMATOR'!P470</f>
        <v>0</v>
      </c>
      <c r="M514" s="4269"/>
      <c r="N514" s="4270" t="str">
        <f>T('2 REPAIR ESTIMATOR'!S470)</f>
        <v/>
      </c>
      <c r="O514" s="4270"/>
      <c r="P514" s="4271"/>
      <c r="Q514" s="4271"/>
      <c r="R514" s="4271"/>
      <c r="S514" s="4271"/>
      <c r="T514" s="4271"/>
      <c r="U514" s="4271"/>
      <c r="V514" s="4272"/>
      <c r="W514" s="12">
        <f t="shared" si="34"/>
        <v>1</v>
      </c>
      <c r="X514" s="12">
        <f t="shared" si="32"/>
        <v>1</v>
      </c>
      <c r="Y514" s="12">
        <f t="shared" si="33"/>
        <v>1</v>
      </c>
    </row>
    <row r="515" spans="4:25" ht="15.7">
      <c r="D515" s="4267" t="str">
        <f>T('2 REPAIR ESTIMATOR'!D471:O471)</f>
        <v/>
      </c>
      <c r="E515" s="4268"/>
      <c r="F515" s="4268"/>
      <c r="G515" s="4268"/>
      <c r="H515" s="4268"/>
      <c r="I515" s="4268"/>
      <c r="J515" s="4268"/>
      <c r="K515" s="4268"/>
      <c r="L515" s="4269">
        <f>'2 REPAIR ESTIMATOR'!P471</f>
        <v>0</v>
      </c>
      <c r="M515" s="4269"/>
      <c r="N515" s="4270" t="str">
        <f>T('2 REPAIR ESTIMATOR'!S471)</f>
        <v/>
      </c>
      <c r="O515" s="4270"/>
      <c r="P515" s="4271"/>
      <c r="Q515" s="4271"/>
      <c r="R515" s="4271"/>
      <c r="S515" s="4271"/>
      <c r="T515" s="4271"/>
      <c r="U515" s="4271"/>
      <c r="V515" s="4272"/>
      <c r="W515" s="12">
        <f t="shared" si="34"/>
        <v>1</v>
      </c>
      <c r="X515" s="12">
        <f t="shared" si="32"/>
        <v>1</v>
      </c>
      <c r="Y515" s="12">
        <f t="shared" si="33"/>
        <v>1</v>
      </c>
    </row>
    <row r="516" spans="4:25" ht="15.7">
      <c r="D516" s="4267" t="str">
        <f>T('2 REPAIR ESTIMATOR'!D472:O472)</f>
        <v/>
      </c>
      <c r="E516" s="4268"/>
      <c r="F516" s="4268"/>
      <c r="G516" s="4268"/>
      <c r="H516" s="4268"/>
      <c r="I516" s="4268"/>
      <c r="J516" s="4268"/>
      <c r="K516" s="4268"/>
      <c r="L516" s="4269">
        <f>'2 REPAIR ESTIMATOR'!P472</f>
        <v>0</v>
      </c>
      <c r="M516" s="4269"/>
      <c r="N516" s="4270" t="str">
        <f>T('2 REPAIR ESTIMATOR'!S472)</f>
        <v/>
      </c>
      <c r="O516" s="4270"/>
      <c r="P516" s="4271"/>
      <c r="Q516" s="4271"/>
      <c r="R516" s="4271"/>
      <c r="S516" s="4271"/>
      <c r="T516" s="4271"/>
      <c r="U516" s="4271"/>
      <c r="V516" s="4272"/>
      <c r="W516" s="12">
        <f t="shared" si="34"/>
        <v>1</v>
      </c>
      <c r="X516" s="12">
        <f t="shared" si="32"/>
        <v>1</v>
      </c>
      <c r="Y516" s="12">
        <f t="shared" si="33"/>
        <v>1</v>
      </c>
    </row>
    <row r="517" spans="4:25" ht="15.7">
      <c r="D517" s="4267" t="str">
        <f>T('2 REPAIR ESTIMATOR'!D473:O473)</f>
        <v/>
      </c>
      <c r="E517" s="4268"/>
      <c r="F517" s="4268"/>
      <c r="G517" s="4268"/>
      <c r="H517" s="4268"/>
      <c r="I517" s="4268"/>
      <c r="J517" s="4268"/>
      <c r="K517" s="4268"/>
      <c r="L517" s="4269">
        <f>'2 REPAIR ESTIMATOR'!P473</f>
        <v>0</v>
      </c>
      <c r="M517" s="4269"/>
      <c r="N517" s="4270" t="str">
        <f>T('2 REPAIR ESTIMATOR'!S473)</f>
        <v/>
      </c>
      <c r="O517" s="4270"/>
      <c r="P517" s="4271"/>
      <c r="Q517" s="4271"/>
      <c r="R517" s="4271"/>
      <c r="S517" s="4271"/>
      <c r="T517" s="4271"/>
      <c r="U517" s="4271"/>
      <c r="V517" s="4272"/>
      <c r="W517" s="12">
        <f t="shared" si="34"/>
        <v>1</v>
      </c>
      <c r="X517" s="12">
        <f t="shared" si="32"/>
        <v>1</v>
      </c>
      <c r="Y517" s="12">
        <f t="shared" si="33"/>
        <v>1</v>
      </c>
    </row>
    <row r="518" spans="4:25" ht="15.7">
      <c r="D518" s="4267" t="str">
        <f>T('2 REPAIR ESTIMATOR'!D474:O474)</f>
        <v/>
      </c>
      <c r="E518" s="4268"/>
      <c r="F518" s="4268"/>
      <c r="G518" s="4268"/>
      <c r="H518" s="4268"/>
      <c r="I518" s="4268"/>
      <c r="J518" s="4268"/>
      <c r="K518" s="4268"/>
      <c r="L518" s="4269">
        <f>'2 REPAIR ESTIMATOR'!P474</f>
        <v>0</v>
      </c>
      <c r="M518" s="4269"/>
      <c r="N518" s="4270" t="str">
        <f>T('2 REPAIR ESTIMATOR'!S474)</f>
        <v/>
      </c>
      <c r="O518" s="4270"/>
      <c r="P518" s="4271"/>
      <c r="Q518" s="4271"/>
      <c r="R518" s="4271"/>
      <c r="S518" s="4271"/>
      <c r="T518" s="4271"/>
      <c r="U518" s="4271"/>
      <c r="V518" s="4272"/>
      <c r="W518" s="12">
        <f t="shared" si="34"/>
        <v>1</v>
      </c>
      <c r="X518" s="12">
        <f t="shared" si="32"/>
        <v>1</v>
      </c>
      <c r="Y518" s="12">
        <f t="shared" si="33"/>
        <v>1</v>
      </c>
    </row>
    <row r="519" spans="4:25" ht="15.7">
      <c r="D519" s="4267" t="str">
        <f>T('2 REPAIR ESTIMATOR'!D475:O475)</f>
        <v/>
      </c>
      <c r="E519" s="4268"/>
      <c r="F519" s="4268"/>
      <c r="G519" s="4268"/>
      <c r="H519" s="4268"/>
      <c r="I519" s="4268"/>
      <c r="J519" s="4268"/>
      <c r="K519" s="4268"/>
      <c r="L519" s="4269">
        <f>'2 REPAIR ESTIMATOR'!P475</f>
        <v>0</v>
      </c>
      <c r="M519" s="4269"/>
      <c r="N519" s="4270" t="str">
        <f>T('2 REPAIR ESTIMATOR'!S475)</f>
        <v/>
      </c>
      <c r="O519" s="4270"/>
      <c r="P519" s="4271"/>
      <c r="Q519" s="4271"/>
      <c r="R519" s="4271"/>
      <c r="S519" s="4271"/>
      <c r="T519" s="4271"/>
      <c r="U519" s="4271"/>
      <c r="V519" s="4272"/>
      <c r="W519" s="12">
        <f t="shared" si="34"/>
        <v>1</v>
      </c>
      <c r="X519" s="12">
        <f t="shared" si="32"/>
        <v>1</v>
      </c>
      <c r="Y519" s="12">
        <f t="shared" si="33"/>
        <v>1</v>
      </c>
    </row>
    <row r="520" spans="4:25" ht="15.7">
      <c r="D520" s="4267" t="str">
        <f>T('2 REPAIR ESTIMATOR'!D476:O476)</f>
        <v/>
      </c>
      <c r="E520" s="4268"/>
      <c r="F520" s="4268"/>
      <c r="G520" s="4268"/>
      <c r="H520" s="4268"/>
      <c r="I520" s="4268"/>
      <c r="J520" s="4268"/>
      <c r="K520" s="4268"/>
      <c r="L520" s="4269">
        <f>'2 REPAIR ESTIMATOR'!P476</f>
        <v>0</v>
      </c>
      <c r="M520" s="4269"/>
      <c r="N520" s="4270" t="str">
        <f>T('2 REPAIR ESTIMATOR'!S476)</f>
        <v/>
      </c>
      <c r="O520" s="4270"/>
      <c r="P520" s="4271"/>
      <c r="Q520" s="4271"/>
      <c r="R520" s="4271"/>
      <c r="S520" s="4271"/>
      <c r="T520" s="4271"/>
      <c r="U520" s="4271"/>
      <c r="V520" s="4272"/>
      <c r="W520" s="12">
        <f t="shared" si="34"/>
        <v>1</v>
      </c>
      <c r="X520" s="12">
        <f t="shared" si="32"/>
        <v>1</v>
      </c>
      <c r="Y520" s="12">
        <f t="shared" si="33"/>
        <v>1</v>
      </c>
    </row>
    <row r="521" spans="4:25" ht="15.7">
      <c r="D521" s="4267" t="str">
        <f>T('2 REPAIR ESTIMATOR'!D477:O477)</f>
        <v/>
      </c>
      <c r="E521" s="4268"/>
      <c r="F521" s="4268"/>
      <c r="G521" s="4268"/>
      <c r="H521" s="4268"/>
      <c r="I521" s="4268"/>
      <c r="J521" s="4268"/>
      <c r="K521" s="4268"/>
      <c r="L521" s="4269">
        <f>'2 REPAIR ESTIMATOR'!P477</f>
        <v>0</v>
      </c>
      <c r="M521" s="4269"/>
      <c r="N521" s="4270" t="str">
        <f>T('2 REPAIR ESTIMATOR'!S477)</f>
        <v/>
      </c>
      <c r="O521" s="4270"/>
      <c r="P521" s="4271"/>
      <c r="Q521" s="4271"/>
      <c r="R521" s="4271"/>
      <c r="S521" s="4271"/>
      <c r="T521" s="4271"/>
      <c r="U521" s="4271"/>
      <c r="V521" s="4272"/>
      <c r="W521" s="12">
        <f t="shared" si="34"/>
        <v>1</v>
      </c>
      <c r="X521" s="12">
        <f t="shared" si="32"/>
        <v>1</v>
      </c>
      <c r="Y521" s="12">
        <f t="shared" si="33"/>
        <v>1</v>
      </c>
    </row>
    <row r="522" spans="4:25" ht="15.7">
      <c r="D522" s="4267" t="str">
        <f>T('2 REPAIR ESTIMATOR'!D478:O478)</f>
        <v/>
      </c>
      <c r="E522" s="4268"/>
      <c r="F522" s="4268"/>
      <c r="G522" s="4268"/>
      <c r="H522" s="4268"/>
      <c r="I522" s="4268"/>
      <c r="J522" s="4268"/>
      <c r="K522" s="4268"/>
      <c r="L522" s="4269">
        <f>'2 REPAIR ESTIMATOR'!P478</f>
        <v>0</v>
      </c>
      <c r="M522" s="4269"/>
      <c r="N522" s="4270" t="str">
        <f>T('2 REPAIR ESTIMATOR'!S478)</f>
        <v/>
      </c>
      <c r="O522" s="4270"/>
      <c r="P522" s="4271"/>
      <c r="Q522" s="4271"/>
      <c r="R522" s="4271"/>
      <c r="S522" s="4271"/>
      <c r="T522" s="4271"/>
      <c r="U522" s="4271"/>
      <c r="V522" s="4272"/>
      <c r="W522" s="12">
        <f t="shared" si="34"/>
        <v>1</v>
      </c>
      <c r="X522" s="12">
        <f t="shared" si="32"/>
        <v>1</v>
      </c>
      <c r="Y522" s="12">
        <f t="shared" si="33"/>
        <v>1</v>
      </c>
    </row>
    <row r="523" spans="4:25" ht="15.7">
      <c r="D523" s="4267" t="str">
        <f>T('2 REPAIR ESTIMATOR'!D479:O479)</f>
        <v/>
      </c>
      <c r="E523" s="4268"/>
      <c r="F523" s="4268"/>
      <c r="G523" s="4268"/>
      <c r="H523" s="4268"/>
      <c r="I523" s="4268"/>
      <c r="J523" s="4268"/>
      <c r="K523" s="4268"/>
      <c r="L523" s="4269">
        <f>'2 REPAIR ESTIMATOR'!P479</f>
        <v>0</v>
      </c>
      <c r="M523" s="4269"/>
      <c r="N523" s="4270" t="str">
        <f>T('2 REPAIR ESTIMATOR'!S479)</f>
        <v/>
      </c>
      <c r="O523" s="4270"/>
      <c r="P523" s="4271"/>
      <c r="Q523" s="4271"/>
      <c r="R523" s="4271"/>
      <c r="S523" s="4271"/>
      <c r="T523" s="4271"/>
      <c r="U523" s="4271"/>
      <c r="V523" s="4272"/>
      <c r="W523" s="12">
        <f t="shared" si="34"/>
        <v>1</v>
      </c>
      <c r="X523" s="12">
        <f t="shared" ref="X523:X546" si="35">IF(Scope9_Setting="Shown",1,0)</f>
        <v>1</v>
      </c>
      <c r="Y523" s="12">
        <f t="shared" si="33"/>
        <v>1</v>
      </c>
    </row>
    <row r="524" spans="4:25" ht="15.7">
      <c r="D524" s="4267" t="str">
        <f>T('2 REPAIR ESTIMATOR'!D480:O480)</f>
        <v/>
      </c>
      <c r="E524" s="4268"/>
      <c r="F524" s="4268"/>
      <c r="G524" s="4268"/>
      <c r="H524" s="4268"/>
      <c r="I524" s="4268"/>
      <c r="J524" s="4268"/>
      <c r="K524" s="4268"/>
      <c r="L524" s="4269">
        <f>'2 REPAIR ESTIMATOR'!P480</f>
        <v>0</v>
      </c>
      <c r="M524" s="4269"/>
      <c r="N524" s="4270" t="str">
        <f>T('2 REPAIR ESTIMATOR'!S480)</f>
        <v/>
      </c>
      <c r="O524" s="4270"/>
      <c r="P524" s="4271"/>
      <c r="Q524" s="4271"/>
      <c r="R524" s="4271"/>
      <c r="S524" s="4271"/>
      <c r="T524" s="4271"/>
      <c r="U524" s="4271"/>
      <c r="V524" s="4272"/>
      <c r="W524" s="12">
        <f t="shared" si="34"/>
        <v>1</v>
      </c>
      <c r="X524" s="12">
        <f t="shared" si="35"/>
        <v>1</v>
      </c>
      <c r="Y524" s="12">
        <f t="shared" si="33"/>
        <v>1</v>
      </c>
    </row>
    <row r="525" spans="4:25" ht="15.7">
      <c r="D525" s="4267" t="str">
        <f>T('2 REPAIR ESTIMATOR'!D481:O481)</f>
        <v/>
      </c>
      <c r="E525" s="4268"/>
      <c r="F525" s="4268"/>
      <c r="G525" s="4268"/>
      <c r="H525" s="4268"/>
      <c r="I525" s="4268"/>
      <c r="J525" s="4268"/>
      <c r="K525" s="4268"/>
      <c r="L525" s="4269">
        <f>'2 REPAIR ESTIMATOR'!P481</f>
        <v>0</v>
      </c>
      <c r="M525" s="4269"/>
      <c r="N525" s="4270" t="str">
        <f>T('2 REPAIR ESTIMATOR'!S481)</f>
        <v/>
      </c>
      <c r="O525" s="4270"/>
      <c r="P525" s="4271"/>
      <c r="Q525" s="4271"/>
      <c r="R525" s="4271"/>
      <c r="S525" s="4271"/>
      <c r="T525" s="4271"/>
      <c r="U525" s="4271"/>
      <c r="V525" s="4272"/>
      <c r="W525" s="12">
        <f t="shared" si="34"/>
        <v>1</v>
      </c>
      <c r="X525" s="12">
        <f t="shared" si="35"/>
        <v>1</v>
      </c>
      <c r="Y525" s="12">
        <f t="shared" si="33"/>
        <v>1</v>
      </c>
    </row>
    <row r="526" spans="4:25" ht="15.7">
      <c r="D526" s="4267" t="str">
        <f>T('2 REPAIR ESTIMATOR'!D482:O482)</f>
        <v/>
      </c>
      <c r="E526" s="4268"/>
      <c r="F526" s="4268"/>
      <c r="G526" s="4268"/>
      <c r="H526" s="4268"/>
      <c r="I526" s="4268"/>
      <c r="J526" s="4268"/>
      <c r="K526" s="4268"/>
      <c r="L526" s="4269">
        <f>'2 REPAIR ESTIMATOR'!P482</f>
        <v>0</v>
      </c>
      <c r="M526" s="4269"/>
      <c r="N526" s="4270" t="str">
        <f>T('2 REPAIR ESTIMATOR'!S482)</f>
        <v/>
      </c>
      <c r="O526" s="4270"/>
      <c r="P526" s="4271"/>
      <c r="Q526" s="4271"/>
      <c r="R526" s="4271"/>
      <c r="S526" s="4271"/>
      <c r="T526" s="4271"/>
      <c r="U526" s="4271"/>
      <c r="V526" s="4272"/>
      <c r="W526" s="12">
        <f t="shared" si="34"/>
        <v>1</v>
      </c>
      <c r="X526" s="12">
        <f t="shared" si="35"/>
        <v>1</v>
      </c>
      <c r="Y526" s="12">
        <f t="shared" si="33"/>
        <v>1</v>
      </c>
    </row>
    <row r="527" spans="4:25" ht="15.7">
      <c r="D527" s="4267" t="str">
        <f>T('2 REPAIR ESTIMATOR'!D483:O483)</f>
        <v/>
      </c>
      <c r="E527" s="4268"/>
      <c r="F527" s="4268"/>
      <c r="G527" s="4268"/>
      <c r="H527" s="4268"/>
      <c r="I527" s="4268"/>
      <c r="J527" s="4268"/>
      <c r="K527" s="4268"/>
      <c r="L527" s="4269">
        <f>'2 REPAIR ESTIMATOR'!P483</f>
        <v>0</v>
      </c>
      <c r="M527" s="4269"/>
      <c r="N527" s="4270" t="str">
        <f>T('2 REPAIR ESTIMATOR'!S483)</f>
        <v/>
      </c>
      <c r="O527" s="4270"/>
      <c r="P527" s="4271"/>
      <c r="Q527" s="4271"/>
      <c r="R527" s="4271"/>
      <c r="S527" s="4271"/>
      <c r="T527" s="4271"/>
      <c r="U527" s="4271"/>
      <c r="V527" s="4272"/>
      <c r="W527" s="12">
        <f t="shared" si="34"/>
        <v>1</v>
      </c>
      <c r="X527" s="12">
        <f t="shared" si="35"/>
        <v>1</v>
      </c>
      <c r="Y527" s="12">
        <f t="shared" si="33"/>
        <v>1</v>
      </c>
    </row>
    <row r="528" spans="4:25" ht="15.7">
      <c r="D528" s="4267" t="str">
        <f>T('2 REPAIR ESTIMATOR'!D484:O484)</f>
        <v/>
      </c>
      <c r="E528" s="4268"/>
      <c r="F528" s="4268"/>
      <c r="G528" s="4268"/>
      <c r="H528" s="4268"/>
      <c r="I528" s="4268"/>
      <c r="J528" s="4268"/>
      <c r="K528" s="4268"/>
      <c r="L528" s="4269">
        <f>'2 REPAIR ESTIMATOR'!P484</f>
        <v>0</v>
      </c>
      <c r="M528" s="4269"/>
      <c r="N528" s="4270" t="str">
        <f>T('2 REPAIR ESTIMATOR'!S484)</f>
        <v/>
      </c>
      <c r="O528" s="4270"/>
      <c r="P528" s="4271"/>
      <c r="Q528" s="4271"/>
      <c r="R528" s="4271"/>
      <c r="S528" s="4271"/>
      <c r="T528" s="4271"/>
      <c r="U528" s="4271"/>
      <c r="V528" s="4272"/>
      <c r="W528" s="12">
        <f t="shared" si="34"/>
        <v>1</v>
      </c>
      <c r="X528" s="12">
        <f t="shared" si="35"/>
        <v>1</v>
      </c>
      <c r="Y528" s="12">
        <f t="shared" si="33"/>
        <v>1</v>
      </c>
    </row>
    <row r="529" spans="3:25" ht="15.7">
      <c r="D529" s="4267" t="str">
        <f>T('2 REPAIR ESTIMATOR'!D485:O485)</f>
        <v/>
      </c>
      <c r="E529" s="4268"/>
      <c r="F529" s="4268"/>
      <c r="G529" s="4268"/>
      <c r="H529" s="4268"/>
      <c r="I529" s="4268"/>
      <c r="J529" s="4268"/>
      <c r="K529" s="4268"/>
      <c r="L529" s="4269">
        <f>'2 REPAIR ESTIMATOR'!P485</f>
        <v>0</v>
      </c>
      <c r="M529" s="4269"/>
      <c r="N529" s="4270" t="str">
        <f>T('2 REPAIR ESTIMATOR'!S485)</f>
        <v/>
      </c>
      <c r="O529" s="4270"/>
      <c r="P529" s="4271"/>
      <c r="Q529" s="4271"/>
      <c r="R529" s="4271"/>
      <c r="S529" s="4271"/>
      <c r="T529" s="4271"/>
      <c r="U529" s="4271"/>
      <c r="V529" s="4272"/>
      <c r="W529" s="12">
        <f t="shared" si="34"/>
        <v>1</v>
      </c>
      <c r="X529" s="12">
        <f t="shared" si="35"/>
        <v>1</v>
      </c>
      <c r="Y529" s="12">
        <f t="shared" si="33"/>
        <v>1</v>
      </c>
    </row>
    <row r="530" spans="3:25" ht="15.7">
      <c r="D530" s="4267" t="str">
        <f>T('2 REPAIR ESTIMATOR'!D486:O486)</f>
        <v/>
      </c>
      <c r="E530" s="4268"/>
      <c r="F530" s="4268"/>
      <c r="G530" s="4268"/>
      <c r="H530" s="4268"/>
      <c r="I530" s="4268"/>
      <c r="J530" s="4268"/>
      <c r="K530" s="4268"/>
      <c r="L530" s="4269">
        <f>'2 REPAIR ESTIMATOR'!P486</f>
        <v>0</v>
      </c>
      <c r="M530" s="4269"/>
      <c r="N530" s="4270" t="str">
        <f>T('2 REPAIR ESTIMATOR'!S486)</f>
        <v/>
      </c>
      <c r="O530" s="4270"/>
      <c r="P530" s="4271"/>
      <c r="Q530" s="4271"/>
      <c r="R530" s="4271"/>
      <c r="S530" s="4271"/>
      <c r="T530" s="4271"/>
      <c r="U530" s="4271"/>
      <c r="V530" s="4272"/>
      <c r="W530" s="12">
        <f t="shared" si="34"/>
        <v>1</v>
      </c>
      <c r="X530" s="12">
        <f t="shared" si="35"/>
        <v>1</v>
      </c>
      <c r="Y530" s="12">
        <f t="shared" si="33"/>
        <v>1</v>
      </c>
    </row>
    <row r="531" spans="3:25" ht="15.7">
      <c r="D531" s="4267" t="str">
        <f>T('2 REPAIR ESTIMATOR'!D487:O487)</f>
        <v/>
      </c>
      <c r="E531" s="4268"/>
      <c r="F531" s="4268"/>
      <c r="G531" s="4268"/>
      <c r="H531" s="4268"/>
      <c r="I531" s="4268"/>
      <c r="J531" s="4268"/>
      <c r="K531" s="4268"/>
      <c r="L531" s="4269">
        <f>'2 REPAIR ESTIMATOR'!P487</f>
        <v>0</v>
      </c>
      <c r="M531" s="4269"/>
      <c r="N531" s="4270" t="str">
        <f>T('2 REPAIR ESTIMATOR'!S487)</f>
        <v/>
      </c>
      <c r="O531" s="4270"/>
      <c r="P531" s="4271"/>
      <c r="Q531" s="4271"/>
      <c r="R531" s="4271"/>
      <c r="S531" s="4271"/>
      <c r="T531" s="4271"/>
      <c r="U531" s="4271"/>
      <c r="V531" s="4272"/>
      <c r="W531" s="12">
        <f t="shared" si="34"/>
        <v>1</v>
      </c>
      <c r="X531" s="12">
        <f t="shared" si="35"/>
        <v>1</v>
      </c>
      <c r="Y531" s="12">
        <f t="shared" si="33"/>
        <v>1</v>
      </c>
    </row>
    <row r="532" spans="3:25" ht="15.7">
      <c r="C532" s="6"/>
      <c r="D532" s="723"/>
      <c r="E532" s="723"/>
      <c r="F532" s="723"/>
      <c r="G532" s="723"/>
      <c r="H532" s="723"/>
      <c r="I532" s="723"/>
      <c r="J532" s="723"/>
      <c r="K532" s="723"/>
      <c r="L532" s="724"/>
      <c r="M532" s="724"/>
      <c r="N532" s="725"/>
      <c r="O532" s="725"/>
      <c r="P532" s="724"/>
      <c r="Q532" s="445"/>
      <c r="R532" s="445"/>
      <c r="S532" s="725"/>
      <c r="T532" s="725"/>
      <c r="U532" s="725"/>
      <c r="V532" s="725"/>
      <c r="W532" s="12">
        <f>W533</f>
        <v>0</v>
      </c>
      <c r="X532" s="12">
        <f t="shared" si="35"/>
        <v>1</v>
      </c>
      <c r="Y532" s="12">
        <f t="shared" si="33"/>
        <v>0</v>
      </c>
    </row>
    <row r="533" spans="3:25" ht="16.7">
      <c r="C533" s="6"/>
      <c r="D533" s="4266" t="str">
        <f>UPPER(CONCATENATE("Miscellaneous ",D491," Items"))</f>
        <v>MISCELLANEOUS EXTERIOR DOORS &amp; WINDOWS ITEMS</v>
      </c>
      <c r="E533" s="4266"/>
      <c r="F533" s="4266"/>
      <c r="G533" s="4266"/>
      <c r="H533" s="4266"/>
      <c r="I533" s="4266"/>
      <c r="J533" s="4266"/>
      <c r="K533" s="4266"/>
      <c r="L533" s="4266"/>
      <c r="M533" s="4266"/>
      <c r="N533" s="4266"/>
      <c r="O533" s="4266"/>
      <c r="P533" s="4266"/>
      <c r="Q533" s="4266"/>
      <c r="R533" s="4266"/>
      <c r="S533" s="4266"/>
      <c r="T533" s="4266"/>
      <c r="U533" s="4266"/>
      <c r="V533" s="4266"/>
      <c r="W533" s="12">
        <f>SUM(W534:W543)</f>
        <v>0</v>
      </c>
      <c r="X533" s="12">
        <f t="shared" si="35"/>
        <v>1</v>
      </c>
      <c r="Y533" s="12">
        <f t="shared" si="33"/>
        <v>0</v>
      </c>
    </row>
    <row r="534" spans="3:25" ht="15.7">
      <c r="C534" s="6"/>
      <c r="D534" s="712">
        <v>1</v>
      </c>
      <c r="E534" s="4263" t="s">
        <v>1439</v>
      </c>
      <c r="F534" s="4263" t="s">
        <v>1383</v>
      </c>
      <c r="G534" s="4263" t="s">
        <v>1383</v>
      </c>
      <c r="H534" s="4263" t="s">
        <v>1383</v>
      </c>
      <c r="I534" s="4263" t="s">
        <v>1383</v>
      </c>
      <c r="J534" s="4263" t="s">
        <v>1383</v>
      </c>
      <c r="K534" s="4263" t="s">
        <v>1383</v>
      </c>
      <c r="L534" s="4263" t="s">
        <v>1383</v>
      </c>
      <c r="M534" s="4263" t="s">
        <v>1383</v>
      </c>
      <c r="N534" s="4263" t="s">
        <v>1383</v>
      </c>
      <c r="O534" s="4263" t="s">
        <v>1383</v>
      </c>
      <c r="P534" s="4263" t="s">
        <v>1383</v>
      </c>
      <c r="Q534" s="4263" t="s">
        <v>1383</v>
      </c>
      <c r="R534" s="4263" t="s">
        <v>1383</v>
      </c>
      <c r="S534" s="4263" t="s">
        <v>1383</v>
      </c>
      <c r="T534" s="4263" t="s">
        <v>1383</v>
      </c>
      <c r="U534" s="4263" t="s">
        <v>1383</v>
      </c>
      <c r="V534" s="4263" t="s">
        <v>1383</v>
      </c>
      <c r="W534" s="12">
        <f>IF(E534&lt;&gt;"",1,0)*W491</f>
        <v>0</v>
      </c>
      <c r="X534" s="12">
        <f t="shared" si="35"/>
        <v>1</v>
      </c>
      <c r="Y534" s="12">
        <f t="shared" si="33"/>
        <v>0</v>
      </c>
    </row>
    <row r="535" spans="3:25" ht="15.7">
      <c r="C535" s="6"/>
      <c r="D535" s="712">
        <v>2</v>
      </c>
      <c r="E535" s="4263" t="s">
        <v>1321</v>
      </c>
      <c r="F535" s="4263" t="s">
        <v>1321</v>
      </c>
      <c r="G535" s="4263" t="s">
        <v>1321</v>
      </c>
      <c r="H535" s="4263" t="s">
        <v>1321</v>
      </c>
      <c r="I535" s="4263" t="s">
        <v>1321</v>
      </c>
      <c r="J535" s="4263" t="s">
        <v>1321</v>
      </c>
      <c r="K535" s="4263" t="s">
        <v>1321</v>
      </c>
      <c r="L535" s="4263" t="s">
        <v>1321</v>
      </c>
      <c r="M535" s="4263" t="s">
        <v>1321</v>
      </c>
      <c r="N535" s="4263" t="s">
        <v>1321</v>
      </c>
      <c r="O535" s="4263" t="s">
        <v>1321</v>
      </c>
      <c r="P535" s="4263" t="s">
        <v>1321</v>
      </c>
      <c r="Q535" s="4263" t="s">
        <v>1321</v>
      </c>
      <c r="R535" s="4263" t="s">
        <v>1321</v>
      </c>
      <c r="S535" s="4263" t="s">
        <v>1321</v>
      </c>
      <c r="T535" s="4263" t="s">
        <v>1321</v>
      </c>
      <c r="U535" s="4263" t="s">
        <v>1321</v>
      </c>
      <c r="V535" s="4263" t="s">
        <v>1321</v>
      </c>
      <c r="W535" s="12">
        <f>IF(E535&lt;&gt;"",1,0)*W491</f>
        <v>0</v>
      </c>
      <c r="X535" s="12">
        <f t="shared" si="35"/>
        <v>1</v>
      </c>
      <c r="Y535" s="12">
        <f t="shared" si="33"/>
        <v>0</v>
      </c>
    </row>
    <row r="536" spans="3:25" ht="15.7">
      <c r="C536" s="6"/>
      <c r="D536" s="712">
        <v>3</v>
      </c>
      <c r="E536" s="4263" t="s">
        <v>1320</v>
      </c>
      <c r="F536" s="4263" t="s">
        <v>1320</v>
      </c>
      <c r="G536" s="4263" t="s">
        <v>1320</v>
      </c>
      <c r="H536" s="4263" t="s">
        <v>1320</v>
      </c>
      <c r="I536" s="4263" t="s">
        <v>1320</v>
      </c>
      <c r="J536" s="4263" t="s">
        <v>1320</v>
      </c>
      <c r="K536" s="4263" t="s">
        <v>1320</v>
      </c>
      <c r="L536" s="4263" t="s">
        <v>1320</v>
      </c>
      <c r="M536" s="4263" t="s">
        <v>1320</v>
      </c>
      <c r="N536" s="4263" t="s">
        <v>1320</v>
      </c>
      <c r="O536" s="4263" t="s">
        <v>1320</v>
      </c>
      <c r="P536" s="4263" t="s">
        <v>1320</v>
      </c>
      <c r="Q536" s="4263" t="s">
        <v>1320</v>
      </c>
      <c r="R536" s="4263" t="s">
        <v>1320</v>
      </c>
      <c r="S536" s="4263" t="s">
        <v>1320</v>
      </c>
      <c r="T536" s="4263" t="s">
        <v>1320</v>
      </c>
      <c r="U536" s="4263" t="s">
        <v>1320</v>
      </c>
      <c r="V536" s="4263" t="s">
        <v>1320</v>
      </c>
      <c r="W536" s="12">
        <f>IF(E536&lt;&gt;"",1,0)*W491</f>
        <v>0</v>
      </c>
      <c r="X536" s="12">
        <f t="shared" si="35"/>
        <v>1</v>
      </c>
      <c r="Y536" s="12">
        <f t="shared" si="33"/>
        <v>0</v>
      </c>
    </row>
    <row r="537" spans="3:25" ht="15.7">
      <c r="C537" s="6"/>
      <c r="D537" s="712">
        <v>4</v>
      </c>
      <c r="E537" s="4263" t="s">
        <v>1384</v>
      </c>
      <c r="F537" s="4263" t="s">
        <v>1384</v>
      </c>
      <c r="G537" s="4263" t="s">
        <v>1384</v>
      </c>
      <c r="H537" s="4263" t="s">
        <v>1384</v>
      </c>
      <c r="I537" s="4263" t="s">
        <v>1384</v>
      </c>
      <c r="J537" s="4263" t="s">
        <v>1384</v>
      </c>
      <c r="K537" s="4263" t="s">
        <v>1384</v>
      </c>
      <c r="L537" s="4263" t="s">
        <v>1384</v>
      </c>
      <c r="M537" s="4263" t="s">
        <v>1384</v>
      </c>
      <c r="N537" s="4263" t="s">
        <v>1384</v>
      </c>
      <c r="O537" s="4263" t="s">
        <v>1384</v>
      </c>
      <c r="P537" s="4263" t="s">
        <v>1384</v>
      </c>
      <c r="Q537" s="4263" t="s">
        <v>1384</v>
      </c>
      <c r="R537" s="4263" t="s">
        <v>1384</v>
      </c>
      <c r="S537" s="4263" t="s">
        <v>1384</v>
      </c>
      <c r="T537" s="4263" t="s">
        <v>1384</v>
      </c>
      <c r="U537" s="4263" t="s">
        <v>1384</v>
      </c>
      <c r="V537" s="4263" t="s">
        <v>1384</v>
      </c>
      <c r="W537" s="12">
        <f>IF(E537&lt;&gt;"",1,0)*W491</f>
        <v>0</v>
      </c>
      <c r="X537" s="12">
        <f t="shared" si="35"/>
        <v>1</v>
      </c>
      <c r="Y537" s="12">
        <f t="shared" si="33"/>
        <v>0</v>
      </c>
    </row>
    <row r="538" spans="3:25" ht="15.7">
      <c r="C538" s="6"/>
      <c r="D538" s="712">
        <v>5</v>
      </c>
      <c r="E538" s="4263"/>
      <c r="F538" s="4263"/>
      <c r="G538" s="4263"/>
      <c r="H538" s="4263"/>
      <c r="I538" s="4263"/>
      <c r="J538" s="4263"/>
      <c r="K538" s="4263"/>
      <c r="L538" s="4263"/>
      <c r="M538" s="4263"/>
      <c r="N538" s="4263"/>
      <c r="O538" s="4263"/>
      <c r="P538" s="4263"/>
      <c r="Q538" s="4263"/>
      <c r="R538" s="4263"/>
      <c r="S538" s="4263"/>
      <c r="T538" s="4263"/>
      <c r="U538" s="4263"/>
      <c r="V538" s="4263"/>
      <c r="W538" s="12">
        <f>IF(E538&lt;&gt;"",1,0)*W491</f>
        <v>0</v>
      </c>
      <c r="X538" s="12">
        <f t="shared" si="35"/>
        <v>1</v>
      </c>
      <c r="Y538" s="12">
        <f t="shared" si="33"/>
        <v>0</v>
      </c>
    </row>
    <row r="539" spans="3:25" ht="15.7">
      <c r="C539" s="6"/>
      <c r="D539" s="712">
        <v>6</v>
      </c>
      <c r="E539" s="4263"/>
      <c r="F539" s="4263"/>
      <c r="G539" s="4263"/>
      <c r="H539" s="4263"/>
      <c r="I539" s="4263"/>
      <c r="J539" s="4263"/>
      <c r="K539" s="4263"/>
      <c r="L539" s="4263"/>
      <c r="M539" s="4263"/>
      <c r="N539" s="4263"/>
      <c r="O539" s="4263"/>
      <c r="P539" s="4263"/>
      <c r="Q539" s="4263"/>
      <c r="R539" s="4263"/>
      <c r="S539" s="4263"/>
      <c r="T539" s="4263"/>
      <c r="U539" s="4263"/>
      <c r="V539" s="4263"/>
      <c r="W539" s="12">
        <f>IF(E539&lt;&gt;"",1,0)*W491</f>
        <v>0</v>
      </c>
      <c r="X539" s="12">
        <f t="shared" si="35"/>
        <v>1</v>
      </c>
      <c r="Y539" s="12">
        <f t="shared" si="33"/>
        <v>0</v>
      </c>
    </row>
    <row r="540" spans="3:25" ht="15.7">
      <c r="C540" s="6"/>
      <c r="D540" s="712">
        <v>7</v>
      </c>
      <c r="E540" s="4263"/>
      <c r="F540" s="4263"/>
      <c r="G540" s="4263"/>
      <c r="H540" s="4263"/>
      <c r="I540" s="4263"/>
      <c r="J540" s="4263"/>
      <c r="K540" s="4263"/>
      <c r="L540" s="4263"/>
      <c r="M540" s="4263"/>
      <c r="N540" s="4263"/>
      <c r="O540" s="4263"/>
      <c r="P540" s="4263"/>
      <c r="Q540" s="4263"/>
      <c r="R540" s="4263"/>
      <c r="S540" s="4263"/>
      <c r="T540" s="4263"/>
      <c r="U540" s="4263"/>
      <c r="V540" s="4263"/>
      <c r="W540" s="12">
        <f>IF(E540&lt;&gt;"",1,0)*W491</f>
        <v>0</v>
      </c>
      <c r="X540" s="12">
        <f t="shared" si="35"/>
        <v>1</v>
      </c>
      <c r="Y540" s="12">
        <f t="shared" si="33"/>
        <v>0</v>
      </c>
    </row>
    <row r="541" spans="3:25" ht="15.7">
      <c r="C541" s="6"/>
      <c r="D541" s="712">
        <v>8</v>
      </c>
      <c r="E541" s="4263"/>
      <c r="F541" s="4263"/>
      <c r="G541" s="4263"/>
      <c r="H541" s="4263"/>
      <c r="I541" s="4263"/>
      <c r="J541" s="4263"/>
      <c r="K541" s="4263"/>
      <c r="L541" s="4263"/>
      <c r="M541" s="4263"/>
      <c r="N541" s="4263"/>
      <c r="O541" s="4263"/>
      <c r="P541" s="4263"/>
      <c r="Q541" s="4263"/>
      <c r="R541" s="4263"/>
      <c r="S541" s="4263"/>
      <c r="T541" s="4263"/>
      <c r="U541" s="4263"/>
      <c r="V541" s="4263"/>
      <c r="W541" s="12">
        <f>IF(E541&lt;&gt;"",1,0)*W491</f>
        <v>0</v>
      </c>
      <c r="X541" s="12">
        <f t="shared" si="35"/>
        <v>1</v>
      </c>
      <c r="Y541" s="12">
        <f t="shared" si="33"/>
        <v>0</v>
      </c>
    </row>
    <row r="542" spans="3:25" ht="15.7">
      <c r="C542" s="6"/>
      <c r="D542" s="712">
        <v>9</v>
      </c>
      <c r="E542" s="4263"/>
      <c r="F542" s="4263"/>
      <c r="G542" s="4263"/>
      <c r="H542" s="4263"/>
      <c r="I542" s="4263"/>
      <c r="J542" s="4263"/>
      <c r="K542" s="4263"/>
      <c r="L542" s="4263"/>
      <c r="M542" s="4263"/>
      <c r="N542" s="4263"/>
      <c r="O542" s="4263"/>
      <c r="P542" s="4263"/>
      <c r="Q542" s="4263"/>
      <c r="R542" s="4263"/>
      <c r="S542" s="4263"/>
      <c r="T542" s="4263"/>
      <c r="U542" s="4263"/>
      <c r="V542" s="4263"/>
      <c r="W542" s="12">
        <f>IF(E542&lt;&gt;"",1,0)*W491</f>
        <v>0</v>
      </c>
      <c r="X542" s="12">
        <f t="shared" si="35"/>
        <v>1</v>
      </c>
      <c r="Y542" s="12">
        <f t="shared" si="33"/>
        <v>0</v>
      </c>
    </row>
    <row r="543" spans="3:25" ht="15.7">
      <c r="C543" s="6"/>
      <c r="D543" s="712">
        <v>10</v>
      </c>
      <c r="E543" s="4263"/>
      <c r="F543" s="4263"/>
      <c r="G543" s="4263"/>
      <c r="H543" s="4263"/>
      <c r="I543" s="4263"/>
      <c r="J543" s="4263"/>
      <c r="K543" s="4263"/>
      <c r="L543" s="4263"/>
      <c r="M543" s="4263"/>
      <c r="N543" s="4263"/>
      <c r="O543" s="4263"/>
      <c r="P543" s="4263"/>
      <c r="Q543" s="4263"/>
      <c r="R543" s="4263"/>
      <c r="S543" s="4263"/>
      <c r="T543" s="4263"/>
      <c r="U543" s="4263"/>
      <c r="V543" s="4263"/>
      <c r="W543" s="12">
        <f>IF(E543&lt;&gt;"",1,0)*W491</f>
        <v>0</v>
      </c>
      <c r="X543" s="12">
        <f t="shared" si="35"/>
        <v>1</v>
      </c>
      <c r="Y543" s="12">
        <f t="shared" si="33"/>
        <v>0</v>
      </c>
    </row>
    <row r="544" spans="3:25" ht="15.7">
      <c r="C544" s="6"/>
      <c r="D544" s="723"/>
      <c r="E544" s="723"/>
      <c r="F544" s="723"/>
      <c r="G544" s="723"/>
      <c r="H544" s="723"/>
      <c r="I544" s="723"/>
      <c r="J544" s="723"/>
      <c r="K544" s="723"/>
      <c r="L544" s="724"/>
      <c r="M544" s="724"/>
      <c r="N544" s="725"/>
      <c r="O544" s="725"/>
      <c r="P544" s="724"/>
      <c r="Q544" s="445"/>
      <c r="R544" s="445"/>
      <c r="S544" s="726"/>
      <c r="T544" s="726"/>
      <c r="U544" s="726"/>
      <c r="V544" s="726"/>
      <c r="W544" s="12">
        <f>W491</f>
        <v>0</v>
      </c>
      <c r="X544" s="12">
        <f t="shared" si="35"/>
        <v>1</v>
      </c>
      <c r="Y544" s="12">
        <f t="shared" si="33"/>
        <v>0</v>
      </c>
    </row>
    <row r="545" spans="3:25" ht="40.5" customHeight="1">
      <c r="C545" s="6"/>
      <c r="D545" s="4264" t="str">
        <f>UPPER(CONCATENATE("TOTAL ",D491))</f>
        <v>TOTAL EXTERIOR DOORS &amp; WINDOWS</v>
      </c>
      <c r="E545" s="4264"/>
      <c r="F545" s="4264"/>
      <c r="G545" s="4264"/>
      <c r="H545" s="4264"/>
      <c r="I545" s="4264"/>
      <c r="J545" s="4264"/>
      <c r="K545" s="4264"/>
      <c r="L545" s="4264"/>
      <c r="M545" s="4264"/>
      <c r="N545" s="4264"/>
      <c r="O545" s="4264"/>
      <c r="P545" s="4264"/>
      <c r="Q545" s="4265"/>
      <c r="R545" s="4265"/>
      <c r="S545" s="4265"/>
      <c r="T545" s="4265"/>
      <c r="U545" s="4265"/>
      <c r="V545" s="4265"/>
      <c r="W545" s="12">
        <f>W491</f>
        <v>0</v>
      </c>
      <c r="X545" s="12">
        <f t="shared" si="35"/>
        <v>1</v>
      </c>
      <c r="Y545" s="12">
        <f t="shared" si="33"/>
        <v>0</v>
      </c>
    </row>
    <row r="546" spans="3:25" ht="15.7">
      <c r="D546" s="723"/>
      <c r="E546" s="723"/>
      <c r="F546" s="723"/>
      <c r="G546" s="723"/>
      <c r="H546" s="723"/>
      <c r="I546" s="723"/>
      <c r="J546" s="723"/>
      <c r="K546" s="723"/>
      <c r="L546" s="724"/>
      <c r="M546" s="724"/>
      <c r="N546" s="725"/>
      <c r="O546" s="725"/>
      <c r="P546" s="724"/>
      <c r="Q546" s="445"/>
      <c r="R546" s="445"/>
      <c r="S546" s="726"/>
      <c r="T546" s="726"/>
      <c r="U546" s="726"/>
      <c r="V546" s="726"/>
      <c r="W546" s="12">
        <f>W491</f>
        <v>0</v>
      </c>
      <c r="X546" s="12">
        <f t="shared" si="35"/>
        <v>1</v>
      </c>
      <c r="Y546" s="12">
        <f t="shared" si="33"/>
        <v>0</v>
      </c>
    </row>
    <row r="547" spans="3:25" ht="26.45" customHeight="1">
      <c r="D547" s="4276" t="str">
        <f>T('2 REPAIR ESTIMATOR'!D492:O492)</f>
        <v>GARAGE DOORS</v>
      </c>
      <c r="E547" s="4288"/>
      <c r="F547" s="4288"/>
      <c r="G547" s="4288"/>
      <c r="H547" s="4288"/>
      <c r="I547" s="4288"/>
      <c r="J547" s="4288"/>
      <c r="K547" s="4288"/>
      <c r="L547" s="4277">
        <f>SUM(L548:M587)</f>
        <v>0</v>
      </c>
      <c r="M547" s="4278"/>
      <c r="N547" s="4279"/>
      <c r="O547" s="4280"/>
      <c r="P547" s="4277"/>
      <c r="Q547" s="4281"/>
      <c r="R547" s="4281"/>
      <c r="S547" s="4281"/>
      <c r="T547" s="4281"/>
      <c r="U547" s="4281"/>
      <c r="V547" s="4281"/>
      <c r="W547" s="12">
        <f>IF(L547&gt;0,1,0)</f>
        <v>0</v>
      </c>
      <c r="X547" s="12">
        <f t="shared" ref="X547:X578" si="36">IF(Scope10_Setting="Shown",1,0)</f>
        <v>1</v>
      </c>
      <c r="Y547" s="12">
        <f t="shared" si="33"/>
        <v>0</v>
      </c>
    </row>
    <row r="548" spans="3:25" ht="15.7">
      <c r="D548" s="4267" t="str">
        <f>T('2 REPAIR ESTIMATOR'!D493:O493)</f>
        <v>Garage Doors Bid/Allowance</v>
      </c>
      <c r="E548" s="4268"/>
      <c r="F548" s="4268"/>
      <c r="G548" s="4268"/>
      <c r="H548" s="4268"/>
      <c r="I548" s="4268"/>
      <c r="J548" s="4268"/>
      <c r="K548" s="4268"/>
      <c r="L548" s="4269">
        <f>'2 REPAIR ESTIMATOR'!P493</f>
        <v>0</v>
      </c>
      <c r="M548" s="4269"/>
      <c r="N548" s="4270" t="str">
        <f>T('2 REPAIR ESTIMATOR'!S493)</f>
        <v>ls</v>
      </c>
      <c r="O548" s="4270"/>
      <c r="P548" s="4273"/>
      <c r="Q548" s="4273"/>
      <c r="R548" s="4273"/>
      <c r="S548" s="4273"/>
      <c r="T548" s="4273"/>
      <c r="U548" s="4273"/>
      <c r="V548" s="4274"/>
      <c r="W548" s="12">
        <f>IF(L548="",0,1)</f>
        <v>1</v>
      </c>
      <c r="X548" s="12">
        <f t="shared" si="36"/>
        <v>1</v>
      </c>
      <c r="Y548" s="12">
        <f t="shared" si="33"/>
        <v>1</v>
      </c>
    </row>
    <row r="549" spans="3:25" ht="15.7">
      <c r="D549" s="4267" t="str">
        <f>T('2 REPAIR ESTIMATOR'!D494:O494)</f>
        <v>Garage Doors Only- 9'x7'  door, manual</v>
      </c>
      <c r="E549" s="4268"/>
      <c r="F549" s="4268"/>
      <c r="G549" s="4268"/>
      <c r="H549" s="4268"/>
      <c r="I549" s="4268"/>
      <c r="J549" s="4268"/>
      <c r="K549" s="4268"/>
      <c r="L549" s="4269">
        <f>'2 REPAIR ESTIMATOR'!P494</f>
        <v>0</v>
      </c>
      <c r="M549" s="4269"/>
      <c r="N549" s="4270" t="str">
        <f>T('2 REPAIR ESTIMATOR'!S494)</f>
        <v>ea</v>
      </c>
      <c r="O549" s="4270"/>
      <c r="P549" s="4271"/>
      <c r="Q549" s="4271"/>
      <c r="R549" s="4271"/>
      <c r="S549" s="4271"/>
      <c r="T549" s="4271"/>
      <c r="U549" s="4271"/>
      <c r="V549" s="4272"/>
      <c r="W549" s="12">
        <f t="shared" ref="W549:W587" si="37">IF(L549="",0,1)</f>
        <v>1</v>
      </c>
      <c r="X549" s="12">
        <f t="shared" si="36"/>
        <v>1</v>
      </c>
      <c r="Y549" s="12">
        <f t="shared" si="33"/>
        <v>1</v>
      </c>
    </row>
    <row r="550" spans="3:25" ht="15.7">
      <c r="D550" s="4267" t="str">
        <f>T('2 REPAIR ESTIMATOR'!D495:O495)</f>
        <v>Garage Doors Only- 16' door, manual</v>
      </c>
      <c r="E550" s="4268"/>
      <c r="F550" s="4268"/>
      <c r="G550" s="4268"/>
      <c r="H550" s="4268"/>
      <c r="I550" s="4268"/>
      <c r="J550" s="4268"/>
      <c r="K550" s="4268"/>
      <c r="L550" s="4269">
        <f>'2 REPAIR ESTIMATOR'!P495</f>
        <v>0</v>
      </c>
      <c r="M550" s="4269"/>
      <c r="N550" s="4270" t="str">
        <f>T('2 REPAIR ESTIMATOR'!S495)</f>
        <v>ea</v>
      </c>
      <c r="O550" s="4270"/>
      <c r="P550" s="4271"/>
      <c r="Q550" s="4271"/>
      <c r="R550" s="4271"/>
      <c r="S550" s="4271"/>
      <c r="T550" s="4271"/>
      <c r="U550" s="4271"/>
      <c r="V550" s="4272"/>
      <c r="W550" s="12">
        <f t="shared" si="37"/>
        <v>1</v>
      </c>
      <c r="X550" s="12">
        <f t="shared" si="36"/>
        <v>1</v>
      </c>
      <c r="Y550" s="12">
        <f t="shared" si="33"/>
        <v>1</v>
      </c>
    </row>
    <row r="551" spans="3:25" ht="15.7">
      <c r="D551" s="4267" t="str">
        <f>T('2 REPAIR ESTIMATOR'!D496:O496)</f>
        <v>Garage Door Operator only</v>
      </c>
      <c r="E551" s="4268"/>
      <c r="F551" s="4268"/>
      <c r="G551" s="4268"/>
      <c r="H551" s="4268"/>
      <c r="I551" s="4268"/>
      <c r="J551" s="4268"/>
      <c r="K551" s="4268"/>
      <c r="L551" s="4269">
        <f>'2 REPAIR ESTIMATOR'!P496</f>
        <v>0</v>
      </c>
      <c r="M551" s="4269"/>
      <c r="N551" s="4270" t="str">
        <f>T('2 REPAIR ESTIMATOR'!S496)</f>
        <v>ea</v>
      </c>
      <c r="O551" s="4270"/>
      <c r="P551" s="4271"/>
      <c r="Q551" s="4271"/>
      <c r="R551" s="4271"/>
      <c r="S551" s="4271"/>
      <c r="T551" s="4271"/>
      <c r="U551" s="4271"/>
      <c r="V551" s="4272"/>
      <c r="W551" s="12">
        <f t="shared" si="37"/>
        <v>1</v>
      </c>
      <c r="X551" s="12">
        <f t="shared" si="36"/>
        <v>1</v>
      </c>
      <c r="Y551" s="12">
        <f t="shared" si="33"/>
        <v>1</v>
      </c>
    </row>
    <row r="552" spans="3:25" ht="15.7">
      <c r="D552" s="4267" t="str">
        <f>T('2 REPAIR ESTIMATOR'!D497:O497)</f>
        <v>Replace springs for garage door</v>
      </c>
      <c r="E552" s="4268"/>
      <c r="F552" s="4268"/>
      <c r="G552" s="4268"/>
      <c r="H552" s="4268"/>
      <c r="I552" s="4268"/>
      <c r="J552" s="4268"/>
      <c r="K552" s="4268"/>
      <c r="L552" s="4269">
        <f>'2 REPAIR ESTIMATOR'!P497</f>
        <v>0</v>
      </c>
      <c r="M552" s="4269"/>
      <c r="N552" s="4270" t="str">
        <f>T('2 REPAIR ESTIMATOR'!S497)</f>
        <v>ea</v>
      </c>
      <c r="O552" s="4270"/>
      <c r="P552" s="4271"/>
      <c r="Q552" s="4271"/>
      <c r="R552" s="4271"/>
      <c r="S552" s="4271"/>
      <c r="T552" s="4271"/>
      <c r="U552" s="4271"/>
      <c r="V552" s="4272"/>
      <c r="W552" s="12">
        <f t="shared" si="37"/>
        <v>1</v>
      </c>
      <c r="X552" s="12">
        <f t="shared" si="36"/>
        <v>1</v>
      </c>
      <c r="Y552" s="12">
        <f t="shared" si="33"/>
        <v>1</v>
      </c>
    </row>
    <row r="553" spans="3:25" ht="15.7">
      <c r="D553" s="4267" t="str">
        <f>T('2 REPAIR ESTIMATOR'!D498:O498)</f>
        <v/>
      </c>
      <c r="E553" s="4268"/>
      <c r="F553" s="4268"/>
      <c r="G553" s="4268"/>
      <c r="H553" s="4268"/>
      <c r="I553" s="4268"/>
      <c r="J553" s="4268"/>
      <c r="K553" s="4268"/>
      <c r="L553" s="4269">
        <f>'2 REPAIR ESTIMATOR'!P498</f>
        <v>0</v>
      </c>
      <c r="M553" s="4269"/>
      <c r="N553" s="4270" t="str">
        <f>T('2 REPAIR ESTIMATOR'!S498)</f>
        <v/>
      </c>
      <c r="O553" s="4270"/>
      <c r="P553" s="4271"/>
      <c r="Q553" s="4271"/>
      <c r="R553" s="4271"/>
      <c r="S553" s="4271"/>
      <c r="T553" s="4271"/>
      <c r="U553" s="4271"/>
      <c r="V553" s="4272"/>
      <c r="W553" s="12">
        <f t="shared" si="37"/>
        <v>1</v>
      </c>
      <c r="X553" s="12">
        <f t="shared" si="36"/>
        <v>1</v>
      </c>
      <c r="Y553" s="12">
        <f t="shared" si="33"/>
        <v>1</v>
      </c>
    </row>
    <row r="554" spans="3:25" ht="15.7">
      <c r="D554" s="4267" t="str">
        <f>T('2 REPAIR ESTIMATOR'!D499:O499)</f>
        <v/>
      </c>
      <c r="E554" s="4268"/>
      <c r="F554" s="4268"/>
      <c r="G554" s="4268"/>
      <c r="H554" s="4268"/>
      <c r="I554" s="4268"/>
      <c r="J554" s="4268"/>
      <c r="K554" s="4268"/>
      <c r="L554" s="4269">
        <f>'2 REPAIR ESTIMATOR'!P499</f>
        <v>0</v>
      </c>
      <c r="M554" s="4269"/>
      <c r="N554" s="4270" t="str">
        <f>T('2 REPAIR ESTIMATOR'!S499)</f>
        <v/>
      </c>
      <c r="O554" s="4270"/>
      <c r="P554" s="4271"/>
      <c r="Q554" s="4271"/>
      <c r="R554" s="4271"/>
      <c r="S554" s="4271"/>
      <c r="T554" s="4271"/>
      <c r="U554" s="4271"/>
      <c r="V554" s="4272"/>
      <c r="W554" s="12">
        <f t="shared" si="37"/>
        <v>1</v>
      </c>
      <c r="X554" s="12">
        <f t="shared" si="36"/>
        <v>1</v>
      </c>
      <c r="Y554" s="12">
        <f t="shared" si="33"/>
        <v>1</v>
      </c>
    </row>
    <row r="555" spans="3:25" ht="15.7">
      <c r="D555" s="4267" t="str">
        <f>T('2 REPAIR ESTIMATOR'!D500:O500)</f>
        <v/>
      </c>
      <c r="E555" s="4268"/>
      <c r="F555" s="4268"/>
      <c r="G555" s="4268"/>
      <c r="H555" s="4268"/>
      <c r="I555" s="4268"/>
      <c r="J555" s="4268"/>
      <c r="K555" s="4268"/>
      <c r="L555" s="4269">
        <f>'2 REPAIR ESTIMATOR'!P500</f>
        <v>0</v>
      </c>
      <c r="M555" s="4269"/>
      <c r="N555" s="4270" t="str">
        <f>T('2 REPAIR ESTIMATOR'!S500)</f>
        <v/>
      </c>
      <c r="O555" s="4270"/>
      <c r="P555" s="4271"/>
      <c r="Q555" s="4271"/>
      <c r="R555" s="4271"/>
      <c r="S555" s="4271"/>
      <c r="T555" s="4271"/>
      <c r="U555" s="4271"/>
      <c r="V555" s="4272"/>
      <c r="W555" s="12">
        <f t="shared" si="37"/>
        <v>1</v>
      </c>
      <c r="X555" s="12">
        <f t="shared" si="36"/>
        <v>1</v>
      </c>
      <c r="Y555" s="12">
        <f t="shared" si="33"/>
        <v>1</v>
      </c>
    </row>
    <row r="556" spans="3:25" ht="15.7">
      <c r="D556" s="4267" t="str">
        <f>T('2 REPAIR ESTIMATOR'!D501:O501)</f>
        <v/>
      </c>
      <c r="E556" s="4268"/>
      <c r="F556" s="4268"/>
      <c r="G556" s="4268"/>
      <c r="H556" s="4268"/>
      <c r="I556" s="4268"/>
      <c r="J556" s="4268"/>
      <c r="K556" s="4268"/>
      <c r="L556" s="4269">
        <f>'2 REPAIR ESTIMATOR'!P501</f>
        <v>0</v>
      </c>
      <c r="M556" s="4269"/>
      <c r="N556" s="4270" t="str">
        <f>T('2 REPAIR ESTIMATOR'!S501)</f>
        <v/>
      </c>
      <c r="O556" s="4270"/>
      <c r="P556" s="4271"/>
      <c r="Q556" s="4271"/>
      <c r="R556" s="4271"/>
      <c r="S556" s="4271"/>
      <c r="T556" s="4271"/>
      <c r="U556" s="4271"/>
      <c r="V556" s="4272"/>
      <c r="W556" s="12">
        <f t="shared" si="37"/>
        <v>1</v>
      </c>
      <c r="X556" s="12">
        <f t="shared" si="36"/>
        <v>1</v>
      </c>
      <c r="Y556" s="12">
        <f t="shared" ref="Y556:Y619" si="38">W556*X556</f>
        <v>1</v>
      </c>
    </row>
    <row r="557" spans="3:25" ht="15.7">
      <c r="D557" s="4267" t="str">
        <f>T('2 REPAIR ESTIMATOR'!D502:O502)</f>
        <v/>
      </c>
      <c r="E557" s="4268"/>
      <c r="F557" s="4268"/>
      <c r="G557" s="4268"/>
      <c r="H557" s="4268"/>
      <c r="I557" s="4268"/>
      <c r="J557" s="4268"/>
      <c r="K557" s="4268"/>
      <c r="L557" s="4269">
        <f>'2 REPAIR ESTIMATOR'!P502</f>
        <v>0</v>
      </c>
      <c r="M557" s="4269"/>
      <c r="N557" s="4270" t="str">
        <f>T('2 REPAIR ESTIMATOR'!S502)</f>
        <v/>
      </c>
      <c r="O557" s="4270"/>
      <c r="P557" s="4271"/>
      <c r="Q557" s="4271"/>
      <c r="R557" s="4271"/>
      <c r="S557" s="4271"/>
      <c r="T557" s="4271"/>
      <c r="U557" s="4271"/>
      <c r="V557" s="4272"/>
      <c r="W557" s="12">
        <f t="shared" si="37"/>
        <v>1</v>
      </c>
      <c r="X557" s="12">
        <f t="shared" si="36"/>
        <v>1</v>
      </c>
      <c r="Y557" s="12">
        <f t="shared" si="38"/>
        <v>1</v>
      </c>
    </row>
    <row r="558" spans="3:25" ht="15.7">
      <c r="D558" s="4267" t="str">
        <f>T('2 REPAIR ESTIMATOR'!D503:O503)</f>
        <v/>
      </c>
      <c r="E558" s="4268"/>
      <c r="F558" s="4268"/>
      <c r="G558" s="4268"/>
      <c r="H558" s="4268"/>
      <c r="I558" s="4268"/>
      <c r="J558" s="4268"/>
      <c r="K558" s="4268"/>
      <c r="L558" s="4269">
        <f>'2 REPAIR ESTIMATOR'!P503</f>
        <v>0</v>
      </c>
      <c r="M558" s="4269"/>
      <c r="N558" s="4270" t="str">
        <f>T('2 REPAIR ESTIMATOR'!S503)</f>
        <v/>
      </c>
      <c r="O558" s="4270"/>
      <c r="P558" s="4271"/>
      <c r="Q558" s="4271"/>
      <c r="R558" s="4271"/>
      <c r="S558" s="4271"/>
      <c r="T558" s="4271"/>
      <c r="U558" s="4271"/>
      <c r="V558" s="4272"/>
      <c r="W558" s="12">
        <f t="shared" si="37"/>
        <v>1</v>
      </c>
      <c r="X558" s="12">
        <f t="shared" si="36"/>
        <v>1</v>
      </c>
      <c r="Y558" s="12">
        <f t="shared" si="38"/>
        <v>1</v>
      </c>
    </row>
    <row r="559" spans="3:25" ht="15.7">
      <c r="D559" s="4267" t="str">
        <f>T('2 REPAIR ESTIMATOR'!D504:O504)</f>
        <v/>
      </c>
      <c r="E559" s="4268"/>
      <c r="F559" s="4268"/>
      <c r="G559" s="4268"/>
      <c r="H559" s="4268"/>
      <c r="I559" s="4268"/>
      <c r="J559" s="4268"/>
      <c r="K559" s="4268"/>
      <c r="L559" s="4269">
        <f>'2 REPAIR ESTIMATOR'!P504</f>
        <v>0</v>
      </c>
      <c r="M559" s="4269"/>
      <c r="N559" s="4270" t="str">
        <f>T('2 REPAIR ESTIMATOR'!S504)</f>
        <v/>
      </c>
      <c r="O559" s="4270"/>
      <c r="P559" s="4271"/>
      <c r="Q559" s="4271"/>
      <c r="R559" s="4271"/>
      <c r="S559" s="4271"/>
      <c r="T559" s="4271"/>
      <c r="U559" s="4271"/>
      <c r="V559" s="4272"/>
      <c r="W559" s="12">
        <f t="shared" si="37"/>
        <v>1</v>
      </c>
      <c r="X559" s="12">
        <f t="shared" si="36"/>
        <v>1</v>
      </c>
      <c r="Y559" s="12">
        <f t="shared" si="38"/>
        <v>1</v>
      </c>
    </row>
    <row r="560" spans="3:25" ht="15.7">
      <c r="D560" s="4267" t="str">
        <f>T('2 REPAIR ESTIMATOR'!D505:O505)</f>
        <v/>
      </c>
      <c r="E560" s="4268"/>
      <c r="F560" s="4268"/>
      <c r="G560" s="4268"/>
      <c r="H560" s="4268"/>
      <c r="I560" s="4268"/>
      <c r="J560" s="4268"/>
      <c r="K560" s="4268"/>
      <c r="L560" s="4269">
        <f>'2 REPAIR ESTIMATOR'!P505</f>
        <v>0</v>
      </c>
      <c r="M560" s="4269"/>
      <c r="N560" s="4270" t="str">
        <f>T('2 REPAIR ESTIMATOR'!S505)</f>
        <v/>
      </c>
      <c r="O560" s="4270"/>
      <c r="P560" s="4271"/>
      <c r="Q560" s="4271"/>
      <c r="R560" s="4271"/>
      <c r="S560" s="4271"/>
      <c r="T560" s="4271"/>
      <c r="U560" s="4271"/>
      <c r="V560" s="4272"/>
      <c r="W560" s="12">
        <f t="shared" si="37"/>
        <v>1</v>
      </c>
      <c r="X560" s="12">
        <f t="shared" si="36"/>
        <v>1</v>
      </c>
      <c r="Y560" s="12">
        <f t="shared" si="38"/>
        <v>1</v>
      </c>
    </row>
    <row r="561" spans="4:25" ht="15.7">
      <c r="D561" s="4267" t="str">
        <f>T('2 REPAIR ESTIMATOR'!D506:O506)</f>
        <v/>
      </c>
      <c r="E561" s="4268"/>
      <c r="F561" s="4268"/>
      <c r="G561" s="4268"/>
      <c r="H561" s="4268"/>
      <c r="I561" s="4268"/>
      <c r="J561" s="4268"/>
      <c r="K561" s="4268"/>
      <c r="L561" s="4269">
        <f>'2 REPAIR ESTIMATOR'!P506</f>
        <v>0</v>
      </c>
      <c r="M561" s="4269"/>
      <c r="N561" s="4270" t="str">
        <f>T('2 REPAIR ESTIMATOR'!S506)</f>
        <v/>
      </c>
      <c r="O561" s="4270"/>
      <c r="P561" s="4271"/>
      <c r="Q561" s="4271"/>
      <c r="R561" s="4271"/>
      <c r="S561" s="4271"/>
      <c r="T561" s="4271"/>
      <c r="U561" s="4271"/>
      <c r="V561" s="4272"/>
      <c r="W561" s="12">
        <f t="shared" si="37"/>
        <v>1</v>
      </c>
      <c r="X561" s="12">
        <f t="shared" si="36"/>
        <v>1</v>
      </c>
      <c r="Y561" s="12">
        <f t="shared" si="38"/>
        <v>1</v>
      </c>
    </row>
    <row r="562" spans="4:25" ht="15.7">
      <c r="D562" s="4267" t="str">
        <f>T('2 REPAIR ESTIMATOR'!D507:O507)</f>
        <v/>
      </c>
      <c r="E562" s="4268"/>
      <c r="F562" s="4268"/>
      <c r="G562" s="4268"/>
      <c r="H562" s="4268"/>
      <c r="I562" s="4268"/>
      <c r="J562" s="4268"/>
      <c r="K562" s="4268"/>
      <c r="L562" s="4269">
        <f>'2 REPAIR ESTIMATOR'!P507</f>
        <v>0</v>
      </c>
      <c r="M562" s="4269"/>
      <c r="N562" s="4270" t="str">
        <f>T('2 REPAIR ESTIMATOR'!S507)</f>
        <v/>
      </c>
      <c r="O562" s="4270"/>
      <c r="P562" s="4271"/>
      <c r="Q562" s="4271"/>
      <c r="R562" s="4271"/>
      <c r="S562" s="4271"/>
      <c r="T562" s="4271"/>
      <c r="U562" s="4271"/>
      <c r="V562" s="4272"/>
      <c r="W562" s="12">
        <f t="shared" si="37"/>
        <v>1</v>
      </c>
      <c r="X562" s="12">
        <f t="shared" si="36"/>
        <v>1</v>
      </c>
      <c r="Y562" s="12">
        <f t="shared" si="38"/>
        <v>1</v>
      </c>
    </row>
    <row r="563" spans="4:25" ht="15.7">
      <c r="D563" s="4267" t="str">
        <f>T('2 REPAIR ESTIMATOR'!D508:O508)</f>
        <v/>
      </c>
      <c r="E563" s="4268"/>
      <c r="F563" s="4268"/>
      <c r="G563" s="4268"/>
      <c r="H563" s="4268"/>
      <c r="I563" s="4268"/>
      <c r="J563" s="4268"/>
      <c r="K563" s="4268"/>
      <c r="L563" s="4269">
        <f>'2 REPAIR ESTIMATOR'!P508</f>
        <v>0</v>
      </c>
      <c r="M563" s="4269"/>
      <c r="N563" s="4270" t="str">
        <f>T('2 REPAIR ESTIMATOR'!S508)</f>
        <v/>
      </c>
      <c r="O563" s="4270"/>
      <c r="P563" s="4271"/>
      <c r="Q563" s="4271"/>
      <c r="R563" s="4271"/>
      <c r="S563" s="4271"/>
      <c r="T563" s="4271"/>
      <c r="U563" s="4271"/>
      <c r="V563" s="4272"/>
      <c r="W563" s="12">
        <f t="shared" si="37"/>
        <v>1</v>
      </c>
      <c r="X563" s="12">
        <f t="shared" si="36"/>
        <v>1</v>
      </c>
      <c r="Y563" s="12">
        <f t="shared" si="38"/>
        <v>1</v>
      </c>
    </row>
    <row r="564" spans="4:25" ht="15.7">
      <c r="D564" s="4267" t="str">
        <f>T('2 REPAIR ESTIMATOR'!D509:O509)</f>
        <v/>
      </c>
      <c r="E564" s="4268"/>
      <c r="F564" s="4268"/>
      <c r="G564" s="4268"/>
      <c r="H564" s="4268"/>
      <c r="I564" s="4268"/>
      <c r="J564" s="4268"/>
      <c r="K564" s="4268"/>
      <c r="L564" s="4269">
        <f>'2 REPAIR ESTIMATOR'!P509</f>
        <v>0</v>
      </c>
      <c r="M564" s="4269"/>
      <c r="N564" s="4270" t="str">
        <f>T('2 REPAIR ESTIMATOR'!S509)</f>
        <v/>
      </c>
      <c r="O564" s="4270"/>
      <c r="P564" s="4271"/>
      <c r="Q564" s="4271"/>
      <c r="R564" s="4271"/>
      <c r="S564" s="4271"/>
      <c r="T564" s="4271"/>
      <c r="U564" s="4271"/>
      <c r="V564" s="4272"/>
      <c r="W564" s="12">
        <f t="shared" si="37"/>
        <v>1</v>
      </c>
      <c r="X564" s="12">
        <f t="shared" si="36"/>
        <v>1</v>
      </c>
      <c r="Y564" s="12">
        <f t="shared" si="38"/>
        <v>1</v>
      </c>
    </row>
    <row r="565" spans="4:25" ht="15.7">
      <c r="D565" s="4267" t="str">
        <f>T('2 REPAIR ESTIMATOR'!D510:O510)</f>
        <v/>
      </c>
      <c r="E565" s="4268"/>
      <c r="F565" s="4268"/>
      <c r="G565" s="4268"/>
      <c r="H565" s="4268"/>
      <c r="I565" s="4268"/>
      <c r="J565" s="4268"/>
      <c r="K565" s="4268"/>
      <c r="L565" s="4269">
        <f>'2 REPAIR ESTIMATOR'!P510</f>
        <v>0</v>
      </c>
      <c r="M565" s="4269"/>
      <c r="N565" s="4270" t="str">
        <f>T('2 REPAIR ESTIMATOR'!S510)</f>
        <v/>
      </c>
      <c r="O565" s="4270"/>
      <c r="P565" s="4271"/>
      <c r="Q565" s="4271"/>
      <c r="R565" s="4271"/>
      <c r="S565" s="4271"/>
      <c r="T565" s="4271"/>
      <c r="U565" s="4271"/>
      <c r="V565" s="4272"/>
      <c r="W565" s="12">
        <f t="shared" si="37"/>
        <v>1</v>
      </c>
      <c r="X565" s="12">
        <f t="shared" si="36"/>
        <v>1</v>
      </c>
      <c r="Y565" s="12">
        <f t="shared" si="38"/>
        <v>1</v>
      </c>
    </row>
    <row r="566" spans="4:25" ht="15.7">
      <c r="D566" s="4267" t="str">
        <f>T('2 REPAIR ESTIMATOR'!D511:O511)</f>
        <v/>
      </c>
      <c r="E566" s="4268"/>
      <c r="F566" s="4268"/>
      <c r="G566" s="4268"/>
      <c r="H566" s="4268"/>
      <c r="I566" s="4268"/>
      <c r="J566" s="4268"/>
      <c r="K566" s="4268"/>
      <c r="L566" s="4269">
        <f>'2 REPAIR ESTIMATOR'!P511</f>
        <v>0</v>
      </c>
      <c r="M566" s="4269"/>
      <c r="N566" s="4270" t="str">
        <f>T('2 REPAIR ESTIMATOR'!S511)</f>
        <v/>
      </c>
      <c r="O566" s="4270"/>
      <c r="P566" s="4271"/>
      <c r="Q566" s="4271"/>
      <c r="R566" s="4271"/>
      <c r="S566" s="4271"/>
      <c r="T566" s="4271"/>
      <c r="U566" s="4271"/>
      <c r="V566" s="4272"/>
      <c r="W566" s="12">
        <f t="shared" si="37"/>
        <v>1</v>
      </c>
      <c r="X566" s="12">
        <f t="shared" si="36"/>
        <v>1</v>
      </c>
      <c r="Y566" s="12">
        <f t="shared" si="38"/>
        <v>1</v>
      </c>
    </row>
    <row r="567" spans="4:25" ht="15.7">
      <c r="D567" s="4267" t="str">
        <f>T('2 REPAIR ESTIMATOR'!D512:O512)</f>
        <v/>
      </c>
      <c r="E567" s="4268"/>
      <c r="F567" s="4268"/>
      <c r="G567" s="4268"/>
      <c r="H567" s="4268"/>
      <c r="I567" s="4268"/>
      <c r="J567" s="4268"/>
      <c r="K567" s="4268"/>
      <c r="L567" s="4269">
        <f>'2 REPAIR ESTIMATOR'!P512</f>
        <v>0</v>
      </c>
      <c r="M567" s="4269"/>
      <c r="N567" s="4270" t="str">
        <f>T('2 REPAIR ESTIMATOR'!S512)</f>
        <v/>
      </c>
      <c r="O567" s="4270"/>
      <c r="P567" s="4271"/>
      <c r="Q567" s="4271"/>
      <c r="R567" s="4271"/>
      <c r="S567" s="4271"/>
      <c r="T567" s="4271"/>
      <c r="U567" s="4271"/>
      <c r="V567" s="4272"/>
      <c r="W567" s="12">
        <f t="shared" si="37"/>
        <v>1</v>
      </c>
      <c r="X567" s="12">
        <f t="shared" si="36"/>
        <v>1</v>
      </c>
      <c r="Y567" s="12">
        <f t="shared" si="38"/>
        <v>1</v>
      </c>
    </row>
    <row r="568" spans="4:25" ht="15.7">
      <c r="D568" s="4267" t="str">
        <f>T('2 REPAIR ESTIMATOR'!D513:O513)</f>
        <v/>
      </c>
      <c r="E568" s="4268"/>
      <c r="F568" s="4268"/>
      <c r="G568" s="4268"/>
      <c r="H568" s="4268"/>
      <c r="I568" s="4268"/>
      <c r="J568" s="4268"/>
      <c r="K568" s="4268"/>
      <c r="L568" s="4269">
        <f>'2 REPAIR ESTIMATOR'!P513</f>
        <v>0</v>
      </c>
      <c r="M568" s="4269"/>
      <c r="N568" s="4270" t="str">
        <f>T('2 REPAIR ESTIMATOR'!S513)</f>
        <v/>
      </c>
      <c r="O568" s="4270"/>
      <c r="P568" s="4271"/>
      <c r="Q568" s="4271"/>
      <c r="R568" s="4271"/>
      <c r="S568" s="4271"/>
      <c r="T568" s="4271"/>
      <c r="U568" s="4271"/>
      <c r="V568" s="4272"/>
      <c r="W568" s="12">
        <f t="shared" si="37"/>
        <v>1</v>
      </c>
      <c r="X568" s="12">
        <f t="shared" si="36"/>
        <v>1</v>
      </c>
      <c r="Y568" s="12">
        <f t="shared" si="38"/>
        <v>1</v>
      </c>
    </row>
    <row r="569" spans="4:25" ht="15.7">
      <c r="D569" s="4267" t="str">
        <f>T('2 REPAIR ESTIMATOR'!D514:O514)</f>
        <v/>
      </c>
      <c r="E569" s="4268"/>
      <c r="F569" s="4268"/>
      <c r="G569" s="4268"/>
      <c r="H569" s="4268"/>
      <c r="I569" s="4268"/>
      <c r="J569" s="4268"/>
      <c r="K569" s="4268"/>
      <c r="L569" s="4269">
        <f>'2 REPAIR ESTIMATOR'!P514</f>
        <v>0</v>
      </c>
      <c r="M569" s="4269"/>
      <c r="N569" s="4270" t="str">
        <f>T('2 REPAIR ESTIMATOR'!S514)</f>
        <v/>
      </c>
      <c r="O569" s="4270"/>
      <c r="P569" s="4271"/>
      <c r="Q569" s="4271"/>
      <c r="R569" s="4271"/>
      <c r="S569" s="4271"/>
      <c r="T569" s="4271"/>
      <c r="U569" s="4271"/>
      <c r="V569" s="4272"/>
      <c r="W569" s="12">
        <f t="shared" si="37"/>
        <v>1</v>
      </c>
      <c r="X569" s="12">
        <f t="shared" si="36"/>
        <v>1</v>
      </c>
      <c r="Y569" s="12">
        <f t="shared" si="38"/>
        <v>1</v>
      </c>
    </row>
    <row r="570" spans="4:25" ht="15.7">
      <c r="D570" s="4267" t="str">
        <f>T('2 REPAIR ESTIMATOR'!D515:O515)</f>
        <v/>
      </c>
      <c r="E570" s="4268"/>
      <c r="F570" s="4268"/>
      <c r="G570" s="4268"/>
      <c r="H570" s="4268"/>
      <c r="I570" s="4268"/>
      <c r="J570" s="4268"/>
      <c r="K570" s="4268"/>
      <c r="L570" s="4269">
        <f>'2 REPAIR ESTIMATOR'!P515</f>
        <v>0</v>
      </c>
      <c r="M570" s="4269"/>
      <c r="N570" s="4270" t="str">
        <f>T('2 REPAIR ESTIMATOR'!S515)</f>
        <v/>
      </c>
      <c r="O570" s="4270"/>
      <c r="P570" s="4271"/>
      <c r="Q570" s="4271"/>
      <c r="R570" s="4271"/>
      <c r="S570" s="4271"/>
      <c r="T570" s="4271"/>
      <c r="U570" s="4271"/>
      <c r="V570" s="4272"/>
      <c r="W570" s="12">
        <f t="shared" si="37"/>
        <v>1</v>
      </c>
      <c r="X570" s="12">
        <f t="shared" si="36"/>
        <v>1</v>
      </c>
      <c r="Y570" s="12">
        <f t="shared" si="38"/>
        <v>1</v>
      </c>
    </row>
    <row r="571" spans="4:25" ht="15.7">
      <c r="D571" s="4267" t="str">
        <f>T('2 REPAIR ESTIMATOR'!D516:O516)</f>
        <v/>
      </c>
      <c r="E571" s="4268"/>
      <c r="F571" s="4268"/>
      <c r="G571" s="4268"/>
      <c r="H571" s="4268"/>
      <c r="I571" s="4268"/>
      <c r="J571" s="4268"/>
      <c r="K571" s="4268"/>
      <c r="L571" s="4269">
        <f>'2 REPAIR ESTIMATOR'!P516</f>
        <v>0</v>
      </c>
      <c r="M571" s="4269"/>
      <c r="N571" s="4270" t="str">
        <f>T('2 REPAIR ESTIMATOR'!S516)</f>
        <v/>
      </c>
      <c r="O571" s="4270"/>
      <c r="P571" s="4271"/>
      <c r="Q571" s="4271"/>
      <c r="R571" s="4271"/>
      <c r="S571" s="4271"/>
      <c r="T571" s="4271"/>
      <c r="U571" s="4271"/>
      <c r="V571" s="4272"/>
      <c r="W571" s="12">
        <f t="shared" si="37"/>
        <v>1</v>
      </c>
      <c r="X571" s="12">
        <f t="shared" si="36"/>
        <v>1</v>
      </c>
      <c r="Y571" s="12">
        <f t="shared" si="38"/>
        <v>1</v>
      </c>
    </row>
    <row r="572" spans="4:25" ht="15.7">
      <c r="D572" s="4267" t="str">
        <f>T('2 REPAIR ESTIMATOR'!D517:O517)</f>
        <v/>
      </c>
      <c r="E572" s="4268"/>
      <c r="F572" s="4268"/>
      <c r="G572" s="4268"/>
      <c r="H572" s="4268"/>
      <c r="I572" s="4268"/>
      <c r="J572" s="4268"/>
      <c r="K572" s="4268"/>
      <c r="L572" s="4269">
        <f>'2 REPAIR ESTIMATOR'!P517</f>
        <v>0</v>
      </c>
      <c r="M572" s="4269"/>
      <c r="N572" s="4270" t="str">
        <f>T('2 REPAIR ESTIMATOR'!S517)</f>
        <v/>
      </c>
      <c r="O572" s="4270"/>
      <c r="P572" s="4271"/>
      <c r="Q572" s="4271"/>
      <c r="R572" s="4271"/>
      <c r="S572" s="4271"/>
      <c r="T572" s="4271"/>
      <c r="U572" s="4271"/>
      <c r="V572" s="4272"/>
      <c r="W572" s="12">
        <f t="shared" si="37"/>
        <v>1</v>
      </c>
      <c r="X572" s="12">
        <f t="shared" si="36"/>
        <v>1</v>
      </c>
      <c r="Y572" s="12">
        <f t="shared" si="38"/>
        <v>1</v>
      </c>
    </row>
    <row r="573" spans="4:25" ht="15.7">
      <c r="D573" s="4267" t="str">
        <f>T('2 REPAIR ESTIMATOR'!D518:O518)</f>
        <v/>
      </c>
      <c r="E573" s="4268"/>
      <c r="F573" s="4268"/>
      <c r="G573" s="4268"/>
      <c r="H573" s="4268"/>
      <c r="I573" s="4268"/>
      <c r="J573" s="4268"/>
      <c r="K573" s="4268"/>
      <c r="L573" s="4269">
        <f>'2 REPAIR ESTIMATOR'!P518</f>
        <v>0</v>
      </c>
      <c r="M573" s="4269"/>
      <c r="N573" s="4270" t="str">
        <f>T('2 REPAIR ESTIMATOR'!S518)</f>
        <v/>
      </c>
      <c r="O573" s="4270"/>
      <c r="P573" s="4271"/>
      <c r="Q573" s="4271"/>
      <c r="R573" s="4271"/>
      <c r="S573" s="4271"/>
      <c r="T573" s="4271"/>
      <c r="U573" s="4271"/>
      <c r="V573" s="4272"/>
      <c r="W573" s="12">
        <f t="shared" si="37"/>
        <v>1</v>
      </c>
      <c r="X573" s="12">
        <f t="shared" si="36"/>
        <v>1</v>
      </c>
      <c r="Y573" s="12">
        <f t="shared" si="38"/>
        <v>1</v>
      </c>
    </row>
    <row r="574" spans="4:25" ht="15.7">
      <c r="D574" s="4267" t="str">
        <f>T('2 REPAIR ESTIMATOR'!D519:O519)</f>
        <v/>
      </c>
      <c r="E574" s="4268"/>
      <c r="F574" s="4268"/>
      <c r="G574" s="4268"/>
      <c r="H574" s="4268"/>
      <c r="I574" s="4268"/>
      <c r="J574" s="4268"/>
      <c r="K574" s="4268"/>
      <c r="L574" s="4269">
        <f>'2 REPAIR ESTIMATOR'!P519</f>
        <v>0</v>
      </c>
      <c r="M574" s="4269"/>
      <c r="N574" s="4270" t="str">
        <f>T('2 REPAIR ESTIMATOR'!S519)</f>
        <v/>
      </c>
      <c r="O574" s="4270"/>
      <c r="P574" s="4271"/>
      <c r="Q574" s="4271"/>
      <c r="R574" s="4271"/>
      <c r="S574" s="4271"/>
      <c r="T574" s="4271"/>
      <c r="U574" s="4271"/>
      <c r="V574" s="4272"/>
      <c r="W574" s="12">
        <f t="shared" si="37"/>
        <v>1</v>
      </c>
      <c r="X574" s="12">
        <f t="shared" si="36"/>
        <v>1</v>
      </c>
      <c r="Y574" s="12">
        <f t="shared" si="38"/>
        <v>1</v>
      </c>
    </row>
    <row r="575" spans="4:25" ht="15.7">
      <c r="D575" s="4267" t="str">
        <f>T('2 REPAIR ESTIMATOR'!D520:O520)</f>
        <v/>
      </c>
      <c r="E575" s="4268"/>
      <c r="F575" s="4268"/>
      <c r="G575" s="4268"/>
      <c r="H575" s="4268"/>
      <c r="I575" s="4268"/>
      <c r="J575" s="4268"/>
      <c r="K575" s="4268"/>
      <c r="L575" s="4269">
        <f>'2 REPAIR ESTIMATOR'!P520</f>
        <v>0</v>
      </c>
      <c r="M575" s="4269"/>
      <c r="N575" s="4270" t="str">
        <f>T('2 REPAIR ESTIMATOR'!S520)</f>
        <v/>
      </c>
      <c r="O575" s="4270"/>
      <c r="P575" s="4271"/>
      <c r="Q575" s="4271"/>
      <c r="R575" s="4271"/>
      <c r="S575" s="4271"/>
      <c r="T575" s="4271"/>
      <c r="U575" s="4271"/>
      <c r="V575" s="4272"/>
      <c r="W575" s="12">
        <f t="shared" si="37"/>
        <v>1</v>
      </c>
      <c r="X575" s="12">
        <f t="shared" si="36"/>
        <v>1</v>
      </c>
      <c r="Y575" s="12">
        <f t="shared" si="38"/>
        <v>1</v>
      </c>
    </row>
    <row r="576" spans="4:25" ht="15.7">
      <c r="D576" s="4267" t="str">
        <f>T('2 REPAIR ESTIMATOR'!D521:O521)</f>
        <v/>
      </c>
      <c r="E576" s="4268"/>
      <c r="F576" s="4268"/>
      <c r="G576" s="4268"/>
      <c r="H576" s="4268"/>
      <c r="I576" s="4268"/>
      <c r="J576" s="4268"/>
      <c r="K576" s="4268"/>
      <c r="L576" s="4269">
        <f>'2 REPAIR ESTIMATOR'!P521</f>
        <v>0</v>
      </c>
      <c r="M576" s="4269"/>
      <c r="N576" s="4270" t="str">
        <f>T('2 REPAIR ESTIMATOR'!S521)</f>
        <v/>
      </c>
      <c r="O576" s="4270"/>
      <c r="P576" s="4271"/>
      <c r="Q576" s="4271"/>
      <c r="R576" s="4271"/>
      <c r="S576" s="4271"/>
      <c r="T576" s="4271"/>
      <c r="U576" s="4271"/>
      <c r="V576" s="4272"/>
      <c r="W576" s="12">
        <f t="shared" si="37"/>
        <v>1</v>
      </c>
      <c r="X576" s="12">
        <f t="shared" si="36"/>
        <v>1</v>
      </c>
      <c r="Y576" s="12">
        <f t="shared" si="38"/>
        <v>1</v>
      </c>
    </row>
    <row r="577" spans="3:25" ht="15.7">
      <c r="D577" s="4267" t="str">
        <f>T('2 REPAIR ESTIMATOR'!D522:O522)</f>
        <v/>
      </c>
      <c r="E577" s="4268"/>
      <c r="F577" s="4268"/>
      <c r="G577" s="4268"/>
      <c r="H577" s="4268"/>
      <c r="I577" s="4268"/>
      <c r="J577" s="4268"/>
      <c r="K577" s="4268"/>
      <c r="L577" s="4269">
        <f>'2 REPAIR ESTIMATOR'!P522</f>
        <v>0</v>
      </c>
      <c r="M577" s="4269"/>
      <c r="N577" s="4270" t="str">
        <f>T('2 REPAIR ESTIMATOR'!S522)</f>
        <v/>
      </c>
      <c r="O577" s="4270"/>
      <c r="P577" s="4271"/>
      <c r="Q577" s="4271"/>
      <c r="R577" s="4271"/>
      <c r="S577" s="4271"/>
      <c r="T577" s="4271"/>
      <c r="U577" s="4271"/>
      <c r="V577" s="4272"/>
      <c r="W577" s="12">
        <f t="shared" si="37"/>
        <v>1</v>
      </c>
      <c r="X577" s="12">
        <f t="shared" si="36"/>
        <v>1</v>
      </c>
      <c r="Y577" s="12">
        <f t="shared" si="38"/>
        <v>1</v>
      </c>
    </row>
    <row r="578" spans="3:25" ht="15.7">
      <c r="D578" s="4267" t="str">
        <f>T('2 REPAIR ESTIMATOR'!D523:O523)</f>
        <v/>
      </c>
      <c r="E578" s="4268"/>
      <c r="F578" s="4268"/>
      <c r="G578" s="4268"/>
      <c r="H578" s="4268"/>
      <c r="I578" s="4268"/>
      <c r="J578" s="4268"/>
      <c r="K578" s="4268"/>
      <c r="L578" s="4269">
        <f>'2 REPAIR ESTIMATOR'!P523</f>
        <v>0</v>
      </c>
      <c r="M578" s="4269"/>
      <c r="N578" s="4270" t="str">
        <f>T('2 REPAIR ESTIMATOR'!S523)</f>
        <v/>
      </c>
      <c r="O578" s="4270"/>
      <c r="P578" s="4271"/>
      <c r="Q578" s="4271"/>
      <c r="R578" s="4271"/>
      <c r="S578" s="4271"/>
      <c r="T578" s="4271"/>
      <c r="U578" s="4271"/>
      <c r="V578" s="4272"/>
      <c r="W578" s="12">
        <f t="shared" si="37"/>
        <v>1</v>
      </c>
      <c r="X578" s="12">
        <f t="shared" si="36"/>
        <v>1</v>
      </c>
      <c r="Y578" s="12">
        <f t="shared" si="38"/>
        <v>1</v>
      </c>
    </row>
    <row r="579" spans="3:25" ht="15.7">
      <c r="D579" s="4267" t="str">
        <f>T('2 REPAIR ESTIMATOR'!D524:O524)</f>
        <v/>
      </c>
      <c r="E579" s="4268"/>
      <c r="F579" s="4268"/>
      <c r="G579" s="4268"/>
      <c r="H579" s="4268"/>
      <c r="I579" s="4268"/>
      <c r="J579" s="4268"/>
      <c r="K579" s="4268"/>
      <c r="L579" s="4269">
        <f>'2 REPAIR ESTIMATOR'!P524</f>
        <v>0</v>
      </c>
      <c r="M579" s="4269"/>
      <c r="N579" s="4270" t="str">
        <f>T('2 REPAIR ESTIMATOR'!S524)</f>
        <v/>
      </c>
      <c r="O579" s="4270"/>
      <c r="P579" s="4271"/>
      <c r="Q579" s="4271"/>
      <c r="R579" s="4271"/>
      <c r="S579" s="4271"/>
      <c r="T579" s="4271"/>
      <c r="U579" s="4271"/>
      <c r="V579" s="4272"/>
      <c r="W579" s="12">
        <f t="shared" si="37"/>
        <v>1</v>
      </c>
      <c r="X579" s="12">
        <f t="shared" ref="X579:X602" si="39">IF(Scope10_Setting="Shown",1,0)</f>
        <v>1</v>
      </c>
      <c r="Y579" s="12">
        <f t="shared" si="38"/>
        <v>1</v>
      </c>
    </row>
    <row r="580" spans="3:25" ht="15.7">
      <c r="D580" s="4267" t="str">
        <f>T('2 REPAIR ESTIMATOR'!D525:O525)</f>
        <v/>
      </c>
      <c r="E580" s="4268"/>
      <c r="F580" s="4268"/>
      <c r="G580" s="4268"/>
      <c r="H580" s="4268"/>
      <c r="I580" s="4268"/>
      <c r="J580" s="4268"/>
      <c r="K580" s="4268"/>
      <c r="L580" s="4269">
        <f>'2 REPAIR ESTIMATOR'!P525</f>
        <v>0</v>
      </c>
      <c r="M580" s="4269"/>
      <c r="N580" s="4270" t="str">
        <f>T('2 REPAIR ESTIMATOR'!S525)</f>
        <v/>
      </c>
      <c r="O580" s="4270"/>
      <c r="P580" s="4271"/>
      <c r="Q580" s="4271"/>
      <c r="R580" s="4271"/>
      <c r="S580" s="4271"/>
      <c r="T580" s="4271"/>
      <c r="U580" s="4271"/>
      <c r="V580" s="4272"/>
      <c r="W580" s="12">
        <f t="shared" si="37"/>
        <v>1</v>
      </c>
      <c r="X580" s="12">
        <f t="shared" si="39"/>
        <v>1</v>
      </c>
      <c r="Y580" s="12">
        <f t="shared" si="38"/>
        <v>1</v>
      </c>
    </row>
    <row r="581" spans="3:25" ht="15.7">
      <c r="D581" s="4267" t="str">
        <f>T('2 REPAIR ESTIMATOR'!D526:O526)</f>
        <v/>
      </c>
      <c r="E581" s="4268"/>
      <c r="F581" s="4268"/>
      <c r="G581" s="4268"/>
      <c r="H581" s="4268"/>
      <c r="I581" s="4268"/>
      <c r="J581" s="4268"/>
      <c r="K581" s="4268"/>
      <c r="L581" s="4269">
        <f>'2 REPAIR ESTIMATOR'!P526</f>
        <v>0</v>
      </c>
      <c r="M581" s="4269"/>
      <c r="N581" s="4270" t="str">
        <f>T('2 REPAIR ESTIMATOR'!S526)</f>
        <v/>
      </c>
      <c r="O581" s="4270"/>
      <c r="P581" s="4271"/>
      <c r="Q581" s="4271"/>
      <c r="R581" s="4271"/>
      <c r="S581" s="4271"/>
      <c r="T581" s="4271"/>
      <c r="U581" s="4271"/>
      <c r="V581" s="4272"/>
      <c r="W581" s="12">
        <f t="shared" si="37"/>
        <v>1</v>
      </c>
      <c r="X581" s="12">
        <f t="shared" si="39"/>
        <v>1</v>
      </c>
      <c r="Y581" s="12">
        <f t="shared" si="38"/>
        <v>1</v>
      </c>
    </row>
    <row r="582" spans="3:25" ht="15.7">
      <c r="D582" s="4267" t="str">
        <f>T('2 REPAIR ESTIMATOR'!D527:O527)</f>
        <v/>
      </c>
      <c r="E582" s="4268"/>
      <c r="F582" s="4268"/>
      <c r="G582" s="4268"/>
      <c r="H582" s="4268"/>
      <c r="I582" s="4268"/>
      <c r="J582" s="4268"/>
      <c r="K582" s="4268"/>
      <c r="L582" s="4269">
        <f>'2 REPAIR ESTIMATOR'!P527</f>
        <v>0</v>
      </c>
      <c r="M582" s="4269"/>
      <c r="N582" s="4270" t="str">
        <f>T('2 REPAIR ESTIMATOR'!S527)</f>
        <v/>
      </c>
      <c r="O582" s="4270"/>
      <c r="P582" s="4271"/>
      <c r="Q582" s="4271"/>
      <c r="R582" s="4271"/>
      <c r="S582" s="4271"/>
      <c r="T582" s="4271"/>
      <c r="U582" s="4271"/>
      <c r="V582" s="4272"/>
      <c r="W582" s="12">
        <f t="shared" si="37"/>
        <v>1</v>
      </c>
      <c r="X582" s="12">
        <f t="shared" si="39"/>
        <v>1</v>
      </c>
      <c r="Y582" s="12">
        <f t="shared" si="38"/>
        <v>1</v>
      </c>
    </row>
    <row r="583" spans="3:25" ht="15.7">
      <c r="D583" s="4267" t="str">
        <f>T('2 REPAIR ESTIMATOR'!D528:O528)</f>
        <v/>
      </c>
      <c r="E583" s="4268"/>
      <c r="F583" s="4268"/>
      <c r="G583" s="4268"/>
      <c r="H583" s="4268"/>
      <c r="I583" s="4268"/>
      <c r="J583" s="4268"/>
      <c r="K583" s="4268"/>
      <c r="L583" s="4269">
        <f>'2 REPAIR ESTIMATOR'!P528</f>
        <v>0</v>
      </c>
      <c r="M583" s="4269"/>
      <c r="N583" s="4270" t="str">
        <f>T('2 REPAIR ESTIMATOR'!S528)</f>
        <v/>
      </c>
      <c r="O583" s="4270"/>
      <c r="P583" s="4271"/>
      <c r="Q583" s="4271"/>
      <c r="R583" s="4271"/>
      <c r="S583" s="4271"/>
      <c r="T583" s="4271"/>
      <c r="U583" s="4271"/>
      <c r="V583" s="4272"/>
      <c r="W583" s="12">
        <f t="shared" si="37"/>
        <v>1</v>
      </c>
      <c r="X583" s="12">
        <f t="shared" si="39"/>
        <v>1</v>
      </c>
      <c r="Y583" s="12">
        <f t="shared" si="38"/>
        <v>1</v>
      </c>
    </row>
    <row r="584" spans="3:25" ht="15.7">
      <c r="D584" s="4267" t="str">
        <f>T('2 REPAIR ESTIMATOR'!D529:O529)</f>
        <v/>
      </c>
      <c r="E584" s="4268"/>
      <c r="F584" s="4268"/>
      <c r="G584" s="4268"/>
      <c r="H584" s="4268"/>
      <c r="I584" s="4268"/>
      <c r="J584" s="4268"/>
      <c r="K584" s="4268"/>
      <c r="L584" s="4269">
        <f>'2 REPAIR ESTIMATOR'!P529</f>
        <v>0</v>
      </c>
      <c r="M584" s="4269"/>
      <c r="N584" s="4270" t="str">
        <f>T('2 REPAIR ESTIMATOR'!S529)</f>
        <v/>
      </c>
      <c r="O584" s="4270"/>
      <c r="P584" s="4271"/>
      <c r="Q584" s="4271"/>
      <c r="R584" s="4271"/>
      <c r="S584" s="4271"/>
      <c r="T584" s="4271"/>
      <c r="U584" s="4271"/>
      <c r="V584" s="4272"/>
      <c r="W584" s="12">
        <f t="shared" si="37"/>
        <v>1</v>
      </c>
      <c r="X584" s="12">
        <f t="shared" si="39"/>
        <v>1</v>
      </c>
      <c r="Y584" s="12">
        <f t="shared" si="38"/>
        <v>1</v>
      </c>
    </row>
    <row r="585" spans="3:25" ht="15.7">
      <c r="D585" s="4267" t="str">
        <f>T('2 REPAIR ESTIMATOR'!D530:O530)</f>
        <v/>
      </c>
      <c r="E585" s="4268"/>
      <c r="F585" s="4268"/>
      <c r="G585" s="4268"/>
      <c r="H585" s="4268"/>
      <c r="I585" s="4268"/>
      <c r="J585" s="4268"/>
      <c r="K585" s="4268"/>
      <c r="L585" s="4269">
        <f>'2 REPAIR ESTIMATOR'!P530</f>
        <v>0</v>
      </c>
      <c r="M585" s="4269"/>
      <c r="N585" s="4270" t="str">
        <f>T('2 REPAIR ESTIMATOR'!S530)</f>
        <v/>
      </c>
      <c r="O585" s="4270"/>
      <c r="P585" s="4271"/>
      <c r="Q585" s="4271"/>
      <c r="R585" s="4271"/>
      <c r="S585" s="4271"/>
      <c r="T585" s="4271"/>
      <c r="U585" s="4271"/>
      <c r="V585" s="4272"/>
      <c r="W585" s="12">
        <f t="shared" si="37"/>
        <v>1</v>
      </c>
      <c r="X585" s="12">
        <f t="shared" si="39"/>
        <v>1</v>
      </c>
      <c r="Y585" s="12">
        <f t="shared" si="38"/>
        <v>1</v>
      </c>
    </row>
    <row r="586" spans="3:25" ht="15.7">
      <c r="D586" s="4267" t="str">
        <f>T('2 REPAIR ESTIMATOR'!D531:O531)</f>
        <v/>
      </c>
      <c r="E586" s="4268"/>
      <c r="F586" s="4268"/>
      <c r="G586" s="4268"/>
      <c r="H586" s="4268"/>
      <c r="I586" s="4268"/>
      <c r="J586" s="4268"/>
      <c r="K586" s="4268"/>
      <c r="L586" s="4269">
        <f>'2 REPAIR ESTIMATOR'!P531</f>
        <v>0</v>
      </c>
      <c r="M586" s="4269"/>
      <c r="N586" s="4270" t="str">
        <f>T('2 REPAIR ESTIMATOR'!S531)</f>
        <v/>
      </c>
      <c r="O586" s="4270"/>
      <c r="P586" s="4271"/>
      <c r="Q586" s="4271"/>
      <c r="R586" s="4271"/>
      <c r="S586" s="4271"/>
      <c r="T586" s="4271"/>
      <c r="U586" s="4271"/>
      <c r="V586" s="4272"/>
      <c r="W586" s="12">
        <f t="shared" si="37"/>
        <v>1</v>
      </c>
      <c r="X586" s="12">
        <f t="shared" si="39"/>
        <v>1</v>
      </c>
      <c r="Y586" s="12">
        <f t="shared" si="38"/>
        <v>1</v>
      </c>
    </row>
    <row r="587" spans="3:25" ht="15.7">
      <c r="D587" s="4267" t="str">
        <f>T('2 REPAIR ESTIMATOR'!D532:O532)</f>
        <v/>
      </c>
      <c r="E587" s="4268"/>
      <c r="F587" s="4268"/>
      <c r="G587" s="4268"/>
      <c r="H587" s="4268"/>
      <c r="I587" s="4268"/>
      <c r="J587" s="4268"/>
      <c r="K587" s="4268"/>
      <c r="L587" s="4269">
        <f>'2 REPAIR ESTIMATOR'!P532</f>
        <v>0</v>
      </c>
      <c r="M587" s="4269"/>
      <c r="N587" s="4270" t="str">
        <f>T('2 REPAIR ESTIMATOR'!S532)</f>
        <v/>
      </c>
      <c r="O587" s="4270"/>
      <c r="P587" s="4271"/>
      <c r="Q587" s="4271"/>
      <c r="R587" s="4271"/>
      <c r="S587" s="4271"/>
      <c r="T587" s="4271"/>
      <c r="U587" s="4271"/>
      <c r="V587" s="4272"/>
      <c r="W587" s="12">
        <f t="shared" si="37"/>
        <v>1</v>
      </c>
      <c r="X587" s="12">
        <f t="shared" si="39"/>
        <v>1</v>
      </c>
      <c r="Y587" s="12">
        <f t="shared" si="38"/>
        <v>1</v>
      </c>
    </row>
    <row r="588" spans="3:25" ht="15.7">
      <c r="C588" s="6"/>
      <c r="D588" s="723"/>
      <c r="E588" s="723"/>
      <c r="F588" s="723"/>
      <c r="G588" s="723"/>
      <c r="H588" s="723"/>
      <c r="I588" s="723"/>
      <c r="J588" s="723"/>
      <c r="K588" s="723"/>
      <c r="L588" s="724"/>
      <c r="M588" s="724"/>
      <c r="N588" s="725"/>
      <c r="O588" s="725"/>
      <c r="P588" s="724"/>
      <c r="Q588" s="445"/>
      <c r="R588" s="445"/>
      <c r="S588" s="725"/>
      <c r="T588" s="725"/>
      <c r="U588" s="725"/>
      <c r="V588" s="725"/>
      <c r="W588" s="12">
        <f>W589</f>
        <v>0</v>
      </c>
      <c r="X588" s="12">
        <f t="shared" si="39"/>
        <v>1</v>
      </c>
      <c r="Y588" s="12">
        <f t="shared" si="38"/>
        <v>0</v>
      </c>
    </row>
    <row r="589" spans="3:25" ht="16.7">
      <c r="C589" s="6"/>
      <c r="D589" s="4266" t="str">
        <f>UPPER(CONCATENATE("Miscellaneous ",D547," Items"))</f>
        <v>MISCELLANEOUS GARAGE DOORS ITEMS</v>
      </c>
      <c r="E589" s="4266"/>
      <c r="F589" s="4266"/>
      <c r="G589" s="4266"/>
      <c r="H589" s="4266"/>
      <c r="I589" s="4266"/>
      <c r="J589" s="4266"/>
      <c r="K589" s="4266"/>
      <c r="L589" s="4266"/>
      <c r="M589" s="4266"/>
      <c r="N589" s="4266"/>
      <c r="O589" s="4266"/>
      <c r="P589" s="4266"/>
      <c r="Q589" s="4266"/>
      <c r="R589" s="4266"/>
      <c r="S589" s="4266"/>
      <c r="T589" s="4266"/>
      <c r="U589" s="4266"/>
      <c r="V589" s="4266"/>
      <c r="W589" s="12">
        <f>SUM(W590:W599)</f>
        <v>0</v>
      </c>
      <c r="X589" s="12">
        <f t="shared" si="39"/>
        <v>1</v>
      </c>
      <c r="Y589" s="12">
        <f t="shared" si="38"/>
        <v>0</v>
      </c>
    </row>
    <row r="590" spans="3:25" ht="15.7">
      <c r="C590" s="6"/>
      <c r="D590" s="712">
        <v>1</v>
      </c>
      <c r="E590" s="4263" t="s">
        <v>1443</v>
      </c>
      <c r="F590" s="4263" t="s">
        <v>1383</v>
      </c>
      <c r="G590" s="4263" t="s">
        <v>1383</v>
      </c>
      <c r="H590" s="4263" t="s">
        <v>1383</v>
      </c>
      <c r="I590" s="4263" t="s">
        <v>1383</v>
      </c>
      <c r="J590" s="4263" t="s">
        <v>1383</v>
      </c>
      <c r="K590" s="4263" t="s">
        <v>1383</v>
      </c>
      <c r="L590" s="4263" t="s">
        <v>1383</v>
      </c>
      <c r="M590" s="4263" t="s">
        <v>1383</v>
      </c>
      <c r="N590" s="4263" t="s">
        <v>1383</v>
      </c>
      <c r="O590" s="4263" t="s">
        <v>1383</v>
      </c>
      <c r="P590" s="4263" t="s">
        <v>1383</v>
      </c>
      <c r="Q590" s="4263" t="s">
        <v>1383</v>
      </c>
      <c r="R590" s="4263" t="s">
        <v>1383</v>
      </c>
      <c r="S590" s="4263" t="s">
        <v>1383</v>
      </c>
      <c r="T590" s="4263" t="s">
        <v>1383</v>
      </c>
      <c r="U590" s="4263" t="s">
        <v>1383</v>
      </c>
      <c r="V590" s="4263" t="s">
        <v>1383</v>
      </c>
      <c r="W590" s="12">
        <f>IF(E590&lt;&gt;"",1,0)*W547</f>
        <v>0</v>
      </c>
      <c r="X590" s="12">
        <f t="shared" si="39"/>
        <v>1</v>
      </c>
      <c r="Y590" s="12">
        <f t="shared" si="38"/>
        <v>0</v>
      </c>
    </row>
    <row r="591" spans="3:25" ht="15.7">
      <c r="C591" s="6"/>
      <c r="D591" s="712">
        <v>2</v>
      </c>
      <c r="E591" s="4263" t="s">
        <v>1447</v>
      </c>
      <c r="F591" s="4263"/>
      <c r="G591" s="4263"/>
      <c r="H591" s="4263"/>
      <c r="I591" s="4263"/>
      <c r="J591" s="4263"/>
      <c r="K591" s="4263"/>
      <c r="L591" s="4263"/>
      <c r="M591" s="4263"/>
      <c r="N591" s="4263"/>
      <c r="O591" s="4263"/>
      <c r="P591" s="4263"/>
      <c r="Q591" s="4263"/>
      <c r="R591" s="4263"/>
      <c r="S591" s="4263"/>
      <c r="T591" s="4263"/>
      <c r="U591" s="4263"/>
      <c r="V591" s="4263"/>
      <c r="W591" s="12">
        <f>IF(E591&lt;&gt;"",1,0)*W547</f>
        <v>0</v>
      </c>
      <c r="X591" s="12">
        <f t="shared" si="39"/>
        <v>1</v>
      </c>
      <c r="Y591" s="12">
        <f t="shared" si="38"/>
        <v>0</v>
      </c>
    </row>
    <row r="592" spans="3:25" ht="15.7">
      <c r="C592" s="6"/>
      <c r="D592" s="712">
        <v>3</v>
      </c>
      <c r="E592" s="4263" t="s">
        <v>1444</v>
      </c>
      <c r="F592" s="4263"/>
      <c r="G592" s="4263"/>
      <c r="H592" s="4263"/>
      <c r="I592" s="4263"/>
      <c r="J592" s="4263"/>
      <c r="K592" s="4263"/>
      <c r="L592" s="4263"/>
      <c r="M592" s="4263"/>
      <c r="N592" s="4263"/>
      <c r="O592" s="4263"/>
      <c r="P592" s="4263"/>
      <c r="Q592" s="4263"/>
      <c r="R592" s="4263"/>
      <c r="S592" s="4263"/>
      <c r="T592" s="4263"/>
      <c r="U592" s="4263"/>
      <c r="V592" s="4263"/>
      <c r="W592" s="12">
        <f>IF(E592&lt;&gt;"",1,0)*W547</f>
        <v>0</v>
      </c>
      <c r="X592" s="12">
        <f t="shared" si="39"/>
        <v>1</v>
      </c>
      <c r="Y592" s="12">
        <f t="shared" si="38"/>
        <v>0</v>
      </c>
    </row>
    <row r="593" spans="3:25" ht="15.7">
      <c r="C593" s="6"/>
      <c r="D593" s="712">
        <v>4</v>
      </c>
      <c r="E593" s="4263" t="s">
        <v>1445</v>
      </c>
      <c r="F593" s="4263" t="s">
        <v>1317</v>
      </c>
      <c r="G593" s="4263" t="s">
        <v>1317</v>
      </c>
      <c r="H593" s="4263" t="s">
        <v>1317</v>
      </c>
      <c r="I593" s="4263" t="s">
        <v>1317</v>
      </c>
      <c r="J593" s="4263" t="s">
        <v>1317</v>
      </c>
      <c r="K593" s="4263" t="s">
        <v>1317</v>
      </c>
      <c r="L593" s="4263" t="s">
        <v>1317</v>
      </c>
      <c r="M593" s="4263" t="s">
        <v>1317</v>
      </c>
      <c r="N593" s="4263" t="s">
        <v>1317</v>
      </c>
      <c r="O593" s="4263" t="s">
        <v>1317</v>
      </c>
      <c r="P593" s="4263" t="s">
        <v>1317</v>
      </c>
      <c r="Q593" s="4263" t="s">
        <v>1317</v>
      </c>
      <c r="R593" s="4263" t="s">
        <v>1317</v>
      </c>
      <c r="S593" s="4263" t="s">
        <v>1317</v>
      </c>
      <c r="T593" s="4263" t="s">
        <v>1317</v>
      </c>
      <c r="U593" s="4263" t="s">
        <v>1317</v>
      </c>
      <c r="V593" s="4263" t="s">
        <v>1317</v>
      </c>
      <c r="W593" s="12">
        <f>IF(E593&lt;&gt;"",1,0)*W547</f>
        <v>0</v>
      </c>
      <c r="X593" s="12">
        <f t="shared" si="39"/>
        <v>1</v>
      </c>
      <c r="Y593" s="12">
        <f t="shared" si="38"/>
        <v>0</v>
      </c>
    </row>
    <row r="594" spans="3:25" ht="15.7">
      <c r="C594" s="6"/>
      <c r="D594" s="712">
        <v>5</v>
      </c>
      <c r="E594" s="4263" t="s">
        <v>1446</v>
      </c>
      <c r="F594" s="4263" t="s">
        <v>1317</v>
      </c>
      <c r="G594" s="4263" t="s">
        <v>1317</v>
      </c>
      <c r="H594" s="4263" t="s">
        <v>1317</v>
      </c>
      <c r="I594" s="4263" t="s">
        <v>1317</v>
      </c>
      <c r="J594" s="4263" t="s">
        <v>1317</v>
      </c>
      <c r="K594" s="4263" t="s">
        <v>1317</v>
      </c>
      <c r="L594" s="4263" t="s">
        <v>1317</v>
      </c>
      <c r="M594" s="4263" t="s">
        <v>1317</v>
      </c>
      <c r="N594" s="4263" t="s">
        <v>1317</v>
      </c>
      <c r="O594" s="4263" t="s">
        <v>1317</v>
      </c>
      <c r="P594" s="4263" t="s">
        <v>1317</v>
      </c>
      <c r="Q594" s="4263" t="s">
        <v>1317</v>
      </c>
      <c r="R594" s="4263" t="s">
        <v>1317</v>
      </c>
      <c r="S594" s="4263" t="s">
        <v>1317</v>
      </c>
      <c r="T594" s="4263" t="s">
        <v>1317</v>
      </c>
      <c r="U594" s="4263" t="s">
        <v>1317</v>
      </c>
      <c r="V594" s="4263" t="s">
        <v>1317</v>
      </c>
      <c r="W594" s="12">
        <f>IF(E594&lt;&gt;"",1,0)*W547</f>
        <v>0</v>
      </c>
      <c r="X594" s="12">
        <f t="shared" si="39"/>
        <v>1</v>
      </c>
      <c r="Y594" s="12">
        <f t="shared" si="38"/>
        <v>0</v>
      </c>
    </row>
    <row r="595" spans="3:25" ht="15.7">
      <c r="C595" s="6"/>
      <c r="D595" s="712">
        <v>6</v>
      </c>
      <c r="E595" s="4263"/>
      <c r="F595" s="4263"/>
      <c r="G595" s="4263"/>
      <c r="H595" s="4263"/>
      <c r="I595" s="4263"/>
      <c r="J595" s="4263"/>
      <c r="K595" s="4263"/>
      <c r="L595" s="4263"/>
      <c r="M595" s="4263"/>
      <c r="N595" s="4263"/>
      <c r="O595" s="4263"/>
      <c r="P595" s="4263"/>
      <c r="Q595" s="4263"/>
      <c r="R595" s="4263"/>
      <c r="S595" s="4263"/>
      <c r="T595" s="4263"/>
      <c r="U595" s="4263"/>
      <c r="V595" s="4263"/>
      <c r="W595" s="12">
        <f>IF(E595&lt;&gt;"",1,0)*W547</f>
        <v>0</v>
      </c>
      <c r="X595" s="12">
        <f t="shared" si="39"/>
        <v>1</v>
      </c>
      <c r="Y595" s="12">
        <f t="shared" si="38"/>
        <v>0</v>
      </c>
    </row>
    <row r="596" spans="3:25" ht="15.7">
      <c r="C596" s="6"/>
      <c r="D596" s="712">
        <v>7</v>
      </c>
      <c r="E596" s="4263"/>
      <c r="F596" s="4263"/>
      <c r="G596" s="4263"/>
      <c r="H596" s="4263"/>
      <c r="I596" s="4263"/>
      <c r="J596" s="4263"/>
      <c r="K596" s="4263"/>
      <c r="L596" s="4263"/>
      <c r="M596" s="4263"/>
      <c r="N596" s="4263"/>
      <c r="O596" s="4263"/>
      <c r="P596" s="4263"/>
      <c r="Q596" s="4263"/>
      <c r="R596" s="4263"/>
      <c r="S596" s="4263"/>
      <c r="T596" s="4263"/>
      <c r="U596" s="4263"/>
      <c r="V596" s="4263"/>
      <c r="W596" s="12">
        <f>IF(E596&lt;&gt;"",1,0)*W547</f>
        <v>0</v>
      </c>
      <c r="X596" s="12">
        <f t="shared" si="39"/>
        <v>1</v>
      </c>
      <c r="Y596" s="12">
        <f t="shared" si="38"/>
        <v>0</v>
      </c>
    </row>
    <row r="597" spans="3:25" ht="15.7">
      <c r="C597" s="6"/>
      <c r="D597" s="712">
        <v>8</v>
      </c>
      <c r="E597" s="4263"/>
      <c r="F597" s="4263"/>
      <c r="G597" s="4263"/>
      <c r="H597" s="4263"/>
      <c r="I597" s="4263"/>
      <c r="J597" s="4263"/>
      <c r="K597" s="4263"/>
      <c r="L597" s="4263"/>
      <c r="M597" s="4263"/>
      <c r="N597" s="4263"/>
      <c r="O597" s="4263"/>
      <c r="P597" s="4263"/>
      <c r="Q597" s="4263"/>
      <c r="R597" s="4263"/>
      <c r="S597" s="4263"/>
      <c r="T597" s="4263"/>
      <c r="U597" s="4263"/>
      <c r="V597" s="4263"/>
      <c r="W597" s="12">
        <f>IF(E597&lt;&gt;"",1,0)*W547</f>
        <v>0</v>
      </c>
      <c r="X597" s="12">
        <f t="shared" si="39"/>
        <v>1</v>
      </c>
      <c r="Y597" s="12">
        <f t="shared" si="38"/>
        <v>0</v>
      </c>
    </row>
    <row r="598" spans="3:25" ht="15.7">
      <c r="C598" s="6"/>
      <c r="D598" s="712">
        <v>9</v>
      </c>
      <c r="E598" s="4263"/>
      <c r="F598" s="4263"/>
      <c r="G598" s="4263"/>
      <c r="H598" s="4263"/>
      <c r="I598" s="4263"/>
      <c r="J598" s="4263"/>
      <c r="K598" s="4263"/>
      <c r="L598" s="4263"/>
      <c r="M598" s="4263"/>
      <c r="N598" s="4263"/>
      <c r="O598" s="4263"/>
      <c r="P598" s="4263"/>
      <c r="Q598" s="4263"/>
      <c r="R598" s="4263"/>
      <c r="S598" s="4263"/>
      <c r="T598" s="4263"/>
      <c r="U598" s="4263"/>
      <c r="V598" s="4263"/>
      <c r="W598" s="12">
        <f>IF(E598&lt;&gt;"",1,0)*W547</f>
        <v>0</v>
      </c>
      <c r="X598" s="12">
        <f t="shared" si="39"/>
        <v>1</v>
      </c>
      <c r="Y598" s="12">
        <f t="shared" si="38"/>
        <v>0</v>
      </c>
    </row>
    <row r="599" spans="3:25" ht="15.7">
      <c r="C599" s="6"/>
      <c r="D599" s="712">
        <v>10</v>
      </c>
      <c r="E599" s="4263"/>
      <c r="F599" s="4263"/>
      <c r="G599" s="4263"/>
      <c r="H599" s="4263"/>
      <c r="I599" s="4263"/>
      <c r="J599" s="4263"/>
      <c r="K599" s="4263"/>
      <c r="L599" s="4263"/>
      <c r="M599" s="4263"/>
      <c r="N599" s="4263"/>
      <c r="O599" s="4263"/>
      <c r="P599" s="4263"/>
      <c r="Q599" s="4263"/>
      <c r="R599" s="4263"/>
      <c r="S599" s="4263"/>
      <c r="T599" s="4263"/>
      <c r="U599" s="4263"/>
      <c r="V599" s="4263"/>
      <c r="W599" s="12">
        <f>IF(E599&lt;&gt;"",1,0)*W547</f>
        <v>0</v>
      </c>
      <c r="X599" s="12">
        <f t="shared" si="39"/>
        <v>1</v>
      </c>
      <c r="Y599" s="12">
        <f t="shared" si="38"/>
        <v>0</v>
      </c>
    </row>
    <row r="600" spans="3:25" ht="15.7">
      <c r="C600" s="6"/>
      <c r="D600" s="723"/>
      <c r="E600" s="723"/>
      <c r="F600" s="723"/>
      <c r="G600" s="723"/>
      <c r="H600" s="723"/>
      <c r="I600" s="723"/>
      <c r="J600" s="723"/>
      <c r="K600" s="723"/>
      <c r="L600" s="724"/>
      <c r="M600" s="724"/>
      <c r="N600" s="725"/>
      <c r="O600" s="725"/>
      <c r="P600" s="724"/>
      <c r="Q600" s="445"/>
      <c r="R600" s="445"/>
      <c r="S600" s="726"/>
      <c r="T600" s="726"/>
      <c r="U600" s="726"/>
      <c r="V600" s="726"/>
      <c r="W600" s="12">
        <f>W547</f>
        <v>0</v>
      </c>
      <c r="X600" s="12">
        <f t="shared" si="39"/>
        <v>1</v>
      </c>
      <c r="Y600" s="12">
        <f t="shared" si="38"/>
        <v>0</v>
      </c>
    </row>
    <row r="601" spans="3:25" ht="40.5" customHeight="1">
      <c r="C601" s="6"/>
      <c r="D601" s="4264" t="str">
        <f>UPPER(CONCATENATE("TOTAL ",D547))</f>
        <v>TOTAL GARAGE DOORS</v>
      </c>
      <c r="E601" s="4264"/>
      <c r="F601" s="4264"/>
      <c r="G601" s="4264"/>
      <c r="H601" s="4264"/>
      <c r="I601" s="4264"/>
      <c r="J601" s="4264"/>
      <c r="K601" s="4264"/>
      <c r="L601" s="4264"/>
      <c r="M601" s="4264"/>
      <c r="N601" s="4264"/>
      <c r="O601" s="4264"/>
      <c r="P601" s="4264"/>
      <c r="Q601" s="4265"/>
      <c r="R601" s="4265"/>
      <c r="S601" s="4265"/>
      <c r="T601" s="4265"/>
      <c r="U601" s="4265"/>
      <c r="V601" s="4265"/>
      <c r="W601" s="12">
        <f>W547</f>
        <v>0</v>
      </c>
      <c r="X601" s="12">
        <f t="shared" si="39"/>
        <v>1</v>
      </c>
      <c r="Y601" s="12">
        <f t="shared" si="38"/>
        <v>0</v>
      </c>
    </row>
    <row r="602" spans="3:25" ht="15.7">
      <c r="D602" s="723"/>
      <c r="E602" s="723"/>
      <c r="F602" s="723"/>
      <c r="G602" s="723"/>
      <c r="H602" s="723"/>
      <c r="I602" s="723"/>
      <c r="J602" s="723"/>
      <c r="K602" s="723"/>
      <c r="L602" s="724"/>
      <c r="M602" s="724"/>
      <c r="N602" s="725"/>
      <c r="O602" s="725"/>
      <c r="P602" s="724"/>
      <c r="Q602" s="445"/>
      <c r="R602" s="445"/>
      <c r="S602" s="726"/>
      <c r="T602" s="726"/>
      <c r="U602" s="726"/>
      <c r="V602" s="726"/>
      <c r="W602" s="12">
        <f>W547</f>
        <v>0</v>
      </c>
      <c r="X602" s="12">
        <f t="shared" si="39"/>
        <v>1</v>
      </c>
      <c r="Y602" s="12">
        <f t="shared" si="38"/>
        <v>0</v>
      </c>
    </row>
    <row r="603" spans="3:25" ht="26.45" customHeight="1">
      <c r="D603" s="4275" t="str">
        <f>T('2 REPAIR ESTIMATOR'!D537:O537)</f>
        <v>LANDSCAPING</v>
      </c>
      <c r="E603" s="4275"/>
      <c r="F603" s="4275"/>
      <c r="G603" s="4275"/>
      <c r="H603" s="4275"/>
      <c r="I603" s="4275"/>
      <c r="J603" s="4275"/>
      <c r="K603" s="4276"/>
      <c r="L603" s="4277">
        <f>SUM(L604:M643)</f>
        <v>0</v>
      </c>
      <c r="M603" s="4278"/>
      <c r="N603" s="4279"/>
      <c r="O603" s="4280"/>
      <c r="P603" s="4277"/>
      <c r="Q603" s="4281"/>
      <c r="R603" s="4281"/>
      <c r="S603" s="4281"/>
      <c r="T603" s="4281"/>
      <c r="U603" s="4281"/>
      <c r="V603" s="4281"/>
      <c r="W603" s="12">
        <f>IF(L603&gt;0,1,0)</f>
        <v>0</v>
      </c>
      <c r="X603" s="12">
        <f t="shared" ref="X603:X634" si="40">IF(Scope11_Setting="Shown",1,0)</f>
        <v>1</v>
      </c>
      <c r="Y603" s="12">
        <f t="shared" si="38"/>
        <v>0</v>
      </c>
    </row>
    <row r="604" spans="3:25" ht="15.7">
      <c r="D604" s="4267" t="str">
        <f>T('2 REPAIR ESTIMATOR'!D538:O538)</f>
        <v>Landscaping bid/allowance, trees, bushes, flowers</v>
      </c>
      <c r="E604" s="4268"/>
      <c r="F604" s="4268"/>
      <c r="G604" s="4268"/>
      <c r="H604" s="4268"/>
      <c r="I604" s="4268"/>
      <c r="J604" s="4268"/>
      <c r="K604" s="4268"/>
      <c r="L604" s="4269">
        <f>'2 REPAIR ESTIMATOR'!P538</f>
        <v>0</v>
      </c>
      <c r="M604" s="4269"/>
      <c r="N604" s="4270" t="str">
        <f>T('2 REPAIR ESTIMATOR'!S538)</f>
        <v>ls</v>
      </c>
      <c r="O604" s="4270"/>
      <c r="P604" s="4273"/>
      <c r="Q604" s="4273"/>
      <c r="R604" s="4273"/>
      <c r="S604" s="4273"/>
      <c r="T604" s="4273"/>
      <c r="U604" s="4273"/>
      <c r="V604" s="4274"/>
      <c r="W604" s="12">
        <f>IF(L604="",0,1)</f>
        <v>1</v>
      </c>
      <c r="X604" s="12">
        <f t="shared" si="40"/>
        <v>1</v>
      </c>
      <c r="Y604" s="12">
        <f t="shared" si="38"/>
        <v>1</v>
      </c>
    </row>
    <row r="605" spans="3:25" ht="15.7">
      <c r="D605" s="4267" t="str">
        <f>T('2 REPAIR ESTIMATOR'!D539:O539)</f>
        <v>Sod</v>
      </c>
      <c r="E605" s="4268"/>
      <c r="F605" s="4268"/>
      <c r="G605" s="4268"/>
      <c r="H605" s="4268"/>
      <c r="I605" s="4268"/>
      <c r="J605" s="4268"/>
      <c r="K605" s="4268"/>
      <c r="L605" s="4269">
        <f>'2 REPAIR ESTIMATOR'!P539</f>
        <v>0</v>
      </c>
      <c r="M605" s="4269"/>
      <c r="N605" s="4270" t="str">
        <f>T('2 REPAIR ESTIMATOR'!S539)</f>
        <v>sf</v>
      </c>
      <c r="O605" s="4270"/>
      <c r="P605" s="4271"/>
      <c r="Q605" s="4271"/>
      <c r="R605" s="4271"/>
      <c r="S605" s="4271"/>
      <c r="T605" s="4271"/>
      <c r="U605" s="4271"/>
      <c r="V605" s="4272"/>
      <c r="W605" s="12">
        <f t="shared" ref="W605:W643" si="41">IF(L605="",0,1)</f>
        <v>1</v>
      </c>
      <c r="X605" s="12">
        <f t="shared" si="40"/>
        <v>1</v>
      </c>
      <c r="Y605" s="12">
        <f t="shared" si="38"/>
        <v>1</v>
      </c>
    </row>
    <row r="606" spans="3:25" ht="15.7">
      <c r="D606" s="4267" t="str">
        <f>T('2 REPAIR ESTIMATOR'!D540:O540)</f>
        <v>Seeding</v>
      </c>
      <c r="E606" s="4268"/>
      <c r="F606" s="4268"/>
      <c r="G606" s="4268"/>
      <c r="H606" s="4268"/>
      <c r="I606" s="4268"/>
      <c r="J606" s="4268"/>
      <c r="K606" s="4268"/>
      <c r="L606" s="4269">
        <f>'2 REPAIR ESTIMATOR'!P540</f>
        <v>0</v>
      </c>
      <c r="M606" s="4269"/>
      <c r="N606" s="4270" t="str">
        <f>T('2 REPAIR ESTIMATOR'!S540)</f>
        <v>sf</v>
      </c>
      <c r="O606" s="4270"/>
      <c r="P606" s="4271"/>
      <c r="Q606" s="4271"/>
      <c r="R606" s="4271"/>
      <c r="S606" s="4271"/>
      <c r="T606" s="4271"/>
      <c r="U606" s="4271"/>
      <c r="V606" s="4272"/>
      <c r="W606" s="12">
        <f t="shared" si="41"/>
        <v>1</v>
      </c>
      <c r="X606" s="12">
        <f t="shared" si="40"/>
        <v>1</v>
      </c>
      <c r="Y606" s="12">
        <f t="shared" si="38"/>
        <v>1</v>
      </c>
    </row>
    <row r="607" spans="3:25" ht="15.7">
      <c r="D607" s="4267" t="str">
        <f>T('2 REPAIR ESTIMATOR'!D541:O541)</f>
        <v>Shrubs/plantings, 1 gallon</v>
      </c>
      <c r="E607" s="4268"/>
      <c r="F607" s="4268"/>
      <c r="G607" s="4268"/>
      <c r="H607" s="4268"/>
      <c r="I607" s="4268"/>
      <c r="J607" s="4268"/>
      <c r="K607" s="4268"/>
      <c r="L607" s="4269">
        <f>'2 REPAIR ESTIMATOR'!P541</f>
        <v>0</v>
      </c>
      <c r="M607" s="4269"/>
      <c r="N607" s="4270" t="str">
        <f>T('2 REPAIR ESTIMATOR'!S541)</f>
        <v>ea</v>
      </c>
      <c r="O607" s="4270"/>
      <c r="P607" s="4271"/>
      <c r="Q607" s="4271"/>
      <c r="R607" s="4271"/>
      <c r="S607" s="4271"/>
      <c r="T607" s="4271"/>
      <c r="U607" s="4271"/>
      <c r="V607" s="4272"/>
      <c r="W607" s="12">
        <f t="shared" si="41"/>
        <v>1</v>
      </c>
      <c r="X607" s="12">
        <f t="shared" si="40"/>
        <v>1</v>
      </c>
      <c r="Y607" s="12">
        <f t="shared" si="38"/>
        <v>1</v>
      </c>
    </row>
    <row r="608" spans="3:25" ht="15.7">
      <c r="D608" s="4267" t="str">
        <f>T('2 REPAIR ESTIMATOR'!D542:O542)</f>
        <v>Shrubs/plantings, 2 gallon</v>
      </c>
      <c r="E608" s="4268"/>
      <c r="F608" s="4268"/>
      <c r="G608" s="4268"/>
      <c r="H608" s="4268"/>
      <c r="I608" s="4268"/>
      <c r="J608" s="4268"/>
      <c r="K608" s="4268"/>
      <c r="L608" s="4269">
        <f>'2 REPAIR ESTIMATOR'!P542</f>
        <v>0</v>
      </c>
      <c r="M608" s="4269"/>
      <c r="N608" s="4270" t="str">
        <f>T('2 REPAIR ESTIMATOR'!S542)</f>
        <v>ea</v>
      </c>
      <c r="O608" s="4270"/>
      <c r="P608" s="4271"/>
      <c r="Q608" s="4271"/>
      <c r="R608" s="4271"/>
      <c r="S608" s="4271"/>
      <c r="T608" s="4271"/>
      <c r="U608" s="4271"/>
      <c r="V608" s="4272"/>
      <c r="W608" s="12">
        <f t="shared" si="41"/>
        <v>1</v>
      </c>
      <c r="X608" s="12">
        <f t="shared" si="40"/>
        <v>1</v>
      </c>
      <c r="Y608" s="12">
        <f t="shared" si="38"/>
        <v>1</v>
      </c>
    </row>
    <row r="609" spans="4:25" ht="15.7">
      <c r="D609" s="4267" t="str">
        <f>T('2 REPAIR ESTIMATOR'!D543:O543)</f>
        <v>Shrubs/plantings, 5 gallon</v>
      </c>
      <c r="E609" s="4268"/>
      <c r="F609" s="4268"/>
      <c r="G609" s="4268"/>
      <c r="H609" s="4268"/>
      <c r="I609" s="4268"/>
      <c r="J609" s="4268"/>
      <c r="K609" s="4268"/>
      <c r="L609" s="4269">
        <f>'2 REPAIR ESTIMATOR'!P543</f>
        <v>0</v>
      </c>
      <c r="M609" s="4269"/>
      <c r="N609" s="4270" t="str">
        <f>T('2 REPAIR ESTIMATOR'!S543)</f>
        <v>ea</v>
      </c>
      <c r="O609" s="4270"/>
      <c r="P609" s="4271"/>
      <c r="Q609" s="4271"/>
      <c r="R609" s="4271"/>
      <c r="S609" s="4271"/>
      <c r="T609" s="4271"/>
      <c r="U609" s="4271"/>
      <c r="V609" s="4272"/>
      <c r="W609" s="12">
        <f t="shared" si="41"/>
        <v>1</v>
      </c>
      <c r="X609" s="12">
        <f t="shared" si="40"/>
        <v>1</v>
      </c>
      <c r="Y609" s="12">
        <f t="shared" si="38"/>
        <v>1</v>
      </c>
    </row>
    <row r="610" spans="4:25" ht="15.7">
      <c r="D610" s="4267" t="str">
        <f>T('2 REPAIR ESTIMATOR'!D544:O544)</f>
        <v>Small trees, 1-2" caliper, 10 gallon</v>
      </c>
      <c r="E610" s="4268"/>
      <c r="F610" s="4268"/>
      <c r="G610" s="4268"/>
      <c r="H610" s="4268"/>
      <c r="I610" s="4268"/>
      <c r="J610" s="4268"/>
      <c r="K610" s="4268"/>
      <c r="L610" s="4269">
        <f>'2 REPAIR ESTIMATOR'!P544</f>
        <v>0</v>
      </c>
      <c r="M610" s="4269"/>
      <c r="N610" s="4270" t="str">
        <f>T('2 REPAIR ESTIMATOR'!S544)</f>
        <v>ea</v>
      </c>
      <c r="O610" s="4270"/>
      <c r="P610" s="4271"/>
      <c r="Q610" s="4271"/>
      <c r="R610" s="4271"/>
      <c r="S610" s="4271"/>
      <c r="T610" s="4271"/>
      <c r="U610" s="4271"/>
      <c r="V610" s="4272"/>
      <c r="W610" s="12">
        <f t="shared" si="41"/>
        <v>1</v>
      </c>
      <c r="X610" s="12">
        <f t="shared" si="40"/>
        <v>1</v>
      </c>
      <c r="Y610" s="12">
        <f t="shared" si="38"/>
        <v>1</v>
      </c>
    </row>
    <row r="611" spans="4:25" ht="15.7">
      <c r="D611" s="4267" t="str">
        <f>T('2 REPAIR ESTIMATOR'!D545:O545)</f>
        <v>Small trees, 1-2" 15 gallon</v>
      </c>
      <c r="E611" s="4268"/>
      <c r="F611" s="4268"/>
      <c r="G611" s="4268"/>
      <c r="H611" s="4268"/>
      <c r="I611" s="4268"/>
      <c r="J611" s="4268"/>
      <c r="K611" s="4268"/>
      <c r="L611" s="4269">
        <f>'2 REPAIR ESTIMATOR'!P545</f>
        <v>0</v>
      </c>
      <c r="M611" s="4269"/>
      <c r="N611" s="4270" t="str">
        <f>T('2 REPAIR ESTIMATOR'!S545)</f>
        <v>ea</v>
      </c>
      <c r="O611" s="4270"/>
      <c r="P611" s="4271"/>
      <c r="Q611" s="4271"/>
      <c r="R611" s="4271"/>
      <c r="S611" s="4271"/>
      <c r="T611" s="4271"/>
      <c r="U611" s="4271"/>
      <c r="V611" s="4272"/>
      <c r="W611" s="12">
        <f t="shared" si="41"/>
        <v>1</v>
      </c>
      <c r="X611" s="12">
        <f t="shared" si="40"/>
        <v>1</v>
      </c>
      <c r="Y611" s="12">
        <f t="shared" si="38"/>
        <v>1</v>
      </c>
    </row>
    <row r="612" spans="4:25" ht="15.7">
      <c r="D612" s="4267" t="str">
        <f>T('2 REPAIR ESTIMATOR'!D546:O546)</f>
        <v>36" box tree</v>
      </c>
      <c r="E612" s="4268"/>
      <c r="F612" s="4268"/>
      <c r="G612" s="4268"/>
      <c r="H612" s="4268"/>
      <c r="I612" s="4268"/>
      <c r="J612" s="4268"/>
      <c r="K612" s="4268"/>
      <c r="L612" s="4269">
        <f>'2 REPAIR ESTIMATOR'!P546</f>
        <v>0</v>
      </c>
      <c r="M612" s="4269"/>
      <c r="N612" s="4270" t="str">
        <f>T('2 REPAIR ESTIMATOR'!S546)</f>
        <v>ea</v>
      </c>
      <c r="O612" s="4270"/>
      <c r="P612" s="4271"/>
      <c r="Q612" s="4271"/>
      <c r="R612" s="4271"/>
      <c r="S612" s="4271"/>
      <c r="T612" s="4271"/>
      <c r="U612" s="4271"/>
      <c r="V612" s="4272"/>
      <c r="W612" s="12">
        <f t="shared" si="41"/>
        <v>1</v>
      </c>
      <c r="X612" s="12">
        <f t="shared" si="40"/>
        <v>1</v>
      </c>
      <c r="Y612" s="12">
        <f t="shared" si="38"/>
        <v>1</v>
      </c>
    </row>
    <row r="613" spans="4:25" ht="15.7">
      <c r="D613" s="4267" t="str">
        <f>T('2 REPAIR ESTIMATOR'!D547:O547)</f>
        <v>Mulch, standard 3" thick</v>
      </c>
      <c r="E613" s="4268"/>
      <c r="F613" s="4268"/>
      <c r="G613" s="4268"/>
      <c r="H613" s="4268"/>
      <c r="I613" s="4268"/>
      <c r="J613" s="4268"/>
      <c r="K613" s="4268"/>
      <c r="L613" s="4269">
        <f>'2 REPAIR ESTIMATOR'!P547</f>
        <v>0</v>
      </c>
      <c r="M613" s="4269"/>
      <c r="N613" s="4270" t="str">
        <f>T('2 REPAIR ESTIMATOR'!S547)</f>
        <v>sf</v>
      </c>
      <c r="O613" s="4270"/>
      <c r="P613" s="4271"/>
      <c r="Q613" s="4271"/>
      <c r="R613" s="4271"/>
      <c r="S613" s="4271"/>
      <c r="T613" s="4271"/>
      <c r="U613" s="4271"/>
      <c r="V613" s="4272"/>
      <c r="W613" s="12">
        <f t="shared" si="41"/>
        <v>1</v>
      </c>
      <c r="X613" s="12">
        <f t="shared" si="40"/>
        <v>1</v>
      </c>
      <c r="Y613" s="12">
        <f t="shared" si="38"/>
        <v>1</v>
      </c>
    </row>
    <row r="614" spans="4:25" ht="15.7">
      <c r="D614" s="4267" t="str">
        <f>T('2 REPAIR ESTIMATOR'!D548:O548)</f>
        <v>Landscape rock, 3/4"</v>
      </c>
      <c r="E614" s="4268"/>
      <c r="F614" s="4268"/>
      <c r="G614" s="4268"/>
      <c r="H614" s="4268"/>
      <c r="I614" s="4268"/>
      <c r="J614" s="4268"/>
      <c r="K614" s="4268"/>
      <c r="L614" s="4269">
        <f>'2 REPAIR ESTIMATOR'!P548</f>
        <v>0</v>
      </c>
      <c r="M614" s="4269"/>
      <c r="N614" s="4270" t="str">
        <f>T('2 REPAIR ESTIMATOR'!S548)</f>
        <v>sf</v>
      </c>
      <c r="O614" s="4270"/>
      <c r="P614" s="4271"/>
      <c r="Q614" s="4271"/>
      <c r="R614" s="4271"/>
      <c r="S614" s="4271"/>
      <c r="T614" s="4271"/>
      <c r="U614" s="4271"/>
      <c r="V614" s="4272"/>
      <c r="W614" s="12">
        <f t="shared" si="41"/>
        <v>1</v>
      </c>
      <c r="X614" s="12">
        <f t="shared" si="40"/>
        <v>1</v>
      </c>
      <c r="Y614" s="12">
        <f t="shared" si="38"/>
        <v>1</v>
      </c>
    </row>
    <row r="615" spans="4:25" ht="15.7">
      <c r="D615" s="4267" t="str">
        <f>T('2 REPAIR ESTIMATOR'!D549:O549)</f>
        <v>Cobble stone rock</v>
      </c>
      <c r="E615" s="4268"/>
      <c r="F615" s="4268"/>
      <c r="G615" s="4268"/>
      <c r="H615" s="4268"/>
      <c r="I615" s="4268"/>
      <c r="J615" s="4268"/>
      <c r="K615" s="4268"/>
      <c r="L615" s="4269">
        <f>'2 REPAIR ESTIMATOR'!P549</f>
        <v>0</v>
      </c>
      <c r="M615" s="4269"/>
      <c r="N615" s="4270" t="str">
        <f>T('2 REPAIR ESTIMATOR'!S549)</f>
        <v>sf</v>
      </c>
      <c r="O615" s="4270"/>
      <c r="P615" s="4271"/>
      <c r="Q615" s="4271"/>
      <c r="R615" s="4271"/>
      <c r="S615" s="4271"/>
      <c r="T615" s="4271"/>
      <c r="U615" s="4271"/>
      <c r="V615" s="4272"/>
      <c r="W615" s="12">
        <f t="shared" si="41"/>
        <v>1</v>
      </c>
      <c r="X615" s="12">
        <f t="shared" si="40"/>
        <v>1</v>
      </c>
      <c r="Y615" s="12">
        <f t="shared" si="38"/>
        <v>1</v>
      </c>
    </row>
    <row r="616" spans="4:25" ht="15.7">
      <c r="D616" s="4267" t="str">
        <f>T('2 REPAIR ESTIMATOR'!D550:O550)</f>
        <v>Tree removal, per tree</v>
      </c>
      <c r="E616" s="4268"/>
      <c r="F616" s="4268"/>
      <c r="G616" s="4268"/>
      <c r="H616" s="4268"/>
      <c r="I616" s="4268"/>
      <c r="J616" s="4268"/>
      <c r="K616" s="4268"/>
      <c r="L616" s="4269">
        <f>'2 REPAIR ESTIMATOR'!P550</f>
        <v>0</v>
      </c>
      <c r="M616" s="4269"/>
      <c r="N616" s="4270" t="str">
        <f>T('2 REPAIR ESTIMATOR'!S550)</f>
        <v>ea</v>
      </c>
      <c r="O616" s="4270"/>
      <c r="P616" s="4271"/>
      <c r="Q616" s="4271"/>
      <c r="R616" s="4271"/>
      <c r="S616" s="4271"/>
      <c r="T616" s="4271"/>
      <c r="U616" s="4271"/>
      <c r="V616" s="4272"/>
      <c r="W616" s="12">
        <f t="shared" si="41"/>
        <v>1</v>
      </c>
      <c r="X616" s="12">
        <f t="shared" si="40"/>
        <v>1</v>
      </c>
      <c r="Y616" s="12">
        <f t="shared" si="38"/>
        <v>1</v>
      </c>
    </row>
    <row r="617" spans="4:25" ht="15.7">
      <c r="D617" s="4267" t="str">
        <f>T('2 REPAIR ESTIMATOR'!D551:O551)</f>
        <v>Stacked, retaining wall</v>
      </c>
      <c r="E617" s="4268"/>
      <c r="F617" s="4268"/>
      <c r="G617" s="4268"/>
      <c r="H617" s="4268"/>
      <c r="I617" s="4268"/>
      <c r="J617" s="4268"/>
      <c r="K617" s="4268"/>
      <c r="L617" s="4269">
        <f>'2 REPAIR ESTIMATOR'!P551</f>
        <v>0</v>
      </c>
      <c r="M617" s="4269"/>
      <c r="N617" s="4270" t="str">
        <f>T('2 REPAIR ESTIMATOR'!S551)</f>
        <v>sf</v>
      </c>
      <c r="O617" s="4270"/>
      <c r="P617" s="4271"/>
      <c r="Q617" s="4271"/>
      <c r="R617" s="4271"/>
      <c r="S617" s="4271"/>
      <c r="T617" s="4271"/>
      <c r="U617" s="4271"/>
      <c r="V617" s="4272"/>
      <c r="W617" s="12">
        <f t="shared" si="41"/>
        <v>1</v>
      </c>
      <c r="X617" s="12">
        <f t="shared" si="40"/>
        <v>1</v>
      </c>
      <c r="Y617" s="12">
        <f t="shared" si="38"/>
        <v>1</v>
      </c>
    </row>
    <row r="618" spans="4:25" ht="15.7">
      <c r="D618" s="4267" t="str">
        <f>T('2 REPAIR ESTIMATOR'!D552:O552)</f>
        <v/>
      </c>
      <c r="E618" s="4268"/>
      <c r="F618" s="4268"/>
      <c r="G618" s="4268"/>
      <c r="H618" s="4268"/>
      <c r="I618" s="4268"/>
      <c r="J618" s="4268"/>
      <c r="K618" s="4268"/>
      <c r="L618" s="4269">
        <f>'2 REPAIR ESTIMATOR'!P552</f>
        <v>0</v>
      </c>
      <c r="M618" s="4269"/>
      <c r="N618" s="4270" t="str">
        <f>T('2 REPAIR ESTIMATOR'!S552)</f>
        <v/>
      </c>
      <c r="O618" s="4270"/>
      <c r="P618" s="4271"/>
      <c r="Q618" s="4271"/>
      <c r="R618" s="4271"/>
      <c r="S618" s="4271"/>
      <c r="T618" s="4271"/>
      <c r="U618" s="4271"/>
      <c r="V618" s="4272"/>
      <c r="W618" s="12">
        <f t="shared" si="41"/>
        <v>1</v>
      </c>
      <c r="X618" s="12">
        <f t="shared" si="40"/>
        <v>1</v>
      </c>
      <c r="Y618" s="12">
        <f t="shared" si="38"/>
        <v>1</v>
      </c>
    </row>
    <row r="619" spans="4:25" ht="15.7">
      <c r="D619" s="4267" t="str">
        <f>T('2 REPAIR ESTIMATOR'!D553:O553)</f>
        <v/>
      </c>
      <c r="E619" s="4268"/>
      <c r="F619" s="4268"/>
      <c r="G619" s="4268"/>
      <c r="H619" s="4268"/>
      <c r="I619" s="4268"/>
      <c r="J619" s="4268"/>
      <c r="K619" s="4268"/>
      <c r="L619" s="4269">
        <f>'2 REPAIR ESTIMATOR'!P553</f>
        <v>0</v>
      </c>
      <c r="M619" s="4269"/>
      <c r="N619" s="4270" t="str">
        <f>T('2 REPAIR ESTIMATOR'!S553)</f>
        <v/>
      </c>
      <c r="O619" s="4270"/>
      <c r="P619" s="4271"/>
      <c r="Q619" s="4271"/>
      <c r="R619" s="4271"/>
      <c r="S619" s="4271"/>
      <c r="T619" s="4271"/>
      <c r="U619" s="4271"/>
      <c r="V619" s="4272"/>
      <c r="W619" s="12">
        <f t="shared" si="41"/>
        <v>1</v>
      </c>
      <c r="X619" s="12">
        <f t="shared" si="40"/>
        <v>1</v>
      </c>
      <c r="Y619" s="12">
        <f t="shared" si="38"/>
        <v>1</v>
      </c>
    </row>
    <row r="620" spans="4:25" ht="15.7">
      <c r="D620" s="4267" t="str">
        <f>T('2 REPAIR ESTIMATOR'!D554:O554)</f>
        <v/>
      </c>
      <c r="E620" s="4268"/>
      <c r="F620" s="4268"/>
      <c r="G620" s="4268"/>
      <c r="H620" s="4268"/>
      <c r="I620" s="4268"/>
      <c r="J620" s="4268"/>
      <c r="K620" s="4268"/>
      <c r="L620" s="4269">
        <f>'2 REPAIR ESTIMATOR'!P554</f>
        <v>0</v>
      </c>
      <c r="M620" s="4269"/>
      <c r="N620" s="4270" t="str">
        <f>T('2 REPAIR ESTIMATOR'!S554)</f>
        <v/>
      </c>
      <c r="O620" s="4270"/>
      <c r="P620" s="4271"/>
      <c r="Q620" s="4271"/>
      <c r="R620" s="4271"/>
      <c r="S620" s="4271"/>
      <c r="T620" s="4271"/>
      <c r="U620" s="4271"/>
      <c r="V620" s="4272"/>
      <c r="W620" s="12">
        <f t="shared" si="41"/>
        <v>1</v>
      </c>
      <c r="X620" s="12">
        <f t="shared" si="40"/>
        <v>1</v>
      </c>
      <c r="Y620" s="12">
        <f t="shared" ref="Y620:Y683" si="42">W620*X620</f>
        <v>1</v>
      </c>
    </row>
    <row r="621" spans="4:25" ht="15.7">
      <c r="D621" s="4267" t="str">
        <f>T('2 REPAIR ESTIMATOR'!D555:O555)</f>
        <v/>
      </c>
      <c r="E621" s="4268"/>
      <c r="F621" s="4268"/>
      <c r="G621" s="4268"/>
      <c r="H621" s="4268"/>
      <c r="I621" s="4268"/>
      <c r="J621" s="4268"/>
      <c r="K621" s="4268"/>
      <c r="L621" s="4269">
        <f>'2 REPAIR ESTIMATOR'!P555</f>
        <v>0</v>
      </c>
      <c r="M621" s="4269"/>
      <c r="N621" s="4270" t="str">
        <f>T('2 REPAIR ESTIMATOR'!S555)</f>
        <v/>
      </c>
      <c r="O621" s="4270"/>
      <c r="P621" s="4271"/>
      <c r="Q621" s="4271"/>
      <c r="R621" s="4271"/>
      <c r="S621" s="4271"/>
      <c r="T621" s="4271"/>
      <c r="U621" s="4271"/>
      <c r="V621" s="4272"/>
      <c r="W621" s="12">
        <f t="shared" si="41"/>
        <v>1</v>
      </c>
      <c r="X621" s="12">
        <f t="shared" si="40"/>
        <v>1</v>
      </c>
      <c r="Y621" s="12">
        <f t="shared" si="42"/>
        <v>1</v>
      </c>
    </row>
    <row r="622" spans="4:25" ht="15.7">
      <c r="D622" s="4267" t="str">
        <f>T('2 REPAIR ESTIMATOR'!D556:O556)</f>
        <v/>
      </c>
      <c r="E622" s="4268"/>
      <c r="F622" s="4268"/>
      <c r="G622" s="4268"/>
      <c r="H622" s="4268"/>
      <c r="I622" s="4268"/>
      <c r="J622" s="4268"/>
      <c r="K622" s="4268"/>
      <c r="L622" s="4269">
        <f>'2 REPAIR ESTIMATOR'!P556</f>
        <v>0</v>
      </c>
      <c r="M622" s="4269"/>
      <c r="N622" s="4270" t="str">
        <f>T('2 REPAIR ESTIMATOR'!S556)</f>
        <v/>
      </c>
      <c r="O622" s="4270"/>
      <c r="P622" s="4271"/>
      <c r="Q622" s="4271"/>
      <c r="R622" s="4271"/>
      <c r="S622" s="4271"/>
      <c r="T622" s="4271"/>
      <c r="U622" s="4271"/>
      <c r="V622" s="4272"/>
      <c r="W622" s="12">
        <f t="shared" si="41"/>
        <v>1</v>
      </c>
      <c r="X622" s="12">
        <f t="shared" si="40"/>
        <v>1</v>
      </c>
      <c r="Y622" s="12">
        <f t="shared" si="42"/>
        <v>1</v>
      </c>
    </row>
    <row r="623" spans="4:25" ht="15.7">
      <c r="D623" s="4267" t="str">
        <f>T('2 REPAIR ESTIMATOR'!D557:O557)</f>
        <v/>
      </c>
      <c r="E623" s="4268"/>
      <c r="F623" s="4268"/>
      <c r="G623" s="4268"/>
      <c r="H623" s="4268"/>
      <c r="I623" s="4268"/>
      <c r="J623" s="4268"/>
      <c r="K623" s="4268"/>
      <c r="L623" s="4269">
        <f>'2 REPAIR ESTIMATOR'!P557</f>
        <v>0</v>
      </c>
      <c r="M623" s="4269"/>
      <c r="N623" s="4270" t="str">
        <f>T('2 REPAIR ESTIMATOR'!S557)</f>
        <v/>
      </c>
      <c r="O623" s="4270"/>
      <c r="P623" s="4271"/>
      <c r="Q623" s="4271"/>
      <c r="R623" s="4271"/>
      <c r="S623" s="4271"/>
      <c r="T623" s="4271"/>
      <c r="U623" s="4271"/>
      <c r="V623" s="4272"/>
      <c r="W623" s="12">
        <f t="shared" si="41"/>
        <v>1</v>
      </c>
      <c r="X623" s="12">
        <f t="shared" si="40"/>
        <v>1</v>
      </c>
      <c r="Y623" s="12">
        <f t="shared" si="42"/>
        <v>1</v>
      </c>
    </row>
    <row r="624" spans="4:25" ht="15.7">
      <c r="D624" s="4267" t="str">
        <f>T('2 REPAIR ESTIMATOR'!D558:O558)</f>
        <v/>
      </c>
      <c r="E624" s="4268"/>
      <c r="F624" s="4268"/>
      <c r="G624" s="4268"/>
      <c r="H624" s="4268"/>
      <c r="I624" s="4268"/>
      <c r="J624" s="4268"/>
      <c r="K624" s="4268"/>
      <c r="L624" s="4269">
        <f>'2 REPAIR ESTIMATOR'!P558</f>
        <v>0</v>
      </c>
      <c r="M624" s="4269"/>
      <c r="N624" s="4270" t="str">
        <f>T('2 REPAIR ESTIMATOR'!S558)</f>
        <v/>
      </c>
      <c r="O624" s="4270"/>
      <c r="P624" s="4271"/>
      <c r="Q624" s="4271"/>
      <c r="R624" s="4271"/>
      <c r="S624" s="4271"/>
      <c r="T624" s="4271"/>
      <c r="U624" s="4271"/>
      <c r="V624" s="4272"/>
      <c r="W624" s="12">
        <f t="shared" si="41"/>
        <v>1</v>
      </c>
      <c r="X624" s="12">
        <f t="shared" si="40"/>
        <v>1</v>
      </c>
      <c r="Y624" s="12">
        <f t="shared" si="42"/>
        <v>1</v>
      </c>
    </row>
    <row r="625" spans="4:25" ht="15.7">
      <c r="D625" s="4267" t="str">
        <f>T('2 REPAIR ESTIMATOR'!D559:O559)</f>
        <v/>
      </c>
      <c r="E625" s="4268"/>
      <c r="F625" s="4268"/>
      <c r="G625" s="4268"/>
      <c r="H625" s="4268"/>
      <c r="I625" s="4268"/>
      <c r="J625" s="4268"/>
      <c r="K625" s="4268"/>
      <c r="L625" s="4269">
        <f>'2 REPAIR ESTIMATOR'!P559</f>
        <v>0</v>
      </c>
      <c r="M625" s="4269"/>
      <c r="N625" s="4270" t="str">
        <f>T('2 REPAIR ESTIMATOR'!S559)</f>
        <v/>
      </c>
      <c r="O625" s="4270"/>
      <c r="P625" s="4271"/>
      <c r="Q625" s="4271"/>
      <c r="R625" s="4271"/>
      <c r="S625" s="4271"/>
      <c r="T625" s="4271"/>
      <c r="U625" s="4271"/>
      <c r="V625" s="4272"/>
      <c r="W625" s="12">
        <f t="shared" si="41"/>
        <v>1</v>
      </c>
      <c r="X625" s="12">
        <f t="shared" si="40"/>
        <v>1</v>
      </c>
      <c r="Y625" s="12">
        <f t="shared" si="42"/>
        <v>1</v>
      </c>
    </row>
    <row r="626" spans="4:25" ht="15.7">
      <c r="D626" s="4267" t="str">
        <f>T('2 REPAIR ESTIMATOR'!D560:O560)</f>
        <v/>
      </c>
      <c r="E626" s="4268"/>
      <c r="F626" s="4268"/>
      <c r="G626" s="4268"/>
      <c r="H626" s="4268"/>
      <c r="I626" s="4268"/>
      <c r="J626" s="4268"/>
      <c r="K626" s="4268"/>
      <c r="L626" s="4269">
        <f>'2 REPAIR ESTIMATOR'!P560</f>
        <v>0</v>
      </c>
      <c r="M626" s="4269"/>
      <c r="N626" s="4270" t="str">
        <f>T('2 REPAIR ESTIMATOR'!S560)</f>
        <v/>
      </c>
      <c r="O626" s="4270"/>
      <c r="P626" s="4271"/>
      <c r="Q626" s="4271"/>
      <c r="R626" s="4271"/>
      <c r="S626" s="4271"/>
      <c r="T626" s="4271"/>
      <c r="U626" s="4271"/>
      <c r="V626" s="4272"/>
      <c r="W626" s="12">
        <f t="shared" si="41"/>
        <v>1</v>
      </c>
      <c r="X626" s="12">
        <f t="shared" si="40"/>
        <v>1</v>
      </c>
      <c r="Y626" s="12">
        <f t="shared" si="42"/>
        <v>1</v>
      </c>
    </row>
    <row r="627" spans="4:25" ht="15.7">
      <c r="D627" s="4267" t="str">
        <f>T('2 REPAIR ESTIMATOR'!D561:O561)</f>
        <v/>
      </c>
      <c r="E627" s="4268"/>
      <c r="F627" s="4268"/>
      <c r="G627" s="4268"/>
      <c r="H627" s="4268"/>
      <c r="I627" s="4268"/>
      <c r="J627" s="4268"/>
      <c r="K627" s="4268"/>
      <c r="L627" s="4269">
        <f>'2 REPAIR ESTIMATOR'!P561</f>
        <v>0</v>
      </c>
      <c r="M627" s="4269"/>
      <c r="N627" s="4270" t="str">
        <f>T('2 REPAIR ESTIMATOR'!S561)</f>
        <v/>
      </c>
      <c r="O627" s="4270"/>
      <c r="P627" s="4271"/>
      <c r="Q627" s="4271"/>
      <c r="R627" s="4271"/>
      <c r="S627" s="4271"/>
      <c r="T627" s="4271"/>
      <c r="U627" s="4271"/>
      <c r="V627" s="4272"/>
      <c r="W627" s="12">
        <f t="shared" si="41"/>
        <v>1</v>
      </c>
      <c r="X627" s="12">
        <f t="shared" si="40"/>
        <v>1</v>
      </c>
      <c r="Y627" s="12">
        <f t="shared" si="42"/>
        <v>1</v>
      </c>
    </row>
    <row r="628" spans="4:25" ht="15.7">
      <c r="D628" s="4267" t="str">
        <f>T('2 REPAIR ESTIMATOR'!D562:O562)</f>
        <v/>
      </c>
      <c r="E628" s="4268"/>
      <c r="F628" s="4268"/>
      <c r="G628" s="4268"/>
      <c r="H628" s="4268"/>
      <c r="I628" s="4268"/>
      <c r="J628" s="4268"/>
      <c r="K628" s="4268"/>
      <c r="L628" s="4269">
        <f>'2 REPAIR ESTIMATOR'!P562</f>
        <v>0</v>
      </c>
      <c r="M628" s="4269"/>
      <c r="N628" s="4270" t="str">
        <f>T('2 REPAIR ESTIMATOR'!S562)</f>
        <v/>
      </c>
      <c r="O628" s="4270"/>
      <c r="P628" s="4271"/>
      <c r="Q628" s="4271"/>
      <c r="R628" s="4271"/>
      <c r="S628" s="4271"/>
      <c r="T628" s="4271"/>
      <c r="U628" s="4271"/>
      <c r="V628" s="4272"/>
      <c r="W628" s="12">
        <f t="shared" si="41"/>
        <v>1</v>
      </c>
      <c r="X628" s="12">
        <f t="shared" si="40"/>
        <v>1</v>
      </c>
      <c r="Y628" s="12">
        <f t="shared" si="42"/>
        <v>1</v>
      </c>
    </row>
    <row r="629" spans="4:25" ht="15.7">
      <c r="D629" s="4267" t="str">
        <f>T('2 REPAIR ESTIMATOR'!D563:O563)</f>
        <v/>
      </c>
      <c r="E629" s="4268"/>
      <c r="F629" s="4268"/>
      <c r="G629" s="4268"/>
      <c r="H629" s="4268"/>
      <c r="I629" s="4268"/>
      <c r="J629" s="4268"/>
      <c r="K629" s="4268"/>
      <c r="L629" s="4269">
        <f>'2 REPAIR ESTIMATOR'!P563</f>
        <v>0</v>
      </c>
      <c r="M629" s="4269"/>
      <c r="N629" s="4270" t="str">
        <f>T('2 REPAIR ESTIMATOR'!S563)</f>
        <v/>
      </c>
      <c r="O629" s="4270"/>
      <c r="P629" s="4271"/>
      <c r="Q629" s="4271"/>
      <c r="R629" s="4271"/>
      <c r="S629" s="4271"/>
      <c r="T629" s="4271"/>
      <c r="U629" s="4271"/>
      <c r="V629" s="4272"/>
      <c r="W629" s="12">
        <f t="shared" si="41"/>
        <v>1</v>
      </c>
      <c r="X629" s="12">
        <f t="shared" si="40"/>
        <v>1</v>
      </c>
      <c r="Y629" s="12">
        <f t="shared" si="42"/>
        <v>1</v>
      </c>
    </row>
    <row r="630" spans="4:25" ht="15.7">
      <c r="D630" s="4267" t="str">
        <f>T('2 REPAIR ESTIMATOR'!D564:O564)</f>
        <v/>
      </c>
      <c r="E630" s="4268"/>
      <c r="F630" s="4268"/>
      <c r="G630" s="4268"/>
      <c r="H630" s="4268"/>
      <c r="I630" s="4268"/>
      <c r="J630" s="4268"/>
      <c r="K630" s="4268"/>
      <c r="L630" s="4269">
        <f>'2 REPAIR ESTIMATOR'!P564</f>
        <v>0</v>
      </c>
      <c r="M630" s="4269"/>
      <c r="N630" s="4270" t="str">
        <f>T('2 REPAIR ESTIMATOR'!S564)</f>
        <v/>
      </c>
      <c r="O630" s="4270"/>
      <c r="P630" s="4271"/>
      <c r="Q630" s="4271"/>
      <c r="R630" s="4271"/>
      <c r="S630" s="4271"/>
      <c r="T630" s="4271"/>
      <c r="U630" s="4271"/>
      <c r="V630" s="4272"/>
      <c r="W630" s="12">
        <f t="shared" si="41"/>
        <v>1</v>
      </c>
      <c r="X630" s="12">
        <f t="shared" si="40"/>
        <v>1</v>
      </c>
      <c r="Y630" s="12">
        <f t="shared" si="42"/>
        <v>1</v>
      </c>
    </row>
    <row r="631" spans="4:25" ht="15.7">
      <c r="D631" s="4267" t="str">
        <f>T('2 REPAIR ESTIMATOR'!D565:O565)</f>
        <v/>
      </c>
      <c r="E631" s="4268"/>
      <c r="F631" s="4268"/>
      <c r="G631" s="4268"/>
      <c r="H631" s="4268"/>
      <c r="I631" s="4268"/>
      <c r="J631" s="4268"/>
      <c r="K631" s="4268"/>
      <c r="L631" s="4269">
        <f>'2 REPAIR ESTIMATOR'!P565</f>
        <v>0</v>
      </c>
      <c r="M631" s="4269"/>
      <c r="N631" s="4270" t="str">
        <f>T('2 REPAIR ESTIMATOR'!S565)</f>
        <v/>
      </c>
      <c r="O631" s="4270"/>
      <c r="P631" s="4271"/>
      <c r="Q631" s="4271"/>
      <c r="R631" s="4271"/>
      <c r="S631" s="4271"/>
      <c r="T631" s="4271"/>
      <c r="U631" s="4271"/>
      <c r="V631" s="4272"/>
      <c r="W631" s="12">
        <f t="shared" si="41"/>
        <v>1</v>
      </c>
      <c r="X631" s="12">
        <f t="shared" si="40"/>
        <v>1</v>
      </c>
      <c r="Y631" s="12">
        <f t="shared" si="42"/>
        <v>1</v>
      </c>
    </row>
    <row r="632" spans="4:25" ht="15.7">
      <c r="D632" s="4267" t="str">
        <f>T('2 REPAIR ESTIMATOR'!D566:O566)</f>
        <v/>
      </c>
      <c r="E632" s="4268"/>
      <c r="F632" s="4268"/>
      <c r="G632" s="4268"/>
      <c r="H632" s="4268"/>
      <c r="I632" s="4268"/>
      <c r="J632" s="4268"/>
      <c r="K632" s="4268"/>
      <c r="L632" s="4269">
        <f>'2 REPAIR ESTIMATOR'!P566</f>
        <v>0</v>
      </c>
      <c r="M632" s="4269"/>
      <c r="N632" s="4270" t="str">
        <f>T('2 REPAIR ESTIMATOR'!S566)</f>
        <v/>
      </c>
      <c r="O632" s="4270"/>
      <c r="P632" s="4271"/>
      <c r="Q632" s="4271"/>
      <c r="R632" s="4271"/>
      <c r="S632" s="4271"/>
      <c r="T632" s="4271"/>
      <c r="U632" s="4271"/>
      <c r="V632" s="4272"/>
      <c r="W632" s="12">
        <f t="shared" si="41"/>
        <v>1</v>
      </c>
      <c r="X632" s="12">
        <f t="shared" si="40"/>
        <v>1</v>
      </c>
      <c r="Y632" s="12">
        <f t="shared" si="42"/>
        <v>1</v>
      </c>
    </row>
    <row r="633" spans="4:25" ht="15.7">
      <c r="D633" s="4267" t="str">
        <f>T('2 REPAIR ESTIMATOR'!D567:O567)</f>
        <v/>
      </c>
      <c r="E633" s="4268"/>
      <c r="F633" s="4268"/>
      <c r="G633" s="4268"/>
      <c r="H633" s="4268"/>
      <c r="I633" s="4268"/>
      <c r="J633" s="4268"/>
      <c r="K633" s="4268"/>
      <c r="L633" s="4269">
        <f>'2 REPAIR ESTIMATOR'!P567</f>
        <v>0</v>
      </c>
      <c r="M633" s="4269"/>
      <c r="N633" s="4270" t="str">
        <f>T('2 REPAIR ESTIMATOR'!S567)</f>
        <v/>
      </c>
      <c r="O633" s="4270"/>
      <c r="P633" s="4271"/>
      <c r="Q633" s="4271"/>
      <c r="R633" s="4271"/>
      <c r="S633" s="4271"/>
      <c r="T633" s="4271"/>
      <c r="U633" s="4271"/>
      <c r="V633" s="4272"/>
      <c r="W633" s="12">
        <f t="shared" si="41"/>
        <v>1</v>
      </c>
      <c r="X633" s="12">
        <f t="shared" si="40"/>
        <v>1</v>
      </c>
      <c r="Y633" s="12">
        <f t="shared" si="42"/>
        <v>1</v>
      </c>
    </row>
    <row r="634" spans="4:25" ht="15.7">
      <c r="D634" s="4267" t="str">
        <f>T('2 REPAIR ESTIMATOR'!D568:O568)</f>
        <v/>
      </c>
      <c r="E634" s="4268"/>
      <c r="F634" s="4268"/>
      <c r="G634" s="4268"/>
      <c r="H634" s="4268"/>
      <c r="I634" s="4268"/>
      <c r="J634" s="4268"/>
      <c r="K634" s="4268"/>
      <c r="L634" s="4269">
        <f>'2 REPAIR ESTIMATOR'!P568</f>
        <v>0</v>
      </c>
      <c r="M634" s="4269"/>
      <c r="N634" s="4270" t="str">
        <f>T('2 REPAIR ESTIMATOR'!S568)</f>
        <v/>
      </c>
      <c r="O634" s="4270"/>
      <c r="P634" s="4271"/>
      <c r="Q634" s="4271"/>
      <c r="R634" s="4271"/>
      <c r="S634" s="4271"/>
      <c r="T634" s="4271"/>
      <c r="U634" s="4271"/>
      <c r="V634" s="4272"/>
      <c r="W634" s="12">
        <f t="shared" si="41"/>
        <v>1</v>
      </c>
      <c r="X634" s="12">
        <f t="shared" si="40"/>
        <v>1</v>
      </c>
      <c r="Y634" s="12">
        <f t="shared" si="42"/>
        <v>1</v>
      </c>
    </row>
    <row r="635" spans="4:25" ht="15.7">
      <c r="D635" s="4267" t="str">
        <f>T('2 REPAIR ESTIMATOR'!D569:O569)</f>
        <v/>
      </c>
      <c r="E635" s="4268"/>
      <c r="F635" s="4268"/>
      <c r="G635" s="4268"/>
      <c r="H635" s="4268"/>
      <c r="I635" s="4268"/>
      <c r="J635" s="4268"/>
      <c r="K635" s="4268"/>
      <c r="L635" s="4269">
        <f>'2 REPAIR ESTIMATOR'!P569</f>
        <v>0</v>
      </c>
      <c r="M635" s="4269"/>
      <c r="N635" s="4270" t="str">
        <f>T('2 REPAIR ESTIMATOR'!S569)</f>
        <v/>
      </c>
      <c r="O635" s="4270"/>
      <c r="P635" s="4271"/>
      <c r="Q635" s="4271"/>
      <c r="R635" s="4271"/>
      <c r="S635" s="4271"/>
      <c r="T635" s="4271"/>
      <c r="U635" s="4271"/>
      <c r="V635" s="4272"/>
      <c r="W635" s="12">
        <f t="shared" si="41"/>
        <v>1</v>
      </c>
      <c r="X635" s="12">
        <f t="shared" ref="X635:X658" si="43">IF(Scope11_Setting="Shown",1,0)</f>
        <v>1</v>
      </c>
      <c r="Y635" s="12">
        <f t="shared" si="42"/>
        <v>1</v>
      </c>
    </row>
    <row r="636" spans="4:25" ht="15.7">
      <c r="D636" s="4267" t="str">
        <f>T('2 REPAIR ESTIMATOR'!D570:O570)</f>
        <v/>
      </c>
      <c r="E636" s="4268"/>
      <c r="F636" s="4268"/>
      <c r="G636" s="4268"/>
      <c r="H636" s="4268"/>
      <c r="I636" s="4268"/>
      <c r="J636" s="4268"/>
      <c r="K636" s="4268"/>
      <c r="L636" s="4269">
        <f>'2 REPAIR ESTIMATOR'!P570</f>
        <v>0</v>
      </c>
      <c r="M636" s="4269"/>
      <c r="N636" s="4270" t="str">
        <f>T('2 REPAIR ESTIMATOR'!S570)</f>
        <v/>
      </c>
      <c r="O636" s="4270"/>
      <c r="P636" s="4271"/>
      <c r="Q636" s="4271"/>
      <c r="R636" s="4271"/>
      <c r="S636" s="4271"/>
      <c r="T636" s="4271"/>
      <c r="U636" s="4271"/>
      <c r="V636" s="4272"/>
      <c r="W636" s="12">
        <f t="shared" si="41"/>
        <v>1</v>
      </c>
      <c r="X636" s="12">
        <f t="shared" si="43"/>
        <v>1</v>
      </c>
      <c r="Y636" s="12">
        <f t="shared" si="42"/>
        <v>1</v>
      </c>
    </row>
    <row r="637" spans="4:25" ht="15.7">
      <c r="D637" s="4267" t="str">
        <f>T('2 REPAIR ESTIMATOR'!D571:O571)</f>
        <v/>
      </c>
      <c r="E637" s="4268"/>
      <c r="F637" s="4268"/>
      <c r="G637" s="4268"/>
      <c r="H637" s="4268"/>
      <c r="I637" s="4268"/>
      <c r="J637" s="4268"/>
      <c r="K637" s="4268"/>
      <c r="L637" s="4269">
        <f>'2 REPAIR ESTIMATOR'!P571</f>
        <v>0</v>
      </c>
      <c r="M637" s="4269"/>
      <c r="N637" s="4270" t="str">
        <f>T('2 REPAIR ESTIMATOR'!S571)</f>
        <v/>
      </c>
      <c r="O637" s="4270"/>
      <c r="P637" s="4271"/>
      <c r="Q637" s="4271"/>
      <c r="R637" s="4271"/>
      <c r="S637" s="4271"/>
      <c r="T637" s="4271"/>
      <c r="U637" s="4271"/>
      <c r="V637" s="4272"/>
      <c r="W637" s="12">
        <f t="shared" si="41"/>
        <v>1</v>
      </c>
      <c r="X637" s="12">
        <f t="shared" si="43"/>
        <v>1</v>
      </c>
      <c r="Y637" s="12">
        <f t="shared" si="42"/>
        <v>1</v>
      </c>
    </row>
    <row r="638" spans="4:25" ht="15.7">
      <c r="D638" s="4267" t="str">
        <f>T('2 REPAIR ESTIMATOR'!D572:O572)</f>
        <v/>
      </c>
      <c r="E638" s="4268"/>
      <c r="F638" s="4268"/>
      <c r="G638" s="4268"/>
      <c r="H638" s="4268"/>
      <c r="I638" s="4268"/>
      <c r="J638" s="4268"/>
      <c r="K638" s="4268"/>
      <c r="L638" s="4269">
        <f>'2 REPAIR ESTIMATOR'!P572</f>
        <v>0</v>
      </c>
      <c r="M638" s="4269"/>
      <c r="N638" s="4270" t="str">
        <f>T('2 REPAIR ESTIMATOR'!S572)</f>
        <v/>
      </c>
      <c r="O638" s="4270"/>
      <c r="P638" s="4271"/>
      <c r="Q638" s="4271"/>
      <c r="R638" s="4271"/>
      <c r="S638" s="4271"/>
      <c r="T638" s="4271"/>
      <c r="U638" s="4271"/>
      <c r="V638" s="4272"/>
      <c r="W638" s="12">
        <f t="shared" si="41"/>
        <v>1</v>
      </c>
      <c r="X638" s="12">
        <f t="shared" si="43"/>
        <v>1</v>
      </c>
      <c r="Y638" s="12">
        <f t="shared" si="42"/>
        <v>1</v>
      </c>
    </row>
    <row r="639" spans="4:25" ht="15.7">
      <c r="D639" s="4267" t="str">
        <f>T('2 REPAIR ESTIMATOR'!D573:O573)</f>
        <v/>
      </c>
      <c r="E639" s="4268"/>
      <c r="F639" s="4268"/>
      <c r="G639" s="4268"/>
      <c r="H639" s="4268"/>
      <c r="I639" s="4268"/>
      <c r="J639" s="4268"/>
      <c r="K639" s="4268"/>
      <c r="L639" s="4269">
        <f>'2 REPAIR ESTIMATOR'!P573</f>
        <v>0</v>
      </c>
      <c r="M639" s="4269"/>
      <c r="N639" s="4270" t="str">
        <f>T('2 REPAIR ESTIMATOR'!S573)</f>
        <v/>
      </c>
      <c r="O639" s="4270"/>
      <c r="P639" s="4271"/>
      <c r="Q639" s="4271"/>
      <c r="R639" s="4271"/>
      <c r="S639" s="4271"/>
      <c r="T639" s="4271"/>
      <c r="U639" s="4271"/>
      <c r="V639" s="4272"/>
      <c r="W639" s="12">
        <f t="shared" si="41"/>
        <v>1</v>
      </c>
      <c r="X639" s="12">
        <f t="shared" si="43"/>
        <v>1</v>
      </c>
      <c r="Y639" s="12">
        <f t="shared" si="42"/>
        <v>1</v>
      </c>
    </row>
    <row r="640" spans="4:25" ht="15.7">
      <c r="D640" s="4267" t="str">
        <f>T('2 REPAIR ESTIMATOR'!D574:O574)</f>
        <v/>
      </c>
      <c r="E640" s="4268"/>
      <c r="F640" s="4268"/>
      <c r="G640" s="4268"/>
      <c r="H640" s="4268"/>
      <c r="I640" s="4268"/>
      <c r="J640" s="4268"/>
      <c r="K640" s="4268"/>
      <c r="L640" s="4269">
        <f>'2 REPAIR ESTIMATOR'!P574</f>
        <v>0</v>
      </c>
      <c r="M640" s="4269"/>
      <c r="N640" s="4270" t="str">
        <f>T('2 REPAIR ESTIMATOR'!S574)</f>
        <v/>
      </c>
      <c r="O640" s="4270"/>
      <c r="P640" s="4271"/>
      <c r="Q640" s="4271"/>
      <c r="R640" s="4271"/>
      <c r="S640" s="4271"/>
      <c r="T640" s="4271"/>
      <c r="U640" s="4271"/>
      <c r="V640" s="4272"/>
      <c r="W640" s="12">
        <f t="shared" si="41"/>
        <v>1</v>
      </c>
      <c r="X640" s="12">
        <f t="shared" si="43"/>
        <v>1</v>
      </c>
      <c r="Y640" s="12">
        <f t="shared" si="42"/>
        <v>1</v>
      </c>
    </row>
    <row r="641" spans="3:25" ht="15.7">
      <c r="D641" s="4267" t="str">
        <f>T('2 REPAIR ESTIMATOR'!D575:O575)</f>
        <v/>
      </c>
      <c r="E641" s="4268"/>
      <c r="F641" s="4268"/>
      <c r="G641" s="4268"/>
      <c r="H641" s="4268"/>
      <c r="I641" s="4268"/>
      <c r="J641" s="4268"/>
      <c r="K641" s="4268"/>
      <c r="L641" s="4269">
        <f>'2 REPAIR ESTIMATOR'!P575</f>
        <v>0</v>
      </c>
      <c r="M641" s="4269"/>
      <c r="N641" s="4270" t="str">
        <f>T('2 REPAIR ESTIMATOR'!S575)</f>
        <v/>
      </c>
      <c r="O641" s="4270"/>
      <c r="P641" s="4271"/>
      <c r="Q641" s="4271"/>
      <c r="R641" s="4271"/>
      <c r="S641" s="4271"/>
      <c r="T641" s="4271"/>
      <c r="U641" s="4271"/>
      <c r="V641" s="4272"/>
      <c r="W641" s="12">
        <f t="shared" si="41"/>
        <v>1</v>
      </c>
      <c r="X641" s="12">
        <f t="shared" si="43"/>
        <v>1</v>
      </c>
      <c r="Y641" s="12">
        <f t="shared" si="42"/>
        <v>1</v>
      </c>
    </row>
    <row r="642" spans="3:25" ht="15.7">
      <c r="D642" s="4267" t="str">
        <f>T('2 REPAIR ESTIMATOR'!D576:O576)</f>
        <v/>
      </c>
      <c r="E642" s="4268"/>
      <c r="F642" s="4268"/>
      <c r="G642" s="4268"/>
      <c r="H642" s="4268"/>
      <c r="I642" s="4268"/>
      <c r="J642" s="4268"/>
      <c r="K642" s="4268"/>
      <c r="L642" s="4269">
        <f>'2 REPAIR ESTIMATOR'!P576</f>
        <v>0</v>
      </c>
      <c r="M642" s="4269"/>
      <c r="N642" s="4270" t="str">
        <f>T('2 REPAIR ESTIMATOR'!S576)</f>
        <v/>
      </c>
      <c r="O642" s="4270"/>
      <c r="P642" s="4271"/>
      <c r="Q642" s="4271"/>
      <c r="R642" s="4271"/>
      <c r="S642" s="4271"/>
      <c r="T642" s="4271"/>
      <c r="U642" s="4271"/>
      <c r="V642" s="4272"/>
      <c r="W642" s="12">
        <f t="shared" si="41"/>
        <v>1</v>
      </c>
      <c r="X642" s="12">
        <f t="shared" si="43"/>
        <v>1</v>
      </c>
      <c r="Y642" s="12">
        <f t="shared" si="42"/>
        <v>1</v>
      </c>
    </row>
    <row r="643" spans="3:25" ht="15.7">
      <c r="D643" s="4267" t="str">
        <f>T('2 REPAIR ESTIMATOR'!D577:O577)</f>
        <v/>
      </c>
      <c r="E643" s="4268"/>
      <c r="F643" s="4268"/>
      <c r="G643" s="4268"/>
      <c r="H643" s="4268"/>
      <c r="I643" s="4268"/>
      <c r="J643" s="4268"/>
      <c r="K643" s="4268"/>
      <c r="L643" s="4269">
        <f>'2 REPAIR ESTIMATOR'!P577</f>
        <v>0</v>
      </c>
      <c r="M643" s="4269"/>
      <c r="N643" s="4270" t="str">
        <f>T('2 REPAIR ESTIMATOR'!S577)</f>
        <v/>
      </c>
      <c r="O643" s="4270"/>
      <c r="P643" s="4271"/>
      <c r="Q643" s="4271"/>
      <c r="R643" s="4271"/>
      <c r="S643" s="4271"/>
      <c r="T643" s="4271"/>
      <c r="U643" s="4271"/>
      <c r="V643" s="4272"/>
      <c r="W643" s="12">
        <f t="shared" si="41"/>
        <v>1</v>
      </c>
      <c r="X643" s="12">
        <f t="shared" si="43"/>
        <v>1</v>
      </c>
      <c r="Y643" s="12">
        <f t="shared" si="42"/>
        <v>1</v>
      </c>
    </row>
    <row r="644" spans="3:25" ht="15.7">
      <c r="C644" s="6"/>
      <c r="D644" s="723"/>
      <c r="E644" s="723"/>
      <c r="F644" s="723"/>
      <c r="G644" s="723"/>
      <c r="H644" s="723"/>
      <c r="I644" s="723"/>
      <c r="J644" s="723"/>
      <c r="K644" s="723"/>
      <c r="L644" s="724"/>
      <c r="M644" s="724"/>
      <c r="N644" s="725"/>
      <c r="O644" s="725"/>
      <c r="P644" s="724"/>
      <c r="Q644" s="445"/>
      <c r="R644" s="445"/>
      <c r="S644" s="725"/>
      <c r="T644" s="725"/>
      <c r="U644" s="725"/>
      <c r="V644" s="725"/>
      <c r="W644" s="12">
        <f>W645</f>
        <v>0</v>
      </c>
      <c r="X644" s="12">
        <f t="shared" si="43"/>
        <v>1</v>
      </c>
      <c r="Y644" s="12">
        <f t="shared" si="42"/>
        <v>0</v>
      </c>
    </row>
    <row r="645" spans="3:25" ht="16.7">
      <c r="C645" s="6"/>
      <c r="D645" s="4266" t="str">
        <f>UPPER(CONCATENATE("Miscellaneous ",D603," Items"))</f>
        <v>MISCELLANEOUS LANDSCAPING ITEMS</v>
      </c>
      <c r="E645" s="4266"/>
      <c r="F645" s="4266"/>
      <c r="G645" s="4266"/>
      <c r="H645" s="4266"/>
      <c r="I645" s="4266"/>
      <c r="J645" s="4266"/>
      <c r="K645" s="4266"/>
      <c r="L645" s="4266"/>
      <c r="M645" s="4266"/>
      <c r="N645" s="4266"/>
      <c r="O645" s="4266"/>
      <c r="P645" s="4266"/>
      <c r="Q645" s="4266"/>
      <c r="R645" s="4266"/>
      <c r="S645" s="4266"/>
      <c r="T645" s="4266"/>
      <c r="U645" s="4266"/>
      <c r="V645" s="4266"/>
      <c r="W645" s="12">
        <f>SUM(W646:W655)</f>
        <v>0</v>
      </c>
      <c r="X645" s="12">
        <f t="shared" si="43"/>
        <v>1</v>
      </c>
      <c r="Y645" s="12">
        <f t="shared" si="42"/>
        <v>0</v>
      </c>
    </row>
    <row r="646" spans="3:25" ht="15.7">
      <c r="C646" s="6"/>
      <c r="D646" s="712">
        <v>1</v>
      </c>
      <c r="E646" s="4263" t="s">
        <v>1448</v>
      </c>
      <c r="F646" s="4263" t="s">
        <v>1322</v>
      </c>
      <c r="G646" s="4263" t="s">
        <v>1322</v>
      </c>
      <c r="H646" s="4263" t="s">
        <v>1322</v>
      </c>
      <c r="I646" s="4263" t="s">
        <v>1322</v>
      </c>
      <c r="J646" s="4263" t="s">
        <v>1322</v>
      </c>
      <c r="K646" s="4263" t="s">
        <v>1322</v>
      </c>
      <c r="L646" s="4263" t="s">
        <v>1322</v>
      </c>
      <c r="M646" s="4263" t="s">
        <v>1322</v>
      </c>
      <c r="N646" s="4263" t="s">
        <v>1322</v>
      </c>
      <c r="O646" s="4263" t="s">
        <v>1322</v>
      </c>
      <c r="P646" s="4263" t="s">
        <v>1322</v>
      </c>
      <c r="Q646" s="4263" t="s">
        <v>1322</v>
      </c>
      <c r="R646" s="4263" t="s">
        <v>1322</v>
      </c>
      <c r="S646" s="4263" t="s">
        <v>1322</v>
      </c>
      <c r="T646" s="4263" t="s">
        <v>1322</v>
      </c>
      <c r="U646" s="4263" t="s">
        <v>1322</v>
      </c>
      <c r="V646" s="4263" t="s">
        <v>1322</v>
      </c>
      <c r="W646" s="12">
        <f>IF(E646&lt;&gt;"",1,0)*W603</f>
        <v>0</v>
      </c>
      <c r="X646" s="12">
        <f t="shared" si="43"/>
        <v>1</v>
      </c>
      <c r="Y646" s="12">
        <f t="shared" si="42"/>
        <v>0</v>
      </c>
    </row>
    <row r="647" spans="3:25" ht="15.7">
      <c r="C647" s="6"/>
      <c r="D647" s="712">
        <v>2</v>
      </c>
      <c r="E647" s="4263" t="s">
        <v>1323</v>
      </c>
      <c r="F647" s="4263" t="s">
        <v>1323</v>
      </c>
      <c r="G647" s="4263" t="s">
        <v>1323</v>
      </c>
      <c r="H647" s="4263" t="s">
        <v>1323</v>
      </c>
      <c r="I647" s="4263" t="s">
        <v>1323</v>
      </c>
      <c r="J647" s="4263" t="s">
        <v>1323</v>
      </c>
      <c r="K647" s="4263" t="s">
        <v>1323</v>
      </c>
      <c r="L647" s="4263" t="s">
        <v>1323</v>
      </c>
      <c r="M647" s="4263" t="s">
        <v>1323</v>
      </c>
      <c r="N647" s="4263" t="s">
        <v>1323</v>
      </c>
      <c r="O647" s="4263" t="s">
        <v>1323</v>
      </c>
      <c r="P647" s="4263" t="s">
        <v>1323</v>
      </c>
      <c r="Q647" s="4263" t="s">
        <v>1323</v>
      </c>
      <c r="R647" s="4263" t="s">
        <v>1323</v>
      </c>
      <c r="S647" s="4263" t="s">
        <v>1323</v>
      </c>
      <c r="T647" s="4263" t="s">
        <v>1323</v>
      </c>
      <c r="U647" s="4263" t="s">
        <v>1323</v>
      </c>
      <c r="V647" s="4263" t="s">
        <v>1323</v>
      </c>
      <c r="W647" s="12">
        <f>IF(E647&lt;&gt;"",1,0)*W603</f>
        <v>0</v>
      </c>
      <c r="X647" s="12">
        <f t="shared" si="43"/>
        <v>1</v>
      </c>
      <c r="Y647" s="12">
        <f t="shared" si="42"/>
        <v>0</v>
      </c>
    </row>
    <row r="648" spans="3:25" ht="15.7">
      <c r="C648" s="6"/>
      <c r="D648" s="712">
        <v>3</v>
      </c>
      <c r="E648" s="4263" t="s">
        <v>1385</v>
      </c>
      <c r="F648" s="4263" t="s">
        <v>1385</v>
      </c>
      <c r="G648" s="4263" t="s">
        <v>1385</v>
      </c>
      <c r="H648" s="4263" t="s">
        <v>1385</v>
      </c>
      <c r="I648" s="4263" t="s">
        <v>1385</v>
      </c>
      <c r="J648" s="4263" t="s">
        <v>1385</v>
      </c>
      <c r="K648" s="4263" t="s">
        <v>1385</v>
      </c>
      <c r="L648" s="4263" t="s">
        <v>1385</v>
      </c>
      <c r="M648" s="4263" t="s">
        <v>1385</v>
      </c>
      <c r="N648" s="4263" t="s">
        <v>1385</v>
      </c>
      <c r="O648" s="4263" t="s">
        <v>1385</v>
      </c>
      <c r="P648" s="4263" t="s">
        <v>1385</v>
      </c>
      <c r="Q648" s="4263" t="s">
        <v>1385</v>
      </c>
      <c r="R648" s="4263" t="s">
        <v>1385</v>
      </c>
      <c r="S648" s="4263" t="s">
        <v>1385</v>
      </c>
      <c r="T648" s="4263" t="s">
        <v>1385</v>
      </c>
      <c r="U648" s="4263" t="s">
        <v>1385</v>
      </c>
      <c r="V648" s="4263" t="s">
        <v>1385</v>
      </c>
      <c r="W648" s="12">
        <f>IF(E648&lt;&gt;"",1,0)*W603</f>
        <v>0</v>
      </c>
      <c r="X648" s="12">
        <f t="shared" si="43"/>
        <v>1</v>
      </c>
      <c r="Y648" s="12">
        <f t="shared" si="42"/>
        <v>0</v>
      </c>
    </row>
    <row r="649" spans="3:25" ht="15.7">
      <c r="C649" s="6"/>
      <c r="D649" s="712">
        <v>4</v>
      </c>
      <c r="E649" s="4263" t="s">
        <v>1386</v>
      </c>
      <c r="F649" s="4263" t="s">
        <v>1386</v>
      </c>
      <c r="G649" s="4263" t="s">
        <v>1386</v>
      </c>
      <c r="H649" s="4263" t="s">
        <v>1386</v>
      </c>
      <c r="I649" s="4263" t="s">
        <v>1386</v>
      </c>
      <c r="J649" s="4263" t="s">
        <v>1386</v>
      </c>
      <c r="K649" s="4263" t="s">
        <v>1386</v>
      </c>
      <c r="L649" s="4263" t="s">
        <v>1386</v>
      </c>
      <c r="M649" s="4263" t="s">
        <v>1386</v>
      </c>
      <c r="N649" s="4263" t="s">
        <v>1386</v>
      </c>
      <c r="O649" s="4263" t="s">
        <v>1386</v>
      </c>
      <c r="P649" s="4263" t="s">
        <v>1386</v>
      </c>
      <c r="Q649" s="4263" t="s">
        <v>1386</v>
      </c>
      <c r="R649" s="4263" t="s">
        <v>1386</v>
      </c>
      <c r="S649" s="4263" t="s">
        <v>1386</v>
      </c>
      <c r="T649" s="4263" t="s">
        <v>1386</v>
      </c>
      <c r="U649" s="4263" t="s">
        <v>1386</v>
      </c>
      <c r="V649" s="4263" t="s">
        <v>1386</v>
      </c>
      <c r="W649" s="12">
        <f>IF(E649&lt;&gt;"",1,0)*W603</f>
        <v>0</v>
      </c>
      <c r="X649" s="12">
        <f t="shared" si="43"/>
        <v>1</v>
      </c>
      <c r="Y649" s="12">
        <f t="shared" si="42"/>
        <v>0</v>
      </c>
    </row>
    <row r="650" spans="3:25" ht="15.7">
      <c r="C650" s="6"/>
      <c r="D650" s="712">
        <v>5</v>
      </c>
      <c r="E650" s="4263" t="s">
        <v>1387</v>
      </c>
      <c r="F650" s="4263" t="s">
        <v>1387</v>
      </c>
      <c r="G650" s="4263" t="s">
        <v>1387</v>
      </c>
      <c r="H650" s="4263" t="s">
        <v>1387</v>
      </c>
      <c r="I650" s="4263" t="s">
        <v>1387</v>
      </c>
      <c r="J650" s="4263" t="s">
        <v>1387</v>
      </c>
      <c r="K650" s="4263" t="s">
        <v>1387</v>
      </c>
      <c r="L650" s="4263" t="s">
        <v>1387</v>
      </c>
      <c r="M650" s="4263" t="s">
        <v>1387</v>
      </c>
      <c r="N650" s="4263" t="s">
        <v>1387</v>
      </c>
      <c r="O650" s="4263" t="s">
        <v>1387</v>
      </c>
      <c r="P650" s="4263" t="s">
        <v>1387</v>
      </c>
      <c r="Q650" s="4263" t="s">
        <v>1387</v>
      </c>
      <c r="R650" s="4263" t="s">
        <v>1387</v>
      </c>
      <c r="S650" s="4263" t="s">
        <v>1387</v>
      </c>
      <c r="T650" s="4263" t="s">
        <v>1387</v>
      </c>
      <c r="U650" s="4263" t="s">
        <v>1387</v>
      </c>
      <c r="V650" s="4263" t="s">
        <v>1387</v>
      </c>
      <c r="W650" s="12">
        <f>IF(E650&lt;&gt;"",1,0)*W603</f>
        <v>0</v>
      </c>
      <c r="X650" s="12">
        <f t="shared" si="43"/>
        <v>1</v>
      </c>
      <c r="Y650" s="12">
        <f t="shared" si="42"/>
        <v>0</v>
      </c>
    </row>
    <row r="651" spans="3:25" ht="15.7">
      <c r="C651" s="6"/>
      <c r="D651" s="712">
        <v>6</v>
      </c>
      <c r="E651" s="4263" t="s">
        <v>1388</v>
      </c>
      <c r="F651" s="4263" t="s">
        <v>1388</v>
      </c>
      <c r="G651" s="4263" t="s">
        <v>1388</v>
      </c>
      <c r="H651" s="4263" t="s">
        <v>1388</v>
      </c>
      <c r="I651" s="4263" t="s">
        <v>1388</v>
      </c>
      <c r="J651" s="4263" t="s">
        <v>1388</v>
      </c>
      <c r="K651" s="4263" t="s">
        <v>1388</v>
      </c>
      <c r="L651" s="4263" t="s">
        <v>1388</v>
      </c>
      <c r="M651" s="4263" t="s">
        <v>1388</v>
      </c>
      <c r="N651" s="4263" t="s">
        <v>1388</v>
      </c>
      <c r="O651" s="4263" t="s">
        <v>1388</v>
      </c>
      <c r="P651" s="4263" t="s">
        <v>1388</v>
      </c>
      <c r="Q651" s="4263" t="s">
        <v>1388</v>
      </c>
      <c r="R651" s="4263" t="s">
        <v>1388</v>
      </c>
      <c r="S651" s="4263" t="s">
        <v>1388</v>
      </c>
      <c r="T651" s="4263" t="s">
        <v>1388</v>
      </c>
      <c r="U651" s="4263" t="s">
        <v>1388</v>
      </c>
      <c r="V651" s="4263" t="s">
        <v>1388</v>
      </c>
      <c r="W651" s="12">
        <f>IF(E651&lt;&gt;"",1,0)*W603</f>
        <v>0</v>
      </c>
      <c r="X651" s="12">
        <f t="shared" si="43"/>
        <v>1</v>
      </c>
      <c r="Y651" s="12">
        <f t="shared" si="42"/>
        <v>0</v>
      </c>
    </row>
    <row r="652" spans="3:25" ht="15.7">
      <c r="C652" s="6"/>
      <c r="D652" s="712">
        <v>7</v>
      </c>
      <c r="E652" s="4263" t="s">
        <v>1449</v>
      </c>
      <c r="F652" s="4263"/>
      <c r="G652" s="4263"/>
      <c r="H652" s="4263"/>
      <c r="I652" s="4263"/>
      <c r="J652" s="4263"/>
      <c r="K652" s="4263"/>
      <c r="L652" s="4263"/>
      <c r="M652" s="4263"/>
      <c r="N652" s="4263"/>
      <c r="O652" s="4263"/>
      <c r="P652" s="4263"/>
      <c r="Q652" s="4263"/>
      <c r="R652" s="4263"/>
      <c r="S652" s="4263"/>
      <c r="T652" s="4263"/>
      <c r="U652" s="4263"/>
      <c r="V652" s="4263"/>
      <c r="W652" s="12">
        <f>IF(E652&lt;&gt;"",1,0)*W603</f>
        <v>0</v>
      </c>
      <c r="X652" s="12">
        <f t="shared" si="43"/>
        <v>1</v>
      </c>
      <c r="Y652" s="12">
        <f t="shared" si="42"/>
        <v>0</v>
      </c>
    </row>
    <row r="653" spans="3:25" ht="15.7">
      <c r="C653" s="6"/>
      <c r="D653" s="712">
        <v>8</v>
      </c>
      <c r="E653" s="4263"/>
      <c r="F653" s="4263"/>
      <c r="G653" s="4263"/>
      <c r="H653" s="4263"/>
      <c r="I653" s="4263"/>
      <c r="J653" s="4263"/>
      <c r="K653" s="4263"/>
      <c r="L653" s="4263"/>
      <c r="M653" s="4263"/>
      <c r="N653" s="4263"/>
      <c r="O653" s="4263"/>
      <c r="P653" s="4263"/>
      <c r="Q653" s="4263"/>
      <c r="R653" s="4263"/>
      <c r="S653" s="4263"/>
      <c r="T653" s="4263"/>
      <c r="U653" s="4263"/>
      <c r="V653" s="4263"/>
      <c r="W653" s="12">
        <f>IF(E653&lt;&gt;"",1,0)*W603</f>
        <v>0</v>
      </c>
      <c r="X653" s="12">
        <f t="shared" si="43"/>
        <v>1</v>
      </c>
      <c r="Y653" s="12">
        <f t="shared" si="42"/>
        <v>0</v>
      </c>
    </row>
    <row r="654" spans="3:25" ht="15.7">
      <c r="C654" s="6"/>
      <c r="D654" s="712">
        <v>9</v>
      </c>
      <c r="E654" s="4263"/>
      <c r="F654" s="4263"/>
      <c r="G654" s="4263"/>
      <c r="H654" s="4263"/>
      <c r="I654" s="4263"/>
      <c r="J654" s="4263"/>
      <c r="K654" s="4263"/>
      <c r="L654" s="4263"/>
      <c r="M654" s="4263"/>
      <c r="N654" s="4263"/>
      <c r="O654" s="4263"/>
      <c r="P654" s="4263"/>
      <c r="Q654" s="4263"/>
      <c r="R654" s="4263"/>
      <c r="S654" s="4263"/>
      <c r="T654" s="4263"/>
      <c r="U654" s="4263"/>
      <c r="V654" s="4263"/>
      <c r="W654" s="12">
        <f>IF(E654&lt;&gt;"",1,0)*W603</f>
        <v>0</v>
      </c>
      <c r="X654" s="12">
        <f t="shared" si="43"/>
        <v>1</v>
      </c>
      <c r="Y654" s="12">
        <f t="shared" si="42"/>
        <v>0</v>
      </c>
    </row>
    <row r="655" spans="3:25" ht="15.7">
      <c r="C655" s="6"/>
      <c r="D655" s="712">
        <v>10</v>
      </c>
      <c r="E655" s="4263"/>
      <c r="F655" s="4263"/>
      <c r="G655" s="4263"/>
      <c r="H655" s="4263"/>
      <c r="I655" s="4263"/>
      <c r="J655" s="4263"/>
      <c r="K655" s="4263"/>
      <c r="L655" s="4263"/>
      <c r="M655" s="4263"/>
      <c r="N655" s="4263"/>
      <c r="O655" s="4263"/>
      <c r="P655" s="4263"/>
      <c r="Q655" s="4263"/>
      <c r="R655" s="4263"/>
      <c r="S655" s="4263"/>
      <c r="T655" s="4263"/>
      <c r="U655" s="4263"/>
      <c r="V655" s="4263"/>
      <c r="W655" s="12">
        <f>IF(E655&lt;&gt;"",1,0)*W603</f>
        <v>0</v>
      </c>
      <c r="X655" s="12">
        <f t="shared" si="43"/>
        <v>1</v>
      </c>
      <c r="Y655" s="12">
        <f t="shared" si="42"/>
        <v>0</v>
      </c>
    </row>
    <row r="656" spans="3:25" ht="15.7">
      <c r="C656" s="6"/>
      <c r="D656" s="723"/>
      <c r="E656" s="723"/>
      <c r="F656" s="723"/>
      <c r="G656" s="723"/>
      <c r="H656" s="723"/>
      <c r="I656" s="723"/>
      <c r="J656" s="723"/>
      <c r="K656" s="723"/>
      <c r="L656" s="724"/>
      <c r="M656" s="724"/>
      <c r="N656" s="725"/>
      <c r="O656" s="725"/>
      <c r="P656" s="724"/>
      <c r="Q656" s="445"/>
      <c r="R656" s="445"/>
      <c r="S656" s="726"/>
      <c r="T656" s="726"/>
      <c r="U656" s="726"/>
      <c r="V656" s="726"/>
      <c r="W656" s="12">
        <f>W603</f>
        <v>0</v>
      </c>
      <c r="X656" s="12">
        <f t="shared" si="43"/>
        <v>1</v>
      </c>
      <c r="Y656" s="12">
        <f t="shared" si="42"/>
        <v>0</v>
      </c>
    </row>
    <row r="657" spans="3:25" ht="40.5" customHeight="1">
      <c r="C657" s="6"/>
      <c r="D657" s="4264" t="str">
        <f>UPPER(CONCATENATE("TOTAL ",D603))</f>
        <v>TOTAL LANDSCAPING</v>
      </c>
      <c r="E657" s="4264"/>
      <c r="F657" s="4264"/>
      <c r="G657" s="4264"/>
      <c r="H657" s="4264"/>
      <c r="I657" s="4264"/>
      <c r="J657" s="4264"/>
      <c r="K657" s="4264"/>
      <c r="L657" s="4264"/>
      <c r="M657" s="4264"/>
      <c r="N657" s="4264"/>
      <c r="O657" s="4264"/>
      <c r="P657" s="4264"/>
      <c r="Q657" s="4265"/>
      <c r="R657" s="4265"/>
      <c r="S657" s="4265"/>
      <c r="T657" s="4265"/>
      <c r="U657" s="4265"/>
      <c r="V657" s="4265"/>
      <c r="W657" s="12">
        <f>W603</f>
        <v>0</v>
      </c>
      <c r="X657" s="12">
        <f t="shared" si="43"/>
        <v>1</v>
      </c>
      <c r="Y657" s="12">
        <f t="shared" si="42"/>
        <v>0</v>
      </c>
    </row>
    <row r="658" spans="3:25" ht="15.7">
      <c r="D658" s="723"/>
      <c r="E658" s="723"/>
      <c r="F658" s="723"/>
      <c r="G658" s="723"/>
      <c r="H658" s="723"/>
      <c r="I658" s="723"/>
      <c r="J658" s="723"/>
      <c r="K658" s="723"/>
      <c r="L658" s="724"/>
      <c r="M658" s="724"/>
      <c r="N658" s="725"/>
      <c r="O658" s="725"/>
      <c r="P658" s="724"/>
      <c r="Q658" s="445"/>
      <c r="R658" s="445"/>
      <c r="S658" s="726"/>
      <c r="T658" s="726"/>
      <c r="U658" s="726"/>
      <c r="V658" s="726"/>
      <c r="W658" s="12">
        <f>W603</f>
        <v>0</v>
      </c>
      <c r="X658" s="12">
        <f t="shared" si="43"/>
        <v>1</v>
      </c>
      <c r="Y658" s="12">
        <f t="shared" si="42"/>
        <v>0</v>
      </c>
    </row>
    <row r="659" spans="3:25" ht="26.45" customHeight="1">
      <c r="D659" s="4275" t="str">
        <f>T('2 REPAIR ESTIMATOR'!D582:O582)</f>
        <v>MISC. EXTERIOR ITEMS</v>
      </c>
      <c r="E659" s="4275"/>
      <c r="F659" s="4275"/>
      <c r="G659" s="4275"/>
      <c r="H659" s="4275"/>
      <c r="I659" s="4275"/>
      <c r="J659" s="4275"/>
      <c r="K659" s="4276"/>
      <c r="L659" s="4277">
        <f>SUM(L660:M699)</f>
        <v>0</v>
      </c>
      <c r="M659" s="4278"/>
      <c r="N659" s="4279"/>
      <c r="O659" s="4280"/>
      <c r="P659" s="4277"/>
      <c r="Q659" s="4281"/>
      <c r="R659" s="4281"/>
      <c r="S659" s="4281"/>
      <c r="T659" s="4281"/>
      <c r="U659" s="4281"/>
      <c r="V659" s="4281"/>
      <c r="W659" s="12">
        <f>IF(L659&gt;0,1,0)</f>
        <v>0</v>
      </c>
      <c r="X659" s="12">
        <f t="shared" ref="X659:X690" si="44">IF(Scope12_Setting="Shown",1,0)</f>
        <v>1</v>
      </c>
      <c r="Y659" s="12">
        <f t="shared" si="42"/>
        <v>0</v>
      </c>
    </row>
    <row r="660" spans="3:25" ht="15.7">
      <c r="D660" s="4267" t="str">
        <f>T('2 REPAIR ESTIMATOR'!D583:O583)</f>
        <v>Misc. Ext Improvements bid/allowance</v>
      </c>
      <c r="E660" s="4268"/>
      <c r="F660" s="4268"/>
      <c r="G660" s="4268"/>
      <c r="H660" s="4268"/>
      <c r="I660" s="4268"/>
      <c r="J660" s="4268"/>
      <c r="K660" s="4268"/>
      <c r="L660" s="4269">
        <f>'2 REPAIR ESTIMATOR'!P583</f>
        <v>0</v>
      </c>
      <c r="M660" s="4269"/>
      <c r="N660" s="4270" t="str">
        <f>T('2 REPAIR ESTIMATOR'!S583)</f>
        <v>ls</v>
      </c>
      <c r="O660" s="4270"/>
      <c r="P660" s="4273"/>
      <c r="Q660" s="4273"/>
      <c r="R660" s="4273"/>
      <c r="S660" s="4273"/>
      <c r="T660" s="4273"/>
      <c r="U660" s="4273"/>
      <c r="V660" s="4274"/>
      <c r="W660" s="12">
        <f>IF(L660="",0,1)</f>
        <v>1</v>
      </c>
      <c r="X660" s="12">
        <f t="shared" si="44"/>
        <v>1</v>
      </c>
      <c r="Y660" s="12">
        <f t="shared" si="42"/>
        <v>1</v>
      </c>
    </row>
    <row r="661" spans="3:25" ht="15.7">
      <c r="D661" s="4267" t="str">
        <f>T('2 REPAIR ESTIMATOR'!D584:O584)</f>
        <v>Miscellaneous Improvements</v>
      </c>
      <c r="E661" s="4268"/>
      <c r="F661" s="4268"/>
      <c r="G661" s="4268"/>
      <c r="H661" s="4268"/>
      <c r="I661" s="4268"/>
      <c r="J661" s="4268"/>
      <c r="K661" s="4268"/>
      <c r="L661" s="4269">
        <f>'2 REPAIR ESTIMATOR'!P584</f>
        <v>0</v>
      </c>
      <c r="M661" s="4269"/>
      <c r="N661" s="4270" t="str">
        <f>T('2 REPAIR ESTIMATOR'!S584)</f>
        <v/>
      </c>
      <c r="O661" s="4270"/>
      <c r="P661" s="4271"/>
      <c r="Q661" s="4271"/>
      <c r="R661" s="4271"/>
      <c r="S661" s="4271"/>
      <c r="T661" s="4271"/>
      <c r="U661" s="4271"/>
      <c r="V661" s="4272"/>
      <c r="W661" s="12">
        <f t="shared" ref="W661:W699" si="45">IF(L661="",0,1)</f>
        <v>1</v>
      </c>
      <c r="X661" s="12">
        <f t="shared" si="44"/>
        <v>1</v>
      </c>
      <c r="Y661" s="12">
        <f t="shared" si="42"/>
        <v>1</v>
      </c>
    </row>
    <row r="662" spans="3:25" ht="15.7">
      <c r="D662" s="4267" t="str">
        <f>T('2 REPAIR ESTIMATOR'!D585:O585)</f>
        <v>New mailbox</v>
      </c>
      <c r="E662" s="4268"/>
      <c r="F662" s="4268"/>
      <c r="G662" s="4268"/>
      <c r="H662" s="4268"/>
      <c r="I662" s="4268"/>
      <c r="J662" s="4268"/>
      <c r="K662" s="4268"/>
      <c r="L662" s="4269">
        <f>'2 REPAIR ESTIMATOR'!P585</f>
        <v>0</v>
      </c>
      <c r="M662" s="4269"/>
      <c r="N662" s="4270" t="str">
        <f>T('2 REPAIR ESTIMATOR'!S585)</f>
        <v>ea</v>
      </c>
      <c r="O662" s="4270"/>
      <c r="P662" s="4271"/>
      <c r="Q662" s="4271"/>
      <c r="R662" s="4271"/>
      <c r="S662" s="4271"/>
      <c r="T662" s="4271"/>
      <c r="U662" s="4271"/>
      <c r="V662" s="4272"/>
      <c r="W662" s="12">
        <f t="shared" si="45"/>
        <v>1</v>
      </c>
      <c r="X662" s="12">
        <f t="shared" si="44"/>
        <v>1</v>
      </c>
      <c r="Y662" s="12">
        <f t="shared" si="42"/>
        <v>1</v>
      </c>
    </row>
    <row r="663" spans="3:25" ht="15.7">
      <c r="D663" s="4267" t="str">
        <f>T('2 REPAIR ESTIMATOR'!D586:O586)</f>
        <v>New address #</v>
      </c>
      <c r="E663" s="4268"/>
      <c r="F663" s="4268"/>
      <c r="G663" s="4268"/>
      <c r="H663" s="4268"/>
      <c r="I663" s="4268"/>
      <c r="J663" s="4268"/>
      <c r="K663" s="4268"/>
      <c r="L663" s="4269">
        <f>'2 REPAIR ESTIMATOR'!P586</f>
        <v>0</v>
      </c>
      <c r="M663" s="4269"/>
      <c r="N663" s="4270" t="str">
        <f>T('2 REPAIR ESTIMATOR'!S586)</f>
        <v>ea</v>
      </c>
      <c r="O663" s="4270"/>
      <c r="P663" s="4271"/>
      <c r="Q663" s="4271"/>
      <c r="R663" s="4271"/>
      <c r="S663" s="4271"/>
      <c r="T663" s="4271"/>
      <c r="U663" s="4271"/>
      <c r="V663" s="4272"/>
      <c r="W663" s="12">
        <f t="shared" si="45"/>
        <v>1</v>
      </c>
      <c r="X663" s="12">
        <f t="shared" si="44"/>
        <v>1</v>
      </c>
      <c r="Y663" s="12">
        <f t="shared" si="42"/>
        <v>1</v>
      </c>
    </row>
    <row r="664" spans="3:25" ht="15.7">
      <c r="D664" s="4267" t="str">
        <f>T('2 REPAIR ESTIMATOR'!D587:O587)</f>
        <v>Shutters</v>
      </c>
      <c r="E664" s="4268"/>
      <c r="F664" s="4268"/>
      <c r="G664" s="4268"/>
      <c r="H664" s="4268"/>
      <c r="I664" s="4268"/>
      <c r="J664" s="4268"/>
      <c r="K664" s="4268"/>
      <c r="L664" s="4269">
        <f>'2 REPAIR ESTIMATOR'!P587</f>
        <v>0</v>
      </c>
      <c r="M664" s="4269"/>
      <c r="N664" s="4270" t="str">
        <f>T('2 REPAIR ESTIMATOR'!S587)</f>
        <v>ea</v>
      </c>
      <c r="O664" s="4270"/>
      <c r="P664" s="4271"/>
      <c r="Q664" s="4271"/>
      <c r="R664" s="4271"/>
      <c r="S664" s="4271"/>
      <c r="T664" s="4271"/>
      <c r="U664" s="4271"/>
      <c r="V664" s="4272"/>
      <c r="W664" s="12">
        <f t="shared" si="45"/>
        <v>1</v>
      </c>
      <c r="X664" s="12">
        <f t="shared" si="44"/>
        <v>1</v>
      </c>
      <c r="Y664" s="12">
        <f t="shared" si="42"/>
        <v>1</v>
      </c>
    </row>
    <row r="665" spans="3:25" ht="15.7">
      <c r="D665" s="4267" t="str">
        <f>T('2 REPAIR ESTIMATOR'!D588:O588)</f>
        <v/>
      </c>
      <c r="E665" s="4268"/>
      <c r="F665" s="4268"/>
      <c r="G665" s="4268"/>
      <c r="H665" s="4268"/>
      <c r="I665" s="4268"/>
      <c r="J665" s="4268"/>
      <c r="K665" s="4268"/>
      <c r="L665" s="4269">
        <f>'2 REPAIR ESTIMATOR'!P588</f>
        <v>0</v>
      </c>
      <c r="M665" s="4269"/>
      <c r="N665" s="4270" t="str">
        <f>T('2 REPAIR ESTIMATOR'!S588)</f>
        <v/>
      </c>
      <c r="O665" s="4270"/>
      <c r="P665" s="4271"/>
      <c r="Q665" s="4271"/>
      <c r="R665" s="4271"/>
      <c r="S665" s="4271"/>
      <c r="T665" s="4271"/>
      <c r="U665" s="4271"/>
      <c r="V665" s="4272"/>
      <c r="W665" s="12">
        <f t="shared" si="45"/>
        <v>1</v>
      </c>
      <c r="X665" s="12">
        <f t="shared" si="44"/>
        <v>1</v>
      </c>
      <c r="Y665" s="12">
        <f t="shared" si="42"/>
        <v>1</v>
      </c>
    </row>
    <row r="666" spans="3:25" ht="15.7">
      <c r="D666" s="4267" t="str">
        <f>T('2 REPAIR ESTIMATOR'!D589:O589)</f>
        <v>Fencing</v>
      </c>
      <c r="E666" s="4268"/>
      <c r="F666" s="4268"/>
      <c r="G666" s="4268"/>
      <c r="H666" s="4268"/>
      <c r="I666" s="4268"/>
      <c r="J666" s="4268"/>
      <c r="K666" s="4268"/>
      <c r="L666" s="4269">
        <f>'2 REPAIR ESTIMATOR'!P589</f>
        <v>0</v>
      </c>
      <c r="M666" s="4269"/>
      <c r="N666" s="4270" t="str">
        <f>T('2 REPAIR ESTIMATOR'!S589)</f>
        <v/>
      </c>
      <c r="O666" s="4270"/>
      <c r="P666" s="4271"/>
      <c r="Q666" s="4271"/>
      <c r="R666" s="4271"/>
      <c r="S666" s="4271"/>
      <c r="T666" s="4271"/>
      <c r="U666" s="4271"/>
      <c r="V666" s="4272"/>
      <c r="W666" s="12">
        <f t="shared" si="45"/>
        <v>1</v>
      </c>
      <c r="X666" s="12">
        <f t="shared" si="44"/>
        <v>1</v>
      </c>
      <c r="Y666" s="12">
        <f t="shared" si="42"/>
        <v>1</v>
      </c>
    </row>
    <row r="667" spans="3:25" ht="15.7">
      <c r="D667" s="4267" t="str">
        <f>T('2 REPAIR ESTIMATOR'!D590:O590)</f>
        <v>Chain link fencing</v>
      </c>
      <c r="E667" s="4268"/>
      <c r="F667" s="4268"/>
      <c r="G667" s="4268"/>
      <c r="H667" s="4268"/>
      <c r="I667" s="4268"/>
      <c r="J667" s="4268"/>
      <c r="K667" s="4268"/>
      <c r="L667" s="4269">
        <f>'2 REPAIR ESTIMATOR'!P590</f>
        <v>0</v>
      </c>
      <c r="M667" s="4269"/>
      <c r="N667" s="4270" t="str">
        <f>T('2 REPAIR ESTIMATOR'!S590)</f>
        <v>lf</v>
      </c>
      <c r="O667" s="4270"/>
      <c r="P667" s="4271"/>
      <c r="Q667" s="4271"/>
      <c r="R667" s="4271"/>
      <c r="S667" s="4271"/>
      <c r="T667" s="4271"/>
      <c r="U667" s="4271"/>
      <c r="V667" s="4272"/>
      <c r="W667" s="12">
        <f t="shared" si="45"/>
        <v>1</v>
      </c>
      <c r="X667" s="12">
        <f t="shared" si="44"/>
        <v>1</v>
      </c>
      <c r="Y667" s="12">
        <f t="shared" si="42"/>
        <v>1</v>
      </c>
    </row>
    <row r="668" spans="3:25" ht="15.7">
      <c r="D668" s="4267" t="str">
        <f>T('2 REPAIR ESTIMATOR'!D591:O591)</f>
        <v>Wood fencing</v>
      </c>
      <c r="E668" s="4268"/>
      <c r="F668" s="4268"/>
      <c r="G668" s="4268"/>
      <c r="H668" s="4268"/>
      <c r="I668" s="4268"/>
      <c r="J668" s="4268"/>
      <c r="K668" s="4268"/>
      <c r="L668" s="4269">
        <f>'2 REPAIR ESTIMATOR'!P591</f>
        <v>0</v>
      </c>
      <c r="M668" s="4269"/>
      <c r="N668" s="4270" t="str">
        <f>T('2 REPAIR ESTIMATOR'!S591)</f>
        <v>lf</v>
      </c>
      <c r="O668" s="4270"/>
      <c r="P668" s="4271"/>
      <c r="Q668" s="4271"/>
      <c r="R668" s="4271"/>
      <c r="S668" s="4271"/>
      <c r="T668" s="4271"/>
      <c r="U668" s="4271"/>
      <c r="V668" s="4272"/>
      <c r="W668" s="12">
        <f t="shared" si="45"/>
        <v>1</v>
      </c>
      <c r="X668" s="12">
        <f t="shared" si="44"/>
        <v>1</v>
      </c>
      <c r="Y668" s="12">
        <f t="shared" si="42"/>
        <v>1</v>
      </c>
    </row>
    <row r="669" spans="3:25" ht="15.7">
      <c r="D669" s="4267" t="str">
        <f>T('2 REPAIR ESTIMATOR'!D592:O592)</f>
        <v/>
      </c>
      <c r="E669" s="4268"/>
      <c r="F669" s="4268"/>
      <c r="G669" s="4268"/>
      <c r="H669" s="4268"/>
      <c r="I669" s="4268"/>
      <c r="J669" s="4268"/>
      <c r="K669" s="4268"/>
      <c r="L669" s="4269">
        <f>'2 REPAIR ESTIMATOR'!P592</f>
        <v>0</v>
      </c>
      <c r="M669" s="4269"/>
      <c r="N669" s="4270" t="str">
        <f>T('2 REPAIR ESTIMATOR'!S592)</f>
        <v/>
      </c>
      <c r="O669" s="4270"/>
      <c r="P669" s="4271"/>
      <c r="Q669" s="4271"/>
      <c r="R669" s="4271"/>
      <c r="S669" s="4271"/>
      <c r="T669" s="4271"/>
      <c r="U669" s="4271"/>
      <c r="V669" s="4272"/>
      <c r="W669" s="12">
        <f t="shared" si="45"/>
        <v>1</v>
      </c>
      <c r="X669" s="12">
        <f t="shared" si="44"/>
        <v>1</v>
      </c>
      <c r="Y669" s="12">
        <f t="shared" si="42"/>
        <v>1</v>
      </c>
    </row>
    <row r="670" spans="3:25" ht="15.7">
      <c r="D670" s="4267" t="str">
        <f>T('2 REPAIR ESTIMATOR'!D593:O593)</f>
        <v>Misc. Exterior Structures</v>
      </c>
      <c r="E670" s="4268"/>
      <c r="F670" s="4268"/>
      <c r="G670" s="4268"/>
      <c r="H670" s="4268"/>
      <c r="I670" s="4268"/>
      <c r="J670" s="4268"/>
      <c r="K670" s="4268"/>
      <c r="L670" s="4269">
        <f>'2 REPAIR ESTIMATOR'!P593</f>
        <v>0</v>
      </c>
      <c r="M670" s="4269"/>
      <c r="N670" s="4270" t="str">
        <f>T('2 REPAIR ESTIMATOR'!S593)</f>
        <v/>
      </c>
      <c r="O670" s="4270"/>
      <c r="P670" s="4271"/>
      <c r="Q670" s="4271"/>
      <c r="R670" s="4271"/>
      <c r="S670" s="4271"/>
      <c r="T670" s="4271"/>
      <c r="U670" s="4271"/>
      <c r="V670" s="4272"/>
      <c r="W670" s="12">
        <f t="shared" si="45"/>
        <v>1</v>
      </c>
      <c r="X670" s="12">
        <f t="shared" si="44"/>
        <v>1</v>
      </c>
      <c r="Y670" s="12">
        <f t="shared" si="42"/>
        <v>1</v>
      </c>
    </row>
    <row r="671" spans="3:25" ht="15.7">
      <c r="D671" s="4267" t="str">
        <f>T('2 REPAIR ESTIMATOR'!D594:O594)</f>
        <v>Premanufactured carport</v>
      </c>
      <c r="E671" s="4268"/>
      <c r="F671" s="4268"/>
      <c r="G671" s="4268"/>
      <c r="H671" s="4268"/>
      <c r="I671" s="4268"/>
      <c r="J671" s="4268"/>
      <c r="K671" s="4268"/>
      <c r="L671" s="4269">
        <f>'2 REPAIR ESTIMATOR'!P594</f>
        <v>0</v>
      </c>
      <c r="M671" s="4269"/>
      <c r="N671" s="4270" t="str">
        <f>T('2 REPAIR ESTIMATOR'!S594)</f>
        <v>ea</v>
      </c>
      <c r="O671" s="4270"/>
      <c r="P671" s="4271"/>
      <c r="Q671" s="4271"/>
      <c r="R671" s="4271"/>
      <c r="S671" s="4271"/>
      <c r="T671" s="4271"/>
      <c r="U671" s="4271"/>
      <c r="V671" s="4272"/>
      <c r="W671" s="12">
        <f t="shared" si="45"/>
        <v>1</v>
      </c>
      <c r="X671" s="12">
        <f t="shared" si="44"/>
        <v>1</v>
      </c>
      <c r="Y671" s="12">
        <f t="shared" si="42"/>
        <v>1</v>
      </c>
    </row>
    <row r="672" spans="3:25" ht="15.7">
      <c r="D672" s="4267" t="str">
        <f>T('2 REPAIR ESTIMATOR'!D595:O595)</f>
        <v>Storage shed, wood</v>
      </c>
      <c r="E672" s="4268"/>
      <c r="F672" s="4268"/>
      <c r="G672" s="4268"/>
      <c r="H672" s="4268"/>
      <c r="I672" s="4268"/>
      <c r="J672" s="4268"/>
      <c r="K672" s="4268"/>
      <c r="L672" s="4269">
        <f>'2 REPAIR ESTIMATOR'!P595</f>
        <v>0</v>
      </c>
      <c r="M672" s="4269"/>
      <c r="N672" s="4270" t="str">
        <f>T('2 REPAIR ESTIMATOR'!S595)</f>
        <v>ea</v>
      </c>
      <c r="O672" s="4270"/>
      <c r="P672" s="4271"/>
      <c r="Q672" s="4271"/>
      <c r="R672" s="4271"/>
      <c r="S672" s="4271"/>
      <c r="T672" s="4271"/>
      <c r="U672" s="4271"/>
      <c r="V672" s="4272"/>
      <c r="W672" s="12">
        <f t="shared" si="45"/>
        <v>1</v>
      </c>
      <c r="X672" s="12">
        <f t="shared" si="44"/>
        <v>1</v>
      </c>
      <c r="Y672" s="12">
        <f t="shared" si="42"/>
        <v>1</v>
      </c>
    </row>
    <row r="673" spans="4:25" ht="15.7">
      <c r="D673" s="4267" t="str">
        <f>T('2 REPAIR ESTIMATOR'!D596:O596)</f>
        <v>Gazebo</v>
      </c>
      <c r="E673" s="4268"/>
      <c r="F673" s="4268"/>
      <c r="G673" s="4268"/>
      <c r="H673" s="4268"/>
      <c r="I673" s="4268"/>
      <c r="J673" s="4268"/>
      <c r="K673" s="4268"/>
      <c r="L673" s="4269">
        <f>'2 REPAIR ESTIMATOR'!P596</f>
        <v>0</v>
      </c>
      <c r="M673" s="4269"/>
      <c r="N673" s="4270" t="str">
        <f>T('2 REPAIR ESTIMATOR'!S596)</f>
        <v>sf</v>
      </c>
      <c r="O673" s="4270"/>
      <c r="P673" s="4271"/>
      <c r="Q673" s="4271"/>
      <c r="R673" s="4271"/>
      <c r="S673" s="4271"/>
      <c r="T673" s="4271"/>
      <c r="U673" s="4271"/>
      <c r="V673" s="4272"/>
      <c r="W673" s="12">
        <f t="shared" si="45"/>
        <v>1</v>
      </c>
      <c r="X673" s="12">
        <f t="shared" si="44"/>
        <v>1</v>
      </c>
      <c r="Y673" s="12">
        <f t="shared" si="42"/>
        <v>1</v>
      </c>
    </row>
    <row r="674" spans="4:25" ht="15.7">
      <c r="D674" s="4267" t="str">
        <f>T('2 REPAIR ESTIMATOR'!D597:O597)</f>
        <v/>
      </c>
      <c r="E674" s="4268"/>
      <c r="F674" s="4268"/>
      <c r="G674" s="4268"/>
      <c r="H674" s="4268"/>
      <c r="I674" s="4268"/>
      <c r="J674" s="4268"/>
      <c r="K674" s="4268"/>
      <c r="L674" s="4269">
        <f>'2 REPAIR ESTIMATOR'!P597</f>
        <v>0</v>
      </c>
      <c r="M674" s="4269"/>
      <c r="N674" s="4270" t="str">
        <f>T('2 REPAIR ESTIMATOR'!S597)</f>
        <v/>
      </c>
      <c r="O674" s="4270"/>
      <c r="P674" s="4271"/>
      <c r="Q674" s="4271"/>
      <c r="R674" s="4271"/>
      <c r="S674" s="4271"/>
      <c r="T674" s="4271"/>
      <c r="U674" s="4271"/>
      <c r="V674" s="4272"/>
      <c r="W674" s="12">
        <f t="shared" si="45"/>
        <v>1</v>
      </c>
      <c r="X674" s="12">
        <f t="shared" si="44"/>
        <v>1</v>
      </c>
      <c r="Y674" s="12">
        <f t="shared" si="42"/>
        <v>1</v>
      </c>
    </row>
    <row r="675" spans="4:25" ht="15.7">
      <c r="D675" s="4267" t="str">
        <f>T('2 REPAIR ESTIMATOR'!D598:O598)</f>
        <v>Pools</v>
      </c>
      <c r="E675" s="4268"/>
      <c r="F675" s="4268"/>
      <c r="G675" s="4268"/>
      <c r="H675" s="4268"/>
      <c r="I675" s="4268"/>
      <c r="J675" s="4268"/>
      <c r="K675" s="4268"/>
      <c r="L675" s="4269">
        <f>'2 REPAIR ESTIMATOR'!P598</f>
        <v>0</v>
      </c>
      <c r="M675" s="4269"/>
      <c r="N675" s="4270" t="str">
        <f>T('2 REPAIR ESTIMATOR'!S598)</f>
        <v/>
      </c>
      <c r="O675" s="4270"/>
      <c r="P675" s="4271"/>
      <c r="Q675" s="4271"/>
      <c r="R675" s="4271"/>
      <c r="S675" s="4271"/>
      <c r="T675" s="4271"/>
      <c r="U675" s="4271"/>
      <c r="V675" s="4272"/>
      <c r="W675" s="12">
        <f t="shared" si="45"/>
        <v>1</v>
      </c>
      <c r="X675" s="12">
        <f t="shared" si="44"/>
        <v>1</v>
      </c>
      <c r="Y675" s="12">
        <f t="shared" si="42"/>
        <v>1</v>
      </c>
    </row>
    <row r="676" spans="4:25" ht="15.7">
      <c r="D676" s="4267" t="str">
        <f>T('2 REPAIR ESTIMATOR'!D599:O599)</f>
        <v>New Pool structure</v>
      </c>
      <c r="E676" s="4268"/>
      <c r="F676" s="4268"/>
      <c r="G676" s="4268"/>
      <c r="H676" s="4268"/>
      <c r="I676" s="4268"/>
      <c r="J676" s="4268"/>
      <c r="K676" s="4268"/>
      <c r="L676" s="4269">
        <f>'2 REPAIR ESTIMATOR'!P599</f>
        <v>0</v>
      </c>
      <c r="M676" s="4269"/>
      <c r="N676" s="4270" t="str">
        <f>T('2 REPAIR ESTIMATOR'!S599)</f>
        <v>sf</v>
      </c>
      <c r="O676" s="4270"/>
      <c r="P676" s="4271"/>
      <c r="Q676" s="4271"/>
      <c r="R676" s="4271"/>
      <c r="S676" s="4271"/>
      <c r="T676" s="4271"/>
      <c r="U676" s="4271"/>
      <c r="V676" s="4272"/>
      <c r="W676" s="12">
        <f t="shared" si="45"/>
        <v>1</v>
      </c>
      <c r="X676" s="12">
        <f t="shared" si="44"/>
        <v>1</v>
      </c>
      <c r="Y676" s="12">
        <f t="shared" si="42"/>
        <v>1</v>
      </c>
    </row>
    <row r="677" spans="4:25" ht="15.7">
      <c r="D677" s="4267" t="str">
        <f>T('2 REPAIR ESTIMATOR'!D600:O600)</f>
        <v>Pool heater/motor</v>
      </c>
      <c r="E677" s="4268"/>
      <c r="F677" s="4268"/>
      <c r="G677" s="4268"/>
      <c r="H677" s="4268"/>
      <c r="I677" s="4268"/>
      <c r="J677" s="4268"/>
      <c r="K677" s="4268"/>
      <c r="L677" s="4269">
        <f>'2 REPAIR ESTIMATOR'!P600</f>
        <v>0</v>
      </c>
      <c r="M677" s="4269"/>
      <c r="N677" s="4270" t="str">
        <f>T('2 REPAIR ESTIMATOR'!S600)</f>
        <v>ea</v>
      </c>
      <c r="O677" s="4270"/>
      <c r="P677" s="4271"/>
      <c r="Q677" s="4271"/>
      <c r="R677" s="4271"/>
      <c r="S677" s="4271"/>
      <c r="T677" s="4271"/>
      <c r="U677" s="4271"/>
      <c r="V677" s="4272"/>
      <c r="W677" s="12">
        <f t="shared" si="45"/>
        <v>1</v>
      </c>
      <c r="X677" s="12">
        <f t="shared" si="44"/>
        <v>1</v>
      </c>
      <c r="Y677" s="12">
        <f t="shared" si="42"/>
        <v>1</v>
      </c>
    </row>
    <row r="678" spans="4:25" ht="15.7">
      <c r="D678" s="4267" t="str">
        <f>T('2 REPAIR ESTIMATOR'!D601:O601)</f>
        <v>Pool filter system</v>
      </c>
      <c r="E678" s="4268"/>
      <c r="F678" s="4268"/>
      <c r="G678" s="4268"/>
      <c r="H678" s="4268"/>
      <c r="I678" s="4268"/>
      <c r="J678" s="4268"/>
      <c r="K678" s="4268"/>
      <c r="L678" s="4269">
        <f>'2 REPAIR ESTIMATOR'!P601</f>
        <v>0</v>
      </c>
      <c r="M678" s="4269"/>
      <c r="N678" s="4270" t="str">
        <f>T('2 REPAIR ESTIMATOR'!S601)</f>
        <v>ea</v>
      </c>
      <c r="O678" s="4270"/>
      <c r="P678" s="4271"/>
      <c r="Q678" s="4271"/>
      <c r="R678" s="4271"/>
      <c r="S678" s="4271"/>
      <c r="T678" s="4271"/>
      <c r="U678" s="4271"/>
      <c r="V678" s="4272"/>
      <c r="W678" s="12">
        <f t="shared" si="45"/>
        <v>1</v>
      </c>
      <c r="X678" s="12">
        <f t="shared" si="44"/>
        <v>1</v>
      </c>
      <c r="Y678" s="12">
        <f t="shared" si="42"/>
        <v>1</v>
      </c>
    </row>
    <row r="679" spans="4:25" ht="15.7">
      <c r="D679" s="4267" t="str">
        <f>T('2 REPAIR ESTIMATOR'!D602:O602)</f>
        <v>Replaster existing pool wall</v>
      </c>
      <c r="E679" s="4268"/>
      <c r="F679" s="4268"/>
      <c r="G679" s="4268"/>
      <c r="H679" s="4268"/>
      <c r="I679" s="4268"/>
      <c r="J679" s="4268"/>
      <c r="K679" s="4268"/>
      <c r="L679" s="4269">
        <f>'2 REPAIR ESTIMATOR'!P602</f>
        <v>0</v>
      </c>
      <c r="M679" s="4269"/>
      <c r="N679" s="4270" t="str">
        <f>T('2 REPAIR ESTIMATOR'!S602)</f>
        <v>sf</v>
      </c>
      <c r="O679" s="4270"/>
      <c r="P679" s="4271"/>
      <c r="Q679" s="4271"/>
      <c r="R679" s="4271"/>
      <c r="S679" s="4271"/>
      <c r="T679" s="4271"/>
      <c r="U679" s="4271"/>
      <c r="V679" s="4272"/>
      <c r="W679" s="12">
        <f t="shared" si="45"/>
        <v>1</v>
      </c>
      <c r="X679" s="12">
        <f t="shared" si="44"/>
        <v>1</v>
      </c>
      <c r="Y679" s="12">
        <f t="shared" si="42"/>
        <v>1</v>
      </c>
    </row>
    <row r="680" spans="4:25" ht="15.7">
      <c r="D680" s="4267" t="str">
        <f>T('2 REPAIR ESTIMATOR'!D603:O603)</f>
        <v/>
      </c>
      <c r="E680" s="4268"/>
      <c r="F680" s="4268"/>
      <c r="G680" s="4268"/>
      <c r="H680" s="4268"/>
      <c r="I680" s="4268"/>
      <c r="J680" s="4268"/>
      <c r="K680" s="4268"/>
      <c r="L680" s="4269">
        <f>'2 REPAIR ESTIMATOR'!P603</f>
        <v>0</v>
      </c>
      <c r="M680" s="4269"/>
      <c r="N680" s="4270" t="str">
        <f>T('2 REPAIR ESTIMATOR'!S603)</f>
        <v/>
      </c>
      <c r="O680" s="4270"/>
      <c r="P680" s="4271"/>
      <c r="Q680" s="4271"/>
      <c r="R680" s="4271"/>
      <c r="S680" s="4271"/>
      <c r="T680" s="4271"/>
      <c r="U680" s="4271"/>
      <c r="V680" s="4272"/>
      <c r="W680" s="12">
        <f t="shared" si="45"/>
        <v>1</v>
      </c>
      <c r="X680" s="12">
        <f t="shared" si="44"/>
        <v>1</v>
      </c>
      <c r="Y680" s="12">
        <f t="shared" si="42"/>
        <v>1</v>
      </c>
    </row>
    <row r="681" spans="4:25" ht="15.7">
      <c r="D681" s="4267" t="str">
        <f>T('2 REPAIR ESTIMATOR'!D604:O604)</f>
        <v/>
      </c>
      <c r="E681" s="4268"/>
      <c r="F681" s="4268"/>
      <c r="G681" s="4268"/>
      <c r="H681" s="4268"/>
      <c r="I681" s="4268"/>
      <c r="J681" s="4268"/>
      <c r="K681" s="4268"/>
      <c r="L681" s="4269">
        <f>'2 REPAIR ESTIMATOR'!P604</f>
        <v>0</v>
      </c>
      <c r="M681" s="4269"/>
      <c r="N681" s="4270" t="str">
        <f>T('2 REPAIR ESTIMATOR'!S604)</f>
        <v/>
      </c>
      <c r="O681" s="4270"/>
      <c r="P681" s="4271"/>
      <c r="Q681" s="4271"/>
      <c r="R681" s="4271"/>
      <c r="S681" s="4271"/>
      <c r="T681" s="4271"/>
      <c r="U681" s="4271"/>
      <c r="V681" s="4272"/>
      <c r="W681" s="12">
        <f t="shared" si="45"/>
        <v>1</v>
      </c>
      <c r="X681" s="12">
        <f t="shared" si="44"/>
        <v>1</v>
      </c>
      <c r="Y681" s="12">
        <f t="shared" si="42"/>
        <v>1</v>
      </c>
    </row>
    <row r="682" spans="4:25" ht="15.7">
      <c r="D682" s="4267" t="str">
        <f>T('2 REPAIR ESTIMATOR'!D605:O605)</f>
        <v/>
      </c>
      <c r="E682" s="4268"/>
      <c r="F682" s="4268"/>
      <c r="G682" s="4268"/>
      <c r="H682" s="4268"/>
      <c r="I682" s="4268"/>
      <c r="J682" s="4268"/>
      <c r="K682" s="4268"/>
      <c r="L682" s="4269">
        <f>'2 REPAIR ESTIMATOR'!P605</f>
        <v>0</v>
      </c>
      <c r="M682" s="4269"/>
      <c r="N682" s="4270" t="str">
        <f>T('2 REPAIR ESTIMATOR'!S605)</f>
        <v/>
      </c>
      <c r="O682" s="4270"/>
      <c r="P682" s="4271"/>
      <c r="Q682" s="4271"/>
      <c r="R682" s="4271"/>
      <c r="S682" s="4271"/>
      <c r="T682" s="4271"/>
      <c r="U682" s="4271"/>
      <c r="V682" s="4272"/>
      <c r="W682" s="12">
        <f t="shared" si="45"/>
        <v>1</v>
      </c>
      <c r="X682" s="12">
        <f t="shared" si="44"/>
        <v>1</v>
      </c>
      <c r="Y682" s="12">
        <f t="shared" si="42"/>
        <v>1</v>
      </c>
    </row>
    <row r="683" spans="4:25" ht="15.7">
      <c r="D683" s="4267" t="str">
        <f>T('2 REPAIR ESTIMATOR'!D606:O606)</f>
        <v/>
      </c>
      <c r="E683" s="4268"/>
      <c r="F683" s="4268"/>
      <c r="G683" s="4268"/>
      <c r="H683" s="4268"/>
      <c r="I683" s="4268"/>
      <c r="J683" s="4268"/>
      <c r="K683" s="4268"/>
      <c r="L683" s="4269">
        <f>'2 REPAIR ESTIMATOR'!P606</f>
        <v>0</v>
      </c>
      <c r="M683" s="4269"/>
      <c r="N683" s="4270" t="str">
        <f>T('2 REPAIR ESTIMATOR'!S606)</f>
        <v/>
      </c>
      <c r="O683" s="4270"/>
      <c r="P683" s="4271"/>
      <c r="Q683" s="4271"/>
      <c r="R683" s="4271"/>
      <c r="S683" s="4271"/>
      <c r="T683" s="4271"/>
      <c r="U683" s="4271"/>
      <c r="V683" s="4272"/>
      <c r="W683" s="12">
        <f t="shared" si="45"/>
        <v>1</v>
      </c>
      <c r="X683" s="12">
        <f t="shared" si="44"/>
        <v>1</v>
      </c>
      <c r="Y683" s="12">
        <f t="shared" si="42"/>
        <v>1</v>
      </c>
    </row>
    <row r="684" spans="4:25" ht="15.7">
      <c r="D684" s="4267" t="str">
        <f>T('2 REPAIR ESTIMATOR'!D607:O607)</f>
        <v/>
      </c>
      <c r="E684" s="4268"/>
      <c r="F684" s="4268"/>
      <c r="G684" s="4268"/>
      <c r="H684" s="4268"/>
      <c r="I684" s="4268"/>
      <c r="J684" s="4268"/>
      <c r="K684" s="4268"/>
      <c r="L684" s="4269">
        <f>'2 REPAIR ESTIMATOR'!P607</f>
        <v>0</v>
      </c>
      <c r="M684" s="4269"/>
      <c r="N684" s="4270" t="str">
        <f>T('2 REPAIR ESTIMATOR'!S607)</f>
        <v/>
      </c>
      <c r="O684" s="4270"/>
      <c r="P684" s="4271"/>
      <c r="Q684" s="4271"/>
      <c r="R684" s="4271"/>
      <c r="S684" s="4271"/>
      <c r="T684" s="4271"/>
      <c r="U684" s="4271"/>
      <c r="V684" s="4272"/>
      <c r="W684" s="12">
        <f t="shared" si="45"/>
        <v>1</v>
      </c>
      <c r="X684" s="12">
        <f t="shared" si="44"/>
        <v>1</v>
      </c>
      <c r="Y684" s="12">
        <f t="shared" ref="Y684:Y747" si="46">W684*X684</f>
        <v>1</v>
      </c>
    </row>
    <row r="685" spans="4:25" ht="15.7">
      <c r="D685" s="4267" t="str">
        <f>T('2 REPAIR ESTIMATOR'!D608:O608)</f>
        <v/>
      </c>
      <c r="E685" s="4268"/>
      <c r="F685" s="4268"/>
      <c r="G685" s="4268"/>
      <c r="H685" s="4268"/>
      <c r="I685" s="4268"/>
      <c r="J685" s="4268"/>
      <c r="K685" s="4268"/>
      <c r="L685" s="4269">
        <f>'2 REPAIR ESTIMATOR'!P608</f>
        <v>0</v>
      </c>
      <c r="M685" s="4269"/>
      <c r="N685" s="4270" t="str">
        <f>T('2 REPAIR ESTIMATOR'!S608)</f>
        <v/>
      </c>
      <c r="O685" s="4270"/>
      <c r="P685" s="4271"/>
      <c r="Q685" s="4271"/>
      <c r="R685" s="4271"/>
      <c r="S685" s="4271"/>
      <c r="T685" s="4271"/>
      <c r="U685" s="4271"/>
      <c r="V685" s="4272"/>
      <c r="W685" s="12">
        <f t="shared" si="45"/>
        <v>1</v>
      </c>
      <c r="X685" s="12">
        <f t="shared" si="44"/>
        <v>1</v>
      </c>
      <c r="Y685" s="12">
        <f t="shared" si="46"/>
        <v>1</v>
      </c>
    </row>
    <row r="686" spans="4:25" ht="15.7">
      <c r="D686" s="4267" t="str">
        <f>T('2 REPAIR ESTIMATOR'!D609:O609)</f>
        <v/>
      </c>
      <c r="E686" s="4268"/>
      <c r="F686" s="4268"/>
      <c r="G686" s="4268"/>
      <c r="H686" s="4268"/>
      <c r="I686" s="4268"/>
      <c r="J686" s="4268"/>
      <c r="K686" s="4268"/>
      <c r="L686" s="4269">
        <f>'2 REPAIR ESTIMATOR'!P609</f>
        <v>0</v>
      </c>
      <c r="M686" s="4269"/>
      <c r="N686" s="4270" t="str">
        <f>T('2 REPAIR ESTIMATOR'!S609)</f>
        <v/>
      </c>
      <c r="O686" s="4270"/>
      <c r="P686" s="4271"/>
      <c r="Q686" s="4271"/>
      <c r="R686" s="4271"/>
      <c r="S686" s="4271"/>
      <c r="T686" s="4271"/>
      <c r="U686" s="4271"/>
      <c r="V686" s="4272"/>
      <c r="W686" s="12">
        <f t="shared" si="45"/>
        <v>1</v>
      </c>
      <c r="X686" s="12">
        <f t="shared" si="44"/>
        <v>1</v>
      </c>
      <c r="Y686" s="12">
        <f t="shared" si="46"/>
        <v>1</v>
      </c>
    </row>
    <row r="687" spans="4:25" ht="15.7">
      <c r="D687" s="4267" t="str">
        <f>T('2 REPAIR ESTIMATOR'!D610:O610)</f>
        <v/>
      </c>
      <c r="E687" s="4268"/>
      <c r="F687" s="4268"/>
      <c r="G687" s="4268"/>
      <c r="H687" s="4268"/>
      <c r="I687" s="4268"/>
      <c r="J687" s="4268"/>
      <c r="K687" s="4268"/>
      <c r="L687" s="4269">
        <f>'2 REPAIR ESTIMATOR'!P610</f>
        <v>0</v>
      </c>
      <c r="M687" s="4269"/>
      <c r="N687" s="4270" t="str">
        <f>T('2 REPAIR ESTIMATOR'!S610)</f>
        <v/>
      </c>
      <c r="O687" s="4270"/>
      <c r="P687" s="4271"/>
      <c r="Q687" s="4271"/>
      <c r="R687" s="4271"/>
      <c r="S687" s="4271"/>
      <c r="T687" s="4271"/>
      <c r="U687" s="4271"/>
      <c r="V687" s="4272"/>
      <c r="W687" s="12">
        <f t="shared" si="45"/>
        <v>1</v>
      </c>
      <c r="X687" s="12">
        <f t="shared" si="44"/>
        <v>1</v>
      </c>
      <c r="Y687" s="12">
        <f t="shared" si="46"/>
        <v>1</v>
      </c>
    </row>
    <row r="688" spans="4:25" ht="15.7">
      <c r="D688" s="4267" t="str">
        <f>T('2 REPAIR ESTIMATOR'!D611:O611)</f>
        <v/>
      </c>
      <c r="E688" s="4268"/>
      <c r="F688" s="4268"/>
      <c r="G688" s="4268"/>
      <c r="H688" s="4268"/>
      <c r="I688" s="4268"/>
      <c r="J688" s="4268"/>
      <c r="K688" s="4268"/>
      <c r="L688" s="4269">
        <f>'2 REPAIR ESTIMATOR'!P611</f>
        <v>0</v>
      </c>
      <c r="M688" s="4269"/>
      <c r="N688" s="4270" t="str">
        <f>T('2 REPAIR ESTIMATOR'!S611)</f>
        <v/>
      </c>
      <c r="O688" s="4270"/>
      <c r="P688" s="4271"/>
      <c r="Q688" s="4271"/>
      <c r="R688" s="4271"/>
      <c r="S688" s="4271"/>
      <c r="T688" s="4271"/>
      <c r="U688" s="4271"/>
      <c r="V688" s="4272"/>
      <c r="W688" s="12">
        <f t="shared" si="45"/>
        <v>1</v>
      </c>
      <c r="X688" s="12">
        <f t="shared" si="44"/>
        <v>1</v>
      </c>
      <c r="Y688" s="12">
        <f t="shared" si="46"/>
        <v>1</v>
      </c>
    </row>
    <row r="689" spans="3:25" ht="15.7">
      <c r="D689" s="4267" t="str">
        <f>T('2 REPAIR ESTIMATOR'!D612:O612)</f>
        <v/>
      </c>
      <c r="E689" s="4268"/>
      <c r="F689" s="4268"/>
      <c r="G689" s="4268"/>
      <c r="H689" s="4268"/>
      <c r="I689" s="4268"/>
      <c r="J689" s="4268"/>
      <c r="K689" s="4268"/>
      <c r="L689" s="4269">
        <f>'2 REPAIR ESTIMATOR'!P612</f>
        <v>0</v>
      </c>
      <c r="M689" s="4269"/>
      <c r="N689" s="4270" t="str">
        <f>T('2 REPAIR ESTIMATOR'!S612)</f>
        <v/>
      </c>
      <c r="O689" s="4270"/>
      <c r="P689" s="4271"/>
      <c r="Q689" s="4271"/>
      <c r="R689" s="4271"/>
      <c r="S689" s="4271"/>
      <c r="T689" s="4271"/>
      <c r="U689" s="4271"/>
      <c r="V689" s="4272"/>
      <c r="W689" s="12">
        <f t="shared" si="45"/>
        <v>1</v>
      </c>
      <c r="X689" s="12">
        <f t="shared" si="44"/>
        <v>1</v>
      </c>
      <c r="Y689" s="12">
        <f t="shared" si="46"/>
        <v>1</v>
      </c>
    </row>
    <row r="690" spans="3:25" ht="15.7">
      <c r="D690" s="4267" t="str">
        <f>T('2 REPAIR ESTIMATOR'!D613:O613)</f>
        <v/>
      </c>
      <c r="E690" s="4268"/>
      <c r="F690" s="4268"/>
      <c r="G690" s="4268"/>
      <c r="H690" s="4268"/>
      <c r="I690" s="4268"/>
      <c r="J690" s="4268"/>
      <c r="K690" s="4268"/>
      <c r="L690" s="4269">
        <f>'2 REPAIR ESTIMATOR'!P613</f>
        <v>0</v>
      </c>
      <c r="M690" s="4269"/>
      <c r="N690" s="4270" t="str">
        <f>T('2 REPAIR ESTIMATOR'!S613)</f>
        <v/>
      </c>
      <c r="O690" s="4270"/>
      <c r="P690" s="4271"/>
      <c r="Q690" s="4271"/>
      <c r="R690" s="4271"/>
      <c r="S690" s="4271"/>
      <c r="T690" s="4271"/>
      <c r="U690" s="4271"/>
      <c r="V690" s="4272"/>
      <c r="W690" s="12">
        <f t="shared" si="45"/>
        <v>1</v>
      </c>
      <c r="X690" s="12">
        <f t="shared" si="44"/>
        <v>1</v>
      </c>
      <c r="Y690" s="12">
        <f t="shared" si="46"/>
        <v>1</v>
      </c>
    </row>
    <row r="691" spans="3:25" ht="15.7">
      <c r="D691" s="4267" t="str">
        <f>T('2 REPAIR ESTIMATOR'!D614:O614)</f>
        <v/>
      </c>
      <c r="E691" s="4268"/>
      <c r="F691" s="4268"/>
      <c r="G691" s="4268"/>
      <c r="H691" s="4268"/>
      <c r="I691" s="4268"/>
      <c r="J691" s="4268"/>
      <c r="K691" s="4268"/>
      <c r="L691" s="4269">
        <f>'2 REPAIR ESTIMATOR'!P614</f>
        <v>0</v>
      </c>
      <c r="M691" s="4269"/>
      <c r="N691" s="4270" t="str">
        <f>T('2 REPAIR ESTIMATOR'!S614)</f>
        <v/>
      </c>
      <c r="O691" s="4270"/>
      <c r="P691" s="4271"/>
      <c r="Q691" s="4271"/>
      <c r="R691" s="4271"/>
      <c r="S691" s="4271"/>
      <c r="T691" s="4271"/>
      <c r="U691" s="4271"/>
      <c r="V691" s="4272"/>
      <c r="W691" s="12">
        <f t="shared" si="45"/>
        <v>1</v>
      </c>
      <c r="X691" s="12">
        <f t="shared" ref="X691:X714" si="47">IF(Scope12_Setting="Shown",1,0)</f>
        <v>1</v>
      </c>
      <c r="Y691" s="12">
        <f t="shared" si="46"/>
        <v>1</v>
      </c>
    </row>
    <row r="692" spans="3:25" ht="15.7">
      <c r="D692" s="4267" t="str">
        <f>T('2 REPAIR ESTIMATOR'!D615:O615)</f>
        <v/>
      </c>
      <c r="E692" s="4268"/>
      <c r="F692" s="4268"/>
      <c r="G692" s="4268"/>
      <c r="H692" s="4268"/>
      <c r="I692" s="4268"/>
      <c r="J692" s="4268"/>
      <c r="K692" s="4268"/>
      <c r="L692" s="4269">
        <f>'2 REPAIR ESTIMATOR'!P615</f>
        <v>0</v>
      </c>
      <c r="M692" s="4269"/>
      <c r="N692" s="4270" t="str">
        <f>T('2 REPAIR ESTIMATOR'!S615)</f>
        <v/>
      </c>
      <c r="O692" s="4270"/>
      <c r="P692" s="4271"/>
      <c r="Q692" s="4271"/>
      <c r="R692" s="4271"/>
      <c r="S692" s="4271"/>
      <c r="T692" s="4271"/>
      <c r="U692" s="4271"/>
      <c r="V692" s="4272"/>
      <c r="W692" s="12">
        <f t="shared" si="45"/>
        <v>1</v>
      </c>
      <c r="X692" s="12">
        <f t="shared" si="47"/>
        <v>1</v>
      </c>
      <c r="Y692" s="12">
        <f t="shared" si="46"/>
        <v>1</v>
      </c>
    </row>
    <row r="693" spans="3:25" ht="15.7">
      <c r="D693" s="4267" t="str">
        <f>T('2 REPAIR ESTIMATOR'!D616:O616)</f>
        <v/>
      </c>
      <c r="E693" s="4268"/>
      <c r="F693" s="4268"/>
      <c r="G693" s="4268"/>
      <c r="H693" s="4268"/>
      <c r="I693" s="4268"/>
      <c r="J693" s="4268"/>
      <c r="K693" s="4268"/>
      <c r="L693" s="4269">
        <f>'2 REPAIR ESTIMATOR'!P616</f>
        <v>0</v>
      </c>
      <c r="M693" s="4269"/>
      <c r="N693" s="4270" t="str">
        <f>T('2 REPAIR ESTIMATOR'!S616)</f>
        <v/>
      </c>
      <c r="O693" s="4270"/>
      <c r="P693" s="4271"/>
      <c r="Q693" s="4271"/>
      <c r="R693" s="4271"/>
      <c r="S693" s="4271"/>
      <c r="T693" s="4271"/>
      <c r="U693" s="4271"/>
      <c r="V693" s="4272"/>
      <c r="W693" s="12">
        <f t="shared" si="45"/>
        <v>1</v>
      </c>
      <c r="X693" s="12">
        <f t="shared" si="47"/>
        <v>1</v>
      </c>
      <c r="Y693" s="12">
        <f t="shared" si="46"/>
        <v>1</v>
      </c>
    </row>
    <row r="694" spans="3:25" ht="15.7">
      <c r="D694" s="4267" t="str">
        <f>T('2 REPAIR ESTIMATOR'!D617:O617)</f>
        <v/>
      </c>
      <c r="E694" s="4268"/>
      <c r="F694" s="4268"/>
      <c r="G694" s="4268"/>
      <c r="H694" s="4268"/>
      <c r="I694" s="4268"/>
      <c r="J694" s="4268"/>
      <c r="K694" s="4268"/>
      <c r="L694" s="4269">
        <f>'2 REPAIR ESTIMATOR'!P617</f>
        <v>0</v>
      </c>
      <c r="M694" s="4269"/>
      <c r="N694" s="4270" t="str">
        <f>T('2 REPAIR ESTIMATOR'!S617)</f>
        <v/>
      </c>
      <c r="O694" s="4270"/>
      <c r="P694" s="4271"/>
      <c r="Q694" s="4271"/>
      <c r="R694" s="4271"/>
      <c r="S694" s="4271"/>
      <c r="T694" s="4271"/>
      <c r="U694" s="4271"/>
      <c r="V694" s="4272"/>
      <c r="W694" s="12">
        <f t="shared" si="45"/>
        <v>1</v>
      </c>
      <c r="X694" s="12">
        <f t="shared" si="47"/>
        <v>1</v>
      </c>
      <c r="Y694" s="12">
        <f t="shared" si="46"/>
        <v>1</v>
      </c>
    </row>
    <row r="695" spans="3:25" ht="15.7">
      <c r="D695" s="4267" t="str">
        <f>T('2 REPAIR ESTIMATOR'!D618:O618)</f>
        <v/>
      </c>
      <c r="E695" s="4268"/>
      <c r="F695" s="4268"/>
      <c r="G695" s="4268"/>
      <c r="H695" s="4268"/>
      <c r="I695" s="4268"/>
      <c r="J695" s="4268"/>
      <c r="K695" s="4268"/>
      <c r="L695" s="4269">
        <f>'2 REPAIR ESTIMATOR'!P618</f>
        <v>0</v>
      </c>
      <c r="M695" s="4269"/>
      <c r="N695" s="4270" t="str">
        <f>T('2 REPAIR ESTIMATOR'!S618)</f>
        <v/>
      </c>
      <c r="O695" s="4270"/>
      <c r="P695" s="4271"/>
      <c r="Q695" s="4271"/>
      <c r="R695" s="4271"/>
      <c r="S695" s="4271"/>
      <c r="T695" s="4271"/>
      <c r="U695" s="4271"/>
      <c r="V695" s="4272"/>
      <c r="W695" s="12">
        <f t="shared" si="45"/>
        <v>1</v>
      </c>
      <c r="X695" s="12">
        <f t="shared" si="47"/>
        <v>1</v>
      </c>
      <c r="Y695" s="12">
        <f t="shared" si="46"/>
        <v>1</v>
      </c>
    </row>
    <row r="696" spans="3:25" ht="15.7">
      <c r="D696" s="4267" t="str">
        <f>T('2 REPAIR ESTIMATOR'!D619:O619)</f>
        <v/>
      </c>
      <c r="E696" s="4268"/>
      <c r="F696" s="4268"/>
      <c r="G696" s="4268"/>
      <c r="H696" s="4268"/>
      <c r="I696" s="4268"/>
      <c r="J696" s="4268"/>
      <c r="K696" s="4268"/>
      <c r="L696" s="4269">
        <f>'2 REPAIR ESTIMATOR'!P619</f>
        <v>0</v>
      </c>
      <c r="M696" s="4269"/>
      <c r="N696" s="4270" t="str">
        <f>T('2 REPAIR ESTIMATOR'!S619)</f>
        <v/>
      </c>
      <c r="O696" s="4270"/>
      <c r="P696" s="4271"/>
      <c r="Q696" s="4271"/>
      <c r="R696" s="4271"/>
      <c r="S696" s="4271"/>
      <c r="T696" s="4271"/>
      <c r="U696" s="4271"/>
      <c r="V696" s="4272"/>
      <c r="W696" s="12">
        <f t="shared" si="45"/>
        <v>1</v>
      </c>
      <c r="X696" s="12">
        <f t="shared" si="47"/>
        <v>1</v>
      </c>
      <c r="Y696" s="12">
        <f t="shared" si="46"/>
        <v>1</v>
      </c>
    </row>
    <row r="697" spans="3:25" ht="15.7">
      <c r="D697" s="4267" t="str">
        <f>T('2 REPAIR ESTIMATOR'!D620:O620)</f>
        <v/>
      </c>
      <c r="E697" s="4268"/>
      <c r="F697" s="4268"/>
      <c r="G697" s="4268"/>
      <c r="H697" s="4268"/>
      <c r="I697" s="4268"/>
      <c r="J697" s="4268"/>
      <c r="K697" s="4268"/>
      <c r="L697" s="4269">
        <f>'2 REPAIR ESTIMATOR'!P620</f>
        <v>0</v>
      </c>
      <c r="M697" s="4269"/>
      <c r="N697" s="4270" t="str">
        <f>T('2 REPAIR ESTIMATOR'!S620)</f>
        <v/>
      </c>
      <c r="O697" s="4270"/>
      <c r="P697" s="4271"/>
      <c r="Q697" s="4271"/>
      <c r="R697" s="4271"/>
      <c r="S697" s="4271"/>
      <c r="T697" s="4271"/>
      <c r="U697" s="4271"/>
      <c r="V697" s="4272"/>
      <c r="W697" s="12">
        <f t="shared" si="45"/>
        <v>1</v>
      </c>
      <c r="X697" s="12">
        <f t="shared" si="47"/>
        <v>1</v>
      </c>
      <c r="Y697" s="12">
        <f t="shared" si="46"/>
        <v>1</v>
      </c>
    </row>
    <row r="698" spans="3:25" ht="15.7">
      <c r="D698" s="4267" t="str">
        <f>T('2 REPAIR ESTIMATOR'!D621:O621)</f>
        <v/>
      </c>
      <c r="E698" s="4268"/>
      <c r="F698" s="4268"/>
      <c r="G698" s="4268"/>
      <c r="H698" s="4268"/>
      <c r="I698" s="4268"/>
      <c r="J698" s="4268"/>
      <c r="K698" s="4268"/>
      <c r="L698" s="4269">
        <f>'2 REPAIR ESTIMATOR'!P621</f>
        <v>0</v>
      </c>
      <c r="M698" s="4269"/>
      <c r="N698" s="4270" t="str">
        <f>T('2 REPAIR ESTIMATOR'!S621)</f>
        <v/>
      </c>
      <c r="O698" s="4270"/>
      <c r="P698" s="4271"/>
      <c r="Q698" s="4271"/>
      <c r="R698" s="4271"/>
      <c r="S698" s="4271"/>
      <c r="T698" s="4271"/>
      <c r="U698" s="4271"/>
      <c r="V698" s="4272"/>
      <c r="W698" s="12">
        <f t="shared" si="45"/>
        <v>1</v>
      </c>
      <c r="X698" s="12">
        <f t="shared" si="47"/>
        <v>1</v>
      </c>
      <c r="Y698" s="12">
        <f t="shared" si="46"/>
        <v>1</v>
      </c>
    </row>
    <row r="699" spans="3:25" ht="15.7">
      <c r="D699" s="4267" t="str">
        <f>T('2 REPAIR ESTIMATOR'!D622:O622)</f>
        <v/>
      </c>
      <c r="E699" s="4268"/>
      <c r="F699" s="4268"/>
      <c r="G699" s="4268"/>
      <c r="H699" s="4268"/>
      <c r="I699" s="4268"/>
      <c r="J699" s="4268"/>
      <c r="K699" s="4268"/>
      <c r="L699" s="4269">
        <f>'2 REPAIR ESTIMATOR'!P622</f>
        <v>0</v>
      </c>
      <c r="M699" s="4269"/>
      <c r="N699" s="4270" t="str">
        <f>T('2 REPAIR ESTIMATOR'!S622)</f>
        <v/>
      </c>
      <c r="O699" s="4270"/>
      <c r="P699" s="4271"/>
      <c r="Q699" s="4271"/>
      <c r="R699" s="4271"/>
      <c r="S699" s="4271"/>
      <c r="T699" s="4271"/>
      <c r="U699" s="4271"/>
      <c r="V699" s="4272"/>
      <c r="W699" s="12">
        <f t="shared" si="45"/>
        <v>1</v>
      </c>
      <c r="X699" s="12">
        <f t="shared" si="47"/>
        <v>1</v>
      </c>
      <c r="Y699" s="12">
        <f t="shared" si="46"/>
        <v>1</v>
      </c>
    </row>
    <row r="700" spans="3:25" ht="15.7">
      <c r="C700" s="6"/>
      <c r="D700" s="723"/>
      <c r="E700" s="723"/>
      <c r="F700" s="723"/>
      <c r="G700" s="723"/>
      <c r="H700" s="723"/>
      <c r="I700" s="723"/>
      <c r="J700" s="723"/>
      <c r="K700" s="723"/>
      <c r="L700" s="724"/>
      <c r="M700" s="724"/>
      <c r="N700" s="725"/>
      <c r="O700" s="725"/>
      <c r="P700" s="724"/>
      <c r="Q700" s="445"/>
      <c r="R700" s="445"/>
      <c r="S700" s="725"/>
      <c r="T700" s="725"/>
      <c r="U700" s="725"/>
      <c r="V700" s="725"/>
      <c r="W700" s="12">
        <f>W701</f>
        <v>0</v>
      </c>
      <c r="X700" s="12">
        <f t="shared" si="47"/>
        <v>1</v>
      </c>
      <c r="Y700" s="12">
        <f t="shared" si="46"/>
        <v>0</v>
      </c>
    </row>
    <row r="701" spans="3:25" ht="16.7">
      <c r="C701" s="6"/>
      <c r="D701" s="4266" t="str">
        <f>UPPER(CONCATENATE("Miscellaneous ",D659," Items"))</f>
        <v>MISCELLANEOUS MISC. EXTERIOR ITEMS ITEMS</v>
      </c>
      <c r="E701" s="4266"/>
      <c r="F701" s="4266"/>
      <c r="G701" s="4266"/>
      <c r="H701" s="4266"/>
      <c r="I701" s="4266"/>
      <c r="J701" s="4266"/>
      <c r="K701" s="4266"/>
      <c r="L701" s="4266"/>
      <c r="M701" s="4266"/>
      <c r="N701" s="4266"/>
      <c r="O701" s="4266"/>
      <c r="P701" s="4266"/>
      <c r="Q701" s="4266"/>
      <c r="R701" s="4266"/>
      <c r="S701" s="4266"/>
      <c r="T701" s="4266"/>
      <c r="U701" s="4266"/>
      <c r="V701" s="4266"/>
      <c r="W701" s="12">
        <f>SUM(W702:W711)</f>
        <v>0</v>
      </c>
      <c r="X701" s="12">
        <f t="shared" si="47"/>
        <v>1</v>
      </c>
      <c r="Y701" s="12">
        <f t="shared" si="46"/>
        <v>0</v>
      </c>
    </row>
    <row r="702" spans="3:25" ht="15.7">
      <c r="C702" s="6"/>
      <c r="D702" s="712">
        <v>1</v>
      </c>
      <c r="E702" s="4263"/>
      <c r="F702" s="4263"/>
      <c r="G702" s="4263"/>
      <c r="H702" s="4263"/>
      <c r="I702" s="4263"/>
      <c r="J702" s="4263"/>
      <c r="K702" s="4263"/>
      <c r="L702" s="4263"/>
      <c r="M702" s="4263"/>
      <c r="N702" s="4263"/>
      <c r="O702" s="4263"/>
      <c r="P702" s="4263"/>
      <c r="Q702" s="4263"/>
      <c r="R702" s="4263"/>
      <c r="S702" s="4263"/>
      <c r="T702" s="4263"/>
      <c r="U702" s="4263"/>
      <c r="V702" s="4263"/>
      <c r="W702" s="12">
        <f>IF(E702&lt;&gt;"",1,0)*W659</f>
        <v>0</v>
      </c>
      <c r="X702" s="12">
        <f t="shared" si="47"/>
        <v>1</v>
      </c>
      <c r="Y702" s="12">
        <f t="shared" si="46"/>
        <v>0</v>
      </c>
    </row>
    <row r="703" spans="3:25" ht="15.7">
      <c r="C703" s="6"/>
      <c r="D703" s="712">
        <v>2</v>
      </c>
      <c r="E703" s="4263"/>
      <c r="F703" s="4263"/>
      <c r="G703" s="4263"/>
      <c r="H703" s="4263"/>
      <c r="I703" s="4263"/>
      <c r="J703" s="4263"/>
      <c r="K703" s="4263"/>
      <c r="L703" s="4263"/>
      <c r="M703" s="4263"/>
      <c r="N703" s="4263"/>
      <c r="O703" s="4263"/>
      <c r="P703" s="4263"/>
      <c r="Q703" s="4263"/>
      <c r="R703" s="4263"/>
      <c r="S703" s="4263"/>
      <c r="T703" s="4263"/>
      <c r="U703" s="4263"/>
      <c r="V703" s="4263"/>
      <c r="W703" s="12">
        <f>IF(E703&lt;&gt;"",1,0)*W659</f>
        <v>0</v>
      </c>
      <c r="X703" s="12">
        <f t="shared" si="47"/>
        <v>1</v>
      </c>
      <c r="Y703" s="12">
        <f t="shared" si="46"/>
        <v>0</v>
      </c>
    </row>
    <row r="704" spans="3:25" ht="15.7">
      <c r="C704" s="6"/>
      <c r="D704" s="712">
        <v>3</v>
      </c>
      <c r="E704" s="4263"/>
      <c r="F704" s="4263"/>
      <c r="G704" s="4263"/>
      <c r="H704" s="4263"/>
      <c r="I704" s="4263"/>
      <c r="J704" s="4263"/>
      <c r="K704" s="4263"/>
      <c r="L704" s="4263"/>
      <c r="M704" s="4263"/>
      <c r="N704" s="4263"/>
      <c r="O704" s="4263"/>
      <c r="P704" s="4263"/>
      <c r="Q704" s="4263"/>
      <c r="R704" s="4263"/>
      <c r="S704" s="4263"/>
      <c r="T704" s="4263"/>
      <c r="U704" s="4263"/>
      <c r="V704" s="4263"/>
      <c r="W704" s="12">
        <f>IF(E704&lt;&gt;"",1,0)*W659</f>
        <v>0</v>
      </c>
      <c r="X704" s="12">
        <f t="shared" si="47"/>
        <v>1</v>
      </c>
      <c r="Y704" s="12">
        <f t="shared" si="46"/>
        <v>0</v>
      </c>
    </row>
    <row r="705" spans="3:25" ht="15.7">
      <c r="C705" s="6"/>
      <c r="D705" s="712">
        <v>4</v>
      </c>
      <c r="E705" s="4263"/>
      <c r="F705" s="4263"/>
      <c r="G705" s="4263"/>
      <c r="H705" s="4263"/>
      <c r="I705" s="4263"/>
      <c r="J705" s="4263"/>
      <c r="K705" s="4263"/>
      <c r="L705" s="4263"/>
      <c r="M705" s="4263"/>
      <c r="N705" s="4263"/>
      <c r="O705" s="4263"/>
      <c r="P705" s="4263"/>
      <c r="Q705" s="4263"/>
      <c r="R705" s="4263"/>
      <c r="S705" s="4263"/>
      <c r="T705" s="4263"/>
      <c r="U705" s="4263"/>
      <c r="V705" s="4263"/>
      <c r="W705" s="12">
        <f>IF(E705&lt;&gt;"",1,0)*W659</f>
        <v>0</v>
      </c>
      <c r="X705" s="12">
        <f t="shared" si="47"/>
        <v>1</v>
      </c>
      <c r="Y705" s="12">
        <f t="shared" si="46"/>
        <v>0</v>
      </c>
    </row>
    <row r="706" spans="3:25" ht="15.7">
      <c r="C706" s="6"/>
      <c r="D706" s="712">
        <v>5</v>
      </c>
      <c r="E706" s="4263"/>
      <c r="F706" s="4263"/>
      <c r="G706" s="4263"/>
      <c r="H706" s="4263"/>
      <c r="I706" s="4263"/>
      <c r="J706" s="4263"/>
      <c r="K706" s="4263"/>
      <c r="L706" s="4263"/>
      <c r="M706" s="4263"/>
      <c r="N706" s="4263"/>
      <c r="O706" s="4263"/>
      <c r="P706" s="4263"/>
      <c r="Q706" s="4263"/>
      <c r="R706" s="4263"/>
      <c r="S706" s="4263"/>
      <c r="T706" s="4263"/>
      <c r="U706" s="4263"/>
      <c r="V706" s="4263"/>
      <c r="W706" s="12">
        <f>IF(E706&lt;&gt;"",1,0)*W659</f>
        <v>0</v>
      </c>
      <c r="X706" s="12">
        <f t="shared" si="47"/>
        <v>1</v>
      </c>
      <c r="Y706" s="12">
        <f t="shared" si="46"/>
        <v>0</v>
      </c>
    </row>
    <row r="707" spans="3:25" ht="15.7">
      <c r="C707" s="6"/>
      <c r="D707" s="712">
        <v>6</v>
      </c>
      <c r="E707" s="4263"/>
      <c r="F707" s="4263"/>
      <c r="G707" s="4263"/>
      <c r="H707" s="4263"/>
      <c r="I707" s="4263"/>
      <c r="J707" s="4263"/>
      <c r="K707" s="4263"/>
      <c r="L707" s="4263"/>
      <c r="M707" s="4263"/>
      <c r="N707" s="4263"/>
      <c r="O707" s="4263"/>
      <c r="P707" s="4263"/>
      <c r="Q707" s="4263"/>
      <c r="R707" s="4263"/>
      <c r="S707" s="4263"/>
      <c r="T707" s="4263"/>
      <c r="U707" s="4263"/>
      <c r="V707" s="4263"/>
      <c r="W707" s="12">
        <f>IF(E707&lt;&gt;"",1,0)*W659</f>
        <v>0</v>
      </c>
      <c r="X707" s="12">
        <f t="shared" si="47"/>
        <v>1</v>
      </c>
      <c r="Y707" s="12">
        <f t="shared" si="46"/>
        <v>0</v>
      </c>
    </row>
    <row r="708" spans="3:25" ht="15.7">
      <c r="C708" s="6"/>
      <c r="D708" s="712">
        <v>7</v>
      </c>
      <c r="E708" s="4263"/>
      <c r="F708" s="4263"/>
      <c r="G708" s="4263"/>
      <c r="H708" s="4263"/>
      <c r="I708" s="4263"/>
      <c r="J708" s="4263"/>
      <c r="K708" s="4263"/>
      <c r="L708" s="4263"/>
      <c r="M708" s="4263"/>
      <c r="N708" s="4263"/>
      <c r="O708" s="4263"/>
      <c r="P708" s="4263"/>
      <c r="Q708" s="4263"/>
      <c r="R708" s="4263"/>
      <c r="S708" s="4263"/>
      <c r="T708" s="4263"/>
      <c r="U708" s="4263"/>
      <c r="V708" s="4263"/>
      <c r="W708" s="12">
        <f>IF(E708&lt;&gt;"",1,0)*W659</f>
        <v>0</v>
      </c>
      <c r="X708" s="12">
        <f t="shared" si="47"/>
        <v>1</v>
      </c>
      <c r="Y708" s="12">
        <f t="shared" si="46"/>
        <v>0</v>
      </c>
    </row>
    <row r="709" spans="3:25" ht="15.7">
      <c r="C709" s="6"/>
      <c r="D709" s="712">
        <v>8</v>
      </c>
      <c r="E709" s="4263"/>
      <c r="F709" s="4263"/>
      <c r="G709" s="4263"/>
      <c r="H709" s="4263"/>
      <c r="I709" s="4263"/>
      <c r="J709" s="4263"/>
      <c r="K709" s="4263"/>
      <c r="L709" s="4263"/>
      <c r="M709" s="4263"/>
      <c r="N709" s="4263"/>
      <c r="O709" s="4263"/>
      <c r="P709" s="4263"/>
      <c r="Q709" s="4263"/>
      <c r="R709" s="4263"/>
      <c r="S709" s="4263"/>
      <c r="T709" s="4263"/>
      <c r="U709" s="4263"/>
      <c r="V709" s="4263"/>
      <c r="W709" s="12">
        <f>IF(E709&lt;&gt;"",1,0)*W659</f>
        <v>0</v>
      </c>
      <c r="X709" s="12">
        <f t="shared" si="47"/>
        <v>1</v>
      </c>
      <c r="Y709" s="12">
        <f t="shared" si="46"/>
        <v>0</v>
      </c>
    </row>
    <row r="710" spans="3:25" ht="15.7">
      <c r="C710" s="6"/>
      <c r="D710" s="712">
        <v>9</v>
      </c>
      <c r="E710" s="4263"/>
      <c r="F710" s="4263"/>
      <c r="G710" s="4263"/>
      <c r="H710" s="4263"/>
      <c r="I710" s="4263"/>
      <c r="J710" s="4263"/>
      <c r="K710" s="4263"/>
      <c r="L710" s="4263"/>
      <c r="M710" s="4263"/>
      <c r="N710" s="4263"/>
      <c r="O710" s="4263"/>
      <c r="P710" s="4263"/>
      <c r="Q710" s="4263"/>
      <c r="R710" s="4263"/>
      <c r="S710" s="4263"/>
      <c r="T710" s="4263"/>
      <c r="U710" s="4263"/>
      <c r="V710" s="4263"/>
      <c r="W710" s="12">
        <f>IF(E710&lt;&gt;"",1,0)*W659</f>
        <v>0</v>
      </c>
      <c r="X710" s="12">
        <f t="shared" si="47"/>
        <v>1</v>
      </c>
      <c r="Y710" s="12">
        <f t="shared" si="46"/>
        <v>0</v>
      </c>
    </row>
    <row r="711" spans="3:25" ht="15.7">
      <c r="C711" s="6"/>
      <c r="D711" s="712">
        <v>10</v>
      </c>
      <c r="E711" s="4263"/>
      <c r="F711" s="4263"/>
      <c r="G711" s="4263"/>
      <c r="H711" s="4263"/>
      <c r="I711" s="4263"/>
      <c r="J711" s="4263"/>
      <c r="K711" s="4263"/>
      <c r="L711" s="4263"/>
      <c r="M711" s="4263"/>
      <c r="N711" s="4263"/>
      <c r="O711" s="4263"/>
      <c r="P711" s="4263"/>
      <c r="Q711" s="4263"/>
      <c r="R711" s="4263"/>
      <c r="S711" s="4263"/>
      <c r="T711" s="4263"/>
      <c r="U711" s="4263"/>
      <c r="V711" s="4263"/>
      <c r="W711" s="12">
        <f>IF(E711&lt;&gt;"",1,0)*W659</f>
        <v>0</v>
      </c>
      <c r="X711" s="12">
        <f t="shared" si="47"/>
        <v>1</v>
      </c>
      <c r="Y711" s="12">
        <f t="shared" si="46"/>
        <v>0</v>
      </c>
    </row>
    <row r="712" spans="3:25" ht="15.7">
      <c r="C712" s="6"/>
      <c r="D712" s="723"/>
      <c r="E712" s="723"/>
      <c r="F712" s="723"/>
      <c r="G712" s="723"/>
      <c r="H712" s="723"/>
      <c r="I712" s="723"/>
      <c r="J712" s="723"/>
      <c r="K712" s="723"/>
      <c r="L712" s="724"/>
      <c r="M712" s="724"/>
      <c r="N712" s="725"/>
      <c r="O712" s="725"/>
      <c r="P712" s="724"/>
      <c r="Q712" s="445"/>
      <c r="R712" s="445"/>
      <c r="S712" s="726"/>
      <c r="T712" s="726"/>
      <c r="U712" s="726"/>
      <c r="V712" s="726"/>
      <c r="W712" s="12">
        <f>W659</f>
        <v>0</v>
      </c>
      <c r="X712" s="12">
        <f t="shared" si="47"/>
        <v>1</v>
      </c>
      <c r="Y712" s="12">
        <f t="shared" si="46"/>
        <v>0</v>
      </c>
    </row>
    <row r="713" spans="3:25" ht="40.5" customHeight="1">
      <c r="C713" s="6"/>
      <c r="D713" s="4264" t="str">
        <f>UPPER(CONCATENATE("TOTAL ",D659))</f>
        <v>TOTAL MISC. EXTERIOR ITEMS</v>
      </c>
      <c r="E713" s="4264"/>
      <c r="F713" s="4264"/>
      <c r="G713" s="4264"/>
      <c r="H713" s="4264"/>
      <c r="I713" s="4264"/>
      <c r="J713" s="4264"/>
      <c r="K713" s="4264"/>
      <c r="L713" s="4264"/>
      <c r="M713" s="4264"/>
      <c r="N713" s="4264"/>
      <c r="O713" s="4264"/>
      <c r="P713" s="4264"/>
      <c r="Q713" s="4265"/>
      <c r="R713" s="4265"/>
      <c r="S713" s="4265"/>
      <c r="T713" s="4265"/>
      <c r="U713" s="4265"/>
      <c r="V713" s="4265"/>
      <c r="W713" s="12">
        <f>W659</f>
        <v>0</v>
      </c>
      <c r="X713" s="12">
        <f t="shared" si="47"/>
        <v>1</v>
      </c>
      <c r="Y713" s="12">
        <f t="shared" si="46"/>
        <v>0</v>
      </c>
    </row>
    <row r="714" spans="3:25" ht="15.7">
      <c r="D714" s="723"/>
      <c r="E714" s="723"/>
      <c r="F714" s="723"/>
      <c r="G714" s="723"/>
      <c r="H714" s="723"/>
      <c r="I714" s="723"/>
      <c r="J714" s="723"/>
      <c r="K714" s="723"/>
      <c r="L714" s="724"/>
      <c r="M714" s="724"/>
      <c r="N714" s="725"/>
      <c r="O714" s="725"/>
      <c r="P714" s="724"/>
      <c r="Q714" s="445"/>
      <c r="R714" s="445"/>
      <c r="S714" s="726"/>
      <c r="T714" s="726"/>
      <c r="U714" s="726"/>
      <c r="V714" s="726"/>
      <c r="W714" s="12">
        <f>W659</f>
        <v>0</v>
      </c>
      <c r="X714" s="12">
        <f t="shared" si="47"/>
        <v>1</v>
      </c>
      <c r="Y714" s="12">
        <f t="shared" si="46"/>
        <v>0</v>
      </c>
    </row>
    <row r="715" spans="3:25" ht="26.45" customHeight="1">
      <c r="D715" s="4275" t="str">
        <f>T('2 REPAIR ESTIMATOR'!D627:O627)</f>
        <v>FRAMING &amp; DRYWALL</v>
      </c>
      <c r="E715" s="4275"/>
      <c r="F715" s="4275"/>
      <c r="G715" s="4275"/>
      <c r="H715" s="4275"/>
      <c r="I715" s="4275"/>
      <c r="J715" s="4275"/>
      <c r="K715" s="4276"/>
      <c r="L715" s="4277">
        <f>SUM(L716:M755)</f>
        <v>0</v>
      </c>
      <c r="M715" s="4278"/>
      <c r="N715" s="4279"/>
      <c r="O715" s="4280"/>
      <c r="P715" s="4277"/>
      <c r="Q715" s="4281"/>
      <c r="R715" s="4281"/>
      <c r="S715" s="4281"/>
      <c r="T715" s="4281"/>
      <c r="U715" s="4281"/>
      <c r="V715" s="4281"/>
      <c r="W715" s="12">
        <f>IF(L715&gt;0,1,0)</f>
        <v>0</v>
      </c>
      <c r="X715" s="12">
        <f t="shared" ref="X715:X746" si="48">IF(Scope13_Setting="Shown",1,0)</f>
        <v>1</v>
      </c>
      <c r="Y715" s="12">
        <f t="shared" si="46"/>
        <v>0</v>
      </c>
    </row>
    <row r="716" spans="3:25" ht="15.7">
      <c r="D716" s="4267" t="str">
        <f>T('2 REPAIR ESTIMATOR'!D628:O628)</f>
        <v>Framing</v>
      </c>
      <c r="E716" s="4268"/>
      <c r="F716" s="4268"/>
      <c r="G716" s="4268"/>
      <c r="H716" s="4268"/>
      <c r="I716" s="4268"/>
      <c r="J716" s="4268"/>
      <c r="K716" s="4268"/>
      <c r="L716" s="4269">
        <f>'2 REPAIR ESTIMATOR'!P628</f>
        <v>0</v>
      </c>
      <c r="M716" s="4269"/>
      <c r="N716" s="4270" t="str">
        <f>T('2 REPAIR ESTIMATOR'!S628)</f>
        <v/>
      </c>
      <c r="O716" s="4270"/>
      <c r="P716" s="4273"/>
      <c r="Q716" s="4273"/>
      <c r="R716" s="4273"/>
      <c r="S716" s="4273"/>
      <c r="T716" s="4273"/>
      <c r="U716" s="4273"/>
      <c r="V716" s="4274"/>
      <c r="W716" s="12">
        <f>IF(L716="",0,1)</f>
        <v>1</v>
      </c>
      <c r="X716" s="12">
        <f t="shared" si="48"/>
        <v>1</v>
      </c>
      <c r="Y716" s="12">
        <f t="shared" si="46"/>
        <v>1</v>
      </c>
    </row>
    <row r="717" spans="3:25" ht="15.7">
      <c r="D717" s="4267" t="str">
        <f>T('2 REPAIR ESTIMATOR'!D629:O629)</f>
        <v>Structural framing bid/allowance, case by case</v>
      </c>
      <c r="E717" s="4268"/>
      <c r="F717" s="4268"/>
      <c r="G717" s="4268"/>
      <c r="H717" s="4268"/>
      <c r="I717" s="4268"/>
      <c r="J717" s="4268"/>
      <c r="K717" s="4268"/>
      <c r="L717" s="4269">
        <f>'2 REPAIR ESTIMATOR'!P629</f>
        <v>0</v>
      </c>
      <c r="M717" s="4269"/>
      <c r="N717" s="4270" t="str">
        <f>T('2 REPAIR ESTIMATOR'!S629)</f>
        <v>ls</v>
      </c>
      <c r="O717" s="4270"/>
      <c r="P717" s="4271"/>
      <c r="Q717" s="4271"/>
      <c r="R717" s="4271"/>
      <c r="S717" s="4271"/>
      <c r="T717" s="4271"/>
      <c r="U717" s="4271"/>
      <c r="V717" s="4272"/>
      <c r="W717" s="12">
        <f t="shared" ref="W717:W755" si="49">IF(L717="",0,1)</f>
        <v>1</v>
      </c>
      <c r="X717" s="12">
        <f t="shared" si="48"/>
        <v>1</v>
      </c>
      <c r="Y717" s="12">
        <f t="shared" si="46"/>
        <v>1</v>
      </c>
    </row>
    <row r="718" spans="3:25" ht="15.7">
      <c r="D718" s="4267" t="str">
        <f>T('2 REPAIR ESTIMATOR'!D630:O630)</f>
        <v>Subflooring, 3/4" plywood</v>
      </c>
      <c r="E718" s="4268"/>
      <c r="F718" s="4268"/>
      <c r="G718" s="4268"/>
      <c r="H718" s="4268"/>
      <c r="I718" s="4268"/>
      <c r="J718" s="4268"/>
      <c r="K718" s="4268"/>
      <c r="L718" s="4269">
        <f>'2 REPAIR ESTIMATOR'!P630</f>
        <v>0</v>
      </c>
      <c r="M718" s="4269"/>
      <c r="N718" s="4270" t="str">
        <f>T('2 REPAIR ESTIMATOR'!S630)</f>
        <v>sf</v>
      </c>
      <c r="O718" s="4270"/>
      <c r="P718" s="4271"/>
      <c r="Q718" s="4271"/>
      <c r="R718" s="4271"/>
      <c r="S718" s="4271"/>
      <c r="T718" s="4271"/>
      <c r="U718" s="4271"/>
      <c r="V718" s="4272"/>
      <c r="W718" s="12">
        <f t="shared" si="49"/>
        <v>1</v>
      </c>
      <c r="X718" s="12">
        <f t="shared" si="48"/>
        <v>1</v>
      </c>
      <c r="Y718" s="12">
        <f t="shared" si="46"/>
        <v>1</v>
      </c>
    </row>
    <row r="719" spans="3:25" ht="15.7">
      <c r="D719" s="4267" t="str">
        <f>T('2 REPAIR ESTIMATOR'!D631:O631)</f>
        <v>Interior wall framing</v>
      </c>
      <c r="E719" s="4268"/>
      <c r="F719" s="4268"/>
      <c r="G719" s="4268"/>
      <c r="H719" s="4268"/>
      <c r="I719" s="4268"/>
      <c r="J719" s="4268"/>
      <c r="K719" s="4268"/>
      <c r="L719" s="4269">
        <f>'2 REPAIR ESTIMATOR'!P631</f>
        <v>0</v>
      </c>
      <c r="M719" s="4269"/>
      <c r="N719" s="4270" t="str">
        <f>T('2 REPAIR ESTIMATOR'!S631)</f>
        <v>sf</v>
      </c>
      <c r="O719" s="4270"/>
      <c r="P719" s="4271"/>
      <c r="Q719" s="4271"/>
      <c r="R719" s="4271"/>
      <c r="S719" s="4271"/>
      <c r="T719" s="4271"/>
      <c r="U719" s="4271"/>
      <c r="V719" s="4272"/>
      <c r="W719" s="12">
        <f t="shared" si="49"/>
        <v>1</v>
      </c>
      <c r="X719" s="12">
        <f t="shared" si="48"/>
        <v>1</v>
      </c>
      <c r="Y719" s="12">
        <f t="shared" si="46"/>
        <v>1</v>
      </c>
    </row>
    <row r="720" spans="3:25" ht="15.7">
      <c r="D720" s="4267" t="str">
        <f>T('2 REPAIR ESTIMATOR'!D632:O632)</f>
        <v>Structural/Exterior wall framing</v>
      </c>
      <c r="E720" s="4268"/>
      <c r="F720" s="4268"/>
      <c r="G720" s="4268"/>
      <c r="H720" s="4268"/>
      <c r="I720" s="4268"/>
      <c r="J720" s="4268"/>
      <c r="K720" s="4268"/>
      <c r="L720" s="4269">
        <f>'2 REPAIR ESTIMATOR'!P632</f>
        <v>0</v>
      </c>
      <c r="M720" s="4269"/>
      <c r="N720" s="4270" t="str">
        <f>T('2 REPAIR ESTIMATOR'!S632)</f>
        <v>sf</v>
      </c>
      <c r="O720" s="4270"/>
      <c r="P720" s="4271"/>
      <c r="Q720" s="4271"/>
      <c r="R720" s="4271"/>
      <c r="S720" s="4271"/>
      <c r="T720" s="4271"/>
      <c r="U720" s="4271"/>
      <c r="V720" s="4272"/>
      <c r="W720" s="12">
        <f t="shared" si="49"/>
        <v>1</v>
      </c>
      <c r="X720" s="12">
        <f t="shared" si="48"/>
        <v>1</v>
      </c>
      <c r="Y720" s="12">
        <f t="shared" si="46"/>
        <v>1</v>
      </c>
    </row>
    <row r="721" spans="4:25" ht="15.7">
      <c r="D721" s="4267" t="str">
        <f>T('2 REPAIR ESTIMATOR'!D633:O633)</f>
        <v>Rough-in openings</v>
      </c>
      <c r="E721" s="4268"/>
      <c r="F721" s="4268"/>
      <c r="G721" s="4268"/>
      <c r="H721" s="4268"/>
      <c r="I721" s="4268"/>
      <c r="J721" s="4268"/>
      <c r="K721" s="4268"/>
      <c r="L721" s="4269">
        <f>'2 REPAIR ESTIMATOR'!P633</f>
        <v>0</v>
      </c>
      <c r="M721" s="4269"/>
      <c r="N721" s="4270" t="str">
        <f>T('2 REPAIR ESTIMATOR'!S633)</f>
        <v>ea</v>
      </c>
      <c r="O721" s="4270"/>
      <c r="P721" s="4271"/>
      <c r="Q721" s="4271"/>
      <c r="R721" s="4271"/>
      <c r="S721" s="4271"/>
      <c r="T721" s="4271"/>
      <c r="U721" s="4271"/>
      <c r="V721" s="4272"/>
      <c r="W721" s="12">
        <f t="shared" si="49"/>
        <v>1</v>
      </c>
      <c r="X721" s="12">
        <f t="shared" si="48"/>
        <v>1</v>
      </c>
      <c r="Y721" s="12">
        <f t="shared" si="46"/>
        <v>1</v>
      </c>
    </row>
    <row r="722" spans="4:25" ht="15.7">
      <c r="D722" s="4267" t="str">
        <f>T('2 REPAIR ESTIMATOR'!D634:O634)</f>
        <v>Floor joists/ceiling joists</v>
      </c>
      <c r="E722" s="4268"/>
      <c r="F722" s="4268"/>
      <c r="G722" s="4268"/>
      <c r="H722" s="4268"/>
      <c r="I722" s="4268"/>
      <c r="J722" s="4268"/>
      <c r="K722" s="4268"/>
      <c r="L722" s="4269">
        <f>'2 REPAIR ESTIMATOR'!P634</f>
        <v>0</v>
      </c>
      <c r="M722" s="4269"/>
      <c r="N722" s="4270" t="str">
        <f>T('2 REPAIR ESTIMATOR'!S634)</f>
        <v>sf</v>
      </c>
      <c r="O722" s="4270"/>
      <c r="P722" s="4271"/>
      <c r="Q722" s="4271"/>
      <c r="R722" s="4271"/>
      <c r="S722" s="4271"/>
      <c r="T722" s="4271"/>
      <c r="U722" s="4271"/>
      <c r="V722" s="4272"/>
      <c r="W722" s="12">
        <f t="shared" si="49"/>
        <v>1</v>
      </c>
      <c r="X722" s="12">
        <f t="shared" si="48"/>
        <v>1</v>
      </c>
      <c r="Y722" s="12">
        <f t="shared" si="46"/>
        <v>1</v>
      </c>
    </row>
    <row r="723" spans="4:25" ht="15.7">
      <c r="D723" s="4267" t="str">
        <f>T('2 REPAIR ESTIMATOR'!D635:O635)</f>
        <v>Roof framing/rafters</v>
      </c>
      <c r="E723" s="4268"/>
      <c r="F723" s="4268"/>
      <c r="G723" s="4268"/>
      <c r="H723" s="4268"/>
      <c r="I723" s="4268"/>
      <c r="J723" s="4268"/>
      <c r="K723" s="4268"/>
      <c r="L723" s="4269">
        <f>'2 REPAIR ESTIMATOR'!P635</f>
        <v>0</v>
      </c>
      <c r="M723" s="4269"/>
      <c r="N723" s="4270" t="str">
        <f>T('2 REPAIR ESTIMATOR'!S635)</f>
        <v>sf</v>
      </c>
      <c r="O723" s="4270"/>
      <c r="P723" s="4271"/>
      <c r="Q723" s="4271"/>
      <c r="R723" s="4271"/>
      <c r="S723" s="4271"/>
      <c r="T723" s="4271"/>
      <c r="U723" s="4271"/>
      <c r="V723" s="4272"/>
      <c r="W723" s="12">
        <f t="shared" si="49"/>
        <v>1</v>
      </c>
      <c r="X723" s="12">
        <f t="shared" si="48"/>
        <v>1</v>
      </c>
      <c r="Y723" s="12">
        <f t="shared" si="46"/>
        <v>1</v>
      </c>
    </row>
    <row r="724" spans="4:25" ht="15.7">
      <c r="D724" s="4267" t="str">
        <f>T('2 REPAIR ESTIMATOR'!D636:O636)</f>
        <v>Open load bearing/structural wall</v>
      </c>
      <c r="E724" s="4268"/>
      <c r="F724" s="4268"/>
      <c r="G724" s="4268"/>
      <c r="H724" s="4268"/>
      <c r="I724" s="4268"/>
      <c r="J724" s="4268"/>
      <c r="K724" s="4268"/>
      <c r="L724" s="4269">
        <f>'2 REPAIR ESTIMATOR'!P636</f>
        <v>0</v>
      </c>
      <c r="M724" s="4269"/>
      <c r="N724" s="4270" t="str">
        <f>T('2 REPAIR ESTIMATOR'!S636)</f>
        <v>ea</v>
      </c>
      <c r="O724" s="4270"/>
      <c r="P724" s="4271"/>
      <c r="Q724" s="4271"/>
      <c r="R724" s="4271"/>
      <c r="S724" s="4271"/>
      <c r="T724" s="4271"/>
      <c r="U724" s="4271"/>
      <c r="V724" s="4272"/>
      <c r="W724" s="12">
        <f t="shared" si="49"/>
        <v>1</v>
      </c>
      <c r="X724" s="12">
        <f t="shared" si="48"/>
        <v>1</v>
      </c>
      <c r="Y724" s="12">
        <f t="shared" si="46"/>
        <v>1</v>
      </c>
    </row>
    <row r="725" spans="4:25" ht="15.7">
      <c r="D725" s="4267" t="str">
        <f>T('2 REPAIR ESTIMATOR'!D637:O637)</f>
        <v>Insulation</v>
      </c>
      <c r="E725" s="4268"/>
      <c r="F725" s="4268"/>
      <c r="G725" s="4268"/>
      <c r="H725" s="4268"/>
      <c r="I725" s="4268"/>
      <c r="J725" s="4268"/>
      <c r="K725" s="4268"/>
      <c r="L725" s="4269">
        <f>'2 REPAIR ESTIMATOR'!P637</f>
        <v>0</v>
      </c>
      <c r="M725" s="4269"/>
      <c r="N725" s="4270" t="str">
        <f>T('2 REPAIR ESTIMATOR'!S637)</f>
        <v/>
      </c>
      <c r="O725" s="4270"/>
      <c r="P725" s="4271"/>
      <c r="Q725" s="4271"/>
      <c r="R725" s="4271"/>
      <c r="S725" s="4271"/>
      <c r="T725" s="4271"/>
      <c r="U725" s="4271"/>
      <c r="V725" s="4272"/>
      <c r="W725" s="12">
        <f t="shared" si="49"/>
        <v>1</v>
      </c>
      <c r="X725" s="12">
        <f t="shared" si="48"/>
        <v>1</v>
      </c>
      <c r="Y725" s="12">
        <f t="shared" si="46"/>
        <v>1</v>
      </c>
    </row>
    <row r="726" spans="4:25" ht="15.7">
      <c r="D726" s="4267" t="str">
        <f>T('2 REPAIR ESTIMATOR'!D638:O638)</f>
        <v>Insulation bid/allowance</v>
      </c>
      <c r="E726" s="4268"/>
      <c r="F726" s="4268"/>
      <c r="G726" s="4268"/>
      <c r="H726" s="4268"/>
      <c r="I726" s="4268"/>
      <c r="J726" s="4268"/>
      <c r="K726" s="4268"/>
      <c r="L726" s="4269">
        <f>'2 REPAIR ESTIMATOR'!P638</f>
        <v>0</v>
      </c>
      <c r="M726" s="4269"/>
      <c r="N726" s="4270" t="str">
        <f>T('2 REPAIR ESTIMATOR'!S638)</f>
        <v>ls</v>
      </c>
      <c r="O726" s="4270"/>
      <c r="P726" s="4271"/>
      <c r="Q726" s="4271"/>
      <c r="R726" s="4271"/>
      <c r="S726" s="4271"/>
      <c r="T726" s="4271"/>
      <c r="U726" s="4271"/>
      <c r="V726" s="4272"/>
      <c r="W726" s="12">
        <f t="shared" si="49"/>
        <v>1</v>
      </c>
      <c r="X726" s="12">
        <f t="shared" si="48"/>
        <v>1</v>
      </c>
      <c r="Y726" s="12">
        <f t="shared" si="46"/>
        <v>1</v>
      </c>
    </row>
    <row r="727" spans="4:25" ht="15.7">
      <c r="D727" s="4267" t="str">
        <f>T('2 REPAIR ESTIMATOR'!D639:O639)</f>
        <v>Wall insulation</v>
      </c>
      <c r="E727" s="4268"/>
      <c r="F727" s="4268"/>
      <c r="G727" s="4268"/>
      <c r="H727" s="4268"/>
      <c r="I727" s="4268"/>
      <c r="J727" s="4268"/>
      <c r="K727" s="4268"/>
      <c r="L727" s="4269">
        <f>'2 REPAIR ESTIMATOR'!P639</f>
        <v>0</v>
      </c>
      <c r="M727" s="4269"/>
      <c r="N727" s="4270" t="str">
        <f>T('2 REPAIR ESTIMATOR'!S639)</f>
        <v>sf</v>
      </c>
      <c r="O727" s="4270"/>
      <c r="P727" s="4271"/>
      <c r="Q727" s="4271"/>
      <c r="R727" s="4271"/>
      <c r="S727" s="4271"/>
      <c r="T727" s="4271"/>
      <c r="U727" s="4271"/>
      <c r="V727" s="4272"/>
      <c r="W727" s="12">
        <f t="shared" si="49"/>
        <v>1</v>
      </c>
      <c r="X727" s="12">
        <f t="shared" si="48"/>
        <v>1</v>
      </c>
      <c r="Y727" s="12">
        <f t="shared" si="46"/>
        <v>1</v>
      </c>
    </row>
    <row r="728" spans="4:25" ht="15.7">
      <c r="D728" s="4267" t="str">
        <f>T('2 REPAIR ESTIMATOR'!D640:O640)</f>
        <v>Floor insulation</v>
      </c>
      <c r="E728" s="4268"/>
      <c r="F728" s="4268"/>
      <c r="G728" s="4268"/>
      <c r="H728" s="4268"/>
      <c r="I728" s="4268"/>
      <c r="J728" s="4268"/>
      <c r="K728" s="4268"/>
      <c r="L728" s="4269">
        <f>'2 REPAIR ESTIMATOR'!P640</f>
        <v>0</v>
      </c>
      <c r="M728" s="4269"/>
      <c r="N728" s="4270" t="str">
        <f>T('2 REPAIR ESTIMATOR'!S640)</f>
        <v>sf</v>
      </c>
      <c r="O728" s="4270"/>
      <c r="P728" s="4271"/>
      <c r="Q728" s="4271"/>
      <c r="R728" s="4271"/>
      <c r="S728" s="4271"/>
      <c r="T728" s="4271"/>
      <c r="U728" s="4271"/>
      <c r="V728" s="4272"/>
      <c r="W728" s="12">
        <f t="shared" si="49"/>
        <v>1</v>
      </c>
      <c r="X728" s="12">
        <f t="shared" si="48"/>
        <v>1</v>
      </c>
      <c r="Y728" s="12">
        <f t="shared" si="46"/>
        <v>1</v>
      </c>
    </row>
    <row r="729" spans="4:25" ht="15.7">
      <c r="D729" s="4267" t="str">
        <f>T('2 REPAIR ESTIMATOR'!D641:O641)</f>
        <v>Attic insulation, blown-in</v>
      </c>
      <c r="E729" s="4268"/>
      <c r="F729" s="4268"/>
      <c r="G729" s="4268"/>
      <c r="H729" s="4268"/>
      <c r="I729" s="4268"/>
      <c r="J729" s="4268"/>
      <c r="K729" s="4268"/>
      <c r="L729" s="4269">
        <f>'2 REPAIR ESTIMATOR'!P641</f>
        <v>0</v>
      </c>
      <c r="M729" s="4269"/>
      <c r="N729" s="4270" t="str">
        <f>T('2 REPAIR ESTIMATOR'!S641)</f>
        <v>sf</v>
      </c>
      <c r="O729" s="4270"/>
      <c r="P729" s="4271"/>
      <c r="Q729" s="4271"/>
      <c r="R729" s="4271"/>
      <c r="S729" s="4271"/>
      <c r="T729" s="4271"/>
      <c r="U729" s="4271"/>
      <c r="V729" s="4272"/>
      <c r="W729" s="12">
        <f t="shared" si="49"/>
        <v>1</v>
      </c>
      <c r="X729" s="12">
        <f t="shared" si="48"/>
        <v>1</v>
      </c>
      <c r="Y729" s="12">
        <f t="shared" si="46"/>
        <v>1</v>
      </c>
    </row>
    <row r="730" spans="4:25" ht="15.7">
      <c r="D730" s="4267" t="str">
        <f>T('2 REPAIR ESTIMATOR'!D642:O642)</f>
        <v>Walls/Ceilings</v>
      </c>
      <c r="E730" s="4268"/>
      <c r="F730" s="4268"/>
      <c r="G730" s="4268"/>
      <c r="H730" s="4268"/>
      <c r="I730" s="4268"/>
      <c r="J730" s="4268"/>
      <c r="K730" s="4268"/>
      <c r="L730" s="4269">
        <f>'2 REPAIR ESTIMATOR'!P642</f>
        <v>0</v>
      </c>
      <c r="M730" s="4269"/>
      <c r="N730" s="4270" t="str">
        <f>T('2 REPAIR ESTIMATOR'!S642)</f>
        <v/>
      </c>
      <c r="O730" s="4270"/>
      <c r="P730" s="4271"/>
      <c r="Q730" s="4271"/>
      <c r="R730" s="4271"/>
      <c r="S730" s="4271"/>
      <c r="T730" s="4271"/>
      <c r="U730" s="4271"/>
      <c r="V730" s="4272"/>
      <c r="W730" s="12">
        <f t="shared" si="49"/>
        <v>1</v>
      </c>
      <c r="X730" s="12">
        <f t="shared" si="48"/>
        <v>1</v>
      </c>
      <c r="Y730" s="12">
        <f t="shared" si="46"/>
        <v>1</v>
      </c>
    </row>
    <row r="731" spans="4:25" ht="15.7">
      <c r="D731" s="4267" t="str">
        <f>T('2 REPAIR ESTIMATOR'!D643:O643)</f>
        <v>Drywall bid/allowance, case by case</v>
      </c>
      <c r="E731" s="4268"/>
      <c r="F731" s="4268"/>
      <c r="G731" s="4268"/>
      <c r="H731" s="4268"/>
      <c r="I731" s="4268"/>
      <c r="J731" s="4268"/>
      <c r="K731" s="4268"/>
      <c r="L731" s="4269">
        <f>'2 REPAIR ESTIMATOR'!P643</f>
        <v>0</v>
      </c>
      <c r="M731" s="4269"/>
      <c r="N731" s="4270" t="str">
        <f>T('2 REPAIR ESTIMATOR'!S643)</f>
        <v>ls</v>
      </c>
      <c r="O731" s="4270"/>
      <c r="P731" s="4271"/>
      <c r="Q731" s="4271"/>
      <c r="R731" s="4271"/>
      <c r="S731" s="4271"/>
      <c r="T731" s="4271"/>
      <c r="U731" s="4271"/>
      <c r="V731" s="4272"/>
      <c r="W731" s="12">
        <f t="shared" si="49"/>
        <v>1</v>
      </c>
      <c r="X731" s="12">
        <f t="shared" si="48"/>
        <v>1</v>
      </c>
      <c r="Y731" s="12">
        <f t="shared" si="46"/>
        <v>1</v>
      </c>
    </row>
    <row r="732" spans="4:25" ht="15.7">
      <c r="D732" s="4267" t="str">
        <f>T('2 REPAIR ESTIMATOR'!D644:O644)</f>
        <v>Drywall wallboard, 1/2" thick, finish one side</v>
      </c>
      <c r="E732" s="4268"/>
      <c r="F732" s="4268"/>
      <c r="G732" s="4268"/>
      <c r="H732" s="4268"/>
      <c r="I732" s="4268"/>
      <c r="J732" s="4268"/>
      <c r="K732" s="4268"/>
      <c r="L732" s="4269">
        <f>'2 REPAIR ESTIMATOR'!P644</f>
        <v>0</v>
      </c>
      <c r="M732" s="4269"/>
      <c r="N732" s="4270" t="str">
        <f>T('2 REPAIR ESTIMATOR'!S644)</f>
        <v>sf</v>
      </c>
      <c r="O732" s="4270"/>
      <c r="P732" s="4271"/>
      <c r="Q732" s="4271"/>
      <c r="R732" s="4271"/>
      <c r="S732" s="4271"/>
      <c r="T732" s="4271"/>
      <c r="U732" s="4271"/>
      <c r="V732" s="4272"/>
      <c r="W732" s="12">
        <f t="shared" si="49"/>
        <v>1</v>
      </c>
      <c r="X732" s="12">
        <f t="shared" si="48"/>
        <v>1</v>
      </c>
      <c r="Y732" s="12">
        <f t="shared" si="46"/>
        <v>1</v>
      </c>
    </row>
    <row r="733" spans="4:25" ht="15.7">
      <c r="D733" s="4267" t="str">
        <f>T('2 REPAIR ESTIMATOR'!D645:O645)</f>
        <v>Drywall ceilings, 1/2" thick</v>
      </c>
      <c r="E733" s="4268"/>
      <c r="F733" s="4268"/>
      <c r="G733" s="4268"/>
      <c r="H733" s="4268"/>
      <c r="I733" s="4268"/>
      <c r="J733" s="4268"/>
      <c r="K733" s="4268"/>
      <c r="L733" s="4269">
        <f>'2 REPAIR ESTIMATOR'!P645</f>
        <v>0</v>
      </c>
      <c r="M733" s="4269"/>
      <c r="N733" s="4270" t="str">
        <f>T('2 REPAIR ESTIMATOR'!S645)</f>
        <v>sf</v>
      </c>
      <c r="O733" s="4270"/>
      <c r="P733" s="4271"/>
      <c r="Q733" s="4271"/>
      <c r="R733" s="4271"/>
      <c r="S733" s="4271"/>
      <c r="T733" s="4271"/>
      <c r="U733" s="4271"/>
      <c r="V733" s="4272"/>
      <c r="W733" s="12">
        <f t="shared" si="49"/>
        <v>1</v>
      </c>
      <c r="X733" s="12">
        <f t="shared" si="48"/>
        <v>1</v>
      </c>
      <c r="Y733" s="12">
        <f t="shared" si="46"/>
        <v>1</v>
      </c>
    </row>
    <row r="734" spans="4:25" ht="15.7">
      <c r="D734" s="4267" t="str">
        <f>T('2 REPAIR ESTIMATOR'!D646:O646)</f>
        <v>Skim coating/texturing walls</v>
      </c>
      <c r="E734" s="4268"/>
      <c r="F734" s="4268"/>
      <c r="G734" s="4268"/>
      <c r="H734" s="4268"/>
      <c r="I734" s="4268"/>
      <c r="J734" s="4268"/>
      <c r="K734" s="4268"/>
      <c r="L734" s="4269">
        <f>'2 REPAIR ESTIMATOR'!P646</f>
        <v>0</v>
      </c>
      <c r="M734" s="4269"/>
      <c r="N734" s="4270" t="str">
        <f>T('2 REPAIR ESTIMATOR'!S646)</f>
        <v>sf</v>
      </c>
      <c r="O734" s="4270"/>
      <c r="P734" s="4271"/>
      <c r="Q734" s="4271"/>
      <c r="R734" s="4271"/>
      <c r="S734" s="4271"/>
      <c r="T734" s="4271"/>
      <c r="U734" s="4271"/>
      <c r="V734" s="4272"/>
      <c r="W734" s="12">
        <f t="shared" si="49"/>
        <v>1</v>
      </c>
      <c r="X734" s="12">
        <f t="shared" si="48"/>
        <v>1</v>
      </c>
      <c r="Y734" s="12">
        <f t="shared" si="46"/>
        <v>1</v>
      </c>
    </row>
    <row r="735" spans="4:25" ht="15.7">
      <c r="D735" s="4267" t="str">
        <f>T('2 REPAIR ESTIMATOR'!D647:O647)</f>
        <v>Skim coating/texturing ceilings</v>
      </c>
      <c r="E735" s="4268"/>
      <c r="F735" s="4268"/>
      <c r="G735" s="4268"/>
      <c r="H735" s="4268"/>
      <c r="I735" s="4268"/>
      <c r="J735" s="4268"/>
      <c r="K735" s="4268"/>
      <c r="L735" s="4269">
        <f>'2 REPAIR ESTIMATOR'!P647</f>
        <v>0</v>
      </c>
      <c r="M735" s="4269"/>
      <c r="N735" s="4270" t="str">
        <f>T('2 REPAIR ESTIMATOR'!S647)</f>
        <v>sf</v>
      </c>
      <c r="O735" s="4270"/>
      <c r="P735" s="4271"/>
      <c r="Q735" s="4271"/>
      <c r="R735" s="4271"/>
      <c r="S735" s="4271"/>
      <c r="T735" s="4271"/>
      <c r="U735" s="4271"/>
      <c r="V735" s="4272"/>
      <c r="W735" s="12">
        <f t="shared" si="49"/>
        <v>1</v>
      </c>
      <c r="X735" s="12">
        <f t="shared" si="48"/>
        <v>1</v>
      </c>
      <c r="Y735" s="12">
        <f t="shared" si="46"/>
        <v>1</v>
      </c>
    </row>
    <row r="736" spans="4:25" ht="15.7">
      <c r="D736" s="4267" t="str">
        <f>T('2 REPAIR ESTIMATOR'!D648:O648)</f>
        <v/>
      </c>
      <c r="E736" s="4268"/>
      <c r="F736" s="4268"/>
      <c r="G736" s="4268"/>
      <c r="H736" s="4268"/>
      <c r="I736" s="4268"/>
      <c r="J736" s="4268"/>
      <c r="K736" s="4268"/>
      <c r="L736" s="4269">
        <f>'2 REPAIR ESTIMATOR'!P648</f>
        <v>0</v>
      </c>
      <c r="M736" s="4269"/>
      <c r="N736" s="4270" t="str">
        <f>T('2 REPAIR ESTIMATOR'!S648)</f>
        <v/>
      </c>
      <c r="O736" s="4270"/>
      <c r="P736" s="4271"/>
      <c r="Q736" s="4271"/>
      <c r="R736" s="4271"/>
      <c r="S736" s="4271"/>
      <c r="T736" s="4271"/>
      <c r="U736" s="4271"/>
      <c r="V736" s="4272"/>
      <c r="W736" s="12">
        <f t="shared" si="49"/>
        <v>1</v>
      </c>
      <c r="X736" s="12">
        <f t="shared" si="48"/>
        <v>1</v>
      </c>
      <c r="Y736" s="12">
        <f t="shared" si="46"/>
        <v>1</v>
      </c>
    </row>
    <row r="737" spans="4:25" ht="15.7">
      <c r="D737" s="4267" t="str">
        <f>T('2 REPAIR ESTIMATOR'!D649:O649)</f>
        <v/>
      </c>
      <c r="E737" s="4268"/>
      <c r="F737" s="4268"/>
      <c r="G737" s="4268"/>
      <c r="H737" s="4268"/>
      <c r="I737" s="4268"/>
      <c r="J737" s="4268"/>
      <c r="K737" s="4268"/>
      <c r="L737" s="4269">
        <f>'2 REPAIR ESTIMATOR'!P649</f>
        <v>0</v>
      </c>
      <c r="M737" s="4269"/>
      <c r="N737" s="4270" t="str">
        <f>T('2 REPAIR ESTIMATOR'!S649)</f>
        <v/>
      </c>
      <c r="O737" s="4270"/>
      <c r="P737" s="4271"/>
      <c r="Q737" s="4271"/>
      <c r="R737" s="4271"/>
      <c r="S737" s="4271"/>
      <c r="T737" s="4271"/>
      <c r="U737" s="4271"/>
      <c r="V737" s="4272"/>
      <c r="W737" s="12">
        <f t="shared" si="49"/>
        <v>1</v>
      </c>
      <c r="X737" s="12">
        <f t="shared" si="48"/>
        <v>1</v>
      </c>
      <c r="Y737" s="12">
        <f t="shared" si="46"/>
        <v>1</v>
      </c>
    </row>
    <row r="738" spans="4:25" ht="15.7">
      <c r="D738" s="4267" t="str">
        <f>T('2 REPAIR ESTIMATOR'!D650:O650)</f>
        <v/>
      </c>
      <c r="E738" s="4268"/>
      <c r="F738" s="4268"/>
      <c r="G738" s="4268"/>
      <c r="H738" s="4268"/>
      <c r="I738" s="4268"/>
      <c r="J738" s="4268"/>
      <c r="K738" s="4268"/>
      <c r="L738" s="4269">
        <f>'2 REPAIR ESTIMATOR'!P650</f>
        <v>0</v>
      </c>
      <c r="M738" s="4269"/>
      <c r="N738" s="4270" t="str">
        <f>T('2 REPAIR ESTIMATOR'!S650)</f>
        <v/>
      </c>
      <c r="O738" s="4270"/>
      <c r="P738" s="4271"/>
      <c r="Q738" s="4271"/>
      <c r="R738" s="4271"/>
      <c r="S738" s="4271"/>
      <c r="T738" s="4271"/>
      <c r="U738" s="4271"/>
      <c r="V738" s="4272"/>
      <c r="W738" s="12">
        <f t="shared" si="49"/>
        <v>1</v>
      </c>
      <c r="X738" s="12">
        <f t="shared" si="48"/>
        <v>1</v>
      </c>
      <c r="Y738" s="12">
        <f t="shared" si="46"/>
        <v>1</v>
      </c>
    </row>
    <row r="739" spans="4:25" ht="15.7">
      <c r="D739" s="4267" t="str">
        <f>T('2 REPAIR ESTIMATOR'!D651:O651)</f>
        <v/>
      </c>
      <c r="E739" s="4268"/>
      <c r="F739" s="4268"/>
      <c r="G739" s="4268"/>
      <c r="H739" s="4268"/>
      <c r="I739" s="4268"/>
      <c r="J739" s="4268"/>
      <c r="K739" s="4268"/>
      <c r="L739" s="4269">
        <f>'2 REPAIR ESTIMATOR'!P651</f>
        <v>0</v>
      </c>
      <c r="M739" s="4269"/>
      <c r="N739" s="4270" t="str">
        <f>T('2 REPAIR ESTIMATOR'!S651)</f>
        <v/>
      </c>
      <c r="O739" s="4270"/>
      <c r="P739" s="4271"/>
      <c r="Q739" s="4271"/>
      <c r="R739" s="4271"/>
      <c r="S739" s="4271"/>
      <c r="T739" s="4271"/>
      <c r="U739" s="4271"/>
      <c r="V739" s="4272"/>
      <c r="W739" s="12">
        <f t="shared" si="49"/>
        <v>1</v>
      </c>
      <c r="X739" s="12">
        <f t="shared" si="48"/>
        <v>1</v>
      </c>
      <c r="Y739" s="12">
        <f t="shared" si="46"/>
        <v>1</v>
      </c>
    </row>
    <row r="740" spans="4:25" ht="15.7">
      <c r="D740" s="4267" t="str">
        <f>T('2 REPAIR ESTIMATOR'!D652:O652)</f>
        <v/>
      </c>
      <c r="E740" s="4268"/>
      <c r="F740" s="4268"/>
      <c r="G740" s="4268"/>
      <c r="H740" s="4268"/>
      <c r="I740" s="4268"/>
      <c r="J740" s="4268"/>
      <c r="K740" s="4268"/>
      <c r="L740" s="4269">
        <f>'2 REPAIR ESTIMATOR'!P652</f>
        <v>0</v>
      </c>
      <c r="M740" s="4269"/>
      <c r="N740" s="4270" t="str">
        <f>T('2 REPAIR ESTIMATOR'!S652)</f>
        <v/>
      </c>
      <c r="O740" s="4270"/>
      <c r="P740" s="4271"/>
      <c r="Q740" s="4271"/>
      <c r="R740" s="4271"/>
      <c r="S740" s="4271"/>
      <c r="T740" s="4271"/>
      <c r="U740" s="4271"/>
      <c r="V740" s="4272"/>
      <c r="W740" s="12">
        <f t="shared" si="49"/>
        <v>1</v>
      </c>
      <c r="X740" s="12">
        <f t="shared" si="48"/>
        <v>1</v>
      </c>
      <c r="Y740" s="12">
        <f t="shared" si="46"/>
        <v>1</v>
      </c>
    </row>
    <row r="741" spans="4:25" ht="15.7">
      <c r="D741" s="4267" t="str">
        <f>T('2 REPAIR ESTIMATOR'!D653:O653)</f>
        <v/>
      </c>
      <c r="E741" s="4268"/>
      <c r="F741" s="4268"/>
      <c r="G741" s="4268"/>
      <c r="H741" s="4268"/>
      <c r="I741" s="4268"/>
      <c r="J741" s="4268"/>
      <c r="K741" s="4268"/>
      <c r="L741" s="4269">
        <f>'2 REPAIR ESTIMATOR'!P653</f>
        <v>0</v>
      </c>
      <c r="M741" s="4269"/>
      <c r="N741" s="4270" t="str">
        <f>T('2 REPAIR ESTIMATOR'!S653)</f>
        <v/>
      </c>
      <c r="O741" s="4270"/>
      <c r="P741" s="4271"/>
      <c r="Q741" s="4271"/>
      <c r="R741" s="4271"/>
      <c r="S741" s="4271"/>
      <c r="T741" s="4271"/>
      <c r="U741" s="4271"/>
      <c r="V741" s="4272"/>
      <c r="W741" s="12">
        <f t="shared" si="49"/>
        <v>1</v>
      </c>
      <c r="X741" s="12">
        <f t="shared" si="48"/>
        <v>1</v>
      </c>
      <c r="Y741" s="12">
        <f t="shared" si="46"/>
        <v>1</v>
      </c>
    </row>
    <row r="742" spans="4:25" ht="15.7">
      <c r="D742" s="4267" t="str">
        <f>T('2 REPAIR ESTIMATOR'!D654:O654)</f>
        <v/>
      </c>
      <c r="E742" s="4268"/>
      <c r="F742" s="4268"/>
      <c r="G742" s="4268"/>
      <c r="H742" s="4268"/>
      <c r="I742" s="4268"/>
      <c r="J742" s="4268"/>
      <c r="K742" s="4268"/>
      <c r="L742" s="4269">
        <f>'2 REPAIR ESTIMATOR'!P654</f>
        <v>0</v>
      </c>
      <c r="M742" s="4269"/>
      <c r="N742" s="4270" t="str">
        <f>T('2 REPAIR ESTIMATOR'!S654)</f>
        <v/>
      </c>
      <c r="O742" s="4270"/>
      <c r="P742" s="4271"/>
      <c r="Q742" s="4271"/>
      <c r="R742" s="4271"/>
      <c r="S742" s="4271"/>
      <c r="T742" s="4271"/>
      <c r="U742" s="4271"/>
      <c r="V742" s="4272"/>
      <c r="W742" s="12">
        <f t="shared" si="49"/>
        <v>1</v>
      </c>
      <c r="X742" s="12">
        <f t="shared" si="48"/>
        <v>1</v>
      </c>
      <c r="Y742" s="12">
        <f t="shared" si="46"/>
        <v>1</v>
      </c>
    </row>
    <row r="743" spans="4:25" ht="15.7">
      <c r="D743" s="4267" t="str">
        <f>T('2 REPAIR ESTIMATOR'!D655:O655)</f>
        <v/>
      </c>
      <c r="E743" s="4268"/>
      <c r="F743" s="4268"/>
      <c r="G743" s="4268"/>
      <c r="H743" s="4268"/>
      <c r="I743" s="4268"/>
      <c r="J743" s="4268"/>
      <c r="K743" s="4268"/>
      <c r="L743" s="4269">
        <f>'2 REPAIR ESTIMATOR'!P655</f>
        <v>0</v>
      </c>
      <c r="M743" s="4269"/>
      <c r="N743" s="4270" t="str">
        <f>T('2 REPAIR ESTIMATOR'!S655)</f>
        <v/>
      </c>
      <c r="O743" s="4270"/>
      <c r="P743" s="4271"/>
      <c r="Q743" s="4271"/>
      <c r="R743" s="4271"/>
      <c r="S743" s="4271"/>
      <c r="T743" s="4271"/>
      <c r="U743" s="4271"/>
      <c r="V743" s="4272"/>
      <c r="W743" s="12">
        <f t="shared" si="49"/>
        <v>1</v>
      </c>
      <c r="X743" s="12">
        <f t="shared" si="48"/>
        <v>1</v>
      </c>
      <c r="Y743" s="12">
        <f t="shared" si="46"/>
        <v>1</v>
      </c>
    </row>
    <row r="744" spans="4:25" ht="15.7">
      <c r="D744" s="4267" t="str">
        <f>T('2 REPAIR ESTIMATOR'!D656:O656)</f>
        <v/>
      </c>
      <c r="E744" s="4268"/>
      <c r="F744" s="4268"/>
      <c r="G744" s="4268"/>
      <c r="H744" s="4268"/>
      <c r="I744" s="4268"/>
      <c r="J744" s="4268"/>
      <c r="K744" s="4268"/>
      <c r="L744" s="4269">
        <f>'2 REPAIR ESTIMATOR'!P656</f>
        <v>0</v>
      </c>
      <c r="M744" s="4269"/>
      <c r="N744" s="4270" t="str">
        <f>T('2 REPAIR ESTIMATOR'!S656)</f>
        <v/>
      </c>
      <c r="O744" s="4270"/>
      <c r="P744" s="4271"/>
      <c r="Q744" s="4271"/>
      <c r="R744" s="4271"/>
      <c r="S744" s="4271"/>
      <c r="T744" s="4271"/>
      <c r="U744" s="4271"/>
      <c r="V744" s="4272"/>
      <c r="W744" s="12">
        <f t="shared" si="49"/>
        <v>1</v>
      </c>
      <c r="X744" s="12">
        <f t="shared" si="48"/>
        <v>1</v>
      </c>
      <c r="Y744" s="12">
        <f t="shared" si="46"/>
        <v>1</v>
      </c>
    </row>
    <row r="745" spans="4:25" ht="15.7">
      <c r="D745" s="4267" t="str">
        <f>T('2 REPAIR ESTIMATOR'!D657:O657)</f>
        <v/>
      </c>
      <c r="E745" s="4268"/>
      <c r="F745" s="4268"/>
      <c r="G745" s="4268"/>
      <c r="H745" s="4268"/>
      <c r="I745" s="4268"/>
      <c r="J745" s="4268"/>
      <c r="K745" s="4268"/>
      <c r="L745" s="4269">
        <f>'2 REPAIR ESTIMATOR'!P657</f>
        <v>0</v>
      </c>
      <c r="M745" s="4269"/>
      <c r="N745" s="4270" t="str">
        <f>T('2 REPAIR ESTIMATOR'!S657)</f>
        <v/>
      </c>
      <c r="O745" s="4270"/>
      <c r="P745" s="4271"/>
      <c r="Q745" s="4271"/>
      <c r="R745" s="4271"/>
      <c r="S745" s="4271"/>
      <c r="T745" s="4271"/>
      <c r="U745" s="4271"/>
      <c r="V745" s="4272"/>
      <c r="W745" s="12">
        <f t="shared" si="49"/>
        <v>1</v>
      </c>
      <c r="X745" s="12">
        <f t="shared" si="48"/>
        <v>1</v>
      </c>
      <c r="Y745" s="12">
        <f t="shared" si="46"/>
        <v>1</v>
      </c>
    </row>
    <row r="746" spans="4:25" ht="15.7">
      <c r="D746" s="4267" t="str">
        <f>T('2 REPAIR ESTIMATOR'!D658:O658)</f>
        <v/>
      </c>
      <c r="E746" s="4268"/>
      <c r="F746" s="4268"/>
      <c r="G746" s="4268"/>
      <c r="H746" s="4268"/>
      <c r="I746" s="4268"/>
      <c r="J746" s="4268"/>
      <c r="K746" s="4268"/>
      <c r="L746" s="4269">
        <f>'2 REPAIR ESTIMATOR'!P658</f>
        <v>0</v>
      </c>
      <c r="M746" s="4269"/>
      <c r="N746" s="4270" t="str">
        <f>T('2 REPAIR ESTIMATOR'!S658)</f>
        <v/>
      </c>
      <c r="O746" s="4270"/>
      <c r="P746" s="4271"/>
      <c r="Q746" s="4271"/>
      <c r="R746" s="4271"/>
      <c r="S746" s="4271"/>
      <c r="T746" s="4271"/>
      <c r="U746" s="4271"/>
      <c r="V746" s="4272"/>
      <c r="W746" s="12">
        <f t="shared" si="49"/>
        <v>1</v>
      </c>
      <c r="X746" s="12">
        <f t="shared" si="48"/>
        <v>1</v>
      </c>
      <c r="Y746" s="12">
        <f t="shared" si="46"/>
        <v>1</v>
      </c>
    </row>
    <row r="747" spans="4:25" ht="15.7">
      <c r="D747" s="4267" t="str">
        <f>T('2 REPAIR ESTIMATOR'!D659:O659)</f>
        <v/>
      </c>
      <c r="E747" s="4268"/>
      <c r="F747" s="4268"/>
      <c r="G747" s="4268"/>
      <c r="H747" s="4268"/>
      <c r="I747" s="4268"/>
      <c r="J747" s="4268"/>
      <c r="K747" s="4268"/>
      <c r="L747" s="4269">
        <f>'2 REPAIR ESTIMATOR'!P659</f>
        <v>0</v>
      </c>
      <c r="M747" s="4269"/>
      <c r="N747" s="4270" t="str">
        <f>T('2 REPAIR ESTIMATOR'!S659)</f>
        <v/>
      </c>
      <c r="O747" s="4270"/>
      <c r="P747" s="4271"/>
      <c r="Q747" s="4271"/>
      <c r="R747" s="4271"/>
      <c r="S747" s="4271"/>
      <c r="T747" s="4271"/>
      <c r="U747" s="4271"/>
      <c r="V747" s="4272"/>
      <c r="W747" s="12">
        <f t="shared" si="49"/>
        <v>1</v>
      </c>
      <c r="X747" s="12">
        <f t="shared" ref="X747:X770" si="50">IF(Scope13_Setting="Shown",1,0)</f>
        <v>1</v>
      </c>
      <c r="Y747" s="12">
        <f t="shared" si="46"/>
        <v>1</v>
      </c>
    </row>
    <row r="748" spans="4:25" ht="15.7">
      <c r="D748" s="4267" t="str">
        <f>T('2 REPAIR ESTIMATOR'!D660:O660)</f>
        <v/>
      </c>
      <c r="E748" s="4268"/>
      <c r="F748" s="4268"/>
      <c r="G748" s="4268"/>
      <c r="H748" s="4268"/>
      <c r="I748" s="4268"/>
      <c r="J748" s="4268"/>
      <c r="K748" s="4268"/>
      <c r="L748" s="4269">
        <f>'2 REPAIR ESTIMATOR'!P660</f>
        <v>0</v>
      </c>
      <c r="M748" s="4269"/>
      <c r="N748" s="4270" t="str">
        <f>T('2 REPAIR ESTIMATOR'!S660)</f>
        <v/>
      </c>
      <c r="O748" s="4270"/>
      <c r="P748" s="4271"/>
      <c r="Q748" s="4271"/>
      <c r="R748" s="4271"/>
      <c r="S748" s="4271"/>
      <c r="T748" s="4271"/>
      <c r="U748" s="4271"/>
      <c r="V748" s="4272"/>
      <c r="W748" s="12">
        <f t="shared" si="49"/>
        <v>1</v>
      </c>
      <c r="X748" s="12">
        <f t="shared" si="50"/>
        <v>1</v>
      </c>
      <c r="Y748" s="12">
        <f t="shared" ref="Y748:Y811" si="51">W748*X748</f>
        <v>1</v>
      </c>
    </row>
    <row r="749" spans="4:25" ht="15.7">
      <c r="D749" s="4267" t="str">
        <f>T('2 REPAIR ESTIMATOR'!D661:O661)</f>
        <v/>
      </c>
      <c r="E749" s="4268"/>
      <c r="F749" s="4268"/>
      <c r="G749" s="4268"/>
      <c r="H749" s="4268"/>
      <c r="I749" s="4268"/>
      <c r="J749" s="4268"/>
      <c r="K749" s="4268"/>
      <c r="L749" s="4269">
        <f>'2 REPAIR ESTIMATOR'!P661</f>
        <v>0</v>
      </c>
      <c r="M749" s="4269"/>
      <c r="N749" s="4270" t="str">
        <f>T('2 REPAIR ESTIMATOR'!S661)</f>
        <v/>
      </c>
      <c r="O749" s="4270"/>
      <c r="P749" s="4271"/>
      <c r="Q749" s="4271"/>
      <c r="R749" s="4271"/>
      <c r="S749" s="4271"/>
      <c r="T749" s="4271"/>
      <c r="U749" s="4271"/>
      <c r="V749" s="4272"/>
      <c r="W749" s="12">
        <f t="shared" si="49"/>
        <v>1</v>
      </c>
      <c r="X749" s="12">
        <f t="shared" si="50"/>
        <v>1</v>
      </c>
      <c r="Y749" s="12">
        <f t="shared" si="51"/>
        <v>1</v>
      </c>
    </row>
    <row r="750" spans="4:25" ht="15.7">
      <c r="D750" s="4267" t="str">
        <f>T('2 REPAIR ESTIMATOR'!D662:O662)</f>
        <v/>
      </c>
      <c r="E750" s="4268"/>
      <c r="F750" s="4268"/>
      <c r="G750" s="4268"/>
      <c r="H750" s="4268"/>
      <c r="I750" s="4268"/>
      <c r="J750" s="4268"/>
      <c r="K750" s="4268"/>
      <c r="L750" s="4269">
        <f>'2 REPAIR ESTIMATOR'!P662</f>
        <v>0</v>
      </c>
      <c r="M750" s="4269"/>
      <c r="N750" s="4270" t="str">
        <f>T('2 REPAIR ESTIMATOR'!S662)</f>
        <v/>
      </c>
      <c r="O750" s="4270"/>
      <c r="P750" s="4271"/>
      <c r="Q750" s="4271"/>
      <c r="R750" s="4271"/>
      <c r="S750" s="4271"/>
      <c r="T750" s="4271"/>
      <c r="U750" s="4271"/>
      <c r="V750" s="4272"/>
      <c r="W750" s="12">
        <f t="shared" si="49"/>
        <v>1</v>
      </c>
      <c r="X750" s="12">
        <f t="shared" si="50"/>
        <v>1</v>
      </c>
      <c r="Y750" s="12">
        <f t="shared" si="51"/>
        <v>1</v>
      </c>
    </row>
    <row r="751" spans="4:25" ht="15.7">
      <c r="D751" s="4267" t="str">
        <f>T('2 REPAIR ESTIMATOR'!D663:O663)</f>
        <v/>
      </c>
      <c r="E751" s="4268"/>
      <c r="F751" s="4268"/>
      <c r="G751" s="4268"/>
      <c r="H751" s="4268"/>
      <c r="I751" s="4268"/>
      <c r="J751" s="4268"/>
      <c r="K751" s="4268"/>
      <c r="L751" s="4269">
        <f>'2 REPAIR ESTIMATOR'!P663</f>
        <v>0</v>
      </c>
      <c r="M751" s="4269"/>
      <c r="N751" s="4270" t="str">
        <f>T('2 REPAIR ESTIMATOR'!S663)</f>
        <v/>
      </c>
      <c r="O751" s="4270"/>
      <c r="P751" s="4271"/>
      <c r="Q751" s="4271"/>
      <c r="R751" s="4271"/>
      <c r="S751" s="4271"/>
      <c r="T751" s="4271"/>
      <c r="U751" s="4271"/>
      <c r="V751" s="4272"/>
      <c r="W751" s="12">
        <f t="shared" si="49"/>
        <v>1</v>
      </c>
      <c r="X751" s="12">
        <f t="shared" si="50"/>
        <v>1</v>
      </c>
      <c r="Y751" s="12">
        <f t="shared" si="51"/>
        <v>1</v>
      </c>
    </row>
    <row r="752" spans="4:25" ht="15.7">
      <c r="D752" s="4267" t="str">
        <f>T('2 REPAIR ESTIMATOR'!D664:O664)</f>
        <v/>
      </c>
      <c r="E752" s="4268"/>
      <c r="F752" s="4268"/>
      <c r="G752" s="4268"/>
      <c r="H752" s="4268"/>
      <c r="I752" s="4268"/>
      <c r="J752" s="4268"/>
      <c r="K752" s="4268"/>
      <c r="L752" s="4269">
        <f>'2 REPAIR ESTIMATOR'!P664</f>
        <v>0</v>
      </c>
      <c r="M752" s="4269"/>
      <c r="N752" s="4270" t="str">
        <f>T('2 REPAIR ESTIMATOR'!S664)</f>
        <v/>
      </c>
      <c r="O752" s="4270"/>
      <c r="P752" s="4271"/>
      <c r="Q752" s="4271"/>
      <c r="R752" s="4271"/>
      <c r="S752" s="4271"/>
      <c r="T752" s="4271"/>
      <c r="U752" s="4271"/>
      <c r="V752" s="4272"/>
      <c r="W752" s="12">
        <f t="shared" si="49"/>
        <v>1</v>
      </c>
      <c r="X752" s="12">
        <f t="shared" si="50"/>
        <v>1</v>
      </c>
      <c r="Y752" s="12">
        <f t="shared" si="51"/>
        <v>1</v>
      </c>
    </row>
    <row r="753" spans="3:25" ht="15.7">
      <c r="D753" s="4267" t="str">
        <f>T('2 REPAIR ESTIMATOR'!D665:O665)</f>
        <v/>
      </c>
      <c r="E753" s="4268"/>
      <c r="F753" s="4268"/>
      <c r="G753" s="4268"/>
      <c r="H753" s="4268"/>
      <c r="I753" s="4268"/>
      <c r="J753" s="4268"/>
      <c r="K753" s="4268"/>
      <c r="L753" s="4269">
        <f>'2 REPAIR ESTIMATOR'!P665</f>
        <v>0</v>
      </c>
      <c r="M753" s="4269"/>
      <c r="N753" s="4270" t="str">
        <f>T('2 REPAIR ESTIMATOR'!S665)</f>
        <v/>
      </c>
      <c r="O753" s="4270"/>
      <c r="P753" s="4271"/>
      <c r="Q753" s="4271"/>
      <c r="R753" s="4271"/>
      <c r="S753" s="4271"/>
      <c r="T753" s="4271"/>
      <c r="U753" s="4271"/>
      <c r="V753" s="4272"/>
      <c r="W753" s="12">
        <f t="shared" si="49"/>
        <v>1</v>
      </c>
      <c r="X753" s="12">
        <f t="shared" si="50"/>
        <v>1</v>
      </c>
      <c r="Y753" s="12">
        <f t="shared" si="51"/>
        <v>1</v>
      </c>
    </row>
    <row r="754" spans="3:25" ht="15.7">
      <c r="D754" s="4267" t="str">
        <f>T('2 REPAIR ESTIMATOR'!D666:O666)</f>
        <v/>
      </c>
      <c r="E754" s="4268"/>
      <c r="F754" s="4268"/>
      <c r="G754" s="4268"/>
      <c r="H754" s="4268"/>
      <c r="I754" s="4268"/>
      <c r="J754" s="4268"/>
      <c r="K754" s="4268"/>
      <c r="L754" s="4269">
        <f>'2 REPAIR ESTIMATOR'!P666</f>
        <v>0</v>
      </c>
      <c r="M754" s="4269"/>
      <c r="N754" s="4270" t="str">
        <f>T('2 REPAIR ESTIMATOR'!S666)</f>
        <v/>
      </c>
      <c r="O754" s="4270"/>
      <c r="P754" s="4271"/>
      <c r="Q754" s="4271"/>
      <c r="R754" s="4271"/>
      <c r="S754" s="4271"/>
      <c r="T754" s="4271"/>
      <c r="U754" s="4271"/>
      <c r="V754" s="4272"/>
      <c r="W754" s="12">
        <f t="shared" si="49"/>
        <v>1</v>
      </c>
      <c r="X754" s="12">
        <f t="shared" si="50"/>
        <v>1</v>
      </c>
      <c r="Y754" s="12">
        <f t="shared" si="51"/>
        <v>1</v>
      </c>
    </row>
    <row r="755" spans="3:25" ht="15.7">
      <c r="D755" s="4267" t="str">
        <f>T('2 REPAIR ESTIMATOR'!D667:O667)</f>
        <v/>
      </c>
      <c r="E755" s="4268"/>
      <c r="F755" s="4268"/>
      <c r="G755" s="4268"/>
      <c r="H755" s="4268"/>
      <c r="I755" s="4268"/>
      <c r="J755" s="4268"/>
      <c r="K755" s="4268"/>
      <c r="L755" s="4269">
        <f>'2 REPAIR ESTIMATOR'!P667</f>
        <v>0</v>
      </c>
      <c r="M755" s="4269"/>
      <c r="N755" s="4270" t="str">
        <f>T('2 REPAIR ESTIMATOR'!S667)</f>
        <v/>
      </c>
      <c r="O755" s="4270"/>
      <c r="P755" s="4271"/>
      <c r="Q755" s="4271"/>
      <c r="R755" s="4271"/>
      <c r="S755" s="4271"/>
      <c r="T755" s="4271"/>
      <c r="U755" s="4271"/>
      <c r="V755" s="4272"/>
      <c r="W755" s="12">
        <f t="shared" si="49"/>
        <v>1</v>
      </c>
      <c r="X755" s="12">
        <f t="shared" si="50"/>
        <v>1</v>
      </c>
      <c r="Y755" s="12">
        <f t="shared" si="51"/>
        <v>1</v>
      </c>
    </row>
    <row r="756" spans="3:25" ht="15.7">
      <c r="C756" s="6"/>
      <c r="D756" s="723"/>
      <c r="E756" s="723"/>
      <c r="F756" s="723"/>
      <c r="G756" s="723"/>
      <c r="H756" s="723"/>
      <c r="I756" s="723"/>
      <c r="J756" s="723"/>
      <c r="K756" s="723"/>
      <c r="L756" s="724"/>
      <c r="M756" s="724"/>
      <c r="N756" s="725"/>
      <c r="O756" s="725"/>
      <c r="P756" s="724"/>
      <c r="Q756" s="445"/>
      <c r="R756" s="445"/>
      <c r="S756" s="725"/>
      <c r="T756" s="725"/>
      <c r="U756" s="725"/>
      <c r="V756" s="725"/>
      <c r="W756" s="12">
        <f>W757</f>
        <v>0</v>
      </c>
      <c r="X756" s="12">
        <f t="shared" si="50"/>
        <v>1</v>
      </c>
      <c r="Y756" s="12">
        <f t="shared" si="51"/>
        <v>0</v>
      </c>
    </row>
    <row r="757" spans="3:25" ht="16.7">
      <c r="C757" s="6"/>
      <c r="D757" s="4266" t="str">
        <f>UPPER(CONCATENATE("Miscellaneous ",D715," Items"))</f>
        <v>MISCELLANEOUS FRAMING &amp; DRYWALL ITEMS</v>
      </c>
      <c r="E757" s="4266"/>
      <c r="F757" s="4266"/>
      <c r="G757" s="4266"/>
      <c r="H757" s="4266"/>
      <c r="I757" s="4266"/>
      <c r="J757" s="4266"/>
      <c r="K757" s="4266"/>
      <c r="L757" s="4266"/>
      <c r="M757" s="4266"/>
      <c r="N757" s="4266"/>
      <c r="O757" s="4266"/>
      <c r="P757" s="4266"/>
      <c r="Q757" s="4266"/>
      <c r="R757" s="4266"/>
      <c r="S757" s="4266"/>
      <c r="T757" s="4266"/>
      <c r="U757" s="4266"/>
      <c r="V757" s="4266"/>
      <c r="W757" s="12">
        <f>SUM(W758:W767)</f>
        <v>0</v>
      </c>
      <c r="X757" s="12">
        <f t="shared" si="50"/>
        <v>1</v>
      </c>
      <c r="Y757" s="12">
        <f t="shared" si="51"/>
        <v>0</v>
      </c>
    </row>
    <row r="758" spans="3:25" ht="15.7">
      <c r="C758" s="6"/>
      <c r="D758" s="712">
        <v>1</v>
      </c>
      <c r="E758" s="4263" t="s">
        <v>1450</v>
      </c>
      <c r="F758" s="4263" t="s">
        <v>1383</v>
      </c>
      <c r="G758" s="4263" t="s">
        <v>1383</v>
      </c>
      <c r="H758" s="4263" t="s">
        <v>1383</v>
      </c>
      <c r="I758" s="4263" t="s">
        <v>1383</v>
      </c>
      <c r="J758" s="4263" t="s">
        <v>1383</v>
      </c>
      <c r="K758" s="4263" t="s">
        <v>1383</v>
      </c>
      <c r="L758" s="4263" t="s">
        <v>1383</v>
      </c>
      <c r="M758" s="4263" t="s">
        <v>1383</v>
      </c>
      <c r="N758" s="4263" t="s">
        <v>1383</v>
      </c>
      <c r="O758" s="4263" t="s">
        <v>1383</v>
      </c>
      <c r="P758" s="4263" t="s">
        <v>1383</v>
      </c>
      <c r="Q758" s="4263" t="s">
        <v>1383</v>
      </c>
      <c r="R758" s="4263" t="s">
        <v>1383</v>
      </c>
      <c r="S758" s="4263" t="s">
        <v>1383</v>
      </c>
      <c r="T758" s="4263" t="s">
        <v>1383</v>
      </c>
      <c r="U758" s="4263" t="s">
        <v>1383</v>
      </c>
      <c r="V758" s="4263" t="s">
        <v>1383</v>
      </c>
      <c r="W758" s="12">
        <f>IF(E758&lt;&gt;"",1,0)*W715</f>
        <v>0</v>
      </c>
      <c r="X758" s="12">
        <f t="shared" si="50"/>
        <v>1</v>
      </c>
      <c r="Y758" s="12">
        <f t="shared" si="51"/>
        <v>0</v>
      </c>
    </row>
    <row r="759" spans="3:25" ht="15.7">
      <c r="C759" s="6"/>
      <c r="D759" s="712">
        <v>2</v>
      </c>
      <c r="E759" s="4263" t="s">
        <v>1453</v>
      </c>
      <c r="F759" s="4263"/>
      <c r="G759" s="4263"/>
      <c r="H759" s="4263"/>
      <c r="I759" s="4263"/>
      <c r="J759" s="4263"/>
      <c r="K759" s="4263"/>
      <c r="L759" s="4263"/>
      <c r="M759" s="4263"/>
      <c r="N759" s="4263"/>
      <c r="O759" s="4263"/>
      <c r="P759" s="4263"/>
      <c r="Q759" s="4263"/>
      <c r="R759" s="4263"/>
      <c r="S759" s="4263"/>
      <c r="T759" s="4263"/>
      <c r="U759" s="4263"/>
      <c r="V759" s="4263"/>
      <c r="W759" s="12">
        <f>IF(E759&lt;&gt;"",1,0)*W715</f>
        <v>0</v>
      </c>
      <c r="X759" s="12">
        <f t="shared" si="50"/>
        <v>1</v>
      </c>
      <c r="Y759" s="12">
        <f t="shared" si="51"/>
        <v>0</v>
      </c>
    </row>
    <row r="760" spans="3:25" ht="15.7">
      <c r="C760" s="6"/>
      <c r="D760" s="712">
        <v>3</v>
      </c>
      <c r="E760" s="4263" t="s">
        <v>1452</v>
      </c>
      <c r="F760" s="4263"/>
      <c r="G760" s="4263"/>
      <c r="H760" s="4263"/>
      <c r="I760" s="4263"/>
      <c r="J760" s="4263"/>
      <c r="K760" s="4263"/>
      <c r="L760" s="4263"/>
      <c r="M760" s="4263"/>
      <c r="N760" s="4263"/>
      <c r="O760" s="4263"/>
      <c r="P760" s="4263"/>
      <c r="Q760" s="4263"/>
      <c r="R760" s="4263"/>
      <c r="S760" s="4263"/>
      <c r="T760" s="4263"/>
      <c r="U760" s="4263"/>
      <c r="V760" s="4263"/>
      <c r="W760" s="12">
        <f>IF(E760&lt;&gt;"",1,0)*W715</f>
        <v>0</v>
      </c>
      <c r="X760" s="12">
        <f t="shared" si="50"/>
        <v>1</v>
      </c>
      <c r="Y760" s="12">
        <f t="shared" si="51"/>
        <v>0</v>
      </c>
    </row>
    <row r="761" spans="3:25" ht="15.7">
      <c r="C761" s="6"/>
      <c r="D761" s="712">
        <v>4</v>
      </c>
      <c r="E761" s="4263" t="s">
        <v>1451</v>
      </c>
      <c r="F761" s="4263"/>
      <c r="G761" s="4263"/>
      <c r="H761" s="4263"/>
      <c r="I761" s="4263"/>
      <c r="J761" s="4263"/>
      <c r="K761" s="4263"/>
      <c r="L761" s="4263"/>
      <c r="M761" s="4263"/>
      <c r="N761" s="4263"/>
      <c r="O761" s="4263"/>
      <c r="P761" s="4263"/>
      <c r="Q761" s="4263"/>
      <c r="R761" s="4263"/>
      <c r="S761" s="4263"/>
      <c r="T761" s="4263"/>
      <c r="U761" s="4263"/>
      <c r="V761" s="4263"/>
      <c r="W761" s="12">
        <f>IF(E761&lt;&gt;"",1,0)*W715</f>
        <v>0</v>
      </c>
      <c r="X761" s="12">
        <f t="shared" si="50"/>
        <v>1</v>
      </c>
      <c r="Y761" s="12">
        <f t="shared" si="51"/>
        <v>0</v>
      </c>
    </row>
    <row r="762" spans="3:25" ht="15.7">
      <c r="C762" s="6"/>
      <c r="D762" s="712">
        <v>5</v>
      </c>
      <c r="E762" s="4263" t="s">
        <v>1456</v>
      </c>
      <c r="F762" s="4263"/>
      <c r="G762" s="4263"/>
      <c r="H762" s="4263"/>
      <c r="I762" s="4263"/>
      <c r="J762" s="4263"/>
      <c r="K762" s="4263"/>
      <c r="L762" s="4263"/>
      <c r="M762" s="4263"/>
      <c r="N762" s="4263"/>
      <c r="O762" s="4263"/>
      <c r="P762" s="4263"/>
      <c r="Q762" s="4263"/>
      <c r="R762" s="4263"/>
      <c r="S762" s="4263"/>
      <c r="T762" s="4263"/>
      <c r="U762" s="4263"/>
      <c r="V762" s="4263"/>
      <c r="W762" s="12">
        <f>IF(E762&lt;&gt;"",1,0)*W715</f>
        <v>0</v>
      </c>
      <c r="X762" s="12">
        <f t="shared" si="50"/>
        <v>1</v>
      </c>
      <c r="Y762" s="12">
        <f t="shared" si="51"/>
        <v>0</v>
      </c>
    </row>
    <row r="763" spans="3:25" ht="15.7">
      <c r="C763" s="6"/>
      <c r="D763" s="712">
        <v>6</v>
      </c>
      <c r="E763" s="4263" t="s">
        <v>1455</v>
      </c>
      <c r="F763" s="4263"/>
      <c r="G763" s="4263"/>
      <c r="H763" s="4263"/>
      <c r="I763" s="4263"/>
      <c r="J763" s="4263"/>
      <c r="K763" s="4263"/>
      <c r="L763" s="4263"/>
      <c r="M763" s="4263"/>
      <c r="N763" s="4263"/>
      <c r="O763" s="4263"/>
      <c r="P763" s="4263"/>
      <c r="Q763" s="4263"/>
      <c r="R763" s="4263"/>
      <c r="S763" s="4263"/>
      <c r="T763" s="4263"/>
      <c r="U763" s="4263"/>
      <c r="V763" s="4263"/>
      <c r="W763" s="12">
        <f>IF(E763&lt;&gt;"",1,0)*W715</f>
        <v>0</v>
      </c>
      <c r="X763" s="12">
        <f t="shared" si="50"/>
        <v>1</v>
      </c>
      <c r="Y763" s="12">
        <f t="shared" si="51"/>
        <v>0</v>
      </c>
    </row>
    <row r="764" spans="3:25" ht="15.7">
      <c r="C764" s="6"/>
      <c r="D764" s="712">
        <v>7</v>
      </c>
      <c r="E764" s="4263" t="s">
        <v>1454</v>
      </c>
      <c r="F764" s="4263"/>
      <c r="G764" s="4263"/>
      <c r="H764" s="4263"/>
      <c r="I764" s="4263"/>
      <c r="J764" s="4263"/>
      <c r="K764" s="4263"/>
      <c r="L764" s="4263"/>
      <c r="M764" s="4263"/>
      <c r="N764" s="4263"/>
      <c r="O764" s="4263"/>
      <c r="P764" s="4263"/>
      <c r="Q764" s="4263"/>
      <c r="R764" s="4263"/>
      <c r="S764" s="4263"/>
      <c r="T764" s="4263"/>
      <c r="U764" s="4263"/>
      <c r="V764" s="4263"/>
      <c r="W764" s="12">
        <f>IF(E764&lt;&gt;"",1,0)*W715</f>
        <v>0</v>
      </c>
      <c r="X764" s="12">
        <f t="shared" si="50"/>
        <v>1</v>
      </c>
      <c r="Y764" s="12">
        <f t="shared" si="51"/>
        <v>0</v>
      </c>
    </row>
    <row r="765" spans="3:25" ht="15.7">
      <c r="C765" s="6"/>
      <c r="D765" s="712">
        <v>8</v>
      </c>
      <c r="E765" s="4263" t="s">
        <v>1457</v>
      </c>
      <c r="F765" s="4263"/>
      <c r="G765" s="4263"/>
      <c r="H765" s="4263"/>
      <c r="I765" s="4263"/>
      <c r="J765" s="4263"/>
      <c r="K765" s="4263"/>
      <c r="L765" s="4263"/>
      <c r="M765" s="4263"/>
      <c r="N765" s="4263"/>
      <c r="O765" s="4263"/>
      <c r="P765" s="4263"/>
      <c r="Q765" s="4263"/>
      <c r="R765" s="4263"/>
      <c r="S765" s="4263"/>
      <c r="T765" s="4263"/>
      <c r="U765" s="4263"/>
      <c r="V765" s="4263"/>
      <c r="W765" s="12">
        <f>IF(E765&lt;&gt;"",1,0)*W715</f>
        <v>0</v>
      </c>
      <c r="X765" s="12">
        <f t="shared" si="50"/>
        <v>1</v>
      </c>
      <c r="Y765" s="12">
        <f t="shared" si="51"/>
        <v>0</v>
      </c>
    </row>
    <row r="766" spans="3:25" ht="15.7">
      <c r="C766" s="6"/>
      <c r="D766" s="712">
        <v>9</v>
      </c>
      <c r="E766" s="4263"/>
      <c r="F766" s="4263"/>
      <c r="G766" s="4263"/>
      <c r="H766" s="4263"/>
      <c r="I766" s="4263"/>
      <c r="J766" s="4263"/>
      <c r="K766" s="4263"/>
      <c r="L766" s="4263"/>
      <c r="M766" s="4263"/>
      <c r="N766" s="4263"/>
      <c r="O766" s="4263"/>
      <c r="P766" s="4263"/>
      <c r="Q766" s="4263"/>
      <c r="R766" s="4263"/>
      <c r="S766" s="4263"/>
      <c r="T766" s="4263"/>
      <c r="U766" s="4263"/>
      <c r="V766" s="4263"/>
      <c r="W766" s="12">
        <f>IF(E766&lt;&gt;"",1,0)*W715</f>
        <v>0</v>
      </c>
      <c r="X766" s="12">
        <f t="shared" si="50"/>
        <v>1</v>
      </c>
      <c r="Y766" s="12">
        <f t="shared" si="51"/>
        <v>0</v>
      </c>
    </row>
    <row r="767" spans="3:25" ht="15.7">
      <c r="C767" s="6"/>
      <c r="D767" s="712">
        <v>10</v>
      </c>
      <c r="E767" s="4263"/>
      <c r="F767" s="4263"/>
      <c r="G767" s="4263"/>
      <c r="H767" s="4263"/>
      <c r="I767" s="4263"/>
      <c r="J767" s="4263"/>
      <c r="K767" s="4263"/>
      <c r="L767" s="4263"/>
      <c r="M767" s="4263"/>
      <c r="N767" s="4263"/>
      <c r="O767" s="4263"/>
      <c r="P767" s="4263"/>
      <c r="Q767" s="4263"/>
      <c r="R767" s="4263"/>
      <c r="S767" s="4263"/>
      <c r="T767" s="4263"/>
      <c r="U767" s="4263"/>
      <c r="V767" s="4263"/>
      <c r="W767" s="12">
        <f>IF(E767&lt;&gt;"",1,0)*W715</f>
        <v>0</v>
      </c>
      <c r="X767" s="12">
        <f t="shared" si="50"/>
        <v>1</v>
      </c>
      <c r="Y767" s="12">
        <f t="shared" si="51"/>
        <v>0</v>
      </c>
    </row>
    <row r="768" spans="3:25" ht="15.7">
      <c r="C768" s="6"/>
      <c r="D768" s="723"/>
      <c r="E768" s="723"/>
      <c r="F768" s="723"/>
      <c r="G768" s="723"/>
      <c r="H768" s="723"/>
      <c r="I768" s="723"/>
      <c r="J768" s="723"/>
      <c r="K768" s="723"/>
      <c r="L768" s="724"/>
      <c r="M768" s="724"/>
      <c r="N768" s="725"/>
      <c r="O768" s="725"/>
      <c r="P768" s="724"/>
      <c r="Q768" s="445"/>
      <c r="R768" s="445"/>
      <c r="S768" s="726"/>
      <c r="T768" s="726"/>
      <c r="U768" s="726"/>
      <c r="V768" s="726"/>
      <c r="W768" s="12">
        <f>W715</f>
        <v>0</v>
      </c>
      <c r="X768" s="12">
        <f t="shared" si="50"/>
        <v>1</v>
      </c>
      <c r="Y768" s="12">
        <f t="shared" si="51"/>
        <v>0</v>
      </c>
    </row>
    <row r="769" spans="3:25" ht="40.5" customHeight="1">
      <c r="C769" s="6"/>
      <c r="D769" s="4264" t="str">
        <f>UPPER(CONCATENATE("TOTAL ",D715))</f>
        <v>TOTAL FRAMING &amp; DRYWALL</v>
      </c>
      <c r="E769" s="4264"/>
      <c r="F769" s="4264"/>
      <c r="G769" s="4264"/>
      <c r="H769" s="4264"/>
      <c r="I769" s="4264"/>
      <c r="J769" s="4264"/>
      <c r="K769" s="4264"/>
      <c r="L769" s="4264"/>
      <c r="M769" s="4264"/>
      <c r="N769" s="4264"/>
      <c r="O769" s="4264"/>
      <c r="P769" s="4264"/>
      <c r="Q769" s="4265"/>
      <c r="R769" s="4265"/>
      <c r="S769" s="4265"/>
      <c r="T769" s="4265"/>
      <c r="U769" s="4265"/>
      <c r="V769" s="4265"/>
      <c r="W769" s="12">
        <f>W715</f>
        <v>0</v>
      </c>
      <c r="X769" s="12">
        <f t="shared" si="50"/>
        <v>1</v>
      </c>
      <c r="Y769" s="12">
        <f t="shared" si="51"/>
        <v>0</v>
      </c>
    </row>
    <row r="770" spans="3:25" ht="15.7">
      <c r="D770" s="723"/>
      <c r="E770" s="723"/>
      <c r="F770" s="723"/>
      <c r="G770" s="723"/>
      <c r="H770" s="723"/>
      <c r="I770" s="723"/>
      <c r="J770" s="723"/>
      <c r="K770" s="723"/>
      <c r="L770" s="724"/>
      <c r="M770" s="724"/>
      <c r="N770" s="725"/>
      <c r="O770" s="725"/>
      <c r="P770" s="724"/>
      <c r="Q770" s="445"/>
      <c r="R770" s="445"/>
      <c r="S770" s="726"/>
      <c r="T770" s="726"/>
      <c r="U770" s="726"/>
      <c r="V770" s="726"/>
      <c r="W770" s="12">
        <f>W715</f>
        <v>0</v>
      </c>
      <c r="X770" s="12">
        <f t="shared" si="50"/>
        <v>1</v>
      </c>
      <c r="Y770" s="12">
        <f t="shared" si="51"/>
        <v>0</v>
      </c>
    </row>
    <row r="771" spans="3:25" ht="26.45" customHeight="1">
      <c r="D771" s="4275" t="str">
        <f>T('2 REPAIR ESTIMATOR'!D672:O672)</f>
        <v>CABINETS &amp; COUNTERTOPS</v>
      </c>
      <c r="E771" s="4275"/>
      <c r="F771" s="4275"/>
      <c r="G771" s="4275"/>
      <c r="H771" s="4275"/>
      <c r="I771" s="4275"/>
      <c r="J771" s="4275"/>
      <c r="K771" s="4276"/>
      <c r="L771" s="4277">
        <f>SUM(L772:M811)</f>
        <v>0</v>
      </c>
      <c r="M771" s="4278"/>
      <c r="N771" s="4279"/>
      <c r="O771" s="4280"/>
      <c r="P771" s="4277"/>
      <c r="Q771" s="4281"/>
      <c r="R771" s="4281"/>
      <c r="S771" s="4281"/>
      <c r="T771" s="4281"/>
      <c r="U771" s="4281"/>
      <c r="V771" s="4281"/>
      <c r="W771" s="12">
        <f>IF(L771&gt;0,1,0)</f>
        <v>0</v>
      </c>
      <c r="X771" s="12">
        <f t="shared" ref="X771:X802" si="52">IF(Scope14_Setting="Shown",1,0)</f>
        <v>1</v>
      </c>
      <c r="Y771" s="12">
        <f t="shared" si="51"/>
        <v>0</v>
      </c>
    </row>
    <row r="772" spans="3:25" ht="15.7">
      <c r="D772" s="4267" t="str">
        <f>T('2 REPAIR ESTIMATOR'!D673:O673)</f>
        <v>Cabinet Installation bid/allowance</v>
      </c>
      <c r="E772" s="4268"/>
      <c r="F772" s="4268"/>
      <c r="G772" s="4268"/>
      <c r="H772" s="4268"/>
      <c r="I772" s="4268"/>
      <c r="J772" s="4268"/>
      <c r="K772" s="4268"/>
      <c r="L772" s="4269">
        <f>'2 REPAIR ESTIMATOR'!P673</f>
        <v>0</v>
      </c>
      <c r="M772" s="4269"/>
      <c r="N772" s="4270" t="str">
        <f>T('2 REPAIR ESTIMATOR'!S673)</f>
        <v>ls</v>
      </c>
      <c r="O772" s="4270"/>
      <c r="P772" s="4273"/>
      <c r="Q772" s="4273"/>
      <c r="R772" s="4273"/>
      <c r="S772" s="4273"/>
      <c r="T772" s="4273"/>
      <c r="U772" s="4273"/>
      <c r="V772" s="4274"/>
      <c r="W772" s="12">
        <f>IF(L772="",0,1)</f>
        <v>1</v>
      </c>
      <c r="X772" s="12">
        <f t="shared" si="52"/>
        <v>1</v>
      </c>
      <c r="Y772" s="12">
        <f t="shared" si="51"/>
        <v>1</v>
      </c>
    </row>
    <row r="773" spans="3:25" ht="15.7">
      <c r="D773" s="4267" t="str">
        <f>T('2 REPAIR ESTIMATOR'!D674:O674)</f>
        <v>Cabinet Material bid/allowance</v>
      </c>
      <c r="E773" s="4268"/>
      <c r="F773" s="4268"/>
      <c r="G773" s="4268"/>
      <c r="H773" s="4268"/>
      <c r="I773" s="4268"/>
      <c r="J773" s="4268"/>
      <c r="K773" s="4268"/>
      <c r="L773" s="4269">
        <f>'2 REPAIR ESTIMATOR'!P674</f>
        <v>0</v>
      </c>
      <c r="M773" s="4269"/>
      <c r="N773" s="4270" t="str">
        <f>T('2 REPAIR ESTIMATOR'!S674)</f>
        <v>ls</v>
      </c>
      <c r="O773" s="4270"/>
      <c r="P773" s="4271"/>
      <c r="Q773" s="4271"/>
      <c r="R773" s="4271"/>
      <c r="S773" s="4271"/>
      <c r="T773" s="4271"/>
      <c r="U773" s="4271"/>
      <c r="V773" s="4272"/>
      <c r="W773" s="12">
        <f t="shared" ref="W773:W811" si="53">IF(L773="",0,1)</f>
        <v>1</v>
      </c>
      <c r="X773" s="12">
        <f t="shared" si="52"/>
        <v>1</v>
      </c>
      <c r="Y773" s="12">
        <f t="shared" si="51"/>
        <v>1</v>
      </c>
    </row>
    <row r="774" spans="3:25" ht="15.7">
      <c r="D774" s="4267" t="str">
        <f>T('2 REPAIR ESTIMATOR'!D675:O675)</f>
        <v>Countertop bid/allowance</v>
      </c>
      <c r="E774" s="4268"/>
      <c r="F774" s="4268"/>
      <c r="G774" s="4268"/>
      <c r="H774" s="4268"/>
      <c r="I774" s="4268"/>
      <c r="J774" s="4268"/>
      <c r="K774" s="4268"/>
      <c r="L774" s="4269">
        <f>'2 REPAIR ESTIMATOR'!P675</f>
        <v>0</v>
      </c>
      <c r="M774" s="4269"/>
      <c r="N774" s="4270" t="str">
        <f>T('2 REPAIR ESTIMATOR'!S675)</f>
        <v>ls</v>
      </c>
      <c r="O774" s="4270"/>
      <c r="P774" s="4271"/>
      <c r="Q774" s="4271"/>
      <c r="R774" s="4271"/>
      <c r="S774" s="4271"/>
      <c r="T774" s="4271"/>
      <c r="U774" s="4271"/>
      <c r="V774" s="4272"/>
      <c r="W774" s="12">
        <f t="shared" si="53"/>
        <v>1</v>
      </c>
      <c r="X774" s="12">
        <f t="shared" si="52"/>
        <v>1</v>
      </c>
      <c r="Y774" s="12">
        <f t="shared" si="51"/>
        <v>1</v>
      </c>
    </row>
    <row r="775" spans="3:25" ht="15.7">
      <c r="D775" s="4267" t="str">
        <f>T('2 REPAIR ESTIMATOR'!D676:O676)</f>
        <v>Kitchen</v>
      </c>
      <c r="E775" s="4268"/>
      <c r="F775" s="4268"/>
      <c r="G775" s="4268"/>
      <c r="H775" s="4268"/>
      <c r="I775" s="4268"/>
      <c r="J775" s="4268"/>
      <c r="K775" s="4268"/>
      <c r="L775" s="4269">
        <f>'2 REPAIR ESTIMATOR'!P676</f>
        <v>0</v>
      </c>
      <c r="M775" s="4269"/>
      <c r="N775" s="4270" t="str">
        <f>T('2 REPAIR ESTIMATOR'!S676)</f>
        <v/>
      </c>
      <c r="O775" s="4270"/>
      <c r="P775" s="4271"/>
      <c r="Q775" s="4271"/>
      <c r="R775" s="4271"/>
      <c r="S775" s="4271"/>
      <c r="T775" s="4271"/>
      <c r="U775" s="4271"/>
      <c r="V775" s="4272"/>
      <c r="W775" s="12">
        <f t="shared" si="53"/>
        <v>1</v>
      </c>
      <c r="X775" s="12">
        <f t="shared" si="52"/>
        <v>1</v>
      </c>
      <c r="Y775" s="12">
        <f t="shared" si="51"/>
        <v>1</v>
      </c>
    </row>
    <row r="776" spans="3:25" ht="15.7">
      <c r="D776" s="4267" t="str">
        <f>T('2 REPAIR ESTIMATOR'!D677:O677)</f>
        <v>Kitchen Base Cabinetry</v>
      </c>
      <c r="E776" s="4268"/>
      <c r="F776" s="4268"/>
      <c r="G776" s="4268"/>
      <c r="H776" s="4268"/>
      <c r="I776" s="4268"/>
      <c r="J776" s="4268"/>
      <c r="K776" s="4268"/>
      <c r="L776" s="4269">
        <f>'2 REPAIR ESTIMATOR'!P677</f>
        <v>0</v>
      </c>
      <c r="M776" s="4269"/>
      <c r="N776" s="4270" t="str">
        <f>T('2 REPAIR ESTIMATOR'!S677)</f>
        <v>lf</v>
      </c>
      <c r="O776" s="4270"/>
      <c r="P776" s="4271"/>
      <c r="Q776" s="4271"/>
      <c r="R776" s="4271"/>
      <c r="S776" s="4271"/>
      <c r="T776" s="4271"/>
      <c r="U776" s="4271"/>
      <c r="V776" s="4272"/>
      <c r="W776" s="12">
        <f t="shared" si="53"/>
        <v>1</v>
      </c>
      <c r="X776" s="12">
        <f t="shared" si="52"/>
        <v>1</v>
      </c>
      <c r="Y776" s="12">
        <f t="shared" si="51"/>
        <v>1</v>
      </c>
    </row>
    <row r="777" spans="3:25" ht="15.7">
      <c r="D777" s="4267" t="str">
        <f>T('2 REPAIR ESTIMATOR'!D678:O678)</f>
        <v>Kitchen Upper Cabinetry</v>
      </c>
      <c r="E777" s="4268"/>
      <c r="F777" s="4268"/>
      <c r="G777" s="4268"/>
      <c r="H777" s="4268"/>
      <c r="I777" s="4268"/>
      <c r="J777" s="4268"/>
      <c r="K777" s="4268"/>
      <c r="L777" s="4269">
        <f>'2 REPAIR ESTIMATOR'!P678</f>
        <v>0</v>
      </c>
      <c r="M777" s="4269"/>
      <c r="N777" s="4270" t="str">
        <f>T('2 REPAIR ESTIMATOR'!S678)</f>
        <v>lf</v>
      </c>
      <c r="O777" s="4270"/>
      <c r="P777" s="4271"/>
      <c r="Q777" s="4271"/>
      <c r="R777" s="4271"/>
      <c r="S777" s="4271"/>
      <c r="T777" s="4271"/>
      <c r="U777" s="4271"/>
      <c r="V777" s="4272"/>
      <c r="W777" s="12">
        <f t="shared" si="53"/>
        <v>1</v>
      </c>
      <c r="X777" s="12">
        <f t="shared" si="52"/>
        <v>1</v>
      </c>
      <c r="Y777" s="12">
        <f t="shared" si="51"/>
        <v>1</v>
      </c>
    </row>
    <row r="778" spans="3:25" ht="15.7">
      <c r="D778" s="4267" t="str">
        <f>T('2 REPAIR ESTIMATOR'!D679:O679)</f>
        <v>Kitchen Pantry Cabinet</v>
      </c>
      <c r="E778" s="4268"/>
      <c r="F778" s="4268"/>
      <c r="G778" s="4268"/>
      <c r="H778" s="4268"/>
      <c r="I778" s="4268"/>
      <c r="J778" s="4268"/>
      <c r="K778" s="4268"/>
      <c r="L778" s="4269">
        <f>'2 REPAIR ESTIMATOR'!P679</f>
        <v>0</v>
      </c>
      <c r="M778" s="4269"/>
      <c r="N778" s="4270" t="str">
        <f>T('2 REPAIR ESTIMATOR'!S679)</f>
        <v>ea</v>
      </c>
      <c r="O778" s="4270"/>
      <c r="P778" s="4271"/>
      <c r="Q778" s="4271"/>
      <c r="R778" s="4271"/>
      <c r="S778" s="4271"/>
      <c r="T778" s="4271"/>
      <c r="U778" s="4271"/>
      <c r="V778" s="4272"/>
      <c r="W778" s="12">
        <f t="shared" si="53"/>
        <v>1</v>
      </c>
      <c r="X778" s="12">
        <f t="shared" si="52"/>
        <v>1</v>
      </c>
      <c r="Y778" s="12">
        <f t="shared" si="51"/>
        <v>1</v>
      </c>
    </row>
    <row r="779" spans="3:25" ht="15.7">
      <c r="D779" s="4267" t="str">
        <f>T('2 REPAIR ESTIMATOR'!D680:O680)</f>
        <v>Plastic laminate countertop</v>
      </c>
      <c r="E779" s="4268"/>
      <c r="F779" s="4268"/>
      <c r="G779" s="4268"/>
      <c r="H779" s="4268"/>
      <c r="I779" s="4268"/>
      <c r="J779" s="4268"/>
      <c r="K779" s="4268"/>
      <c r="L779" s="4269">
        <f>'2 REPAIR ESTIMATOR'!P680</f>
        <v>0</v>
      </c>
      <c r="M779" s="4269"/>
      <c r="N779" s="4270" t="str">
        <f>T('2 REPAIR ESTIMATOR'!S680)</f>
        <v>sf</v>
      </c>
      <c r="O779" s="4270"/>
      <c r="P779" s="4271"/>
      <c r="Q779" s="4271"/>
      <c r="R779" s="4271"/>
      <c r="S779" s="4271"/>
      <c r="T779" s="4271"/>
      <c r="U779" s="4271"/>
      <c r="V779" s="4272"/>
      <c r="W779" s="12">
        <f t="shared" si="53"/>
        <v>1</v>
      </c>
      <c r="X779" s="12">
        <f t="shared" si="52"/>
        <v>1</v>
      </c>
      <c r="Y779" s="12">
        <f t="shared" si="51"/>
        <v>1</v>
      </c>
    </row>
    <row r="780" spans="3:25" ht="15.7">
      <c r="D780" s="4267" t="str">
        <f>T('2 REPAIR ESTIMATOR'!D681:O681)</f>
        <v>Replace cabinet doors, only</v>
      </c>
      <c r="E780" s="4268"/>
      <c r="F780" s="4268"/>
      <c r="G780" s="4268"/>
      <c r="H780" s="4268"/>
      <c r="I780" s="4268"/>
      <c r="J780" s="4268"/>
      <c r="K780" s="4268"/>
      <c r="L780" s="4269">
        <f>'2 REPAIR ESTIMATOR'!P681</f>
        <v>0</v>
      </c>
      <c r="M780" s="4269"/>
      <c r="N780" s="4270" t="str">
        <f>T('2 REPAIR ESTIMATOR'!S681)</f>
        <v>ea</v>
      </c>
      <c r="O780" s="4270"/>
      <c r="P780" s="4271"/>
      <c r="Q780" s="4271"/>
      <c r="R780" s="4271"/>
      <c r="S780" s="4271"/>
      <c r="T780" s="4271"/>
      <c r="U780" s="4271"/>
      <c r="V780" s="4272"/>
      <c r="W780" s="12">
        <f t="shared" si="53"/>
        <v>1</v>
      </c>
      <c r="X780" s="12">
        <f t="shared" si="52"/>
        <v>1</v>
      </c>
      <c r="Y780" s="12">
        <f t="shared" si="51"/>
        <v>1</v>
      </c>
    </row>
    <row r="781" spans="3:25" ht="15.7">
      <c r="D781" s="4267" t="str">
        <f>T('2 REPAIR ESTIMATOR'!D682:O682)</f>
        <v>Replace cabinet drawer fronts, only</v>
      </c>
      <c r="E781" s="4268"/>
      <c r="F781" s="4268"/>
      <c r="G781" s="4268"/>
      <c r="H781" s="4268"/>
      <c r="I781" s="4268"/>
      <c r="J781" s="4268"/>
      <c r="K781" s="4268"/>
      <c r="L781" s="4269">
        <f>'2 REPAIR ESTIMATOR'!P682</f>
        <v>0</v>
      </c>
      <c r="M781" s="4269"/>
      <c r="N781" s="4270" t="str">
        <f>T('2 REPAIR ESTIMATOR'!S682)</f>
        <v>ea</v>
      </c>
      <c r="O781" s="4270"/>
      <c r="P781" s="4271"/>
      <c r="Q781" s="4271"/>
      <c r="R781" s="4271"/>
      <c r="S781" s="4271"/>
      <c r="T781" s="4271"/>
      <c r="U781" s="4271"/>
      <c r="V781" s="4272"/>
      <c r="W781" s="12">
        <f t="shared" si="53"/>
        <v>1</v>
      </c>
      <c r="X781" s="12">
        <f t="shared" si="52"/>
        <v>1</v>
      </c>
      <c r="Y781" s="12">
        <f t="shared" si="51"/>
        <v>1</v>
      </c>
    </row>
    <row r="782" spans="3:25" ht="15.7">
      <c r="D782" s="4267" t="str">
        <f>T('2 REPAIR ESTIMATOR'!D683:O683)</f>
        <v>New cabinet door pulls</v>
      </c>
      <c r="E782" s="4268"/>
      <c r="F782" s="4268"/>
      <c r="G782" s="4268"/>
      <c r="H782" s="4268"/>
      <c r="I782" s="4268"/>
      <c r="J782" s="4268"/>
      <c r="K782" s="4268"/>
      <c r="L782" s="4269">
        <f>'2 REPAIR ESTIMATOR'!P683</f>
        <v>0</v>
      </c>
      <c r="M782" s="4269"/>
      <c r="N782" s="4270" t="str">
        <f>T('2 REPAIR ESTIMATOR'!S683)</f>
        <v>ea</v>
      </c>
      <c r="O782" s="4270"/>
      <c r="P782" s="4271"/>
      <c r="Q782" s="4271"/>
      <c r="R782" s="4271"/>
      <c r="S782" s="4271"/>
      <c r="T782" s="4271"/>
      <c r="U782" s="4271"/>
      <c r="V782" s="4272"/>
      <c r="W782" s="12">
        <f t="shared" si="53"/>
        <v>1</v>
      </c>
      <c r="X782" s="12">
        <f t="shared" si="52"/>
        <v>1</v>
      </c>
      <c r="Y782" s="12">
        <f t="shared" si="51"/>
        <v>1</v>
      </c>
    </row>
    <row r="783" spans="3:25" ht="15.7">
      <c r="D783" s="4267" t="str">
        <f>T('2 REPAIR ESTIMATOR'!D684:O684)</f>
        <v>Stone/solid surface countertop, kitchen</v>
      </c>
      <c r="E783" s="4268"/>
      <c r="F783" s="4268"/>
      <c r="G783" s="4268"/>
      <c r="H783" s="4268"/>
      <c r="I783" s="4268"/>
      <c r="J783" s="4268"/>
      <c r="K783" s="4268"/>
      <c r="L783" s="4269">
        <f>'2 REPAIR ESTIMATOR'!P684</f>
        <v>0</v>
      </c>
      <c r="M783" s="4269"/>
      <c r="N783" s="4270" t="str">
        <f>T('2 REPAIR ESTIMATOR'!S684)</f>
        <v>sf</v>
      </c>
      <c r="O783" s="4270"/>
      <c r="P783" s="4271"/>
      <c r="Q783" s="4271"/>
      <c r="R783" s="4271"/>
      <c r="S783" s="4271"/>
      <c r="T783" s="4271"/>
      <c r="U783" s="4271"/>
      <c r="V783" s="4272"/>
      <c r="W783" s="12">
        <f t="shared" si="53"/>
        <v>1</v>
      </c>
      <c r="X783" s="12">
        <f t="shared" si="52"/>
        <v>1</v>
      </c>
      <c r="Y783" s="12">
        <f t="shared" si="51"/>
        <v>1</v>
      </c>
    </row>
    <row r="784" spans="3:25" ht="15.7">
      <c r="D784" s="4267" t="str">
        <f>T('2 REPAIR ESTIMATOR'!D685:O685)</f>
        <v>Kitchen sink bowl, stainless steel, undermount</v>
      </c>
      <c r="E784" s="4268"/>
      <c r="F784" s="4268"/>
      <c r="G784" s="4268"/>
      <c r="H784" s="4268"/>
      <c r="I784" s="4268"/>
      <c r="J784" s="4268"/>
      <c r="K784" s="4268"/>
      <c r="L784" s="4269">
        <f>'2 REPAIR ESTIMATOR'!P685</f>
        <v>0</v>
      </c>
      <c r="M784" s="4269"/>
      <c r="N784" s="4270" t="str">
        <f>T('2 REPAIR ESTIMATOR'!S685)</f>
        <v>ea</v>
      </c>
      <c r="O784" s="4270"/>
      <c r="P784" s="4271"/>
      <c r="Q784" s="4271"/>
      <c r="R784" s="4271"/>
      <c r="S784" s="4271"/>
      <c r="T784" s="4271"/>
      <c r="U784" s="4271"/>
      <c r="V784" s="4272"/>
      <c r="W784" s="12">
        <f t="shared" si="53"/>
        <v>1</v>
      </c>
      <c r="X784" s="12">
        <f t="shared" si="52"/>
        <v>1</v>
      </c>
      <c r="Y784" s="12">
        <f t="shared" si="51"/>
        <v>1</v>
      </c>
    </row>
    <row r="785" spans="4:25" ht="15.7">
      <c r="D785" s="4267" t="str">
        <f>T('2 REPAIR ESTIMATOR'!D686:O686)</f>
        <v>Kitchen sink bowl, composite, undermount</v>
      </c>
      <c r="E785" s="4268"/>
      <c r="F785" s="4268"/>
      <c r="G785" s="4268"/>
      <c r="H785" s="4268"/>
      <c r="I785" s="4268"/>
      <c r="J785" s="4268"/>
      <c r="K785" s="4268"/>
      <c r="L785" s="4269">
        <f>'2 REPAIR ESTIMATOR'!P686</f>
        <v>0</v>
      </c>
      <c r="M785" s="4269"/>
      <c r="N785" s="4270" t="str">
        <f>T('2 REPAIR ESTIMATOR'!S686)</f>
        <v>ea</v>
      </c>
      <c r="O785" s="4270"/>
      <c r="P785" s="4271"/>
      <c r="Q785" s="4271"/>
      <c r="R785" s="4271"/>
      <c r="S785" s="4271"/>
      <c r="T785" s="4271"/>
      <c r="U785" s="4271"/>
      <c r="V785" s="4272"/>
      <c r="W785" s="12">
        <f t="shared" si="53"/>
        <v>1</v>
      </c>
      <c r="X785" s="12">
        <f t="shared" si="52"/>
        <v>1</v>
      </c>
      <c r="Y785" s="12">
        <f t="shared" si="51"/>
        <v>1</v>
      </c>
    </row>
    <row r="786" spans="4:25" ht="15.7">
      <c r="D786" s="4267" t="str">
        <f>T('2 REPAIR ESTIMATOR'!D687:O687)</f>
        <v>Bathrooms</v>
      </c>
      <c r="E786" s="4268"/>
      <c r="F786" s="4268"/>
      <c r="G786" s="4268"/>
      <c r="H786" s="4268"/>
      <c r="I786" s="4268"/>
      <c r="J786" s="4268"/>
      <c r="K786" s="4268"/>
      <c r="L786" s="4269">
        <f>'2 REPAIR ESTIMATOR'!P687</f>
        <v>0</v>
      </c>
      <c r="M786" s="4269"/>
      <c r="N786" s="4270" t="str">
        <f>T('2 REPAIR ESTIMATOR'!S687)</f>
        <v/>
      </c>
      <c r="O786" s="4270"/>
      <c r="P786" s="4271"/>
      <c r="Q786" s="4271"/>
      <c r="R786" s="4271"/>
      <c r="S786" s="4271"/>
      <c r="T786" s="4271"/>
      <c r="U786" s="4271"/>
      <c r="V786" s="4272"/>
      <c r="W786" s="12">
        <f t="shared" si="53"/>
        <v>1</v>
      </c>
      <c r="X786" s="12">
        <f t="shared" si="52"/>
        <v>1</v>
      </c>
      <c r="Y786" s="12">
        <f t="shared" si="51"/>
        <v>1</v>
      </c>
    </row>
    <row r="787" spans="4:25" ht="15.7">
      <c r="D787" s="4267" t="str">
        <f>T('2 REPAIR ESTIMATOR'!D688:O688)</f>
        <v>Vanity cabinet</v>
      </c>
      <c r="E787" s="4268"/>
      <c r="F787" s="4268"/>
      <c r="G787" s="4268"/>
      <c r="H787" s="4268"/>
      <c r="I787" s="4268"/>
      <c r="J787" s="4268"/>
      <c r="K787" s="4268"/>
      <c r="L787" s="4269">
        <f>'2 REPAIR ESTIMATOR'!P688</f>
        <v>0</v>
      </c>
      <c r="M787" s="4269"/>
      <c r="N787" s="4270" t="str">
        <f>T('2 REPAIR ESTIMATOR'!S688)</f>
        <v>ea</v>
      </c>
      <c r="O787" s="4270"/>
      <c r="P787" s="4271"/>
      <c r="Q787" s="4271"/>
      <c r="R787" s="4271"/>
      <c r="S787" s="4271"/>
      <c r="T787" s="4271"/>
      <c r="U787" s="4271"/>
      <c r="V787" s="4272"/>
      <c r="W787" s="12">
        <f t="shared" si="53"/>
        <v>1</v>
      </c>
      <c r="X787" s="12">
        <f t="shared" si="52"/>
        <v>1</v>
      </c>
      <c r="Y787" s="12">
        <f t="shared" si="51"/>
        <v>1</v>
      </c>
    </row>
    <row r="788" spans="4:25" ht="15.7">
      <c r="D788" s="4267" t="str">
        <f>T('2 REPAIR ESTIMATOR'!D689:O689)</f>
        <v>New cabinet door pulls</v>
      </c>
      <c r="E788" s="4268"/>
      <c r="F788" s="4268"/>
      <c r="G788" s="4268"/>
      <c r="H788" s="4268"/>
      <c r="I788" s="4268"/>
      <c r="J788" s="4268"/>
      <c r="K788" s="4268"/>
      <c r="L788" s="4269">
        <f>'2 REPAIR ESTIMATOR'!P689</f>
        <v>0</v>
      </c>
      <c r="M788" s="4269"/>
      <c r="N788" s="4270" t="str">
        <f>T('2 REPAIR ESTIMATOR'!S689)</f>
        <v>ea</v>
      </c>
      <c r="O788" s="4270"/>
      <c r="P788" s="4271"/>
      <c r="Q788" s="4271"/>
      <c r="R788" s="4271"/>
      <c r="S788" s="4271"/>
      <c r="T788" s="4271"/>
      <c r="U788" s="4271"/>
      <c r="V788" s="4272"/>
      <c r="W788" s="12">
        <f t="shared" si="53"/>
        <v>1</v>
      </c>
      <c r="X788" s="12">
        <f t="shared" si="52"/>
        <v>1</v>
      </c>
      <c r="Y788" s="12">
        <f t="shared" si="51"/>
        <v>1</v>
      </c>
    </row>
    <row r="789" spans="4:25" ht="15.7">
      <c r="D789" s="4267" t="str">
        <f>T('2 REPAIR ESTIMATOR'!D690:O690)</f>
        <v>Vanity countertop, stone/solid surface</v>
      </c>
      <c r="E789" s="4268"/>
      <c r="F789" s="4268"/>
      <c r="G789" s="4268"/>
      <c r="H789" s="4268"/>
      <c r="I789" s="4268"/>
      <c r="J789" s="4268"/>
      <c r="K789" s="4268"/>
      <c r="L789" s="4269">
        <f>'2 REPAIR ESTIMATOR'!P690</f>
        <v>0</v>
      </c>
      <c r="M789" s="4269"/>
      <c r="N789" s="4270" t="str">
        <f>T('2 REPAIR ESTIMATOR'!S690)</f>
        <v>sf</v>
      </c>
      <c r="O789" s="4270"/>
      <c r="P789" s="4271"/>
      <c r="Q789" s="4271"/>
      <c r="R789" s="4271"/>
      <c r="S789" s="4271"/>
      <c r="T789" s="4271"/>
      <c r="U789" s="4271"/>
      <c r="V789" s="4272"/>
      <c r="W789" s="12">
        <f t="shared" si="53"/>
        <v>1</v>
      </c>
      <c r="X789" s="12">
        <f t="shared" si="52"/>
        <v>1</v>
      </c>
      <c r="Y789" s="12">
        <f t="shared" si="51"/>
        <v>1</v>
      </c>
    </row>
    <row r="790" spans="4:25" ht="15.7">
      <c r="D790" s="4267" t="str">
        <f>T('2 REPAIR ESTIMATOR'!D691:O691)</f>
        <v/>
      </c>
      <c r="E790" s="4268"/>
      <c r="F790" s="4268"/>
      <c r="G790" s="4268"/>
      <c r="H790" s="4268"/>
      <c r="I790" s="4268"/>
      <c r="J790" s="4268"/>
      <c r="K790" s="4268"/>
      <c r="L790" s="4269">
        <f>'2 REPAIR ESTIMATOR'!P691</f>
        <v>0</v>
      </c>
      <c r="M790" s="4269"/>
      <c r="N790" s="4270" t="str">
        <f>T('2 REPAIR ESTIMATOR'!S691)</f>
        <v/>
      </c>
      <c r="O790" s="4270"/>
      <c r="P790" s="4271"/>
      <c r="Q790" s="4271"/>
      <c r="R790" s="4271"/>
      <c r="S790" s="4271"/>
      <c r="T790" s="4271"/>
      <c r="U790" s="4271"/>
      <c r="V790" s="4272"/>
      <c r="W790" s="12">
        <f t="shared" si="53"/>
        <v>1</v>
      </c>
      <c r="X790" s="12">
        <f t="shared" si="52"/>
        <v>1</v>
      </c>
      <c r="Y790" s="12">
        <f t="shared" si="51"/>
        <v>1</v>
      </c>
    </row>
    <row r="791" spans="4:25" ht="15.7">
      <c r="D791" s="4267" t="str">
        <f>T('2 REPAIR ESTIMATOR'!D692:O692)</f>
        <v/>
      </c>
      <c r="E791" s="4268"/>
      <c r="F791" s="4268"/>
      <c r="G791" s="4268"/>
      <c r="H791" s="4268"/>
      <c r="I791" s="4268"/>
      <c r="J791" s="4268"/>
      <c r="K791" s="4268"/>
      <c r="L791" s="4269">
        <f>'2 REPAIR ESTIMATOR'!P692</f>
        <v>0</v>
      </c>
      <c r="M791" s="4269"/>
      <c r="N791" s="4270" t="str">
        <f>T('2 REPAIR ESTIMATOR'!S692)</f>
        <v/>
      </c>
      <c r="O791" s="4270"/>
      <c r="P791" s="4271"/>
      <c r="Q791" s="4271"/>
      <c r="R791" s="4271"/>
      <c r="S791" s="4271"/>
      <c r="T791" s="4271"/>
      <c r="U791" s="4271"/>
      <c r="V791" s="4272"/>
      <c r="W791" s="12">
        <f t="shared" si="53"/>
        <v>1</v>
      </c>
      <c r="X791" s="12">
        <f t="shared" si="52"/>
        <v>1</v>
      </c>
      <c r="Y791" s="12">
        <f t="shared" si="51"/>
        <v>1</v>
      </c>
    </row>
    <row r="792" spans="4:25" ht="15.7">
      <c r="D792" s="4267" t="str">
        <f>T('2 REPAIR ESTIMATOR'!D693:O693)</f>
        <v/>
      </c>
      <c r="E792" s="4268"/>
      <c r="F792" s="4268"/>
      <c r="G792" s="4268"/>
      <c r="H792" s="4268"/>
      <c r="I792" s="4268"/>
      <c r="J792" s="4268"/>
      <c r="K792" s="4268"/>
      <c r="L792" s="4269">
        <f>'2 REPAIR ESTIMATOR'!P693</f>
        <v>0</v>
      </c>
      <c r="M792" s="4269"/>
      <c r="N792" s="4270" t="str">
        <f>T('2 REPAIR ESTIMATOR'!S693)</f>
        <v/>
      </c>
      <c r="O792" s="4270"/>
      <c r="P792" s="4271"/>
      <c r="Q792" s="4271"/>
      <c r="R792" s="4271"/>
      <c r="S792" s="4271"/>
      <c r="T792" s="4271"/>
      <c r="U792" s="4271"/>
      <c r="V792" s="4272"/>
      <c r="W792" s="12">
        <f t="shared" si="53"/>
        <v>1</v>
      </c>
      <c r="X792" s="12">
        <f t="shared" si="52"/>
        <v>1</v>
      </c>
      <c r="Y792" s="12">
        <f t="shared" si="51"/>
        <v>1</v>
      </c>
    </row>
    <row r="793" spans="4:25" ht="15.7">
      <c r="D793" s="4267" t="str">
        <f>T('2 REPAIR ESTIMATOR'!D694:O694)</f>
        <v/>
      </c>
      <c r="E793" s="4268"/>
      <c r="F793" s="4268"/>
      <c r="G793" s="4268"/>
      <c r="H793" s="4268"/>
      <c r="I793" s="4268"/>
      <c r="J793" s="4268"/>
      <c r="K793" s="4268"/>
      <c r="L793" s="4269">
        <f>'2 REPAIR ESTIMATOR'!P694</f>
        <v>0</v>
      </c>
      <c r="M793" s="4269"/>
      <c r="N793" s="4270" t="str">
        <f>T('2 REPAIR ESTIMATOR'!S694)</f>
        <v/>
      </c>
      <c r="O793" s="4270"/>
      <c r="P793" s="4271"/>
      <c r="Q793" s="4271"/>
      <c r="R793" s="4271"/>
      <c r="S793" s="4271"/>
      <c r="T793" s="4271"/>
      <c r="U793" s="4271"/>
      <c r="V793" s="4272"/>
      <c r="W793" s="12">
        <f t="shared" si="53"/>
        <v>1</v>
      </c>
      <c r="X793" s="12">
        <f t="shared" si="52"/>
        <v>1</v>
      </c>
      <c r="Y793" s="12">
        <f t="shared" si="51"/>
        <v>1</v>
      </c>
    </row>
    <row r="794" spans="4:25" ht="15.7">
      <c r="D794" s="4267" t="str">
        <f>T('2 REPAIR ESTIMATOR'!D695:O695)</f>
        <v/>
      </c>
      <c r="E794" s="4268"/>
      <c r="F794" s="4268"/>
      <c r="G794" s="4268"/>
      <c r="H794" s="4268"/>
      <c r="I794" s="4268"/>
      <c r="J794" s="4268"/>
      <c r="K794" s="4268"/>
      <c r="L794" s="4269">
        <f>'2 REPAIR ESTIMATOR'!P695</f>
        <v>0</v>
      </c>
      <c r="M794" s="4269"/>
      <c r="N794" s="4270" t="str">
        <f>T('2 REPAIR ESTIMATOR'!S695)</f>
        <v/>
      </c>
      <c r="O794" s="4270"/>
      <c r="P794" s="4271"/>
      <c r="Q794" s="4271"/>
      <c r="R794" s="4271"/>
      <c r="S794" s="4271"/>
      <c r="T794" s="4271"/>
      <c r="U794" s="4271"/>
      <c r="V794" s="4272"/>
      <c r="W794" s="12">
        <f t="shared" si="53"/>
        <v>1</v>
      </c>
      <c r="X794" s="12">
        <f t="shared" si="52"/>
        <v>1</v>
      </c>
      <c r="Y794" s="12">
        <f t="shared" si="51"/>
        <v>1</v>
      </c>
    </row>
    <row r="795" spans="4:25" ht="15.7">
      <c r="D795" s="4267" t="str">
        <f>T('2 REPAIR ESTIMATOR'!D696:O696)</f>
        <v/>
      </c>
      <c r="E795" s="4268"/>
      <c r="F795" s="4268"/>
      <c r="G795" s="4268"/>
      <c r="H795" s="4268"/>
      <c r="I795" s="4268"/>
      <c r="J795" s="4268"/>
      <c r="K795" s="4268"/>
      <c r="L795" s="4269">
        <f>'2 REPAIR ESTIMATOR'!P696</f>
        <v>0</v>
      </c>
      <c r="M795" s="4269"/>
      <c r="N795" s="4270" t="str">
        <f>T('2 REPAIR ESTIMATOR'!S696)</f>
        <v/>
      </c>
      <c r="O795" s="4270"/>
      <c r="P795" s="4271"/>
      <c r="Q795" s="4271"/>
      <c r="R795" s="4271"/>
      <c r="S795" s="4271"/>
      <c r="T795" s="4271"/>
      <c r="U795" s="4271"/>
      <c r="V795" s="4272"/>
      <c r="W795" s="12">
        <f t="shared" si="53"/>
        <v>1</v>
      </c>
      <c r="X795" s="12">
        <f t="shared" si="52"/>
        <v>1</v>
      </c>
      <c r="Y795" s="12">
        <f t="shared" si="51"/>
        <v>1</v>
      </c>
    </row>
    <row r="796" spans="4:25" ht="15.7">
      <c r="D796" s="4267" t="str">
        <f>T('2 REPAIR ESTIMATOR'!D697:O697)</f>
        <v/>
      </c>
      <c r="E796" s="4268"/>
      <c r="F796" s="4268"/>
      <c r="G796" s="4268"/>
      <c r="H796" s="4268"/>
      <c r="I796" s="4268"/>
      <c r="J796" s="4268"/>
      <c r="K796" s="4268"/>
      <c r="L796" s="4269">
        <f>'2 REPAIR ESTIMATOR'!P697</f>
        <v>0</v>
      </c>
      <c r="M796" s="4269"/>
      <c r="N796" s="4270" t="str">
        <f>T('2 REPAIR ESTIMATOR'!S697)</f>
        <v/>
      </c>
      <c r="O796" s="4270"/>
      <c r="P796" s="4271"/>
      <c r="Q796" s="4271"/>
      <c r="R796" s="4271"/>
      <c r="S796" s="4271"/>
      <c r="T796" s="4271"/>
      <c r="U796" s="4271"/>
      <c r="V796" s="4272"/>
      <c r="W796" s="12">
        <f t="shared" si="53"/>
        <v>1</v>
      </c>
      <c r="X796" s="12">
        <f t="shared" si="52"/>
        <v>1</v>
      </c>
      <c r="Y796" s="12">
        <f t="shared" si="51"/>
        <v>1</v>
      </c>
    </row>
    <row r="797" spans="4:25" ht="15.7">
      <c r="D797" s="4267" t="str">
        <f>T('2 REPAIR ESTIMATOR'!D698:O698)</f>
        <v/>
      </c>
      <c r="E797" s="4268"/>
      <c r="F797" s="4268"/>
      <c r="G797" s="4268"/>
      <c r="H797" s="4268"/>
      <c r="I797" s="4268"/>
      <c r="J797" s="4268"/>
      <c r="K797" s="4268"/>
      <c r="L797" s="4269">
        <f>'2 REPAIR ESTIMATOR'!P698</f>
        <v>0</v>
      </c>
      <c r="M797" s="4269"/>
      <c r="N797" s="4270" t="str">
        <f>T('2 REPAIR ESTIMATOR'!S698)</f>
        <v/>
      </c>
      <c r="O797" s="4270"/>
      <c r="P797" s="4271"/>
      <c r="Q797" s="4271"/>
      <c r="R797" s="4271"/>
      <c r="S797" s="4271"/>
      <c r="T797" s="4271"/>
      <c r="U797" s="4271"/>
      <c r="V797" s="4272"/>
      <c r="W797" s="12">
        <f t="shared" si="53"/>
        <v>1</v>
      </c>
      <c r="X797" s="12">
        <f t="shared" si="52"/>
        <v>1</v>
      </c>
      <c r="Y797" s="12">
        <f t="shared" si="51"/>
        <v>1</v>
      </c>
    </row>
    <row r="798" spans="4:25" ht="15.7">
      <c r="D798" s="4267" t="str">
        <f>T('2 REPAIR ESTIMATOR'!D699:O699)</f>
        <v/>
      </c>
      <c r="E798" s="4268"/>
      <c r="F798" s="4268"/>
      <c r="G798" s="4268"/>
      <c r="H798" s="4268"/>
      <c r="I798" s="4268"/>
      <c r="J798" s="4268"/>
      <c r="K798" s="4268"/>
      <c r="L798" s="4269">
        <f>'2 REPAIR ESTIMATOR'!P699</f>
        <v>0</v>
      </c>
      <c r="M798" s="4269"/>
      <c r="N798" s="4270" t="str">
        <f>T('2 REPAIR ESTIMATOR'!S699)</f>
        <v/>
      </c>
      <c r="O798" s="4270"/>
      <c r="P798" s="4271"/>
      <c r="Q798" s="4271"/>
      <c r="R798" s="4271"/>
      <c r="S798" s="4271"/>
      <c r="T798" s="4271"/>
      <c r="U798" s="4271"/>
      <c r="V798" s="4272"/>
      <c r="W798" s="12">
        <f t="shared" si="53"/>
        <v>1</v>
      </c>
      <c r="X798" s="12">
        <f t="shared" si="52"/>
        <v>1</v>
      </c>
      <c r="Y798" s="12">
        <f t="shared" si="51"/>
        <v>1</v>
      </c>
    </row>
    <row r="799" spans="4:25" ht="15.7">
      <c r="D799" s="4267" t="str">
        <f>T('2 REPAIR ESTIMATOR'!D700:O700)</f>
        <v/>
      </c>
      <c r="E799" s="4268"/>
      <c r="F799" s="4268"/>
      <c r="G799" s="4268"/>
      <c r="H799" s="4268"/>
      <c r="I799" s="4268"/>
      <c r="J799" s="4268"/>
      <c r="K799" s="4268"/>
      <c r="L799" s="4269">
        <f>'2 REPAIR ESTIMATOR'!P700</f>
        <v>0</v>
      </c>
      <c r="M799" s="4269"/>
      <c r="N799" s="4270" t="str">
        <f>T('2 REPAIR ESTIMATOR'!S700)</f>
        <v/>
      </c>
      <c r="O799" s="4270"/>
      <c r="P799" s="4271"/>
      <c r="Q799" s="4271"/>
      <c r="R799" s="4271"/>
      <c r="S799" s="4271"/>
      <c r="T799" s="4271"/>
      <c r="U799" s="4271"/>
      <c r="V799" s="4272"/>
      <c r="W799" s="12">
        <f t="shared" si="53"/>
        <v>1</v>
      </c>
      <c r="X799" s="12">
        <f t="shared" si="52"/>
        <v>1</v>
      </c>
      <c r="Y799" s="12">
        <f t="shared" si="51"/>
        <v>1</v>
      </c>
    </row>
    <row r="800" spans="4:25" ht="15.7">
      <c r="D800" s="4267" t="str">
        <f>T('2 REPAIR ESTIMATOR'!D701:O701)</f>
        <v/>
      </c>
      <c r="E800" s="4268"/>
      <c r="F800" s="4268"/>
      <c r="G800" s="4268"/>
      <c r="H800" s="4268"/>
      <c r="I800" s="4268"/>
      <c r="J800" s="4268"/>
      <c r="K800" s="4268"/>
      <c r="L800" s="4269">
        <f>'2 REPAIR ESTIMATOR'!P701</f>
        <v>0</v>
      </c>
      <c r="M800" s="4269"/>
      <c r="N800" s="4270" t="str">
        <f>T('2 REPAIR ESTIMATOR'!S701)</f>
        <v/>
      </c>
      <c r="O800" s="4270"/>
      <c r="P800" s="4271"/>
      <c r="Q800" s="4271"/>
      <c r="R800" s="4271"/>
      <c r="S800" s="4271"/>
      <c r="T800" s="4271"/>
      <c r="U800" s="4271"/>
      <c r="V800" s="4272"/>
      <c r="W800" s="12">
        <f t="shared" si="53"/>
        <v>1</v>
      </c>
      <c r="X800" s="12">
        <f t="shared" si="52"/>
        <v>1</v>
      </c>
      <c r="Y800" s="12">
        <f t="shared" si="51"/>
        <v>1</v>
      </c>
    </row>
    <row r="801" spans="3:25" ht="15.7">
      <c r="D801" s="4267" t="str">
        <f>T('2 REPAIR ESTIMATOR'!D702:O702)</f>
        <v/>
      </c>
      <c r="E801" s="4268"/>
      <c r="F801" s="4268"/>
      <c r="G801" s="4268"/>
      <c r="H801" s="4268"/>
      <c r="I801" s="4268"/>
      <c r="J801" s="4268"/>
      <c r="K801" s="4268"/>
      <c r="L801" s="4269">
        <f>'2 REPAIR ESTIMATOR'!P702</f>
        <v>0</v>
      </c>
      <c r="M801" s="4269"/>
      <c r="N801" s="4270" t="str">
        <f>T('2 REPAIR ESTIMATOR'!S702)</f>
        <v/>
      </c>
      <c r="O801" s="4270"/>
      <c r="P801" s="4271"/>
      <c r="Q801" s="4271"/>
      <c r="R801" s="4271"/>
      <c r="S801" s="4271"/>
      <c r="T801" s="4271"/>
      <c r="U801" s="4271"/>
      <c r="V801" s="4272"/>
      <c r="W801" s="12">
        <f t="shared" si="53"/>
        <v>1</v>
      </c>
      <c r="X801" s="12">
        <f t="shared" si="52"/>
        <v>1</v>
      </c>
      <c r="Y801" s="12">
        <f t="shared" si="51"/>
        <v>1</v>
      </c>
    </row>
    <row r="802" spans="3:25" ht="15.7">
      <c r="D802" s="4267" t="str">
        <f>T('2 REPAIR ESTIMATOR'!D703:O703)</f>
        <v/>
      </c>
      <c r="E802" s="4268"/>
      <c r="F802" s="4268"/>
      <c r="G802" s="4268"/>
      <c r="H802" s="4268"/>
      <c r="I802" s="4268"/>
      <c r="J802" s="4268"/>
      <c r="K802" s="4268"/>
      <c r="L802" s="4269">
        <f>'2 REPAIR ESTIMATOR'!P703</f>
        <v>0</v>
      </c>
      <c r="M802" s="4269"/>
      <c r="N802" s="4270" t="str">
        <f>T('2 REPAIR ESTIMATOR'!S703)</f>
        <v/>
      </c>
      <c r="O802" s="4270"/>
      <c r="P802" s="4271"/>
      <c r="Q802" s="4271"/>
      <c r="R802" s="4271"/>
      <c r="S802" s="4271"/>
      <c r="T802" s="4271"/>
      <c r="U802" s="4271"/>
      <c r="V802" s="4272"/>
      <c r="W802" s="12">
        <f t="shared" si="53"/>
        <v>1</v>
      </c>
      <c r="X802" s="12">
        <f t="shared" si="52"/>
        <v>1</v>
      </c>
      <c r="Y802" s="12">
        <f t="shared" si="51"/>
        <v>1</v>
      </c>
    </row>
    <row r="803" spans="3:25" ht="15.7">
      <c r="D803" s="4267" t="str">
        <f>T('2 REPAIR ESTIMATOR'!D704:O704)</f>
        <v/>
      </c>
      <c r="E803" s="4268"/>
      <c r="F803" s="4268"/>
      <c r="G803" s="4268"/>
      <c r="H803" s="4268"/>
      <c r="I803" s="4268"/>
      <c r="J803" s="4268"/>
      <c r="K803" s="4268"/>
      <c r="L803" s="4269">
        <f>'2 REPAIR ESTIMATOR'!P704</f>
        <v>0</v>
      </c>
      <c r="M803" s="4269"/>
      <c r="N803" s="4270" t="str">
        <f>T('2 REPAIR ESTIMATOR'!S704)</f>
        <v/>
      </c>
      <c r="O803" s="4270"/>
      <c r="P803" s="4271"/>
      <c r="Q803" s="4271"/>
      <c r="R803" s="4271"/>
      <c r="S803" s="4271"/>
      <c r="T803" s="4271"/>
      <c r="U803" s="4271"/>
      <c r="V803" s="4272"/>
      <c r="W803" s="12">
        <f t="shared" si="53"/>
        <v>1</v>
      </c>
      <c r="X803" s="12">
        <f t="shared" ref="X803:X826" si="54">IF(Scope14_Setting="Shown",1,0)</f>
        <v>1</v>
      </c>
      <c r="Y803" s="12">
        <f t="shared" si="51"/>
        <v>1</v>
      </c>
    </row>
    <row r="804" spans="3:25" ht="15.7">
      <c r="D804" s="4267" t="str">
        <f>T('2 REPAIR ESTIMATOR'!D705:O705)</f>
        <v/>
      </c>
      <c r="E804" s="4268"/>
      <c r="F804" s="4268"/>
      <c r="G804" s="4268"/>
      <c r="H804" s="4268"/>
      <c r="I804" s="4268"/>
      <c r="J804" s="4268"/>
      <c r="K804" s="4268"/>
      <c r="L804" s="4269">
        <f>'2 REPAIR ESTIMATOR'!P705</f>
        <v>0</v>
      </c>
      <c r="M804" s="4269"/>
      <c r="N804" s="4270" t="str">
        <f>T('2 REPAIR ESTIMATOR'!S705)</f>
        <v/>
      </c>
      <c r="O804" s="4270"/>
      <c r="P804" s="4271"/>
      <c r="Q804" s="4271"/>
      <c r="R804" s="4271"/>
      <c r="S804" s="4271"/>
      <c r="T804" s="4271"/>
      <c r="U804" s="4271"/>
      <c r="V804" s="4272"/>
      <c r="W804" s="12">
        <f t="shared" si="53"/>
        <v>1</v>
      </c>
      <c r="X804" s="12">
        <f t="shared" si="54"/>
        <v>1</v>
      </c>
      <c r="Y804" s="12">
        <f t="shared" si="51"/>
        <v>1</v>
      </c>
    </row>
    <row r="805" spans="3:25" ht="15.7">
      <c r="D805" s="4267" t="str">
        <f>T('2 REPAIR ESTIMATOR'!D706:O706)</f>
        <v/>
      </c>
      <c r="E805" s="4268"/>
      <c r="F805" s="4268"/>
      <c r="G805" s="4268"/>
      <c r="H805" s="4268"/>
      <c r="I805" s="4268"/>
      <c r="J805" s="4268"/>
      <c r="K805" s="4268"/>
      <c r="L805" s="4269">
        <f>'2 REPAIR ESTIMATOR'!P706</f>
        <v>0</v>
      </c>
      <c r="M805" s="4269"/>
      <c r="N805" s="4270" t="str">
        <f>T('2 REPAIR ESTIMATOR'!S706)</f>
        <v/>
      </c>
      <c r="O805" s="4270"/>
      <c r="P805" s="4271"/>
      <c r="Q805" s="4271"/>
      <c r="R805" s="4271"/>
      <c r="S805" s="4271"/>
      <c r="T805" s="4271"/>
      <c r="U805" s="4271"/>
      <c r="V805" s="4272"/>
      <c r="W805" s="12">
        <f t="shared" si="53"/>
        <v>1</v>
      </c>
      <c r="X805" s="12">
        <f t="shared" si="54"/>
        <v>1</v>
      </c>
      <c r="Y805" s="12">
        <f t="shared" si="51"/>
        <v>1</v>
      </c>
    </row>
    <row r="806" spans="3:25" ht="15.7">
      <c r="D806" s="4267" t="str">
        <f>T('2 REPAIR ESTIMATOR'!D707:O707)</f>
        <v/>
      </c>
      <c r="E806" s="4268"/>
      <c r="F806" s="4268"/>
      <c r="G806" s="4268"/>
      <c r="H806" s="4268"/>
      <c r="I806" s="4268"/>
      <c r="J806" s="4268"/>
      <c r="K806" s="4268"/>
      <c r="L806" s="4269">
        <f>'2 REPAIR ESTIMATOR'!P707</f>
        <v>0</v>
      </c>
      <c r="M806" s="4269"/>
      <c r="N806" s="4270" t="str">
        <f>T('2 REPAIR ESTIMATOR'!S707)</f>
        <v/>
      </c>
      <c r="O806" s="4270"/>
      <c r="P806" s="4271"/>
      <c r="Q806" s="4271"/>
      <c r="R806" s="4271"/>
      <c r="S806" s="4271"/>
      <c r="T806" s="4271"/>
      <c r="U806" s="4271"/>
      <c r="V806" s="4272"/>
      <c r="W806" s="12">
        <f t="shared" si="53"/>
        <v>1</v>
      </c>
      <c r="X806" s="12">
        <f t="shared" si="54"/>
        <v>1</v>
      </c>
      <c r="Y806" s="12">
        <f t="shared" si="51"/>
        <v>1</v>
      </c>
    </row>
    <row r="807" spans="3:25" ht="15.7">
      <c r="D807" s="4267" t="str">
        <f>T('2 REPAIR ESTIMATOR'!D708:O708)</f>
        <v/>
      </c>
      <c r="E807" s="4268"/>
      <c r="F807" s="4268"/>
      <c r="G807" s="4268"/>
      <c r="H807" s="4268"/>
      <c r="I807" s="4268"/>
      <c r="J807" s="4268"/>
      <c r="K807" s="4268"/>
      <c r="L807" s="4269">
        <f>'2 REPAIR ESTIMATOR'!P708</f>
        <v>0</v>
      </c>
      <c r="M807" s="4269"/>
      <c r="N807" s="4270" t="str">
        <f>T('2 REPAIR ESTIMATOR'!S708)</f>
        <v/>
      </c>
      <c r="O807" s="4270"/>
      <c r="P807" s="4271"/>
      <c r="Q807" s="4271"/>
      <c r="R807" s="4271"/>
      <c r="S807" s="4271"/>
      <c r="T807" s="4271"/>
      <c r="U807" s="4271"/>
      <c r="V807" s="4272"/>
      <c r="W807" s="12">
        <f t="shared" si="53"/>
        <v>1</v>
      </c>
      <c r="X807" s="12">
        <f t="shared" si="54"/>
        <v>1</v>
      </c>
      <c r="Y807" s="12">
        <f t="shared" si="51"/>
        <v>1</v>
      </c>
    </row>
    <row r="808" spans="3:25" ht="15.7">
      <c r="D808" s="4267" t="str">
        <f>T('2 REPAIR ESTIMATOR'!D709:O709)</f>
        <v/>
      </c>
      <c r="E808" s="4268"/>
      <c r="F808" s="4268"/>
      <c r="G808" s="4268"/>
      <c r="H808" s="4268"/>
      <c r="I808" s="4268"/>
      <c r="J808" s="4268"/>
      <c r="K808" s="4268"/>
      <c r="L808" s="4269">
        <f>'2 REPAIR ESTIMATOR'!P709</f>
        <v>0</v>
      </c>
      <c r="M808" s="4269"/>
      <c r="N808" s="4270" t="str">
        <f>T('2 REPAIR ESTIMATOR'!S709)</f>
        <v/>
      </c>
      <c r="O808" s="4270"/>
      <c r="P808" s="4271"/>
      <c r="Q808" s="4271"/>
      <c r="R808" s="4271"/>
      <c r="S808" s="4271"/>
      <c r="T808" s="4271"/>
      <c r="U808" s="4271"/>
      <c r="V808" s="4272"/>
      <c r="W808" s="12">
        <f t="shared" si="53"/>
        <v>1</v>
      </c>
      <c r="X808" s="12">
        <f t="shared" si="54"/>
        <v>1</v>
      </c>
      <c r="Y808" s="12">
        <f t="shared" si="51"/>
        <v>1</v>
      </c>
    </row>
    <row r="809" spans="3:25" ht="15.7">
      <c r="D809" s="4267" t="str">
        <f>T('2 REPAIR ESTIMATOR'!D710:O710)</f>
        <v/>
      </c>
      <c r="E809" s="4268"/>
      <c r="F809" s="4268"/>
      <c r="G809" s="4268"/>
      <c r="H809" s="4268"/>
      <c r="I809" s="4268"/>
      <c r="J809" s="4268"/>
      <c r="K809" s="4268"/>
      <c r="L809" s="4269">
        <f>'2 REPAIR ESTIMATOR'!P710</f>
        <v>0</v>
      </c>
      <c r="M809" s="4269"/>
      <c r="N809" s="4270" t="str">
        <f>T('2 REPAIR ESTIMATOR'!S710)</f>
        <v/>
      </c>
      <c r="O809" s="4270"/>
      <c r="P809" s="4271"/>
      <c r="Q809" s="4271"/>
      <c r="R809" s="4271"/>
      <c r="S809" s="4271"/>
      <c r="T809" s="4271"/>
      <c r="U809" s="4271"/>
      <c r="V809" s="4272"/>
      <c r="W809" s="12">
        <f t="shared" si="53"/>
        <v>1</v>
      </c>
      <c r="X809" s="12">
        <f t="shared" si="54"/>
        <v>1</v>
      </c>
      <c r="Y809" s="12">
        <f t="shared" si="51"/>
        <v>1</v>
      </c>
    </row>
    <row r="810" spans="3:25" ht="15.7">
      <c r="D810" s="4267" t="str">
        <f>T('2 REPAIR ESTIMATOR'!D711:O711)</f>
        <v/>
      </c>
      <c r="E810" s="4268"/>
      <c r="F810" s="4268"/>
      <c r="G810" s="4268"/>
      <c r="H810" s="4268"/>
      <c r="I810" s="4268"/>
      <c r="J810" s="4268"/>
      <c r="K810" s="4268"/>
      <c r="L810" s="4269">
        <f>'2 REPAIR ESTIMATOR'!P711</f>
        <v>0</v>
      </c>
      <c r="M810" s="4269"/>
      <c r="N810" s="4270" t="str">
        <f>T('2 REPAIR ESTIMATOR'!S711)</f>
        <v/>
      </c>
      <c r="O810" s="4270"/>
      <c r="P810" s="4271"/>
      <c r="Q810" s="4271"/>
      <c r="R810" s="4271"/>
      <c r="S810" s="4271"/>
      <c r="T810" s="4271"/>
      <c r="U810" s="4271"/>
      <c r="V810" s="4272"/>
      <c r="W810" s="12">
        <f t="shared" si="53"/>
        <v>1</v>
      </c>
      <c r="X810" s="12">
        <f t="shared" si="54"/>
        <v>1</v>
      </c>
      <c r="Y810" s="12">
        <f t="shared" si="51"/>
        <v>1</v>
      </c>
    </row>
    <row r="811" spans="3:25" ht="15.7">
      <c r="D811" s="4267" t="str">
        <f>T('2 REPAIR ESTIMATOR'!D712:O712)</f>
        <v/>
      </c>
      <c r="E811" s="4268"/>
      <c r="F811" s="4268"/>
      <c r="G811" s="4268"/>
      <c r="H811" s="4268"/>
      <c r="I811" s="4268"/>
      <c r="J811" s="4268"/>
      <c r="K811" s="4268"/>
      <c r="L811" s="4269">
        <f>'2 REPAIR ESTIMATOR'!P712</f>
        <v>0</v>
      </c>
      <c r="M811" s="4269"/>
      <c r="N811" s="4270" t="str">
        <f>T('2 REPAIR ESTIMATOR'!S712)</f>
        <v/>
      </c>
      <c r="O811" s="4270"/>
      <c r="P811" s="4271"/>
      <c r="Q811" s="4271"/>
      <c r="R811" s="4271"/>
      <c r="S811" s="4271"/>
      <c r="T811" s="4271"/>
      <c r="U811" s="4271"/>
      <c r="V811" s="4272"/>
      <c r="W811" s="12">
        <f t="shared" si="53"/>
        <v>1</v>
      </c>
      <c r="X811" s="12">
        <f t="shared" si="54"/>
        <v>1</v>
      </c>
      <c r="Y811" s="12">
        <f t="shared" si="51"/>
        <v>1</v>
      </c>
    </row>
    <row r="812" spans="3:25" ht="15.7">
      <c r="C812" s="6"/>
      <c r="D812" s="723"/>
      <c r="E812" s="723"/>
      <c r="F812" s="723"/>
      <c r="G812" s="723"/>
      <c r="H812" s="723"/>
      <c r="I812" s="723"/>
      <c r="J812" s="723"/>
      <c r="K812" s="723"/>
      <c r="L812" s="724"/>
      <c r="M812" s="724"/>
      <c r="N812" s="725"/>
      <c r="O812" s="725"/>
      <c r="P812" s="724"/>
      <c r="Q812" s="445"/>
      <c r="R812" s="445"/>
      <c r="S812" s="725"/>
      <c r="T812" s="725"/>
      <c r="U812" s="725"/>
      <c r="V812" s="725"/>
      <c r="W812" s="12">
        <f>W813</f>
        <v>0</v>
      </c>
      <c r="X812" s="12">
        <f t="shared" si="54"/>
        <v>1</v>
      </c>
      <c r="Y812" s="12">
        <f t="shared" ref="Y812:Y875" si="55">W812*X812</f>
        <v>0</v>
      </c>
    </row>
    <row r="813" spans="3:25" ht="16.7">
      <c r="C813" s="6"/>
      <c r="D813" s="4266" t="str">
        <f>UPPER(CONCATENATE("Miscellaneous ",D771," Items"))</f>
        <v>MISCELLANEOUS CABINETS &amp; COUNTERTOPS ITEMS</v>
      </c>
      <c r="E813" s="4266"/>
      <c r="F813" s="4266"/>
      <c r="G813" s="4266"/>
      <c r="H813" s="4266"/>
      <c r="I813" s="4266"/>
      <c r="J813" s="4266"/>
      <c r="K813" s="4266"/>
      <c r="L813" s="4266"/>
      <c r="M813" s="4266"/>
      <c r="N813" s="4266"/>
      <c r="O813" s="4266"/>
      <c r="P813" s="4266"/>
      <c r="Q813" s="4266"/>
      <c r="R813" s="4266"/>
      <c r="S813" s="4266"/>
      <c r="T813" s="4266"/>
      <c r="U813" s="4266"/>
      <c r="V813" s="4266"/>
      <c r="W813" s="12">
        <f>SUM(W814:W823)</f>
        <v>0</v>
      </c>
      <c r="X813" s="12">
        <f t="shared" si="54"/>
        <v>1</v>
      </c>
      <c r="Y813" s="12">
        <f t="shared" si="55"/>
        <v>0</v>
      </c>
    </row>
    <row r="814" spans="3:25" ht="15.7">
      <c r="C814" s="6"/>
      <c r="D814" s="712">
        <v>1</v>
      </c>
      <c r="E814" s="4263" t="s">
        <v>1458</v>
      </c>
      <c r="F814" s="4263"/>
      <c r="G814" s="4263"/>
      <c r="H814" s="4263"/>
      <c r="I814" s="4263"/>
      <c r="J814" s="4263"/>
      <c r="K814" s="4263"/>
      <c r="L814" s="4263"/>
      <c r="M814" s="4263"/>
      <c r="N814" s="4263"/>
      <c r="O814" s="4263"/>
      <c r="P814" s="4263"/>
      <c r="Q814" s="4263"/>
      <c r="R814" s="4263"/>
      <c r="S814" s="4263"/>
      <c r="T814" s="4263"/>
      <c r="U814" s="4263"/>
      <c r="V814" s="4263"/>
      <c r="W814" s="12">
        <f>IF(E814&lt;&gt;"",1,0)*W771</f>
        <v>0</v>
      </c>
      <c r="X814" s="12">
        <f t="shared" si="54"/>
        <v>1</v>
      </c>
      <c r="Y814" s="12">
        <f t="shared" si="55"/>
        <v>0</v>
      </c>
    </row>
    <row r="815" spans="3:25" ht="15.7">
      <c r="C815" s="6"/>
      <c r="D815" s="712">
        <v>2</v>
      </c>
      <c r="E815" s="4263" t="s">
        <v>1461</v>
      </c>
      <c r="F815" s="4263"/>
      <c r="G815" s="4263"/>
      <c r="H815" s="4263"/>
      <c r="I815" s="4263"/>
      <c r="J815" s="4263"/>
      <c r="K815" s="4263"/>
      <c r="L815" s="4263"/>
      <c r="M815" s="4263"/>
      <c r="N815" s="4263"/>
      <c r="O815" s="4263"/>
      <c r="P815" s="4263"/>
      <c r="Q815" s="4263"/>
      <c r="R815" s="4263"/>
      <c r="S815" s="4263"/>
      <c r="T815" s="4263"/>
      <c r="U815" s="4263"/>
      <c r="V815" s="4263"/>
      <c r="W815" s="12">
        <f>IF(E815&lt;&gt;"",1,0)*W771</f>
        <v>0</v>
      </c>
      <c r="X815" s="12">
        <f t="shared" si="54"/>
        <v>1</v>
      </c>
      <c r="Y815" s="12">
        <f t="shared" si="55"/>
        <v>0</v>
      </c>
    </row>
    <row r="816" spans="3:25" ht="15.7">
      <c r="C816" s="6"/>
      <c r="D816" s="712">
        <v>3</v>
      </c>
      <c r="E816" s="4263" t="s">
        <v>1460</v>
      </c>
      <c r="F816" s="4263"/>
      <c r="G816" s="4263"/>
      <c r="H816" s="4263"/>
      <c r="I816" s="4263"/>
      <c r="J816" s="4263"/>
      <c r="K816" s="4263"/>
      <c r="L816" s="4263"/>
      <c r="M816" s="4263"/>
      <c r="N816" s="4263"/>
      <c r="O816" s="4263"/>
      <c r="P816" s="4263"/>
      <c r="Q816" s="4263"/>
      <c r="R816" s="4263"/>
      <c r="S816" s="4263"/>
      <c r="T816" s="4263"/>
      <c r="U816" s="4263"/>
      <c r="V816" s="4263"/>
      <c r="W816" s="12">
        <f>IF(E816&lt;&gt;"",1,0)*W771</f>
        <v>0</v>
      </c>
      <c r="X816" s="12">
        <f t="shared" si="54"/>
        <v>1</v>
      </c>
      <c r="Y816" s="12">
        <f t="shared" si="55"/>
        <v>0</v>
      </c>
    </row>
    <row r="817" spans="3:25" ht="15.7">
      <c r="C817" s="6"/>
      <c r="D817" s="712">
        <v>4</v>
      </c>
      <c r="E817" s="4263" t="s">
        <v>1459</v>
      </c>
      <c r="F817" s="4263"/>
      <c r="G817" s="4263"/>
      <c r="H817" s="4263"/>
      <c r="I817" s="4263"/>
      <c r="J817" s="4263"/>
      <c r="K817" s="4263"/>
      <c r="L817" s="4263"/>
      <c r="M817" s="4263"/>
      <c r="N817" s="4263"/>
      <c r="O817" s="4263"/>
      <c r="P817" s="4263"/>
      <c r="Q817" s="4263"/>
      <c r="R817" s="4263"/>
      <c r="S817" s="4263"/>
      <c r="T817" s="4263"/>
      <c r="U817" s="4263"/>
      <c r="V817" s="4263"/>
      <c r="W817" s="12">
        <f>IF(E817&lt;&gt;"",1,0)*W771</f>
        <v>0</v>
      </c>
      <c r="X817" s="12">
        <f t="shared" si="54"/>
        <v>1</v>
      </c>
      <c r="Y817" s="12">
        <f t="shared" si="55"/>
        <v>0</v>
      </c>
    </row>
    <row r="818" spans="3:25" ht="15.7">
      <c r="C818" s="6"/>
      <c r="D818" s="712">
        <v>5</v>
      </c>
      <c r="E818" s="4263" t="s">
        <v>1462</v>
      </c>
      <c r="F818" s="4263"/>
      <c r="G818" s="4263"/>
      <c r="H818" s="4263"/>
      <c r="I818" s="4263"/>
      <c r="J818" s="4263"/>
      <c r="K818" s="4263"/>
      <c r="L818" s="4263"/>
      <c r="M818" s="4263"/>
      <c r="N818" s="4263"/>
      <c r="O818" s="4263"/>
      <c r="P818" s="4263"/>
      <c r="Q818" s="4263"/>
      <c r="R818" s="4263"/>
      <c r="S818" s="4263"/>
      <c r="T818" s="4263"/>
      <c r="U818" s="4263"/>
      <c r="V818" s="4263"/>
      <c r="W818" s="12">
        <f>IF(E818&lt;&gt;"",1,0)*W771</f>
        <v>0</v>
      </c>
      <c r="X818" s="12">
        <f t="shared" si="54"/>
        <v>1</v>
      </c>
      <c r="Y818" s="12">
        <f t="shared" si="55"/>
        <v>0</v>
      </c>
    </row>
    <row r="819" spans="3:25" ht="15.7">
      <c r="C819" s="6"/>
      <c r="D819" s="712">
        <v>6</v>
      </c>
      <c r="E819" s="4263" t="s">
        <v>1463</v>
      </c>
      <c r="F819" s="4263"/>
      <c r="G819" s="4263"/>
      <c r="H819" s="4263"/>
      <c r="I819" s="4263"/>
      <c r="J819" s="4263"/>
      <c r="K819" s="4263"/>
      <c r="L819" s="4263"/>
      <c r="M819" s="4263"/>
      <c r="N819" s="4263"/>
      <c r="O819" s="4263"/>
      <c r="P819" s="4263"/>
      <c r="Q819" s="4263"/>
      <c r="R819" s="4263"/>
      <c r="S819" s="4263"/>
      <c r="T819" s="4263"/>
      <c r="U819" s="4263"/>
      <c r="V819" s="4263"/>
      <c r="W819" s="12">
        <f>IF(E819&lt;&gt;"",1,0)*W771</f>
        <v>0</v>
      </c>
      <c r="X819" s="12">
        <f t="shared" si="54"/>
        <v>1</v>
      </c>
      <c r="Y819" s="12">
        <f t="shared" si="55"/>
        <v>0</v>
      </c>
    </row>
    <row r="820" spans="3:25" ht="15.7">
      <c r="C820" s="6"/>
      <c r="D820" s="712">
        <v>7</v>
      </c>
      <c r="E820" s="4263" t="s">
        <v>1464</v>
      </c>
      <c r="F820" s="4263"/>
      <c r="G820" s="4263"/>
      <c r="H820" s="4263"/>
      <c r="I820" s="4263"/>
      <c r="J820" s="4263"/>
      <c r="K820" s="4263"/>
      <c r="L820" s="4263"/>
      <c r="M820" s="4263"/>
      <c r="N820" s="4263"/>
      <c r="O820" s="4263"/>
      <c r="P820" s="4263"/>
      <c r="Q820" s="4263"/>
      <c r="R820" s="4263"/>
      <c r="S820" s="4263"/>
      <c r="T820" s="4263"/>
      <c r="U820" s="4263"/>
      <c r="V820" s="4263"/>
      <c r="W820" s="12">
        <f>IF(E820&lt;&gt;"",1,0)*W771</f>
        <v>0</v>
      </c>
      <c r="X820" s="12">
        <f t="shared" si="54"/>
        <v>1</v>
      </c>
      <c r="Y820" s="12">
        <f t="shared" si="55"/>
        <v>0</v>
      </c>
    </row>
    <row r="821" spans="3:25" ht="15.7">
      <c r="C821" s="6"/>
      <c r="D821" s="712">
        <v>8</v>
      </c>
      <c r="E821" s="4263"/>
      <c r="F821" s="4263"/>
      <c r="G821" s="4263"/>
      <c r="H821" s="4263"/>
      <c r="I821" s="4263"/>
      <c r="J821" s="4263"/>
      <c r="K821" s="4263"/>
      <c r="L821" s="4263"/>
      <c r="M821" s="4263"/>
      <c r="N821" s="4263"/>
      <c r="O821" s="4263"/>
      <c r="P821" s="4263"/>
      <c r="Q821" s="4263"/>
      <c r="R821" s="4263"/>
      <c r="S821" s="4263"/>
      <c r="T821" s="4263"/>
      <c r="U821" s="4263"/>
      <c r="V821" s="4263"/>
      <c r="W821" s="12">
        <f>IF(E821&lt;&gt;"",1,0)*W771</f>
        <v>0</v>
      </c>
      <c r="X821" s="12">
        <f t="shared" si="54"/>
        <v>1</v>
      </c>
      <c r="Y821" s="12">
        <f t="shared" si="55"/>
        <v>0</v>
      </c>
    </row>
    <row r="822" spans="3:25" ht="15.7">
      <c r="C822" s="6"/>
      <c r="D822" s="712">
        <v>9</v>
      </c>
      <c r="E822" s="4263"/>
      <c r="F822" s="4263"/>
      <c r="G822" s="4263"/>
      <c r="H822" s="4263"/>
      <c r="I822" s="4263"/>
      <c r="J822" s="4263"/>
      <c r="K822" s="4263"/>
      <c r="L822" s="4263"/>
      <c r="M822" s="4263"/>
      <c r="N822" s="4263"/>
      <c r="O822" s="4263"/>
      <c r="P822" s="4263"/>
      <c r="Q822" s="4263"/>
      <c r="R822" s="4263"/>
      <c r="S822" s="4263"/>
      <c r="T822" s="4263"/>
      <c r="U822" s="4263"/>
      <c r="V822" s="4263"/>
      <c r="W822" s="12">
        <f>IF(E822&lt;&gt;"",1,0)*W771</f>
        <v>0</v>
      </c>
      <c r="X822" s="12">
        <f t="shared" si="54"/>
        <v>1</v>
      </c>
      <c r="Y822" s="12">
        <f t="shared" si="55"/>
        <v>0</v>
      </c>
    </row>
    <row r="823" spans="3:25" ht="15.7">
      <c r="C823" s="6"/>
      <c r="D823" s="712">
        <v>10</v>
      </c>
      <c r="E823" s="4263"/>
      <c r="F823" s="4263"/>
      <c r="G823" s="4263"/>
      <c r="H823" s="4263"/>
      <c r="I823" s="4263"/>
      <c r="J823" s="4263"/>
      <c r="K823" s="4263"/>
      <c r="L823" s="4263"/>
      <c r="M823" s="4263"/>
      <c r="N823" s="4263"/>
      <c r="O823" s="4263"/>
      <c r="P823" s="4263"/>
      <c r="Q823" s="4263"/>
      <c r="R823" s="4263"/>
      <c r="S823" s="4263"/>
      <c r="T823" s="4263"/>
      <c r="U823" s="4263"/>
      <c r="V823" s="4263"/>
      <c r="W823" s="12">
        <f>IF(E823&lt;&gt;"",1,0)*W771</f>
        <v>0</v>
      </c>
      <c r="X823" s="12">
        <f t="shared" si="54"/>
        <v>1</v>
      </c>
      <c r="Y823" s="12">
        <f t="shared" si="55"/>
        <v>0</v>
      </c>
    </row>
    <row r="824" spans="3:25" ht="15.7">
      <c r="C824" s="6"/>
      <c r="D824" s="723"/>
      <c r="E824" s="723"/>
      <c r="F824" s="723"/>
      <c r="G824" s="723"/>
      <c r="H824" s="723"/>
      <c r="I824" s="723"/>
      <c r="J824" s="723"/>
      <c r="K824" s="723"/>
      <c r="L824" s="724"/>
      <c r="M824" s="724"/>
      <c r="N824" s="725"/>
      <c r="O824" s="725"/>
      <c r="P824" s="724"/>
      <c r="Q824" s="445"/>
      <c r="R824" s="445"/>
      <c r="S824" s="726"/>
      <c r="T824" s="726"/>
      <c r="U824" s="726"/>
      <c r="V824" s="726"/>
      <c r="W824" s="12">
        <f>W771</f>
        <v>0</v>
      </c>
      <c r="X824" s="12">
        <f t="shared" si="54"/>
        <v>1</v>
      </c>
      <c r="Y824" s="12">
        <f t="shared" si="55"/>
        <v>0</v>
      </c>
    </row>
    <row r="825" spans="3:25" ht="40.5" customHeight="1">
      <c r="C825" s="6"/>
      <c r="D825" s="4264" t="str">
        <f>UPPER(CONCATENATE("TOTAL ",D771))</f>
        <v>TOTAL CABINETS &amp; COUNTERTOPS</v>
      </c>
      <c r="E825" s="4264"/>
      <c r="F825" s="4264"/>
      <c r="G825" s="4264"/>
      <c r="H825" s="4264"/>
      <c r="I825" s="4264"/>
      <c r="J825" s="4264"/>
      <c r="K825" s="4264"/>
      <c r="L825" s="4264"/>
      <c r="M825" s="4264"/>
      <c r="N825" s="4264"/>
      <c r="O825" s="4264"/>
      <c r="P825" s="4264"/>
      <c r="Q825" s="4265"/>
      <c r="R825" s="4265"/>
      <c r="S825" s="4265"/>
      <c r="T825" s="4265"/>
      <c r="U825" s="4265"/>
      <c r="V825" s="4265"/>
      <c r="W825" s="12">
        <f>W771</f>
        <v>0</v>
      </c>
      <c r="X825" s="12">
        <f t="shared" si="54"/>
        <v>1</v>
      </c>
      <c r="Y825" s="12">
        <f t="shared" si="55"/>
        <v>0</v>
      </c>
    </row>
    <row r="826" spans="3:25" ht="15.7">
      <c r="D826" s="723"/>
      <c r="E826" s="723"/>
      <c r="F826" s="723"/>
      <c r="G826" s="723"/>
      <c r="H826" s="723"/>
      <c r="I826" s="723"/>
      <c r="J826" s="723"/>
      <c r="K826" s="723"/>
      <c r="L826" s="724"/>
      <c r="M826" s="724"/>
      <c r="N826" s="725"/>
      <c r="O826" s="725"/>
      <c r="P826" s="724"/>
      <c r="Q826" s="445"/>
      <c r="R826" s="445"/>
      <c r="S826" s="726"/>
      <c r="T826" s="726"/>
      <c r="U826" s="726"/>
      <c r="V826" s="726"/>
      <c r="W826" s="12">
        <f>W771</f>
        <v>0</v>
      </c>
      <c r="X826" s="12">
        <f t="shared" si="54"/>
        <v>1</v>
      </c>
      <c r="Y826" s="12">
        <f t="shared" si="55"/>
        <v>0</v>
      </c>
    </row>
    <row r="827" spans="3:25" ht="26.45" customHeight="1">
      <c r="D827" s="4275" t="str">
        <f>T('2 REPAIR ESTIMATOR'!D717:O717)</f>
        <v>DOORS &amp; TRIM</v>
      </c>
      <c r="E827" s="4275"/>
      <c r="F827" s="4275"/>
      <c r="G827" s="4275"/>
      <c r="H827" s="4275"/>
      <c r="I827" s="4275"/>
      <c r="J827" s="4275"/>
      <c r="K827" s="4276"/>
      <c r="L827" s="4277">
        <f>SUM(L828:M867)</f>
        <v>0</v>
      </c>
      <c r="M827" s="4278"/>
      <c r="N827" s="4279"/>
      <c r="O827" s="4280"/>
      <c r="P827" s="4277"/>
      <c r="Q827" s="4281"/>
      <c r="R827" s="4281"/>
      <c r="S827" s="4281"/>
      <c r="T827" s="4281"/>
      <c r="U827" s="4281"/>
      <c r="V827" s="4281"/>
      <c r="W827" s="12">
        <f>IF(L827&gt;0,1,0)</f>
        <v>0</v>
      </c>
      <c r="X827" s="12">
        <f t="shared" ref="X827:X858" si="56">IF(Scope15_Setting="Shown",1,0)</f>
        <v>1</v>
      </c>
      <c r="Y827" s="12">
        <f t="shared" si="55"/>
        <v>0</v>
      </c>
    </row>
    <row r="828" spans="3:25" ht="15.7">
      <c r="D828" s="4267" t="str">
        <f>T('2 REPAIR ESTIMATOR'!D718:O718)</f>
        <v>Finish carpentry bid/allowance</v>
      </c>
      <c r="E828" s="4268"/>
      <c r="F828" s="4268"/>
      <c r="G828" s="4268"/>
      <c r="H828" s="4268"/>
      <c r="I828" s="4268"/>
      <c r="J828" s="4268"/>
      <c r="K828" s="4268"/>
      <c r="L828" s="4269">
        <f>'2 REPAIR ESTIMATOR'!P718</f>
        <v>0</v>
      </c>
      <c r="M828" s="4269"/>
      <c r="N828" s="4270" t="str">
        <f>T('2 REPAIR ESTIMATOR'!S718)</f>
        <v>ls</v>
      </c>
      <c r="O828" s="4270"/>
      <c r="P828" s="4273"/>
      <c r="Q828" s="4273"/>
      <c r="R828" s="4273"/>
      <c r="S828" s="4273"/>
      <c r="T828" s="4273"/>
      <c r="U828" s="4273"/>
      <c r="V828" s="4274"/>
      <c r="W828" s="12">
        <f>IF(L828="",0,1)</f>
        <v>1</v>
      </c>
      <c r="X828" s="12">
        <f t="shared" si="56"/>
        <v>1</v>
      </c>
      <c r="Y828" s="12">
        <f t="shared" si="55"/>
        <v>1</v>
      </c>
    </row>
    <row r="829" spans="3:25" ht="15.7">
      <c r="D829" s="4267" t="str">
        <f>T('2 REPAIR ESTIMATOR'!D719:O719)</f>
        <v>Interior door, prehung, hollow-core door</v>
      </c>
      <c r="E829" s="4268"/>
      <c r="F829" s="4268"/>
      <c r="G829" s="4268"/>
      <c r="H829" s="4268"/>
      <c r="I829" s="4268"/>
      <c r="J829" s="4268"/>
      <c r="K829" s="4268"/>
      <c r="L829" s="4269">
        <f>'2 REPAIR ESTIMATOR'!P719</f>
        <v>0</v>
      </c>
      <c r="M829" s="4269"/>
      <c r="N829" s="4270" t="str">
        <f>T('2 REPAIR ESTIMATOR'!S719)</f>
        <v>ea</v>
      </c>
      <c r="O829" s="4270"/>
      <c r="P829" s="4271"/>
      <c r="Q829" s="4271"/>
      <c r="R829" s="4271"/>
      <c r="S829" s="4271"/>
      <c r="T829" s="4271"/>
      <c r="U829" s="4271"/>
      <c r="V829" s="4272"/>
      <c r="W829" s="12">
        <f t="shared" ref="W829:W867" si="57">IF(L829="",0,1)</f>
        <v>1</v>
      </c>
      <c r="X829" s="12">
        <f t="shared" si="56"/>
        <v>1</v>
      </c>
      <c r="Y829" s="12">
        <f t="shared" si="55"/>
        <v>1</v>
      </c>
    </row>
    <row r="830" spans="3:25" ht="15.7">
      <c r="D830" s="4267" t="str">
        <f>T('2 REPAIR ESTIMATOR'!D720:O720)</f>
        <v>Interior mirrored, sliding, closet doors</v>
      </c>
      <c r="E830" s="4268"/>
      <c r="F830" s="4268"/>
      <c r="G830" s="4268"/>
      <c r="H830" s="4268"/>
      <c r="I830" s="4268"/>
      <c r="J830" s="4268"/>
      <c r="K830" s="4268"/>
      <c r="L830" s="4269">
        <f>'2 REPAIR ESTIMATOR'!P720</f>
        <v>0</v>
      </c>
      <c r="M830" s="4269"/>
      <c r="N830" s="4270" t="str">
        <f>T('2 REPAIR ESTIMATOR'!S720)</f>
        <v>ea</v>
      </c>
      <c r="O830" s="4270"/>
      <c r="P830" s="4271"/>
      <c r="Q830" s="4271"/>
      <c r="R830" s="4271"/>
      <c r="S830" s="4271"/>
      <c r="T830" s="4271"/>
      <c r="U830" s="4271"/>
      <c r="V830" s="4272"/>
      <c r="W830" s="12">
        <f t="shared" si="57"/>
        <v>1</v>
      </c>
      <c r="X830" s="12">
        <f t="shared" si="56"/>
        <v>1</v>
      </c>
      <c r="Y830" s="12">
        <f t="shared" si="55"/>
        <v>1</v>
      </c>
    </row>
    <row r="831" spans="3:25" ht="15.7">
      <c r="D831" s="4267" t="str">
        <f>T('2 REPAIR ESTIMATOR'!D721:O721)</f>
        <v>Interior bi-fold, closet doors</v>
      </c>
      <c r="E831" s="4268"/>
      <c r="F831" s="4268"/>
      <c r="G831" s="4268"/>
      <c r="H831" s="4268"/>
      <c r="I831" s="4268"/>
      <c r="J831" s="4268"/>
      <c r="K831" s="4268"/>
      <c r="L831" s="4269">
        <f>'2 REPAIR ESTIMATOR'!P721</f>
        <v>0</v>
      </c>
      <c r="M831" s="4269"/>
      <c r="N831" s="4270" t="str">
        <f>T('2 REPAIR ESTIMATOR'!S721)</f>
        <v>ea</v>
      </c>
      <c r="O831" s="4270"/>
      <c r="P831" s="4271"/>
      <c r="Q831" s="4271"/>
      <c r="R831" s="4271"/>
      <c r="S831" s="4271"/>
      <c r="T831" s="4271"/>
      <c r="U831" s="4271"/>
      <c r="V831" s="4272"/>
      <c r="W831" s="12">
        <f t="shared" si="57"/>
        <v>1</v>
      </c>
      <c r="X831" s="12">
        <f t="shared" si="56"/>
        <v>1</v>
      </c>
      <c r="Y831" s="12">
        <f t="shared" si="55"/>
        <v>1</v>
      </c>
    </row>
    <row r="832" spans="3:25" ht="15.7">
      <c r="D832" s="4267" t="str">
        <f>T('2 REPAIR ESTIMATOR'!D722:O722)</f>
        <v>Door hardware, knobs only</v>
      </c>
      <c r="E832" s="4268"/>
      <c r="F832" s="4268"/>
      <c r="G832" s="4268"/>
      <c r="H832" s="4268"/>
      <c r="I832" s="4268"/>
      <c r="J832" s="4268"/>
      <c r="K832" s="4268"/>
      <c r="L832" s="4269">
        <f>'2 REPAIR ESTIMATOR'!P722</f>
        <v>0</v>
      </c>
      <c r="M832" s="4269"/>
      <c r="N832" s="4270" t="str">
        <f>T('2 REPAIR ESTIMATOR'!S722)</f>
        <v>ea</v>
      </c>
      <c r="O832" s="4270"/>
      <c r="P832" s="4271"/>
      <c r="Q832" s="4271"/>
      <c r="R832" s="4271"/>
      <c r="S832" s="4271"/>
      <c r="T832" s="4271"/>
      <c r="U832" s="4271"/>
      <c r="V832" s="4272"/>
      <c r="W832" s="12">
        <f t="shared" si="57"/>
        <v>1</v>
      </c>
      <c r="X832" s="12">
        <f t="shared" si="56"/>
        <v>1</v>
      </c>
      <c r="Y832" s="12">
        <f t="shared" si="55"/>
        <v>1</v>
      </c>
    </row>
    <row r="833" spans="4:25" ht="15.7">
      <c r="D833" s="4267" t="str">
        <f>T('2 REPAIR ESTIMATOR'!D723:O723)</f>
        <v>Door casings</v>
      </c>
      <c r="E833" s="4268"/>
      <c r="F833" s="4268"/>
      <c r="G833" s="4268"/>
      <c r="H833" s="4268"/>
      <c r="I833" s="4268"/>
      <c r="J833" s="4268"/>
      <c r="K833" s="4268"/>
      <c r="L833" s="4269">
        <f>'2 REPAIR ESTIMATOR'!P723</f>
        <v>0</v>
      </c>
      <c r="M833" s="4269"/>
      <c r="N833" s="4270" t="str">
        <f>T('2 REPAIR ESTIMATOR'!S723)</f>
        <v>ea</v>
      </c>
      <c r="O833" s="4270"/>
      <c r="P833" s="4271"/>
      <c r="Q833" s="4271"/>
      <c r="R833" s="4271"/>
      <c r="S833" s="4271"/>
      <c r="T833" s="4271"/>
      <c r="U833" s="4271"/>
      <c r="V833" s="4272"/>
      <c r="W833" s="12">
        <f t="shared" si="57"/>
        <v>1</v>
      </c>
      <c r="X833" s="12">
        <f t="shared" si="56"/>
        <v>1</v>
      </c>
      <c r="Y833" s="12">
        <f t="shared" si="55"/>
        <v>1</v>
      </c>
    </row>
    <row r="834" spans="4:25" ht="15.7">
      <c r="D834" s="4267" t="str">
        <f>T('2 REPAIR ESTIMATOR'!D724:O724)</f>
        <v>Window casings</v>
      </c>
      <c r="E834" s="4268"/>
      <c r="F834" s="4268"/>
      <c r="G834" s="4268"/>
      <c r="H834" s="4268"/>
      <c r="I834" s="4268"/>
      <c r="J834" s="4268"/>
      <c r="K834" s="4268"/>
      <c r="L834" s="4269">
        <f>'2 REPAIR ESTIMATOR'!P724</f>
        <v>0</v>
      </c>
      <c r="M834" s="4269"/>
      <c r="N834" s="4270" t="str">
        <f>T('2 REPAIR ESTIMATOR'!S724)</f>
        <v>ea</v>
      </c>
      <c r="O834" s="4270"/>
      <c r="P834" s="4271"/>
      <c r="Q834" s="4271"/>
      <c r="R834" s="4271"/>
      <c r="S834" s="4271"/>
      <c r="T834" s="4271"/>
      <c r="U834" s="4271"/>
      <c r="V834" s="4272"/>
      <c r="W834" s="12">
        <f t="shared" si="57"/>
        <v>1</v>
      </c>
      <c r="X834" s="12">
        <f t="shared" si="56"/>
        <v>1</v>
      </c>
      <c r="Y834" s="12">
        <f t="shared" si="55"/>
        <v>1</v>
      </c>
    </row>
    <row r="835" spans="4:25" ht="15.7">
      <c r="D835" s="4267" t="str">
        <f>T('2 REPAIR ESTIMATOR'!D725:O725)</f>
        <v>Window sills</v>
      </c>
      <c r="E835" s="4268"/>
      <c r="F835" s="4268"/>
      <c r="G835" s="4268"/>
      <c r="H835" s="4268"/>
      <c r="I835" s="4268"/>
      <c r="J835" s="4268"/>
      <c r="K835" s="4268"/>
      <c r="L835" s="4269">
        <f>'2 REPAIR ESTIMATOR'!P725</f>
        <v>0</v>
      </c>
      <c r="M835" s="4269"/>
      <c r="N835" s="4270" t="str">
        <f>T('2 REPAIR ESTIMATOR'!S725)</f>
        <v>lf</v>
      </c>
      <c r="O835" s="4270"/>
      <c r="P835" s="4271"/>
      <c r="Q835" s="4271"/>
      <c r="R835" s="4271"/>
      <c r="S835" s="4271"/>
      <c r="T835" s="4271"/>
      <c r="U835" s="4271"/>
      <c r="V835" s="4272"/>
      <c r="W835" s="12">
        <f t="shared" si="57"/>
        <v>1</v>
      </c>
      <c r="X835" s="12">
        <f t="shared" si="56"/>
        <v>1</v>
      </c>
      <c r="Y835" s="12">
        <f t="shared" si="55"/>
        <v>1</v>
      </c>
    </row>
    <row r="836" spans="4:25" ht="15.7">
      <c r="D836" s="4267" t="str">
        <f>T('2 REPAIR ESTIMATOR'!D726:O726)</f>
        <v>Wood  base</v>
      </c>
      <c r="E836" s="4268"/>
      <c r="F836" s="4268"/>
      <c r="G836" s="4268"/>
      <c r="H836" s="4268"/>
      <c r="I836" s="4268"/>
      <c r="J836" s="4268"/>
      <c r="K836" s="4268"/>
      <c r="L836" s="4269">
        <f>'2 REPAIR ESTIMATOR'!P726</f>
        <v>0</v>
      </c>
      <c r="M836" s="4269"/>
      <c r="N836" s="4270" t="str">
        <f>T('2 REPAIR ESTIMATOR'!S726)</f>
        <v>lf</v>
      </c>
      <c r="O836" s="4270"/>
      <c r="P836" s="4271"/>
      <c r="Q836" s="4271"/>
      <c r="R836" s="4271"/>
      <c r="S836" s="4271"/>
      <c r="T836" s="4271"/>
      <c r="U836" s="4271"/>
      <c r="V836" s="4272"/>
      <c r="W836" s="12">
        <f t="shared" si="57"/>
        <v>1</v>
      </c>
      <c r="X836" s="12">
        <f t="shared" si="56"/>
        <v>1</v>
      </c>
      <c r="Y836" s="12">
        <f t="shared" si="55"/>
        <v>1</v>
      </c>
    </row>
    <row r="837" spans="4:25" ht="15.7">
      <c r="D837" s="4267" t="str">
        <f>T('2 REPAIR ESTIMATOR'!D727:O727)</f>
        <v>Crown molding</v>
      </c>
      <c r="E837" s="4268"/>
      <c r="F837" s="4268"/>
      <c r="G837" s="4268"/>
      <c r="H837" s="4268"/>
      <c r="I837" s="4268"/>
      <c r="J837" s="4268"/>
      <c r="K837" s="4268"/>
      <c r="L837" s="4269">
        <f>'2 REPAIR ESTIMATOR'!P727</f>
        <v>0</v>
      </c>
      <c r="M837" s="4269"/>
      <c r="N837" s="4270" t="str">
        <f>T('2 REPAIR ESTIMATOR'!S727)</f>
        <v>lf</v>
      </c>
      <c r="O837" s="4270"/>
      <c r="P837" s="4271"/>
      <c r="Q837" s="4271"/>
      <c r="R837" s="4271"/>
      <c r="S837" s="4271"/>
      <c r="T837" s="4271"/>
      <c r="U837" s="4271"/>
      <c r="V837" s="4272"/>
      <c r="W837" s="12">
        <f t="shared" si="57"/>
        <v>1</v>
      </c>
      <c r="X837" s="12">
        <f t="shared" si="56"/>
        <v>1</v>
      </c>
      <c r="Y837" s="12">
        <f t="shared" si="55"/>
        <v>1</v>
      </c>
    </row>
    <row r="838" spans="4:25" ht="15.7">
      <c r="D838" s="4267" t="str">
        <f>T('2 REPAIR ESTIMATOR'!D728:O728)</f>
        <v>Raised panel wood wainscoting</v>
      </c>
      <c r="E838" s="4268"/>
      <c r="F838" s="4268"/>
      <c r="G838" s="4268"/>
      <c r="H838" s="4268"/>
      <c r="I838" s="4268"/>
      <c r="J838" s="4268"/>
      <c r="K838" s="4268"/>
      <c r="L838" s="4269">
        <f>'2 REPAIR ESTIMATOR'!P728</f>
        <v>0</v>
      </c>
      <c r="M838" s="4269"/>
      <c r="N838" s="4270" t="str">
        <f>T('2 REPAIR ESTIMATOR'!S728)</f>
        <v>lf</v>
      </c>
      <c r="O838" s="4270"/>
      <c r="P838" s="4271"/>
      <c r="Q838" s="4271"/>
      <c r="R838" s="4271"/>
      <c r="S838" s="4271"/>
      <c r="T838" s="4271"/>
      <c r="U838" s="4271"/>
      <c r="V838" s="4272"/>
      <c r="W838" s="12">
        <f t="shared" si="57"/>
        <v>1</v>
      </c>
      <c r="X838" s="12">
        <f t="shared" si="56"/>
        <v>1</v>
      </c>
      <c r="Y838" s="12">
        <f t="shared" si="55"/>
        <v>1</v>
      </c>
    </row>
    <row r="839" spans="4:25" ht="15.7">
      <c r="D839" s="4267" t="str">
        <f>T('2 REPAIR ESTIMATOR'!D729:O729)</f>
        <v>Bead board wainscoting</v>
      </c>
      <c r="E839" s="4268"/>
      <c r="F839" s="4268"/>
      <c r="G839" s="4268"/>
      <c r="H839" s="4268"/>
      <c r="I839" s="4268"/>
      <c r="J839" s="4268"/>
      <c r="K839" s="4268"/>
      <c r="L839" s="4269">
        <f>'2 REPAIR ESTIMATOR'!P729</f>
        <v>0</v>
      </c>
      <c r="M839" s="4269"/>
      <c r="N839" s="4270" t="str">
        <f>T('2 REPAIR ESTIMATOR'!S729)</f>
        <v>lf</v>
      </c>
      <c r="O839" s="4270"/>
      <c r="P839" s="4271"/>
      <c r="Q839" s="4271"/>
      <c r="R839" s="4271"/>
      <c r="S839" s="4271"/>
      <c r="T839" s="4271"/>
      <c r="U839" s="4271"/>
      <c r="V839" s="4272"/>
      <c r="W839" s="12">
        <f t="shared" si="57"/>
        <v>1</v>
      </c>
      <c r="X839" s="12">
        <f t="shared" si="56"/>
        <v>1</v>
      </c>
      <c r="Y839" s="12">
        <f t="shared" si="55"/>
        <v>1</v>
      </c>
    </row>
    <row r="840" spans="4:25" ht="15.7">
      <c r="D840" s="4267" t="str">
        <f>T('2 REPAIR ESTIMATOR'!D730:O730)</f>
        <v>Fireplace mantel</v>
      </c>
      <c r="E840" s="4268"/>
      <c r="F840" s="4268"/>
      <c r="G840" s="4268"/>
      <c r="H840" s="4268"/>
      <c r="I840" s="4268"/>
      <c r="J840" s="4268"/>
      <c r="K840" s="4268"/>
      <c r="L840" s="4269">
        <f>'2 REPAIR ESTIMATOR'!P730</f>
        <v>0</v>
      </c>
      <c r="M840" s="4269"/>
      <c r="N840" s="4270" t="str">
        <f>T('2 REPAIR ESTIMATOR'!S730)</f>
        <v>ea</v>
      </c>
      <c r="O840" s="4270"/>
      <c r="P840" s="4271"/>
      <c r="Q840" s="4271"/>
      <c r="R840" s="4271"/>
      <c r="S840" s="4271"/>
      <c r="T840" s="4271"/>
      <c r="U840" s="4271"/>
      <c r="V840" s="4272"/>
      <c r="W840" s="12">
        <f t="shared" si="57"/>
        <v>1</v>
      </c>
      <c r="X840" s="12">
        <f t="shared" si="56"/>
        <v>1</v>
      </c>
      <c r="Y840" s="12">
        <f t="shared" si="55"/>
        <v>1</v>
      </c>
    </row>
    <row r="841" spans="4:25" ht="15.7">
      <c r="D841" s="4267" t="str">
        <f>T('2 REPAIR ESTIMATOR'!D731:O731)</f>
        <v>Wood columns</v>
      </c>
      <c r="E841" s="4268"/>
      <c r="F841" s="4268"/>
      <c r="G841" s="4268"/>
      <c r="H841" s="4268"/>
      <c r="I841" s="4268"/>
      <c r="J841" s="4268"/>
      <c r="K841" s="4268"/>
      <c r="L841" s="4269">
        <f>'2 REPAIR ESTIMATOR'!P731</f>
        <v>0</v>
      </c>
      <c r="M841" s="4269"/>
      <c r="N841" s="4270" t="str">
        <f>T('2 REPAIR ESTIMATOR'!S731)</f>
        <v>ea</v>
      </c>
      <c r="O841" s="4270"/>
      <c r="P841" s="4271"/>
      <c r="Q841" s="4271"/>
      <c r="R841" s="4271"/>
      <c r="S841" s="4271"/>
      <c r="T841" s="4271"/>
      <c r="U841" s="4271"/>
      <c r="V841" s="4272"/>
      <c r="W841" s="12">
        <f t="shared" si="57"/>
        <v>1</v>
      </c>
      <c r="X841" s="12">
        <f t="shared" si="56"/>
        <v>1</v>
      </c>
      <c r="Y841" s="12">
        <f t="shared" si="55"/>
        <v>1</v>
      </c>
    </row>
    <row r="842" spans="4:25" ht="15.7">
      <c r="D842" s="4267" t="str">
        <f>T('2 REPAIR ESTIMATOR'!D732:O732)</f>
        <v>Closet shelf and rod</v>
      </c>
      <c r="E842" s="4268"/>
      <c r="F842" s="4268"/>
      <c r="G842" s="4268"/>
      <c r="H842" s="4268"/>
      <c r="I842" s="4268"/>
      <c r="J842" s="4268"/>
      <c r="K842" s="4268"/>
      <c r="L842" s="4269">
        <f>'2 REPAIR ESTIMATOR'!P732</f>
        <v>0</v>
      </c>
      <c r="M842" s="4269"/>
      <c r="N842" s="4270" t="str">
        <f>T('2 REPAIR ESTIMATOR'!S732)</f>
        <v>lf</v>
      </c>
      <c r="O842" s="4270"/>
      <c r="P842" s="4271"/>
      <c r="Q842" s="4271"/>
      <c r="R842" s="4271"/>
      <c r="S842" s="4271"/>
      <c r="T842" s="4271"/>
      <c r="U842" s="4271"/>
      <c r="V842" s="4272"/>
      <c r="W842" s="12">
        <f t="shared" si="57"/>
        <v>1</v>
      </c>
      <c r="X842" s="12">
        <f t="shared" si="56"/>
        <v>1</v>
      </c>
      <c r="Y842" s="12">
        <f t="shared" si="55"/>
        <v>1</v>
      </c>
    </row>
    <row r="843" spans="4:25" ht="15.7">
      <c r="D843" s="4267" t="str">
        <f>T('2 REPAIR ESTIMATOR'!D733:O733)</f>
        <v>Closet kit, 8ft long</v>
      </c>
      <c r="E843" s="4268"/>
      <c r="F843" s="4268"/>
      <c r="G843" s="4268"/>
      <c r="H843" s="4268"/>
      <c r="I843" s="4268"/>
      <c r="J843" s="4268"/>
      <c r="K843" s="4268"/>
      <c r="L843" s="4269">
        <f>'2 REPAIR ESTIMATOR'!P733</f>
        <v>0</v>
      </c>
      <c r="M843" s="4269"/>
      <c r="N843" s="4270" t="str">
        <f>T('2 REPAIR ESTIMATOR'!S733)</f>
        <v>lf</v>
      </c>
      <c r="O843" s="4270"/>
      <c r="P843" s="4271"/>
      <c r="Q843" s="4271"/>
      <c r="R843" s="4271"/>
      <c r="S843" s="4271"/>
      <c r="T843" s="4271"/>
      <c r="U843" s="4271"/>
      <c r="V843" s="4272"/>
      <c r="W843" s="12">
        <f t="shared" si="57"/>
        <v>1</v>
      </c>
      <c r="X843" s="12">
        <f t="shared" si="56"/>
        <v>1</v>
      </c>
      <c r="Y843" s="12">
        <f t="shared" si="55"/>
        <v>1</v>
      </c>
    </row>
    <row r="844" spans="4:25" ht="15.7">
      <c r="D844" s="4267" t="str">
        <f>T('2 REPAIR ESTIMATOR'!D734:O734)</f>
        <v>Wood handrail - rail only</v>
      </c>
      <c r="E844" s="4268"/>
      <c r="F844" s="4268"/>
      <c r="G844" s="4268"/>
      <c r="H844" s="4268"/>
      <c r="I844" s="4268"/>
      <c r="J844" s="4268"/>
      <c r="K844" s="4268"/>
      <c r="L844" s="4269">
        <f>'2 REPAIR ESTIMATOR'!P734</f>
        <v>0</v>
      </c>
      <c r="M844" s="4269"/>
      <c r="N844" s="4270" t="str">
        <f>T('2 REPAIR ESTIMATOR'!S734)</f>
        <v>lf</v>
      </c>
      <c r="O844" s="4270"/>
      <c r="P844" s="4271"/>
      <c r="Q844" s="4271"/>
      <c r="R844" s="4271"/>
      <c r="S844" s="4271"/>
      <c r="T844" s="4271"/>
      <c r="U844" s="4271"/>
      <c r="V844" s="4272"/>
      <c r="W844" s="12">
        <f t="shared" si="57"/>
        <v>1</v>
      </c>
      <c r="X844" s="12">
        <f t="shared" si="56"/>
        <v>1</v>
      </c>
      <c r="Y844" s="12">
        <f t="shared" si="55"/>
        <v>1</v>
      </c>
    </row>
    <row r="845" spans="4:25" ht="15.7">
      <c r="D845" s="4267" t="str">
        <f>T('2 REPAIR ESTIMATOR'!D735:O735)</f>
        <v>Wood balusters</v>
      </c>
      <c r="E845" s="4268"/>
      <c r="F845" s="4268"/>
      <c r="G845" s="4268"/>
      <c r="H845" s="4268"/>
      <c r="I845" s="4268"/>
      <c r="J845" s="4268"/>
      <c r="K845" s="4268"/>
      <c r="L845" s="4269">
        <f>'2 REPAIR ESTIMATOR'!P735</f>
        <v>0</v>
      </c>
      <c r="M845" s="4269"/>
      <c r="N845" s="4270" t="str">
        <f>T('2 REPAIR ESTIMATOR'!S735)</f>
        <v>lf</v>
      </c>
      <c r="O845" s="4270"/>
      <c r="P845" s="4271"/>
      <c r="Q845" s="4271"/>
      <c r="R845" s="4271"/>
      <c r="S845" s="4271"/>
      <c r="T845" s="4271"/>
      <c r="U845" s="4271"/>
      <c r="V845" s="4272"/>
      <c r="W845" s="12">
        <f t="shared" si="57"/>
        <v>1</v>
      </c>
      <c r="X845" s="12">
        <f t="shared" si="56"/>
        <v>1</v>
      </c>
      <c r="Y845" s="12">
        <f t="shared" si="55"/>
        <v>1</v>
      </c>
    </row>
    <row r="846" spans="4:25" ht="15.7">
      <c r="D846" s="4267" t="str">
        <f>T('2 REPAIR ESTIMATOR'!D736:O736)</f>
        <v>Iron balusters</v>
      </c>
      <c r="E846" s="4268"/>
      <c r="F846" s="4268"/>
      <c r="G846" s="4268"/>
      <c r="H846" s="4268"/>
      <c r="I846" s="4268"/>
      <c r="J846" s="4268"/>
      <c r="K846" s="4268"/>
      <c r="L846" s="4269">
        <f>'2 REPAIR ESTIMATOR'!P736</f>
        <v>0</v>
      </c>
      <c r="M846" s="4269"/>
      <c r="N846" s="4270" t="str">
        <f>T('2 REPAIR ESTIMATOR'!S736)</f>
        <v>lf</v>
      </c>
      <c r="O846" s="4270"/>
      <c r="P846" s="4271"/>
      <c r="Q846" s="4271"/>
      <c r="R846" s="4271"/>
      <c r="S846" s="4271"/>
      <c r="T846" s="4271"/>
      <c r="U846" s="4271"/>
      <c r="V846" s="4272"/>
      <c r="W846" s="12">
        <f t="shared" si="57"/>
        <v>1</v>
      </c>
      <c r="X846" s="12">
        <f t="shared" si="56"/>
        <v>1</v>
      </c>
      <c r="Y846" s="12">
        <f t="shared" si="55"/>
        <v>1</v>
      </c>
    </row>
    <row r="847" spans="4:25" ht="15.7">
      <c r="D847" s="4267" t="str">
        <f>T('2 REPAIR ESTIMATOR'!D737:O737)</f>
        <v/>
      </c>
      <c r="E847" s="4268"/>
      <c r="F847" s="4268"/>
      <c r="G847" s="4268"/>
      <c r="H847" s="4268"/>
      <c r="I847" s="4268"/>
      <c r="J847" s="4268"/>
      <c r="K847" s="4268"/>
      <c r="L847" s="4269">
        <f>'2 REPAIR ESTIMATOR'!P737</f>
        <v>0</v>
      </c>
      <c r="M847" s="4269"/>
      <c r="N847" s="4270" t="str">
        <f>T('2 REPAIR ESTIMATOR'!S737)</f>
        <v/>
      </c>
      <c r="O847" s="4270"/>
      <c r="P847" s="4271"/>
      <c r="Q847" s="4271"/>
      <c r="R847" s="4271"/>
      <c r="S847" s="4271"/>
      <c r="T847" s="4271"/>
      <c r="U847" s="4271"/>
      <c r="V847" s="4272"/>
      <c r="W847" s="12">
        <f t="shared" si="57"/>
        <v>1</v>
      </c>
      <c r="X847" s="12">
        <f t="shared" si="56"/>
        <v>1</v>
      </c>
      <c r="Y847" s="12">
        <f t="shared" si="55"/>
        <v>1</v>
      </c>
    </row>
    <row r="848" spans="4:25" ht="15.7">
      <c r="D848" s="4267" t="str">
        <f>T('2 REPAIR ESTIMATOR'!D738:O738)</f>
        <v/>
      </c>
      <c r="E848" s="4268"/>
      <c r="F848" s="4268"/>
      <c r="G848" s="4268"/>
      <c r="H848" s="4268"/>
      <c r="I848" s="4268"/>
      <c r="J848" s="4268"/>
      <c r="K848" s="4268"/>
      <c r="L848" s="4269">
        <f>'2 REPAIR ESTIMATOR'!P738</f>
        <v>0</v>
      </c>
      <c r="M848" s="4269"/>
      <c r="N848" s="4270" t="str">
        <f>T('2 REPAIR ESTIMATOR'!S738)</f>
        <v/>
      </c>
      <c r="O848" s="4270"/>
      <c r="P848" s="4271"/>
      <c r="Q848" s="4271"/>
      <c r="R848" s="4271"/>
      <c r="S848" s="4271"/>
      <c r="T848" s="4271"/>
      <c r="U848" s="4271"/>
      <c r="V848" s="4272"/>
      <c r="W848" s="12">
        <f t="shared" si="57"/>
        <v>1</v>
      </c>
      <c r="X848" s="12">
        <f t="shared" si="56"/>
        <v>1</v>
      </c>
      <c r="Y848" s="12">
        <f t="shared" si="55"/>
        <v>1</v>
      </c>
    </row>
    <row r="849" spans="4:25" ht="15.7">
      <c r="D849" s="4267" t="str">
        <f>T('2 REPAIR ESTIMATOR'!D739:O739)</f>
        <v/>
      </c>
      <c r="E849" s="4268"/>
      <c r="F849" s="4268"/>
      <c r="G849" s="4268"/>
      <c r="H849" s="4268"/>
      <c r="I849" s="4268"/>
      <c r="J849" s="4268"/>
      <c r="K849" s="4268"/>
      <c r="L849" s="4269">
        <f>'2 REPAIR ESTIMATOR'!P739</f>
        <v>0</v>
      </c>
      <c r="M849" s="4269"/>
      <c r="N849" s="4270" t="str">
        <f>T('2 REPAIR ESTIMATOR'!S739)</f>
        <v/>
      </c>
      <c r="O849" s="4270"/>
      <c r="P849" s="4271"/>
      <c r="Q849" s="4271"/>
      <c r="R849" s="4271"/>
      <c r="S849" s="4271"/>
      <c r="T849" s="4271"/>
      <c r="U849" s="4271"/>
      <c r="V849" s="4272"/>
      <c r="W849" s="12">
        <f t="shared" si="57"/>
        <v>1</v>
      </c>
      <c r="X849" s="12">
        <f t="shared" si="56"/>
        <v>1</v>
      </c>
      <c r="Y849" s="12">
        <f t="shared" si="55"/>
        <v>1</v>
      </c>
    </row>
    <row r="850" spans="4:25" ht="15.7">
      <c r="D850" s="4267" t="str">
        <f>T('2 REPAIR ESTIMATOR'!D740:O740)</f>
        <v/>
      </c>
      <c r="E850" s="4268"/>
      <c r="F850" s="4268"/>
      <c r="G850" s="4268"/>
      <c r="H850" s="4268"/>
      <c r="I850" s="4268"/>
      <c r="J850" s="4268"/>
      <c r="K850" s="4268"/>
      <c r="L850" s="4269">
        <f>'2 REPAIR ESTIMATOR'!P740</f>
        <v>0</v>
      </c>
      <c r="M850" s="4269"/>
      <c r="N850" s="4270" t="str">
        <f>T('2 REPAIR ESTIMATOR'!S740)</f>
        <v/>
      </c>
      <c r="O850" s="4270"/>
      <c r="P850" s="4271"/>
      <c r="Q850" s="4271"/>
      <c r="R850" s="4271"/>
      <c r="S850" s="4271"/>
      <c r="T850" s="4271"/>
      <c r="U850" s="4271"/>
      <c r="V850" s="4272"/>
      <c r="W850" s="12">
        <f t="shared" si="57"/>
        <v>1</v>
      </c>
      <c r="X850" s="12">
        <f t="shared" si="56"/>
        <v>1</v>
      </c>
      <c r="Y850" s="12">
        <f t="shared" si="55"/>
        <v>1</v>
      </c>
    </row>
    <row r="851" spans="4:25" ht="15.7">
      <c r="D851" s="4267" t="str">
        <f>T('2 REPAIR ESTIMATOR'!D741:O741)</f>
        <v/>
      </c>
      <c r="E851" s="4268"/>
      <c r="F851" s="4268"/>
      <c r="G851" s="4268"/>
      <c r="H851" s="4268"/>
      <c r="I851" s="4268"/>
      <c r="J851" s="4268"/>
      <c r="K851" s="4268"/>
      <c r="L851" s="4269">
        <f>'2 REPAIR ESTIMATOR'!P741</f>
        <v>0</v>
      </c>
      <c r="M851" s="4269"/>
      <c r="N851" s="4270" t="str">
        <f>T('2 REPAIR ESTIMATOR'!S741)</f>
        <v/>
      </c>
      <c r="O851" s="4270"/>
      <c r="P851" s="4271"/>
      <c r="Q851" s="4271"/>
      <c r="R851" s="4271"/>
      <c r="S851" s="4271"/>
      <c r="T851" s="4271"/>
      <c r="U851" s="4271"/>
      <c r="V851" s="4272"/>
      <c r="W851" s="12">
        <f t="shared" si="57"/>
        <v>1</v>
      </c>
      <c r="X851" s="12">
        <f t="shared" si="56"/>
        <v>1</v>
      </c>
      <c r="Y851" s="12">
        <f t="shared" si="55"/>
        <v>1</v>
      </c>
    </row>
    <row r="852" spans="4:25" ht="15.7">
      <c r="D852" s="4267" t="str">
        <f>T('2 REPAIR ESTIMATOR'!D742:O742)</f>
        <v/>
      </c>
      <c r="E852" s="4268"/>
      <c r="F852" s="4268"/>
      <c r="G852" s="4268"/>
      <c r="H852" s="4268"/>
      <c r="I852" s="4268"/>
      <c r="J852" s="4268"/>
      <c r="K852" s="4268"/>
      <c r="L852" s="4269">
        <f>'2 REPAIR ESTIMATOR'!P742</f>
        <v>0</v>
      </c>
      <c r="M852" s="4269"/>
      <c r="N852" s="4270" t="str">
        <f>T('2 REPAIR ESTIMATOR'!S742)</f>
        <v/>
      </c>
      <c r="O852" s="4270"/>
      <c r="P852" s="4271"/>
      <c r="Q852" s="4271"/>
      <c r="R852" s="4271"/>
      <c r="S852" s="4271"/>
      <c r="T852" s="4271"/>
      <c r="U852" s="4271"/>
      <c r="V852" s="4272"/>
      <c r="W852" s="12">
        <f t="shared" si="57"/>
        <v>1</v>
      </c>
      <c r="X852" s="12">
        <f t="shared" si="56"/>
        <v>1</v>
      </c>
      <c r="Y852" s="12">
        <f t="shared" si="55"/>
        <v>1</v>
      </c>
    </row>
    <row r="853" spans="4:25" ht="15.7">
      <c r="D853" s="4267" t="str">
        <f>T('2 REPAIR ESTIMATOR'!D743:O743)</f>
        <v/>
      </c>
      <c r="E853" s="4268"/>
      <c r="F853" s="4268"/>
      <c r="G853" s="4268"/>
      <c r="H853" s="4268"/>
      <c r="I853" s="4268"/>
      <c r="J853" s="4268"/>
      <c r="K853" s="4268"/>
      <c r="L853" s="4269">
        <f>'2 REPAIR ESTIMATOR'!P743</f>
        <v>0</v>
      </c>
      <c r="M853" s="4269"/>
      <c r="N853" s="4270" t="str">
        <f>T('2 REPAIR ESTIMATOR'!S743)</f>
        <v/>
      </c>
      <c r="O853" s="4270"/>
      <c r="P853" s="4271"/>
      <c r="Q853" s="4271"/>
      <c r="R853" s="4271"/>
      <c r="S853" s="4271"/>
      <c r="T853" s="4271"/>
      <c r="U853" s="4271"/>
      <c r="V853" s="4272"/>
      <c r="W853" s="12">
        <f t="shared" si="57"/>
        <v>1</v>
      </c>
      <c r="X853" s="12">
        <f t="shared" si="56"/>
        <v>1</v>
      </c>
      <c r="Y853" s="12">
        <f t="shared" si="55"/>
        <v>1</v>
      </c>
    </row>
    <row r="854" spans="4:25" ht="15.7">
      <c r="D854" s="4267" t="str">
        <f>T('2 REPAIR ESTIMATOR'!D744:O744)</f>
        <v/>
      </c>
      <c r="E854" s="4268"/>
      <c r="F854" s="4268"/>
      <c r="G854" s="4268"/>
      <c r="H854" s="4268"/>
      <c r="I854" s="4268"/>
      <c r="J854" s="4268"/>
      <c r="K854" s="4268"/>
      <c r="L854" s="4269">
        <f>'2 REPAIR ESTIMATOR'!P744</f>
        <v>0</v>
      </c>
      <c r="M854" s="4269"/>
      <c r="N854" s="4270" t="str">
        <f>T('2 REPAIR ESTIMATOR'!S744)</f>
        <v/>
      </c>
      <c r="O854" s="4270"/>
      <c r="P854" s="4271"/>
      <c r="Q854" s="4271"/>
      <c r="R854" s="4271"/>
      <c r="S854" s="4271"/>
      <c r="T854" s="4271"/>
      <c r="U854" s="4271"/>
      <c r="V854" s="4272"/>
      <c r="W854" s="12">
        <f t="shared" si="57"/>
        <v>1</v>
      </c>
      <c r="X854" s="12">
        <f t="shared" si="56"/>
        <v>1</v>
      </c>
      <c r="Y854" s="12">
        <f t="shared" si="55"/>
        <v>1</v>
      </c>
    </row>
    <row r="855" spans="4:25" ht="15.7">
      <c r="D855" s="4267" t="str">
        <f>T('2 REPAIR ESTIMATOR'!D745:O745)</f>
        <v/>
      </c>
      <c r="E855" s="4268"/>
      <c r="F855" s="4268"/>
      <c r="G855" s="4268"/>
      <c r="H855" s="4268"/>
      <c r="I855" s="4268"/>
      <c r="J855" s="4268"/>
      <c r="K855" s="4268"/>
      <c r="L855" s="4269">
        <f>'2 REPAIR ESTIMATOR'!P745</f>
        <v>0</v>
      </c>
      <c r="M855" s="4269"/>
      <c r="N855" s="4270" t="str">
        <f>T('2 REPAIR ESTIMATOR'!S745)</f>
        <v/>
      </c>
      <c r="O855" s="4270"/>
      <c r="P855" s="4271"/>
      <c r="Q855" s="4271"/>
      <c r="R855" s="4271"/>
      <c r="S855" s="4271"/>
      <c r="T855" s="4271"/>
      <c r="U855" s="4271"/>
      <c r="V855" s="4272"/>
      <c r="W855" s="12">
        <f t="shared" si="57"/>
        <v>1</v>
      </c>
      <c r="X855" s="12">
        <f t="shared" si="56"/>
        <v>1</v>
      </c>
      <c r="Y855" s="12">
        <f t="shared" si="55"/>
        <v>1</v>
      </c>
    </row>
    <row r="856" spans="4:25" ht="15.7">
      <c r="D856" s="4267" t="str">
        <f>T('2 REPAIR ESTIMATOR'!D746:O746)</f>
        <v/>
      </c>
      <c r="E856" s="4268"/>
      <c r="F856" s="4268"/>
      <c r="G856" s="4268"/>
      <c r="H856" s="4268"/>
      <c r="I856" s="4268"/>
      <c r="J856" s="4268"/>
      <c r="K856" s="4268"/>
      <c r="L856" s="4269">
        <f>'2 REPAIR ESTIMATOR'!P746</f>
        <v>0</v>
      </c>
      <c r="M856" s="4269"/>
      <c r="N856" s="4270" t="str">
        <f>T('2 REPAIR ESTIMATOR'!S746)</f>
        <v/>
      </c>
      <c r="O856" s="4270"/>
      <c r="P856" s="4271"/>
      <c r="Q856" s="4271"/>
      <c r="R856" s="4271"/>
      <c r="S856" s="4271"/>
      <c r="T856" s="4271"/>
      <c r="U856" s="4271"/>
      <c r="V856" s="4272"/>
      <c r="W856" s="12">
        <f t="shared" si="57"/>
        <v>1</v>
      </c>
      <c r="X856" s="12">
        <f t="shared" si="56"/>
        <v>1</v>
      </c>
      <c r="Y856" s="12">
        <f t="shared" si="55"/>
        <v>1</v>
      </c>
    </row>
    <row r="857" spans="4:25" ht="15.7">
      <c r="D857" s="4267" t="str">
        <f>T('2 REPAIR ESTIMATOR'!D747:O747)</f>
        <v/>
      </c>
      <c r="E857" s="4268"/>
      <c r="F857" s="4268"/>
      <c r="G857" s="4268"/>
      <c r="H857" s="4268"/>
      <c r="I857" s="4268"/>
      <c r="J857" s="4268"/>
      <c r="K857" s="4268"/>
      <c r="L857" s="4269">
        <f>'2 REPAIR ESTIMATOR'!P747</f>
        <v>0</v>
      </c>
      <c r="M857" s="4269"/>
      <c r="N857" s="4270" t="str">
        <f>T('2 REPAIR ESTIMATOR'!S747)</f>
        <v/>
      </c>
      <c r="O857" s="4270"/>
      <c r="P857" s="4271"/>
      <c r="Q857" s="4271"/>
      <c r="R857" s="4271"/>
      <c r="S857" s="4271"/>
      <c r="T857" s="4271"/>
      <c r="U857" s="4271"/>
      <c r="V857" s="4272"/>
      <c r="W857" s="12">
        <f t="shared" si="57"/>
        <v>1</v>
      </c>
      <c r="X857" s="12">
        <f t="shared" si="56"/>
        <v>1</v>
      </c>
      <c r="Y857" s="12">
        <f t="shared" si="55"/>
        <v>1</v>
      </c>
    </row>
    <row r="858" spans="4:25" ht="15.7">
      <c r="D858" s="4267" t="str">
        <f>T('2 REPAIR ESTIMATOR'!D748:O748)</f>
        <v/>
      </c>
      <c r="E858" s="4268"/>
      <c r="F858" s="4268"/>
      <c r="G858" s="4268"/>
      <c r="H858" s="4268"/>
      <c r="I858" s="4268"/>
      <c r="J858" s="4268"/>
      <c r="K858" s="4268"/>
      <c r="L858" s="4269">
        <f>'2 REPAIR ESTIMATOR'!P748</f>
        <v>0</v>
      </c>
      <c r="M858" s="4269"/>
      <c r="N858" s="4270" t="str">
        <f>T('2 REPAIR ESTIMATOR'!S748)</f>
        <v/>
      </c>
      <c r="O858" s="4270"/>
      <c r="P858" s="4271"/>
      <c r="Q858" s="4271"/>
      <c r="R858" s="4271"/>
      <c r="S858" s="4271"/>
      <c r="T858" s="4271"/>
      <c r="U858" s="4271"/>
      <c r="V858" s="4272"/>
      <c r="W858" s="12">
        <f t="shared" si="57"/>
        <v>1</v>
      </c>
      <c r="X858" s="12">
        <f t="shared" si="56"/>
        <v>1</v>
      </c>
      <c r="Y858" s="12">
        <f t="shared" si="55"/>
        <v>1</v>
      </c>
    </row>
    <row r="859" spans="4:25" ht="15.7">
      <c r="D859" s="4267" t="str">
        <f>T('2 REPAIR ESTIMATOR'!D749:O749)</f>
        <v/>
      </c>
      <c r="E859" s="4268"/>
      <c r="F859" s="4268"/>
      <c r="G859" s="4268"/>
      <c r="H859" s="4268"/>
      <c r="I859" s="4268"/>
      <c r="J859" s="4268"/>
      <c r="K859" s="4268"/>
      <c r="L859" s="4269">
        <f>'2 REPAIR ESTIMATOR'!P749</f>
        <v>0</v>
      </c>
      <c r="M859" s="4269"/>
      <c r="N859" s="4270" t="str">
        <f>T('2 REPAIR ESTIMATOR'!S749)</f>
        <v/>
      </c>
      <c r="O859" s="4270"/>
      <c r="P859" s="4271"/>
      <c r="Q859" s="4271"/>
      <c r="R859" s="4271"/>
      <c r="S859" s="4271"/>
      <c r="T859" s="4271"/>
      <c r="U859" s="4271"/>
      <c r="V859" s="4272"/>
      <c r="W859" s="12">
        <f t="shared" si="57"/>
        <v>1</v>
      </c>
      <c r="X859" s="12">
        <f t="shared" ref="X859:X882" si="58">IF(Scope15_Setting="Shown",1,0)</f>
        <v>1</v>
      </c>
      <c r="Y859" s="12">
        <f t="shared" si="55"/>
        <v>1</v>
      </c>
    </row>
    <row r="860" spans="4:25" ht="15.7">
      <c r="D860" s="4267" t="str">
        <f>T('2 REPAIR ESTIMATOR'!D750:O750)</f>
        <v/>
      </c>
      <c r="E860" s="4268"/>
      <c r="F860" s="4268"/>
      <c r="G860" s="4268"/>
      <c r="H860" s="4268"/>
      <c r="I860" s="4268"/>
      <c r="J860" s="4268"/>
      <c r="K860" s="4268"/>
      <c r="L860" s="4269">
        <f>'2 REPAIR ESTIMATOR'!P750</f>
        <v>0</v>
      </c>
      <c r="M860" s="4269"/>
      <c r="N860" s="4270" t="str">
        <f>T('2 REPAIR ESTIMATOR'!S750)</f>
        <v/>
      </c>
      <c r="O860" s="4270"/>
      <c r="P860" s="4271"/>
      <c r="Q860" s="4271"/>
      <c r="R860" s="4271"/>
      <c r="S860" s="4271"/>
      <c r="T860" s="4271"/>
      <c r="U860" s="4271"/>
      <c r="V860" s="4272"/>
      <c r="W860" s="12">
        <f t="shared" si="57"/>
        <v>1</v>
      </c>
      <c r="X860" s="12">
        <f t="shared" si="58"/>
        <v>1</v>
      </c>
      <c r="Y860" s="12">
        <f t="shared" si="55"/>
        <v>1</v>
      </c>
    </row>
    <row r="861" spans="4:25" ht="15.7">
      <c r="D861" s="4267" t="str">
        <f>T('2 REPAIR ESTIMATOR'!D751:O751)</f>
        <v/>
      </c>
      <c r="E861" s="4268"/>
      <c r="F861" s="4268"/>
      <c r="G861" s="4268"/>
      <c r="H861" s="4268"/>
      <c r="I861" s="4268"/>
      <c r="J861" s="4268"/>
      <c r="K861" s="4268"/>
      <c r="L861" s="4269">
        <f>'2 REPAIR ESTIMATOR'!P751</f>
        <v>0</v>
      </c>
      <c r="M861" s="4269"/>
      <c r="N861" s="4270" t="str">
        <f>T('2 REPAIR ESTIMATOR'!S751)</f>
        <v/>
      </c>
      <c r="O861" s="4270"/>
      <c r="P861" s="4271"/>
      <c r="Q861" s="4271"/>
      <c r="R861" s="4271"/>
      <c r="S861" s="4271"/>
      <c r="T861" s="4271"/>
      <c r="U861" s="4271"/>
      <c r="V861" s="4272"/>
      <c r="W861" s="12">
        <f t="shared" si="57"/>
        <v>1</v>
      </c>
      <c r="X861" s="12">
        <f t="shared" si="58"/>
        <v>1</v>
      </c>
      <c r="Y861" s="12">
        <f t="shared" si="55"/>
        <v>1</v>
      </c>
    </row>
    <row r="862" spans="4:25" ht="15.7">
      <c r="D862" s="4267" t="str">
        <f>T('2 REPAIR ESTIMATOR'!D752:O752)</f>
        <v/>
      </c>
      <c r="E862" s="4268"/>
      <c r="F862" s="4268"/>
      <c r="G862" s="4268"/>
      <c r="H862" s="4268"/>
      <c r="I862" s="4268"/>
      <c r="J862" s="4268"/>
      <c r="K862" s="4268"/>
      <c r="L862" s="4269">
        <f>'2 REPAIR ESTIMATOR'!P752</f>
        <v>0</v>
      </c>
      <c r="M862" s="4269"/>
      <c r="N862" s="4270" t="str">
        <f>T('2 REPAIR ESTIMATOR'!S752)</f>
        <v/>
      </c>
      <c r="O862" s="4270"/>
      <c r="P862" s="4271"/>
      <c r="Q862" s="4271"/>
      <c r="R862" s="4271"/>
      <c r="S862" s="4271"/>
      <c r="T862" s="4271"/>
      <c r="U862" s="4271"/>
      <c r="V862" s="4272"/>
      <c r="W862" s="12">
        <f t="shared" si="57"/>
        <v>1</v>
      </c>
      <c r="X862" s="12">
        <f t="shared" si="58"/>
        <v>1</v>
      </c>
      <c r="Y862" s="12">
        <f t="shared" si="55"/>
        <v>1</v>
      </c>
    </row>
    <row r="863" spans="4:25" ht="15.7">
      <c r="D863" s="4267" t="str">
        <f>T('2 REPAIR ESTIMATOR'!D753:O753)</f>
        <v/>
      </c>
      <c r="E863" s="4268"/>
      <c r="F863" s="4268"/>
      <c r="G863" s="4268"/>
      <c r="H863" s="4268"/>
      <c r="I863" s="4268"/>
      <c r="J863" s="4268"/>
      <c r="K863" s="4268"/>
      <c r="L863" s="4269">
        <f>'2 REPAIR ESTIMATOR'!P753</f>
        <v>0</v>
      </c>
      <c r="M863" s="4269"/>
      <c r="N863" s="4270" t="str">
        <f>T('2 REPAIR ESTIMATOR'!S753)</f>
        <v/>
      </c>
      <c r="O863" s="4270"/>
      <c r="P863" s="4271"/>
      <c r="Q863" s="4271"/>
      <c r="R863" s="4271"/>
      <c r="S863" s="4271"/>
      <c r="T863" s="4271"/>
      <c r="U863" s="4271"/>
      <c r="V863" s="4272"/>
      <c r="W863" s="12">
        <f t="shared" si="57"/>
        <v>1</v>
      </c>
      <c r="X863" s="12">
        <f t="shared" si="58"/>
        <v>1</v>
      </c>
      <c r="Y863" s="12">
        <f t="shared" si="55"/>
        <v>1</v>
      </c>
    </row>
    <row r="864" spans="4:25" ht="15.7">
      <c r="D864" s="4267" t="str">
        <f>T('2 REPAIR ESTIMATOR'!D754:O754)</f>
        <v/>
      </c>
      <c r="E864" s="4268"/>
      <c r="F864" s="4268"/>
      <c r="G864" s="4268"/>
      <c r="H864" s="4268"/>
      <c r="I864" s="4268"/>
      <c r="J864" s="4268"/>
      <c r="K864" s="4268"/>
      <c r="L864" s="4269">
        <f>'2 REPAIR ESTIMATOR'!P754</f>
        <v>0</v>
      </c>
      <c r="M864" s="4269"/>
      <c r="N864" s="4270" t="str">
        <f>T('2 REPAIR ESTIMATOR'!S754)</f>
        <v/>
      </c>
      <c r="O864" s="4270"/>
      <c r="P864" s="4271"/>
      <c r="Q864" s="4271"/>
      <c r="R864" s="4271"/>
      <c r="S864" s="4271"/>
      <c r="T864" s="4271"/>
      <c r="U864" s="4271"/>
      <c r="V864" s="4272"/>
      <c r="W864" s="12">
        <f t="shared" si="57"/>
        <v>1</v>
      </c>
      <c r="X864" s="12">
        <f t="shared" si="58"/>
        <v>1</v>
      </c>
      <c r="Y864" s="12">
        <f t="shared" si="55"/>
        <v>1</v>
      </c>
    </row>
    <row r="865" spans="3:25" ht="15.7">
      <c r="D865" s="4267" t="str">
        <f>T('2 REPAIR ESTIMATOR'!D755:O755)</f>
        <v/>
      </c>
      <c r="E865" s="4268"/>
      <c r="F865" s="4268"/>
      <c r="G865" s="4268"/>
      <c r="H865" s="4268"/>
      <c r="I865" s="4268"/>
      <c r="J865" s="4268"/>
      <c r="K865" s="4268"/>
      <c r="L865" s="4269">
        <f>'2 REPAIR ESTIMATOR'!P755</f>
        <v>0</v>
      </c>
      <c r="M865" s="4269"/>
      <c r="N865" s="4270" t="str">
        <f>T('2 REPAIR ESTIMATOR'!S755)</f>
        <v/>
      </c>
      <c r="O865" s="4270"/>
      <c r="P865" s="4271"/>
      <c r="Q865" s="4271"/>
      <c r="R865" s="4271"/>
      <c r="S865" s="4271"/>
      <c r="T865" s="4271"/>
      <c r="U865" s="4271"/>
      <c r="V865" s="4272"/>
      <c r="W865" s="12">
        <f t="shared" si="57"/>
        <v>1</v>
      </c>
      <c r="X865" s="12">
        <f t="shared" si="58"/>
        <v>1</v>
      </c>
      <c r="Y865" s="12">
        <f t="shared" si="55"/>
        <v>1</v>
      </c>
    </row>
    <row r="866" spans="3:25" ht="15.7">
      <c r="D866" s="4267" t="str">
        <f>T('2 REPAIR ESTIMATOR'!D756:O756)</f>
        <v/>
      </c>
      <c r="E866" s="4268"/>
      <c r="F866" s="4268"/>
      <c r="G866" s="4268"/>
      <c r="H866" s="4268"/>
      <c r="I866" s="4268"/>
      <c r="J866" s="4268"/>
      <c r="K866" s="4268"/>
      <c r="L866" s="4269">
        <f>'2 REPAIR ESTIMATOR'!P756</f>
        <v>0</v>
      </c>
      <c r="M866" s="4269"/>
      <c r="N866" s="4270" t="str">
        <f>T('2 REPAIR ESTIMATOR'!S756)</f>
        <v/>
      </c>
      <c r="O866" s="4270"/>
      <c r="P866" s="4271"/>
      <c r="Q866" s="4271"/>
      <c r="R866" s="4271"/>
      <c r="S866" s="4271"/>
      <c r="T866" s="4271"/>
      <c r="U866" s="4271"/>
      <c r="V866" s="4272"/>
      <c r="W866" s="12">
        <f t="shared" si="57"/>
        <v>1</v>
      </c>
      <c r="X866" s="12">
        <f t="shared" si="58"/>
        <v>1</v>
      </c>
      <c r="Y866" s="12">
        <f t="shared" si="55"/>
        <v>1</v>
      </c>
    </row>
    <row r="867" spans="3:25" ht="15.7">
      <c r="D867" s="4267" t="str">
        <f>T('2 REPAIR ESTIMATOR'!D757:O757)</f>
        <v/>
      </c>
      <c r="E867" s="4268"/>
      <c r="F867" s="4268"/>
      <c r="G867" s="4268"/>
      <c r="H867" s="4268"/>
      <c r="I867" s="4268"/>
      <c r="J867" s="4268"/>
      <c r="K867" s="4268"/>
      <c r="L867" s="4269">
        <f>'2 REPAIR ESTIMATOR'!P757</f>
        <v>0</v>
      </c>
      <c r="M867" s="4269"/>
      <c r="N867" s="4270" t="str">
        <f>T('2 REPAIR ESTIMATOR'!S757)</f>
        <v/>
      </c>
      <c r="O867" s="4270"/>
      <c r="P867" s="4271"/>
      <c r="Q867" s="4271"/>
      <c r="R867" s="4271"/>
      <c r="S867" s="4271"/>
      <c r="T867" s="4271"/>
      <c r="U867" s="4271"/>
      <c r="V867" s="4272"/>
      <c r="W867" s="12">
        <f t="shared" si="57"/>
        <v>1</v>
      </c>
      <c r="X867" s="12">
        <f t="shared" si="58"/>
        <v>1</v>
      </c>
      <c r="Y867" s="12">
        <f t="shared" si="55"/>
        <v>1</v>
      </c>
    </row>
    <row r="868" spans="3:25" ht="15.7">
      <c r="C868" s="6"/>
      <c r="D868" s="723"/>
      <c r="E868" s="723"/>
      <c r="F868" s="723"/>
      <c r="G868" s="723"/>
      <c r="H868" s="723"/>
      <c r="I868" s="723"/>
      <c r="J868" s="723"/>
      <c r="K868" s="723"/>
      <c r="L868" s="724"/>
      <c r="M868" s="724"/>
      <c r="N868" s="725"/>
      <c r="O868" s="725"/>
      <c r="P868" s="724"/>
      <c r="Q868" s="445"/>
      <c r="R868" s="445"/>
      <c r="S868" s="725"/>
      <c r="T868" s="725"/>
      <c r="U868" s="725"/>
      <c r="V868" s="725"/>
      <c r="W868" s="12">
        <f>W869</f>
        <v>0</v>
      </c>
      <c r="X868" s="12">
        <f t="shared" si="58"/>
        <v>1</v>
      </c>
      <c r="Y868" s="12">
        <f t="shared" si="55"/>
        <v>0</v>
      </c>
    </row>
    <row r="869" spans="3:25" ht="16.7">
      <c r="C869" s="6"/>
      <c r="D869" s="4266" t="str">
        <f>UPPER(CONCATENATE("Miscellaneous ",D827," Items"))</f>
        <v>MISCELLANEOUS DOORS &amp; TRIM ITEMS</v>
      </c>
      <c r="E869" s="4266"/>
      <c r="F869" s="4266"/>
      <c r="G869" s="4266"/>
      <c r="H869" s="4266"/>
      <c r="I869" s="4266"/>
      <c r="J869" s="4266"/>
      <c r="K869" s="4266"/>
      <c r="L869" s="4266"/>
      <c r="M869" s="4266"/>
      <c r="N869" s="4266"/>
      <c r="O869" s="4266"/>
      <c r="P869" s="4266"/>
      <c r="Q869" s="4266"/>
      <c r="R869" s="4266"/>
      <c r="S869" s="4266"/>
      <c r="T869" s="4266"/>
      <c r="U869" s="4266"/>
      <c r="V869" s="4266"/>
      <c r="W869" s="12">
        <f>SUM(W870:W879)</f>
        <v>0</v>
      </c>
      <c r="X869" s="12">
        <f t="shared" si="58"/>
        <v>1</v>
      </c>
      <c r="Y869" s="12">
        <f t="shared" si="55"/>
        <v>0</v>
      </c>
    </row>
    <row r="870" spans="3:25" ht="15.7">
      <c r="C870" s="6"/>
      <c r="D870" s="712">
        <v>1</v>
      </c>
      <c r="E870" s="4263" t="s">
        <v>1465</v>
      </c>
      <c r="F870" s="4263"/>
      <c r="G870" s="4263"/>
      <c r="H870" s="4263"/>
      <c r="I870" s="4263"/>
      <c r="J870" s="4263"/>
      <c r="K870" s="4263"/>
      <c r="L870" s="4263"/>
      <c r="M870" s="4263"/>
      <c r="N870" s="4263"/>
      <c r="O870" s="4263"/>
      <c r="P870" s="4263"/>
      <c r="Q870" s="4263"/>
      <c r="R870" s="4263"/>
      <c r="S870" s="4263"/>
      <c r="T870" s="4263"/>
      <c r="U870" s="4263"/>
      <c r="V870" s="4263"/>
      <c r="W870" s="12">
        <f>IF(E870&lt;&gt;"",1,0)*W827</f>
        <v>0</v>
      </c>
      <c r="X870" s="12">
        <f t="shared" si="58"/>
        <v>1</v>
      </c>
      <c r="Y870" s="12">
        <f t="shared" si="55"/>
        <v>0</v>
      </c>
    </row>
    <row r="871" spans="3:25" ht="15.7">
      <c r="C871" s="6"/>
      <c r="D871" s="712">
        <v>2</v>
      </c>
      <c r="E871" s="4263" t="s">
        <v>1466</v>
      </c>
      <c r="F871" s="4263"/>
      <c r="G871" s="4263"/>
      <c r="H871" s="4263"/>
      <c r="I871" s="4263"/>
      <c r="J871" s="4263"/>
      <c r="K871" s="4263"/>
      <c r="L871" s="4263"/>
      <c r="M871" s="4263"/>
      <c r="N871" s="4263"/>
      <c r="O871" s="4263"/>
      <c r="P871" s="4263"/>
      <c r="Q871" s="4263"/>
      <c r="R871" s="4263"/>
      <c r="S871" s="4263"/>
      <c r="T871" s="4263"/>
      <c r="U871" s="4263"/>
      <c r="V871" s="4263"/>
      <c r="W871" s="12">
        <f>IF(E871&lt;&gt;"",1,0)*W827</f>
        <v>0</v>
      </c>
      <c r="X871" s="12">
        <f t="shared" si="58"/>
        <v>1</v>
      </c>
      <c r="Y871" s="12">
        <f t="shared" si="55"/>
        <v>0</v>
      </c>
    </row>
    <row r="872" spans="3:25" ht="15.7">
      <c r="C872" s="6"/>
      <c r="D872" s="712">
        <v>3</v>
      </c>
      <c r="E872" s="4263" t="s">
        <v>1467</v>
      </c>
      <c r="F872" s="4263"/>
      <c r="G872" s="4263"/>
      <c r="H872" s="4263"/>
      <c r="I872" s="4263"/>
      <c r="J872" s="4263"/>
      <c r="K872" s="4263"/>
      <c r="L872" s="4263"/>
      <c r="M872" s="4263"/>
      <c r="N872" s="4263"/>
      <c r="O872" s="4263"/>
      <c r="P872" s="4263"/>
      <c r="Q872" s="4263"/>
      <c r="R872" s="4263"/>
      <c r="S872" s="4263"/>
      <c r="T872" s="4263"/>
      <c r="U872" s="4263"/>
      <c r="V872" s="4263"/>
      <c r="W872" s="12">
        <f>IF(E872&lt;&gt;"",1,0)*W827</f>
        <v>0</v>
      </c>
      <c r="X872" s="12">
        <f t="shared" si="58"/>
        <v>1</v>
      </c>
      <c r="Y872" s="12">
        <f t="shared" si="55"/>
        <v>0</v>
      </c>
    </row>
    <row r="873" spans="3:25" ht="15.7">
      <c r="C873" s="6"/>
      <c r="D873" s="712">
        <v>4</v>
      </c>
      <c r="E873" s="4263" t="s">
        <v>1463</v>
      </c>
      <c r="F873" s="4263"/>
      <c r="G873" s="4263"/>
      <c r="H873" s="4263"/>
      <c r="I873" s="4263"/>
      <c r="J873" s="4263"/>
      <c r="K873" s="4263"/>
      <c r="L873" s="4263"/>
      <c r="M873" s="4263"/>
      <c r="N873" s="4263"/>
      <c r="O873" s="4263"/>
      <c r="P873" s="4263"/>
      <c r="Q873" s="4263"/>
      <c r="R873" s="4263"/>
      <c r="S873" s="4263"/>
      <c r="T873" s="4263"/>
      <c r="U873" s="4263"/>
      <c r="V873" s="4263"/>
      <c r="W873" s="12">
        <f>IF(E873&lt;&gt;"",1,0)*W827</f>
        <v>0</v>
      </c>
      <c r="X873" s="12">
        <f t="shared" si="58"/>
        <v>1</v>
      </c>
      <c r="Y873" s="12">
        <f t="shared" si="55"/>
        <v>0</v>
      </c>
    </row>
    <row r="874" spans="3:25" ht="15.7">
      <c r="C874" s="6"/>
      <c r="D874" s="712">
        <v>5</v>
      </c>
      <c r="E874" s="4263"/>
      <c r="F874" s="4263"/>
      <c r="G874" s="4263"/>
      <c r="H874" s="4263"/>
      <c r="I874" s="4263"/>
      <c r="J874" s="4263"/>
      <c r="K874" s="4263"/>
      <c r="L874" s="4263"/>
      <c r="M874" s="4263"/>
      <c r="N874" s="4263"/>
      <c r="O874" s="4263"/>
      <c r="P874" s="4263"/>
      <c r="Q874" s="4263"/>
      <c r="R874" s="4263"/>
      <c r="S874" s="4263"/>
      <c r="T874" s="4263"/>
      <c r="U874" s="4263"/>
      <c r="V874" s="4263"/>
      <c r="W874" s="12">
        <f>IF(E874&lt;&gt;"",1,0)*W827</f>
        <v>0</v>
      </c>
      <c r="X874" s="12">
        <f t="shared" si="58"/>
        <v>1</v>
      </c>
      <c r="Y874" s="12">
        <f t="shared" si="55"/>
        <v>0</v>
      </c>
    </row>
    <row r="875" spans="3:25" ht="15.7">
      <c r="C875" s="6"/>
      <c r="D875" s="712">
        <v>6</v>
      </c>
      <c r="E875" s="4263"/>
      <c r="F875" s="4263"/>
      <c r="G875" s="4263"/>
      <c r="H875" s="4263"/>
      <c r="I875" s="4263"/>
      <c r="J875" s="4263"/>
      <c r="K875" s="4263"/>
      <c r="L875" s="4263"/>
      <c r="M875" s="4263"/>
      <c r="N875" s="4263"/>
      <c r="O875" s="4263"/>
      <c r="P875" s="4263"/>
      <c r="Q875" s="4263"/>
      <c r="R875" s="4263"/>
      <c r="S875" s="4263"/>
      <c r="T875" s="4263"/>
      <c r="U875" s="4263"/>
      <c r="V875" s="4263"/>
      <c r="W875" s="12">
        <f>IF(E875&lt;&gt;"",1,0)*W827</f>
        <v>0</v>
      </c>
      <c r="X875" s="12">
        <f t="shared" si="58"/>
        <v>1</v>
      </c>
      <c r="Y875" s="12">
        <f t="shared" si="55"/>
        <v>0</v>
      </c>
    </row>
    <row r="876" spans="3:25" ht="15.7">
      <c r="C876" s="6"/>
      <c r="D876" s="712">
        <v>7</v>
      </c>
      <c r="E876" s="4263"/>
      <c r="F876" s="4263"/>
      <c r="G876" s="4263"/>
      <c r="H876" s="4263"/>
      <c r="I876" s="4263"/>
      <c r="J876" s="4263"/>
      <c r="K876" s="4263"/>
      <c r="L876" s="4263"/>
      <c r="M876" s="4263"/>
      <c r="N876" s="4263"/>
      <c r="O876" s="4263"/>
      <c r="P876" s="4263"/>
      <c r="Q876" s="4263"/>
      <c r="R876" s="4263"/>
      <c r="S876" s="4263"/>
      <c r="T876" s="4263"/>
      <c r="U876" s="4263"/>
      <c r="V876" s="4263"/>
      <c r="W876" s="12">
        <f>IF(E876&lt;&gt;"",1,0)*W827</f>
        <v>0</v>
      </c>
      <c r="X876" s="12">
        <f t="shared" si="58"/>
        <v>1</v>
      </c>
      <c r="Y876" s="12">
        <f t="shared" ref="Y876:Y939" si="59">W876*X876</f>
        <v>0</v>
      </c>
    </row>
    <row r="877" spans="3:25" ht="15.7">
      <c r="C877" s="6"/>
      <c r="D877" s="712">
        <v>8</v>
      </c>
      <c r="E877" s="4263"/>
      <c r="F877" s="4263"/>
      <c r="G877" s="4263"/>
      <c r="H877" s="4263"/>
      <c r="I877" s="4263"/>
      <c r="J877" s="4263"/>
      <c r="K877" s="4263"/>
      <c r="L877" s="4263"/>
      <c r="M877" s="4263"/>
      <c r="N877" s="4263"/>
      <c r="O877" s="4263"/>
      <c r="P877" s="4263"/>
      <c r="Q877" s="4263"/>
      <c r="R877" s="4263"/>
      <c r="S877" s="4263"/>
      <c r="T877" s="4263"/>
      <c r="U877" s="4263"/>
      <c r="V877" s="4263"/>
      <c r="W877" s="12">
        <f>IF(E877&lt;&gt;"",1,0)*W827</f>
        <v>0</v>
      </c>
      <c r="X877" s="12">
        <f t="shared" si="58"/>
        <v>1</v>
      </c>
      <c r="Y877" s="12">
        <f t="shared" si="59"/>
        <v>0</v>
      </c>
    </row>
    <row r="878" spans="3:25" ht="15.7">
      <c r="C878" s="6"/>
      <c r="D878" s="712">
        <v>9</v>
      </c>
      <c r="E878" s="4263"/>
      <c r="F878" s="4263"/>
      <c r="G878" s="4263"/>
      <c r="H878" s="4263"/>
      <c r="I878" s="4263"/>
      <c r="J878" s="4263"/>
      <c r="K878" s="4263"/>
      <c r="L878" s="4263"/>
      <c r="M878" s="4263"/>
      <c r="N878" s="4263"/>
      <c r="O878" s="4263"/>
      <c r="P878" s="4263"/>
      <c r="Q878" s="4263"/>
      <c r="R878" s="4263"/>
      <c r="S878" s="4263"/>
      <c r="T878" s="4263"/>
      <c r="U878" s="4263"/>
      <c r="V878" s="4263"/>
      <c r="W878" s="12">
        <f>IF(E878&lt;&gt;"",1,0)*W827</f>
        <v>0</v>
      </c>
      <c r="X878" s="12">
        <f t="shared" si="58"/>
        <v>1</v>
      </c>
      <c r="Y878" s="12">
        <f t="shared" si="59"/>
        <v>0</v>
      </c>
    </row>
    <row r="879" spans="3:25" ht="15.7">
      <c r="C879" s="6"/>
      <c r="D879" s="712">
        <v>10</v>
      </c>
      <c r="E879" s="4263"/>
      <c r="F879" s="4263"/>
      <c r="G879" s="4263"/>
      <c r="H879" s="4263"/>
      <c r="I879" s="4263"/>
      <c r="J879" s="4263"/>
      <c r="K879" s="4263"/>
      <c r="L879" s="4263"/>
      <c r="M879" s="4263"/>
      <c r="N879" s="4263"/>
      <c r="O879" s="4263"/>
      <c r="P879" s="4263"/>
      <c r="Q879" s="4263"/>
      <c r="R879" s="4263"/>
      <c r="S879" s="4263"/>
      <c r="T879" s="4263"/>
      <c r="U879" s="4263"/>
      <c r="V879" s="4263"/>
      <c r="W879" s="12">
        <f>IF(E879&lt;&gt;"",1,0)*W827</f>
        <v>0</v>
      </c>
      <c r="X879" s="12">
        <f t="shared" si="58"/>
        <v>1</v>
      </c>
      <c r="Y879" s="12">
        <f t="shared" si="59"/>
        <v>0</v>
      </c>
    </row>
    <row r="880" spans="3:25" ht="15.7">
      <c r="C880" s="6"/>
      <c r="D880" s="723"/>
      <c r="E880" s="723"/>
      <c r="F880" s="723"/>
      <c r="G880" s="723"/>
      <c r="H880" s="723"/>
      <c r="I880" s="723"/>
      <c r="J880" s="723"/>
      <c r="K880" s="723"/>
      <c r="L880" s="724"/>
      <c r="M880" s="724"/>
      <c r="N880" s="725"/>
      <c r="O880" s="725"/>
      <c r="P880" s="724"/>
      <c r="Q880" s="445"/>
      <c r="R880" s="445"/>
      <c r="S880" s="726"/>
      <c r="T880" s="726"/>
      <c r="U880" s="726"/>
      <c r="V880" s="726"/>
      <c r="W880" s="12">
        <f>W827</f>
        <v>0</v>
      </c>
      <c r="X880" s="12">
        <f t="shared" si="58"/>
        <v>1</v>
      </c>
      <c r="Y880" s="12">
        <f t="shared" si="59"/>
        <v>0</v>
      </c>
    </row>
    <row r="881" spans="3:25" ht="40.5" customHeight="1">
      <c r="C881" s="6"/>
      <c r="D881" s="4264" t="str">
        <f>UPPER(CONCATENATE("TOTAL ",D827))</f>
        <v>TOTAL DOORS &amp; TRIM</v>
      </c>
      <c r="E881" s="4264"/>
      <c r="F881" s="4264"/>
      <c r="G881" s="4264"/>
      <c r="H881" s="4264"/>
      <c r="I881" s="4264"/>
      <c r="J881" s="4264"/>
      <c r="K881" s="4264"/>
      <c r="L881" s="4264"/>
      <c r="M881" s="4264"/>
      <c r="N881" s="4264"/>
      <c r="O881" s="4264"/>
      <c r="P881" s="4264"/>
      <c r="Q881" s="4265"/>
      <c r="R881" s="4265"/>
      <c r="S881" s="4265"/>
      <c r="T881" s="4265"/>
      <c r="U881" s="4265"/>
      <c r="V881" s="4265"/>
      <c r="W881" s="12">
        <f>W827</f>
        <v>0</v>
      </c>
      <c r="X881" s="12">
        <f t="shared" si="58"/>
        <v>1</v>
      </c>
      <c r="Y881" s="12">
        <f t="shared" si="59"/>
        <v>0</v>
      </c>
    </row>
    <row r="882" spans="3:25" ht="15.7">
      <c r="D882" s="723"/>
      <c r="E882" s="723"/>
      <c r="F882" s="723"/>
      <c r="G882" s="723"/>
      <c r="H882" s="723"/>
      <c r="I882" s="723"/>
      <c r="J882" s="723"/>
      <c r="K882" s="723"/>
      <c r="L882" s="724"/>
      <c r="M882" s="724"/>
      <c r="N882" s="725"/>
      <c r="O882" s="725"/>
      <c r="P882" s="724"/>
      <c r="Q882" s="445"/>
      <c r="R882" s="445"/>
      <c r="S882" s="726"/>
      <c r="T882" s="726"/>
      <c r="U882" s="726"/>
      <c r="V882" s="726"/>
      <c r="W882" s="12">
        <f>W827</f>
        <v>0</v>
      </c>
      <c r="X882" s="12">
        <f t="shared" si="58"/>
        <v>1</v>
      </c>
      <c r="Y882" s="12">
        <f t="shared" si="59"/>
        <v>0</v>
      </c>
    </row>
    <row r="883" spans="3:25" ht="26.45" customHeight="1">
      <c r="D883" s="4275" t="str">
        <f>T('2 REPAIR ESTIMATOR'!D762:O762)</f>
        <v>CARPET &amp; RESILIENT</v>
      </c>
      <c r="E883" s="4275"/>
      <c r="F883" s="4275"/>
      <c r="G883" s="4275"/>
      <c r="H883" s="4275"/>
      <c r="I883" s="4275"/>
      <c r="J883" s="4275"/>
      <c r="K883" s="4276"/>
      <c r="L883" s="4277">
        <f>SUM(L884:M923)</f>
        <v>0</v>
      </c>
      <c r="M883" s="4278"/>
      <c r="N883" s="4279"/>
      <c r="O883" s="4280"/>
      <c r="P883" s="4277"/>
      <c r="Q883" s="4281"/>
      <c r="R883" s="4281"/>
      <c r="S883" s="4281"/>
      <c r="T883" s="4281"/>
      <c r="U883" s="4281"/>
      <c r="V883" s="4281"/>
      <c r="W883" s="12">
        <f>IF(L883&gt;0,1,0)</f>
        <v>0</v>
      </c>
      <c r="X883" s="12">
        <f t="shared" ref="X883:X914" si="60">IF(Scope16_Setting="Shown",1,0)</f>
        <v>1</v>
      </c>
      <c r="Y883" s="12">
        <f t="shared" si="59"/>
        <v>0</v>
      </c>
    </row>
    <row r="884" spans="3:25" ht="15.7">
      <c r="D884" s="4267" t="str">
        <f>T('2 REPAIR ESTIMATOR'!D763:O763)</f>
        <v>Carpeting &amp; Resilient bid/allowance</v>
      </c>
      <c r="E884" s="4268"/>
      <c r="F884" s="4268"/>
      <c r="G884" s="4268"/>
      <c r="H884" s="4268"/>
      <c r="I884" s="4268"/>
      <c r="J884" s="4268"/>
      <c r="K884" s="4268"/>
      <c r="L884" s="4269">
        <f>'2 REPAIR ESTIMATOR'!P763</f>
        <v>0</v>
      </c>
      <c r="M884" s="4269"/>
      <c r="N884" s="4270" t="str">
        <f>T('2 REPAIR ESTIMATOR'!S763)</f>
        <v>ls</v>
      </c>
      <c r="O884" s="4270"/>
      <c r="P884" s="4286"/>
      <c r="Q884" s="4286"/>
      <c r="R884" s="4286"/>
      <c r="S884" s="4286"/>
      <c r="T884" s="4286"/>
      <c r="U884" s="4286"/>
      <c r="V884" s="4287"/>
      <c r="W884" s="12">
        <f>IF(L884="",0,1)</f>
        <v>1</v>
      </c>
      <c r="X884" s="12">
        <f t="shared" si="60"/>
        <v>1</v>
      </c>
      <c r="Y884" s="12">
        <f t="shared" si="59"/>
        <v>1</v>
      </c>
    </row>
    <row r="885" spans="3:25" ht="15.7">
      <c r="D885" s="4267" t="str">
        <f>T('2 REPAIR ESTIMATOR'!D764:O764)</f>
        <v>Carpeting</v>
      </c>
      <c r="E885" s="4268"/>
      <c r="F885" s="4268"/>
      <c r="G885" s="4268"/>
      <c r="H885" s="4268"/>
      <c r="I885" s="4268"/>
      <c r="J885" s="4268"/>
      <c r="K885" s="4268"/>
      <c r="L885" s="4269">
        <f>'2 REPAIR ESTIMATOR'!P764</f>
        <v>0</v>
      </c>
      <c r="M885" s="4269"/>
      <c r="N885" s="4270" t="str">
        <f>T('2 REPAIR ESTIMATOR'!S764)</f>
        <v/>
      </c>
      <c r="O885" s="4270"/>
      <c r="P885" s="4284"/>
      <c r="Q885" s="4284"/>
      <c r="R885" s="4284"/>
      <c r="S885" s="4284"/>
      <c r="T885" s="4284"/>
      <c r="U885" s="4284"/>
      <c r="V885" s="4285"/>
      <c r="W885" s="12">
        <f t="shared" ref="W885:W923" si="61">IF(L885="",0,1)</f>
        <v>1</v>
      </c>
      <c r="X885" s="12">
        <f t="shared" si="60"/>
        <v>1</v>
      </c>
      <c r="Y885" s="12">
        <f t="shared" si="59"/>
        <v>1</v>
      </c>
    </row>
    <row r="886" spans="3:25" ht="15.7">
      <c r="D886" s="4267" t="str">
        <f>T('2 REPAIR ESTIMATOR'!D765:O765)</f>
        <v>Carpet, economy grade</v>
      </c>
      <c r="E886" s="4268"/>
      <c r="F886" s="4268"/>
      <c r="G886" s="4268"/>
      <c r="H886" s="4268"/>
      <c r="I886" s="4268"/>
      <c r="J886" s="4268"/>
      <c r="K886" s="4268"/>
      <c r="L886" s="4269">
        <f>'2 REPAIR ESTIMATOR'!P765</f>
        <v>0</v>
      </c>
      <c r="M886" s="4269"/>
      <c r="N886" s="4270" t="str">
        <f>T('2 REPAIR ESTIMATOR'!S765)</f>
        <v>sf</v>
      </c>
      <c r="O886" s="4270"/>
      <c r="P886" s="4284"/>
      <c r="Q886" s="4284"/>
      <c r="R886" s="4284"/>
      <c r="S886" s="4284"/>
      <c r="T886" s="4284"/>
      <c r="U886" s="4284"/>
      <c r="V886" s="4285"/>
      <c r="W886" s="12">
        <f t="shared" si="61"/>
        <v>1</v>
      </c>
      <c r="X886" s="12">
        <f t="shared" si="60"/>
        <v>1</v>
      </c>
      <c r="Y886" s="12">
        <f t="shared" si="59"/>
        <v>1</v>
      </c>
    </row>
    <row r="887" spans="3:25" ht="15.7">
      <c r="D887" s="4267" t="str">
        <f>T('2 REPAIR ESTIMATOR'!D766:O766)</f>
        <v>Carpet average grade</v>
      </c>
      <c r="E887" s="4268"/>
      <c r="F887" s="4268"/>
      <c r="G887" s="4268"/>
      <c r="H887" s="4268"/>
      <c r="I887" s="4268"/>
      <c r="J887" s="4268"/>
      <c r="K887" s="4268"/>
      <c r="L887" s="4269">
        <f>'2 REPAIR ESTIMATOR'!P766</f>
        <v>0</v>
      </c>
      <c r="M887" s="4269"/>
      <c r="N887" s="4270" t="str">
        <f>T('2 REPAIR ESTIMATOR'!S766)</f>
        <v>sf</v>
      </c>
      <c r="O887" s="4270"/>
      <c r="P887" s="4284"/>
      <c r="Q887" s="4284"/>
      <c r="R887" s="4284"/>
      <c r="S887" s="4284"/>
      <c r="T887" s="4284"/>
      <c r="U887" s="4284"/>
      <c r="V887" s="4285"/>
      <c r="W887" s="12">
        <f t="shared" si="61"/>
        <v>1</v>
      </c>
      <c r="X887" s="12">
        <f t="shared" si="60"/>
        <v>1</v>
      </c>
      <c r="Y887" s="12">
        <f t="shared" si="59"/>
        <v>1</v>
      </c>
    </row>
    <row r="888" spans="3:25" ht="15.7">
      <c r="D888" s="4267" t="str">
        <f>T('2 REPAIR ESTIMATOR'!D767:O767)</f>
        <v>Carpet, premium grade</v>
      </c>
      <c r="E888" s="4268"/>
      <c r="F888" s="4268"/>
      <c r="G888" s="4268"/>
      <c r="H888" s="4268"/>
      <c r="I888" s="4268"/>
      <c r="J888" s="4268"/>
      <c r="K888" s="4268"/>
      <c r="L888" s="4269">
        <f>'2 REPAIR ESTIMATOR'!P767</f>
        <v>0</v>
      </c>
      <c r="M888" s="4269"/>
      <c r="N888" s="4270" t="str">
        <f>T('2 REPAIR ESTIMATOR'!S767)</f>
        <v>sf</v>
      </c>
      <c r="O888" s="4270"/>
      <c r="P888" s="4284"/>
      <c r="Q888" s="4284"/>
      <c r="R888" s="4284"/>
      <c r="S888" s="4284"/>
      <c r="T888" s="4284"/>
      <c r="U888" s="4284"/>
      <c r="V888" s="4285"/>
      <c r="W888" s="12">
        <f t="shared" si="61"/>
        <v>1</v>
      </c>
      <c r="X888" s="12">
        <f t="shared" si="60"/>
        <v>1</v>
      </c>
      <c r="Y888" s="12">
        <f t="shared" si="59"/>
        <v>1</v>
      </c>
    </row>
    <row r="889" spans="3:25" ht="15.7">
      <c r="D889" s="4267" t="str">
        <f>T('2 REPAIR ESTIMATOR'!D768:O768)</f>
        <v/>
      </c>
      <c r="E889" s="4268"/>
      <c r="F889" s="4268"/>
      <c r="G889" s="4268"/>
      <c r="H889" s="4268"/>
      <c r="I889" s="4268"/>
      <c r="J889" s="4268"/>
      <c r="K889" s="4268"/>
      <c r="L889" s="4269">
        <f>'2 REPAIR ESTIMATOR'!P768</f>
        <v>0</v>
      </c>
      <c r="M889" s="4269"/>
      <c r="N889" s="4270" t="str">
        <f>T('2 REPAIR ESTIMATOR'!S768)</f>
        <v/>
      </c>
      <c r="O889" s="4270"/>
      <c r="P889" s="4284"/>
      <c r="Q889" s="4284"/>
      <c r="R889" s="4284"/>
      <c r="S889" s="4284"/>
      <c r="T889" s="4284"/>
      <c r="U889" s="4284"/>
      <c r="V889" s="4285"/>
      <c r="W889" s="12">
        <f t="shared" si="61"/>
        <v>1</v>
      </c>
      <c r="X889" s="12">
        <f t="shared" si="60"/>
        <v>1</v>
      </c>
      <c r="Y889" s="12">
        <f t="shared" si="59"/>
        <v>1</v>
      </c>
    </row>
    <row r="890" spans="3:25" ht="15.7">
      <c r="D890" s="4267" t="str">
        <f>T('2 REPAIR ESTIMATOR'!D769:O769)</f>
        <v/>
      </c>
      <c r="E890" s="4268"/>
      <c r="F890" s="4268"/>
      <c r="G890" s="4268"/>
      <c r="H890" s="4268"/>
      <c r="I890" s="4268"/>
      <c r="J890" s="4268"/>
      <c r="K890" s="4268"/>
      <c r="L890" s="4269">
        <f>'2 REPAIR ESTIMATOR'!P769</f>
        <v>0</v>
      </c>
      <c r="M890" s="4269"/>
      <c r="N890" s="4270" t="str">
        <f>T('2 REPAIR ESTIMATOR'!S769)</f>
        <v/>
      </c>
      <c r="O890" s="4270"/>
      <c r="P890" s="4284"/>
      <c r="Q890" s="4284"/>
      <c r="R890" s="4284"/>
      <c r="S890" s="4284"/>
      <c r="T890" s="4284"/>
      <c r="U890" s="4284"/>
      <c r="V890" s="4285"/>
      <c r="W890" s="12">
        <f t="shared" si="61"/>
        <v>1</v>
      </c>
      <c r="X890" s="12">
        <f t="shared" si="60"/>
        <v>1</v>
      </c>
      <c r="Y890" s="12">
        <f t="shared" si="59"/>
        <v>1</v>
      </c>
    </row>
    <row r="891" spans="3:25" ht="15.7">
      <c r="D891" s="4267" t="str">
        <f>T('2 REPAIR ESTIMATOR'!D770:O770)</f>
        <v>Sheet Vinyl</v>
      </c>
      <c r="E891" s="4268"/>
      <c r="F891" s="4268"/>
      <c r="G891" s="4268"/>
      <c r="H891" s="4268"/>
      <c r="I891" s="4268"/>
      <c r="J891" s="4268"/>
      <c r="K891" s="4268"/>
      <c r="L891" s="4269">
        <f>'2 REPAIR ESTIMATOR'!P770</f>
        <v>0</v>
      </c>
      <c r="M891" s="4269"/>
      <c r="N891" s="4270" t="str">
        <f>T('2 REPAIR ESTIMATOR'!S770)</f>
        <v/>
      </c>
      <c r="O891" s="4270"/>
      <c r="P891" s="4284"/>
      <c r="Q891" s="4284"/>
      <c r="R891" s="4284"/>
      <c r="S891" s="4284"/>
      <c r="T891" s="4284"/>
      <c r="U891" s="4284"/>
      <c r="V891" s="4285"/>
      <c r="W891" s="12">
        <f t="shared" si="61"/>
        <v>1</v>
      </c>
      <c r="X891" s="12">
        <f t="shared" si="60"/>
        <v>1</v>
      </c>
      <c r="Y891" s="12">
        <f t="shared" si="59"/>
        <v>1</v>
      </c>
    </row>
    <row r="892" spans="3:25" ht="15.7">
      <c r="D892" s="4267" t="str">
        <f>T('2 REPAIR ESTIMATOR'!D771:O771)</f>
        <v>Sheet vinyl, economy grade</v>
      </c>
      <c r="E892" s="4268"/>
      <c r="F892" s="4268"/>
      <c r="G892" s="4268"/>
      <c r="H892" s="4268"/>
      <c r="I892" s="4268"/>
      <c r="J892" s="4268"/>
      <c r="K892" s="4268"/>
      <c r="L892" s="4269">
        <f>'2 REPAIR ESTIMATOR'!P771</f>
        <v>0</v>
      </c>
      <c r="M892" s="4269"/>
      <c r="N892" s="4270" t="str">
        <f>T('2 REPAIR ESTIMATOR'!S771)</f>
        <v>sf</v>
      </c>
      <c r="O892" s="4270"/>
      <c r="P892" s="4284"/>
      <c r="Q892" s="4284"/>
      <c r="R892" s="4284"/>
      <c r="S892" s="4284"/>
      <c r="T892" s="4284"/>
      <c r="U892" s="4284"/>
      <c r="V892" s="4285"/>
      <c r="W892" s="12">
        <f t="shared" si="61"/>
        <v>1</v>
      </c>
      <c r="X892" s="12">
        <f t="shared" si="60"/>
        <v>1</v>
      </c>
      <c r="Y892" s="12">
        <f t="shared" si="59"/>
        <v>1</v>
      </c>
    </row>
    <row r="893" spans="3:25" ht="15.7">
      <c r="D893" s="4267" t="str">
        <f>T('2 REPAIR ESTIMATOR'!D772:O772)</f>
        <v>Sheet vinyl, average grade</v>
      </c>
      <c r="E893" s="4268"/>
      <c r="F893" s="4268"/>
      <c r="G893" s="4268"/>
      <c r="H893" s="4268"/>
      <c r="I893" s="4268"/>
      <c r="J893" s="4268"/>
      <c r="K893" s="4268"/>
      <c r="L893" s="4269">
        <f>'2 REPAIR ESTIMATOR'!P772</f>
        <v>0</v>
      </c>
      <c r="M893" s="4269"/>
      <c r="N893" s="4270" t="str">
        <f>T('2 REPAIR ESTIMATOR'!S772)</f>
        <v>sf</v>
      </c>
      <c r="O893" s="4270"/>
      <c r="P893" s="4284"/>
      <c r="Q893" s="4284"/>
      <c r="R893" s="4284"/>
      <c r="S893" s="4284"/>
      <c r="T893" s="4284"/>
      <c r="U893" s="4284"/>
      <c r="V893" s="4285"/>
      <c r="W893" s="12">
        <f t="shared" si="61"/>
        <v>1</v>
      </c>
      <c r="X893" s="12">
        <f t="shared" si="60"/>
        <v>1</v>
      </c>
      <c r="Y893" s="12">
        <f t="shared" si="59"/>
        <v>1</v>
      </c>
    </row>
    <row r="894" spans="3:25" ht="15.7">
      <c r="D894" s="4267" t="str">
        <f>T('2 REPAIR ESTIMATOR'!D773:O773)</f>
        <v>Sheet vinyl, premium grade</v>
      </c>
      <c r="E894" s="4268"/>
      <c r="F894" s="4268"/>
      <c r="G894" s="4268"/>
      <c r="H894" s="4268"/>
      <c r="I894" s="4268"/>
      <c r="J894" s="4268"/>
      <c r="K894" s="4268"/>
      <c r="L894" s="4269">
        <f>'2 REPAIR ESTIMATOR'!P773</f>
        <v>0</v>
      </c>
      <c r="M894" s="4269"/>
      <c r="N894" s="4270" t="str">
        <f>T('2 REPAIR ESTIMATOR'!S773)</f>
        <v>sf</v>
      </c>
      <c r="O894" s="4270"/>
      <c r="P894" s="4284"/>
      <c r="Q894" s="4284"/>
      <c r="R894" s="4284"/>
      <c r="S894" s="4284"/>
      <c r="T894" s="4284"/>
      <c r="U894" s="4284"/>
      <c r="V894" s="4285"/>
      <c r="W894" s="12">
        <f t="shared" si="61"/>
        <v>1</v>
      </c>
      <c r="X894" s="12">
        <f t="shared" si="60"/>
        <v>1</v>
      </c>
      <c r="Y894" s="12">
        <f t="shared" si="59"/>
        <v>1</v>
      </c>
    </row>
    <row r="895" spans="3:25" ht="15.7">
      <c r="D895" s="4267" t="str">
        <f>T('2 REPAIR ESTIMATOR'!D774:O774)</f>
        <v>Clean and wax vinyl</v>
      </c>
      <c r="E895" s="4268"/>
      <c r="F895" s="4268"/>
      <c r="G895" s="4268"/>
      <c r="H895" s="4268"/>
      <c r="I895" s="4268"/>
      <c r="J895" s="4268"/>
      <c r="K895" s="4268"/>
      <c r="L895" s="4269">
        <f>'2 REPAIR ESTIMATOR'!P774</f>
        <v>0</v>
      </c>
      <c r="M895" s="4269"/>
      <c r="N895" s="4270" t="str">
        <f>T('2 REPAIR ESTIMATOR'!S774)</f>
        <v>sf</v>
      </c>
      <c r="O895" s="4270"/>
      <c r="P895" s="4284"/>
      <c r="Q895" s="4284"/>
      <c r="R895" s="4284"/>
      <c r="S895" s="4284"/>
      <c r="T895" s="4284"/>
      <c r="U895" s="4284"/>
      <c r="V895" s="4285"/>
      <c r="W895" s="12">
        <f t="shared" si="61"/>
        <v>1</v>
      </c>
      <c r="X895" s="12">
        <f t="shared" si="60"/>
        <v>1</v>
      </c>
      <c r="Y895" s="12">
        <f t="shared" si="59"/>
        <v>1</v>
      </c>
    </row>
    <row r="896" spans="3:25" ht="15.7">
      <c r="D896" s="4267" t="str">
        <f>T('2 REPAIR ESTIMATOR'!D775:O775)</f>
        <v/>
      </c>
      <c r="E896" s="4268"/>
      <c r="F896" s="4268"/>
      <c r="G896" s="4268"/>
      <c r="H896" s="4268"/>
      <c r="I896" s="4268"/>
      <c r="J896" s="4268"/>
      <c r="K896" s="4268"/>
      <c r="L896" s="4269">
        <f>'2 REPAIR ESTIMATOR'!P775</f>
        <v>0</v>
      </c>
      <c r="M896" s="4269"/>
      <c r="N896" s="4270" t="str">
        <f>T('2 REPAIR ESTIMATOR'!S775)</f>
        <v/>
      </c>
      <c r="O896" s="4270"/>
      <c r="P896" s="4284"/>
      <c r="Q896" s="4284"/>
      <c r="R896" s="4284"/>
      <c r="S896" s="4284"/>
      <c r="T896" s="4284"/>
      <c r="U896" s="4284"/>
      <c r="V896" s="4285"/>
      <c r="W896" s="12">
        <f t="shared" si="61"/>
        <v>1</v>
      </c>
      <c r="X896" s="12">
        <f t="shared" si="60"/>
        <v>1</v>
      </c>
      <c r="Y896" s="12">
        <f t="shared" si="59"/>
        <v>1</v>
      </c>
    </row>
    <row r="897" spans="4:25" ht="15.7">
      <c r="D897" s="4267" t="str">
        <f>T('2 REPAIR ESTIMATOR'!D776:O776)</f>
        <v>Vinyl Tile</v>
      </c>
      <c r="E897" s="4268"/>
      <c r="F897" s="4268"/>
      <c r="G897" s="4268"/>
      <c r="H897" s="4268"/>
      <c r="I897" s="4268"/>
      <c r="J897" s="4268"/>
      <c r="K897" s="4268"/>
      <c r="L897" s="4269">
        <f>'2 REPAIR ESTIMATOR'!P776</f>
        <v>0</v>
      </c>
      <c r="M897" s="4269"/>
      <c r="N897" s="4270" t="str">
        <f>T('2 REPAIR ESTIMATOR'!S776)</f>
        <v/>
      </c>
      <c r="O897" s="4270"/>
      <c r="P897" s="4284"/>
      <c r="Q897" s="4284"/>
      <c r="R897" s="4284"/>
      <c r="S897" s="4284"/>
      <c r="T897" s="4284"/>
      <c r="U897" s="4284"/>
      <c r="V897" s="4285"/>
      <c r="W897" s="12">
        <f t="shared" si="61"/>
        <v>1</v>
      </c>
      <c r="X897" s="12">
        <f t="shared" si="60"/>
        <v>1</v>
      </c>
      <c r="Y897" s="12">
        <f t="shared" si="59"/>
        <v>1</v>
      </c>
    </row>
    <row r="898" spans="4:25" ht="15.7">
      <c r="D898" s="4267" t="str">
        <f>T('2 REPAIR ESTIMATOR'!D777:O777)</f>
        <v>Vinyl tile, economy grade</v>
      </c>
      <c r="E898" s="4268"/>
      <c r="F898" s="4268"/>
      <c r="G898" s="4268"/>
      <c r="H898" s="4268"/>
      <c r="I898" s="4268"/>
      <c r="J898" s="4268"/>
      <c r="K898" s="4268"/>
      <c r="L898" s="4269">
        <f>'2 REPAIR ESTIMATOR'!P777</f>
        <v>0</v>
      </c>
      <c r="M898" s="4269"/>
      <c r="N898" s="4270" t="str">
        <f>T('2 REPAIR ESTIMATOR'!S777)</f>
        <v>sf</v>
      </c>
      <c r="O898" s="4270"/>
      <c r="P898" s="4284"/>
      <c r="Q898" s="4284"/>
      <c r="R898" s="4284"/>
      <c r="S898" s="4284"/>
      <c r="T898" s="4284"/>
      <c r="U898" s="4284"/>
      <c r="V898" s="4285"/>
      <c r="W898" s="12">
        <f t="shared" si="61"/>
        <v>1</v>
      </c>
      <c r="X898" s="12">
        <f t="shared" si="60"/>
        <v>1</v>
      </c>
      <c r="Y898" s="12">
        <f t="shared" si="59"/>
        <v>1</v>
      </c>
    </row>
    <row r="899" spans="4:25" ht="15.7">
      <c r="D899" s="4267" t="str">
        <f>T('2 REPAIR ESTIMATOR'!D778:O778)</f>
        <v>Vinyl tile, average grade</v>
      </c>
      <c r="E899" s="4268"/>
      <c r="F899" s="4268"/>
      <c r="G899" s="4268"/>
      <c r="H899" s="4268"/>
      <c r="I899" s="4268"/>
      <c r="J899" s="4268"/>
      <c r="K899" s="4268"/>
      <c r="L899" s="4269">
        <f>'2 REPAIR ESTIMATOR'!P778</f>
        <v>0</v>
      </c>
      <c r="M899" s="4269"/>
      <c r="N899" s="4270" t="str">
        <f>T('2 REPAIR ESTIMATOR'!S778)</f>
        <v>sf</v>
      </c>
      <c r="O899" s="4270"/>
      <c r="P899" s="4284"/>
      <c r="Q899" s="4284"/>
      <c r="R899" s="4284"/>
      <c r="S899" s="4284"/>
      <c r="T899" s="4284"/>
      <c r="U899" s="4284"/>
      <c r="V899" s="4285"/>
      <c r="W899" s="12">
        <f t="shared" si="61"/>
        <v>1</v>
      </c>
      <c r="X899" s="12">
        <f t="shared" si="60"/>
        <v>1</v>
      </c>
      <c r="Y899" s="12">
        <f t="shared" si="59"/>
        <v>1</v>
      </c>
    </row>
    <row r="900" spans="4:25" ht="15.7">
      <c r="D900" s="4267" t="str">
        <f>T('2 REPAIR ESTIMATOR'!D779:O779)</f>
        <v>Vinyl tile, premium grade</v>
      </c>
      <c r="E900" s="4268"/>
      <c r="F900" s="4268"/>
      <c r="G900" s="4268"/>
      <c r="H900" s="4268"/>
      <c r="I900" s="4268"/>
      <c r="J900" s="4268"/>
      <c r="K900" s="4268"/>
      <c r="L900" s="4269">
        <f>'2 REPAIR ESTIMATOR'!P779</f>
        <v>0</v>
      </c>
      <c r="M900" s="4269"/>
      <c r="N900" s="4270" t="str">
        <f>T('2 REPAIR ESTIMATOR'!S779)</f>
        <v>sf</v>
      </c>
      <c r="O900" s="4270"/>
      <c r="P900" s="4284"/>
      <c r="Q900" s="4284"/>
      <c r="R900" s="4284"/>
      <c r="S900" s="4284"/>
      <c r="T900" s="4284"/>
      <c r="U900" s="4284"/>
      <c r="V900" s="4285"/>
      <c r="W900" s="12">
        <f t="shared" si="61"/>
        <v>1</v>
      </c>
      <c r="X900" s="12">
        <f t="shared" si="60"/>
        <v>1</v>
      </c>
      <c r="Y900" s="12">
        <f t="shared" si="59"/>
        <v>1</v>
      </c>
    </row>
    <row r="901" spans="4:25" ht="15.7">
      <c r="D901" s="4267" t="str">
        <f>T('2 REPAIR ESTIMATOR'!D780:O780)</f>
        <v>Clean and wax vinyl</v>
      </c>
      <c r="E901" s="4268"/>
      <c r="F901" s="4268"/>
      <c r="G901" s="4268"/>
      <c r="H901" s="4268"/>
      <c r="I901" s="4268"/>
      <c r="J901" s="4268"/>
      <c r="K901" s="4268"/>
      <c r="L901" s="4269">
        <f>'2 REPAIR ESTIMATOR'!P780</f>
        <v>0</v>
      </c>
      <c r="M901" s="4269"/>
      <c r="N901" s="4270" t="str">
        <f>T('2 REPAIR ESTIMATOR'!S780)</f>
        <v>sf</v>
      </c>
      <c r="O901" s="4270"/>
      <c r="P901" s="4284"/>
      <c r="Q901" s="4284"/>
      <c r="R901" s="4284"/>
      <c r="S901" s="4284"/>
      <c r="T901" s="4284"/>
      <c r="U901" s="4284"/>
      <c r="V901" s="4285"/>
      <c r="W901" s="12">
        <f t="shared" si="61"/>
        <v>1</v>
      </c>
      <c r="X901" s="12">
        <f t="shared" si="60"/>
        <v>1</v>
      </c>
      <c r="Y901" s="12">
        <f t="shared" si="59"/>
        <v>1</v>
      </c>
    </row>
    <row r="902" spans="4:25" ht="15.7">
      <c r="D902" s="4267" t="str">
        <f>T('2 REPAIR ESTIMATOR'!D781:O781)</f>
        <v/>
      </c>
      <c r="E902" s="4268"/>
      <c r="F902" s="4268"/>
      <c r="G902" s="4268"/>
      <c r="H902" s="4268"/>
      <c r="I902" s="4268"/>
      <c r="J902" s="4268"/>
      <c r="K902" s="4268"/>
      <c r="L902" s="4269">
        <f>'2 REPAIR ESTIMATOR'!P781</f>
        <v>0</v>
      </c>
      <c r="M902" s="4269"/>
      <c r="N902" s="4270" t="str">
        <f>T('2 REPAIR ESTIMATOR'!S781)</f>
        <v/>
      </c>
      <c r="O902" s="4270"/>
      <c r="P902" s="4284"/>
      <c r="Q902" s="4284"/>
      <c r="R902" s="4284"/>
      <c r="S902" s="4284"/>
      <c r="T902" s="4284"/>
      <c r="U902" s="4284"/>
      <c r="V902" s="4285"/>
      <c r="W902" s="12">
        <f t="shared" si="61"/>
        <v>1</v>
      </c>
      <c r="X902" s="12">
        <f t="shared" si="60"/>
        <v>1</v>
      </c>
      <c r="Y902" s="12">
        <f t="shared" si="59"/>
        <v>1</v>
      </c>
    </row>
    <row r="903" spans="4:25" ht="15.7">
      <c r="D903" s="4267" t="str">
        <f>T('2 REPAIR ESTIMATOR'!D782:O782)</f>
        <v/>
      </c>
      <c r="E903" s="4268"/>
      <c r="F903" s="4268"/>
      <c r="G903" s="4268"/>
      <c r="H903" s="4268"/>
      <c r="I903" s="4268"/>
      <c r="J903" s="4268"/>
      <c r="K903" s="4268"/>
      <c r="L903" s="4269">
        <f>'2 REPAIR ESTIMATOR'!P782</f>
        <v>0</v>
      </c>
      <c r="M903" s="4269"/>
      <c r="N903" s="4270" t="str">
        <f>T('2 REPAIR ESTIMATOR'!S782)</f>
        <v/>
      </c>
      <c r="O903" s="4270"/>
      <c r="P903" s="4284"/>
      <c r="Q903" s="4284"/>
      <c r="R903" s="4284"/>
      <c r="S903" s="4284"/>
      <c r="T903" s="4284"/>
      <c r="U903" s="4284"/>
      <c r="V903" s="4285"/>
      <c r="W903" s="12">
        <f t="shared" si="61"/>
        <v>1</v>
      </c>
      <c r="X903" s="12">
        <f t="shared" si="60"/>
        <v>1</v>
      </c>
      <c r="Y903" s="12">
        <f t="shared" si="59"/>
        <v>1</v>
      </c>
    </row>
    <row r="904" spans="4:25" ht="15.7">
      <c r="D904" s="4267" t="str">
        <f>T('2 REPAIR ESTIMATOR'!D783:O783)</f>
        <v/>
      </c>
      <c r="E904" s="4268"/>
      <c r="F904" s="4268"/>
      <c r="G904" s="4268"/>
      <c r="H904" s="4268"/>
      <c r="I904" s="4268"/>
      <c r="J904" s="4268"/>
      <c r="K904" s="4268"/>
      <c r="L904" s="4269">
        <f>'2 REPAIR ESTIMATOR'!P783</f>
        <v>0</v>
      </c>
      <c r="M904" s="4269"/>
      <c r="N904" s="4270" t="str">
        <f>T('2 REPAIR ESTIMATOR'!S783)</f>
        <v/>
      </c>
      <c r="O904" s="4270"/>
      <c r="P904" s="4284"/>
      <c r="Q904" s="4284"/>
      <c r="R904" s="4284"/>
      <c r="S904" s="4284"/>
      <c r="T904" s="4284"/>
      <c r="U904" s="4284"/>
      <c r="V904" s="4285"/>
      <c r="W904" s="12">
        <f t="shared" si="61"/>
        <v>1</v>
      </c>
      <c r="X904" s="12">
        <f t="shared" si="60"/>
        <v>1</v>
      </c>
      <c r="Y904" s="12">
        <f t="shared" si="59"/>
        <v>1</v>
      </c>
    </row>
    <row r="905" spans="4:25" ht="15.7">
      <c r="D905" s="4267" t="str">
        <f>T('2 REPAIR ESTIMATOR'!D784:O784)</f>
        <v/>
      </c>
      <c r="E905" s="4268"/>
      <c r="F905" s="4268"/>
      <c r="G905" s="4268"/>
      <c r="H905" s="4268"/>
      <c r="I905" s="4268"/>
      <c r="J905" s="4268"/>
      <c r="K905" s="4268"/>
      <c r="L905" s="4269">
        <f>'2 REPAIR ESTIMATOR'!P784</f>
        <v>0</v>
      </c>
      <c r="M905" s="4269"/>
      <c r="N905" s="4270" t="str">
        <f>T('2 REPAIR ESTIMATOR'!S784)</f>
        <v/>
      </c>
      <c r="O905" s="4270"/>
      <c r="P905" s="4284"/>
      <c r="Q905" s="4284"/>
      <c r="R905" s="4284"/>
      <c r="S905" s="4284"/>
      <c r="T905" s="4284"/>
      <c r="U905" s="4284"/>
      <c r="V905" s="4285"/>
      <c r="W905" s="12">
        <f t="shared" si="61"/>
        <v>1</v>
      </c>
      <c r="X905" s="12">
        <f t="shared" si="60"/>
        <v>1</v>
      </c>
      <c r="Y905" s="12">
        <f t="shared" si="59"/>
        <v>1</v>
      </c>
    </row>
    <row r="906" spans="4:25" ht="15.7">
      <c r="D906" s="4267" t="str">
        <f>T('2 REPAIR ESTIMATOR'!D785:O785)</f>
        <v/>
      </c>
      <c r="E906" s="4268"/>
      <c r="F906" s="4268"/>
      <c r="G906" s="4268"/>
      <c r="H906" s="4268"/>
      <c r="I906" s="4268"/>
      <c r="J906" s="4268"/>
      <c r="K906" s="4268"/>
      <c r="L906" s="4269">
        <f>'2 REPAIR ESTIMATOR'!P785</f>
        <v>0</v>
      </c>
      <c r="M906" s="4269"/>
      <c r="N906" s="4270" t="str">
        <f>T('2 REPAIR ESTIMATOR'!S785)</f>
        <v/>
      </c>
      <c r="O906" s="4270"/>
      <c r="P906" s="4284"/>
      <c r="Q906" s="4284"/>
      <c r="R906" s="4284"/>
      <c r="S906" s="4284"/>
      <c r="T906" s="4284"/>
      <c r="U906" s="4284"/>
      <c r="V906" s="4285"/>
      <c r="W906" s="12">
        <f t="shared" si="61"/>
        <v>1</v>
      </c>
      <c r="X906" s="12">
        <f t="shared" si="60"/>
        <v>1</v>
      </c>
      <c r="Y906" s="12">
        <f t="shared" si="59"/>
        <v>1</v>
      </c>
    </row>
    <row r="907" spans="4:25" ht="15.7">
      <c r="D907" s="4267" t="str">
        <f>T('2 REPAIR ESTIMATOR'!D786:O786)</f>
        <v/>
      </c>
      <c r="E907" s="4268"/>
      <c r="F907" s="4268"/>
      <c r="G907" s="4268"/>
      <c r="H907" s="4268"/>
      <c r="I907" s="4268"/>
      <c r="J907" s="4268"/>
      <c r="K907" s="4268"/>
      <c r="L907" s="4269">
        <f>'2 REPAIR ESTIMATOR'!P786</f>
        <v>0</v>
      </c>
      <c r="M907" s="4269"/>
      <c r="N907" s="4270" t="str">
        <f>T('2 REPAIR ESTIMATOR'!S786)</f>
        <v/>
      </c>
      <c r="O907" s="4270"/>
      <c r="P907" s="4284"/>
      <c r="Q907" s="4284"/>
      <c r="R907" s="4284"/>
      <c r="S907" s="4284"/>
      <c r="T907" s="4284"/>
      <c r="U907" s="4284"/>
      <c r="V907" s="4285"/>
      <c r="W907" s="12">
        <f t="shared" si="61"/>
        <v>1</v>
      </c>
      <c r="X907" s="12">
        <f t="shared" si="60"/>
        <v>1</v>
      </c>
      <c r="Y907" s="12">
        <f t="shared" si="59"/>
        <v>1</v>
      </c>
    </row>
    <row r="908" spans="4:25" ht="15.7">
      <c r="D908" s="4267" t="str">
        <f>T('2 REPAIR ESTIMATOR'!D787:O787)</f>
        <v/>
      </c>
      <c r="E908" s="4268"/>
      <c r="F908" s="4268"/>
      <c r="G908" s="4268"/>
      <c r="H908" s="4268"/>
      <c r="I908" s="4268"/>
      <c r="J908" s="4268"/>
      <c r="K908" s="4268"/>
      <c r="L908" s="4269">
        <f>'2 REPAIR ESTIMATOR'!P787</f>
        <v>0</v>
      </c>
      <c r="M908" s="4269"/>
      <c r="N908" s="4270" t="str">
        <f>T('2 REPAIR ESTIMATOR'!S787)</f>
        <v/>
      </c>
      <c r="O908" s="4270"/>
      <c r="P908" s="4284"/>
      <c r="Q908" s="4284"/>
      <c r="R908" s="4284"/>
      <c r="S908" s="4284"/>
      <c r="T908" s="4284"/>
      <c r="U908" s="4284"/>
      <c r="V908" s="4285"/>
      <c r="W908" s="12">
        <f t="shared" si="61"/>
        <v>1</v>
      </c>
      <c r="X908" s="12">
        <f t="shared" si="60"/>
        <v>1</v>
      </c>
      <c r="Y908" s="12">
        <f t="shared" si="59"/>
        <v>1</v>
      </c>
    </row>
    <row r="909" spans="4:25" ht="15.7">
      <c r="D909" s="4267" t="str">
        <f>T('2 REPAIR ESTIMATOR'!D788:O788)</f>
        <v/>
      </c>
      <c r="E909" s="4268"/>
      <c r="F909" s="4268"/>
      <c r="G909" s="4268"/>
      <c r="H909" s="4268"/>
      <c r="I909" s="4268"/>
      <c r="J909" s="4268"/>
      <c r="K909" s="4268"/>
      <c r="L909" s="4269">
        <f>'2 REPAIR ESTIMATOR'!P788</f>
        <v>0</v>
      </c>
      <c r="M909" s="4269"/>
      <c r="N909" s="4270" t="str">
        <f>T('2 REPAIR ESTIMATOR'!S788)</f>
        <v/>
      </c>
      <c r="O909" s="4270"/>
      <c r="P909" s="4284"/>
      <c r="Q909" s="4284"/>
      <c r="R909" s="4284"/>
      <c r="S909" s="4284"/>
      <c r="T909" s="4284"/>
      <c r="U909" s="4284"/>
      <c r="V909" s="4285"/>
      <c r="W909" s="12">
        <f t="shared" si="61"/>
        <v>1</v>
      </c>
      <c r="X909" s="12">
        <f t="shared" si="60"/>
        <v>1</v>
      </c>
      <c r="Y909" s="12">
        <f t="shared" si="59"/>
        <v>1</v>
      </c>
    </row>
    <row r="910" spans="4:25" ht="15.7">
      <c r="D910" s="4267" t="str">
        <f>T('2 REPAIR ESTIMATOR'!D789:O789)</f>
        <v/>
      </c>
      <c r="E910" s="4268"/>
      <c r="F910" s="4268"/>
      <c r="G910" s="4268"/>
      <c r="H910" s="4268"/>
      <c r="I910" s="4268"/>
      <c r="J910" s="4268"/>
      <c r="K910" s="4268"/>
      <c r="L910" s="4269">
        <f>'2 REPAIR ESTIMATOR'!P789</f>
        <v>0</v>
      </c>
      <c r="M910" s="4269"/>
      <c r="N910" s="4270" t="str">
        <f>T('2 REPAIR ESTIMATOR'!S789)</f>
        <v/>
      </c>
      <c r="O910" s="4270"/>
      <c r="P910" s="4284"/>
      <c r="Q910" s="4284"/>
      <c r="R910" s="4284"/>
      <c r="S910" s="4284"/>
      <c r="T910" s="4284"/>
      <c r="U910" s="4284"/>
      <c r="V910" s="4285"/>
      <c r="W910" s="12">
        <f t="shared" si="61"/>
        <v>1</v>
      </c>
      <c r="X910" s="12">
        <f t="shared" si="60"/>
        <v>1</v>
      </c>
      <c r="Y910" s="12">
        <f t="shared" si="59"/>
        <v>1</v>
      </c>
    </row>
    <row r="911" spans="4:25" ht="15.7">
      <c r="D911" s="4267" t="str">
        <f>T('2 REPAIR ESTIMATOR'!D790:O790)</f>
        <v/>
      </c>
      <c r="E911" s="4268"/>
      <c r="F911" s="4268"/>
      <c r="G911" s="4268"/>
      <c r="H911" s="4268"/>
      <c r="I911" s="4268"/>
      <c r="J911" s="4268"/>
      <c r="K911" s="4268"/>
      <c r="L911" s="4269">
        <f>'2 REPAIR ESTIMATOR'!P790</f>
        <v>0</v>
      </c>
      <c r="M911" s="4269"/>
      <c r="N911" s="4270" t="str">
        <f>T('2 REPAIR ESTIMATOR'!S790)</f>
        <v/>
      </c>
      <c r="O911" s="4270"/>
      <c r="P911" s="4284"/>
      <c r="Q911" s="4284"/>
      <c r="R911" s="4284"/>
      <c r="S911" s="4284"/>
      <c r="T911" s="4284"/>
      <c r="U911" s="4284"/>
      <c r="V911" s="4285"/>
      <c r="W911" s="12">
        <f t="shared" si="61"/>
        <v>1</v>
      </c>
      <c r="X911" s="12">
        <f t="shared" si="60"/>
        <v>1</v>
      </c>
      <c r="Y911" s="12">
        <f t="shared" si="59"/>
        <v>1</v>
      </c>
    </row>
    <row r="912" spans="4:25" ht="15.7">
      <c r="D912" s="4267" t="str">
        <f>T('2 REPAIR ESTIMATOR'!D791:O791)</f>
        <v/>
      </c>
      <c r="E912" s="4268"/>
      <c r="F912" s="4268"/>
      <c r="G912" s="4268"/>
      <c r="H912" s="4268"/>
      <c r="I912" s="4268"/>
      <c r="J912" s="4268"/>
      <c r="K912" s="4268"/>
      <c r="L912" s="4269">
        <f>'2 REPAIR ESTIMATOR'!P791</f>
        <v>0</v>
      </c>
      <c r="M912" s="4269"/>
      <c r="N912" s="4270" t="str">
        <f>T('2 REPAIR ESTIMATOR'!S791)</f>
        <v/>
      </c>
      <c r="O912" s="4270"/>
      <c r="P912" s="4284"/>
      <c r="Q912" s="4284"/>
      <c r="R912" s="4284"/>
      <c r="S912" s="4284"/>
      <c r="T912" s="4284"/>
      <c r="U912" s="4284"/>
      <c r="V912" s="4285"/>
      <c r="W912" s="12">
        <f t="shared" si="61"/>
        <v>1</v>
      </c>
      <c r="X912" s="12">
        <f t="shared" si="60"/>
        <v>1</v>
      </c>
      <c r="Y912" s="12">
        <f t="shared" si="59"/>
        <v>1</v>
      </c>
    </row>
    <row r="913" spans="3:25" ht="15.7">
      <c r="D913" s="4267" t="str">
        <f>T('2 REPAIR ESTIMATOR'!D792:O792)</f>
        <v/>
      </c>
      <c r="E913" s="4268"/>
      <c r="F913" s="4268"/>
      <c r="G913" s="4268"/>
      <c r="H913" s="4268"/>
      <c r="I913" s="4268"/>
      <c r="J913" s="4268"/>
      <c r="K913" s="4268"/>
      <c r="L913" s="4269">
        <f>'2 REPAIR ESTIMATOR'!P792</f>
        <v>0</v>
      </c>
      <c r="M913" s="4269"/>
      <c r="N913" s="4270" t="str">
        <f>T('2 REPAIR ESTIMATOR'!S792)</f>
        <v/>
      </c>
      <c r="O913" s="4270"/>
      <c r="P913" s="4284"/>
      <c r="Q913" s="4284"/>
      <c r="R913" s="4284"/>
      <c r="S913" s="4284"/>
      <c r="T913" s="4284"/>
      <c r="U913" s="4284"/>
      <c r="V913" s="4285"/>
      <c r="W913" s="12">
        <f t="shared" si="61"/>
        <v>1</v>
      </c>
      <c r="X913" s="12">
        <f t="shared" si="60"/>
        <v>1</v>
      </c>
      <c r="Y913" s="12">
        <f t="shared" si="59"/>
        <v>1</v>
      </c>
    </row>
    <row r="914" spans="3:25" ht="15.7">
      <c r="D914" s="4267" t="str">
        <f>T('2 REPAIR ESTIMATOR'!D793:O793)</f>
        <v/>
      </c>
      <c r="E914" s="4268"/>
      <c r="F914" s="4268"/>
      <c r="G914" s="4268"/>
      <c r="H914" s="4268"/>
      <c r="I914" s="4268"/>
      <c r="J914" s="4268"/>
      <c r="K914" s="4268"/>
      <c r="L914" s="4269">
        <f>'2 REPAIR ESTIMATOR'!P793</f>
        <v>0</v>
      </c>
      <c r="M914" s="4269"/>
      <c r="N914" s="4270" t="str">
        <f>T('2 REPAIR ESTIMATOR'!S793)</f>
        <v/>
      </c>
      <c r="O914" s="4270"/>
      <c r="P914" s="4284"/>
      <c r="Q914" s="4284"/>
      <c r="R914" s="4284"/>
      <c r="S914" s="4284"/>
      <c r="T914" s="4284"/>
      <c r="U914" s="4284"/>
      <c r="V914" s="4285"/>
      <c r="W914" s="12">
        <f t="shared" si="61"/>
        <v>1</v>
      </c>
      <c r="X914" s="12">
        <f t="shared" si="60"/>
        <v>1</v>
      </c>
      <c r="Y914" s="12">
        <f t="shared" si="59"/>
        <v>1</v>
      </c>
    </row>
    <row r="915" spans="3:25" ht="15.7">
      <c r="D915" s="4267" t="str">
        <f>T('2 REPAIR ESTIMATOR'!D794:O794)</f>
        <v/>
      </c>
      <c r="E915" s="4268"/>
      <c r="F915" s="4268"/>
      <c r="G915" s="4268"/>
      <c r="H915" s="4268"/>
      <c r="I915" s="4268"/>
      <c r="J915" s="4268"/>
      <c r="K915" s="4268"/>
      <c r="L915" s="4269">
        <f>'2 REPAIR ESTIMATOR'!P794</f>
        <v>0</v>
      </c>
      <c r="M915" s="4269"/>
      <c r="N915" s="4270" t="str">
        <f>T('2 REPAIR ESTIMATOR'!S794)</f>
        <v/>
      </c>
      <c r="O915" s="4270"/>
      <c r="P915" s="4284"/>
      <c r="Q915" s="4284"/>
      <c r="R915" s="4284"/>
      <c r="S915" s="4284"/>
      <c r="T915" s="4284"/>
      <c r="U915" s="4284"/>
      <c r="V915" s="4285"/>
      <c r="W915" s="12">
        <f t="shared" si="61"/>
        <v>1</v>
      </c>
      <c r="X915" s="12">
        <f t="shared" ref="X915:X938" si="62">IF(Scope16_Setting="Shown",1,0)</f>
        <v>1</v>
      </c>
      <c r="Y915" s="12">
        <f t="shared" si="59"/>
        <v>1</v>
      </c>
    </row>
    <row r="916" spans="3:25" ht="15.7">
      <c r="D916" s="4267" t="str">
        <f>T('2 REPAIR ESTIMATOR'!D795:O795)</f>
        <v/>
      </c>
      <c r="E916" s="4268"/>
      <c r="F916" s="4268"/>
      <c r="G916" s="4268"/>
      <c r="H916" s="4268"/>
      <c r="I916" s="4268"/>
      <c r="J916" s="4268"/>
      <c r="K916" s="4268"/>
      <c r="L916" s="4269">
        <f>'2 REPAIR ESTIMATOR'!P795</f>
        <v>0</v>
      </c>
      <c r="M916" s="4269"/>
      <c r="N916" s="4270" t="str">
        <f>T('2 REPAIR ESTIMATOR'!S795)</f>
        <v/>
      </c>
      <c r="O916" s="4270"/>
      <c r="P916" s="4284"/>
      <c r="Q916" s="4284"/>
      <c r="R916" s="4284"/>
      <c r="S916" s="4284"/>
      <c r="T916" s="4284"/>
      <c r="U916" s="4284"/>
      <c r="V916" s="4285"/>
      <c r="W916" s="12">
        <f t="shared" si="61"/>
        <v>1</v>
      </c>
      <c r="X916" s="12">
        <f t="shared" si="62"/>
        <v>1</v>
      </c>
      <c r="Y916" s="12">
        <f t="shared" si="59"/>
        <v>1</v>
      </c>
    </row>
    <row r="917" spans="3:25" ht="15.7">
      <c r="D917" s="4267" t="str">
        <f>T('2 REPAIR ESTIMATOR'!D796:O796)</f>
        <v/>
      </c>
      <c r="E917" s="4268"/>
      <c r="F917" s="4268"/>
      <c r="G917" s="4268"/>
      <c r="H917" s="4268"/>
      <c r="I917" s="4268"/>
      <c r="J917" s="4268"/>
      <c r="K917" s="4268"/>
      <c r="L917" s="4269">
        <f>'2 REPAIR ESTIMATOR'!P796</f>
        <v>0</v>
      </c>
      <c r="M917" s="4269"/>
      <c r="N917" s="4270" t="str">
        <f>T('2 REPAIR ESTIMATOR'!S796)</f>
        <v/>
      </c>
      <c r="O917" s="4270"/>
      <c r="P917" s="4284"/>
      <c r="Q917" s="4284"/>
      <c r="R917" s="4284"/>
      <c r="S917" s="4284"/>
      <c r="T917" s="4284"/>
      <c r="U917" s="4284"/>
      <c r="V917" s="4285"/>
      <c r="W917" s="12">
        <f t="shared" si="61"/>
        <v>1</v>
      </c>
      <c r="X917" s="12">
        <f t="shared" si="62"/>
        <v>1</v>
      </c>
      <c r="Y917" s="12">
        <f t="shared" si="59"/>
        <v>1</v>
      </c>
    </row>
    <row r="918" spans="3:25" ht="15.7">
      <c r="D918" s="4267" t="str">
        <f>T('2 REPAIR ESTIMATOR'!D797:O797)</f>
        <v/>
      </c>
      <c r="E918" s="4268"/>
      <c r="F918" s="4268"/>
      <c r="G918" s="4268"/>
      <c r="H918" s="4268"/>
      <c r="I918" s="4268"/>
      <c r="J918" s="4268"/>
      <c r="K918" s="4268"/>
      <c r="L918" s="4269">
        <f>'2 REPAIR ESTIMATOR'!P797</f>
        <v>0</v>
      </c>
      <c r="M918" s="4269"/>
      <c r="N918" s="4270" t="str">
        <f>T('2 REPAIR ESTIMATOR'!S797)</f>
        <v/>
      </c>
      <c r="O918" s="4270"/>
      <c r="P918" s="4284"/>
      <c r="Q918" s="4284"/>
      <c r="R918" s="4284"/>
      <c r="S918" s="4284"/>
      <c r="T918" s="4284"/>
      <c r="U918" s="4284"/>
      <c r="V918" s="4285"/>
      <c r="W918" s="12">
        <f t="shared" si="61"/>
        <v>1</v>
      </c>
      <c r="X918" s="12">
        <f t="shared" si="62"/>
        <v>1</v>
      </c>
      <c r="Y918" s="12">
        <f t="shared" si="59"/>
        <v>1</v>
      </c>
    </row>
    <row r="919" spans="3:25" ht="15.7">
      <c r="D919" s="4267" t="str">
        <f>T('2 REPAIR ESTIMATOR'!D798:O798)</f>
        <v/>
      </c>
      <c r="E919" s="4268"/>
      <c r="F919" s="4268"/>
      <c r="G919" s="4268"/>
      <c r="H919" s="4268"/>
      <c r="I919" s="4268"/>
      <c r="J919" s="4268"/>
      <c r="K919" s="4268"/>
      <c r="L919" s="4269">
        <f>'2 REPAIR ESTIMATOR'!P798</f>
        <v>0</v>
      </c>
      <c r="M919" s="4269"/>
      <c r="N919" s="4270" t="str">
        <f>T('2 REPAIR ESTIMATOR'!S798)</f>
        <v/>
      </c>
      <c r="O919" s="4270"/>
      <c r="P919" s="4284"/>
      <c r="Q919" s="4284"/>
      <c r="R919" s="4284"/>
      <c r="S919" s="4284"/>
      <c r="T919" s="4284"/>
      <c r="U919" s="4284"/>
      <c r="V919" s="4285"/>
      <c r="W919" s="12">
        <f t="shared" si="61"/>
        <v>1</v>
      </c>
      <c r="X919" s="12">
        <f t="shared" si="62"/>
        <v>1</v>
      </c>
      <c r="Y919" s="12">
        <f t="shared" si="59"/>
        <v>1</v>
      </c>
    </row>
    <row r="920" spans="3:25" ht="15.7">
      <c r="D920" s="4267" t="str">
        <f>T('2 REPAIR ESTIMATOR'!D799:O799)</f>
        <v/>
      </c>
      <c r="E920" s="4268"/>
      <c r="F920" s="4268"/>
      <c r="G920" s="4268"/>
      <c r="H920" s="4268"/>
      <c r="I920" s="4268"/>
      <c r="J920" s="4268"/>
      <c r="K920" s="4268"/>
      <c r="L920" s="4269">
        <f>'2 REPAIR ESTIMATOR'!P799</f>
        <v>0</v>
      </c>
      <c r="M920" s="4269"/>
      <c r="N920" s="4270" t="str">
        <f>T('2 REPAIR ESTIMATOR'!S799)</f>
        <v/>
      </c>
      <c r="O920" s="4270"/>
      <c r="P920" s="4284"/>
      <c r="Q920" s="4284"/>
      <c r="R920" s="4284"/>
      <c r="S920" s="4284"/>
      <c r="T920" s="4284"/>
      <c r="U920" s="4284"/>
      <c r="V920" s="4285"/>
      <c r="W920" s="12">
        <f t="shared" si="61"/>
        <v>1</v>
      </c>
      <c r="X920" s="12">
        <f t="shared" si="62"/>
        <v>1</v>
      </c>
      <c r="Y920" s="12">
        <f t="shared" si="59"/>
        <v>1</v>
      </c>
    </row>
    <row r="921" spans="3:25" ht="15.7">
      <c r="D921" s="4267" t="str">
        <f>T('2 REPAIR ESTIMATOR'!D800:O800)</f>
        <v/>
      </c>
      <c r="E921" s="4268"/>
      <c r="F921" s="4268"/>
      <c r="G921" s="4268"/>
      <c r="H921" s="4268"/>
      <c r="I921" s="4268"/>
      <c r="J921" s="4268"/>
      <c r="K921" s="4268"/>
      <c r="L921" s="4269">
        <f>'2 REPAIR ESTIMATOR'!P800</f>
        <v>0</v>
      </c>
      <c r="M921" s="4269"/>
      <c r="N921" s="4270" t="str">
        <f>T('2 REPAIR ESTIMATOR'!S800)</f>
        <v/>
      </c>
      <c r="O921" s="4270"/>
      <c r="P921" s="4284"/>
      <c r="Q921" s="4284"/>
      <c r="R921" s="4284"/>
      <c r="S921" s="4284"/>
      <c r="T921" s="4284"/>
      <c r="U921" s="4284"/>
      <c r="V921" s="4285"/>
      <c r="W921" s="12">
        <f t="shared" si="61"/>
        <v>1</v>
      </c>
      <c r="X921" s="12">
        <f t="shared" si="62"/>
        <v>1</v>
      </c>
      <c r="Y921" s="12">
        <f t="shared" si="59"/>
        <v>1</v>
      </c>
    </row>
    <row r="922" spans="3:25" ht="15.7">
      <c r="D922" s="4267" t="str">
        <f>T('2 REPAIR ESTIMATOR'!D801:O801)</f>
        <v/>
      </c>
      <c r="E922" s="4268"/>
      <c r="F922" s="4268"/>
      <c r="G922" s="4268"/>
      <c r="H922" s="4268"/>
      <c r="I922" s="4268"/>
      <c r="J922" s="4268"/>
      <c r="K922" s="4268"/>
      <c r="L922" s="4269">
        <f>'2 REPAIR ESTIMATOR'!P801</f>
        <v>0</v>
      </c>
      <c r="M922" s="4269"/>
      <c r="N922" s="4270" t="str">
        <f>T('2 REPAIR ESTIMATOR'!S801)</f>
        <v/>
      </c>
      <c r="O922" s="4270"/>
      <c r="P922" s="4284"/>
      <c r="Q922" s="4284"/>
      <c r="R922" s="4284"/>
      <c r="S922" s="4284"/>
      <c r="T922" s="4284"/>
      <c r="U922" s="4284"/>
      <c r="V922" s="4285"/>
      <c r="W922" s="12">
        <f t="shared" si="61"/>
        <v>1</v>
      </c>
      <c r="X922" s="12">
        <f t="shared" si="62"/>
        <v>1</v>
      </c>
      <c r="Y922" s="12">
        <f t="shared" si="59"/>
        <v>1</v>
      </c>
    </row>
    <row r="923" spans="3:25" ht="15.7">
      <c r="D923" s="4267" t="str">
        <f>T('2 REPAIR ESTIMATOR'!D802:O802)</f>
        <v/>
      </c>
      <c r="E923" s="4268"/>
      <c r="F923" s="4268"/>
      <c r="G923" s="4268"/>
      <c r="H923" s="4268"/>
      <c r="I923" s="4268"/>
      <c r="J923" s="4268"/>
      <c r="K923" s="4268"/>
      <c r="L923" s="4269">
        <f>'2 REPAIR ESTIMATOR'!P802</f>
        <v>0</v>
      </c>
      <c r="M923" s="4269"/>
      <c r="N923" s="4270" t="str">
        <f>T('2 REPAIR ESTIMATOR'!S802)</f>
        <v/>
      </c>
      <c r="O923" s="4270"/>
      <c r="P923" s="4284"/>
      <c r="Q923" s="4284"/>
      <c r="R923" s="4284"/>
      <c r="S923" s="4284"/>
      <c r="T923" s="4284"/>
      <c r="U923" s="4284"/>
      <c r="V923" s="4285"/>
      <c r="W923" s="12">
        <f t="shared" si="61"/>
        <v>1</v>
      </c>
      <c r="X923" s="12">
        <f t="shared" si="62"/>
        <v>1</v>
      </c>
      <c r="Y923" s="12">
        <f t="shared" si="59"/>
        <v>1</v>
      </c>
    </row>
    <row r="924" spans="3:25" ht="15.7">
      <c r="C924" s="6"/>
      <c r="D924" s="723"/>
      <c r="E924" s="723"/>
      <c r="F924" s="723"/>
      <c r="G924" s="723"/>
      <c r="H924" s="723"/>
      <c r="I924" s="723"/>
      <c r="J924" s="723"/>
      <c r="K924" s="723"/>
      <c r="L924" s="724"/>
      <c r="M924" s="724"/>
      <c r="N924" s="725"/>
      <c r="O924" s="725"/>
      <c r="P924" s="724"/>
      <c r="Q924" s="445"/>
      <c r="R924" s="445"/>
      <c r="S924" s="725"/>
      <c r="T924" s="725"/>
      <c r="U924" s="725"/>
      <c r="V924" s="725"/>
      <c r="W924" s="12">
        <f>W925</f>
        <v>0</v>
      </c>
      <c r="X924" s="12">
        <f t="shared" si="62"/>
        <v>1</v>
      </c>
      <c r="Y924" s="12">
        <f t="shared" si="59"/>
        <v>0</v>
      </c>
    </row>
    <row r="925" spans="3:25" ht="16.7">
      <c r="C925" s="6"/>
      <c r="D925" s="4266" t="str">
        <f>UPPER(CONCATENATE("Miscellaneous ",D883," Items"))</f>
        <v>MISCELLANEOUS CARPET &amp; RESILIENT ITEMS</v>
      </c>
      <c r="E925" s="4266"/>
      <c r="F925" s="4266"/>
      <c r="G925" s="4266"/>
      <c r="H925" s="4266"/>
      <c r="I925" s="4266"/>
      <c r="J925" s="4266"/>
      <c r="K925" s="4266"/>
      <c r="L925" s="4266"/>
      <c r="M925" s="4266"/>
      <c r="N925" s="4266"/>
      <c r="O925" s="4266"/>
      <c r="P925" s="4266"/>
      <c r="Q925" s="4266"/>
      <c r="R925" s="4266"/>
      <c r="S925" s="4266"/>
      <c r="T925" s="4266"/>
      <c r="U925" s="4266"/>
      <c r="V925" s="4266"/>
      <c r="W925" s="12">
        <f>SUM(W926:W935)</f>
        <v>0</v>
      </c>
      <c r="X925" s="12">
        <f t="shared" si="62"/>
        <v>1</v>
      </c>
      <c r="Y925" s="12">
        <f t="shared" si="59"/>
        <v>0</v>
      </c>
    </row>
    <row r="926" spans="3:25" ht="15.7">
      <c r="C926" s="6"/>
      <c r="D926" s="712">
        <v>1</v>
      </c>
      <c r="E926" s="4263" t="s">
        <v>1468</v>
      </c>
      <c r="F926" s="4263"/>
      <c r="G926" s="4263"/>
      <c r="H926" s="4263"/>
      <c r="I926" s="4263"/>
      <c r="J926" s="4263"/>
      <c r="K926" s="4263"/>
      <c r="L926" s="4263"/>
      <c r="M926" s="4263"/>
      <c r="N926" s="4263"/>
      <c r="O926" s="4263"/>
      <c r="P926" s="4263"/>
      <c r="Q926" s="4263"/>
      <c r="R926" s="4263"/>
      <c r="S926" s="4263"/>
      <c r="T926" s="4263"/>
      <c r="U926" s="4263"/>
      <c r="V926" s="4263"/>
      <c r="W926" s="12">
        <f>IF(E926&lt;&gt;"",1,0)*W883</f>
        <v>0</v>
      </c>
      <c r="X926" s="12">
        <f t="shared" si="62"/>
        <v>1</v>
      </c>
      <c r="Y926" s="12">
        <f t="shared" si="59"/>
        <v>0</v>
      </c>
    </row>
    <row r="927" spans="3:25" ht="15.7">
      <c r="C927" s="6"/>
      <c r="D927" s="712">
        <v>2</v>
      </c>
      <c r="E927" s="4263" t="s">
        <v>1469</v>
      </c>
      <c r="F927" s="4263"/>
      <c r="G927" s="4263"/>
      <c r="H927" s="4263"/>
      <c r="I927" s="4263"/>
      <c r="J927" s="4263"/>
      <c r="K927" s="4263"/>
      <c r="L927" s="4263"/>
      <c r="M927" s="4263"/>
      <c r="N927" s="4263"/>
      <c r="O927" s="4263"/>
      <c r="P927" s="4263"/>
      <c r="Q927" s="4263"/>
      <c r="R927" s="4263"/>
      <c r="S927" s="4263"/>
      <c r="T927" s="4263"/>
      <c r="U927" s="4263"/>
      <c r="V927" s="4263"/>
      <c r="W927" s="12">
        <f>IF(E927&lt;&gt;"",1,0)*W883</f>
        <v>0</v>
      </c>
      <c r="X927" s="12">
        <f t="shared" si="62"/>
        <v>1</v>
      </c>
      <c r="Y927" s="12">
        <f t="shared" si="59"/>
        <v>0</v>
      </c>
    </row>
    <row r="928" spans="3:25" ht="15.7">
      <c r="C928" s="6"/>
      <c r="D928" s="712">
        <v>3</v>
      </c>
      <c r="E928" s="4263" t="s">
        <v>1472</v>
      </c>
      <c r="F928" s="4263"/>
      <c r="G928" s="4263"/>
      <c r="H928" s="4263"/>
      <c r="I928" s="4263"/>
      <c r="J928" s="4263"/>
      <c r="K928" s="4263"/>
      <c r="L928" s="4263"/>
      <c r="M928" s="4263"/>
      <c r="N928" s="4263"/>
      <c r="O928" s="4263"/>
      <c r="P928" s="4263"/>
      <c r="Q928" s="4263"/>
      <c r="R928" s="4263"/>
      <c r="S928" s="4263"/>
      <c r="T928" s="4263"/>
      <c r="U928" s="4263"/>
      <c r="V928" s="4263"/>
      <c r="W928" s="12">
        <f>IF(E928&lt;&gt;"",1,0)*W883</f>
        <v>0</v>
      </c>
      <c r="X928" s="12">
        <f t="shared" si="62"/>
        <v>1</v>
      </c>
      <c r="Y928" s="12">
        <f t="shared" si="59"/>
        <v>0</v>
      </c>
    </row>
    <row r="929" spans="3:25" ht="15.7">
      <c r="C929" s="6"/>
      <c r="D929" s="712">
        <v>4</v>
      </c>
      <c r="E929" s="4263" t="s">
        <v>1476</v>
      </c>
      <c r="F929" s="4263"/>
      <c r="G929" s="4263"/>
      <c r="H929" s="4263"/>
      <c r="I929" s="4263"/>
      <c r="J929" s="4263"/>
      <c r="K929" s="4263"/>
      <c r="L929" s="4263"/>
      <c r="M929" s="4263"/>
      <c r="N929" s="4263"/>
      <c r="O929" s="4263"/>
      <c r="P929" s="4263"/>
      <c r="Q929" s="4263"/>
      <c r="R929" s="4263"/>
      <c r="S929" s="4263"/>
      <c r="T929" s="4263"/>
      <c r="U929" s="4263"/>
      <c r="V929" s="4263"/>
      <c r="W929" s="12">
        <f>IF(E929&lt;&gt;"",1,0)*W883</f>
        <v>0</v>
      </c>
      <c r="X929" s="12">
        <f t="shared" si="62"/>
        <v>1</v>
      </c>
      <c r="Y929" s="12">
        <f t="shared" si="59"/>
        <v>0</v>
      </c>
    </row>
    <row r="930" spans="3:25" ht="15.7">
      <c r="C930" s="6"/>
      <c r="D930" s="712">
        <v>5</v>
      </c>
      <c r="E930" s="4263" t="s">
        <v>1471</v>
      </c>
      <c r="F930" s="4263"/>
      <c r="G930" s="4263"/>
      <c r="H930" s="4263"/>
      <c r="I930" s="4263"/>
      <c r="J930" s="4263"/>
      <c r="K930" s="4263"/>
      <c r="L930" s="4263"/>
      <c r="M930" s="4263"/>
      <c r="N930" s="4263"/>
      <c r="O930" s="4263"/>
      <c r="P930" s="4263"/>
      <c r="Q930" s="4263"/>
      <c r="R930" s="4263"/>
      <c r="S930" s="4263"/>
      <c r="T930" s="4263"/>
      <c r="U930" s="4263"/>
      <c r="V930" s="4263"/>
      <c r="W930" s="12">
        <f>IF(E930&lt;&gt;"",1,0)*W883</f>
        <v>0</v>
      </c>
      <c r="X930" s="12">
        <f t="shared" si="62"/>
        <v>1</v>
      </c>
      <c r="Y930" s="12">
        <f t="shared" si="59"/>
        <v>0</v>
      </c>
    </row>
    <row r="931" spans="3:25" ht="15.7">
      <c r="C931" s="6"/>
      <c r="D931" s="712">
        <v>6</v>
      </c>
      <c r="E931" s="4263" t="s">
        <v>1470</v>
      </c>
      <c r="F931" s="4263"/>
      <c r="G931" s="4263"/>
      <c r="H931" s="4263"/>
      <c r="I931" s="4263"/>
      <c r="J931" s="4263"/>
      <c r="K931" s="4263"/>
      <c r="L931" s="4263"/>
      <c r="M931" s="4263"/>
      <c r="N931" s="4263"/>
      <c r="O931" s="4263"/>
      <c r="P931" s="4263"/>
      <c r="Q931" s="4263"/>
      <c r="R931" s="4263"/>
      <c r="S931" s="4263"/>
      <c r="T931" s="4263"/>
      <c r="U931" s="4263"/>
      <c r="V931" s="4263"/>
      <c r="W931" s="12">
        <f>IF(E931&lt;&gt;"",1,0)*W883</f>
        <v>0</v>
      </c>
      <c r="X931" s="12">
        <f t="shared" si="62"/>
        <v>1</v>
      </c>
      <c r="Y931" s="12">
        <f t="shared" si="59"/>
        <v>0</v>
      </c>
    </row>
    <row r="932" spans="3:25" ht="15.7">
      <c r="C932" s="6"/>
      <c r="D932" s="712">
        <v>7</v>
      </c>
      <c r="E932" s="4263"/>
      <c r="F932" s="4263"/>
      <c r="G932" s="4263"/>
      <c r="H932" s="4263"/>
      <c r="I932" s="4263"/>
      <c r="J932" s="4263"/>
      <c r="K932" s="4263"/>
      <c r="L932" s="4263"/>
      <c r="M932" s="4263"/>
      <c r="N932" s="4263"/>
      <c r="O932" s="4263"/>
      <c r="P932" s="4263"/>
      <c r="Q932" s="4263"/>
      <c r="R932" s="4263"/>
      <c r="S932" s="4263"/>
      <c r="T932" s="4263"/>
      <c r="U932" s="4263"/>
      <c r="V932" s="4263"/>
      <c r="W932" s="12">
        <f>IF(E932&lt;&gt;"",1,0)*W883</f>
        <v>0</v>
      </c>
      <c r="X932" s="12">
        <f t="shared" si="62"/>
        <v>1</v>
      </c>
      <c r="Y932" s="12">
        <f t="shared" si="59"/>
        <v>0</v>
      </c>
    </row>
    <row r="933" spans="3:25" ht="15.7">
      <c r="C933" s="6"/>
      <c r="D933" s="712">
        <v>8</v>
      </c>
      <c r="E933" s="4263"/>
      <c r="F933" s="4263"/>
      <c r="G933" s="4263"/>
      <c r="H933" s="4263"/>
      <c r="I933" s="4263"/>
      <c r="J933" s="4263"/>
      <c r="K933" s="4263"/>
      <c r="L933" s="4263"/>
      <c r="M933" s="4263"/>
      <c r="N933" s="4263"/>
      <c r="O933" s="4263"/>
      <c r="P933" s="4263"/>
      <c r="Q933" s="4263"/>
      <c r="R933" s="4263"/>
      <c r="S933" s="4263"/>
      <c r="T933" s="4263"/>
      <c r="U933" s="4263"/>
      <c r="V933" s="4263"/>
      <c r="W933" s="12">
        <f>IF(E933&lt;&gt;"",1,0)*W883</f>
        <v>0</v>
      </c>
      <c r="X933" s="12">
        <f t="shared" si="62"/>
        <v>1</v>
      </c>
      <c r="Y933" s="12">
        <f t="shared" si="59"/>
        <v>0</v>
      </c>
    </row>
    <row r="934" spans="3:25" ht="15.7">
      <c r="C934" s="6"/>
      <c r="D934" s="712">
        <v>9</v>
      </c>
      <c r="E934" s="4263"/>
      <c r="F934" s="4263"/>
      <c r="G934" s="4263"/>
      <c r="H934" s="4263"/>
      <c r="I934" s="4263"/>
      <c r="J934" s="4263"/>
      <c r="K934" s="4263"/>
      <c r="L934" s="4263"/>
      <c r="M934" s="4263"/>
      <c r="N934" s="4263"/>
      <c r="O934" s="4263"/>
      <c r="P934" s="4263"/>
      <c r="Q934" s="4263"/>
      <c r="R934" s="4263"/>
      <c r="S934" s="4263"/>
      <c r="T934" s="4263"/>
      <c r="U934" s="4263"/>
      <c r="V934" s="4263"/>
      <c r="W934" s="12">
        <f>IF(E934&lt;&gt;"",1,0)*W883</f>
        <v>0</v>
      </c>
      <c r="X934" s="12">
        <f t="shared" si="62"/>
        <v>1</v>
      </c>
      <c r="Y934" s="12">
        <f t="shared" si="59"/>
        <v>0</v>
      </c>
    </row>
    <row r="935" spans="3:25" ht="15.7">
      <c r="C935" s="6"/>
      <c r="D935" s="712">
        <v>10</v>
      </c>
      <c r="E935" s="4263"/>
      <c r="F935" s="4263"/>
      <c r="G935" s="4263"/>
      <c r="H935" s="4263"/>
      <c r="I935" s="4263"/>
      <c r="J935" s="4263"/>
      <c r="K935" s="4263"/>
      <c r="L935" s="4263"/>
      <c r="M935" s="4263"/>
      <c r="N935" s="4263"/>
      <c r="O935" s="4263"/>
      <c r="P935" s="4263"/>
      <c r="Q935" s="4263"/>
      <c r="R935" s="4263"/>
      <c r="S935" s="4263"/>
      <c r="T935" s="4263"/>
      <c r="U935" s="4263"/>
      <c r="V935" s="4263"/>
      <c r="W935" s="12">
        <f>IF(E935&lt;&gt;"",1,0)*W883</f>
        <v>0</v>
      </c>
      <c r="X935" s="12">
        <f t="shared" si="62"/>
        <v>1</v>
      </c>
      <c r="Y935" s="12">
        <f t="shared" si="59"/>
        <v>0</v>
      </c>
    </row>
    <row r="936" spans="3:25" ht="15.7">
      <c r="C936" s="6"/>
      <c r="D936" s="723"/>
      <c r="E936" s="723"/>
      <c r="F936" s="723"/>
      <c r="G936" s="723"/>
      <c r="H936" s="723"/>
      <c r="I936" s="723"/>
      <c r="J936" s="723"/>
      <c r="K936" s="723"/>
      <c r="L936" s="724"/>
      <c r="M936" s="724"/>
      <c r="N936" s="725"/>
      <c r="O936" s="725"/>
      <c r="P936" s="724"/>
      <c r="Q936" s="445"/>
      <c r="R936" s="445"/>
      <c r="S936" s="726"/>
      <c r="T936" s="726"/>
      <c r="U936" s="726"/>
      <c r="V936" s="726"/>
      <c r="W936" s="12">
        <f>W883</f>
        <v>0</v>
      </c>
      <c r="X936" s="12">
        <f t="shared" si="62"/>
        <v>1</v>
      </c>
      <c r="Y936" s="12">
        <f t="shared" si="59"/>
        <v>0</v>
      </c>
    </row>
    <row r="937" spans="3:25" ht="40.5" customHeight="1">
      <c r="C937" s="6"/>
      <c r="D937" s="4264" t="str">
        <f>UPPER(CONCATENATE("TOTAL ",D883))</f>
        <v>TOTAL CARPET &amp; RESILIENT</v>
      </c>
      <c r="E937" s="4264"/>
      <c r="F937" s="4264"/>
      <c r="G937" s="4264"/>
      <c r="H937" s="4264"/>
      <c r="I937" s="4264"/>
      <c r="J937" s="4264"/>
      <c r="K937" s="4264"/>
      <c r="L937" s="4264"/>
      <c r="M937" s="4264"/>
      <c r="N937" s="4264"/>
      <c r="O937" s="4264"/>
      <c r="P937" s="4264"/>
      <c r="Q937" s="4265"/>
      <c r="R937" s="4265"/>
      <c r="S937" s="4265"/>
      <c r="T937" s="4265"/>
      <c r="U937" s="4265"/>
      <c r="V937" s="4265"/>
      <c r="W937" s="12">
        <f>W883</f>
        <v>0</v>
      </c>
      <c r="X937" s="12">
        <f t="shared" si="62"/>
        <v>1</v>
      </c>
      <c r="Y937" s="12">
        <f t="shared" si="59"/>
        <v>0</v>
      </c>
    </row>
    <row r="938" spans="3:25" ht="15.7">
      <c r="D938" s="723"/>
      <c r="E938" s="723"/>
      <c r="F938" s="723"/>
      <c r="G938" s="723"/>
      <c r="H938" s="723"/>
      <c r="I938" s="723"/>
      <c r="J938" s="723"/>
      <c r="K938" s="723"/>
      <c r="L938" s="724"/>
      <c r="M938" s="724"/>
      <c r="N938" s="725"/>
      <c r="O938" s="725"/>
      <c r="P938" s="724"/>
      <c r="Q938" s="445"/>
      <c r="R938" s="445"/>
      <c r="S938" s="726"/>
      <c r="T938" s="726"/>
      <c r="U938" s="726"/>
      <c r="V938" s="726"/>
      <c r="W938" s="12">
        <f>W883</f>
        <v>0</v>
      </c>
      <c r="X938" s="12">
        <f t="shared" si="62"/>
        <v>1</v>
      </c>
      <c r="Y938" s="12">
        <f t="shared" si="59"/>
        <v>0</v>
      </c>
    </row>
    <row r="939" spans="3:25" ht="26.45" customHeight="1">
      <c r="D939" s="4275" t="str">
        <f>T('2 REPAIR ESTIMATOR'!D807:O807)</f>
        <v>HARDWOOD FLOORING</v>
      </c>
      <c r="E939" s="4275"/>
      <c r="F939" s="4275"/>
      <c r="G939" s="4275"/>
      <c r="H939" s="4275"/>
      <c r="I939" s="4275"/>
      <c r="J939" s="4275"/>
      <c r="K939" s="4276"/>
      <c r="L939" s="4277">
        <f>SUM(L940:M979)</f>
        <v>0</v>
      </c>
      <c r="M939" s="4278"/>
      <c r="N939" s="4279"/>
      <c r="O939" s="4280"/>
      <c r="P939" s="4277"/>
      <c r="Q939" s="4281"/>
      <c r="R939" s="4281"/>
      <c r="S939" s="4281"/>
      <c r="T939" s="4281"/>
      <c r="U939" s="4281"/>
      <c r="V939" s="4281"/>
      <c r="W939" s="12">
        <f>IF(L939&gt;0,1,0)</f>
        <v>0</v>
      </c>
      <c r="X939" s="12">
        <f t="shared" ref="X939:X970" si="63">IF(Scope17_Setting="Shown",1,0)</f>
        <v>1</v>
      </c>
      <c r="Y939" s="12">
        <f t="shared" si="59"/>
        <v>0</v>
      </c>
    </row>
    <row r="940" spans="3:25" ht="15.7">
      <c r="D940" s="4267" t="str">
        <f>T('2 REPAIR ESTIMATOR'!D808:O808)</f>
        <v>Hardwood floors, bid/allowance</v>
      </c>
      <c r="E940" s="4268"/>
      <c r="F940" s="4268"/>
      <c r="G940" s="4268"/>
      <c r="H940" s="4268"/>
      <c r="I940" s="4268"/>
      <c r="J940" s="4268"/>
      <c r="K940" s="4268"/>
      <c r="L940" s="4269">
        <f>'2 REPAIR ESTIMATOR'!P808</f>
        <v>0</v>
      </c>
      <c r="M940" s="4269"/>
      <c r="N940" s="4270" t="str">
        <f>T('2 REPAIR ESTIMATOR'!S808)</f>
        <v>ls</v>
      </c>
      <c r="O940" s="4270"/>
      <c r="P940" s="4286"/>
      <c r="Q940" s="4286"/>
      <c r="R940" s="4286"/>
      <c r="S940" s="4286"/>
      <c r="T940" s="4286"/>
      <c r="U940" s="4286"/>
      <c r="V940" s="4287"/>
      <c r="W940" s="12">
        <f>IF(L940="",0,1)</f>
        <v>1</v>
      </c>
      <c r="X940" s="12">
        <f t="shared" si="63"/>
        <v>1</v>
      </c>
      <c r="Y940" s="12">
        <f t="shared" ref="Y940:Y1003" si="64">W940*X940</f>
        <v>1</v>
      </c>
    </row>
    <row r="941" spans="3:25" ht="15.7">
      <c r="D941" s="4267" t="str">
        <f>T('2 REPAIR ESTIMATOR'!D809:O809)</f>
        <v>Laminate Flooring</v>
      </c>
      <c r="E941" s="4268"/>
      <c r="F941" s="4268"/>
      <c r="G941" s="4268"/>
      <c r="H941" s="4268"/>
      <c r="I941" s="4268"/>
      <c r="J941" s="4268"/>
      <c r="K941" s="4268"/>
      <c r="L941" s="4269">
        <f>'2 REPAIR ESTIMATOR'!P809</f>
        <v>0</v>
      </c>
      <c r="M941" s="4269"/>
      <c r="N941" s="4270" t="str">
        <f>T('2 REPAIR ESTIMATOR'!S809)</f>
        <v/>
      </c>
      <c r="O941" s="4270"/>
      <c r="P941" s="4284"/>
      <c r="Q941" s="4284"/>
      <c r="R941" s="4284"/>
      <c r="S941" s="4284"/>
      <c r="T941" s="4284"/>
      <c r="U941" s="4284"/>
      <c r="V941" s="4285"/>
      <c r="W941" s="12">
        <f t="shared" ref="W941:W979" si="65">IF(L941="",0,1)</f>
        <v>1</v>
      </c>
      <c r="X941" s="12">
        <f t="shared" si="63"/>
        <v>1</v>
      </c>
      <c r="Y941" s="12">
        <f t="shared" si="64"/>
        <v>1</v>
      </c>
    </row>
    <row r="942" spans="3:25" ht="15.7">
      <c r="D942" s="4267" t="str">
        <f>T('2 REPAIR ESTIMATOR'!D810:O810)</f>
        <v>Laminate wood flooring, economy grade</v>
      </c>
      <c r="E942" s="4268"/>
      <c r="F942" s="4268"/>
      <c r="G942" s="4268"/>
      <c r="H942" s="4268"/>
      <c r="I942" s="4268"/>
      <c r="J942" s="4268"/>
      <c r="K942" s="4268"/>
      <c r="L942" s="4269">
        <f>'2 REPAIR ESTIMATOR'!P810</f>
        <v>0</v>
      </c>
      <c r="M942" s="4269"/>
      <c r="N942" s="4270" t="str">
        <f>T('2 REPAIR ESTIMATOR'!S810)</f>
        <v>sf</v>
      </c>
      <c r="O942" s="4270"/>
      <c r="P942" s="4284"/>
      <c r="Q942" s="4284"/>
      <c r="R942" s="4284"/>
      <c r="S942" s="4284"/>
      <c r="T942" s="4284"/>
      <c r="U942" s="4284"/>
      <c r="V942" s="4285"/>
      <c r="W942" s="12">
        <f t="shared" si="65"/>
        <v>1</v>
      </c>
      <c r="X942" s="12">
        <f t="shared" si="63"/>
        <v>1</v>
      </c>
      <c r="Y942" s="12">
        <f t="shared" si="64"/>
        <v>1</v>
      </c>
    </row>
    <row r="943" spans="3:25" ht="15.7">
      <c r="D943" s="4267" t="str">
        <f>T('2 REPAIR ESTIMATOR'!D811:O811)</f>
        <v>Laminate wood flooring, average grade</v>
      </c>
      <c r="E943" s="4268"/>
      <c r="F943" s="4268"/>
      <c r="G943" s="4268"/>
      <c r="H943" s="4268"/>
      <c r="I943" s="4268"/>
      <c r="J943" s="4268"/>
      <c r="K943" s="4268"/>
      <c r="L943" s="4269">
        <f>'2 REPAIR ESTIMATOR'!P811</f>
        <v>0</v>
      </c>
      <c r="M943" s="4269"/>
      <c r="N943" s="4270" t="str">
        <f>T('2 REPAIR ESTIMATOR'!S811)</f>
        <v>sf</v>
      </c>
      <c r="O943" s="4270"/>
      <c r="P943" s="4284"/>
      <c r="Q943" s="4284"/>
      <c r="R943" s="4284"/>
      <c r="S943" s="4284"/>
      <c r="T943" s="4284"/>
      <c r="U943" s="4284"/>
      <c r="V943" s="4285"/>
      <c r="W943" s="12">
        <f t="shared" si="65"/>
        <v>1</v>
      </c>
      <c r="X943" s="12">
        <f t="shared" si="63"/>
        <v>1</v>
      </c>
      <c r="Y943" s="12">
        <f t="shared" si="64"/>
        <v>1</v>
      </c>
    </row>
    <row r="944" spans="3:25" ht="15.7">
      <c r="D944" s="4267" t="str">
        <f>T('2 REPAIR ESTIMATOR'!D812:O812)</f>
        <v>Laminate wood flooring, premium grade</v>
      </c>
      <c r="E944" s="4268"/>
      <c r="F944" s="4268"/>
      <c r="G944" s="4268"/>
      <c r="H944" s="4268"/>
      <c r="I944" s="4268"/>
      <c r="J944" s="4268"/>
      <c r="K944" s="4268"/>
      <c r="L944" s="4269">
        <f>'2 REPAIR ESTIMATOR'!P812</f>
        <v>0</v>
      </c>
      <c r="M944" s="4269"/>
      <c r="N944" s="4270" t="str">
        <f>T('2 REPAIR ESTIMATOR'!S812)</f>
        <v>sf</v>
      </c>
      <c r="O944" s="4270"/>
      <c r="P944" s="4284"/>
      <c r="Q944" s="4284"/>
      <c r="R944" s="4284"/>
      <c r="S944" s="4284"/>
      <c r="T944" s="4284"/>
      <c r="U944" s="4284"/>
      <c r="V944" s="4285"/>
      <c r="W944" s="12">
        <f t="shared" si="65"/>
        <v>1</v>
      </c>
      <c r="X944" s="12">
        <f t="shared" si="63"/>
        <v>1</v>
      </c>
      <c r="Y944" s="12">
        <f t="shared" si="64"/>
        <v>1</v>
      </c>
    </row>
    <row r="945" spans="4:25" ht="15.7">
      <c r="D945" s="4267" t="str">
        <f>T('2 REPAIR ESTIMATOR'!D813:O813)</f>
        <v/>
      </c>
      <c r="E945" s="4268"/>
      <c r="F945" s="4268"/>
      <c r="G945" s="4268"/>
      <c r="H945" s="4268"/>
      <c r="I945" s="4268"/>
      <c r="J945" s="4268"/>
      <c r="K945" s="4268"/>
      <c r="L945" s="4269">
        <f>'2 REPAIR ESTIMATOR'!P813</f>
        <v>0</v>
      </c>
      <c r="M945" s="4269"/>
      <c r="N945" s="4270" t="str">
        <f>T('2 REPAIR ESTIMATOR'!S813)</f>
        <v/>
      </c>
      <c r="O945" s="4270"/>
      <c r="P945" s="4284"/>
      <c r="Q945" s="4284"/>
      <c r="R945" s="4284"/>
      <c r="S945" s="4284"/>
      <c r="T945" s="4284"/>
      <c r="U945" s="4284"/>
      <c r="V945" s="4285"/>
      <c r="W945" s="12">
        <f t="shared" si="65"/>
        <v>1</v>
      </c>
      <c r="X945" s="12">
        <f t="shared" si="63"/>
        <v>1</v>
      </c>
      <c r="Y945" s="12">
        <f t="shared" si="64"/>
        <v>1</v>
      </c>
    </row>
    <row r="946" spans="4:25" ht="15.7">
      <c r="D946" s="4267" t="str">
        <f>T('2 REPAIR ESTIMATOR'!D814:O814)</f>
        <v>Hardwood Flooring</v>
      </c>
      <c r="E946" s="4268"/>
      <c r="F946" s="4268"/>
      <c r="G946" s="4268"/>
      <c r="H946" s="4268"/>
      <c r="I946" s="4268"/>
      <c r="J946" s="4268"/>
      <c r="K946" s="4268"/>
      <c r="L946" s="4269">
        <f>'2 REPAIR ESTIMATOR'!P814</f>
        <v>0</v>
      </c>
      <c r="M946" s="4269"/>
      <c r="N946" s="4270" t="str">
        <f>T('2 REPAIR ESTIMATOR'!S814)</f>
        <v/>
      </c>
      <c r="O946" s="4270"/>
      <c r="P946" s="4284"/>
      <c r="Q946" s="4284"/>
      <c r="R946" s="4284"/>
      <c r="S946" s="4284"/>
      <c r="T946" s="4284"/>
      <c r="U946" s="4284"/>
      <c r="V946" s="4285"/>
      <c r="W946" s="12">
        <f t="shared" si="65"/>
        <v>1</v>
      </c>
      <c r="X946" s="12">
        <f t="shared" si="63"/>
        <v>1</v>
      </c>
      <c r="Y946" s="12">
        <f t="shared" si="64"/>
        <v>1</v>
      </c>
    </row>
    <row r="947" spans="4:25" ht="15.7">
      <c r="D947" s="4267" t="str">
        <f>T('2 REPAIR ESTIMATOR'!D815:O815)</f>
        <v>Hardwood flooring, economy grade</v>
      </c>
      <c r="E947" s="4268"/>
      <c r="F947" s="4268"/>
      <c r="G947" s="4268"/>
      <c r="H947" s="4268"/>
      <c r="I947" s="4268"/>
      <c r="J947" s="4268"/>
      <c r="K947" s="4268"/>
      <c r="L947" s="4269">
        <f>'2 REPAIR ESTIMATOR'!P815</f>
        <v>0</v>
      </c>
      <c r="M947" s="4269"/>
      <c r="N947" s="4270" t="str">
        <f>T('2 REPAIR ESTIMATOR'!S815)</f>
        <v>sf</v>
      </c>
      <c r="O947" s="4270"/>
      <c r="P947" s="4284"/>
      <c r="Q947" s="4284"/>
      <c r="R947" s="4284"/>
      <c r="S947" s="4284"/>
      <c r="T947" s="4284"/>
      <c r="U947" s="4284"/>
      <c r="V947" s="4285"/>
      <c r="W947" s="12">
        <f t="shared" si="65"/>
        <v>1</v>
      </c>
      <c r="X947" s="12">
        <f t="shared" si="63"/>
        <v>1</v>
      </c>
      <c r="Y947" s="12">
        <f t="shared" si="64"/>
        <v>1</v>
      </c>
    </row>
    <row r="948" spans="4:25" ht="15.7">
      <c r="D948" s="4267" t="str">
        <f>T('2 REPAIR ESTIMATOR'!D816:O816)</f>
        <v>Hardwood flooring, average grade</v>
      </c>
      <c r="E948" s="4268"/>
      <c r="F948" s="4268"/>
      <c r="G948" s="4268"/>
      <c r="H948" s="4268"/>
      <c r="I948" s="4268"/>
      <c r="J948" s="4268"/>
      <c r="K948" s="4268"/>
      <c r="L948" s="4269">
        <f>'2 REPAIR ESTIMATOR'!P816</f>
        <v>0</v>
      </c>
      <c r="M948" s="4269"/>
      <c r="N948" s="4270" t="str">
        <f>T('2 REPAIR ESTIMATOR'!S816)</f>
        <v>sf</v>
      </c>
      <c r="O948" s="4270"/>
      <c r="P948" s="4284"/>
      <c r="Q948" s="4284"/>
      <c r="R948" s="4284"/>
      <c r="S948" s="4284"/>
      <c r="T948" s="4284"/>
      <c r="U948" s="4284"/>
      <c r="V948" s="4285"/>
      <c r="W948" s="12">
        <f t="shared" si="65"/>
        <v>1</v>
      </c>
      <c r="X948" s="12">
        <f t="shared" si="63"/>
        <v>1</v>
      </c>
      <c r="Y948" s="12">
        <f t="shared" si="64"/>
        <v>1</v>
      </c>
    </row>
    <row r="949" spans="4:25" ht="15.7">
      <c r="D949" s="4267" t="str">
        <f>T('2 REPAIR ESTIMATOR'!D817:O817)</f>
        <v>Hardwood flooring, premium grade</v>
      </c>
      <c r="E949" s="4268"/>
      <c r="F949" s="4268"/>
      <c r="G949" s="4268"/>
      <c r="H949" s="4268"/>
      <c r="I949" s="4268"/>
      <c r="J949" s="4268"/>
      <c r="K949" s="4268"/>
      <c r="L949" s="4269">
        <f>'2 REPAIR ESTIMATOR'!P817</f>
        <v>0</v>
      </c>
      <c r="M949" s="4269"/>
      <c r="N949" s="4270" t="str">
        <f>T('2 REPAIR ESTIMATOR'!S817)</f>
        <v>sf</v>
      </c>
      <c r="O949" s="4270"/>
      <c r="P949" s="4284"/>
      <c r="Q949" s="4284"/>
      <c r="R949" s="4284"/>
      <c r="S949" s="4284"/>
      <c r="T949" s="4284"/>
      <c r="U949" s="4284"/>
      <c r="V949" s="4285"/>
      <c r="W949" s="12">
        <f t="shared" si="65"/>
        <v>1</v>
      </c>
      <c r="X949" s="12">
        <f t="shared" si="63"/>
        <v>1</v>
      </c>
      <c r="Y949" s="12">
        <f t="shared" si="64"/>
        <v>1</v>
      </c>
    </row>
    <row r="950" spans="4:25" ht="15.7">
      <c r="D950" s="4267" t="str">
        <f>T('2 REPAIR ESTIMATOR'!D818:O818)</f>
        <v/>
      </c>
      <c r="E950" s="4268"/>
      <c r="F950" s="4268"/>
      <c r="G950" s="4268"/>
      <c r="H950" s="4268"/>
      <c r="I950" s="4268"/>
      <c r="J950" s="4268"/>
      <c r="K950" s="4268"/>
      <c r="L950" s="4269">
        <f>'2 REPAIR ESTIMATOR'!P818</f>
        <v>0</v>
      </c>
      <c r="M950" s="4269"/>
      <c r="N950" s="4270" t="str">
        <f>T('2 REPAIR ESTIMATOR'!S818)</f>
        <v/>
      </c>
      <c r="O950" s="4270"/>
      <c r="P950" s="4284"/>
      <c r="Q950" s="4284"/>
      <c r="R950" s="4284"/>
      <c r="S950" s="4284"/>
      <c r="T950" s="4284"/>
      <c r="U950" s="4284"/>
      <c r="V950" s="4285"/>
      <c r="W950" s="12">
        <f t="shared" si="65"/>
        <v>1</v>
      </c>
      <c r="X950" s="12">
        <f t="shared" si="63"/>
        <v>1</v>
      </c>
      <c r="Y950" s="12">
        <f t="shared" si="64"/>
        <v>1</v>
      </c>
    </row>
    <row r="951" spans="4:25" ht="15.7">
      <c r="D951" s="4267" t="str">
        <f>T('2 REPAIR ESTIMATOR'!D819:O819)</f>
        <v>Hardwood Floor Refinishing</v>
      </c>
      <c r="E951" s="4268"/>
      <c r="F951" s="4268"/>
      <c r="G951" s="4268"/>
      <c r="H951" s="4268"/>
      <c r="I951" s="4268"/>
      <c r="J951" s="4268"/>
      <c r="K951" s="4268"/>
      <c r="L951" s="4269">
        <f>'2 REPAIR ESTIMATOR'!P819</f>
        <v>0</v>
      </c>
      <c r="M951" s="4269"/>
      <c r="N951" s="4270" t="str">
        <f>T('2 REPAIR ESTIMATOR'!S819)</f>
        <v/>
      </c>
      <c r="O951" s="4270"/>
      <c r="P951" s="4284"/>
      <c r="Q951" s="4284"/>
      <c r="R951" s="4284"/>
      <c r="S951" s="4284"/>
      <c r="T951" s="4284"/>
      <c r="U951" s="4284"/>
      <c r="V951" s="4285"/>
      <c r="W951" s="12">
        <f t="shared" si="65"/>
        <v>1</v>
      </c>
      <c r="X951" s="12">
        <f t="shared" si="63"/>
        <v>1</v>
      </c>
      <c r="Y951" s="12">
        <f t="shared" si="64"/>
        <v>1</v>
      </c>
    </row>
    <row r="952" spans="4:25" ht="15.7">
      <c r="D952" s="4267" t="str">
        <f>T('2 REPAIR ESTIMATOR'!D820:O820)</f>
        <v>Floor refinishing</v>
      </c>
      <c r="E952" s="4268"/>
      <c r="F952" s="4268"/>
      <c r="G952" s="4268"/>
      <c r="H952" s="4268"/>
      <c r="I952" s="4268"/>
      <c r="J952" s="4268"/>
      <c r="K952" s="4268"/>
      <c r="L952" s="4269">
        <f>'2 REPAIR ESTIMATOR'!P820</f>
        <v>0</v>
      </c>
      <c r="M952" s="4269"/>
      <c r="N952" s="4270" t="str">
        <f>T('2 REPAIR ESTIMATOR'!S820)</f>
        <v>sf</v>
      </c>
      <c r="O952" s="4270"/>
      <c r="P952" s="4284"/>
      <c r="Q952" s="4284"/>
      <c r="R952" s="4284"/>
      <c r="S952" s="4284"/>
      <c r="T952" s="4284"/>
      <c r="U952" s="4284"/>
      <c r="V952" s="4285"/>
      <c r="W952" s="12">
        <f t="shared" si="65"/>
        <v>1</v>
      </c>
      <c r="X952" s="12">
        <f t="shared" si="63"/>
        <v>1</v>
      </c>
      <c r="Y952" s="12">
        <f t="shared" si="64"/>
        <v>1</v>
      </c>
    </row>
    <row r="953" spans="4:25" ht="15.7">
      <c r="D953" s="4267" t="str">
        <f>T('2 REPAIR ESTIMATOR'!D821:O821)</f>
        <v>Lacing new hardwood to match existing, case-by-case</v>
      </c>
      <c r="E953" s="4268"/>
      <c r="F953" s="4268"/>
      <c r="G953" s="4268"/>
      <c r="H953" s="4268"/>
      <c r="I953" s="4268"/>
      <c r="J953" s="4268"/>
      <c r="K953" s="4268"/>
      <c r="L953" s="4269">
        <f>'2 REPAIR ESTIMATOR'!P821</f>
        <v>0</v>
      </c>
      <c r="M953" s="4269"/>
      <c r="N953" s="4270" t="str">
        <f>T('2 REPAIR ESTIMATOR'!S821)</f>
        <v>sf</v>
      </c>
      <c r="O953" s="4270"/>
      <c r="P953" s="4284"/>
      <c r="Q953" s="4284"/>
      <c r="R953" s="4284"/>
      <c r="S953" s="4284"/>
      <c r="T953" s="4284"/>
      <c r="U953" s="4284"/>
      <c r="V953" s="4285"/>
      <c r="W953" s="12">
        <f t="shared" si="65"/>
        <v>1</v>
      </c>
      <c r="X953" s="12">
        <f t="shared" si="63"/>
        <v>1</v>
      </c>
      <c r="Y953" s="12">
        <f t="shared" si="64"/>
        <v>1</v>
      </c>
    </row>
    <row r="954" spans="4:25" ht="15.7">
      <c r="D954" s="4267" t="str">
        <f>T('2 REPAIR ESTIMATOR'!D822:O822)</f>
        <v/>
      </c>
      <c r="E954" s="4268"/>
      <c r="F954" s="4268"/>
      <c r="G954" s="4268"/>
      <c r="H954" s="4268"/>
      <c r="I954" s="4268"/>
      <c r="J954" s="4268"/>
      <c r="K954" s="4268"/>
      <c r="L954" s="4269">
        <f>'2 REPAIR ESTIMATOR'!P822</f>
        <v>0</v>
      </c>
      <c r="M954" s="4269"/>
      <c r="N954" s="4270" t="str">
        <f>T('2 REPAIR ESTIMATOR'!S822)</f>
        <v/>
      </c>
      <c r="O954" s="4270"/>
      <c r="P954" s="4284"/>
      <c r="Q954" s="4284"/>
      <c r="R954" s="4284"/>
      <c r="S954" s="4284"/>
      <c r="T954" s="4284"/>
      <c r="U954" s="4284"/>
      <c r="V954" s="4285"/>
      <c r="W954" s="12">
        <f t="shared" si="65"/>
        <v>1</v>
      </c>
      <c r="X954" s="12">
        <f t="shared" si="63"/>
        <v>1</v>
      </c>
      <c r="Y954" s="12">
        <f t="shared" si="64"/>
        <v>1</v>
      </c>
    </row>
    <row r="955" spans="4:25" ht="15.7">
      <c r="D955" s="4267" t="str">
        <f>T('2 REPAIR ESTIMATOR'!D823:O823)</f>
        <v>Miscellaneous</v>
      </c>
      <c r="E955" s="4268"/>
      <c r="F955" s="4268"/>
      <c r="G955" s="4268"/>
      <c r="H955" s="4268"/>
      <c r="I955" s="4268"/>
      <c r="J955" s="4268"/>
      <c r="K955" s="4268"/>
      <c r="L955" s="4269">
        <f>'2 REPAIR ESTIMATOR'!P823</f>
        <v>0</v>
      </c>
      <c r="M955" s="4269"/>
      <c r="N955" s="4270" t="str">
        <f>T('2 REPAIR ESTIMATOR'!S823)</f>
        <v/>
      </c>
      <c r="O955" s="4270"/>
      <c r="P955" s="4284"/>
      <c r="Q955" s="4284"/>
      <c r="R955" s="4284"/>
      <c r="S955" s="4284"/>
      <c r="T955" s="4284"/>
      <c r="U955" s="4284"/>
      <c r="V955" s="4285"/>
      <c r="W955" s="12">
        <f t="shared" si="65"/>
        <v>1</v>
      </c>
      <c r="X955" s="12">
        <f t="shared" si="63"/>
        <v>1</v>
      </c>
      <c r="Y955" s="12">
        <f t="shared" si="64"/>
        <v>1</v>
      </c>
    </row>
    <row r="956" spans="4:25" ht="15.7">
      <c r="D956" s="4267" t="str">
        <f>T('2 REPAIR ESTIMATOR'!D824:O824)</f>
        <v>Stair treads, 4ft avg</v>
      </c>
      <c r="E956" s="4268"/>
      <c r="F956" s="4268"/>
      <c r="G956" s="4268"/>
      <c r="H956" s="4268"/>
      <c r="I956" s="4268"/>
      <c r="J956" s="4268"/>
      <c r="K956" s="4268"/>
      <c r="L956" s="4269">
        <f>'2 REPAIR ESTIMATOR'!P824</f>
        <v>0</v>
      </c>
      <c r="M956" s="4269"/>
      <c r="N956" s="4270" t="str">
        <f>T('2 REPAIR ESTIMATOR'!S824)</f>
        <v>ea</v>
      </c>
      <c r="O956" s="4270"/>
      <c r="P956" s="4284"/>
      <c r="Q956" s="4284"/>
      <c r="R956" s="4284"/>
      <c r="S956" s="4284"/>
      <c r="T956" s="4284"/>
      <c r="U956" s="4284"/>
      <c r="V956" s="4285"/>
      <c r="W956" s="12">
        <f t="shared" si="65"/>
        <v>1</v>
      </c>
      <c r="X956" s="12">
        <f t="shared" si="63"/>
        <v>1</v>
      </c>
      <c r="Y956" s="12">
        <f t="shared" si="64"/>
        <v>1</v>
      </c>
    </row>
    <row r="957" spans="4:25" ht="15.7">
      <c r="D957" s="4267" t="str">
        <f>T('2 REPAIR ESTIMATOR'!D825:O825)</f>
        <v>Shoe moldings</v>
      </c>
      <c r="E957" s="4268"/>
      <c r="F957" s="4268"/>
      <c r="G957" s="4268"/>
      <c r="H957" s="4268"/>
      <c r="I957" s="4268"/>
      <c r="J957" s="4268"/>
      <c r="K957" s="4268"/>
      <c r="L957" s="4269">
        <f>'2 REPAIR ESTIMATOR'!P825</f>
        <v>0</v>
      </c>
      <c r="M957" s="4269"/>
      <c r="N957" s="4270" t="str">
        <f>T('2 REPAIR ESTIMATOR'!S825)</f>
        <v>lf</v>
      </c>
      <c r="O957" s="4270"/>
      <c r="P957" s="4284"/>
      <c r="Q957" s="4284"/>
      <c r="R957" s="4284"/>
      <c r="S957" s="4284"/>
      <c r="T957" s="4284"/>
      <c r="U957" s="4284"/>
      <c r="V957" s="4285"/>
      <c r="W957" s="12">
        <f t="shared" si="65"/>
        <v>1</v>
      </c>
      <c r="X957" s="12">
        <f t="shared" si="63"/>
        <v>1</v>
      </c>
      <c r="Y957" s="12">
        <f t="shared" si="64"/>
        <v>1</v>
      </c>
    </row>
    <row r="958" spans="4:25" ht="15.7">
      <c r="D958" s="4267" t="str">
        <f>T('2 REPAIR ESTIMATOR'!D826:O826)</f>
        <v>Underlayment</v>
      </c>
      <c r="E958" s="4268"/>
      <c r="F958" s="4268"/>
      <c r="G958" s="4268"/>
      <c r="H958" s="4268"/>
      <c r="I958" s="4268"/>
      <c r="J958" s="4268"/>
      <c r="K958" s="4268"/>
      <c r="L958" s="4269">
        <f>'2 REPAIR ESTIMATOR'!P826</f>
        <v>0</v>
      </c>
      <c r="M958" s="4269"/>
      <c r="N958" s="4270" t="str">
        <f>T('2 REPAIR ESTIMATOR'!S826)</f>
        <v>sf</v>
      </c>
      <c r="O958" s="4270"/>
      <c r="P958" s="4284"/>
      <c r="Q958" s="4284"/>
      <c r="R958" s="4284"/>
      <c r="S958" s="4284"/>
      <c r="T958" s="4284"/>
      <c r="U958" s="4284"/>
      <c r="V958" s="4285"/>
      <c r="W958" s="12">
        <f t="shared" si="65"/>
        <v>1</v>
      </c>
      <c r="X958" s="12">
        <f t="shared" si="63"/>
        <v>1</v>
      </c>
      <c r="Y958" s="12">
        <f t="shared" si="64"/>
        <v>1</v>
      </c>
    </row>
    <row r="959" spans="4:25" ht="15.7">
      <c r="D959" s="4267" t="str">
        <f>T('2 REPAIR ESTIMATOR'!D827:O827)</f>
        <v/>
      </c>
      <c r="E959" s="4268"/>
      <c r="F959" s="4268"/>
      <c r="G959" s="4268"/>
      <c r="H959" s="4268"/>
      <c r="I959" s="4268"/>
      <c r="J959" s="4268"/>
      <c r="K959" s="4268"/>
      <c r="L959" s="4269">
        <f>'2 REPAIR ESTIMATOR'!P827</f>
        <v>0</v>
      </c>
      <c r="M959" s="4269"/>
      <c r="N959" s="4270" t="str">
        <f>T('2 REPAIR ESTIMATOR'!S827)</f>
        <v/>
      </c>
      <c r="O959" s="4270"/>
      <c r="P959" s="4284"/>
      <c r="Q959" s="4284"/>
      <c r="R959" s="4284"/>
      <c r="S959" s="4284"/>
      <c r="T959" s="4284"/>
      <c r="U959" s="4284"/>
      <c r="V959" s="4285"/>
      <c r="W959" s="12">
        <f t="shared" si="65"/>
        <v>1</v>
      </c>
      <c r="X959" s="12">
        <f t="shared" si="63"/>
        <v>1</v>
      </c>
      <c r="Y959" s="12">
        <f t="shared" si="64"/>
        <v>1</v>
      </c>
    </row>
    <row r="960" spans="4:25" ht="15.7">
      <c r="D960" s="4267" t="str">
        <f>T('2 REPAIR ESTIMATOR'!D828:O828)</f>
        <v/>
      </c>
      <c r="E960" s="4268"/>
      <c r="F960" s="4268"/>
      <c r="G960" s="4268"/>
      <c r="H960" s="4268"/>
      <c r="I960" s="4268"/>
      <c r="J960" s="4268"/>
      <c r="K960" s="4268"/>
      <c r="L960" s="4269">
        <f>'2 REPAIR ESTIMATOR'!P828</f>
        <v>0</v>
      </c>
      <c r="M960" s="4269"/>
      <c r="N960" s="4270" t="str">
        <f>T('2 REPAIR ESTIMATOR'!S828)</f>
        <v/>
      </c>
      <c r="O960" s="4270"/>
      <c r="P960" s="4284"/>
      <c r="Q960" s="4284"/>
      <c r="R960" s="4284"/>
      <c r="S960" s="4284"/>
      <c r="T960" s="4284"/>
      <c r="U960" s="4284"/>
      <c r="V960" s="4285"/>
      <c r="W960" s="12">
        <f t="shared" si="65"/>
        <v>1</v>
      </c>
      <c r="X960" s="12">
        <f t="shared" si="63"/>
        <v>1</v>
      </c>
      <c r="Y960" s="12">
        <f t="shared" si="64"/>
        <v>1</v>
      </c>
    </row>
    <row r="961" spans="4:25" ht="15.7">
      <c r="D961" s="4267" t="str">
        <f>T('2 REPAIR ESTIMATOR'!D829:O829)</f>
        <v/>
      </c>
      <c r="E961" s="4268"/>
      <c r="F961" s="4268"/>
      <c r="G961" s="4268"/>
      <c r="H961" s="4268"/>
      <c r="I961" s="4268"/>
      <c r="J961" s="4268"/>
      <c r="K961" s="4268"/>
      <c r="L961" s="4269">
        <f>'2 REPAIR ESTIMATOR'!P829</f>
        <v>0</v>
      </c>
      <c r="M961" s="4269"/>
      <c r="N961" s="4270" t="str">
        <f>T('2 REPAIR ESTIMATOR'!S829)</f>
        <v/>
      </c>
      <c r="O961" s="4270"/>
      <c r="P961" s="4284"/>
      <c r="Q961" s="4284"/>
      <c r="R961" s="4284"/>
      <c r="S961" s="4284"/>
      <c r="T961" s="4284"/>
      <c r="U961" s="4284"/>
      <c r="V961" s="4285"/>
      <c r="W961" s="12">
        <f t="shared" si="65"/>
        <v>1</v>
      </c>
      <c r="X961" s="12">
        <f t="shared" si="63"/>
        <v>1</v>
      </c>
      <c r="Y961" s="12">
        <f t="shared" si="64"/>
        <v>1</v>
      </c>
    </row>
    <row r="962" spans="4:25" ht="15.7">
      <c r="D962" s="4267" t="str">
        <f>T('2 REPAIR ESTIMATOR'!D830:O830)</f>
        <v/>
      </c>
      <c r="E962" s="4268"/>
      <c r="F962" s="4268"/>
      <c r="G962" s="4268"/>
      <c r="H962" s="4268"/>
      <c r="I962" s="4268"/>
      <c r="J962" s="4268"/>
      <c r="K962" s="4268"/>
      <c r="L962" s="4269">
        <f>'2 REPAIR ESTIMATOR'!P830</f>
        <v>0</v>
      </c>
      <c r="M962" s="4269"/>
      <c r="N962" s="4270" t="str">
        <f>T('2 REPAIR ESTIMATOR'!S830)</f>
        <v/>
      </c>
      <c r="O962" s="4270"/>
      <c r="P962" s="4284"/>
      <c r="Q962" s="4284"/>
      <c r="R962" s="4284"/>
      <c r="S962" s="4284"/>
      <c r="T962" s="4284"/>
      <c r="U962" s="4284"/>
      <c r="V962" s="4285"/>
      <c r="W962" s="12">
        <f t="shared" si="65"/>
        <v>1</v>
      </c>
      <c r="X962" s="12">
        <f t="shared" si="63"/>
        <v>1</v>
      </c>
      <c r="Y962" s="12">
        <f t="shared" si="64"/>
        <v>1</v>
      </c>
    </row>
    <row r="963" spans="4:25" ht="15.7">
      <c r="D963" s="4267" t="str">
        <f>T('2 REPAIR ESTIMATOR'!D831:O831)</f>
        <v/>
      </c>
      <c r="E963" s="4268"/>
      <c r="F963" s="4268"/>
      <c r="G963" s="4268"/>
      <c r="H963" s="4268"/>
      <c r="I963" s="4268"/>
      <c r="J963" s="4268"/>
      <c r="K963" s="4268"/>
      <c r="L963" s="4269">
        <f>'2 REPAIR ESTIMATOR'!P831</f>
        <v>0</v>
      </c>
      <c r="M963" s="4269"/>
      <c r="N963" s="4270" t="str">
        <f>T('2 REPAIR ESTIMATOR'!S831)</f>
        <v/>
      </c>
      <c r="O963" s="4270"/>
      <c r="P963" s="4284"/>
      <c r="Q963" s="4284"/>
      <c r="R963" s="4284"/>
      <c r="S963" s="4284"/>
      <c r="T963" s="4284"/>
      <c r="U963" s="4284"/>
      <c r="V963" s="4285"/>
      <c r="W963" s="12">
        <f t="shared" si="65"/>
        <v>1</v>
      </c>
      <c r="X963" s="12">
        <f t="shared" si="63"/>
        <v>1</v>
      </c>
      <c r="Y963" s="12">
        <f t="shared" si="64"/>
        <v>1</v>
      </c>
    </row>
    <row r="964" spans="4:25" ht="15.7">
      <c r="D964" s="4267" t="str">
        <f>T('2 REPAIR ESTIMATOR'!D832:O832)</f>
        <v/>
      </c>
      <c r="E964" s="4268"/>
      <c r="F964" s="4268"/>
      <c r="G964" s="4268"/>
      <c r="H964" s="4268"/>
      <c r="I964" s="4268"/>
      <c r="J964" s="4268"/>
      <c r="K964" s="4268"/>
      <c r="L964" s="4269">
        <f>'2 REPAIR ESTIMATOR'!P832</f>
        <v>0</v>
      </c>
      <c r="M964" s="4269"/>
      <c r="N964" s="4270" t="str">
        <f>T('2 REPAIR ESTIMATOR'!S832)</f>
        <v/>
      </c>
      <c r="O964" s="4270"/>
      <c r="P964" s="4284"/>
      <c r="Q964" s="4284"/>
      <c r="R964" s="4284"/>
      <c r="S964" s="4284"/>
      <c r="T964" s="4284"/>
      <c r="U964" s="4284"/>
      <c r="V964" s="4285"/>
      <c r="W964" s="12">
        <f t="shared" si="65"/>
        <v>1</v>
      </c>
      <c r="X964" s="12">
        <f t="shared" si="63"/>
        <v>1</v>
      </c>
      <c r="Y964" s="12">
        <f t="shared" si="64"/>
        <v>1</v>
      </c>
    </row>
    <row r="965" spans="4:25" ht="15.7">
      <c r="D965" s="4267" t="str">
        <f>T('2 REPAIR ESTIMATOR'!D833:O833)</f>
        <v/>
      </c>
      <c r="E965" s="4268"/>
      <c r="F965" s="4268"/>
      <c r="G965" s="4268"/>
      <c r="H965" s="4268"/>
      <c r="I965" s="4268"/>
      <c r="J965" s="4268"/>
      <c r="K965" s="4268"/>
      <c r="L965" s="4269">
        <f>'2 REPAIR ESTIMATOR'!P833</f>
        <v>0</v>
      </c>
      <c r="M965" s="4269"/>
      <c r="N965" s="4270" t="str">
        <f>T('2 REPAIR ESTIMATOR'!S833)</f>
        <v/>
      </c>
      <c r="O965" s="4270"/>
      <c r="P965" s="4284"/>
      <c r="Q965" s="4284"/>
      <c r="R965" s="4284"/>
      <c r="S965" s="4284"/>
      <c r="T965" s="4284"/>
      <c r="U965" s="4284"/>
      <c r="V965" s="4285"/>
      <c r="W965" s="12">
        <f t="shared" si="65"/>
        <v>1</v>
      </c>
      <c r="X965" s="12">
        <f t="shared" si="63"/>
        <v>1</v>
      </c>
      <c r="Y965" s="12">
        <f t="shared" si="64"/>
        <v>1</v>
      </c>
    </row>
    <row r="966" spans="4:25" ht="15.7">
      <c r="D966" s="4267" t="str">
        <f>T('2 REPAIR ESTIMATOR'!D834:O834)</f>
        <v/>
      </c>
      <c r="E966" s="4268"/>
      <c r="F966" s="4268"/>
      <c r="G966" s="4268"/>
      <c r="H966" s="4268"/>
      <c r="I966" s="4268"/>
      <c r="J966" s="4268"/>
      <c r="K966" s="4268"/>
      <c r="L966" s="4269">
        <f>'2 REPAIR ESTIMATOR'!P834</f>
        <v>0</v>
      </c>
      <c r="M966" s="4269"/>
      <c r="N966" s="4270" t="str">
        <f>T('2 REPAIR ESTIMATOR'!S834)</f>
        <v/>
      </c>
      <c r="O966" s="4270"/>
      <c r="P966" s="4284"/>
      <c r="Q966" s="4284"/>
      <c r="R966" s="4284"/>
      <c r="S966" s="4284"/>
      <c r="T966" s="4284"/>
      <c r="U966" s="4284"/>
      <c r="V966" s="4285"/>
      <c r="W966" s="12">
        <f t="shared" si="65"/>
        <v>1</v>
      </c>
      <c r="X966" s="12">
        <f t="shared" si="63"/>
        <v>1</v>
      </c>
      <c r="Y966" s="12">
        <f t="shared" si="64"/>
        <v>1</v>
      </c>
    </row>
    <row r="967" spans="4:25" ht="15.7">
      <c r="D967" s="4267" t="str">
        <f>T('2 REPAIR ESTIMATOR'!D835:O835)</f>
        <v/>
      </c>
      <c r="E967" s="4268"/>
      <c r="F967" s="4268"/>
      <c r="G967" s="4268"/>
      <c r="H967" s="4268"/>
      <c r="I967" s="4268"/>
      <c r="J967" s="4268"/>
      <c r="K967" s="4268"/>
      <c r="L967" s="4269">
        <f>'2 REPAIR ESTIMATOR'!P835</f>
        <v>0</v>
      </c>
      <c r="M967" s="4269"/>
      <c r="N967" s="4270" t="str">
        <f>T('2 REPAIR ESTIMATOR'!S835)</f>
        <v/>
      </c>
      <c r="O967" s="4270"/>
      <c r="P967" s="4284"/>
      <c r="Q967" s="4284"/>
      <c r="R967" s="4284"/>
      <c r="S967" s="4284"/>
      <c r="T967" s="4284"/>
      <c r="U967" s="4284"/>
      <c r="V967" s="4285"/>
      <c r="W967" s="12">
        <f t="shared" si="65"/>
        <v>1</v>
      </c>
      <c r="X967" s="12">
        <f t="shared" si="63"/>
        <v>1</v>
      </c>
      <c r="Y967" s="12">
        <f t="shared" si="64"/>
        <v>1</v>
      </c>
    </row>
    <row r="968" spans="4:25" ht="15.7">
      <c r="D968" s="4267" t="str">
        <f>T('2 REPAIR ESTIMATOR'!D836:O836)</f>
        <v/>
      </c>
      <c r="E968" s="4268"/>
      <c r="F968" s="4268"/>
      <c r="G968" s="4268"/>
      <c r="H968" s="4268"/>
      <c r="I968" s="4268"/>
      <c r="J968" s="4268"/>
      <c r="K968" s="4268"/>
      <c r="L968" s="4269">
        <f>'2 REPAIR ESTIMATOR'!P836</f>
        <v>0</v>
      </c>
      <c r="M968" s="4269"/>
      <c r="N968" s="4270" t="str">
        <f>T('2 REPAIR ESTIMATOR'!S836)</f>
        <v/>
      </c>
      <c r="O968" s="4270"/>
      <c r="P968" s="4284"/>
      <c r="Q968" s="4284"/>
      <c r="R968" s="4284"/>
      <c r="S968" s="4284"/>
      <c r="T968" s="4284"/>
      <c r="U968" s="4284"/>
      <c r="V968" s="4285"/>
      <c r="W968" s="12">
        <f t="shared" si="65"/>
        <v>1</v>
      </c>
      <c r="X968" s="12">
        <f t="shared" si="63"/>
        <v>1</v>
      </c>
      <c r="Y968" s="12">
        <f t="shared" si="64"/>
        <v>1</v>
      </c>
    </row>
    <row r="969" spans="4:25" ht="15.7">
      <c r="D969" s="4267" t="str">
        <f>T('2 REPAIR ESTIMATOR'!D837:O837)</f>
        <v/>
      </c>
      <c r="E969" s="4268"/>
      <c r="F969" s="4268"/>
      <c r="G969" s="4268"/>
      <c r="H969" s="4268"/>
      <c r="I969" s="4268"/>
      <c r="J969" s="4268"/>
      <c r="K969" s="4268"/>
      <c r="L969" s="4269">
        <f>'2 REPAIR ESTIMATOR'!P837</f>
        <v>0</v>
      </c>
      <c r="M969" s="4269"/>
      <c r="N969" s="4270" t="str">
        <f>T('2 REPAIR ESTIMATOR'!S837)</f>
        <v/>
      </c>
      <c r="O969" s="4270"/>
      <c r="P969" s="4284"/>
      <c r="Q969" s="4284"/>
      <c r="R969" s="4284"/>
      <c r="S969" s="4284"/>
      <c r="T969" s="4284"/>
      <c r="U969" s="4284"/>
      <c r="V969" s="4285"/>
      <c r="W969" s="12">
        <f t="shared" si="65"/>
        <v>1</v>
      </c>
      <c r="X969" s="12">
        <f t="shared" si="63"/>
        <v>1</v>
      </c>
      <c r="Y969" s="12">
        <f t="shared" si="64"/>
        <v>1</v>
      </c>
    </row>
    <row r="970" spans="4:25" ht="15.7">
      <c r="D970" s="4267" t="str">
        <f>T('2 REPAIR ESTIMATOR'!D838:O838)</f>
        <v/>
      </c>
      <c r="E970" s="4268"/>
      <c r="F970" s="4268"/>
      <c r="G970" s="4268"/>
      <c r="H970" s="4268"/>
      <c r="I970" s="4268"/>
      <c r="J970" s="4268"/>
      <c r="K970" s="4268"/>
      <c r="L970" s="4269">
        <f>'2 REPAIR ESTIMATOR'!P838</f>
        <v>0</v>
      </c>
      <c r="M970" s="4269"/>
      <c r="N970" s="4270" t="str">
        <f>T('2 REPAIR ESTIMATOR'!S838)</f>
        <v/>
      </c>
      <c r="O970" s="4270"/>
      <c r="P970" s="4284"/>
      <c r="Q970" s="4284"/>
      <c r="R970" s="4284"/>
      <c r="S970" s="4284"/>
      <c r="T970" s="4284"/>
      <c r="U970" s="4284"/>
      <c r="V970" s="4285"/>
      <c r="W970" s="12">
        <f t="shared" si="65"/>
        <v>1</v>
      </c>
      <c r="X970" s="12">
        <f t="shared" si="63"/>
        <v>1</v>
      </c>
      <c r="Y970" s="12">
        <f t="shared" si="64"/>
        <v>1</v>
      </c>
    </row>
    <row r="971" spans="4:25" ht="15.7">
      <c r="D971" s="4267" t="str">
        <f>T('2 REPAIR ESTIMATOR'!D839:O839)</f>
        <v/>
      </c>
      <c r="E971" s="4268"/>
      <c r="F971" s="4268"/>
      <c r="G971" s="4268"/>
      <c r="H971" s="4268"/>
      <c r="I971" s="4268"/>
      <c r="J971" s="4268"/>
      <c r="K971" s="4268"/>
      <c r="L971" s="4269">
        <f>'2 REPAIR ESTIMATOR'!P839</f>
        <v>0</v>
      </c>
      <c r="M971" s="4269"/>
      <c r="N971" s="4270" t="str">
        <f>T('2 REPAIR ESTIMATOR'!S839)</f>
        <v/>
      </c>
      <c r="O971" s="4270"/>
      <c r="P971" s="4284"/>
      <c r="Q971" s="4284"/>
      <c r="R971" s="4284"/>
      <c r="S971" s="4284"/>
      <c r="T971" s="4284"/>
      <c r="U971" s="4284"/>
      <c r="V971" s="4285"/>
      <c r="W971" s="12">
        <f t="shared" si="65"/>
        <v>1</v>
      </c>
      <c r="X971" s="12">
        <f t="shared" ref="X971:X994" si="66">IF(Scope17_Setting="Shown",1,0)</f>
        <v>1</v>
      </c>
      <c r="Y971" s="12">
        <f t="shared" si="64"/>
        <v>1</v>
      </c>
    </row>
    <row r="972" spans="4:25" ht="15.7">
      <c r="D972" s="4267" t="str">
        <f>T('2 REPAIR ESTIMATOR'!D840:O840)</f>
        <v/>
      </c>
      <c r="E972" s="4268"/>
      <c r="F972" s="4268"/>
      <c r="G972" s="4268"/>
      <c r="H972" s="4268"/>
      <c r="I972" s="4268"/>
      <c r="J972" s="4268"/>
      <c r="K972" s="4268"/>
      <c r="L972" s="4269">
        <f>'2 REPAIR ESTIMATOR'!P840</f>
        <v>0</v>
      </c>
      <c r="M972" s="4269"/>
      <c r="N972" s="4270" t="str">
        <f>T('2 REPAIR ESTIMATOR'!S840)</f>
        <v/>
      </c>
      <c r="O972" s="4270"/>
      <c r="P972" s="4284"/>
      <c r="Q972" s="4284"/>
      <c r="R972" s="4284"/>
      <c r="S972" s="4284"/>
      <c r="T972" s="4284"/>
      <c r="U972" s="4284"/>
      <c r="V972" s="4285"/>
      <c r="W972" s="12">
        <f t="shared" si="65"/>
        <v>1</v>
      </c>
      <c r="X972" s="12">
        <f t="shared" si="66"/>
        <v>1</v>
      </c>
      <c r="Y972" s="12">
        <f t="shared" si="64"/>
        <v>1</v>
      </c>
    </row>
    <row r="973" spans="4:25" ht="15.7">
      <c r="D973" s="4267" t="str">
        <f>T('2 REPAIR ESTIMATOR'!D841:O841)</f>
        <v/>
      </c>
      <c r="E973" s="4268"/>
      <c r="F973" s="4268"/>
      <c r="G973" s="4268"/>
      <c r="H973" s="4268"/>
      <c r="I973" s="4268"/>
      <c r="J973" s="4268"/>
      <c r="K973" s="4268"/>
      <c r="L973" s="4269">
        <f>'2 REPAIR ESTIMATOR'!P841</f>
        <v>0</v>
      </c>
      <c r="M973" s="4269"/>
      <c r="N973" s="4270" t="str">
        <f>T('2 REPAIR ESTIMATOR'!S841)</f>
        <v/>
      </c>
      <c r="O973" s="4270"/>
      <c r="P973" s="4284"/>
      <c r="Q973" s="4284"/>
      <c r="R973" s="4284"/>
      <c r="S973" s="4284"/>
      <c r="T973" s="4284"/>
      <c r="U973" s="4284"/>
      <c r="V973" s="4285"/>
      <c r="W973" s="12">
        <f t="shared" si="65"/>
        <v>1</v>
      </c>
      <c r="X973" s="12">
        <f t="shared" si="66"/>
        <v>1</v>
      </c>
      <c r="Y973" s="12">
        <f t="shared" si="64"/>
        <v>1</v>
      </c>
    </row>
    <row r="974" spans="4:25" ht="15.7">
      <c r="D974" s="4267" t="str">
        <f>T('2 REPAIR ESTIMATOR'!D842:O842)</f>
        <v/>
      </c>
      <c r="E974" s="4268"/>
      <c r="F974" s="4268"/>
      <c r="G974" s="4268"/>
      <c r="H974" s="4268"/>
      <c r="I974" s="4268"/>
      <c r="J974" s="4268"/>
      <c r="K974" s="4268"/>
      <c r="L974" s="4269">
        <f>'2 REPAIR ESTIMATOR'!P842</f>
        <v>0</v>
      </c>
      <c r="M974" s="4269"/>
      <c r="N974" s="4270" t="str">
        <f>T('2 REPAIR ESTIMATOR'!S842)</f>
        <v/>
      </c>
      <c r="O974" s="4270"/>
      <c r="P974" s="4284"/>
      <c r="Q974" s="4284"/>
      <c r="R974" s="4284"/>
      <c r="S974" s="4284"/>
      <c r="T974" s="4284"/>
      <c r="U974" s="4284"/>
      <c r="V974" s="4285"/>
      <c r="W974" s="12">
        <f t="shared" si="65"/>
        <v>1</v>
      </c>
      <c r="X974" s="12">
        <f t="shared" si="66"/>
        <v>1</v>
      </c>
      <c r="Y974" s="12">
        <f t="shared" si="64"/>
        <v>1</v>
      </c>
    </row>
    <row r="975" spans="4:25" ht="15.7">
      <c r="D975" s="4267" t="str">
        <f>T('2 REPAIR ESTIMATOR'!D843:O843)</f>
        <v/>
      </c>
      <c r="E975" s="4268"/>
      <c r="F975" s="4268"/>
      <c r="G975" s="4268"/>
      <c r="H975" s="4268"/>
      <c r="I975" s="4268"/>
      <c r="J975" s="4268"/>
      <c r="K975" s="4268"/>
      <c r="L975" s="4269">
        <f>'2 REPAIR ESTIMATOR'!P843</f>
        <v>0</v>
      </c>
      <c r="M975" s="4269"/>
      <c r="N975" s="4270" t="str">
        <f>T('2 REPAIR ESTIMATOR'!S843)</f>
        <v/>
      </c>
      <c r="O975" s="4270"/>
      <c r="P975" s="4284"/>
      <c r="Q975" s="4284"/>
      <c r="R975" s="4284"/>
      <c r="S975" s="4284"/>
      <c r="T975" s="4284"/>
      <c r="U975" s="4284"/>
      <c r="V975" s="4285"/>
      <c r="W975" s="12">
        <f t="shared" si="65"/>
        <v>1</v>
      </c>
      <c r="X975" s="12">
        <f t="shared" si="66"/>
        <v>1</v>
      </c>
      <c r="Y975" s="12">
        <f t="shared" si="64"/>
        <v>1</v>
      </c>
    </row>
    <row r="976" spans="4:25" ht="15.7">
      <c r="D976" s="4267" t="str">
        <f>T('2 REPAIR ESTIMATOR'!D844:O844)</f>
        <v/>
      </c>
      <c r="E976" s="4268"/>
      <c r="F976" s="4268"/>
      <c r="G976" s="4268"/>
      <c r="H976" s="4268"/>
      <c r="I976" s="4268"/>
      <c r="J976" s="4268"/>
      <c r="K976" s="4268"/>
      <c r="L976" s="4269">
        <f>'2 REPAIR ESTIMATOR'!P844</f>
        <v>0</v>
      </c>
      <c r="M976" s="4269"/>
      <c r="N976" s="4270" t="str">
        <f>T('2 REPAIR ESTIMATOR'!S844)</f>
        <v/>
      </c>
      <c r="O976" s="4270"/>
      <c r="P976" s="4284"/>
      <c r="Q976" s="4284"/>
      <c r="R976" s="4284"/>
      <c r="S976" s="4284"/>
      <c r="T976" s="4284"/>
      <c r="U976" s="4284"/>
      <c r="V976" s="4285"/>
      <c r="W976" s="12">
        <f t="shared" si="65"/>
        <v>1</v>
      </c>
      <c r="X976" s="12">
        <f t="shared" si="66"/>
        <v>1</v>
      </c>
      <c r="Y976" s="12">
        <f t="shared" si="64"/>
        <v>1</v>
      </c>
    </row>
    <row r="977" spans="3:25" ht="15.7">
      <c r="D977" s="4267" t="str">
        <f>T('2 REPAIR ESTIMATOR'!D845:O845)</f>
        <v/>
      </c>
      <c r="E977" s="4268"/>
      <c r="F977" s="4268"/>
      <c r="G977" s="4268"/>
      <c r="H977" s="4268"/>
      <c r="I977" s="4268"/>
      <c r="J977" s="4268"/>
      <c r="K977" s="4268"/>
      <c r="L977" s="4269">
        <f>'2 REPAIR ESTIMATOR'!P845</f>
        <v>0</v>
      </c>
      <c r="M977" s="4269"/>
      <c r="N977" s="4270" t="str">
        <f>T('2 REPAIR ESTIMATOR'!S845)</f>
        <v/>
      </c>
      <c r="O977" s="4270"/>
      <c r="P977" s="4284"/>
      <c r="Q977" s="4284"/>
      <c r="R977" s="4284"/>
      <c r="S977" s="4284"/>
      <c r="T977" s="4284"/>
      <c r="U977" s="4284"/>
      <c r="V977" s="4285"/>
      <c r="W977" s="12">
        <f t="shared" si="65"/>
        <v>1</v>
      </c>
      <c r="X977" s="12">
        <f t="shared" si="66"/>
        <v>1</v>
      </c>
      <c r="Y977" s="12">
        <f t="shared" si="64"/>
        <v>1</v>
      </c>
    </row>
    <row r="978" spans="3:25" ht="15.7">
      <c r="D978" s="4267" t="str">
        <f>T('2 REPAIR ESTIMATOR'!D846:O846)</f>
        <v/>
      </c>
      <c r="E978" s="4268"/>
      <c r="F978" s="4268"/>
      <c r="G978" s="4268"/>
      <c r="H978" s="4268"/>
      <c r="I978" s="4268"/>
      <c r="J978" s="4268"/>
      <c r="K978" s="4268"/>
      <c r="L978" s="4269">
        <f>'2 REPAIR ESTIMATOR'!P846</f>
        <v>0</v>
      </c>
      <c r="M978" s="4269"/>
      <c r="N978" s="4270" t="str">
        <f>T('2 REPAIR ESTIMATOR'!S846)</f>
        <v/>
      </c>
      <c r="O978" s="4270"/>
      <c r="P978" s="4284"/>
      <c r="Q978" s="4284"/>
      <c r="R978" s="4284"/>
      <c r="S978" s="4284"/>
      <c r="T978" s="4284"/>
      <c r="U978" s="4284"/>
      <c r="V978" s="4285"/>
      <c r="W978" s="12">
        <f t="shared" si="65"/>
        <v>1</v>
      </c>
      <c r="X978" s="12">
        <f t="shared" si="66"/>
        <v>1</v>
      </c>
      <c r="Y978" s="12">
        <f t="shared" si="64"/>
        <v>1</v>
      </c>
    </row>
    <row r="979" spans="3:25" ht="15.7">
      <c r="D979" s="4267" t="str">
        <f>T('2 REPAIR ESTIMATOR'!D847:O847)</f>
        <v/>
      </c>
      <c r="E979" s="4268"/>
      <c r="F979" s="4268"/>
      <c r="G979" s="4268"/>
      <c r="H979" s="4268"/>
      <c r="I979" s="4268"/>
      <c r="J979" s="4268"/>
      <c r="K979" s="4268"/>
      <c r="L979" s="4269">
        <f>'2 REPAIR ESTIMATOR'!P847</f>
        <v>0</v>
      </c>
      <c r="M979" s="4269"/>
      <c r="N979" s="4270" t="str">
        <f>T('2 REPAIR ESTIMATOR'!S847)</f>
        <v/>
      </c>
      <c r="O979" s="4270"/>
      <c r="P979" s="4284"/>
      <c r="Q979" s="4284"/>
      <c r="R979" s="4284"/>
      <c r="S979" s="4284"/>
      <c r="T979" s="4284"/>
      <c r="U979" s="4284"/>
      <c r="V979" s="4285"/>
      <c r="W979" s="12">
        <f t="shared" si="65"/>
        <v>1</v>
      </c>
      <c r="X979" s="12">
        <f t="shared" si="66"/>
        <v>1</v>
      </c>
      <c r="Y979" s="12">
        <f t="shared" si="64"/>
        <v>1</v>
      </c>
    </row>
    <row r="980" spans="3:25" ht="15.7">
      <c r="C980" s="6"/>
      <c r="D980" s="723"/>
      <c r="E980" s="723"/>
      <c r="F980" s="723"/>
      <c r="G980" s="723"/>
      <c r="H980" s="723"/>
      <c r="I980" s="723"/>
      <c r="J980" s="723"/>
      <c r="K980" s="723"/>
      <c r="L980" s="724"/>
      <c r="M980" s="724"/>
      <c r="N980" s="725"/>
      <c r="O980" s="725"/>
      <c r="P980" s="724"/>
      <c r="Q980" s="445"/>
      <c r="R980" s="445"/>
      <c r="S980" s="725"/>
      <c r="T980" s="725"/>
      <c r="U980" s="725"/>
      <c r="V980" s="725"/>
      <c r="W980" s="12">
        <f>W981</f>
        <v>0</v>
      </c>
      <c r="X980" s="12">
        <f t="shared" si="66"/>
        <v>1</v>
      </c>
      <c r="Y980" s="12">
        <f t="shared" si="64"/>
        <v>0</v>
      </c>
    </row>
    <row r="981" spans="3:25" ht="16.7">
      <c r="C981" s="6"/>
      <c r="D981" s="4266" t="str">
        <f>UPPER(CONCATENATE("Miscellaneous ",D939," Items"))</f>
        <v>MISCELLANEOUS HARDWOOD FLOORING ITEMS</v>
      </c>
      <c r="E981" s="4266"/>
      <c r="F981" s="4266"/>
      <c r="G981" s="4266"/>
      <c r="H981" s="4266"/>
      <c r="I981" s="4266"/>
      <c r="J981" s="4266"/>
      <c r="K981" s="4266"/>
      <c r="L981" s="4266"/>
      <c r="M981" s="4266"/>
      <c r="N981" s="4266"/>
      <c r="O981" s="4266"/>
      <c r="P981" s="4266"/>
      <c r="Q981" s="4266"/>
      <c r="R981" s="4266"/>
      <c r="S981" s="4266"/>
      <c r="T981" s="4266"/>
      <c r="U981" s="4266"/>
      <c r="V981" s="4266"/>
      <c r="W981" s="12">
        <f>SUM(W982:W991)</f>
        <v>0</v>
      </c>
      <c r="X981" s="12">
        <f t="shared" si="66"/>
        <v>1</v>
      </c>
      <c r="Y981" s="12">
        <f t="shared" si="64"/>
        <v>0</v>
      </c>
    </row>
    <row r="982" spans="3:25" ht="15.7">
      <c r="C982" s="6"/>
      <c r="D982" s="712">
        <v>1</v>
      </c>
      <c r="E982" s="4263" t="s">
        <v>1473</v>
      </c>
      <c r="F982" s="4263"/>
      <c r="G982" s="4263"/>
      <c r="H982" s="4263"/>
      <c r="I982" s="4263"/>
      <c r="J982" s="4263"/>
      <c r="K982" s="4263"/>
      <c r="L982" s="4263"/>
      <c r="M982" s="4263"/>
      <c r="N982" s="4263"/>
      <c r="O982" s="4263"/>
      <c r="P982" s="4263"/>
      <c r="Q982" s="4263"/>
      <c r="R982" s="4263"/>
      <c r="S982" s="4263"/>
      <c r="T982" s="4263"/>
      <c r="U982" s="4263"/>
      <c r="V982" s="4263"/>
      <c r="W982" s="12">
        <f>IF(E982&lt;&gt;"",1,0)*W939</f>
        <v>0</v>
      </c>
      <c r="X982" s="12">
        <f t="shared" si="66"/>
        <v>1</v>
      </c>
      <c r="Y982" s="12">
        <f t="shared" si="64"/>
        <v>0</v>
      </c>
    </row>
    <row r="983" spans="3:25" ht="15.7">
      <c r="C983" s="6"/>
      <c r="D983" s="712">
        <v>2</v>
      </c>
      <c r="E983" s="4263" t="s">
        <v>1474</v>
      </c>
      <c r="F983" s="4263"/>
      <c r="G983" s="4263"/>
      <c r="H983" s="4263"/>
      <c r="I983" s="4263"/>
      <c r="J983" s="4263"/>
      <c r="K983" s="4263"/>
      <c r="L983" s="4263"/>
      <c r="M983" s="4263"/>
      <c r="N983" s="4263"/>
      <c r="O983" s="4263"/>
      <c r="P983" s="4263"/>
      <c r="Q983" s="4263"/>
      <c r="R983" s="4263"/>
      <c r="S983" s="4263"/>
      <c r="T983" s="4263"/>
      <c r="U983" s="4263"/>
      <c r="V983" s="4263"/>
      <c r="W983" s="12">
        <f>IF(E983&lt;&gt;"",1,0)*W939</f>
        <v>0</v>
      </c>
      <c r="X983" s="12">
        <f t="shared" si="66"/>
        <v>1</v>
      </c>
      <c r="Y983" s="12">
        <f t="shared" si="64"/>
        <v>0</v>
      </c>
    </row>
    <row r="984" spans="3:25" ht="15.7">
      <c r="C984" s="6"/>
      <c r="D984" s="712">
        <v>3</v>
      </c>
      <c r="E984" s="4263" t="s">
        <v>1475</v>
      </c>
      <c r="F984" s="4263"/>
      <c r="G984" s="4263"/>
      <c r="H984" s="4263"/>
      <c r="I984" s="4263"/>
      <c r="J984" s="4263"/>
      <c r="K984" s="4263"/>
      <c r="L984" s="4263"/>
      <c r="M984" s="4263"/>
      <c r="N984" s="4263"/>
      <c r="O984" s="4263"/>
      <c r="P984" s="4263"/>
      <c r="Q984" s="4263"/>
      <c r="R984" s="4263"/>
      <c r="S984" s="4263"/>
      <c r="T984" s="4263"/>
      <c r="U984" s="4263"/>
      <c r="V984" s="4263"/>
      <c r="W984" s="12">
        <f>IF(E984&lt;&gt;"",1,0)*W939</f>
        <v>0</v>
      </c>
      <c r="X984" s="12">
        <f t="shared" si="66"/>
        <v>1</v>
      </c>
      <c r="Y984" s="12">
        <f t="shared" si="64"/>
        <v>0</v>
      </c>
    </row>
    <row r="985" spans="3:25" ht="15.7">
      <c r="C985" s="6"/>
      <c r="D985" s="712">
        <v>4</v>
      </c>
      <c r="E985" s="4263" t="s">
        <v>1477</v>
      </c>
      <c r="F985" s="4263"/>
      <c r="G985" s="4263"/>
      <c r="H985" s="4263"/>
      <c r="I985" s="4263"/>
      <c r="J985" s="4263"/>
      <c r="K985" s="4263"/>
      <c r="L985" s="4263"/>
      <c r="M985" s="4263"/>
      <c r="N985" s="4263"/>
      <c r="O985" s="4263"/>
      <c r="P985" s="4263"/>
      <c r="Q985" s="4263"/>
      <c r="R985" s="4263"/>
      <c r="S985" s="4263"/>
      <c r="T985" s="4263"/>
      <c r="U985" s="4263"/>
      <c r="V985" s="4263"/>
      <c r="W985" s="12">
        <f>IF(E985&lt;&gt;"",1,0)*W939</f>
        <v>0</v>
      </c>
      <c r="X985" s="12">
        <f t="shared" si="66"/>
        <v>1</v>
      </c>
      <c r="Y985" s="12">
        <f t="shared" si="64"/>
        <v>0</v>
      </c>
    </row>
    <row r="986" spans="3:25" ht="15.7">
      <c r="C986" s="6"/>
      <c r="D986" s="712">
        <v>5</v>
      </c>
      <c r="E986" s="4263" t="s">
        <v>1478</v>
      </c>
      <c r="F986" s="4263"/>
      <c r="G986" s="4263"/>
      <c r="H986" s="4263"/>
      <c r="I986" s="4263"/>
      <c r="J986" s="4263"/>
      <c r="K986" s="4263"/>
      <c r="L986" s="4263"/>
      <c r="M986" s="4263"/>
      <c r="N986" s="4263"/>
      <c r="O986" s="4263"/>
      <c r="P986" s="4263"/>
      <c r="Q986" s="4263"/>
      <c r="R986" s="4263"/>
      <c r="S986" s="4263"/>
      <c r="T986" s="4263"/>
      <c r="U986" s="4263"/>
      <c r="V986" s="4263"/>
      <c r="W986" s="12">
        <f>IF(E986&lt;&gt;"",1,0)*W939</f>
        <v>0</v>
      </c>
      <c r="X986" s="12">
        <f t="shared" si="66"/>
        <v>1</v>
      </c>
      <c r="Y986" s="12">
        <f t="shared" si="64"/>
        <v>0</v>
      </c>
    </row>
    <row r="987" spans="3:25" ht="15.7">
      <c r="C987" s="6"/>
      <c r="D987" s="712">
        <v>6</v>
      </c>
      <c r="E987" s="4263"/>
      <c r="F987" s="4263"/>
      <c r="G987" s="4263"/>
      <c r="H987" s="4263"/>
      <c r="I987" s="4263"/>
      <c r="J987" s="4263"/>
      <c r="K987" s="4263"/>
      <c r="L987" s="4263"/>
      <c r="M987" s="4263"/>
      <c r="N987" s="4263"/>
      <c r="O987" s="4263"/>
      <c r="P987" s="4263"/>
      <c r="Q987" s="4263"/>
      <c r="R987" s="4263"/>
      <c r="S987" s="4263"/>
      <c r="T987" s="4263"/>
      <c r="U987" s="4263"/>
      <c r="V987" s="4263"/>
      <c r="W987" s="12">
        <f>IF(E987&lt;&gt;"",1,0)*W939</f>
        <v>0</v>
      </c>
      <c r="X987" s="12">
        <f t="shared" si="66"/>
        <v>1</v>
      </c>
      <c r="Y987" s="12">
        <f t="shared" si="64"/>
        <v>0</v>
      </c>
    </row>
    <row r="988" spans="3:25" ht="15.7">
      <c r="C988" s="6"/>
      <c r="D988" s="712">
        <v>7</v>
      </c>
      <c r="E988" s="4263"/>
      <c r="F988" s="4263"/>
      <c r="G988" s="4263"/>
      <c r="H988" s="4263"/>
      <c r="I988" s="4263"/>
      <c r="J988" s="4263"/>
      <c r="K988" s="4263"/>
      <c r="L988" s="4263"/>
      <c r="M988" s="4263"/>
      <c r="N988" s="4263"/>
      <c r="O988" s="4263"/>
      <c r="P988" s="4263"/>
      <c r="Q988" s="4263"/>
      <c r="R988" s="4263"/>
      <c r="S988" s="4263"/>
      <c r="T988" s="4263"/>
      <c r="U988" s="4263"/>
      <c r="V988" s="4263"/>
      <c r="W988" s="12">
        <f>IF(E988&lt;&gt;"",1,0)*W939</f>
        <v>0</v>
      </c>
      <c r="X988" s="12">
        <f t="shared" si="66"/>
        <v>1</v>
      </c>
      <c r="Y988" s="12">
        <f t="shared" si="64"/>
        <v>0</v>
      </c>
    </row>
    <row r="989" spans="3:25" ht="15.7">
      <c r="C989" s="6"/>
      <c r="D989" s="712">
        <v>8</v>
      </c>
      <c r="E989" s="4263"/>
      <c r="F989" s="4263"/>
      <c r="G989" s="4263"/>
      <c r="H989" s="4263"/>
      <c r="I989" s="4263"/>
      <c r="J989" s="4263"/>
      <c r="K989" s="4263"/>
      <c r="L989" s="4263"/>
      <c r="M989" s="4263"/>
      <c r="N989" s="4263"/>
      <c r="O989" s="4263"/>
      <c r="P989" s="4263"/>
      <c r="Q989" s="4263"/>
      <c r="R989" s="4263"/>
      <c r="S989" s="4263"/>
      <c r="T989" s="4263"/>
      <c r="U989" s="4263"/>
      <c r="V989" s="4263"/>
      <c r="W989" s="12">
        <f>IF(E989&lt;&gt;"",1,0)*W939</f>
        <v>0</v>
      </c>
      <c r="X989" s="12">
        <f t="shared" si="66"/>
        <v>1</v>
      </c>
      <c r="Y989" s="12">
        <f t="shared" si="64"/>
        <v>0</v>
      </c>
    </row>
    <row r="990" spans="3:25" ht="15.7">
      <c r="C990" s="6"/>
      <c r="D990" s="712">
        <v>9</v>
      </c>
      <c r="E990" s="4263"/>
      <c r="F990" s="4263"/>
      <c r="G990" s="4263"/>
      <c r="H990" s="4263"/>
      <c r="I990" s="4263"/>
      <c r="J990" s="4263"/>
      <c r="K990" s="4263"/>
      <c r="L990" s="4263"/>
      <c r="M990" s="4263"/>
      <c r="N990" s="4263"/>
      <c r="O990" s="4263"/>
      <c r="P990" s="4263"/>
      <c r="Q990" s="4263"/>
      <c r="R990" s="4263"/>
      <c r="S990" s="4263"/>
      <c r="T990" s="4263"/>
      <c r="U990" s="4263"/>
      <c r="V990" s="4263"/>
      <c r="W990" s="12">
        <f>IF(E990&lt;&gt;"",1,0)*W939</f>
        <v>0</v>
      </c>
      <c r="X990" s="12">
        <f t="shared" si="66"/>
        <v>1</v>
      </c>
      <c r="Y990" s="12">
        <f t="shared" si="64"/>
        <v>0</v>
      </c>
    </row>
    <row r="991" spans="3:25" ht="15.7">
      <c r="C991" s="6"/>
      <c r="D991" s="712">
        <v>10</v>
      </c>
      <c r="E991" s="4263"/>
      <c r="F991" s="4263"/>
      <c r="G991" s="4263"/>
      <c r="H991" s="4263"/>
      <c r="I991" s="4263"/>
      <c r="J991" s="4263"/>
      <c r="K991" s="4263"/>
      <c r="L991" s="4263"/>
      <c r="M991" s="4263"/>
      <c r="N991" s="4263"/>
      <c r="O991" s="4263"/>
      <c r="P991" s="4263"/>
      <c r="Q991" s="4263"/>
      <c r="R991" s="4263"/>
      <c r="S991" s="4263"/>
      <c r="T991" s="4263"/>
      <c r="U991" s="4263"/>
      <c r="V991" s="4263"/>
      <c r="W991" s="12">
        <f>IF(E991&lt;&gt;"",1,0)*W939</f>
        <v>0</v>
      </c>
      <c r="X991" s="12">
        <f t="shared" si="66"/>
        <v>1</v>
      </c>
      <c r="Y991" s="12">
        <f t="shared" si="64"/>
        <v>0</v>
      </c>
    </row>
    <row r="992" spans="3:25" ht="15.7">
      <c r="C992" s="6"/>
      <c r="D992" s="723"/>
      <c r="E992" s="723"/>
      <c r="F992" s="723"/>
      <c r="G992" s="723"/>
      <c r="H992" s="723"/>
      <c r="I992" s="723"/>
      <c r="J992" s="723"/>
      <c r="K992" s="723"/>
      <c r="L992" s="724"/>
      <c r="M992" s="724"/>
      <c r="N992" s="725"/>
      <c r="O992" s="725"/>
      <c r="P992" s="724"/>
      <c r="Q992" s="445"/>
      <c r="R992" s="445"/>
      <c r="S992" s="726"/>
      <c r="T992" s="726"/>
      <c r="U992" s="726"/>
      <c r="V992" s="726"/>
      <c r="W992" s="12">
        <f>W939</f>
        <v>0</v>
      </c>
      <c r="X992" s="12">
        <f t="shared" si="66"/>
        <v>1</v>
      </c>
      <c r="Y992" s="12">
        <f t="shared" si="64"/>
        <v>0</v>
      </c>
    </row>
    <row r="993" spans="3:25" ht="40.5" customHeight="1">
      <c r="C993" s="6"/>
      <c r="D993" s="4264" t="str">
        <f>UPPER(CONCATENATE("TOTAL ",D939))</f>
        <v>TOTAL HARDWOOD FLOORING</v>
      </c>
      <c r="E993" s="4264"/>
      <c r="F993" s="4264"/>
      <c r="G993" s="4264"/>
      <c r="H993" s="4264"/>
      <c r="I993" s="4264"/>
      <c r="J993" s="4264"/>
      <c r="K993" s="4264"/>
      <c r="L993" s="4264"/>
      <c r="M993" s="4264"/>
      <c r="N993" s="4264"/>
      <c r="O993" s="4264"/>
      <c r="P993" s="4264"/>
      <c r="Q993" s="4265"/>
      <c r="R993" s="4265"/>
      <c r="S993" s="4265"/>
      <c r="T993" s="4265"/>
      <c r="U993" s="4265"/>
      <c r="V993" s="4265"/>
      <c r="W993" s="12">
        <f>W939</f>
        <v>0</v>
      </c>
      <c r="X993" s="12">
        <f t="shared" si="66"/>
        <v>1</v>
      </c>
      <c r="Y993" s="12">
        <f t="shared" si="64"/>
        <v>0</v>
      </c>
    </row>
    <row r="994" spans="3:25" ht="15.7">
      <c r="D994" s="723"/>
      <c r="E994" s="723"/>
      <c r="F994" s="723"/>
      <c r="G994" s="723"/>
      <c r="H994" s="723"/>
      <c r="I994" s="723"/>
      <c r="J994" s="723"/>
      <c r="K994" s="723"/>
      <c r="L994" s="724"/>
      <c r="M994" s="724"/>
      <c r="N994" s="725"/>
      <c r="O994" s="725"/>
      <c r="P994" s="724"/>
      <c r="Q994" s="445"/>
      <c r="R994" s="445"/>
      <c r="S994" s="726"/>
      <c r="T994" s="726"/>
      <c r="U994" s="726"/>
      <c r="V994" s="726"/>
      <c r="W994" s="12">
        <f>W939</f>
        <v>0</v>
      </c>
      <c r="X994" s="12">
        <f t="shared" si="66"/>
        <v>1</v>
      </c>
      <c r="Y994" s="12">
        <f t="shared" si="64"/>
        <v>0</v>
      </c>
    </row>
    <row r="995" spans="3:25" ht="26.45" customHeight="1">
      <c r="D995" s="4275" t="str">
        <f>T('2 REPAIR ESTIMATOR'!D852:O852)</f>
        <v>TILING</v>
      </c>
      <c r="E995" s="4275"/>
      <c r="F995" s="4275"/>
      <c r="G995" s="4275"/>
      <c r="H995" s="4275"/>
      <c r="I995" s="4275"/>
      <c r="J995" s="4275"/>
      <c r="K995" s="4276"/>
      <c r="L995" s="4277">
        <f>SUM(L996:M1035)</f>
        <v>0</v>
      </c>
      <c r="M995" s="4278"/>
      <c r="N995" s="4279"/>
      <c r="O995" s="4280"/>
      <c r="P995" s="4277"/>
      <c r="Q995" s="4281"/>
      <c r="R995" s="4281"/>
      <c r="S995" s="4281"/>
      <c r="T995" s="4281"/>
      <c r="U995" s="4281"/>
      <c r="V995" s="4281"/>
      <c r="W995" s="12">
        <f>IF(L995&gt;0,1,0)</f>
        <v>0</v>
      </c>
      <c r="X995" s="12">
        <f t="shared" ref="X995:X1026" si="67">IF(Scope18_Setting="Shown",1,0)</f>
        <v>1</v>
      </c>
      <c r="Y995" s="12">
        <f t="shared" si="64"/>
        <v>0</v>
      </c>
    </row>
    <row r="996" spans="3:25" ht="15.7">
      <c r="D996" s="4267" t="str">
        <f>T('2 REPAIR ESTIMATOR'!D853:O853)</f>
        <v>Tiling bid/allowance</v>
      </c>
      <c r="E996" s="4268"/>
      <c r="F996" s="4268"/>
      <c r="G996" s="4268"/>
      <c r="H996" s="4268"/>
      <c r="I996" s="4268"/>
      <c r="J996" s="4268"/>
      <c r="K996" s="4268"/>
      <c r="L996" s="4269">
        <f>'2 REPAIR ESTIMATOR'!P853</f>
        <v>0</v>
      </c>
      <c r="M996" s="4269"/>
      <c r="N996" s="4270" t="str">
        <f>T('2 REPAIR ESTIMATOR'!S853)</f>
        <v>ls</v>
      </c>
      <c r="O996" s="4270"/>
      <c r="P996" s="4273"/>
      <c r="Q996" s="4273"/>
      <c r="R996" s="4273"/>
      <c r="S996" s="4273"/>
      <c r="T996" s="4273"/>
      <c r="U996" s="4273"/>
      <c r="V996" s="4274"/>
      <c r="W996" s="12">
        <f>IF(L996="",0,1)</f>
        <v>1</v>
      </c>
      <c r="X996" s="12">
        <f t="shared" si="67"/>
        <v>1</v>
      </c>
      <c r="Y996" s="12">
        <f t="shared" si="64"/>
        <v>1</v>
      </c>
    </row>
    <row r="997" spans="3:25" ht="15.7">
      <c r="D997" s="4267" t="str">
        <f>T('2 REPAIR ESTIMATOR'!D854:O854)</f>
        <v xml:space="preserve">Kitchen </v>
      </c>
      <c r="E997" s="4268"/>
      <c r="F997" s="4268"/>
      <c r="G997" s="4268"/>
      <c r="H997" s="4268"/>
      <c r="I997" s="4268"/>
      <c r="J997" s="4268"/>
      <c r="K997" s="4268"/>
      <c r="L997" s="4269">
        <f>'2 REPAIR ESTIMATOR'!P854</f>
        <v>0</v>
      </c>
      <c r="M997" s="4269"/>
      <c r="N997" s="4270" t="str">
        <f>T('2 REPAIR ESTIMATOR'!S854)</f>
        <v/>
      </c>
      <c r="O997" s="4270"/>
      <c r="P997" s="4271"/>
      <c r="Q997" s="4271"/>
      <c r="R997" s="4271"/>
      <c r="S997" s="4271"/>
      <c r="T997" s="4271"/>
      <c r="U997" s="4271"/>
      <c r="V997" s="4272"/>
      <c r="W997" s="12">
        <f t="shared" ref="W997:W1035" si="68">IF(L997="",0,1)</f>
        <v>1</v>
      </c>
      <c r="X997" s="12">
        <f t="shared" si="67"/>
        <v>1</v>
      </c>
      <c r="Y997" s="12">
        <f t="shared" si="64"/>
        <v>1</v>
      </c>
    </row>
    <row r="998" spans="3:25" ht="15.7">
      <c r="D998" s="4267" t="str">
        <f>T('2 REPAIR ESTIMATOR'!D855:O855)</f>
        <v>Kitchen backsplash, mosaic tile</v>
      </c>
      <c r="E998" s="4268"/>
      <c r="F998" s="4268"/>
      <c r="G998" s="4268"/>
      <c r="H998" s="4268"/>
      <c r="I998" s="4268"/>
      <c r="J998" s="4268"/>
      <c r="K998" s="4268"/>
      <c r="L998" s="4269">
        <f>'2 REPAIR ESTIMATOR'!P855</f>
        <v>0</v>
      </c>
      <c r="M998" s="4269"/>
      <c r="N998" s="4270" t="str">
        <f>T('2 REPAIR ESTIMATOR'!S855)</f>
        <v>sf</v>
      </c>
      <c r="O998" s="4270"/>
      <c r="P998" s="4271"/>
      <c r="Q998" s="4271"/>
      <c r="R998" s="4271"/>
      <c r="S998" s="4271"/>
      <c r="T998" s="4271"/>
      <c r="U998" s="4271"/>
      <c r="V998" s="4272"/>
      <c r="W998" s="12">
        <f t="shared" si="68"/>
        <v>1</v>
      </c>
      <c r="X998" s="12">
        <f t="shared" si="67"/>
        <v>1</v>
      </c>
      <c r="Y998" s="12">
        <f t="shared" si="64"/>
        <v>1</v>
      </c>
    </row>
    <row r="999" spans="3:25" ht="15.7">
      <c r="D999" s="4267" t="str">
        <f>T('2 REPAIR ESTIMATOR'!D856:O856)</f>
        <v>Floor tile, Kitchen</v>
      </c>
      <c r="E999" s="4268"/>
      <c r="F999" s="4268"/>
      <c r="G999" s="4268"/>
      <c r="H999" s="4268"/>
      <c r="I999" s="4268"/>
      <c r="J999" s="4268"/>
      <c r="K999" s="4268"/>
      <c r="L999" s="4269">
        <f>'2 REPAIR ESTIMATOR'!P856</f>
        <v>0</v>
      </c>
      <c r="M999" s="4269"/>
      <c r="N999" s="4270" t="str">
        <f>T('2 REPAIR ESTIMATOR'!S856)</f>
        <v>sf</v>
      </c>
      <c r="O999" s="4270"/>
      <c r="P999" s="4271"/>
      <c r="Q999" s="4271"/>
      <c r="R999" s="4271"/>
      <c r="S999" s="4271"/>
      <c r="T999" s="4271"/>
      <c r="U999" s="4271"/>
      <c r="V999" s="4272"/>
      <c r="W999" s="12">
        <f t="shared" si="68"/>
        <v>1</v>
      </c>
      <c r="X999" s="12">
        <f t="shared" si="67"/>
        <v>1</v>
      </c>
      <c r="Y999" s="12">
        <f t="shared" si="64"/>
        <v>1</v>
      </c>
    </row>
    <row r="1000" spans="3:25" ht="15.7">
      <c r="D1000" s="4267" t="str">
        <f>T('2 REPAIR ESTIMATOR'!D857:O857)</f>
        <v/>
      </c>
      <c r="E1000" s="4268"/>
      <c r="F1000" s="4268"/>
      <c r="G1000" s="4268"/>
      <c r="H1000" s="4268"/>
      <c r="I1000" s="4268"/>
      <c r="J1000" s="4268"/>
      <c r="K1000" s="4268"/>
      <c r="L1000" s="4269">
        <f>'2 REPAIR ESTIMATOR'!P857</f>
        <v>0</v>
      </c>
      <c r="M1000" s="4269"/>
      <c r="N1000" s="4270" t="str">
        <f>T('2 REPAIR ESTIMATOR'!S857)</f>
        <v/>
      </c>
      <c r="O1000" s="4270"/>
      <c r="P1000" s="4271"/>
      <c r="Q1000" s="4271"/>
      <c r="R1000" s="4271"/>
      <c r="S1000" s="4271"/>
      <c r="T1000" s="4271"/>
      <c r="U1000" s="4271"/>
      <c r="V1000" s="4272"/>
      <c r="W1000" s="12">
        <f t="shared" si="68"/>
        <v>1</v>
      </c>
      <c r="X1000" s="12">
        <f t="shared" si="67"/>
        <v>1</v>
      </c>
      <c r="Y1000" s="12">
        <f t="shared" si="64"/>
        <v>1</v>
      </c>
    </row>
    <row r="1001" spans="3:25" ht="15.7">
      <c r="D1001" s="4267" t="str">
        <f>T('2 REPAIR ESTIMATOR'!D858:O858)</f>
        <v/>
      </c>
      <c r="E1001" s="4268"/>
      <c r="F1001" s="4268"/>
      <c r="G1001" s="4268"/>
      <c r="H1001" s="4268"/>
      <c r="I1001" s="4268"/>
      <c r="J1001" s="4268"/>
      <c r="K1001" s="4268"/>
      <c r="L1001" s="4269">
        <f>'2 REPAIR ESTIMATOR'!P858</f>
        <v>0</v>
      </c>
      <c r="M1001" s="4269"/>
      <c r="N1001" s="4270" t="str">
        <f>T('2 REPAIR ESTIMATOR'!S858)</f>
        <v/>
      </c>
      <c r="O1001" s="4270"/>
      <c r="P1001" s="4271"/>
      <c r="Q1001" s="4271"/>
      <c r="R1001" s="4271"/>
      <c r="S1001" s="4271"/>
      <c r="T1001" s="4271"/>
      <c r="U1001" s="4271"/>
      <c r="V1001" s="4272"/>
      <c r="W1001" s="12">
        <f t="shared" si="68"/>
        <v>1</v>
      </c>
      <c r="X1001" s="12">
        <f t="shared" si="67"/>
        <v>1</v>
      </c>
      <c r="Y1001" s="12">
        <f t="shared" si="64"/>
        <v>1</v>
      </c>
    </row>
    <row r="1002" spans="3:25" ht="15.7">
      <c r="D1002" s="4267" t="str">
        <f>T('2 REPAIR ESTIMATOR'!D859:O859)</f>
        <v>Bathrooms</v>
      </c>
      <c r="E1002" s="4268"/>
      <c r="F1002" s="4268"/>
      <c r="G1002" s="4268"/>
      <c r="H1002" s="4268"/>
      <c r="I1002" s="4268"/>
      <c r="J1002" s="4268"/>
      <c r="K1002" s="4268"/>
      <c r="L1002" s="4269">
        <f>'2 REPAIR ESTIMATOR'!P859</f>
        <v>0</v>
      </c>
      <c r="M1002" s="4269"/>
      <c r="N1002" s="4270" t="str">
        <f>T('2 REPAIR ESTIMATOR'!S859)</f>
        <v/>
      </c>
      <c r="O1002" s="4270"/>
      <c r="P1002" s="4271"/>
      <c r="Q1002" s="4271"/>
      <c r="R1002" s="4271"/>
      <c r="S1002" s="4271"/>
      <c r="T1002" s="4271"/>
      <c r="U1002" s="4271"/>
      <c r="V1002" s="4272"/>
      <c r="W1002" s="12">
        <f t="shared" si="68"/>
        <v>1</v>
      </c>
      <c r="X1002" s="12">
        <f t="shared" si="67"/>
        <v>1</v>
      </c>
      <c r="Y1002" s="12">
        <f t="shared" si="64"/>
        <v>1</v>
      </c>
    </row>
    <row r="1003" spans="3:25" ht="15.7">
      <c r="D1003" s="4267" t="str">
        <f>T('2 REPAIR ESTIMATOR'!D860:O860)</f>
        <v>Shower tile, standard</v>
      </c>
      <c r="E1003" s="4268"/>
      <c r="F1003" s="4268"/>
      <c r="G1003" s="4268"/>
      <c r="H1003" s="4268"/>
      <c r="I1003" s="4268"/>
      <c r="J1003" s="4268"/>
      <c r="K1003" s="4268"/>
      <c r="L1003" s="4269">
        <f>'2 REPAIR ESTIMATOR'!P860</f>
        <v>0</v>
      </c>
      <c r="M1003" s="4269"/>
      <c r="N1003" s="4270" t="str">
        <f>T('2 REPAIR ESTIMATOR'!S860)</f>
        <v>sf</v>
      </c>
      <c r="O1003" s="4270"/>
      <c r="P1003" s="4271"/>
      <c r="Q1003" s="4271"/>
      <c r="R1003" s="4271"/>
      <c r="S1003" s="4271"/>
      <c r="T1003" s="4271"/>
      <c r="U1003" s="4271"/>
      <c r="V1003" s="4272"/>
      <c r="W1003" s="12">
        <f t="shared" si="68"/>
        <v>1</v>
      </c>
      <c r="X1003" s="12">
        <f t="shared" si="67"/>
        <v>1</v>
      </c>
      <c r="Y1003" s="12">
        <f t="shared" si="64"/>
        <v>1</v>
      </c>
    </row>
    <row r="1004" spans="3:25" ht="15.7">
      <c r="D1004" s="4267" t="str">
        <f>T('2 REPAIR ESTIMATOR'!D861:O861)</f>
        <v>Shower tile, accent mosaic tile</v>
      </c>
      <c r="E1004" s="4268"/>
      <c r="F1004" s="4268"/>
      <c r="G1004" s="4268"/>
      <c r="H1004" s="4268"/>
      <c r="I1004" s="4268"/>
      <c r="J1004" s="4268"/>
      <c r="K1004" s="4268"/>
      <c r="L1004" s="4269">
        <f>'2 REPAIR ESTIMATOR'!P861</f>
        <v>0</v>
      </c>
      <c r="M1004" s="4269"/>
      <c r="N1004" s="4270" t="str">
        <f>T('2 REPAIR ESTIMATOR'!S861)</f>
        <v>sf</v>
      </c>
      <c r="O1004" s="4270"/>
      <c r="P1004" s="4271"/>
      <c r="Q1004" s="4271"/>
      <c r="R1004" s="4271"/>
      <c r="S1004" s="4271"/>
      <c r="T1004" s="4271"/>
      <c r="U1004" s="4271"/>
      <c r="V1004" s="4272"/>
      <c r="W1004" s="12">
        <f t="shared" si="68"/>
        <v>1</v>
      </c>
      <c r="X1004" s="12">
        <f t="shared" si="67"/>
        <v>1</v>
      </c>
      <c r="Y1004" s="12">
        <f t="shared" ref="Y1004:Y1067" si="69">W1004*X1004</f>
        <v>1</v>
      </c>
    </row>
    <row r="1005" spans="3:25" ht="15.7">
      <c r="D1005" s="4267" t="str">
        <f>T('2 REPAIR ESTIMATOR'!D862:O862)</f>
        <v>Floor tile, bathrooms</v>
      </c>
      <c r="E1005" s="4268"/>
      <c r="F1005" s="4268"/>
      <c r="G1005" s="4268"/>
      <c r="H1005" s="4268"/>
      <c r="I1005" s="4268"/>
      <c r="J1005" s="4268"/>
      <c r="K1005" s="4268"/>
      <c r="L1005" s="4269">
        <f>'2 REPAIR ESTIMATOR'!P862</f>
        <v>0</v>
      </c>
      <c r="M1005" s="4269"/>
      <c r="N1005" s="4270" t="str">
        <f>T('2 REPAIR ESTIMATOR'!S862)</f>
        <v>sf</v>
      </c>
      <c r="O1005" s="4270"/>
      <c r="P1005" s="4271"/>
      <c r="Q1005" s="4271"/>
      <c r="R1005" s="4271"/>
      <c r="S1005" s="4271"/>
      <c r="T1005" s="4271"/>
      <c r="U1005" s="4271"/>
      <c r="V1005" s="4272"/>
      <c r="W1005" s="12">
        <f t="shared" si="68"/>
        <v>1</v>
      </c>
      <c r="X1005" s="12">
        <f t="shared" si="67"/>
        <v>1</v>
      </c>
      <c r="Y1005" s="12">
        <f t="shared" si="69"/>
        <v>1</v>
      </c>
    </row>
    <row r="1006" spans="3:25" ht="15.7">
      <c r="D1006" s="4267" t="str">
        <f>T('2 REPAIR ESTIMATOR'!D863:O863)</f>
        <v/>
      </c>
      <c r="E1006" s="4268"/>
      <c r="F1006" s="4268"/>
      <c r="G1006" s="4268"/>
      <c r="H1006" s="4268"/>
      <c r="I1006" s="4268"/>
      <c r="J1006" s="4268"/>
      <c r="K1006" s="4268"/>
      <c r="L1006" s="4269">
        <f>'2 REPAIR ESTIMATOR'!P863</f>
        <v>0</v>
      </c>
      <c r="M1006" s="4269"/>
      <c r="N1006" s="4270" t="str">
        <f>T('2 REPAIR ESTIMATOR'!S863)</f>
        <v/>
      </c>
      <c r="O1006" s="4270"/>
      <c r="P1006" s="4271"/>
      <c r="Q1006" s="4271"/>
      <c r="R1006" s="4271"/>
      <c r="S1006" s="4271"/>
      <c r="T1006" s="4271"/>
      <c r="U1006" s="4271"/>
      <c r="V1006" s="4272"/>
      <c r="W1006" s="12">
        <f t="shared" si="68"/>
        <v>1</v>
      </c>
      <c r="X1006" s="12">
        <f t="shared" si="67"/>
        <v>1</v>
      </c>
      <c r="Y1006" s="12">
        <f t="shared" si="69"/>
        <v>1</v>
      </c>
    </row>
    <row r="1007" spans="3:25" ht="15.7">
      <c r="D1007" s="4267" t="str">
        <f>T('2 REPAIR ESTIMATOR'!D864:O864)</f>
        <v/>
      </c>
      <c r="E1007" s="4268"/>
      <c r="F1007" s="4268"/>
      <c r="G1007" s="4268"/>
      <c r="H1007" s="4268"/>
      <c r="I1007" s="4268"/>
      <c r="J1007" s="4268"/>
      <c r="K1007" s="4268"/>
      <c r="L1007" s="4269">
        <f>'2 REPAIR ESTIMATOR'!P864</f>
        <v>0</v>
      </c>
      <c r="M1007" s="4269"/>
      <c r="N1007" s="4270" t="str">
        <f>T('2 REPAIR ESTIMATOR'!S864)</f>
        <v/>
      </c>
      <c r="O1007" s="4270"/>
      <c r="P1007" s="4271"/>
      <c r="Q1007" s="4271"/>
      <c r="R1007" s="4271"/>
      <c r="S1007" s="4271"/>
      <c r="T1007" s="4271"/>
      <c r="U1007" s="4271"/>
      <c r="V1007" s="4272"/>
      <c r="W1007" s="12">
        <f t="shared" si="68"/>
        <v>1</v>
      </c>
      <c r="X1007" s="12">
        <f t="shared" si="67"/>
        <v>1</v>
      </c>
      <c r="Y1007" s="12">
        <f t="shared" si="69"/>
        <v>1</v>
      </c>
    </row>
    <row r="1008" spans="3:25" ht="15.7">
      <c r="D1008" s="4267" t="str">
        <f>T('2 REPAIR ESTIMATOR'!D865:O865)</f>
        <v>Miscellaneous Tiling</v>
      </c>
      <c r="E1008" s="4268"/>
      <c r="F1008" s="4268"/>
      <c r="G1008" s="4268"/>
      <c r="H1008" s="4268"/>
      <c r="I1008" s="4268"/>
      <c r="J1008" s="4268"/>
      <c r="K1008" s="4268"/>
      <c r="L1008" s="4269">
        <f>'2 REPAIR ESTIMATOR'!P865</f>
        <v>0</v>
      </c>
      <c r="M1008" s="4269"/>
      <c r="N1008" s="4270" t="str">
        <f>T('2 REPAIR ESTIMATOR'!S865)</f>
        <v/>
      </c>
      <c r="O1008" s="4270"/>
      <c r="P1008" s="4271"/>
      <c r="Q1008" s="4271"/>
      <c r="R1008" s="4271"/>
      <c r="S1008" s="4271"/>
      <c r="T1008" s="4271"/>
      <c r="U1008" s="4271"/>
      <c r="V1008" s="4272"/>
      <c r="W1008" s="12">
        <f t="shared" si="68"/>
        <v>1</v>
      </c>
      <c r="X1008" s="12">
        <f t="shared" si="67"/>
        <v>1</v>
      </c>
      <c r="Y1008" s="12">
        <f t="shared" si="69"/>
        <v>1</v>
      </c>
    </row>
    <row r="1009" spans="4:25" ht="15.7">
      <c r="D1009" s="4267" t="str">
        <f>T('2 REPAIR ESTIMATOR'!D866:O866)</f>
        <v xml:space="preserve">Floor tile, entry </v>
      </c>
      <c r="E1009" s="4268"/>
      <c r="F1009" s="4268"/>
      <c r="G1009" s="4268"/>
      <c r="H1009" s="4268"/>
      <c r="I1009" s="4268"/>
      <c r="J1009" s="4268"/>
      <c r="K1009" s="4268"/>
      <c r="L1009" s="4269">
        <f>'2 REPAIR ESTIMATOR'!P866</f>
        <v>0</v>
      </c>
      <c r="M1009" s="4269"/>
      <c r="N1009" s="4270" t="str">
        <f>T('2 REPAIR ESTIMATOR'!S866)</f>
        <v>sf</v>
      </c>
      <c r="O1009" s="4270"/>
      <c r="P1009" s="4271"/>
      <c r="Q1009" s="4271"/>
      <c r="R1009" s="4271"/>
      <c r="S1009" s="4271"/>
      <c r="T1009" s="4271"/>
      <c r="U1009" s="4271"/>
      <c r="V1009" s="4272"/>
      <c r="W1009" s="12">
        <f t="shared" si="68"/>
        <v>1</v>
      </c>
      <c r="X1009" s="12">
        <f t="shared" si="67"/>
        <v>1</v>
      </c>
      <c r="Y1009" s="12">
        <f t="shared" si="69"/>
        <v>1</v>
      </c>
    </row>
    <row r="1010" spans="4:25" ht="15.7">
      <c r="D1010" s="4267" t="str">
        <f>T('2 REPAIR ESTIMATOR'!D867:O867)</f>
        <v>Fireplace tiling</v>
      </c>
      <c r="E1010" s="4268"/>
      <c r="F1010" s="4268"/>
      <c r="G1010" s="4268"/>
      <c r="H1010" s="4268"/>
      <c r="I1010" s="4268"/>
      <c r="J1010" s="4268"/>
      <c r="K1010" s="4268"/>
      <c r="L1010" s="4269">
        <f>'2 REPAIR ESTIMATOR'!P867</f>
        <v>0</v>
      </c>
      <c r="M1010" s="4269"/>
      <c r="N1010" s="4270" t="str">
        <f>T('2 REPAIR ESTIMATOR'!S867)</f>
        <v>sf</v>
      </c>
      <c r="O1010" s="4270"/>
      <c r="P1010" s="4271"/>
      <c r="Q1010" s="4271"/>
      <c r="R1010" s="4271"/>
      <c r="S1010" s="4271"/>
      <c r="T1010" s="4271"/>
      <c r="U1010" s="4271"/>
      <c r="V1010" s="4272"/>
      <c r="W1010" s="12">
        <f t="shared" si="68"/>
        <v>1</v>
      </c>
      <c r="X1010" s="12">
        <f t="shared" si="67"/>
        <v>1</v>
      </c>
      <c r="Y1010" s="12">
        <f t="shared" si="69"/>
        <v>1</v>
      </c>
    </row>
    <row r="1011" spans="4:25" ht="15.7">
      <c r="D1011" s="4267" t="str">
        <f>T('2 REPAIR ESTIMATOR'!D868:O868)</f>
        <v/>
      </c>
      <c r="E1011" s="4268"/>
      <c r="F1011" s="4268"/>
      <c r="G1011" s="4268"/>
      <c r="H1011" s="4268"/>
      <c r="I1011" s="4268"/>
      <c r="J1011" s="4268"/>
      <c r="K1011" s="4268"/>
      <c r="L1011" s="4269">
        <f>'2 REPAIR ESTIMATOR'!P868</f>
        <v>0</v>
      </c>
      <c r="M1011" s="4269"/>
      <c r="N1011" s="4270" t="str">
        <f>T('2 REPAIR ESTIMATOR'!S868)</f>
        <v/>
      </c>
      <c r="O1011" s="4270"/>
      <c r="P1011" s="4271"/>
      <c r="Q1011" s="4271"/>
      <c r="R1011" s="4271"/>
      <c r="S1011" s="4271"/>
      <c r="T1011" s="4271"/>
      <c r="U1011" s="4271"/>
      <c r="V1011" s="4272"/>
      <c r="W1011" s="12">
        <f t="shared" si="68"/>
        <v>1</v>
      </c>
      <c r="X1011" s="12">
        <f t="shared" si="67"/>
        <v>1</v>
      </c>
      <c r="Y1011" s="12">
        <f t="shared" si="69"/>
        <v>1</v>
      </c>
    </row>
    <row r="1012" spans="4:25" ht="15.7">
      <c r="D1012" s="4267" t="str">
        <f>T('2 REPAIR ESTIMATOR'!D869:O869)</f>
        <v/>
      </c>
      <c r="E1012" s="4268"/>
      <c r="F1012" s="4268"/>
      <c r="G1012" s="4268"/>
      <c r="H1012" s="4268"/>
      <c r="I1012" s="4268"/>
      <c r="J1012" s="4268"/>
      <c r="K1012" s="4268"/>
      <c r="L1012" s="4269">
        <f>'2 REPAIR ESTIMATOR'!P869</f>
        <v>0</v>
      </c>
      <c r="M1012" s="4269"/>
      <c r="N1012" s="4270" t="str">
        <f>T('2 REPAIR ESTIMATOR'!S869)</f>
        <v/>
      </c>
      <c r="O1012" s="4270"/>
      <c r="P1012" s="4271"/>
      <c r="Q1012" s="4271"/>
      <c r="R1012" s="4271"/>
      <c r="S1012" s="4271"/>
      <c r="T1012" s="4271"/>
      <c r="U1012" s="4271"/>
      <c r="V1012" s="4272"/>
      <c r="W1012" s="12">
        <f t="shared" si="68"/>
        <v>1</v>
      </c>
      <c r="X1012" s="12">
        <f t="shared" si="67"/>
        <v>1</v>
      </c>
      <c r="Y1012" s="12">
        <f t="shared" si="69"/>
        <v>1</v>
      </c>
    </row>
    <row r="1013" spans="4:25" ht="15.7">
      <c r="D1013" s="4267" t="str">
        <f>T('2 REPAIR ESTIMATOR'!D870:O870)</f>
        <v>Other</v>
      </c>
      <c r="E1013" s="4268"/>
      <c r="F1013" s="4268"/>
      <c r="G1013" s="4268"/>
      <c r="H1013" s="4268"/>
      <c r="I1013" s="4268"/>
      <c r="J1013" s="4268"/>
      <c r="K1013" s="4268"/>
      <c r="L1013" s="4269">
        <f>'2 REPAIR ESTIMATOR'!P870</f>
        <v>0</v>
      </c>
      <c r="M1013" s="4269"/>
      <c r="N1013" s="4270" t="str">
        <f>T('2 REPAIR ESTIMATOR'!S870)</f>
        <v/>
      </c>
      <c r="O1013" s="4270"/>
      <c r="P1013" s="4271"/>
      <c r="Q1013" s="4271"/>
      <c r="R1013" s="4271"/>
      <c r="S1013" s="4271"/>
      <c r="T1013" s="4271"/>
      <c r="U1013" s="4271"/>
      <c r="V1013" s="4272"/>
      <c r="W1013" s="12">
        <f t="shared" si="68"/>
        <v>1</v>
      </c>
      <c r="X1013" s="12">
        <f t="shared" si="67"/>
        <v>1</v>
      </c>
      <c r="Y1013" s="12">
        <f t="shared" si="69"/>
        <v>1</v>
      </c>
    </row>
    <row r="1014" spans="4:25" ht="15.7">
      <c r="D1014" s="4267" t="str">
        <f>T('2 REPAIR ESTIMATOR'!D871:O871)</f>
        <v>Backer board 1/4" at floor tile</v>
      </c>
      <c r="E1014" s="4268"/>
      <c r="F1014" s="4268"/>
      <c r="G1014" s="4268"/>
      <c r="H1014" s="4268"/>
      <c r="I1014" s="4268"/>
      <c r="J1014" s="4268"/>
      <c r="K1014" s="4268"/>
      <c r="L1014" s="4269">
        <f>'2 REPAIR ESTIMATOR'!P871</f>
        <v>0</v>
      </c>
      <c r="M1014" s="4269"/>
      <c r="N1014" s="4270" t="str">
        <f>T('2 REPAIR ESTIMATOR'!S871)</f>
        <v>sf</v>
      </c>
      <c r="O1014" s="4270"/>
      <c r="P1014" s="4271"/>
      <c r="Q1014" s="4271"/>
      <c r="R1014" s="4271"/>
      <c r="S1014" s="4271"/>
      <c r="T1014" s="4271"/>
      <c r="U1014" s="4271"/>
      <c r="V1014" s="4272"/>
      <c r="W1014" s="12">
        <f t="shared" si="68"/>
        <v>1</v>
      </c>
      <c r="X1014" s="12">
        <f t="shared" si="67"/>
        <v>1</v>
      </c>
      <c r="Y1014" s="12">
        <f t="shared" si="69"/>
        <v>1</v>
      </c>
    </row>
    <row r="1015" spans="4:25" ht="15.7">
      <c r="D1015" s="4267" t="str">
        <f>T('2 REPAIR ESTIMATOR'!D872:O872)</f>
        <v>Backer board 1/2" at wall tile</v>
      </c>
      <c r="E1015" s="4268"/>
      <c r="F1015" s="4268"/>
      <c r="G1015" s="4268"/>
      <c r="H1015" s="4268"/>
      <c r="I1015" s="4268"/>
      <c r="J1015" s="4268"/>
      <c r="K1015" s="4268"/>
      <c r="L1015" s="4269">
        <f>'2 REPAIR ESTIMATOR'!P872</f>
        <v>0</v>
      </c>
      <c r="M1015" s="4269"/>
      <c r="N1015" s="4270" t="str">
        <f>T('2 REPAIR ESTIMATOR'!S872)</f>
        <v>sf</v>
      </c>
      <c r="O1015" s="4270"/>
      <c r="P1015" s="4271"/>
      <c r="Q1015" s="4271"/>
      <c r="R1015" s="4271"/>
      <c r="S1015" s="4271"/>
      <c r="T1015" s="4271"/>
      <c r="U1015" s="4271"/>
      <c r="V1015" s="4272"/>
      <c r="W1015" s="12">
        <f t="shared" si="68"/>
        <v>1</v>
      </c>
      <c r="X1015" s="12">
        <f t="shared" si="67"/>
        <v>1</v>
      </c>
      <c r="Y1015" s="12">
        <f t="shared" si="69"/>
        <v>1</v>
      </c>
    </row>
    <row r="1016" spans="4:25" ht="15.7">
      <c r="D1016" s="4267" t="str">
        <f>T('2 REPAIR ESTIMATOR'!D873:O873)</f>
        <v/>
      </c>
      <c r="E1016" s="4268"/>
      <c r="F1016" s="4268"/>
      <c r="G1016" s="4268"/>
      <c r="H1016" s="4268"/>
      <c r="I1016" s="4268"/>
      <c r="J1016" s="4268"/>
      <c r="K1016" s="4268"/>
      <c r="L1016" s="4269">
        <f>'2 REPAIR ESTIMATOR'!P873</f>
        <v>0</v>
      </c>
      <c r="M1016" s="4269"/>
      <c r="N1016" s="4270" t="str">
        <f>T('2 REPAIR ESTIMATOR'!S873)</f>
        <v/>
      </c>
      <c r="O1016" s="4270"/>
      <c r="P1016" s="4271"/>
      <c r="Q1016" s="4271"/>
      <c r="R1016" s="4271"/>
      <c r="S1016" s="4271"/>
      <c r="T1016" s="4271"/>
      <c r="U1016" s="4271"/>
      <c r="V1016" s="4272"/>
      <c r="W1016" s="12">
        <f t="shared" si="68"/>
        <v>1</v>
      </c>
      <c r="X1016" s="12">
        <f t="shared" si="67"/>
        <v>1</v>
      </c>
      <c r="Y1016" s="12">
        <f t="shared" si="69"/>
        <v>1</v>
      </c>
    </row>
    <row r="1017" spans="4:25" ht="15.7">
      <c r="D1017" s="4267" t="str">
        <f>T('2 REPAIR ESTIMATOR'!D874:O874)</f>
        <v/>
      </c>
      <c r="E1017" s="4268"/>
      <c r="F1017" s="4268"/>
      <c r="G1017" s="4268"/>
      <c r="H1017" s="4268"/>
      <c r="I1017" s="4268"/>
      <c r="J1017" s="4268"/>
      <c r="K1017" s="4268"/>
      <c r="L1017" s="4269">
        <f>'2 REPAIR ESTIMATOR'!P874</f>
        <v>0</v>
      </c>
      <c r="M1017" s="4269"/>
      <c r="N1017" s="4270" t="str">
        <f>T('2 REPAIR ESTIMATOR'!S874)</f>
        <v/>
      </c>
      <c r="O1017" s="4270"/>
      <c r="P1017" s="4271"/>
      <c r="Q1017" s="4271"/>
      <c r="R1017" s="4271"/>
      <c r="S1017" s="4271"/>
      <c r="T1017" s="4271"/>
      <c r="U1017" s="4271"/>
      <c r="V1017" s="4272"/>
      <c r="W1017" s="12">
        <f t="shared" si="68"/>
        <v>1</v>
      </c>
      <c r="X1017" s="12">
        <f t="shared" si="67"/>
        <v>1</v>
      </c>
      <c r="Y1017" s="12">
        <f t="shared" si="69"/>
        <v>1</v>
      </c>
    </row>
    <row r="1018" spans="4:25" ht="15.7">
      <c r="D1018" s="4267" t="str">
        <f>T('2 REPAIR ESTIMATOR'!D875:O875)</f>
        <v/>
      </c>
      <c r="E1018" s="4268"/>
      <c r="F1018" s="4268"/>
      <c r="G1018" s="4268"/>
      <c r="H1018" s="4268"/>
      <c r="I1018" s="4268"/>
      <c r="J1018" s="4268"/>
      <c r="K1018" s="4268"/>
      <c r="L1018" s="4269">
        <f>'2 REPAIR ESTIMATOR'!P875</f>
        <v>0</v>
      </c>
      <c r="M1018" s="4269"/>
      <c r="N1018" s="4270" t="str">
        <f>T('2 REPAIR ESTIMATOR'!S875)</f>
        <v/>
      </c>
      <c r="O1018" s="4270"/>
      <c r="P1018" s="4271"/>
      <c r="Q1018" s="4271"/>
      <c r="R1018" s="4271"/>
      <c r="S1018" s="4271"/>
      <c r="T1018" s="4271"/>
      <c r="U1018" s="4271"/>
      <c r="V1018" s="4272"/>
      <c r="W1018" s="12">
        <f t="shared" si="68"/>
        <v>1</v>
      </c>
      <c r="X1018" s="12">
        <f t="shared" si="67"/>
        <v>1</v>
      </c>
      <c r="Y1018" s="12">
        <f t="shared" si="69"/>
        <v>1</v>
      </c>
    </row>
    <row r="1019" spans="4:25" ht="15.7">
      <c r="D1019" s="4267" t="str">
        <f>T('2 REPAIR ESTIMATOR'!D876:O876)</f>
        <v/>
      </c>
      <c r="E1019" s="4268"/>
      <c r="F1019" s="4268"/>
      <c r="G1019" s="4268"/>
      <c r="H1019" s="4268"/>
      <c r="I1019" s="4268"/>
      <c r="J1019" s="4268"/>
      <c r="K1019" s="4268"/>
      <c r="L1019" s="4269">
        <f>'2 REPAIR ESTIMATOR'!P876</f>
        <v>0</v>
      </c>
      <c r="M1019" s="4269"/>
      <c r="N1019" s="4270" t="str">
        <f>T('2 REPAIR ESTIMATOR'!S876)</f>
        <v/>
      </c>
      <c r="O1019" s="4270"/>
      <c r="P1019" s="4271"/>
      <c r="Q1019" s="4271"/>
      <c r="R1019" s="4271"/>
      <c r="S1019" s="4271"/>
      <c r="T1019" s="4271"/>
      <c r="U1019" s="4271"/>
      <c r="V1019" s="4272"/>
      <c r="W1019" s="12">
        <f t="shared" si="68"/>
        <v>1</v>
      </c>
      <c r="X1019" s="12">
        <f t="shared" si="67"/>
        <v>1</v>
      </c>
      <c r="Y1019" s="12">
        <f t="shared" si="69"/>
        <v>1</v>
      </c>
    </row>
    <row r="1020" spans="4:25" ht="15.7">
      <c r="D1020" s="4267" t="str">
        <f>T('2 REPAIR ESTIMATOR'!D877:O877)</f>
        <v/>
      </c>
      <c r="E1020" s="4268"/>
      <c r="F1020" s="4268"/>
      <c r="G1020" s="4268"/>
      <c r="H1020" s="4268"/>
      <c r="I1020" s="4268"/>
      <c r="J1020" s="4268"/>
      <c r="K1020" s="4268"/>
      <c r="L1020" s="4269">
        <f>'2 REPAIR ESTIMATOR'!P877</f>
        <v>0</v>
      </c>
      <c r="M1020" s="4269"/>
      <c r="N1020" s="4270" t="str">
        <f>T('2 REPAIR ESTIMATOR'!S877)</f>
        <v/>
      </c>
      <c r="O1020" s="4270"/>
      <c r="P1020" s="4271"/>
      <c r="Q1020" s="4271"/>
      <c r="R1020" s="4271"/>
      <c r="S1020" s="4271"/>
      <c r="T1020" s="4271"/>
      <c r="U1020" s="4271"/>
      <c r="V1020" s="4272"/>
      <c r="W1020" s="12">
        <f t="shared" si="68"/>
        <v>1</v>
      </c>
      <c r="X1020" s="12">
        <f t="shared" si="67"/>
        <v>1</v>
      </c>
      <c r="Y1020" s="12">
        <f t="shared" si="69"/>
        <v>1</v>
      </c>
    </row>
    <row r="1021" spans="4:25" ht="15.7">
      <c r="D1021" s="4267" t="str">
        <f>T('2 REPAIR ESTIMATOR'!D878:O878)</f>
        <v/>
      </c>
      <c r="E1021" s="4268"/>
      <c r="F1021" s="4268"/>
      <c r="G1021" s="4268"/>
      <c r="H1021" s="4268"/>
      <c r="I1021" s="4268"/>
      <c r="J1021" s="4268"/>
      <c r="K1021" s="4268"/>
      <c r="L1021" s="4269">
        <f>'2 REPAIR ESTIMATOR'!P878</f>
        <v>0</v>
      </c>
      <c r="M1021" s="4269"/>
      <c r="N1021" s="4270" t="str">
        <f>T('2 REPAIR ESTIMATOR'!S878)</f>
        <v/>
      </c>
      <c r="O1021" s="4270"/>
      <c r="P1021" s="4271"/>
      <c r="Q1021" s="4271"/>
      <c r="R1021" s="4271"/>
      <c r="S1021" s="4271"/>
      <c r="T1021" s="4271"/>
      <c r="U1021" s="4271"/>
      <c r="V1021" s="4272"/>
      <c r="W1021" s="12">
        <f t="shared" si="68"/>
        <v>1</v>
      </c>
      <c r="X1021" s="12">
        <f t="shared" si="67"/>
        <v>1</v>
      </c>
      <c r="Y1021" s="12">
        <f t="shared" si="69"/>
        <v>1</v>
      </c>
    </row>
    <row r="1022" spans="4:25" ht="15.7">
      <c r="D1022" s="4267" t="str">
        <f>T('2 REPAIR ESTIMATOR'!D879:O879)</f>
        <v/>
      </c>
      <c r="E1022" s="4268"/>
      <c r="F1022" s="4268"/>
      <c r="G1022" s="4268"/>
      <c r="H1022" s="4268"/>
      <c r="I1022" s="4268"/>
      <c r="J1022" s="4268"/>
      <c r="K1022" s="4268"/>
      <c r="L1022" s="4269">
        <f>'2 REPAIR ESTIMATOR'!P879</f>
        <v>0</v>
      </c>
      <c r="M1022" s="4269"/>
      <c r="N1022" s="4270" t="str">
        <f>T('2 REPAIR ESTIMATOR'!S879)</f>
        <v/>
      </c>
      <c r="O1022" s="4270"/>
      <c r="P1022" s="4271"/>
      <c r="Q1022" s="4271"/>
      <c r="R1022" s="4271"/>
      <c r="S1022" s="4271"/>
      <c r="T1022" s="4271"/>
      <c r="U1022" s="4271"/>
      <c r="V1022" s="4272"/>
      <c r="W1022" s="12">
        <f t="shared" si="68"/>
        <v>1</v>
      </c>
      <c r="X1022" s="12">
        <f t="shared" si="67"/>
        <v>1</v>
      </c>
      <c r="Y1022" s="12">
        <f t="shared" si="69"/>
        <v>1</v>
      </c>
    </row>
    <row r="1023" spans="4:25" ht="15.7">
      <c r="D1023" s="4267" t="str">
        <f>T('2 REPAIR ESTIMATOR'!D880:O880)</f>
        <v/>
      </c>
      <c r="E1023" s="4268"/>
      <c r="F1023" s="4268"/>
      <c r="G1023" s="4268"/>
      <c r="H1023" s="4268"/>
      <c r="I1023" s="4268"/>
      <c r="J1023" s="4268"/>
      <c r="K1023" s="4268"/>
      <c r="L1023" s="4269">
        <f>'2 REPAIR ESTIMATOR'!P880</f>
        <v>0</v>
      </c>
      <c r="M1023" s="4269"/>
      <c r="N1023" s="4270" t="str">
        <f>T('2 REPAIR ESTIMATOR'!S880)</f>
        <v/>
      </c>
      <c r="O1023" s="4270"/>
      <c r="P1023" s="4271"/>
      <c r="Q1023" s="4271"/>
      <c r="R1023" s="4271"/>
      <c r="S1023" s="4271"/>
      <c r="T1023" s="4271"/>
      <c r="U1023" s="4271"/>
      <c r="V1023" s="4272"/>
      <c r="W1023" s="12">
        <f t="shared" si="68"/>
        <v>1</v>
      </c>
      <c r="X1023" s="12">
        <f t="shared" si="67"/>
        <v>1</v>
      </c>
      <c r="Y1023" s="12">
        <f t="shared" si="69"/>
        <v>1</v>
      </c>
    </row>
    <row r="1024" spans="4:25" ht="15.7">
      <c r="D1024" s="4267" t="str">
        <f>T('2 REPAIR ESTIMATOR'!D881:O881)</f>
        <v/>
      </c>
      <c r="E1024" s="4268"/>
      <c r="F1024" s="4268"/>
      <c r="G1024" s="4268"/>
      <c r="H1024" s="4268"/>
      <c r="I1024" s="4268"/>
      <c r="J1024" s="4268"/>
      <c r="K1024" s="4268"/>
      <c r="L1024" s="4269">
        <f>'2 REPAIR ESTIMATOR'!P881</f>
        <v>0</v>
      </c>
      <c r="M1024" s="4269"/>
      <c r="N1024" s="4270" t="str">
        <f>T('2 REPAIR ESTIMATOR'!S881)</f>
        <v/>
      </c>
      <c r="O1024" s="4270"/>
      <c r="P1024" s="4271"/>
      <c r="Q1024" s="4271"/>
      <c r="R1024" s="4271"/>
      <c r="S1024" s="4271"/>
      <c r="T1024" s="4271"/>
      <c r="U1024" s="4271"/>
      <c r="V1024" s="4272"/>
      <c r="W1024" s="12">
        <f t="shared" si="68"/>
        <v>1</v>
      </c>
      <c r="X1024" s="12">
        <f t="shared" si="67"/>
        <v>1</v>
      </c>
      <c r="Y1024" s="12">
        <f t="shared" si="69"/>
        <v>1</v>
      </c>
    </row>
    <row r="1025" spans="3:25" ht="15.7">
      <c r="D1025" s="4267" t="str">
        <f>T('2 REPAIR ESTIMATOR'!D882:O882)</f>
        <v/>
      </c>
      <c r="E1025" s="4268"/>
      <c r="F1025" s="4268"/>
      <c r="G1025" s="4268"/>
      <c r="H1025" s="4268"/>
      <c r="I1025" s="4268"/>
      <c r="J1025" s="4268"/>
      <c r="K1025" s="4268"/>
      <c r="L1025" s="4269">
        <f>'2 REPAIR ESTIMATOR'!P882</f>
        <v>0</v>
      </c>
      <c r="M1025" s="4269"/>
      <c r="N1025" s="4270" t="str">
        <f>T('2 REPAIR ESTIMATOR'!S882)</f>
        <v/>
      </c>
      <c r="O1025" s="4270"/>
      <c r="P1025" s="4271"/>
      <c r="Q1025" s="4271"/>
      <c r="R1025" s="4271"/>
      <c r="S1025" s="4271"/>
      <c r="T1025" s="4271"/>
      <c r="U1025" s="4271"/>
      <c r="V1025" s="4272"/>
      <c r="W1025" s="12">
        <f t="shared" si="68"/>
        <v>1</v>
      </c>
      <c r="X1025" s="12">
        <f t="shared" si="67"/>
        <v>1</v>
      </c>
      <c r="Y1025" s="12">
        <f t="shared" si="69"/>
        <v>1</v>
      </c>
    </row>
    <row r="1026" spans="3:25" ht="15.7">
      <c r="D1026" s="4267" t="str">
        <f>T('2 REPAIR ESTIMATOR'!D883:O883)</f>
        <v/>
      </c>
      <c r="E1026" s="4268"/>
      <c r="F1026" s="4268"/>
      <c r="G1026" s="4268"/>
      <c r="H1026" s="4268"/>
      <c r="I1026" s="4268"/>
      <c r="J1026" s="4268"/>
      <c r="K1026" s="4268"/>
      <c r="L1026" s="4269">
        <f>'2 REPAIR ESTIMATOR'!P883</f>
        <v>0</v>
      </c>
      <c r="M1026" s="4269"/>
      <c r="N1026" s="4270" t="str">
        <f>T('2 REPAIR ESTIMATOR'!S883)</f>
        <v/>
      </c>
      <c r="O1026" s="4270"/>
      <c r="P1026" s="4271"/>
      <c r="Q1026" s="4271"/>
      <c r="R1026" s="4271"/>
      <c r="S1026" s="4271"/>
      <c r="T1026" s="4271"/>
      <c r="U1026" s="4271"/>
      <c r="V1026" s="4272"/>
      <c r="W1026" s="12">
        <f t="shared" si="68"/>
        <v>1</v>
      </c>
      <c r="X1026" s="12">
        <f t="shared" si="67"/>
        <v>1</v>
      </c>
      <c r="Y1026" s="12">
        <f t="shared" si="69"/>
        <v>1</v>
      </c>
    </row>
    <row r="1027" spans="3:25" ht="15.7">
      <c r="D1027" s="4267" t="str">
        <f>T('2 REPAIR ESTIMATOR'!D884:O884)</f>
        <v/>
      </c>
      <c r="E1027" s="4268"/>
      <c r="F1027" s="4268"/>
      <c r="G1027" s="4268"/>
      <c r="H1027" s="4268"/>
      <c r="I1027" s="4268"/>
      <c r="J1027" s="4268"/>
      <c r="K1027" s="4268"/>
      <c r="L1027" s="4269">
        <f>'2 REPAIR ESTIMATOR'!P884</f>
        <v>0</v>
      </c>
      <c r="M1027" s="4269"/>
      <c r="N1027" s="4270" t="str">
        <f>T('2 REPAIR ESTIMATOR'!S884)</f>
        <v/>
      </c>
      <c r="O1027" s="4270"/>
      <c r="P1027" s="4271"/>
      <c r="Q1027" s="4271"/>
      <c r="R1027" s="4271"/>
      <c r="S1027" s="4271"/>
      <c r="T1027" s="4271"/>
      <c r="U1027" s="4271"/>
      <c r="V1027" s="4272"/>
      <c r="W1027" s="12">
        <f t="shared" si="68"/>
        <v>1</v>
      </c>
      <c r="X1027" s="12">
        <f t="shared" ref="X1027:X1050" si="70">IF(Scope18_Setting="Shown",1,0)</f>
        <v>1</v>
      </c>
      <c r="Y1027" s="12">
        <f t="shared" si="69"/>
        <v>1</v>
      </c>
    </row>
    <row r="1028" spans="3:25" ht="15.7">
      <c r="D1028" s="4267" t="str">
        <f>T('2 REPAIR ESTIMATOR'!D885:O885)</f>
        <v/>
      </c>
      <c r="E1028" s="4268"/>
      <c r="F1028" s="4268"/>
      <c r="G1028" s="4268"/>
      <c r="H1028" s="4268"/>
      <c r="I1028" s="4268"/>
      <c r="J1028" s="4268"/>
      <c r="K1028" s="4268"/>
      <c r="L1028" s="4269">
        <f>'2 REPAIR ESTIMATOR'!P885</f>
        <v>0</v>
      </c>
      <c r="M1028" s="4269"/>
      <c r="N1028" s="4270" t="str">
        <f>T('2 REPAIR ESTIMATOR'!S885)</f>
        <v/>
      </c>
      <c r="O1028" s="4270"/>
      <c r="P1028" s="4271"/>
      <c r="Q1028" s="4271"/>
      <c r="R1028" s="4271"/>
      <c r="S1028" s="4271"/>
      <c r="T1028" s="4271"/>
      <c r="U1028" s="4271"/>
      <c r="V1028" s="4272"/>
      <c r="W1028" s="12">
        <f t="shared" si="68"/>
        <v>1</v>
      </c>
      <c r="X1028" s="12">
        <f t="shared" si="70"/>
        <v>1</v>
      </c>
      <c r="Y1028" s="12">
        <f t="shared" si="69"/>
        <v>1</v>
      </c>
    </row>
    <row r="1029" spans="3:25" ht="15.7">
      <c r="D1029" s="4267" t="str">
        <f>T('2 REPAIR ESTIMATOR'!D886:O886)</f>
        <v/>
      </c>
      <c r="E1029" s="4268"/>
      <c r="F1029" s="4268"/>
      <c r="G1029" s="4268"/>
      <c r="H1029" s="4268"/>
      <c r="I1029" s="4268"/>
      <c r="J1029" s="4268"/>
      <c r="K1029" s="4268"/>
      <c r="L1029" s="4269">
        <f>'2 REPAIR ESTIMATOR'!P886</f>
        <v>0</v>
      </c>
      <c r="M1029" s="4269"/>
      <c r="N1029" s="4270" t="str">
        <f>T('2 REPAIR ESTIMATOR'!S886)</f>
        <v/>
      </c>
      <c r="O1029" s="4270"/>
      <c r="P1029" s="4271"/>
      <c r="Q1029" s="4271"/>
      <c r="R1029" s="4271"/>
      <c r="S1029" s="4271"/>
      <c r="T1029" s="4271"/>
      <c r="U1029" s="4271"/>
      <c r="V1029" s="4272"/>
      <c r="W1029" s="12">
        <f t="shared" si="68"/>
        <v>1</v>
      </c>
      <c r="X1029" s="12">
        <f t="shared" si="70"/>
        <v>1</v>
      </c>
      <c r="Y1029" s="12">
        <f t="shared" si="69"/>
        <v>1</v>
      </c>
    </row>
    <row r="1030" spans="3:25" ht="15.7">
      <c r="D1030" s="4267" t="str">
        <f>T('2 REPAIR ESTIMATOR'!D887:O887)</f>
        <v/>
      </c>
      <c r="E1030" s="4268"/>
      <c r="F1030" s="4268"/>
      <c r="G1030" s="4268"/>
      <c r="H1030" s="4268"/>
      <c r="I1030" s="4268"/>
      <c r="J1030" s="4268"/>
      <c r="K1030" s="4268"/>
      <c r="L1030" s="4269">
        <f>'2 REPAIR ESTIMATOR'!P887</f>
        <v>0</v>
      </c>
      <c r="M1030" s="4269"/>
      <c r="N1030" s="4270" t="str">
        <f>T('2 REPAIR ESTIMATOR'!S887)</f>
        <v/>
      </c>
      <c r="O1030" s="4270"/>
      <c r="P1030" s="4271"/>
      <c r="Q1030" s="4271"/>
      <c r="R1030" s="4271"/>
      <c r="S1030" s="4271"/>
      <c r="T1030" s="4271"/>
      <c r="U1030" s="4271"/>
      <c r="V1030" s="4272"/>
      <c r="W1030" s="12">
        <f t="shared" si="68"/>
        <v>1</v>
      </c>
      <c r="X1030" s="12">
        <f t="shared" si="70"/>
        <v>1</v>
      </c>
      <c r="Y1030" s="12">
        <f t="shared" si="69"/>
        <v>1</v>
      </c>
    </row>
    <row r="1031" spans="3:25" ht="15.7">
      <c r="D1031" s="4267" t="str">
        <f>T('2 REPAIR ESTIMATOR'!D888:O888)</f>
        <v/>
      </c>
      <c r="E1031" s="4268"/>
      <c r="F1031" s="4268"/>
      <c r="G1031" s="4268"/>
      <c r="H1031" s="4268"/>
      <c r="I1031" s="4268"/>
      <c r="J1031" s="4268"/>
      <c r="K1031" s="4268"/>
      <c r="L1031" s="4269">
        <f>'2 REPAIR ESTIMATOR'!P888</f>
        <v>0</v>
      </c>
      <c r="M1031" s="4269"/>
      <c r="N1031" s="4270" t="str">
        <f>T('2 REPAIR ESTIMATOR'!S888)</f>
        <v/>
      </c>
      <c r="O1031" s="4270"/>
      <c r="P1031" s="4271"/>
      <c r="Q1031" s="4271"/>
      <c r="R1031" s="4271"/>
      <c r="S1031" s="4271"/>
      <c r="T1031" s="4271"/>
      <c r="U1031" s="4271"/>
      <c r="V1031" s="4272"/>
      <c r="W1031" s="12">
        <f t="shared" si="68"/>
        <v>1</v>
      </c>
      <c r="X1031" s="12">
        <f t="shared" si="70"/>
        <v>1</v>
      </c>
      <c r="Y1031" s="12">
        <f t="shared" si="69"/>
        <v>1</v>
      </c>
    </row>
    <row r="1032" spans="3:25" ht="15.7">
      <c r="D1032" s="4267" t="str">
        <f>T('2 REPAIR ESTIMATOR'!D889:O889)</f>
        <v/>
      </c>
      <c r="E1032" s="4268"/>
      <c r="F1032" s="4268"/>
      <c r="G1032" s="4268"/>
      <c r="H1032" s="4268"/>
      <c r="I1032" s="4268"/>
      <c r="J1032" s="4268"/>
      <c r="K1032" s="4268"/>
      <c r="L1032" s="4269">
        <f>'2 REPAIR ESTIMATOR'!P889</f>
        <v>0</v>
      </c>
      <c r="M1032" s="4269"/>
      <c r="N1032" s="4270" t="str">
        <f>T('2 REPAIR ESTIMATOR'!S889)</f>
        <v/>
      </c>
      <c r="O1032" s="4270"/>
      <c r="P1032" s="4271"/>
      <c r="Q1032" s="4271"/>
      <c r="R1032" s="4271"/>
      <c r="S1032" s="4271"/>
      <c r="T1032" s="4271"/>
      <c r="U1032" s="4271"/>
      <c r="V1032" s="4272"/>
      <c r="W1032" s="12">
        <f t="shared" si="68"/>
        <v>1</v>
      </c>
      <c r="X1032" s="12">
        <f t="shared" si="70"/>
        <v>1</v>
      </c>
      <c r="Y1032" s="12">
        <f t="shared" si="69"/>
        <v>1</v>
      </c>
    </row>
    <row r="1033" spans="3:25" ht="15.7">
      <c r="D1033" s="4267" t="str">
        <f>T('2 REPAIR ESTIMATOR'!D890:O890)</f>
        <v/>
      </c>
      <c r="E1033" s="4268"/>
      <c r="F1033" s="4268"/>
      <c r="G1033" s="4268"/>
      <c r="H1033" s="4268"/>
      <c r="I1033" s="4268"/>
      <c r="J1033" s="4268"/>
      <c r="K1033" s="4268"/>
      <c r="L1033" s="4269">
        <f>'2 REPAIR ESTIMATOR'!P890</f>
        <v>0</v>
      </c>
      <c r="M1033" s="4269"/>
      <c r="N1033" s="4270" t="str">
        <f>T('2 REPAIR ESTIMATOR'!S890)</f>
        <v/>
      </c>
      <c r="O1033" s="4270"/>
      <c r="P1033" s="4271"/>
      <c r="Q1033" s="4271"/>
      <c r="R1033" s="4271"/>
      <c r="S1033" s="4271"/>
      <c r="T1033" s="4271"/>
      <c r="U1033" s="4271"/>
      <c r="V1033" s="4272"/>
      <c r="W1033" s="12">
        <f t="shared" si="68"/>
        <v>1</v>
      </c>
      <c r="X1033" s="12">
        <f t="shared" si="70"/>
        <v>1</v>
      </c>
      <c r="Y1033" s="12">
        <f t="shared" si="69"/>
        <v>1</v>
      </c>
    </row>
    <row r="1034" spans="3:25" ht="15.7">
      <c r="D1034" s="4267" t="str">
        <f>T('2 REPAIR ESTIMATOR'!D891:O891)</f>
        <v/>
      </c>
      <c r="E1034" s="4268"/>
      <c r="F1034" s="4268"/>
      <c r="G1034" s="4268"/>
      <c r="H1034" s="4268"/>
      <c r="I1034" s="4268"/>
      <c r="J1034" s="4268"/>
      <c r="K1034" s="4268"/>
      <c r="L1034" s="4269">
        <f>'2 REPAIR ESTIMATOR'!P891</f>
        <v>0</v>
      </c>
      <c r="M1034" s="4269"/>
      <c r="N1034" s="4270" t="str">
        <f>T('2 REPAIR ESTIMATOR'!S891)</f>
        <v/>
      </c>
      <c r="O1034" s="4270"/>
      <c r="P1034" s="4271"/>
      <c r="Q1034" s="4271"/>
      <c r="R1034" s="4271"/>
      <c r="S1034" s="4271"/>
      <c r="T1034" s="4271"/>
      <c r="U1034" s="4271"/>
      <c r="V1034" s="4272"/>
      <c r="W1034" s="12">
        <f t="shared" si="68"/>
        <v>1</v>
      </c>
      <c r="X1034" s="12">
        <f t="shared" si="70"/>
        <v>1</v>
      </c>
      <c r="Y1034" s="12">
        <f t="shared" si="69"/>
        <v>1</v>
      </c>
    </row>
    <row r="1035" spans="3:25" ht="15.7">
      <c r="D1035" s="4267" t="str">
        <f>T('2 REPAIR ESTIMATOR'!D892:O892)</f>
        <v/>
      </c>
      <c r="E1035" s="4268"/>
      <c r="F1035" s="4268"/>
      <c r="G1035" s="4268"/>
      <c r="H1035" s="4268"/>
      <c r="I1035" s="4268"/>
      <c r="J1035" s="4268"/>
      <c r="K1035" s="4268"/>
      <c r="L1035" s="4269">
        <f>'2 REPAIR ESTIMATOR'!P892</f>
        <v>0</v>
      </c>
      <c r="M1035" s="4269"/>
      <c r="N1035" s="4270" t="str">
        <f>T('2 REPAIR ESTIMATOR'!S892)</f>
        <v/>
      </c>
      <c r="O1035" s="4270"/>
      <c r="P1035" s="4271"/>
      <c r="Q1035" s="4271"/>
      <c r="R1035" s="4271"/>
      <c r="S1035" s="4271"/>
      <c r="T1035" s="4271"/>
      <c r="U1035" s="4271"/>
      <c r="V1035" s="4272"/>
      <c r="W1035" s="12">
        <f t="shared" si="68"/>
        <v>1</v>
      </c>
      <c r="X1035" s="12">
        <f t="shared" si="70"/>
        <v>1</v>
      </c>
      <c r="Y1035" s="12">
        <f t="shared" si="69"/>
        <v>1</v>
      </c>
    </row>
    <row r="1036" spans="3:25" ht="15.7">
      <c r="D1036" s="723"/>
      <c r="E1036" s="723"/>
      <c r="F1036" s="723"/>
      <c r="G1036" s="723"/>
      <c r="H1036" s="723"/>
      <c r="I1036" s="723"/>
      <c r="J1036" s="723"/>
      <c r="K1036" s="723"/>
      <c r="L1036" s="724"/>
      <c r="M1036" s="724"/>
      <c r="N1036" s="725"/>
      <c r="O1036" s="725"/>
      <c r="P1036" s="724"/>
      <c r="Q1036" s="445"/>
      <c r="R1036" s="445"/>
      <c r="S1036" s="725"/>
      <c r="T1036" s="725"/>
      <c r="U1036" s="725"/>
      <c r="V1036" s="725"/>
      <c r="W1036" s="12" t="e">
        <f>W1037</f>
        <v>#REF!</v>
      </c>
      <c r="X1036" s="12">
        <f t="shared" si="70"/>
        <v>1</v>
      </c>
      <c r="Y1036" s="12" t="e">
        <f t="shared" si="69"/>
        <v>#REF!</v>
      </c>
    </row>
    <row r="1037" spans="3:25" ht="16.7">
      <c r="C1037" s="6"/>
      <c r="D1037" s="4266" t="str">
        <f>UPPER(CONCATENATE("Miscellaneous ",D995," Items"))</f>
        <v>MISCELLANEOUS TILING ITEMS</v>
      </c>
      <c r="E1037" s="4266"/>
      <c r="F1037" s="4266"/>
      <c r="G1037" s="4266"/>
      <c r="H1037" s="4266"/>
      <c r="I1037" s="4266"/>
      <c r="J1037" s="4266"/>
      <c r="K1037" s="4266"/>
      <c r="L1037" s="4266"/>
      <c r="M1037" s="4266"/>
      <c r="N1037" s="4266"/>
      <c r="O1037" s="4266"/>
      <c r="P1037" s="4266"/>
      <c r="Q1037" s="4266"/>
      <c r="R1037" s="4266"/>
      <c r="S1037" s="4266"/>
      <c r="T1037" s="4266"/>
      <c r="U1037" s="4266"/>
      <c r="V1037" s="4266"/>
      <c r="W1037" s="12" t="e">
        <f>SUM(W1038:W1047)</f>
        <v>#REF!</v>
      </c>
      <c r="X1037" s="12">
        <f t="shared" si="70"/>
        <v>1</v>
      </c>
      <c r="Y1037" s="12" t="e">
        <f t="shared" si="69"/>
        <v>#REF!</v>
      </c>
    </row>
    <row r="1038" spans="3:25" ht="15.7">
      <c r="D1038" s="712">
        <v>1</v>
      </c>
      <c r="E1038" s="4263" t="s">
        <v>1481</v>
      </c>
      <c r="F1038" s="4263"/>
      <c r="G1038" s="4263"/>
      <c r="H1038" s="4263"/>
      <c r="I1038" s="4263"/>
      <c r="J1038" s="4263"/>
      <c r="K1038" s="4263"/>
      <c r="L1038" s="4263"/>
      <c r="M1038" s="4263"/>
      <c r="N1038" s="4263"/>
      <c r="O1038" s="4263"/>
      <c r="P1038" s="4263"/>
      <c r="Q1038" s="4263"/>
      <c r="R1038" s="4263"/>
      <c r="S1038" s="4263"/>
      <c r="T1038" s="4263"/>
      <c r="U1038" s="4263"/>
      <c r="V1038" s="4263"/>
      <c r="W1038" s="12">
        <f>IF(E1038&lt;&gt;"",1,0)*W995</f>
        <v>0</v>
      </c>
      <c r="X1038" s="12">
        <f t="shared" si="70"/>
        <v>1</v>
      </c>
      <c r="Y1038" s="12">
        <f t="shared" si="69"/>
        <v>0</v>
      </c>
    </row>
    <row r="1039" spans="3:25" ht="15.7">
      <c r="D1039" s="712">
        <v>2</v>
      </c>
      <c r="E1039" s="4263" t="s">
        <v>1482</v>
      </c>
      <c r="F1039" s="4263"/>
      <c r="G1039" s="4263"/>
      <c r="H1039" s="4263"/>
      <c r="I1039" s="4263"/>
      <c r="J1039" s="4263"/>
      <c r="K1039" s="4263"/>
      <c r="L1039" s="4263"/>
      <c r="M1039" s="4263"/>
      <c r="N1039" s="4263"/>
      <c r="O1039" s="4263"/>
      <c r="P1039" s="4263"/>
      <c r="Q1039" s="4263"/>
      <c r="R1039" s="4263"/>
      <c r="S1039" s="4263"/>
      <c r="T1039" s="4263"/>
      <c r="U1039" s="4263"/>
      <c r="V1039" s="4263"/>
      <c r="W1039" s="12">
        <f>IF(E1039&lt;&gt;"",1,0)*W995</f>
        <v>0</v>
      </c>
      <c r="X1039" s="12">
        <f t="shared" si="70"/>
        <v>1</v>
      </c>
      <c r="Y1039" s="12">
        <f t="shared" si="69"/>
        <v>0</v>
      </c>
    </row>
    <row r="1040" spans="3:25" ht="15.7">
      <c r="D1040" s="712">
        <v>3</v>
      </c>
      <c r="E1040" s="4263" t="s">
        <v>1488</v>
      </c>
      <c r="F1040" s="4263"/>
      <c r="G1040" s="4263"/>
      <c r="H1040" s="4263"/>
      <c r="I1040" s="4263"/>
      <c r="J1040" s="4263"/>
      <c r="K1040" s="4263"/>
      <c r="L1040" s="4263"/>
      <c r="M1040" s="4263"/>
      <c r="N1040" s="4263"/>
      <c r="O1040" s="4263"/>
      <c r="P1040" s="4263"/>
      <c r="Q1040" s="4263"/>
      <c r="R1040" s="4263"/>
      <c r="S1040" s="4263"/>
      <c r="T1040" s="4263"/>
      <c r="U1040" s="4263"/>
      <c r="V1040" s="4263"/>
      <c r="W1040" s="12">
        <f>IF(E1041&lt;&gt;"",1,0)*W995</f>
        <v>0</v>
      </c>
      <c r="X1040" s="12">
        <f t="shared" si="70"/>
        <v>1</v>
      </c>
      <c r="Y1040" s="12">
        <f t="shared" si="69"/>
        <v>0</v>
      </c>
    </row>
    <row r="1041" spans="3:25" ht="15.7">
      <c r="D1041" s="712">
        <v>4</v>
      </c>
      <c r="E1041" s="4263" t="s">
        <v>1483</v>
      </c>
      <c r="F1041" s="4263"/>
      <c r="G1041" s="4263"/>
      <c r="H1041" s="4263"/>
      <c r="I1041" s="4263"/>
      <c r="J1041" s="4263"/>
      <c r="K1041" s="4263"/>
      <c r="L1041" s="4263"/>
      <c r="M1041" s="4263"/>
      <c r="N1041" s="4263"/>
      <c r="O1041" s="4263"/>
      <c r="P1041" s="4263"/>
      <c r="Q1041" s="4263"/>
      <c r="R1041" s="4263"/>
      <c r="S1041" s="4263"/>
      <c r="T1041" s="4263"/>
      <c r="U1041" s="4263"/>
      <c r="V1041" s="4263"/>
      <c r="W1041" s="12">
        <f>IF(E1042&lt;&gt;"",1,0)*W995</f>
        <v>0</v>
      </c>
      <c r="X1041" s="12">
        <f t="shared" si="70"/>
        <v>1</v>
      </c>
      <c r="Y1041" s="12">
        <f t="shared" si="69"/>
        <v>0</v>
      </c>
    </row>
    <row r="1042" spans="3:25" ht="15.7">
      <c r="D1042" s="712">
        <v>5</v>
      </c>
      <c r="E1042" s="4263" t="s">
        <v>1486</v>
      </c>
      <c r="F1042" s="4263"/>
      <c r="G1042" s="4263"/>
      <c r="H1042" s="4263"/>
      <c r="I1042" s="4263"/>
      <c r="J1042" s="4263"/>
      <c r="K1042" s="4263"/>
      <c r="L1042" s="4263"/>
      <c r="M1042" s="4263"/>
      <c r="N1042" s="4263"/>
      <c r="O1042" s="4263"/>
      <c r="P1042" s="4263"/>
      <c r="Q1042" s="4263"/>
      <c r="R1042" s="4263"/>
      <c r="S1042" s="4263"/>
      <c r="T1042" s="4263"/>
      <c r="U1042" s="4263"/>
      <c r="V1042" s="4263"/>
      <c r="W1042" s="12">
        <f>IF(E1043&lt;&gt;"",1,0)*W995</f>
        <v>0</v>
      </c>
      <c r="X1042" s="12">
        <f t="shared" si="70"/>
        <v>1</v>
      </c>
      <c r="Y1042" s="12">
        <f t="shared" si="69"/>
        <v>0</v>
      </c>
    </row>
    <row r="1043" spans="3:25" ht="15.7">
      <c r="D1043" s="712">
        <v>6</v>
      </c>
      <c r="E1043" s="4263" t="s">
        <v>1485</v>
      </c>
      <c r="F1043" s="4263"/>
      <c r="G1043" s="4263"/>
      <c r="H1043" s="4263"/>
      <c r="I1043" s="4263"/>
      <c r="J1043" s="4263"/>
      <c r="K1043" s="4263"/>
      <c r="L1043" s="4263"/>
      <c r="M1043" s="4263"/>
      <c r="N1043" s="4263"/>
      <c r="O1043" s="4263"/>
      <c r="P1043" s="4263"/>
      <c r="Q1043" s="4263"/>
      <c r="R1043" s="4263"/>
      <c r="S1043" s="4263"/>
      <c r="T1043" s="4263"/>
      <c r="U1043" s="4263"/>
      <c r="V1043" s="4263"/>
      <c r="W1043" s="12">
        <f>IF(E1044&lt;&gt;"",1,0)*W995</f>
        <v>0</v>
      </c>
      <c r="X1043" s="12">
        <f t="shared" si="70"/>
        <v>1</v>
      </c>
      <c r="Y1043" s="12">
        <f t="shared" si="69"/>
        <v>0</v>
      </c>
    </row>
    <row r="1044" spans="3:25" ht="15.7">
      <c r="D1044" s="712">
        <v>7</v>
      </c>
      <c r="E1044" s="4263" t="s">
        <v>1484</v>
      </c>
      <c r="F1044" s="4263"/>
      <c r="G1044" s="4263"/>
      <c r="H1044" s="4263"/>
      <c r="I1044" s="4263"/>
      <c r="J1044" s="4263"/>
      <c r="K1044" s="4263"/>
      <c r="L1044" s="4263"/>
      <c r="M1044" s="4263"/>
      <c r="N1044" s="4263"/>
      <c r="O1044" s="4263"/>
      <c r="P1044" s="4263"/>
      <c r="Q1044" s="4263"/>
      <c r="R1044" s="4263"/>
      <c r="S1044" s="4263"/>
      <c r="T1044" s="4263"/>
      <c r="U1044" s="4263"/>
      <c r="V1044" s="4263"/>
      <c r="W1044" s="12">
        <f>IF(E1045&lt;&gt;"",1,0)*W995</f>
        <v>0</v>
      </c>
      <c r="X1044" s="12">
        <f t="shared" si="70"/>
        <v>1</v>
      </c>
      <c r="Y1044" s="12">
        <f t="shared" si="69"/>
        <v>0</v>
      </c>
    </row>
    <row r="1045" spans="3:25" ht="15.7">
      <c r="D1045" s="712">
        <v>8</v>
      </c>
      <c r="E1045" s="4263" t="s">
        <v>1487</v>
      </c>
      <c r="F1045" s="4263"/>
      <c r="G1045" s="4263"/>
      <c r="H1045" s="4263"/>
      <c r="I1045" s="4263"/>
      <c r="J1045" s="4263"/>
      <c r="K1045" s="4263"/>
      <c r="L1045" s="4263"/>
      <c r="M1045" s="4263"/>
      <c r="N1045" s="4263"/>
      <c r="O1045" s="4263"/>
      <c r="P1045" s="4263"/>
      <c r="Q1045" s="4263"/>
      <c r="R1045" s="4263"/>
      <c r="S1045" s="4263"/>
      <c r="T1045" s="4263"/>
      <c r="U1045" s="4263"/>
      <c r="V1045" s="4263"/>
      <c r="W1045" s="12" t="e">
        <f>IF(#REF!&lt;&gt;"",1,0)*W995</f>
        <v>#REF!</v>
      </c>
      <c r="X1045" s="12">
        <f t="shared" si="70"/>
        <v>1</v>
      </c>
      <c r="Y1045" s="12" t="e">
        <f t="shared" si="69"/>
        <v>#REF!</v>
      </c>
    </row>
    <row r="1046" spans="3:25" ht="15.7">
      <c r="D1046" s="712">
        <v>9</v>
      </c>
      <c r="E1046" s="4263"/>
      <c r="F1046" s="4263"/>
      <c r="G1046" s="4263"/>
      <c r="H1046" s="4263"/>
      <c r="I1046" s="4263"/>
      <c r="J1046" s="4263"/>
      <c r="K1046" s="4263"/>
      <c r="L1046" s="4263"/>
      <c r="M1046" s="4263"/>
      <c r="N1046" s="4263"/>
      <c r="O1046" s="4263"/>
      <c r="P1046" s="4263"/>
      <c r="Q1046" s="4263"/>
      <c r="R1046" s="4263"/>
      <c r="S1046" s="4263"/>
      <c r="T1046" s="4263"/>
      <c r="U1046" s="4263"/>
      <c r="V1046" s="4263"/>
      <c r="W1046" s="12">
        <f>IF(E1046&lt;&gt;"",1,0)*W995</f>
        <v>0</v>
      </c>
      <c r="X1046" s="12">
        <f t="shared" si="70"/>
        <v>1</v>
      </c>
      <c r="Y1046" s="12">
        <f t="shared" si="69"/>
        <v>0</v>
      </c>
    </row>
    <row r="1047" spans="3:25" ht="15.7">
      <c r="D1047" s="712">
        <v>10</v>
      </c>
      <c r="E1047" s="4263"/>
      <c r="F1047" s="4263"/>
      <c r="G1047" s="4263"/>
      <c r="H1047" s="4263"/>
      <c r="I1047" s="4263"/>
      <c r="J1047" s="4263"/>
      <c r="K1047" s="4263"/>
      <c r="L1047" s="4263"/>
      <c r="M1047" s="4263"/>
      <c r="N1047" s="4263"/>
      <c r="O1047" s="4263"/>
      <c r="P1047" s="4263"/>
      <c r="Q1047" s="4263"/>
      <c r="R1047" s="4263"/>
      <c r="S1047" s="4263"/>
      <c r="T1047" s="4263"/>
      <c r="U1047" s="4263"/>
      <c r="V1047" s="4263"/>
      <c r="W1047" s="12">
        <f>IF(E1047&lt;&gt;"",1,0)*W995</f>
        <v>0</v>
      </c>
      <c r="X1047" s="12">
        <f t="shared" si="70"/>
        <v>1</v>
      </c>
      <c r="Y1047" s="12">
        <f t="shared" si="69"/>
        <v>0</v>
      </c>
    </row>
    <row r="1048" spans="3:25" ht="15.7">
      <c r="D1048" s="723"/>
      <c r="E1048" s="723"/>
      <c r="F1048" s="723"/>
      <c r="G1048" s="723"/>
      <c r="H1048" s="723"/>
      <c r="I1048" s="723"/>
      <c r="J1048" s="723"/>
      <c r="K1048" s="723"/>
      <c r="L1048" s="724"/>
      <c r="M1048" s="724"/>
      <c r="N1048" s="725"/>
      <c r="O1048" s="725"/>
      <c r="P1048" s="724"/>
      <c r="Q1048" s="445"/>
      <c r="R1048" s="445"/>
      <c r="S1048" s="726"/>
      <c r="T1048" s="726"/>
      <c r="U1048" s="726"/>
      <c r="V1048" s="726"/>
      <c r="W1048" s="12">
        <f>W995</f>
        <v>0</v>
      </c>
      <c r="X1048" s="12">
        <f t="shared" si="70"/>
        <v>1</v>
      </c>
      <c r="Y1048" s="12">
        <f t="shared" si="69"/>
        <v>0</v>
      </c>
    </row>
    <row r="1049" spans="3:25" ht="40.5" customHeight="1">
      <c r="C1049" s="6"/>
      <c r="D1049" s="4264" t="str">
        <f>UPPER(CONCATENATE("TOTAL ",D995))</f>
        <v>TOTAL TILING</v>
      </c>
      <c r="E1049" s="4264"/>
      <c r="F1049" s="4264"/>
      <c r="G1049" s="4264"/>
      <c r="H1049" s="4264"/>
      <c r="I1049" s="4264"/>
      <c r="J1049" s="4264"/>
      <c r="K1049" s="4264"/>
      <c r="L1049" s="4264"/>
      <c r="M1049" s="4264"/>
      <c r="N1049" s="4264"/>
      <c r="O1049" s="4264"/>
      <c r="P1049" s="4264"/>
      <c r="Q1049" s="4265"/>
      <c r="R1049" s="4265"/>
      <c r="S1049" s="4265"/>
      <c r="T1049" s="4265"/>
      <c r="U1049" s="4265"/>
      <c r="V1049" s="4265"/>
      <c r="W1049" s="12">
        <f>W995</f>
        <v>0</v>
      </c>
      <c r="X1049" s="12">
        <f t="shared" si="70"/>
        <v>1</v>
      </c>
      <c r="Y1049" s="12">
        <f t="shared" si="69"/>
        <v>0</v>
      </c>
    </row>
    <row r="1050" spans="3:25" ht="15.7">
      <c r="D1050" s="723"/>
      <c r="E1050" s="723"/>
      <c r="F1050" s="723"/>
      <c r="G1050" s="723"/>
      <c r="H1050" s="723"/>
      <c r="I1050" s="723"/>
      <c r="J1050" s="723"/>
      <c r="K1050" s="723"/>
      <c r="L1050" s="724"/>
      <c r="M1050" s="724"/>
      <c r="N1050" s="725"/>
      <c r="O1050" s="725"/>
      <c r="P1050" s="724"/>
      <c r="Q1050" s="445"/>
      <c r="R1050" s="445"/>
      <c r="S1050" s="726"/>
      <c r="T1050" s="726"/>
      <c r="U1050" s="726"/>
      <c r="V1050" s="726"/>
      <c r="W1050" s="12">
        <f>W995</f>
        <v>0</v>
      </c>
      <c r="X1050" s="12">
        <f t="shared" si="70"/>
        <v>1</v>
      </c>
      <c r="Y1050" s="12">
        <f t="shared" si="69"/>
        <v>0</v>
      </c>
    </row>
    <row r="1051" spans="3:25" ht="26.45" customHeight="1">
      <c r="D1051" s="4275" t="str">
        <f>T('2 REPAIR ESTIMATOR'!D897:O897)</f>
        <v>PAINTING</v>
      </c>
      <c r="E1051" s="4275"/>
      <c r="F1051" s="4275"/>
      <c r="G1051" s="4275"/>
      <c r="H1051" s="4275"/>
      <c r="I1051" s="4275"/>
      <c r="J1051" s="4275"/>
      <c r="K1051" s="4276"/>
      <c r="L1051" s="4277">
        <f>SUM(L1052:M1091)</f>
        <v>0</v>
      </c>
      <c r="M1051" s="4278"/>
      <c r="N1051" s="4279"/>
      <c r="O1051" s="4280"/>
      <c r="P1051" s="4277"/>
      <c r="Q1051" s="4281"/>
      <c r="R1051" s="4281"/>
      <c r="S1051" s="4281"/>
      <c r="T1051" s="4281"/>
      <c r="U1051" s="4281"/>
      <c r="V1051" s="4281"/>
      <c r="W1051" s="12">
        <f>IF(L1051&gt;0,1,0)</f>
        <v>0</v>
      </c>
      <c r="X1051" s="12">
        <f t="shared" ref="X1051:X1082" si="71">IF(Scope19_Setting="Shown",1,0)</f>
        <v>1</v>
      </c>
      <c r="Y1051" s="12">
        <f t="shared" si="69"/>
        <v>0</v>
      </c>
    </row>
    <row r="1052" spans="3:25" ht="15.7">
      <c r="D1052" s="4267" t="str">
        <f>T('2 REPAIR ESTIMATOR'!D898:O898)</f>
        <v>Exterior Painting</v>
      </c>
      <c r="E1052" s="4268"/>
      <c r="F1052" s="4268"/>
      <c r="G1052" s="4268"/>
      <c r="H1052" s="4268"/>
      <c r="I1052" s="4268"/>
      <c r="J1052" s="4268"/>
      <c r="K1052" s="4268"/>
      <c r="L1052" s="4269">
        <f>'2 REPAIR ESTIMATOR'!P898</f>
        <v>0</v>
      </c>
      <c r="M1052" s="4269"/>
      <c r="N1052" s="4270" t="str">
        <f>T('2 REPAIR ESTIMATOR'!S898)</f>
        <v/>
      </c>
      <c r="O1052" s="4270"/>
      <c r="P1052" s="4273"/>
      <c r="Q1052" s="4273"/>
      <c r="R1052" s="4273"/>
      <c r="S1052" s="4273"/>
      <c r="T1052" s="4273"/>
      <c r="U1052" s="4273"/>
      <c r="V1052" s="4274"/>
      <c r="W1052" s="12">
        <f>IF(L1052="",0,1)</f>
        <v>1</v>
      </c>
      <c r="X1052" s="12">
        <f t="shared" si="71"/>
        <v>1</v>
      </c>
      <c r="Y1052" s="12">
        <f t="shared" si="69"/>
        <v>1</v>
      </c>
    </row>
    <row r="1053" spans="3:25" ht="15.7">
      <c r="D1053" s="4267" t="str">
        <f>T('2 REPAIR ESTIMATOR'!D899:O899)</f>
        <v>Exterior painting, bid/allowance</v>
      </c>
      <c r="E1053" s="4268"/>
      <c r="F1053" s="4268"/>
      <c r="G1053" s="4268"/>
      <c r="H1053" s="4268"/>
      <c r="I1053" s="4268"/>
      <c r="J1053" s="4268"/>
      <c r="K1053" s="4268"/>
      <c r="L1053" s="4269">
        <f>'2 REPAIR ESTIMATOR'!P899</f>
        <v>0</v>
      </c>
      <c r="M1053" s="4269"/>
      <c r="N1053" s="4270" t="str">
        <f>T('2 REPAIR ESTIMATOR'!S899)</f>
        <v>ls</v>
      </c>
      <c r="O1053" s="4270"/>
      <c r="P1053" s="4271"/>
      <c r="Q1053" s="4271"/>
      <c r="R1053" s="4271"/>
      <c r="S1053" s="4271"/>
      <c r="T1053" s="4271"/>
      <c r="U1053" s="4271"/>
      <c r="V1053" s="4272"/>
      <c r="W1053" s="12">
        <f t="shared" ref="W1053:W1091" si="72">IF(L1053="",0,1)</f>
        <v>1</v>
      </c>
      <c r="X1053" s="12">
        <f t="shared" si="71"/>
        <v>1</v>
      </c>
      <c r="Y1053" s="12">
        <f t="shared" si="69"/>
        <v>1</v>
      </c>
    </row>
    <row r="1054" spans="3:25" ht="15.7">
      <c r="D1054" s="4267" t="str">
        <f>T('2 REPAIR ESTIMATOR'!D900:O900)</f>
        <v>Exterior painting materials allowance</v>
      </c>
      <c r="E1054" s="4268"/>
      <c r="F1054" s="4268"/>
      <c r="G1054" s="4268"/>
      <c r="H1054" s="4268"/>
      <c r="I1054" s="4268"/>
      <c r="J1054" s="4268"/>
      <c r="K1054" s="4268"/>
      <c r="L1054" s="4269">
        <f>'2 REPAIR ESTIMATOR'!P900</f>
        <v>0</v>
      </c>
      <c r="M1054" s="4269"/>
      <c r="N1054" s="4270" t="str">
        <f>T('2 REPAIR ESTIMATOR'!S900)</f>
        <v>gal</v>
      </c>
      <c r="O1054" s="4270"/>
      <c r="P1054" s="4271"/>
      <c r="Q1054" s="4271"/>
      <c r="R1054" s="4271"/>
      <c r="S1054" s="4271"/>
      <c r="T1054" s="4271"/>
      <c r="U1054" s="4271"/>
      <c r="V1054" s="4272"/>
      <c r="W1054" s="12">
        <f t="shared" si="72"/>
        <v>1</v>
      </c>
      <c r="X1054" s="12">
        <f t="shared" si="71"/>
        <v>1</v>
      </c>
      <c r="Y1054" s="12">
        <f t="shared" si="69"/>
        <v>1</v>
      </c>
    </row>
    <row r="1055" spans="3:25" ht="15.7">
      <c r="D1055" s="4267" t="str">
        <f>T('2 REPAIR ESTIMATOR'!D901:O901)</f>
        <v>Prep/clean siding</v>
      </c>
      <c r="E1055" s="4268"/>
      <c r="F1055" s="4268"/>
      <c r="G1055" s="4268"/>
      <c r="H1055" s="4268"/>
      <c r="I1055" s="4268"/>
      <c r="J1055" s="4268"/>
      <c r="K1055" s="4268"/>
      <c r="L1055" s="4269">
        <f>'2 REPAIR ESTIMATOR'!P901</f>
        <v>0</v>
      </c>
      <c r="M1055" s="4269"/>
      <c r="N1055" s="4270" t="str">
        <f>T('2 REPAIR ESTIMATOR'!S901)</f>
        <v>sf</v>
      </c>
      <c r="O1055" s="4270"/>
      <c r="P1055" s="4271"/>
      <c r="Q1055" s="4271"/>
      <c r="R1055" s="4271"/>
      <c r="S1055" s="4271"/>
      <c r="T1055" s="4271"/>
      <c r="U1055" s="4271"/>
      <c r="V1055" s="4272"/>
      <c r="W1055" s="12">
        <f t="shared" si="72"/>
        <v>1</v>
      </c>
      <c r="X1055" s="12">
        <f t="shared" si="71"/>
        <v>1</v>
      </c>
      <c r="Y1055" s="12">
        <f t="shared" si="69"/>
        <v>1</v>
      </c>
    </row>
    <row r="1056" spans="3:25" ht="15.7">
      <c r="D1056" s="4267" t="str">
        <f>T('2 REPAIR ESTIMATOR'!D902:O902)</f>
        <v>Paint siding</v>
      </c>
      <c r="E1056" s="4268"/>
      <c r="F1056" s="4268"/>
      <c r="G1056" s="4268"/>
      <c r="H1056" s="4268"/>
      <c r="I1056" s="4268"/>
      <c r="J1056" s="4268"/>
      <c r="K1056" s="4268"/>
      <c r="L1056" s="4269">
        <f>'2 REPAIR ESTIMATOR'!P902</f>
        <v>0</v>
      </c>
      <c r="M1056" s="4269"/>
      <c r="N1056" s="4270" t="str">
        <f>T('2 REPAIR ESTIMATOR'!S902)</f>
        <v>sf</v>
      </c>
      <c r="O1056" s="4270"/>
      <c r="P1056" s="4271"/>
      <c r="Q1056" s="4271"/>
      <c r="R1056" s="4271"/>
      <c r="S1056" s="4271"/>
      <c r="T1056" s="4271"/>
      <c r="U1056" s="4271"/>
      <c r="V1056" s="4272"/>
      <c r="W1056" s="12">
        <f t="shared" si="72"/>
        <v>1</v>
      </c>
      <c r="X1056" s="12">
        <f t="shared" si="71"/>
        <v>1</v>
      </c>
      <c r="Y1056" s="12">
        <f t="shared" si="69"/>
        <v>1</v>
      </c>
    </row>
    <row r="1057" spans="4:25" ht="15.7">
      <c r="D1057" s="4267" t="str">
        <f>T('2 REPAIR ESTIMATOR'!D903:O903)</f>
        <v>Paint exterior door</v>
      </c>
      <c r="E1057" s="4268"/>
      <c r="F1057" s="4268"/>
      <c r="G1057" s="4268"/>
      <c r="H1057" s="4268"/>
      <c r="I1057" s="4268"/>
      <c r="J1057" s="4268"/>
      <c r="K1057" s="4268"/>
      <c r="L1057" s="4269">
        <f>'2 REPAIR ESTIMATOR'!P903</f>
        <v>0</v>
      </c>
      <c r="M1057" s="4269"/>
      <c r="N1057" s="4270" t="str">
        <f>T('2 REPAIR ESTIMATOR'!S903)</f>
        <v>ea</v>
      </c>
      <c r="O1057" s="4270"/>
      <c r="P1057" s="4271"/>
      <c r="Q1057" s="4271"/>
      <c r="R1057" s="4271"/>
      <c r="S1057" s="4271"/>
      <c r="T1057" s="4271"/>
      <c r="U1057" s="4271"/>
      <c r="V1057" s="4272"/>
      <c r="W1057" s="12">
        <f t="shared" si="72"/>
        <v>1</v>
      </c>
      <c r="X1057" s="12">
        <f t="shared" si="71"/>
        <v>1</v>
      </c>
      <c r="Y1057" s="12">
        <f t="shared" si="69"/>
        <v>1</v>
      </c>
    </row>
    <row r="1058" spans="4:25" ht="15.7">
      <c r="D1058" s="4267" t="str">
        <f>T('2 REPAIR ESTIMATOR'!D904:O904)</f>
        <v>Paint trim only</v>
      </c>
      <c r="E1058" s="4268"/>
      <c r="F1058" s="4268"/>
      <c r="G1058" s="4268"/>
      <c r="H1058" s="4268"/>
      <c r="I1058" s="4268"/>
      <c r="J1058" s="4268"/>
      <c r="K1058" s="4268"/>
      <c r="L1058" s="4269">
        <f>'2 REPAIR ESTIMATOR'!P904</f>
        <v>0</v>
      </c>
      <c r="M1058" s="4269"/>
      <c r="N1058" s="4270" t="str">
        <f>T('2 REPAIR ESTIMATOR'!S904)</f>
        <v>lf</v>
      </c>
      <c r="O1058" s="4270"/>
      <c r="P1058" s="4271"/>
      <c r="Q1058" s="4271"/>
      <c r="R1058" s="4271"/>
      <c r="S1058" s="4271"/>
      <c r="T1058" s="4271"/>
      <c r="U1058" s="4271"/>
      <c r="V1058" s="4272"/>
      <c r="W1058" s="12">
        <f t="shared" si="72"/>
        <v>1</v>
      </c>
      <c r="X1058" s="12">
        <f t="shared" si="71"/>
        <v>1</v>
      </c>
      <c r="Y1058" s="12">
        <f t="shared" si="69"/>
        <v>1</v>
      </c>
    </row>
    <row r="1059" spans="4:25" ht="15.7">
      <c r="D1059" s="4267" t="str">
        <f>T('2 REPAIR ESTIMATOR'!D905:O905)</f>
        <v>Sand &amp; refinish decking</v>
      </c>
      <c r="E1059" s="4268"/>
      <c r="F1059" s="4268"/>
      <c r="G1059" s="4268"/>
      <c r="H1059" s="4268"/>
      <c r="I1059" s="4268"/>
      <c r="J1059" s="4268"/>
      <c r="K1059" s="4268"/>
      <c r="L1059" s="4269">
        <f>'2 REPAIR ESTIMATOR'!P905</f>
        <v>0</v>
      </c>
      <c r="M1059" s="4269"/>
      <c r="N1059" s="4270" t="str">
        <f>T('2 REPAIR ESTIMATOR'!S905)</f>
        <v>sf</v>
      </c>
      <c r="O1059" s="4270"/>
      <c r="P1059" s="4271"/>
      <c r="Q1059" s="4271"/>
      <c r="R1059" s="4271"/>
      <c r="S1059" s="4271"/>
      <c r="T1059" s="4271"/>
      <c r="U1059" s="4271"/>
      <c r="V1059" s="4272"/>
      <c r="W1059" s="12">
        <f t="shared" si="72"/>
        <v>1</v>
      </c>
      <c r="X1059" s="12">
        <f t="shared" si="71"/>
        <v>1</v>
      </c>
      <c r="Y1059" s="12">
        <f t="shared" si="69"/>
        <v>1</v>
      </c>
    </row>
    <row r="1060" spans="4:25" ht="15.7">
      <c r="D1060" s="4267" t="str">
        <f>T('2 REPAIR ESTIMATOR'!D906:O906)</f>
        <v/>
      </c>
      <c r="E1060" s="4268"/>
      <c r="F1060" s="4268"/>
      <c r="G1060" s="4268"/>
      <c r="H1060" s="4268"/>
      <c r="I1060" s="4268"/>
      <c r="J1060" s="4268"/>
      <c r="K1060" s="4268"/>
      <c r="L1060" s="4269">
        <f>'2 REPAIR ESTIMATOR'!P906</f>
        <v>0</v>
      </c>
      <c r="M1060" s="4269"/>
      <c r="N1060" s="4270" t="str">
        <f>T('2 REPAIR ESTIMATOR'!S906)</f>
        <v/>
      </c>
      <c r="O1060" s="4270"/>
      <c r="P1060" s="4271"/>
      <c r="Q1060" s="4271"/>
      <c r="R1060" s="4271"/>
      <c r="S1060" s="4271"/>
      <c r="T1060" s="4271"/>
      <c r="U1060" s="4271"/>
      <c r="V1060" s="4272"/>
      <c r="W1060" s="12">
        <f t="shared" si="72"/>
        <v>1</v>
      </c>
      <c r="X1060" s="12">
        <f t="shared" si="71"/>
        <v>1</v>
      </c>
      <c r="Y1060" s="12">
        <f t="shared" si="69"/>
        <v>1</v>
      </c>
    </row>
    <row r="1061" spans="4:25" ht="15.7">
      <c r="D1061" s="4267" t="str">
        <f>T('2 REPAIR ESTIMATOR'!D907:O907)</f>
        <v/>
      </c>
      <c r="E1061" s="4268"/>
      <c r="F1061" s="4268"/>
      <c r="G1061" s="4268"/>
      <c r="H1061" s="4268"/>
      <c r="I1061" s="4268"/>
      <c r="J1061" s="4268"/>
      <c r="K1061" s="4268"/>
      <c r="L1061" s="4269">
        <f>'2 REPAIR ESTIMATOR'!P907</f>
        <v>0</v>
      </c>
      <c r="M1061" s="4269"/>
      <c r="N1061" s="4270" t="str">
        <f>T('2 REPAIR ESTIMATOR'!S907)</f>
        <v/>
      </c>
      <c r="O1061" s="4270"/>
      <c r="P1061" s="4271"/>
      <c r="Q1061" s="4271"/>
      <c r="R1061" s="4271"/>
      <c r="S1061" s="4271"/>
      <c r="T1061" s="4271"/>
      <c r="U1061" s="4271"/>
      <c r="V1061" s="4272"/>
      <c r="W1061" s="12">
        <f t="shared" si="72"/>
        <v>1</v>
      </c>
      <c r="X1061" s="12">
        <f t="shared" si="71"/>
        <v>1</v>
      </c>
      <c r="Y1061" s="12">
        <f t="shared" si="69"/>
        <v>1</v>
      </c>
    </row>
    <row r="1062" spans="4:25" ht="15.7">
      <c r="D1062" s="4267" t="str">
        <f>T('2 REPAIR ESTIMATOR'!D908:O908)</f>
        <v>Interior Painting</v>
      </c>
      <c r="E1062" s="4268"/>
      <c r="F1062" s="4268"/>
      <c r="G1062" s="4268"/>
      <c r="H1062" s="4268"/>
      <c r="I1062" s="4268"/>
      <c r="J1062" s="4268"/>
      <c r="K1062" s="4268"/>
      <c r="L1062" s="4269">
        <f>'2 REPAIR ESTIMATOR'!P908</f>
        <v>0</v>
      </c>
      <c r="M1062" s="4269"/>
      <c r="N1062" s="4270" t="str">
        <f>T('2 REPAIR ESTIMATOR'!S908)</f>
        <v/>
      </c>
      <c r="O1062" s="4270"/>
      <c r="P1062" s="4271"/>
      <c r="Q1062" s="4271"/>
      <c r="R1062" s="4271"/>
      <c r="S1062" s="4271"/>
      <c r="T1062" s="4271"/>
      <c r="U1062" s="4271"/>
      <c r="V1062" s="4272"/>
      <c r="W1062" s="12">
        <f t="shared" si="72"/>
        <v>1</v>
      </c>
      <c r="X1062" s="12">
        <f t="shared" si="71"/>
        <v>1</v>
      </c>
      <c r="Y1062" s="12">
        <f t="shared" si="69"/>
        <v>1</v>
      </c>
    </row>
    <row r="1063" spans="4:25" ht="15.7">
      <c r="D1063" s="4267" t="str">
        <f>T('2 REPAIR ESTIMATOR'!D909:O909)</f>
        <v>Interior painting, bid/allowance</v>
      </c>
      <c r="E1063" s="4268"/>
      <c r="F1063" s="4268"/>
      <c r="G1063" s="4268"/>
      <c r="H1063" s="4268"/>
      <c r="I1063" s="4268"/>
      <c r="J1063" s="4268"/>
      <c r="K1063" s="4268"/>
      <c r="L1063" s="4269">
        <f>'2 REPAIR ESTIMATOR'!P909</f>
        <v>0</v>
      </c>
      <c r="M1063" s="4269"/>
      <c r="N1063" s="4270" t="str">
        <f>T('2 REPAIR ESTIMATOR'!S909)</f>
        <v>ls</v>
      </c>
      <c r="O1063" s="4270"/>
      <c r="P1063" s="4271"/>
      <c r="Q1063" s="4271"/>
      <c r="R1063" s="4271"/>
      <c r="S1063" s="4271"/>
      <c r="T1063" s="4271"/>
      <c r="U1063" s="4271"/>
      <c r="V1063" s="4272"/>
      <c r="W1063" s="12">
        <f t="shared" si="72"/>
        <v>1</v>
      </c>
      <c r="X1063" s="12">
        <f t="shared" si="71"/>
        <v>1</v>
      </c>
      <c r="Y1063" s="12">
        <f t="shared" si="69"/>
        <v>1</v>
      </c>
    </row>
    <row r="1064" spans="4:25" ht="15.7">
      <c r="D1064" s="4267" t="str">
        <f>T('2 REPAIR ESTIMATOR'!D910:O910)</f>
        <v>Interior painting materials allowance</v>
      </c>
      <c r="E1064" s="4268"/>
      <c r="F1064" s="4268"/>
      <c r="G1064" s="4268"/>
      <c r="H1064" s="4268"/>
      <c r="I1064" s="4268"/>
      <c r="J1064" s="4268"/>
      <c r="K1064" s="4268"/>
      <c r="L1064" s="4269">
        <f>'2 REPAIR ESTIMATOR'!P910</f>
        <v>0</v>
      </c>
      <c r="M1064" s="4269"/>
      <c r="N1064" s="4270" t="str">
        <f>T('2 REPAIR ESTIMATOR'!S910)</f>
        <v>gal</v>
      </c>
      <c r="O1064" s="4270"/>
      <c r="P1064" s="4271"/>
      <c r="Q1064" s="4271"/>
      <c r="R1064" s="4271"/>
      <c r="S1064" s="4271"/>
      <c r="T1064" s="4271"/>
      <c r="U1064" s="4271"/>
      <c r="V1064" s="4272"/>
      <c r="W1064" s="12">
        <f t="shared" si="72"/>
        <v>1</v>
      </c>
      <c r="X1064" s="12">
        <f t="shared" si="71"/>
        <v>1</v>
      </c>
      <c r="Y1064" s="12">
        <f t="shared" si="69"/>
        <v>1</v>
      </c>
    </row>
    <row r="1065" spans="4:25" ht="15.7">
      <c r="D1065" s="4267" t="str">
        <f>T('2 REPAIR ESTIMATOR'!D911:O911)</f>
        <v>Paint doors &amp; frames</v>
      </c>
      <c r="E1065" s="4268"/>
      <c r="F1065" s="4268"/>
      <c r="G1065" s="4268"/>
      <c r="H1065" s="4268"/>
      <c r="I1065" s="4268"/>
      <c r="J1065" s="4268"/>
      <c r="K1065" s="4268"/>
      <c r="L1065" s="4269">
        <f>'2 REPAIR ESTIMATOR'!P911</f>
        <v>0</v>
      </c>
      <c r="M1065" s="4269"/>
      <c r="N1065" s="4270" t="str">
        <f>T('2 REPAIR ESTIMATOR'!S911)</f>
        <v>ea</v>
      </c>
      <c r="O1065" s="4270"/>
      <c r="P1065" s="4271"/>
      <c r="Q1065" s="4271"/>
      <c r="R1065" s="4271"/>
      <c r="S1065" s="4271"/>
      <c r="T1065" s="4271"/>
      <c r="U1065" s="4271"/>
      <c r="V1065" s="4272"/>
      <c r="W1065" s="12">
        <f t="shared" si="72"/>
        <v>1</v>
      </c>
      <c r="X1065" s="12">
        <f t="shared" si="71"/>
        <v>1</v>
      </c>
      <c r="Y1065" s="12">
        <f t="shared" si="69"/>
        <v>1</v>
      </c>
    </row>
    <row r="1066" spans="4:25" ht="15.7">
      <c r="D1066" s="4267" t="str">
        <f>T('2 REPAIR ESTIMATOR'!D912:O912)</f>
        <v>Paint walls</v>
      </c>
      <c r="E1066" s="4268"/>
      <c r="F1066" s="4268"/>
      <c r="G1066" s="4268"/>
      <c r="H1066" s="4268"/>
      <c r="I1066" s="4268"/>
      <c r="J1066" s="4268"/>
      <c r="K1066" s="4268"/>
      <c r="L1066" s="4269">
        <f>'2 REPAIR ESTIMATOR'!P912</f>
        <v>0</v>
      </c>
      <c r="M1066" s="4269"/>
      <c r="N1066" s="4270" t="str">
        <f>T('2 REPAIR ESTIMATOR'!S912)</f>
        <v>sf</v>
      </c>
      <c r="O1066" s="4270"/>
      <c r="P1066" s="4271"/>
      <c r="Q1066" s="4271"/>
      <c r="R1066" s="4271"/>
      <c r="S1066" s="4271"/>
      <c r="T1066" s="4271"/>
      <c r="U1066" s="4271"/>
      <c r="V1066" s="4272"/>
      <c r="W1066" s="12">
        <f t="shared" si="72"/>
        <v>1</v>
      </c>
      <c r="X1066" s="12">
        <f t="shared" si="71"/>
        <v>1</v>
      </c>
      <c r="Y1066" s="12">
        <f t="shared" si="69"/>
        <v>1</v>
      </c>
    </row>
    <row r="1067" spans="4:25" ht="15.7">
      <c r="D1067" s="4267" t="str">
        <f>T('2 REPAIR ESTIMATOR'!D913:O913)</f>
        <v>Paint ceilings</v>
      </c>
      <c r="E1067" s="4268"/>
      <c r="F1067" s="4268"/>
      <c r="G1067" s="4268"/>
      <c r="H1067" s="4268"/>
      <c r="I1067" s="4268"/>
      <c r="J1067" s="4268"/>
      <c r="K1067" s="4268"/>
      <c r="L1067" s="4269">
        <f>'2 REPAIR ESTIMATOR'!P913</f>
        <v>0</v>
      </c>
      <c r="M1067" s="4269"/>
      <c r="N1067" s="4270" t="str">
        <f>T('2 REPAIR ESTIMATOR'!S913)</f>
        <v>sf</v>
      </c>
      <c r="O1067" s="4270"/>
      <c r="P1067" s="4271"/>
      <c r="Q1067" s="4271"/>
      <c r="R1067" s="4271"/>
      <c r="S1067" s="4271"/>
      <c r="T1067" s="4271"/>
      <c r="U1067" s="4271"/>
      <c r="V1067" s="4272"/>
      <c r="W1067" s="12">
        <f t="shared" si="72"/>
        <v>1</v>
      </c>
      <c r="X1067" s="12">
        <f t="shared" si="71"/>
        <v>1</v>
      </c>
      <c r="Y1067" s="12">
        <f t="shared" si="69"/>
        <v>1</v>
      </c>
    </row>
    <row r="1068" spans="4:25" ht="15.7">
      <c r="D1068" s="4267" t="str">
        <f>T('2 REPAIR ESTIMATOR'!D914:O914)</f>
        <v>Paint wood base</v>
      </c>
      <c r="E1068" s="4268"/>
      <c r="F1068" s="4268"/>
      <c r="G1068" s="4268"/>
      <c r="H1068" s="4268"/>
      <c r="I1068" s="4268"/>
      <c r="J1068" s="4268"/>
      <c r="K1068" s="4268"/>
      <c r="L1068" s="4269">
        <f>'2 REPAIR ESTIMATOR'!P914</f>
        <v>0</v>
      </c>
      <c r="M1068" s="4269"/>
      <c r="N1068" s="4270" t="str">
        <f>T('2 REPAIR ESTIMATOR'!S914)</f>
        <v>lf</v>
      </c>
      <c r="O1068" s="4270"/>
      <c r="P1068" s="4271"/>
      <c r="Q1068" s="4271"/>
      <c r="R1068" s="4271"/>
      <c r="S1068" s="4271"/>
      <c r="T1068" s="4271"/>
      <c r="U1068" s="4271"/>
      <c r="V1068" s="4272"/>
      <c r="W1068" s="12">
        <f t="shared" si="72"/>
        <v>1</v>
      </c>
      <c r="X1068" s="12">
        <f t="shared" si="71"/>
        <v>1</v>
      </c>
      <c r="Y1068" s="12">
        <f t="shared" ref="Y1068:Y1131" si="73">W1068*X1068</f>
        <v>1</v>
      </c>
    </row>
    <row r="1069" spans="4:25" ht="15.7">
      <c r="D1069" s="4267" t="str">
        <f>T('2 REPAIR ESTIMATOR'!D915:O915)</f>
        <v>Strip, paint cabinets/vanities</v>
      </c>
      <c r="E1069" s="4268"/>
      <c r="F1069" s="4268"/>
      <c r="G1069" s="4268"/>
      <c r="H1069" s="4268"/>
      <c r="I1069" s="4268"/>
      <c r="J1069" s="4268"/>
      <c r="K1069" s="4268"/>
      <c r="L1069" s="4269">
        <f>'2 REPAIR ESTIMATOR'!P915</f>
        <v>0</v>
      </c>
      <c r="M1069" s="4269"/>
      <c r="N1069" s="4270" t="str">
        <f>T('2 REPAIR ESTIMATOR'!S915)</f>
        <v>sf</v>
      </c>
      <c r="O1069" s="4270"/>
      <c r="P1069" s="4271"/>
      <c r="Q1069" s="4271"/>
      <c r="R1069" s="4271"/>
      <c r="S1069" s="4271"/>
      <c r="T1069" s="4271"/>
      <c r="U1069" s="4271"/>
      <c r="V1069" s="4272"/>
      <c r="W1069" s="12">
        <f t="shared" si="72"/>
        <v>1</v>
      </c>
      <c r="X1069" s="12">
        <f t="shared" si="71"/>
        <v>1</v>
      </c>
      <c r="Y1069" s="12">
        <f t="shared" si="73"/>
        <v>1</v>
      </c>
    </row>
    <row r="1070" spans="4:25" ht="15.7">
      <c r="D1070" s="4267" t="str">
        <f>T('2 REPAIR ESTIMATOR'!D916:O916)</f>
        <v/>
      </c>
      <c r="E1070" s="4268"/>
      <c r="F1070" s="4268"/>
      <c r="G1070" s="4268"/>
      <c r="H1070" s="4268"/>
      <c r="I1070" s="4268"/>
      <c r="J1070" s="4268"/>
      <c r="K1070" s="4268"/>
      <c r="L1070" s="4269">
        <f>'2 REPAIR ESTIMATOR'!P916</f>
        <v>0</v>
      </c>
      <c r="M1070" s="4269"/>
      <c r="N1070" s="4270" t="str">
        <f>T('2 REPAIR ESTIMATOR'!S916)</f>
        <v/>
      </c>
      <c r="O1070" s="4270"/>
      <c r="P1070" s="4271"/>
      <c r="Q1070" s="4271"/>
      <c r="R1070" s="4271"/>
      <c r="S1070" s="4271"/>
      <c r="T1070" s="4271"/>
      <c r="U1070" s="4271"/>
      <c r="V1070" s="4272"/>
      <c r="W1070" s="12">
        <f t="shared" si="72"/>
        <v>1</v>
      </c>
      <c r="X1070" s="12">
        <f t="shared" si="71"/>
        <v>1</v>
      </c>
      <c r="Y1070" s="12">
        <f t="shared" si="73"/>
        <v>1</v>
      </c>
    </row>
    <row r="1071" spans="4:25" ht="15.7">
      <c r="D1071" s="4267" t="str">
        <f>T('2 REPAIR ESTIMATOR'!D917:O917)</f>
        <v/>
      </c>
      <c r="E1071" s="4268"/>
      <c r="F1071" s="4268"/>
      <c r="G1071" s="4268"/>
      <c r="H1071" s="4268"/>
      <c r="I1071" s="4268"/>
      <c r="J1071" s="4268"/>
      <c r="K1071" s="4268"/>
      <c r="L1071" s="4269">
        <f>'2 REPAIR ESTIMATOR'!P917</f>
        <v>0</v>
      </c>
      <c r="M1071" s="4269"/>
      <c r="N1071" s="4270" t="str">
        <f>T('2 REPAIR ESTIMATOR'!S917)</f>
        <v/>
      </c>
      <c r="O1071" s="4270"/>
      <c r="P1071" s="4271"/>
      <c r="Q1071" s="4271"/>
      <c r="R1071" s="4271"/>
      <c r="S1071" s="4271"/>
      <c r="T1071" s="4271"/>
      <c r="U1071" s="4271"/>
      <c r="V1071" s="4272"/>
      <c r="W1071" s="12">
        <f t="shared" si="72"/>
        <v>1</v>
      </c>
      <c r="X1071" s="12">
        <f t="shared" si="71"/>
        <v>1</v>
      </c>
      <c r="Y1071" s="12">
        <f t="shared" si="73"/>
        <v>1</v>
      </c>
    </row>
    <row r="1072" spans="4:25" ht="15.7">
      <c r="D1072" s="4267" t="str">
        <f>T('2 REPAIR ESTIMATOR'!D918:O918)</f>
        <v/>
      </c>
      <c r="E1072" s="4268"/>
      <c r="F1072" s="4268"/>
      <c r="G1072" s="4268"/>
      <c r="H1072" s="4268"/>
      <c r="I1072" s="4268"/>
      <c r="J1072" s="4268"/>
      <c r="K1072" s="4268"/>
      <c r="L1072" s="4269">
        <f>'2 REPAIR ESTIMATOR'!P918</f>
        <v>0</v>
      </c>
      <c r="M1072" s="4269"/>
      <c r="N1072" s="4270" t="str">
        <f>T('2 REPAIR ESTIMATOR'!S918)</f>
        <v/>
      </c>
      <c r="O1072" s="4270"/>
      <c r="P1072" s="4271"/>
      <c r="Q1072" s="4271"/>
      <c r="R1072" s="4271"/>
      <c r="S1072" s="4271"/>
      <c r="T1072" s="4271"/>
      <c r="U1072" s="4271"/>
      <c r="V1072" s="4272"/>
      <c r="W1072" s="12">
        <f t="shared" si="72"/>
        <v>1</v>
      </c>
      <c r="X1072" s="12">
        <f t="shared" si="71"/>
        <v>1</v>
      </c>
      <c r="Y1072" s="12">
        <f t="shared" si="73"/>
        <v>1</v>
      </c>
    </row>
    <row r="1073" spans="4:25" ht="15.7">
      <c r="D1073" s="4267" t="str">
        <f>T('2 REPAIR ESTIMATOR'!D919:O919)</f>
        <v/>
      </c>
      <c r="E1073" s="4268"/>
      <c r="F1073" s="4268"/>
      <c r="G1073" s="4268"/>
      <c r="H1073" s="4268"/>
      <c r="I1073" s="4268"/>
      <c r="J1073" s="4268"/>
      <c r="K1073" s="4268"/>
      <c r="L1073" s="4269">
        <f>'2 REPAIR ESTIMATOR'!P919</f>
        <v>0</v>
      </c>
      <c r="M1073" s="4269"/>
      <c r="N1073" s="4270" t="str">
        <f>T('2 REPAIR ESTIMATOR'!S919)</f>
        <v/>
      </c>
      <c r="O1073" s="4270"/>
      <c r="P1073" s="4271"/>
      <c r="Q1073" s="4271"/>
      <c r="R1073" s="4271"/>
      <c r="S1073" s="4271"/>
      <c r="T1073" s="4271"/>
      <c r="U1073" s="4271"/>
      <c r="V1073" s="4272"/>
      <c r="W1073" s="12">
        <f t="shared" si="72"/>
        <v>1</v>
      </c>
      <c r="X1073" s="12">
        <f t="shared" si="71"/>
        <v>1</v>
      </c>
      <c r="Y1073" s="12">
        <f t="shared" si="73"/>
        <v>1</v>
      </c>
    </row>
    <row r="1074" spans="4:25" ht="15.7">
      <c r="D1074" s="4267" t="str">
        <f>T('2 REPAIR ESTIMATOR'!D920:O920)</f>
        <v/>
      </c>
      <c r="E1074" s="4268"/>
      <c r="F1074" s="4268"/>
      <c r="G1074" s="4268"/>
      <c r="H1074" s="4268"/>
      <c r="I1074" s="4268"/>
      <c r="J1074" s="4268"/>
      <c r="K1074" s="4268"/>
      <c r="L1074" s="4269">
        <f>'2 REPAIR ESTIMATOR'!P920</f>
        <v>0</v>
      </c>
      <c r="M1074" s="4269"/>
      <c r="N1074" s="4270" t="str">
        <f>T('2 REPAIR ESTIMATOR'!S920)</f>
        <v/>
      </c>
      <c r="O1074" s="4270"/>
      <c r="P1074" s="4271"/>
      <c r="Q1074" s="4271"/>
      <c r="R1074" s="4271"/>
      <c r="S1074" s="4271"/>
      <c r="T1074" s="4271"/>
      <c r="U1074" s="4271"/>
      <c r="V1074" s="4272"/>
      <c r="W1074" s="12">
        <f t="shared" si="72"/>
        <v>1</v>
      </c>
      <c r="X1074" s="12">
        <f t="shared" si="71"/>
        <v>1</v>
      </c>
      <c r="Y1074" s="12">
        <f t="shared" si="73"/>
        <v>1</v>
      </c>
    </row>
    <row r="1075" spans="4:25" ht="15.7">
      <c r="D1075" s="4267" t="str">
        <f>T('2 REPAIR ESTIMATOR'!D921:O921)</f>
        <v/>
      </c>
      <c r="E1075" s="4268"/>
      <c r="F1075" s="4268"/>
      <c r="G1075" s="4268"/>
      <c r="H1075" s="4268"/>
      <c r="I1075" s="4268"/>
      <c r="J1075" s="4268"/>
      <c r="K1075" s="4268"/>
      <c r="L1075" s="4269">
        <f>'2 REPAIR ESTIMATOR'!P921</f>
        <v>0</v>
      </c>
      <c r="M1075" s="4269"/>
      <c r="N1075" s="4270" t="str">
        <f>T('2 REPAIR ESTIMATOR'!S921)</f>
        <v/>
      </c>
      <c r="O1075" s="4270"/>
      <c r="P1075" s="4271"/>
      <c r="Q1075" s="4271"/>
      <c r="R1075" s="4271"/>
      <c r="S1075" s="4271"/>
      <c r="T1075" s="4271"/>
      <c r="U1075" s="4271"/>
      <c r="V1075" s="4272"/>
      <c r="W1075" s="12">
        <f t="shared" si="72"/>
        <v>1</v>
      </c>
      <c r="X1075" s="12">
        <f t="shared" si="71"/>
        <v>1</v>
      </c>
      <c r="Y1075" s="12">
        <f t="shared" si="73"/>
        <v>1</v>
      </c>
    </row>
    <row r="1076" spans="4:25" ht="15.7">
      <c r="D1076" s="4267" t="str">
        <f>T('2 REPAIR ESTIMATOR'!D922:O922)</f>
        <v/>
      </c>
      <c r="E1076" s="4268"/>
      <c r="F1076" s="4268"/>
      <c r="G1076" s="4268"/>
      <c r="H1076" s="4268"/>
      <c r="I1076" s="4268"/>
      <c r="J1076" s="4268"/>
      <c r="K1076" s="4268"/>
      <c r="L1076" s="4269">
        <f>'2 REPAIR ESTIMATOR'!P922</f>
        <v>0</v>
      </c>
      <c r="M1076" s="4269"/>
      <c r="N1076" s="4270" t="str">
        <f>T('2 REPAIR ESTIMATOR'!S922)</f>
        <v/>
      </c>
      <c r="O1076" s="4270"/>
      <c r="P1076" s="4271"/>
      <c r="Q1076" s="4271"/>
      <c r="R1076" s="4271"/>
      <c r="S1076" s="4271"/>
      <c r="T1076" s="4271"/>
      <c r="U1076" s="4271"/>
      <c r="V1076" s="4272"/>
      <c r="W1076" s="12">
        <f t="shared" si="72"/>
        <v>1</v>
      </c>
      <c r="X1076" s="12">
        <f t="shared" si="71"/>
        <v>1</v>
      </c>
      <c r="Y1076" s="12">
        <f t="shared" si="73"/>
        <v>1</v>
      </c>
    </row>
    <row r="1077" spans="4:25" ht="15.7">
      <c r="D1077" s="4267" t="str">
        <f>T('2 REPAIR ESTIMATOR'!D923:O923)</f>
        <v/>
      </c>
      <c r="E1077" s="4268"/>
      <c r="F1077" s="4268"/>
      <c r="G1077" s="4268"/>
      <c r="H1077" s="4268"/>
      <c r="I1077" s="4268"/>
      <c r="J1077" s="4268"/>
      <c r="K1077" s="4268"/>
      <c r="L1077" s="4269">
        <f>'2 REPAIR ESTIMATOR'!P923</f>
        <v>0</v>
      </c>
      <c r="M1077" s="4269"/>
      <c r="N1077" s="4270" t="str">
        <f>T('2 REPAIR ESTIMATOR'!S923)</f>
        <v/>
      </c>
      <c r="O1077" s="4270"/>
      <c r="P1077" s="4271"/>
      <c r="Q1077" s="4271"/>
      <c r="R1077" s="4271"/>
      <c r="S1077" s="4271"/>
      <c r="T1077" s="4271"/>
      <c r="U1077" s="4271"/>
      <c r="V1077" s="4272"/>
      <c r="W1077" s="12">
        <f t="shared" si="72"/>
        <v>1</v>
      </c>
      <c r="X1077" s="12">
        <f t="shared" si="71"/>
        <v>1</v>
      </c>
      <c r="Y1077" s="12">
        <f t="shared" si="73"/>
        <v>1</v>
      </c>
    </row>
    <row r="1078" spans="4:25" ht="15.7">
      <c r="D1078" s="4267" t="str">
        <f>T('2 REPAIR ESTIMATOR'!D924:O924)</f>
        <v/>
      </c>
      <c r="E1078" s="4268"/>
      <c r="F1078" s="4268"/>
      <c r="G1078" s="4268"/>
      <c r="H1078" s="4268"/>
      <c r="I1078" s="4268"/>
      <c r="J1078" s="4268"/>
      <c r="K1078" s="4268"/>
      <c r="L1078" s="4269">
        <f>'2 REPAIR ESTIMATOR'!P924</f>
        <v>0</v>
      </c>
      <c r="M1078" s="4269"/>
      <c r="N1078" s="4270" t="str">
        <f>T('2 REPAIR ESTIMATOR'!S924)</f>
        <v/>
      </c>
      <c r="O1078" s="4270"/>
      <c r="P1078" s="4271"/>
      <c r="Q1078" s="4271"/>
      <c r="R1078" s="4271"/>
      <c r="S1078" s="4271"/>
      <c r="T1078" s="4271"/>
      <c r="U1078" s="4271"/>
      <c r="V1078" s="4272"/>
      <c r="W1078" s="12">
        <f t="shared" si="72"/>
        <v>1</v>
      </c>
      <c r="X1078" s="12">
        <f t="shared" si="71"/>
        <v>1</v>
      </c>
      <c r="Y1078" s="12">
        <f t="shared" si="73"/>
        <v>1</v>
      </c>
    </row>
    <row r="1079" spans="4:25" ht="15.7">
      <c r="D1079" s="4267" t="str">
        <f>T('2 REPAIR ESTIMATOR'!D925:O925)</f>
        <v/>
      </c>
      <c r="E1079" s="4268"/>
      <c r="F1079" s="4268"/>
      <c r="G1079" s="4268"/>
      <c r="H1079" s="4268"/>
      <c r="I1079" s="4268"/>
      <c r="J1079" s="4268"/>
      <c r="K1079" s="4268"/>
      <c r="L1079" s="4269">
        <f>'2 REPAIR ESTIMATOR'!P925</f>
        <v>0</v>
      </c>
      <c r="M1079" s="4269"/>
      <c r="N1079" s="4270" t="str">
        <f>T('2 REPAIR ESTIMATOR'!S925)</f>
        <v/>
      </c>
      <c r="O1079" s="4270"/>
      <c r="P1079" s="4271"/>
      <c r="Q1079" s="4271"/>
      <c r="R1079" s="4271"/>
      <c r="S1079" s="4271"/>
      <c r="T1079" s="4271"/>
      <c r="U1079" s="4271"/>
      <c r="V1079" s="4272"/>
      <c r="W1079" s="12">
        <f t="shared" si="72"/>
        <v>1</v>
      </c>
      <c r="X1079" s="12">
        <f t="shared" si="71"/>
        <v>1</v>
      </c>
      <c r="Y1079" s="12">
        <f t="shared" si="73"/>
        <v>1</v>
      </c>
    </row>
    <row r="1080" spans="4:25" ht="15.7">
      <c r="D1080" s="4267" t="str">
        <f>T('2 REPAIR ESTIMATOR'!D926:O926)</f>
        <v/>
      </c>
      <c r="E1080" s="4268"/>
      <c r="F1080" s="4268"/>
      <c r="G1080" s="4268"/>
      <c r="H1080" s="4268"/>
      <c r="I1080" s="4268"/>
      <c r="J1080" s="4268"/>
      <c r="K1080" s="4268"/>
      <c r="L1080" s="4269">
        <f>'2 REPAIR ESTIMATOR'!P926</f>
        <v>0</v>
      </c>
      <c r="M1080" s="4269"/>
      <c r="N1080" s="4270" t="str">
        <f>T('2 REPAIR ESTIMATOR'!S926)</f>
        <v/>
      </c>
      <c r="O1080" s="4270"/>
      <c r="P1080" s="4271"/>
      <c r="Q1080" s="4271"/>
      <c r="R1080" s="4271"/>
      <c r="S1080" s="4271"/>
      <c r="T1080" s="4271"/>
      <c r="U1080" s="4271"/>
      <c r="V1080" s="4272"/>
      <c r="W1080" s="12">
        <f t="shared" si="72"/>
        <v>1</v>
      </c>
      <c r="X1080" s="12">
        <f t="shared" si="71"/>
        <v>1</v>
      </c>
      <c r="Y1080" s="12">
        <f t="shared" si="73"/>
        <v>1</v>
      </c>
    </row>
    <row r="1081" spans="4:25" ht="15.7">
      <c r="D1081" s="4267" t="str">
        <f>T('2 REPAIR ESTIMATOR'!D927:O927)</f>
        <v/>
      </c>
      <c r="E1081" s="4268"/>
      <c r="F1081" s="4268"/>
      <c r="G1081" s="4268"/>
      <c r="H1081" s="4268"/>
      <c r="I1081" s="4268"/>
      <c r="J1081" s="4268"/>
      <c r="K1081" s="4268"/>
      <c r="L1081" s="4269">
        <f>'2 REPAIR ESTIMATOR'!P927</f>
        <v>0</v>
      </c>
      <c r="M1081" s="4269"/>
      <c r="N1081" s="4270" t="str">
        <f>T('2 REPAIR ESTIMATOR'!S927)</f>
        <v/>
      </c>
      <c r="O1081" s="4270"/>
      <c r="P1081" s="4271"/>
      <c r="Q1081" s="4271"/>
      <c r="R1081" s="4271"/>
      <c r="S1081" s="4271"/>
      <c r="T1081" s="4271"/>
      <c r="U1081" s="4271"/>
      <c r="V1081" s="4272"/>
      <c r="W1081" s="12">
        <f t="shared" si="72"/>
        <v>1</v>
      </c>
      <c r="X1081" s="12">
        <f t="shared" si="71"/>
        <v>1</v>
      </c>
      <c r="Y1081" s="12">
        <f t="shared" si="73"/>
        <v>1</v>
      </c>
    </row>
    <row r="1082" spans="4:25" ht="15.7">
      <c r="D1082" s="4267" t="str">
        <f>T('2 REPAIR ESTIMATOR'!D928:O928)</f>
        <v/>
      </c>
      <c r="E1082" s="4268"/>
      <c r="F1082" s="4268"/>
      <c r="G1082" s="4268"/>
      <c r="H1082" s="4268"/>
      <c r="I1082" s="4268"/>
      <c r="J1082" s="4268"/>
      <c r="K1082" s="4268"/>
      <c r="L1082" s="4269">
        <f>'2 REPAIR ESTIMATOR'!P928</f>
        <v>0</v>
      </c>
      <c r="M1082" s="4269"/>
      <c r="N1082" s="4270" t="str">
        <f>T('2 REPAIR ESTIMATOR'!S928)</f>
        <v/>
      </c>
      <c r="O1082" s="4270"/>
      <c r="P1082" s="4271"/>
      <c r="Q1082" s="4271"/>
      <c r="R1082" s="4271"/>
      <c r="S1082" s="4271"/>
      <c r="T1082" s="4271"/>
      <c r="U1082" s="4271"/>
      <c r="V1082" s="4272"/>
      <c r="W1082" s="12">
        <f t="shared" si="72"/>
        <v>1</v>
      </c>
      <c r="X1082" s="12">
        <f t="shared" si="71"/>
        <v>1</v>
      </c>
      <c r="Y1082" s="12">
        <f t="shared" si="73"/>
        <v>1</v>
      </c>
    </row>
    <row r="1083" spans="4:25" ht="15.7">
      <c r="D1083" s="4267" t="str">
        <f>T('2 REPAIR ESTIMATOR'!D929:O929)</f>
        <v/>
      </c>
      <c r="E1083" s="4268"/>
      <c r="F1083" s="4268"/>
      <c r="G1083" s="4268"/>
      <c r="H1083" s="4268"/>
      <c r="I1083" s="4268"/>
      <c r="J1083" s="4268"/>
      <c r="K1083" s="4268"/>
      <c r="L1083" s="4269">
        <f>'2 REPAIR ESTIMATOR'!P929</f>
        <v>0</v>
      </c>
      <c r="M1083" s="4269"/>
      <c r="N1083" s="4270" t="str">
        <f>T('2 REPAIR ESTIMATOR'!S929)</f>
        <v/>
      </c>
      <c r="O1083" s="4270"/>
      <c r="P1083" s="4271"/>
      <c r="Q1083" s="4271"/>
      <c r="R1083" s="4271"/>
      <c r="S1083" s="4271"/>
      <c r="T1083" s="4271"/>
      <c r="U1083" s="4271"/>
      <c r="V1083" s="4272"/>
      <c r="W1083" s="12">
        <f t="shared" si="72"/>
        <v>1</v>
      </c>
      <c r="X1083" s="12">
        <f t="shared" ref="X1083:X1106" si="74">IF(Scope19_Setting="Shown",1,0)</f>
        <v>1</v>
      </c>
      <c r="Y1083" s="12">
        <f t="shared" si="73"/>
        <v>1</v>
      </c>
    </row>
    <row r="1084" spans="4:25" ht="15.7">
      <c r="D1084" s="4267" t="str">
        <f>T('2 REPAIR ESTIMATOR'!D930:O930)</f>
        <v/>
      </c>
      <c r="E1084" s="4268"/>
      <c r="F1084" s="4268"/>
      <c r="G1084" s="4268"/>
      <c r="H1084" s="4268"/>
      <c r="I1084" s="4268"/>
      <c r="J1084" s="4268"/>
      <c r="K1084" s="4268"/>
      <c r="L1084" s="4269">
        <f>'2 REPAIR ESTIMATOR'!P930</f>
        <v>0</v>
      </c>
      <c r="M1084" s="4269"/>
      <c r="N1084" s="4270" t="str">
        <f>T('2 REPAIR ESTIMATOR'!S930)</f>
        <v/>
      </c>
      <c r="O1084" s="4270"/>
      <c r="P1084" s="4271"/>
      <c r="Q1084" s="4271"/>
      <c r="R1084" s="4271"/>
      <c r="S1084" s="4271"/>
      <c r="T1084" s="4271"/>
      <c r="U1084" s="4271"/>
      <c r="V1084" s="4272"/>
      <c r="W1084" s="12">
        <f t="shared" si="72"/>
        <v>1</v>
      </c>
      <c r="X1084" s="12">
        <f t="shared" si="74"/>
        <v>1</v>
      </c>
      <c r="Y1084" s="12">
        <f t="shared" si="73"/>
        <v>1</v>
      </c>
    </row>
    <row r="1085" spans="4:25" ht="15.7">
      <c r="D1085" s="4267" t="str">
        <f>T('2 REPAIR ESTIMATOR'!D931:O931)</f>
        <v/>
      </c>
      <c r="E1085" s="4268"/>
      <c r="F1085" s="4268"/>
      <c r="G1085" s="4268"/>
      <c r="H1085" s="4268"/>
      <c r="I1085" s="4268"/>
      <c r="J1085" s="4268"/>
      <c r="K1085" s="4268"/>
      <c r="L1085" s="4269">
        <f>'2 REPAIR ESTIMATOR'!P931</f>
        <v>0</v>
      </c>
      <c r="M1085" s="4269"/>
      <c r="N1085" s="4270" t="str">
        <f>T('2 REPAIR ESTIMATOR'!S931)</f>
        <v/>
      </c>
      <c r="O1085" s="4270"/>
      <c r="P1085" s="4271"/>
      <c r="Q1085" s="4271"/>
      <c r="R1085" s="4271"/>
      <c r="S1085" s="4271"/>
      <c r="T1085" s="4271"/>
      <c r="U1085" s="4271"/>
      <c r="V1085" s="4272"/>
      <c r="W1085" s="12">
        <f t="shared" si="72"/>
        <v>1</v>
      </c>
      <c r="X1085" s="12">
        <f t="shared" si="74"/>
        <v>1</v>
      </c>
      <c r="Y1085" s="12">
        <f t="shared" si="73"/>
        <v>1</v>
      </c>
    </row>
    <row r="1086" spans="4:25" ht="15.7">
      <c r="D1086" s="4267" t="str">
        <f>T('2 REPAIR ESTIMATOR'!D932:O932)</f>
        <v/>
      </c>
      <c r="E1086" s="4268"/>
      <c r="F1086" s="4268"/>
      <c r="G1086" s="4268"/>
      <c r="H1086" s="4268"/>
      <c r="I1086" s="4268"/>
      <c r="J1086" s="4268"/>
      <c r="K1086" s="4268"/>
      <c r="L1086" s="4269">
        <f>'2 REPAIR ESTIMATOR'!P932</f>
        <v>0</v>
      </c>
      <c r="M1086" s="4269"/>
      <c r="N1086" s="4270" t="str">
        <f>T('2 REPAIR ESTIMATOR'!S932)</f>
        <v/>
      </c>
      <c r="O1086" s="4270"/>
      <c r="P1086" s="4271"/>
      <c r="Q1086" s="4271"/>
      <c r="R1086" s="4271"/>
      <c r="S1086" s="4271"/>
      <c r="T1086" s="4271"/>
      <c r="U1086" s="4271"/>
      <c r="V1086" s="4272"/>
      <c r="W1086" s="12">
        <f t="shared" si="72"/>
        <v>1</v>
      </c>
      <c r="X1086" s="12">
        <f t="shared" si="74"/>
        <v>1</v>
      </c>
      <c r="Y1086" s="12">
        <f t="shared" si="73"/>
        <v>1</v>
      </c>
    </row>
    <row r="1087" spans="4:25" ht="15.7">
      <c r="D1087" s="4267" t="str">
        <f>T('2 REPAIR ESTIMATOR'!D933:O933)</f>
        <v/>
      </c>
      <c r="E1087" s="4268"/>
      <c r="F1087" s="4268"/>
      <c r="G1087" s="4268"/>
      <c r="H1087" s="4268"/>
      <c r="I1087" s="4268"/>
      <c r="J1087" s="4268"/>
      <c r="K1087" s="4268"/>
      <c r="L1087" s="4269">
        <f>'2 REPAIR ESTIMATOR'!P933</f>
        <v>0</v>
      </c>
      <c r="M1087" s="4269"/>
      <c r="N1087" s="4270" t="str">
        <f>T('2 REPAIR ESTIMATOR'!S933)</f>
        <v/>
      </c>
      <c r="O1087" s="4270"/>
      <c r="P1087" s="4271"/>
      <c r="Q1087" s="4271"/>
      <c r="R1087" s="4271"/>
      <c r="S1087" s="4271"/>
      <c r="T1087" s="4271"/>
      <c r="U1087" s="4271"/>
      <c r="V1087" s="4272"/>
      <c r="W1087" s="12">
        <f t="shared" si="72"/>
        <v>1</v>
      </c>
      <c r="X1087" s="12">
        <f t="shared" si="74"/>
        <v>1</v>
      </c>
      <c r="Y1087" s="12">
        <f t="shared" si="73"/>
        <v>1</v>
      </c>
    </row>
    <row r="1088" spans="4:25" ht="15.7">
      <c r="D1088" s="4267" t="str">
        <f>T('2 REPAIR ESTIMATOR'!D934:O934)</f>
        <v/>
      </c>
      <c r="E1088" s="4268"/>
      <c r="F1088" s="4268"/>
      <c r="G1088" s="4268"/>
      <c r="H1088" s="4268"/>
      <c r="I1088" s="4268"/>
      <c r="J1088" s="4268"/>
      <c r="K1088" s="4268"/>
      <c r="L1088" s="4269">
        <f>'2 REPAIR ESTIMATOR'!P934</f>
        <v>0</v>
      </c>
      <c r="M1088" s="4269"/>
      <c r="N1088" s="4270" t="str">
        <f>T('2 REPAIR ESTIMATOR'!S934)</f>
        <v/>
      </c>
      <c r="O1088" s="4270"/>
      <c r="P1088" s="4271"/>
      <c r="Q1088" s="4271"/>
      <c r="R1088" s="4271"/>
      <c r="S1088" s="4271"/>
      <c r="T1088" s="4271"/>
      <c r="U1088" s="4271"/>
      <c r="V1088" s="4272"/>
      <c r="W1088" s="12">
        <f t="shared" si="72"/>
        <v>1</v>
      </c>
      <c r="X1088" s="12">
        <f t="shared" si="74"/>
        <v>1</v>
      </c>
      <c r="Y1088" s="12">
        <f t="shared" si="73"/>
        <v>1</v>
      </c>
    </row>
    <row r="1089" spans="3:25" ht="15.7">
      <c r="D1089" s="4267" t="str">
        <f>T('2 REPAIR ESTIMATOR'!D935:O935)</f>
        <v/>
      </c>
      <c r="E1089" s="4268"/>
      <c r="F1089" s="4268"/>
      <c r="G1089" s="4268"/>
      <c r="H1089" s="4268"/>
      <c r="I1089" s="4268"/>
      <c r="J1089" s="4268"/>
      <c r="K1089" s="4268"/>
      <c r="L1089" s="4269">
        <f>'2 REPAIR ESTIMATOR'!P935</f>
        <v>0</v>
      </c>
      <c r="M1089" s="4269"/>
      <c r="N1089" s="4270" t="str">
        <f>T('2 REPAIR ESTIMATOR'!S935)</f>
        <v/>
      </c>
      <c r="O1089" s="4270"/>
      <c r="P1089" s="4271"/>
      <c r="Q1089" s="4271"/>
      <c r="R1089" s="4271"/>
      <c r="S1089" s="4271"/>
      <c r="T1089" s="4271"/>
      <c r="U1089" s="4271"/>
      <c r="V1089" s="4272"/>
      <c r="W1089" s="12">
        <f t="shared" si="72"/>
        <v>1</v>
      </c>
      <c r="X1089" s="12">
        <f t="shared" si="74"/>
        <v>1</v>
      </c>
      <c r="Y1089" s="12">
        <f t="shared" si="73"/>
        <v>1</v>
      </c>
    </row>
    <row r="1090" spans="3:25" ht="15.7">
      <c r="D1090" s="4267" t="str">
        <f>T('2 REPAIR ESTIMATOR'!D936:O936)</f>
        <v/>
      </c>
      <c r="E1090" s="4268"/>
      <c r="F1090" s="4268"/>
      <c r="G1090" s="4268"/>
      <c r="H1090" s="4268"/>
      <c r="I1090" s="4268"/>
      <c r="J1090" s="4268"/>
      <c r="K1090" s="4268"/>
      <c r="L1090" s="4269">
        <f>'2 REPAIR ESTIMATOR'!P936</f>
        <v>0</v>
      </c>
      <c r="M1090" s="4269"/>
      <c r="N1090" s="4270" t="str">
        <f>T('2 REPAIR ESTIMATOR'!S936)</f>
        <v/>
      </c>
      <c r="O1090" s="4270"/>
      <c r="P1090" s="4271"/>
      <c r="Q1090" s="4271"/>
      <c r="R1090" s="4271"/>
      <c r="S1090" s="4271"/>
      <c r="T1090" s="4271"/>
      <c r="U1090" s="4271"/>
      <c r="V1090" s="4272"/>
      <c r="W1090" s="12">
        <f t="shared" si="72"/>
        <v>1</v>
      </c>
      <c r="X1090" s="12">
        <f t="shared" si="74"/>
        <v>1</v>
      </c>
      <c r="Y1090" s="12">
        <f t="shared" si="73"/>
        <v>1</v>
      </c>
    </row>
    <row r="1091" spans="3:25" ht="15.7">
      <c r="D1091" s="4267" t="str">
        <f>T('2 REPAIR ESTIMATOR'!D937:O937)</f>
        <v/>
      </c>
      <c r="E1091" s="4268"/>
      <c r="F1091" s="4268"/>
      <c r="G1091" s="4268"/>
      <c r="H1091" s="4268"/>
      <c r="I1091" s="4268"/>
      <c r="J1091" s="4268"/>
      <c r="K1091" s="4268"/>
      <c r="L1091" s="4269">
        <f>'2 REPAIR ESTIMATOR'!P937</f>
        <v>0</v>
      </c>
      <c r="M1091" s="4269"/>
      <c r="N1091" s="4270" t="str">
        <f>T('2 REPAIR ESTIMATOR'!S937)</f>
        <v/>
      </c>
      <c r="O1091" s="4270"/>
      <c r="P1091" s="4271"/>
      <c r="Q1091" s="4271"/>
      <c r="R1091" s="4271"/>
      <c r="S1091" s="4271"/>
      <c r="T1091" s="4271"/>
      <c r="U1091" s="4271"/>
      <c r="V1091" s="4272"/>
      <c r="W1091" s="12">
        <f t="shared" si="72"/>
        <v>1</v>
      </c>
      <c r="X1091" s="12">
        <f t="shared" si="74"/>
        <v>1</v>
      </c>
      <c r="Y1091" s="12">
        <f t="shared" si="73"/>
        <v>1</v>
      </c>
    </row>
    <row r="1092" spans="3:25" ht="15.7">
      <c r="C1092" s="6"/>
      <c r="D1092" s="723"/>
      <c r="E1092" s="723"/>
      <c r="F1092" s="723"/>
      <c r="G1092" s="723"/>
      <c r="H1092" s="723"/>
      <c r="I1092" s="723"/>
      <c r="J1092" s="723"/>
      <c r="K1092" s="723"/>
      <c r="L1092" s="724"/>
      <c r="M1092" s="724"/>
      <c r="N1092" s="725"/>
      <c r="O1092" s="725"/>
      <c r="P1092" s="724"/>
      <c r="Q1092" s="445"/>
      <c r="R1092" s="445"/>
      <c r="S1092" s="725"/>
      <c r="T1092" s="725"/>
      <c r="U1092" s="725"/>
      <c r="V1092" s="725"/>
      <c r="W1092" s="12">
        <f>W1093</f>
        <v>0</v>
      </c>
      <c r="X1092" s="12">
        <f t="shared" si="74"/>
        <v>1</v>
      </c>
      <c r="Y1092" s="12">
        <f t="shared" si="73"/>
        <v>0</v>
      </c>
    </row>
    <row r="1093" spans="3:25" ht="16.7">
      <c r="C1093" s="6"/>
      <c r="D1093" s="4266" t="str">
        <f>UPPER(CONCATENATE("Miscellaneous ",D1051," Items"))</f>
        <v>MISCELLANEOUS PAINTING ITEMS</v>
      </c>
      <c r="E1093" s="4266"/>
      <c r="F1093" s="4266"/>
      <c r="G1093" s="4266"/>
      <c r="H1093" s="4266"/>
      <c r="I1093" s="4266"/>
      <c r="J1093" s="4266"/>
      <c r="K1093" s="4266"/>
      <c r="L1093" s="4266"/>
      <c r="M1093" s="4266"/>
      <c r="N1093" s="4266"/>
      <c r="O1093" s="4266"/>
      <c r="P1093" s="4266"/>
      <c r="Q1093" s="4266"/>
      <c r="R1093" s="4266"/>
      <c r="S1093" s="4266"/>
      <c r="T1093" s="4266"/>
      <c r="U1093" s="4266"/>
      <c r="V1093" s="4266"/>
      <c r="W1093" s="12">
        <f>SUM(W1094:W1103)</f>
        <v>0</v>
      </c>
      <c r="X1093" s="12">
        <f t="shared" si="74"/>
        <v>1</v>
      </c>
      <c r="Y1093" s="12">
        <f t="shared" si="73"/>
        <v>0</v>
      </c>
    </row>
    <row r="1094" spans="3:25" ht="15.7">
      <c r="C1094" s="6"/>
      <c r="D1094" s="712">
        <v>1</v>
      </c>
      <c r="E1094" s="4263" t="s">
        <v>1489</v>
      </c>
      <c r="F1094" s="4263"/>
      <c r="G1094" s="4263"/>
      <c r="H1094" s="4263"/>
      <c r="I1094" s="4263"/>
      <c r="J1094" s="4263"/>
      <c r="K1094" s="4263"/>
      <c r="L1094" s="4263"/>
      <c r="M1094" s="4263"/>
      <c r="N1094" s="4263"/>
      <c r="O1094" s="4263"/>
      <c r="P1094" s="4263"/>
      <c r="Q1094" s="4263"/>
      <c r="R1094" s="4263"/>
      <c r="S1094" s="4263"/>
      <c r="T1094" s="4263"/>
      <c r="U1094" s="4263"/>
      <c r="V1094" s="4263"/>
      <c r="W1094" s="12">
        <f>IF(E1094&lt;&gt;"",1,0)*W1051</f>
        <v>0</v>
      </c>
      <c r="X1094" s="12">
        <f t="shared" si="74"/>
        <v>1</v>
      </c>
      <c r="Y1094" s="12">
        <f t="shared" si="73"/>
        <v>0</v>
      </c>
    </row>
    <row r="1095" spans="3:25" ht="15.7">
      <c r="C1095" s="6"/>
      <c r="D1095" s="712">
        <v>2</v>
      </c>
      <c r="E1095" s="4263" t="s">
        <v>1490</v>
      </c>
      <c r="F1095" s="4263"/>
      <c r="G1095" s="4263"/>
      <c r="H1095" s="4263"/>
      <c r="I1095" s="4263"/>
      <c r="J1095" s="4263"/>
      <c r="K1095" s="4263"/>
      <c r="L1095" s="4263"/>
      <c r="M1095" s="4263"/>
      <c r="N1095" s="4263"/>
      <c r="O1095" s="4263"/>
      <c r="P1095" s="4263"/>
      <c r="Q1095" s="4263"/>
      <c r="R1095" s="4263"/>
      <c r="S1095" s="4263"/>
      <c r="T1095" s="4263"/>
      <c r="U1095" s="4263"/>
      <c r="V1095" s="4263"/>
      <c r="W1095" s="12">
        <f>IF(E1095&lt;&gt;"",1,0)*W1051</f>
        <v>0</v>
      </c>
      <c r="X1095" s="12">
        <f t="shared" si="74"/>
        <v>1</v>
      </c>
      <c r="Y1095" s="12">
        <f t="shared" si="73"/>
        <v>0</v>
      </c>
    </row>
    <row r="1096" spans="3:25" ht="15.7">
      <c r="C1096" s="6"/>
      <c r="D1096" s="712">
        <v>3</v>
      </c>
      <c r="E1096" s="4263" t="s">
        <v>1491</v>
      </c>
      <c r="F1096" s="4263"/>
      <c r="G1096" s="4263"/>
      <c r="H1096" s="4263"/>
      <c r="I1096" s="4263"/>
      <c r="J1096" s="4263"/>
      <c r="K1096" s="4263"/>
      <c r="L1096" s="4263"/>
      <c r="M1096" s="4263"/>
      <c r="N1096" s="4263"/>
      <c r="O1096" s="4263"/>
      <c r="P1096" s="4263"/>
      <c r="Q1096" s="4263"/>
      <c r="R1096" s="4263"/>
      <c r="S1096" s="4263"/>
      <c r="T1096" s="4263"/>
      <c r="U1096" s="4263"/>
      <c r="V1096" s="4263"/>
      <c r="W1096" s="12">
        <f>IF(E1096&lt;&gt;"",1,0)*W1051</f>
        <v>0</v>
      </c>
      <c r="X1096" s="12">
        <f t="shared" si="74"/>
        <v>1</v>
      </c>
      <c r="Y1096" s="12">
        <f t="shared" si="73"/>
        <v>0</v>
      </c>
    </row>
    <row r="1097" spans="3:25" ht="15.7">
      <c r="C1097" s="6"/>
      <c r="D1097" s="712">
        <v>4</v>
      </c>
      <c r="E1097" s="4263" t="s">
        <v>1492</v>
      </c>
      <c r="F1097" s="4263"/>
      <c r="G1097" s="4263"/>
      <c r="H1097" s="4263"/>
      <c r="I1097" s="4263"/>
      <c r="J1097" s="4263"/>
      <c r="K1097" s="4263"/>
      <c r="L1097" s="4263"/>
      <c r="M1097" s="4263"/>
      <c r="N1097" s="4263"/>
      <c r="O1097" s="4263"/>
      <c r="P1097" s="4263"/>
      <c r="Q1097" s="4263"/>
      <c r="R1097" s="4263"/>
      <c r="S1097" s="4263"/>
      <c r="T1097" s="4263"/>
      <c r="U1097" s="4263"/>
      <c r="V1097" s="4263"/>
      <c r="W1097" s="12">
        <f>IF(E1097&lt;&gt;"",1,0)*W1051</f>
        <v>0</v>
      </c>
      <c r="X1097" s="12">
        <f t="shared" si="74"/>
        <v>1</v>
      </c>
      <c r="Y1097" s="12">
        <f t="shared" si="73"/>
        <v>0</v>
      </c>
    </row>
    <row r="1098" spans="3:25" ht="15.7">
      <c r="C1098" s="6"/>
      <c r="D1098" s="712">
        <v>5</v>
      </c>
      <c r="E1098" s="4263" t="s">
        <v>1493</v>
      </c>
      <c r="F1098" s="4263"/>
      <c r="G1098" s="4263"/>
      <c r="H1098" s="4263"/>
      <c r="I1098" s="4263"/>
      <c r="J1098" s="4263"/>
      <c r="K1098" s="4263"/>
      <c r="L1098" s="4263"/>
      <c r="M1098" s="4263"/>
      <c r="N1098" s="4263"/>
      <c r="O1098" s="4263"/>
      <c r="P1098" s="4263"/>
      <c r="Q1098" s="4263"/>
      <c r="R1098" s="4263"/>
      <c r="S1098" s="4263"/>
      <c r="T1098" s="4263"/>
      <c r="U1098" s="4263"/>
      <c r="V1098" s="4263"/>
      <c r="W1098" s="12">
        <f>IF(E1098&lt;&gt;"",1,0)*W1051</f>
        <v>0</v>
      </c>
      <c r="X1098" s="12">
        <f t="shared" si="74"/>
        <v>1</v>
      </c>
      <c r="Y1098" s="12">
        <f t="shared" si="73"/>
        <v>0</v>
      </c>
    </row>
    <row r="1099" spans="3:25" ht="15.7">
      <c r="C1099" s="6"/>
      <c r="D1099" s="712">
        <v>6</v>
      </c>
      <c r="E1099" s="4263" t="s">
        <v>1494</v>
      </c>
      <c r="F1099" s="4263"/>
      <c r="G1099" s="4263"/>
      <c r="H1099" s="4263"/>
      <c r="I1099" s="4263"/>
      <c r="J1099" s="4263"/>
      <c r="K1099" s="4263"/>
      <c r="L1099" s="4263"/>
      <c r="M1099" s="4263"/>
      <c r="N1099" s="4263"/>
      <c r="O1099" s="4263"/>
      <c r="P1099" s="4263"/>
      <c r="Q1099" s="4263"/>
      <c r="R1099" s="4263"/>
      <c r="S1099" s="4263"/>
      <c r="T1099" s="4263"/>
      <c r="U1099" s="4263"/>
      <c r="V1099" s="4263"/>
      <c r="W1099" s="12">
        <f>IF(E1099&lt;&gt;"",1,0)*W1051</f>
        <v>0</v>
      </c>
      <c r="X1099" s="12">
        <f t="shared" si="74"/>
        <v>1</v>
      </c>
      <c r="Y1099" s="12">
        <f t="shared" si="73"/>
        <v>0</v>
      </c>
    </row>
    <row r="1100" spans="3:25" ht="15.7">
      <c r="C1100" s="6"/>
      <c r="D1100" s="712">
        <v>7</v>
      </c>
      <c r="E1100" s="4263" t="s">
        <v>1495</v>
      </c>
      <c r="F1100" s="4263"/>
      <c r="G1100" s="4263"/>
      <c r="H1100" s="4263"/>
      <c r="I1100" s="4263"/>
      <c r="J1100" s="4263"/>
      <c r="K1100" s="4263"/>
      <c r="L1100" s="4263"/>
      <c r="M1100" s="4263"/>
      <c r="N1100" s="4263"/>
      <c r="O1100" s="4263"/>
      <c r="P1100" s="4263"/>
      <c r="Q1100" s="4263"/>
      <c r="R1100" s="4263"/>
      <c r="S1100" s="4263"/>
      <c r="T1100" s="4263"/>
      <c r="U1100" s="4263"/>
      <c r="V1100" s="4263"/>
      <c r="W1100" s="12">
        <f>IF(E1100&lt;&gt;"",1,0)*W1051</f>
        <v>0</v>
      </c>
      <c r="X1100" s="12">
        <f t="shared" si="74"/>
        <v>1</v>
      </c>
      <c r="Y1100" s="12">
        <f t="shared" si="73"/>
        <v>0</v>
      </c>
    </row>
    <row r="1101" spans="3:25" ht="15.7">
      <c r="C1101" s="6"/>
      <c r="D1101" s="712">
        <v>8</v>
      </c>
      <c r="E1101" s="4263" t="s">
        <v>1498</v>
      </c>
      <c r="F1101" s="4263"/>
      <c r="G1101" s="4263"/>
      <c r="H1101" s="4263"/>
      <c r="I1101" s="4263"/>
      <c r="J1101" s="4263"/>
      <c r="K1101" s="4263"/>
      <c r="L1101" s="4263"/>
      <c r="M1101" s="4263"/>
      <c r="N1101" s="4263"/>
      <c r="O1101" s="4263"/>
      <c r="P1101" s="4263"/>
      <c r="Q1101" s="4263"/>
      <c r="R1101" s="4263"/>
      <c r="S1101" s="4263"/>
      <c r="T1101" s="4263"/>
      <c r="U1101" s="4263"/>
      <c r="V1101" s="4263"/>
      <c r="W1101" s="12">
        <f>IF(E1101&lt;&gt;"",1,0)*W1051</f>
        <v>0</v>
      </c>
      <c r="X1101" s="12">
        <f t="shared" si="74"/>
        <v>1</v>
      </c>
      <c r="Y1101" s="12">
        <f t="shared" si="73"/>
        <v>0</v>
      </c>
    </row>
    <row r="1102" spans="3:25" ht="15.7">
      <c r="C1102" s="6"/>
      <c r="D1102" s="712">
        <v>9</v>
      </c>
      <c r="E1102" s="4263" t="s">
        <v>1496</v>
      </c>
      <c r="F1102" s="4263"/>
      <c r="G1102" s="4263"/>
      <c r="H1102" s="4263"/>
      <c r="I1102" s="4263"/>
      <c r="J1102" s="4263"/>
      <c r="K1102" s="4263"/>
      <c r="L1102" s="4263"/>
      <c r="M1102" s="4263"/>
      <c r="N1102" s="4263"/>
      <c r="O1102" s="4263"/>
      <c r="P1102" s="4263"/>
      <c r="Q1102" s="4263"/>
      <c r="R1102" s="4263"/>
      <c r="S1102" s="4263"/>
      <c r="T1102" s="4263"/>
      <c r="U1102" s="4263"/>
      <c r="V1102" s="4263"/>
      <c r="W1102" s="12">
        <f>IF(E1102&lt;&gt;"",1,0)*W1051</f>
        <v>0</v>
      </c>
      <c r="X1102" s="12">
        <f t="shared" si="74"/>
        <v>1</v>
      </c>
      <c r="Y1102" s="12">
        <f t="shared" si="73"/>
        <v>0</v>
      </c>
    </row>
    <row r="1103" spans="3:25" ht="15.7">
      <c r="C1103" s="6"/>
      <c r="D1103" s="712">
        <v>10</v>
      </c>
      <c r="E1103" s="4263" t="s">
        <v>1497</v>
      </c>
      <c r="F1103" s="4263"/>
      <c r="G1103" s="4263"/>
      <c r="H1103" s="4263"/>
      <c r="I1103" s="4263"/>
      <c r="J1103" s="4263"/>
      <c r="K1103" s="4263"/>
      <c r="L1103" s="4263"/>
      <c r="M1103" s="4263"/>
      <c r="N1103" s="4263"/>
      <c r="O1103" s="4263"/>
      <c r="P1103" s="4263"/>
      <c r="Q1103" s="4263"/>
      <c r="R1103" s="4263"/>
      <c r="S1103" s="4263"/>
      <c r="T1103" s="4263"/>
      <c r="U1103" s="4263"/>
      <c r="V1103" s="4263"/>
      <c r="W1103" s="12">
        <f>IF(E1103&lt;&gt;"",1,0)*W1051</f>
        <v>0</v>
      </c>
      <c r="X1103" s="12">
        <f t="shared" si="74"/>
        <v>1</v>
      </c>
      <c r="Y1103" s="12">
        <f t="shared" si="73"/>
        <v>0</v>
      </c>
    </row>
    <row r="1104" spans="3:25" ht="15.7">
      <c r="C1104" s="6"/>
      <c r="D1104" s="723"/>
      <c r="E1104" s="723"/>
      <c r="F1104" s="723"/>
      <c r="G1104" s="723"/>
      <c r="H1104" s="723"/>
      <c r="I1104" s="723"/>
      <c r="J1104" s="723"/>
      <c r="K1104" s="723"/>
      <c r="L1104" s="724"/>
      <c r="M1104" s="724"/>
      <c r="N1104" s="725"/>
      <c r="O1104" s="725"/>
      <c r="P1104" s="724"/>
      <c r="Q1104" s="445"/>
      <c r="R1104" s="445"/>
      <c r="S1104" s="726"/>
      <c r="T1104" s="726"/>
      <c r="U1104" s="726"/>
      <c r="V1104" s="726"/>
      <c r="W1104" s="12">
        <f>W1051</f>
        <v>0</v>
      </c>
      <c r="X1104" s="12">
        <f t="shared" si="74"/>
        <v>1</v>
      </c>
      <c r="Y1104" s="12">
        <f t="shared" si="73"/>
        <v>0</v>
      </c>
    </row>
    <row r="1105" spans="3:25" ht="40.5" customHeight="1">
      <c r="C1105" s="6"/>
      <c r="D1105" s="4264" t="str">
        <f>UPPER(CONCATENATE("TOTAL ",D1051))</f>
        <v>TOTAL PAINTING</v>
      </c>
      <c r="E1105" s="4264"/>
      <c r="F1105" s="4264"/>
      <c r="G1105" s="4264"/>
      <c r="H1105" s="4264"/>
      <c r="I1105" s="4264"/>
      <c r="J1105" s="4264"/>
      <c r="K1105" s="4264"/>
      <c r="L1105" s="4264"/>
      <c r="M1105" s="4264"/>
      <c r="N1105" s="4264"/>
      <c r="O1105" s="4264"/>
      <c r="P1105" s="4264"/>
      <c r="Q1105" s="4265"/>
      <c r="R1105" s="4265"/>
      <c r="S1105" s="4265"/>
      <c r="T1105" s="4265"/>
      <c r="U1105" s="4265"/>
      <c r="V1105" s="4265"/>
      <c r="W1105" s="12">
        <f>W1051</f>
        <v>0</v>
      </c>
      <c r="X1105" s="12">
        <f t="shared" si="74"/>
        <v>1</v>
      </c>
      <c r="Y1105" s="12">
        <f t="shared" si="73"/>
        <v>0</v>
      </c>
    </row>
    <row r="1106" spans="3:25" ht="15.7">
      <c r="D1106" s="723"/>
      <c r="E1106" s="723"/>
      <c r="F1106" s="723"/>
      <c r="G1106" s="723"/>
      <c r="H1106" s="723"/>
      <c r="I1106" s="723"/>
      <c r="J1106" s="723"/>
      <c r="K1106" s="723"/>
      <c r="L1106" s="724"/>
      <c r="M1106" s="724"/>
      <c r="N1106" s="725"/>
      <c r="O1106" s="725"/>
      <c r="P1106" s="724"/>
      <c r="Q1106" s="445"/>
      <c r="R1106" s="445"/>
      <c r="S1106" s="726"/>
      <c r="T1106" s="726"/>
      <c r="U1106" s="726"/>
      <c r="V1106" s="726"/>
      <c r="W1106" s="12">
        <f>W1051</f>
        <v>0</v>
      </c>
      <c r="X1106" s="12">
        <f t="shared" si="74"/>
        <v>1</v>
      </c>
      <c r="Y1106" s="12">
        <f t="shared" si="73"/>
        <v>0</v>
      </c>
    </row>
    <row r="1107" spans="3:25" ht="26.45" customHeight="1">
      <c r="D1107" s="4275" t="str">
        <f>T('2 REPAIR ESTIMATOR'!D942:O942)</f>
        <v>APPLIANCES</v>
      </c>
      <c r="E1107" s="4275"/>
      <c r="F1107" s="4275"/>
      <c r="G1107" s="4275"/>
      <c r="H1107" s="4275"/>
      <c r="I1107" s="4275"/>
      <c r="J1107" s="4275"/>
      <c r="K1107" s="4276"/>
      <c r="L1107" s="4277">
        <f>SUM(L1108:M1147)</f>
        <v>0</v>
      </c>
      <c r="M1107" s="4278"/>
      <c r="N1107" s="4279"/>
      <c r="O1107" s="4280"/>
      <c r="P1107" s="4277"/>
      <c r="Q1107" s="4281"/>
      <c r="R1107" s="4281"/>
      <c r="S1107" s="4281"/>
      <c r="T1107" s="4281"/>
      <c r="U1107" s="4281"/>
      <c r="V1107" s="4281"/>
      <c r="W1107" s="12">
        <f>IF(L1107&gt;0,1,0)</f>
        <v>0</v>
      </c>
      <c r="X1107" s="12">
        <f t="shared" ref="X1107:X1138" si="75">IF(Scope20_Setting="Shown",1,0)</f>
        <v>1</v>
      </c>
      <c r="Y1107" s="12">
        <f t="shared" si="73"/>
        <v>0</v>
      </c>
    </row>
    <row r="1108" spans="3:25" ht="15.7">
      <c r="D1108" s="4267" t="str">
        <f>T('2 REPAIR ESTIMATOR'!D943:O943)</f>
        <v>Appliances, Bid/Allowance</v>
      </c>
      <c r="E1108" s="4268"/>
      <c r="F1108" s="4268"/>
      <c r="G1108" s="4268"/>
      <c r="H1108" s="4268"/>
      <c r="I1108" s="4268"/>
      <c r="J1108" s="4268"/>
      <c r="K1108" s="4268"/>
      <c r="L1108" s="4269">
        <f>'2 REPAIR ESTIMATOR'!P943</f>
        <v>0</v>
      </c>
      <c r="M1108" s="4269"/>
      <c r="N1108" s="4270" t="str">
        <f>T('2 REPAIR ESTIMATOR'!S943)</f>
        <v>ls</v>
      </c>
      <c r="O1108" s="4270"/>
      <c r="P1108" s="4273"/>
      <c r="Q1108" s="4273"/>
      <c r="R1108" s="4273"/>
      <c r="S1108" s="4273"/>
      <c r="T1108" s="4273"/>
      <c r="U1108" s="4273"/>
      <c r="V1108" s="4274"/>
      <c r="W1108" s="12">
        <f>IF(L1108="",0,1)</f>
        <v>1</v>
      </c>
      <c r="X1108" s="12">
        <f t="shared" si="75"/>
        <v>1</v>
      </c>
      <c r="Y1108" s="12">
        <f t="shared" si="73"/>
        <v>1</v>
      </c>
    </row>
    <row r="1109" spans="3:25" ht="15.7">
      <c r="D1109" s="4267" t="str">
        <f>T('2 REPAIR ESTIMATOR'!D944:O944)</f>
        <v/>
      </c>
      <c r="E1109" s="4268"/>
      <c r="F1109" s="4268"/>
      <c r="G1109" s="4268"/>
      <c r="H1109" s="4268"/>
      <c r="I1109" s="4268"/>
      <c r="J1109" s="4268"/>
      <c r="K1109" s="4268"/>
      <c r="L1109" s="4269">
        <f>'2 REPAIR ESTIMATOR'!P944</f>
        <v>0</v>
      </c>
      <c r="M1109" s="4269"/>
      <c r="N1109" s="4270" t="str">
        <f>T('2 REPAIR ESTIMATOR'!S944)</f>
        <v/>
      </c>
      <c r="O1109" s="4270"/>
      <c r="P1109" s="4271"/>
      <c r="Q1109" s="4271"/>
      <c r="R1109" s="4271"/>
      <c r="S1109" s="4271"/>
      <c r="T1109" s="4271"/>
      <c r="U1109" s="4271"/>
      <c r="V1109" s="4272"/>
      <c r="W1109" s="12">
        <f t="shared" ref="W1109:W1147" si="76">IF(L1109="",0,1)</f>
        <v>1</v>
      </c>
      <c r="X1109" s="12">
        <f t="shared" si="75"/>
        <v>1</v>
      </c>
      <c r="Y1109" s="12">
        <f t="shared" si="73"/>
        <v>1</v>
      </c>
    </row>
    <row r="1110" spans="3:25" ht="15.7">
      <c r="D1110" s="4282" t="str">
        <f>T('2 REPAIR ESTIMATOR'!D945:O945)</f>
        <v>Appliance Package</v>
      </c>
      <c r="E1110" s="4283"/>
      <c r="F1110" s="4283"/>
      <c r="G1110" s="4283"/>
      <c r="H1110" s="4283"/>
      <c r="I1110" s="4283"/>
      <c r="J1110" s="4283"/>
      <c r="K1110" s="4283"/>
      <c r="L1110" s="4269">
        <f>'2 REPAIR ESTIMATOR'!P945</f>
        <v>0</v>
      </c>
      <c r="M1110" s="4269"/>
      <c r="N1110" s="4270" t="str">
        <f>T('2 REPAIR ESTIMATOR'!S945)</f>
        <v/>
      </c>
      <c r="O1110" s="4270"/>
      <c r="P1110" s="4271" t="s">
        <v>1519</v>
      </c>
      <c r="Q1110" s="4271"/>
      <c r="R1110" s="4271"/>
      <c r="S1110" s="4271"/>
      <c r="T1110" s="4271"/>
      <c r="U1110" s="4271"/>
      <c r="V1110" s="4272"/>
      <c r="W1110" s="12">
        <f t="shared" si="76"/>
        <v>1</v>
      </c>
      <c r="X1110" s="12">
        <f t="shared" si="75"/>
        <v>1</v>
      </c>
      <c r="Y1110" s="12">
        <f t="shared" si="73"/>
        <v>1</v>
      </c>
    </row>
    <row r="1111" spans="3:25" ht="15.7">
      <c r="D1111" s="4267" t="str">
        <f>T('2 REPAIR ESTIMATOR'!D946:O946)</f>
        <v>Economy, (fridge, range, hood, dw, microwave)</v>
      </c>
      <c r="E1111" s="4268"/>
      <c r="F1111" s="4268"/>
      <c r="G1111" s="4268"/>
      <c r="H1111" s="4268"/>
      <c r="I1111" s="4268"/>
      <c r="J1111" s="4268"/>
      <c r="K1111" s="4268"/>
      <c r="L1111" s="4269">
        <f>'2 REPAIR ESTIMATOR'!P946</f>
        <v>0</v>
      </c>
      <c r="M1111" s="4269"/>
      <c r="N1111" s="4270" t="str">
        <f>T('2 REPAIR ESTIMATOR'!S946)</f>
        <v>ea</v>
      </c>
      <c r="O1111" s="4270"/>
      <c r="P1111" s="4271" t="s">
        <v>1519</v>
      </c>
      <c r="Q1111" s="4271"/>
      <c r="R1111" s="4271"/>
      <c r="S1111" s="4271"/>
      <c r="T1111" s="4271"/>
      <c r="U1111" s="4271"/>
      <c r="V1111" s="4272"/>
      <c r="W1111" s="12">
        <f t="shared" si="76"/>
        <v>1</v>
      </c>
      <c r="X1111" s="12">
        <f t="shared" si="75"/>
        <v>1</v>
      </c>
      <c r="Y1111" s="12">
        <f t="shared" si="73"/>
        <v>1</v>
      </c>
    </row>
    <row r="1112" spans="3:25" ht="15.7">
      <c r="D1112" s="4267" t="str">
        <f>T('2 REPAIR ESTIMATOR'!D947:O947)</f>
        <v>Average, (fridge, range, hood, dw, microwave)</v>
      </c>
      <c r="E1112" s="4268"/>
      <c r="F1112" s="4268"/>
      <c r="G1112" s="4268"/>
      <c r="H1112" s="4268"/>
      <c r="I1112" s="4268"/>
      <c r="J1112" s="4268"/>
      <c r="K1112" s="4268"/>
      <c r="L1112" s="4269">
        <f>'2 REPAIR ESTIMATOR'!P947</f>
        <v>0</v>
      </c>
      <c r="M1112" s="4269"/>
      <c r="N1112" s="4270" t="str">
        <f>T('2 REPAIR ESTIMATOR'!S947)</f>
        <v>ea</v>
      </c>
      <c r="O1112" s="4270"/>
      <c r="P1112" s="4271" t="s">
        <v>1519</v>
      </c>
      <c r="Q1112" s="4271"/>
      <c r="R1112" s="4271"/>
      <c r="S1112" s="4271"/>
      <c r="T1112" s="4271"/>
      <c r="U1112" s="4271"/>
      <c r="V1112" s="4272"/>
      <c r="W1112" s="12">
        <f t="shared" si="76"/>
        <v>1</v>
      </c>
      <c r="X1112" s="12">
        <f t="shared" si="75"/>
        <v>1</v>
      </c>
      <c r="Y1112" s="12">
        <f t="shared" si="73"/>
        <v>1</v>
      </c>
    </row>
    <row r="1113" spans="3:25" ht="15.7">
      <c r="D1113" s="4267" t="str">
        <f>T('2 REPAIR ESTIMATOR'!D948:O948)</f>
        <v>High End, (fridge, range, hood, dw, microwave)</v>
      </c>
      <c r="E1113" s="4268"/>
      <c r="F1113" s="4268"/>
      <c r="G1113" s="4268"/>
      <c r="H1113" s="4268"/>
      <c r="I1113" s="4268"/>
      <c r="J1113" s="4268"/>
      <c r="K1113" s="4268"/>
      <c r="L1113" s="4269">
        <f>'2 REPAIR ESTIMATOR'!P948</f>
        <v>0</v>
      </c>
      <c r="M1113" s="4269"/>
      <c r="N1113" s="4270" t="str">
        <f>T('2 REPAIR ESTIMATOR'!S948)</f>
        <v>ea</v>
      </c>
      <c r="O1113" s="4270"/>
      <c r="P1113" s="4271" t="s">
        <v>1519</v>
      </c>
      <c r="Q1113" s="4271"/>
      <c r="R1113" s="4271"/>
      <c r="S1113" s="4271"/>
      <c r="T1113" s="4271"/>
      <c r="U1113" s="4271"/>
      <c r="V1113" s="4272"/>
      <c r="W1113" s="12">
        <f t="shared" si="76"/>
        <v>1</v>
      </c>
      <c r="X1113" s="12">
        <f t="shared" si="75"/>
        <v>1</v>
      </c>
      <c r="Y1113" s="12">
        <f t="shared" si="73"/>
        <v>1</v>
      </c>
    </row>
    <row r="1114" spans="3:25" ht="15.7">
      <c r="D1114" s="4267" t="str">
        <f>T('2 REPAIR ESTIMATOR'!D949:O949)</f>
        <v/>
      </c>
      <c r="E1114" s="4268"/>
      <c r="F1114" s="4268"/>
      <c r="G1114" s="4268"/>
      <c r="H1114" s="4268"/>
      <c r="I1114" s="4268"/>
      <c r="J1114" s="4268"/>
      <c r="K1114" s="4268"/>
      <c r="L1114" s="4269">
        <f>'2 REPAIR ESTIMATOR'!P949</f>
        <v>0</v>
      </c>
      <c r="M1114" s="4269"/>
      <c r="N1114" s="4270" t="str">
        <f>T('2 REPAIR ESTIMATOR'!S949)</f>
        <v/>
      </c>
      <c r="O1114" s="4270"/>
      <c r="P1114" s="4271"/>
      <c r="Q1114" s="4271"/>
      <c r="R1114" s="4271"/>
      <c r="S1114" s="4271"/>
      <c r="T1114" s="4271"/>
      <c r="U1114" s="4271"/>
      <c r="V1114" s="4272"/>
      <c r="W1114" s="12">
        <f t="shared" si="76"/>
        <v>1</v>
      </c>
      <c r="X1114" s="12">
        <f t="shared" si="75"/>
        <v>1</v>
      </c>
      <c r="Y1114" s="12">
        <f t="shared" si="73"/>
        <v>1</v>
      </c>
    </row>
    <row r="1115" spans="3:25" ht="15.7">
      <c r="D1115" s="4267" t="str">
        <f>T('2 REPAIR ESTIMATOR'!D950:O950)</f>
        <v/>
      </c>
      <c r="E1115" s="4268"/>
      <c r="F1115" s="4268"/>
      <c r="G1115" s="4268"/>
      <c r="H1115" s="4268"/>
      <c r="I1115" s="4268"/>
      <c r="J1115" s="4268"/>
      <c r="K1115" s="4268"/>
      <c r="L1115" s="4269">
        <f>'2 REPAIR ESTIMATOR'!P950</f>
        <v>0</v>
      </c>
      <c r="M1115" s="4269"/>
      <c r="N1115" s="4270" t="str">
        <f>T('2 REPAIR ESTIMATOR'!S950)</f>
        <v/>
      </c>
      <c r="O1115" s="4270"/>
      <c r="P1115" s="4271"/>
      <c r="Q1115" s="4271"/>
      <c r="R1115" s="4271"/>
      <c r="S1115" s="4271"/>
      <c r="T1115" s="4271"/>
      <c r="U1115" s="4271"/>
      <c r="V1115" s="4272"/>
      <c r="W1115" s="12">
        <f t="shared" si="76"/>
        <v>1</v>
      </c>
      <c r="X1115" s="12">
        <f t="shared" si="75"/>
        <v>1</v>
      </c>
      <c r="Y1115" s="12">
        <f t="shared" si="73"/>
        <v>1</v>
      </c>
    </row>
    <row r="1116" spans="3:25" ht="15.7">
      <c r="D1116" s="4282" t="str">
        <f>T('2 REPAIR ESTIMATOR'!D951:O951)</f>
        <v>Appliances, Detailed, Ecomony</v>
      </c>
      <c r="E1116" s="4283"/>
      <c r="F1116" s="4283"/>
      <c r="G1116" s="4283"/>
      <c r="H1116" s="4283"/>
      <c r="I1116" s="4283"/>
      <c r="J1116" s="4283"/>
      <c r="K1116" s="4283"/>
      <c r="L1116" s="4269">
        <f>'2 REPAIR ESTIMATOR'!P951</f>
        <v>0</v>
      </c>
      <c r="M1116" s="4269"/>
      <c r="N1116" s="4270" t="str">
        <f>T('2 REPAIR ESTIMATOR'!S951)</f>
        <v/>
      </c>
      <c r="O1116" s="4270"/>
      <c r="P1116" s="4271" t="s">
        <v>1519</v>
      </c>
      <c r="Q1116" s="4271"/>
      <c r="R1116" s="4271"/>
      <c r="S1116" s="4271"/>
      <c r="T1116" s="4271"/>
      <c r="U1116" s="4271"/>
      <c r="V1116" s="4272"/>
      <c r="W1116" s="12">
        <f t="shared" si="76"/>
        <v>1</v>
      </c>
      <c r="X1116" s="12">
        <f t="shared" si="75"/>
        <v>1</v>
      </c>
      <c r="Y1116" s="12">
        <f t="shared" si="73"/>
        <v>1</v>
      </c>
    </row>
    <row r="1117" spans="3:25" ht="15.7">
      <c r="D1117" s="4267" t="str">
        <f>T('2 REPAIR ESTIMATOR'!D952:O952)</f>
        <v>Refrigerator, economy</v>
      </c>
      <c r="E1117" s="4268"/>
      <c r="F1117" s="4268"/>
      <c r="G1117" s="4268"/>
      <c r="H1117" s="4268"/>
      <c r="I1117" s="4268"/>
      <c r="J1117" s="4268"/>
      <c r="K1117" s="4268"/>
      <c r="L1117" s="4269">
        <f>'2 REPAIR ESTIMATOR'!P952</f>
        <v>0</v>
      </c>
      <c r="M1117" s="4269"/>
      <c r="N1117" s="4270" t="str">
        <f>T('2 REPAIR ESTIMATOR'!S952)</f>
        <v>ea</v>
      </c>
      <c r="O1117" s="4270"/>
      <c r="P1117" s="4271" t="s">
        <v>1519</v>
      </c>
      <c r="Q1117" s="4271"/>
      <c r="R1117" s="4271"/>
      <c r="S1117" s="4271"/>
      <c r="T1117" s="4271"/>
      <c r="U1117" s="4271"/>
      <c r="V1117" s="4272"/>
      <c r="W1117" s="12">
        <f t="shared" si="76"/>
        <v>1</v>
      </c>
      <c r="X1117" s="12">
        <f t="shared" si="75"/>
        <v>1</v>
      </c>
      <c r="Y1117" s="12">
        <f t="shared" si="73"/>
        <v>1</v>
      </c>
    </row>
    <row r="1118" spans="3:25" ht="15.7">
      <c r="D1118" s="4267" t="str">
        <f>T('2 REPAIR ESTIMATOR'!D953:O953)</f>
        <v>Range, economy</v>
      </c>
      <c r="E1118" s="4268"/>
      <c r="F1118" s="4268"/>
      <c r="G1118" s="4268"/>
      <c r="H1118" s="4268"/>
      <c r="I1118" s="4268"/>
      <c r="J1118" s="4268"/>
      <c r="K1118" s="4268"/>
      <c r="L1118" s="4269">
        <f>'2 REPAIR ESTIMATOR'!P953</f>
        <v>0</v>
      </c>
      <c r="M1118" s="4269"/>
      <c r="N1118" s="4270" t="str">
        <f>T('2 REPAIR ESTIMATOR'!S953)</f>
        <v>ea</v>
      </c>
      <c r="O1118" s="4270"/>
      <c r="P1118" s="4271" t="s">
        <v>1519</v>
      </c>
      <c r="Q1118" s="4271"/>
      <c r="R1118" s="4271"/>
      <c r="S1118" s="4271"/>
      <c r="T1118" s="4271"/>
      <c r="U1118" s="4271"/>
      <c r="V1118" s="4272"/>
      <c r="W1118" s="12">
        <f t="shared" si="76"/>
        <v>1</v>
      </c>
      <c r="X1118" s="12">
        <f t="shared" si="75"/>
        <v>1</v>
      </c>
      <c r="Y1118" s="12">
        <f t="shared" si="73"/>
        <v>1</v>
      </c>
    </row>
    <row r="1119" spans="3:25" ht="15.7">
      <c r="D1119" s="4267" t="str">
        <f>T('2 REPAIR ESTIMATOR'!D954:O954)</f>
        <v>Range Hood, economy</v>
      </c>
      <c r="E1119" s="4268"/>
      <c r="F1119" s="4268"/>
      <c r="G1119" s="4268"/>
      <c r="H1119" s="4268"/>
      <c r="I1119" s="4268"/>
      <c r="J1119" s="4268"/>
      <c r="K1119" s="4268"/>
      <c r="L1119" s="4269">
        <f>'2 REPAIR ESTIMATOR'!P954</f>
        <v>0</v>
      </c>
      <c r="M1119" s="4269"/>
      <c r="N1119" s="4270" t="str">
        <f>T('2 REPAIR ESTIMATOR'!S954)</f>
        <v>ea</v>
      </c>
      <c r="O1119" s="4270"/>
      <c r="P1119" s="4271" t="s">
        <v>1519</v>
      </c>
      <c r="Q1119" s="4271"/>
      <c r="R1119" s="4271"/>
      <c r="S1119" s="4271"/>
      <c r="T1119" s="4271"/>
      <c r="U1119" s="4271"/>
      <c r="V1119" s="4272"/>
      <c r="W1119" s="12">
        <f t="shared" si="76"/>
        <v>1</v>
      </c>
      <c r="X1119" s="12">
        <f t="shared" si="75"/>
        <v>1</v>
      </c>
      <c r="Y1119" s="12">
        <f t="shared" si="73"/>
        <v>1</v>
      </c>
    </row>
    <row r="1120" spans="3:25" ht="15.7">
      <c r="D1120" s="4267" t="str">
        <f>T('2 REPAIR ESTIMATOR'!D955:O955)</f>
        <v>Dishwasher, economy</v>
      </c>
      <c r="E1120" s="4268"/>
      <c r="F1120" s="4268"/>
      <c r="G1120" s="4268"/>
      <c r="H1120" s="4268"/>
      <c r="I1120" s="4268"/>
      <c r="J1120" s="4268"/>
      <c r="K1120" s="4268"/>
      <c r="L1120" s="4269">
        <f>'2 REPAIR ESTIMATOR'!P955</f>
        <v>0</v>
      </c>
      <c r="M1120" s="4269"/>
      <c r="N1120" s="4270" t="str">
        <f>T('2 REPAIR ESTIMATOR'!S955)</f>
        <v>ea</v>
      </c>
      <c r="O1120" s="4270"/>
      <c r="P1120" s="4271" t="s">
        <v>1519</v>
      </c>
      <c r="Q1120" s="4271"/>
      <c r="R1120" s="4271"/>
      <c r="S1120" s="4271"/>
      <c r="T1120" s="4271"/>
      <c r="U1120" s="4271"/>
      <c r="V1120" s="4272"/>
      <c r="W1120" s="12">
        <f t="shared" si="76"/>
        <v>1</v>
      </c>
      <c r="X1120" s="12">
        <f t="shared" si="75"/>
        <v>1</v>
      </c>
      <c r="Y1120" s="12">
        <f t="shared" si="73"/>
        <v>1</v>
      </c>
    </row>
    <row r="1121" spans="4:25" ht="15.7">
      <c r="D1121" s="4267" t="str">
        <f>T('2 REPAIR ESTIMATOR'!D956:O956)</f>
        <v>Microwave, economy</v>
      </c>
      <c r="E1121" s="4268"/>
      <c r="F1121" s="4268"/>
      <c r="G1121" s="4268"/>
      <c r="H1121" s="4268"/>
      <c r="I1121" s="4268"/>
      <c r="J1121" s="4268"/>
      <c r="K1121" s="4268"/>
      <c r="L1121" s="4269">
        <f>'2 REPAIR ESTIMATOR'!P956</f>
        <v>0</v>
      </c>
      <c r="M1121" s="4269"/>
      <c r="N1121" s="4270" t="str">
        <f>T('2 REPAIR ESTIMATOR'!S956)</f>
        <v>ea</v>
      </c>
      <c r="O1121" s="4270"/>
      <c r="P1121" s="4271" t="s">
        <v>1519</v>
      </c>
      <c r="Q1121" s="4271"/>
      <c r="R1121" s="4271"/>
      <c r="S1121" s="4271"/>
      <c r="T1121" s="4271"/>
      <c r="U1121" s="4271"/>
      <c r="V1121" s="4272"/>
      <c r="W1121" s="12">
        <f t="shared" si="76"/>
        <v>1</v>
      </c>
      <c r="X1121" s="12">
        <f t="shared" si="75"/>
        <v>1</v>
      </c>
      <c r="Y1121" s="12">
        <f t="shared" si="73"/>
        <v>1</v>
      </c>
    </row>
    <row r="1122" spans="4:25" ht="15.7">
      <c r="D1122" s="4267" t="str">
        <f>T('2 REPAIR ESTIMATOR'!D957:O957)</f>
        <v>Appliance delivery</v>
      </c>
      <c r="E1122" s="4268"/>
      <c r="F1122" s="4268"/>
      <c r="G1122" s="4268"/>
      <c r="H1122" s="4268"/>
      <c r="I1122" s="4268"/>
      <c r="J1122" s="4268"/>
      <c r="K1122" s="4268"/>
      <c r="L1122" s="4269">
        <f>'2 REPAIR ESTIMATOR'!P957</f>
        <v>0</v>
      </c>
      <c r="M1122" s="4269"/>
      <c r="N1122" s="4270" t="str">
        <f>T('2 REPAIR ESTIMATOR'!S957)</f>
        <v>ea</v>
      </c>
      <c r="O1122" s="4270"/>
      <c r="P1122" s="4271" t="s">
        <v>1519</v>
      </c>
      <c r="Q1122" s="4271"/>
      <c r="R1122" s="4271"/>
      <c r="S1122" s="4271"/>
      <c r="T1122" s="4271"/>
      <c r="U1122" s="4271"/>
      <c r="V1122" s="4272"/>
      <c r="W1122" s="12">
        <f t="shared" si="76"/>
        <v>1</v>
      </c>
      <c r="X1122" s="12">
        <f t="shared" si="75"/>
        <v>1</v>
      </c>
      <c r="Y1122" s="12">
        <f t="shared" si="73"/>
        <v>1</v>
      </c>
    </row>
    <row r="1123" spans="4:25" ht="15.7">
      <c r="D1123" s="4267" t="str">
        <f>T('2 REPAIR ESTIMATOR'!D958:O958)</f>
        <v/>
      </c>
      <c r="E1123" s="4268"/>
      <c r="F1123" s="4268"/>
      <c r="G1123" s="4268"/>
      <c r="H1123" s="4268"/>
      <c r="I1123" s="4268"/>
      <c r="J1123" s="4268"/>
      <c r="K1123" s="4268"/>
      <c r="L1123" s="4269">
        <f>'2 REPAIR ESTIMATOR'!P958</f>
        <v>0</v>
      </c>
      <c r="M1123" s="4269"/>
      <c r="N1123" s="4270" t="str">
        <f>T('2 REPAIR ESTIMATOR'!S958)</f>
        <v/>
      </c>
      <c r="O1123" s="4270"/>
      <c r="P1123" s="4271"/>
      <c r="Q1123" s="4271"/>
      <c r="R1123" s="4271"/>
      <c r="S1123" s="4271"/>
      <c r="T1123" s="4271"/>
      <c r="U1123" s="4271"/>
      <c r="V1123" s="4272"/>
      <c r="W1123" s="12">
        <f t="shared" si="76"/>
        <v>1</v>
      </c>
      <c r="X1123" s="12">
        <f t="shared" si="75"/>
        <v>1</v>
      </c>
      <c r="Y1123" s="12">
        <f t="shared" si="73"/>
        <v>1</v>
      </c>
    </row>
    <row r="1124" spans="4:25" ht="15.7">
      <c r="D1124" s="4267" t="str">
        <f>T('2 REPAIR ESTIMATOR'!D959:O959)</f>
        <v/>
      </c>
      <c r="E1124" s="4268"/>
      <c r="F1124" s="4268"/>
      <c r="G1124" s="4268"/>
      <c r="H1124" s="4268"/>
      <c r="I1124" s="4268"/>
      <c r="J1124" s="4268"/>
      <c r="K1124" s="4268"/>
      <c r="L1124" s="4269">
        <f>'2 REPAIR ESTIMATOR'!P959</f>
        <v>0</v>
      </c>
      <c r="M1124" s="4269"/>
      <c r="N1124" s="4270" t="str">
        <f>T('2 REPAIR ESTIMATOR'!S959)</f>
        <v/>
      </c>
      <c r="O1124" s="4270"/>
      <c r="P1124" s="4271"/>
      <c r="Q1124" s="4271"/>
      <c r="R1124" s="4271"/>
      <c r="S1124" s="4271"/>
      <c r="T1124" s="4271"/>
      <c r="U1124" s="4271"/>
      <c r="V1124" s="4272"/>
      <c r="W1124" s="12">
        <f t="shared" si="76"/>
        <v>1</v>
      </c>
      <c r="X1124" s="12">
        <f t="shared" si="75"/>
        <v>1</v>
      </c>
      <c r="Y1124" s="12">
        <f t="shared" si="73"/>
        <v>1</v>
      </c>
    </row>
    <row r="1125" spans="4:25" ht="15.7">
      <c r="D1125" s="4282" t="str">
        <f>T('2 REPAIR ESTIMATOR'!D960:O960)</f>
        <v>Appliances, Detailed, Average</v>
      </c>
      <c r="E1125" s="4283"/>
      <c r="F1125" s="4283"/>
      <c r="G1125" s="4283"/>
      <c r="H1125" s="4283"/>
      <c r="I1125" s="4283"/>
      <c r="J1125" s="4283"/>
      <c r="K1125" s="4283"/>
      <c r="L1125" s="4269">
        <f>'2 REPAIR ESTIMATOR'!P960</f>
        <v>0</v>
      </c>
      <c r="M1125" s="4269"/>
      <c r="N1125" s="4270" t="str">
        <f>T('2 REPAIR ESTIMATOR'!S960)</f>
        <v/>
      </c>
      <c r="O1125" s="4270"/>
      <c r="P1125" s="4271" t="s">
        <v>1519</v>
      </c>
      <c r="Q1125" s="4271"/>
      <c r="R1125" s="4271"/>
      <c r="S1125" s="4271"/>
      <c r="T1125" s="4271"/>
      <c r="U1125" s="4271"/>
      <c r="V1125" s="4272"/>
      <c r="W1125" s="12">
        <f t="shared" si="76"/>
        <v>1</v>
      </c>
      <c r="X1125" s="12">
        <f t="shared" si="75"/>
        <v>1</v>
      </c>
      <c r="Y1125" s="12">
        <f t="shared" si="73"/>
        <v>1</v>
      </c>
    </row>
    <row r="1126" spans="4:25" ht="15.7">
      <c r="D1126" s="4267" t="str">
        <f>T('2 REPAIR ESTIMATOR'!D961:O961)</f>
        <v>Refrigerator, average</v>
      </c>
      <c r="E1126" s="4268"/>
      <c r="F1126" s="4268"/>
      <c r="G1126" s="4268"/>
      <c r="H1126" s="4268"/>
      <c r="I1126" s="4268"/>
      <c r="J1126" s="4268"/>
      <c r="K1126" s="4268"/>
      <c r="L1126" s="4269">
        <f>'2 REPAIR ESTIMATOR'!P961</f>
        <v>0</v>
      </c>
      <c r="M1126" s="4269"/>
      <c r="N1126" s="4270" t="str">
        <f>T('2 REPAIR ESTIMATOR'!S961)</f>
        <v>ea</v>
      </c>
      <c r="O1126" s="4270"/>
      <c r="P1126" s="4271" t="s">
        <v>1519</v>
      </c>
      <c r="Q1126" s="4271"/>
      <c r="R1126" s="4271"/>
      <c r="S1126" s="4271"/>
      <c r="T1126" s="4271"/>
      <c r="U1126" s="4271"/>
      <c r="V1126" s="4272"/>
      <c r="W1126" s="12">
        <f t="shared" si="76"/>
        <v>1</v>
      </c>
      <c r="X1126" s="12">
        <f t="shared" si="75"/>
        <v>1</v>
      </c>
      <c r="Y1126" s="12">
        <f t="shared" si="73"/>
        <v>1</v>
      </c>
    </row>
    <row r="1127" spans="4:25" ht="15.7">
      <c r="D1127" s="4267" t="str">
        <f>T('2 REPAIR ESTIMATOR'!D962:O962)</f>
        <v>Range, average</v>
      </c>
      <c r="E1127" s="4268"/>
      <c r="F1127" s="4268"/>
      <c r="G1127" s="4268"/>
      <c r="H1127" s="4268"/>
      <c r="I1127" s="4268"/>
      <c r="J1127" s="4268"/>
      <c r="K1127" s="4268"/>
      <c r="L1127" s="4269">
        <f>'2 REPAIR ESTIMATOR'!P962</f>
        <v>0</v>
      </c>
      <c r="M1127" s="4269"/>
      <c r="N1127" s="4270" t="str">
        <f>T('2 REPAIR ESTIMATOR'!S962)</f>
        <v>ea</v>
      </c>
      <c r="O1127" s="4270"/>
      <c r="P1127" s="4271" t="s">
        <v>1519</v>
      </c>
      <c r="Q1127" s="4271"/>
      <c r="R1127" s="4271"/>
      <c r="S1127" s="4271"/>
      <c r="T1127" s="4271"/>
      <c r="U1127" s="4271"/>
      <c r="V1127" s="4272"/>
      <c r="W1127" s="12">
        <f t="shared" si="76"/>
        <v>1</v>
      </c>
      <c r="X1127" s="12">
        <f t="shared" si="75"/>
        <v>1</v>
      </c>
      <c r="Y1127" s="12">
        <f t="shared" si="73"/>
        <v>1</v>
      </c>
    </row>
    <row r="1128" spans="4:25" ht="15.7">
      <c r="D1128" s="4267" t="str">
        <f>T('2 REPAIR ESTIMATOR'!D963:O963)</f>
        <v>Range Hood, average</v>
      </c>
      <c r="E1128" s="4268"/>
      <c r="F1128" s="4268"/>
      <c r="G1128" s="4268"/>
      <c r="H1128" s="4268"/>
      <c r="I1128" s="4268"/>
      <c r="J1128" s="4268"/>
      <c r="K1128" s="4268"/>
      <c r="L1128" s="4269">
        <f>'2 REPAIR ESTIMATOR'!P963</f>
        <v>0</v>
      </c>
      <c r="M1128" s="4269"/>
      <c r="N1128" s="4270" t="str">
        <f>T('2 REPAIR ESTIMATOR'!S963)</f>
        <v>ea</v>
      </c>
      <c r="O1128" s="4270"/>
      <c r="P1128" s="4271" t="s">
        <v>1519</v>
      </c>
      <c r="Q1128" s="4271"/>
      <c r="R1128" s="4271"/>
      <c r="S1128" s="4271"/>
      <c r="T1128" s="4271"/>
      <c r="U1128" s="4271"/>
      <c r="V1128" s="4272"/>
      <c r="W1128" s="12">
        <f t="shared" si="76"/>
        <v>1</v>
      </c>
      <c r="X1128" s="12">
        <f t="shared" si="75"/>
        <v>1</v>
      </c>
      <c r="Y1128" s="12">
        <f t="shared" si="73"/>
        <v>1</v>
      </c>
    </row>
    <row r="1129" spans="4:25" ht="15.7">
      <c r="D1129" s="4267" t="str">
        <f>T('2 REPAIR ESTIMATOR'!D964:O964)</f>
        <v>Dishwasher, average</v>
      </c>
      <c r="E1129" s="4268"/>
      <c r="F1129" s="4268"/>
      <c r="G1129" s="4268"/>
      <c r="H1129" s="4268"/>
      <c r="I1129" s="4268"/>
      <c r="J1129" s="4268"/>
      <c r="K1129" s="4268"/>
      <c r="L1129" s="4269">
        <f>'2 REPAIR ESTIMATOR'!P964</f>
        <v>0</v>
      </c>
      <c r="M1129" s="4269"/>
      <c r="N1129" s="4270" t="str">
        <f>T('2 REPAIR ESTIMATOR'!S964)</f>
        <v>ea</v>
      </c>
      <c r="O1129" s="4270"/>
      <c r="P1129" s="4271" t="s">
        <v>1519</v>
      </c>
      <c r="Q1129" s="4271"/>
      <c r="R1129" s="4271"/>
      <c r="S1129" s="4271"/>
      <c r="T1129" s="4271"/>
      <c r="U1129" s="4271"/>
      <c r="V1129" s="4272"/>
      <c r="W1129" s="12">
        <f t="shared" si="76"/>
        <v>1</v>
      </c>
      <c r="X1129" s="12">
        <f t="shared" si="75"/>
        <v>1</v>
      </c>
      <c r="Y1129" s="12">
        <f t="shared" si="73"/>
        <v>1</v>
      </c>
    </row>
    <row r="1130" spans="4:25" ht="15.7">
      <c r="D1130" s="4267" t="str">
        <f>T('2 REPAIR ESTIMATOR'!D965:O965)</f>
        <v>Microwave, average</v>
      </c>
      <c r="E1130" s="4268"/>
      <c r="F1130" s="4268"/>
      <c r="G1130" s="4268"/>
      <c r="H1130" s="4268"/>
      <c r="I1130" s="4268"/>
      <c r="J1130" s="4268"/>
      <c r="K1130" s="4268"/>
      <c r="L1130" s="4269">
        <f>'2 REPAIR ESTIMATOR'!P965</f>
        <v>0</v>
      </c>
      <c r="M1130" s="4269"/>
      <c r="N1130" s="4270" t="str">
        <f>T('2 REPAIR ESTIMATOR'!S965)</f>
        <v>ea</v>
      </c>
      <c r="O1130" s="4270"/>
      <c r="P1130" s="4271" t="s">
        <v>1519</v>
      </c>
      <c r="Q1130" s="4271"/>
      <c r="R1130" s="4271"/>
      <c r="S1130" s="4271"/>
      <c r="T1130" s="4271"/>
      <c r="U1130" s="4271"/>
      <c r="V1130" s="4272"/>
      <c r="W1130" s="12">
        <f t="shared" si="76"/>
        <v>1</v>
      </c>
      <c r="X1130" s="12">
        <f t="shared" si="75"/>
        <v>1</v>
      </c>
      <c r="Y1130" s="12">
        <f t="shared" si="73"/>
        <v>1</v>
      </c>
    </row>
    <row r="1131" spans="4:25" ht="15.7">
      <c r="D1131" s="4267" t="str">
        <f>T('2 REPAIR ESTIMATOR'!D966:O966)</f>
        <v>Appliance delivery</v>
      </c>
      <c r="E1131" s="4268"/>
      <c r="F1131" s="4268"/>
      <c r="G1131" s="4268"/>
      <c r="H1131" s="4268"/>
      <c r="I1131" s="4268"/>
      <c r="J1131" s="4268"/>
      <c r="K1131" s="4268"/>
      <c r="L1131" s="4269">
        <f>'2 REPAIR ESTIMATOR'!P966</f>
        <v>0</v>
      </c>
      <c r="M1131" s="4269"/>
      <c r="N1131" s="4270" t="str">
        <f>T('2 REPAIR ESTIMATOR'!S966)</f>
        <v>ea</v>
      </c>
      <c r="O1131" s="4270"/>
      <c r="P1131" s="4271" t="s">
        <v>1519</v>
      </c>
      <c r="Q1131" s="4271"/>
      <c r="R1131" s="4271"/>
      <c r="S1131" s="4271"/>
      <c r="T1131" s="4271"/>
      <c r="U1131" s="4271"/>
      <c r="V1131" s="4272"/>
      <c r="W1131" s="12">
        <f t="shared" si="76"/>
        <v>1</v>
      </c>
      <c r="X1131" s="12">
        <f t="shared" si="75"/>
        <v>1</v>
      </c>
      <c r="Y1131" s="12">
        <f t="shared" si="73"/>
        <v>1</v>
      </c>
    </row>
    <row r="1132" spans="4:25" ht="15.7">
      <c r="D1132" s="4267" t="str">
        <f>T('2 REPAIR ESTIMATOR'!D967:O967)</f>
        <v/>
      </c>
      <c r="E1132" s="4268"/>
      <c r="F1132" s="4268"/>
      <c r="G1132" s="4268"/>
      <c r="H1132" s="4268"/>
      <c r="I1132" s="4268"/>
      <c r="J1132" s="4268"/>
      <c r="K1132" s="4268"/>
      <c r="L1132" s="4269">
        <f>'2 REPAIR ESTIMATOR'!P967</f>
        <v>0</v>
      </c>
      <c r="M1132" s="4269"/>
      <c r="N1132" s="4270" t="str">
        <f>T('2 REPAIR ESTIMATOR'!S967)</f>
        <v/>
      </c>
      <c r="O1132" s="4270"/>
      <c r="P1132" s="4271"/>
      <c r="Q1132" s="4271"/>
      <c r="R1132" s="4271"/>
      <c r="S1132" s="4271"/>
      <c r="T1132" s="4271"/>
      <c r="U1132" s="4271"/>
      <c r="V1132" s="4272"/>
      <c r="W1132" s="12">
        <f t="shared" si="76"/>
        <v>1</v>
      </c>
      <c r="X1132" s="12">
        <f t="shared" si="75"/>
        <v>1</v>
      </c>
      <c r="Y1132" s="12">
        <f t="shared" ref="Y1132:Y1195" si="77">W1132*X1132</f>
        <v>1</v>
      </c>
    </row>
    <row r="1133" spans="4:25" ht="15.7">
      <c r="D1133" s="4267" t="str">
        <f>T('2 REPAIR ESTIMATOR'!D968:O968)</f>
        <v/>
      </c>
      <c r="E1133" s="4268"/>
      <c r="F1133" s="4268"/>
      <c r="G1133" s="4268"/>
      <c r="H1133" s="4268"/>
      <c r="I1133" s="4268"/>
      <c r="J1133" s="4268"/>
      <c r="K1133" s="4268"/>
      <c r="L1133" s="4269">
        <f>'2 REPAIR ESTIMATOR'!P968</f>
        <v>0</v>
      </c>
      <c r="M1133" s="4269"/>
      <c r="N1133" s="4270" t="str">
        <f>T('2 REPAIR ESTIMATOR'!S968)</f>
        <v/>
      </c>
      <c r="O1133" s="4270"/>
      <c r="P1133" s="4271"/>
      <c r="Q1133" s="4271"/>
      <c r="R1133" s="4271"/>
      <c r="S1133" s="4271"/>
      <c r="T1133" s="4271"/>
      <c r="U1133" s="4271"/>
      <c r="V1133" s="4272"/>
      <c r="W1133" s="12">
        <f t="shared" si="76"/>
        <v>1</v>
      </c>
      <c r="X1133" s="12">
        <f t="shared" si="75"/>
        <v>1</v>
      </c>
      <c r="Y1133" s="12">
        <f t="shared" si="77"/>
        <v>1</v>
      </c>
    </row>
    <row r="1134" spans="4:25" ht="15.7">
      <c r="D1134" s="4282" t="str">
        <f>T('2 REPAIR ESTIMATOR'!D969:O969)</f>
        <v>Appliances, Detailed, High End</v>
      </c>
      <c r="E1134" s="4283"/>
      <c r="F1134" s="4283"/>
      <c r="G1134" s="4283"/>
      <c r="H1134" s="4283"/>
      <c r="I1134" s="4283"/>
      <c r="J1134" s="4283"/>
      <c r="K1134" s="4283"/>
      <c r="L1134" s="4269">
        <f>'2 REPAIR ESTIMATOR'!P969</f>
        <v>0</v>
      </c>
      <c r="M1134" s="4269"/>
      <c r="N1134" s="4270" t="str">
        <f>T('2 REPAIR ESTIMATOR'!S969)</f>
        <v/>
      </c>
      <c r="O1134" s="4270"/>
      <c r="P1134" s="4271" t="s">
        <v>1519</v>
      </c>
      <c r="Q1134" s="4271"/>
      <c r="R1134" s="4271"/>
      <c r="S1134" s="4271"/>
      <c r="T1134" s="4271"/>
      <c r="U1134" s="4271"/>
      <c r="V1134" s="4272"/>
      <c r="W1134" s="12">
        <f t="shared" si="76"/>
        <v>1</v>
      </c>
      <c r="X1134" s="12">
        <f t="shared" si="75"/>
        <v>1</v>
      </c>
      <c r="Y1134" s="12">
        <f t="shared" si="77"/>
        <v>1</v>
      </c>
    </row>
    <row r="1135" spans="4:25" ht="15.7">
      <c r="D1135" s="4267" t="str">
        <f>T('2 REPAIR ESTIMATOR'!D970:O970)</f>
        <v>Refrigerator, high end</v>
      </c>
      <c r="E1135" s="4268"/>
      <c r="F1135" s="4268"/>
      <c r="G1135" s="4268"/>
      <c r="H1135" s="4268"/>
      <c r="I1135" s="4268"/>
      <c r="J1135" s="4268"/>
      <c r="K1135" s="4268"/>
      <c r="L1135" s="4269">
        <f>'2 REPAIR ESTIMATOR'!P970</f>
        <v>0</v>
      </c>
      <c r="M1135" s="4269"/>
      <c r="N1135" s="4270" t="str">
        <f>T('2 REPAIR ESTIMATOR'!S970)</f>
        <v>ea</v>
      </c>
      <c r="O1135" s="4270"/>
      <c r="P1135" s="4271" t="s">
        <v>1519</v>
      </c>
      <c r="Q1135" s="4271"/>
      <c r="R1135" s="4271"/>
      <c r="S1135" s="4271"/>
      <c r="T1135" s="4271"/>
      <c r="U1135" s="4271"/>
      <c r="V1135" s="4272"/>
      <c r="W1135" s="12">
        <f t="shared" si="76"/>
        <v>1</v>
      </c>
      <c r="X1135" s="12">
        <f t="shared" si="75"/>
        <v>1</v>
      </c>
      <c r="Y1135" s="12">
        <f t="shared" si="77"/>
        <v>1</v>
      </c>
    </row>
    <row r="1136" spans="4:25" ht="15.7">
      <c r="D1136" s="4267" t="str">
        <f>T('2 REPAIR ESTIMATOR'!D971:O971)</f>
        <v>Range, high end</v>
      </c>
      <c r="E1136" s="4268"/>
      <c r="F1136" s="4268"/>
      <c r="G1136" s="4268"/>
      <c r="H1136" s="4268"/>
      <c r="I1136" s="4268"/>
      <c r="J1136" s="4268"/>
      <c r="K1136" s="4268"/>
      <c r="L1136" s="4269">
        <f>'2 REPAIR ESTIMATOR'!P971</f>
        <v>0</v>
      </c>
      <c r="M1136" s="4269"/>
      <c r="N1136" s="4270" t="str">
        <f>T('2 REPAIR ESTIMATOR'!S971)</f>
        <v>ea</v>
      </c>
      <c r="O1136" s="4270"/>
      <c r="P1136" s="4271" t="s">
        <v>1519</v>
      </c>
      <c r="Q1136" s="4271"/>
      <c r="R1136" s="4271"/>
      <c r="S1136" s="4271"/>
      <c r="T1136" s="4271"/>
      <c r="U1136" s="4271"/>
      <c r="V1136" s="4272"/>
      <c r="W1136" s="12">
        <f t="shared" si="76"/>
        <v>1</v>
      </c>
      <c r="X1136" s="12">
        <f t="shared" si="75"/>
        <v>1</v>
      </c>
      <c r="Y1136" s="12">
        <f t="shared" si="77"/>
        <v>1</v>
      </c>
    </row>
    <row r="1137" spans="3:25" ht="15.7">
      <c r="D1137" s="4267" t="str">
        <f>T('2 REPAIR ESTIMATOR'!D972:O972)</f>
        <v>Range Hood, high end</v>
      </c>
      <c r="E1137" s="4268"/>
      <c r="F1137" s="4268"/>
      <c r="G1137" s="4268"/>
      <c r="H1137" s="4268"/>
      <c r="I1137" s="4268"/>
      <c r="J1137" s="4268"/>
      <c r="K1137" s="4268"/>
      <c r="L1137" s="4269">
        <f>'2 REPAIR ESTIMATOR'!P972</f>
        <v>0</v>
      </c>
      <c r="M1137" s="4269"/>
      <c r="N1137" s="4270" t="str">
        <f>T('2 REPAIR ESTIMATOR'!S972)</f>
        <v>ea</v>
      </c>
      <c r="O1137" s="4270"/>
      <c r="P1137" s="4271" t="s">
        <v>1519</v>
      </c>
      <c r="Q1137" s="4271"/>
      <c r="R1137" s="4271"/>
      <c r="S1137" s="4271"/>
      <c r="T1137" s="4271"/>
      <c r="U1137" s="4271"/>
      <c r="V1137" s="4272"/>
      <c r="W1137" s="12">
        <f t="shared" si="76"/>
        <v>1</v>
      </c>
      <c r="X1137" s="12">
        <f t="shared" si="75"/>
        <v>1</v>
      </c>
      <c r="Y1137" s="12">
        <f t="shared" si="77"/>
        <v>1</v>
      </c>
    </row>
    <row r="1138" spans="3:25" ht="15.7">
      <c r="D1138" s="4267" t="str">
        <f>T('2 REPAIR ESTIMATOR'!D973:O973)</f>
        <v>Dishwasher, high end</v>
      </c>
      <c r="E1138" s="4268"/>
      <c r="F1138" s="4268"/>
      <c r="G1138" s="4268"/>
      <c r="H1138" s="4268"/>
      <c r="I1138" s="4268"/>
      <c r="J1138" s="4268"/>
      <c r="K1138" s="4268"/>
      <c r="L1138" s="4269">
        <f>'2 REPAIR ESTIMATOR'!P973</f>
        <v>0</v>
      </c>
      <c r="M1138" s="4269"/>
      <c r="N1138" s="4270" t="str">
        <f>T('2 REPAIR ESTIMATOR'!S973)</f>
        <v>ea</v>
      </c>
      <c r="O1138" s="4270"/>
      <c r="P1138" s="4271" t="s">
        <v>1519</v>
      </c>
      <c r="Q1138" s="4271"/>
      <c r="R1138" s="4271"/>
      <c r="S1138" s="4271"/>
      <c r="T1138" s="4271"/>
      <c r="U1138" s="4271"/>
      <c r="V1138" s="4272"/>
      <c r="W1138" s="12">
        <f t="shared" si="76"/>
        <v>1</v>
      </c>
      <c r="X1138" s="12">
        <f t="shared" si="75"/>
        <v>1</v>
      </c>
      <c r="Y1138" s="12">
        <f t="shared" si="77"/>
        <v>1</v>
      </c>
    </row>
    <row r="1139" spans="3:25" ht="15.7">
      <c r="D1139" s="4267" t="str">
        <f>T('2 REPAIR ESTIMATOR'!D974:O974)</f>
        <v>Microwave, high end</v>
      </c>
      <c r="E1139" s="4268"/>
      <c r="F1139" s="4268"/>
      <c r="G1139" s="4268"/>
      <c r="H1139" s="4268"/>
      <c r="I1139" s="4268"/>
      <c r="J1139" s="4268"/>
      <c r="K1139" s="4268"/>
      <c r="L1139" s="4269">
        <f>'2 REPAIR ESTIMATOR'!P974</f>
        <v>0</v>
      </c>
      <c r="M1139" s="4269"/>
      <c r="N1139" s="4270" t="str">
        <f>T('2 REPAIR ESTIMATOR'!S974)</f>
        <v>ea</v>
      </c>
      <c r="O1139" s="4270"/>
      <c r="P1139" s="4271" t="s">
        <v>1519</v>
      </c>
      <c r="Q1139" s="4271"/>
      <c r="R1139" s="4271"/>
      <c r="S1139" s="4271"/>
      <c r="T1139" s="4271"/>
      <c r="U1139" s="4271"/>
      <c r="V1139" s="4272"/>
      <c r="W1139" s="12">
        <f t="shared" si="76"/>
        <v>1</v>
      </c>
      <c r="X1139" s="12">
        <f t="shared" ref="X1139:X1162" si="78">IF(Scope20_Setting="Shown",1,0)</f>
        <v>1</v>
      </c>
      <c r="Y1139" s="12">
        <f t="shared" si="77"/>
        <v>1</v>
      </c>
    </row>
    <row r="1140" spans="3:25" ht="15.7">
      <c r="D1140" s="4267" t="str">
        <f>T('2 REPAIR ESTIMATOR'!D975:O975)</f>
        <v>Appliance delivery</v>
      </c>
      <c r="E1140" s="4268"/>
      <c r="F1140" s="4268"/>
      <c r="G1140" s="4268"/>
      <c r="H1140" s="4268"/>
      <c r="I1140" s="4268"/>
      <c r="J1140" s="4268"/>
      <c r="K1140" s="4268"/>
      <c r="L1140" s="4269">
        <f>'2 REPAIR ESTIMATOR'!P975</f>
        <v>0</v>
      </c>
      <c r="M1140" s="4269"/>
      <c r="N1140" s="4270" t="str">
        <f>T('2 REPAIR ESTIMATOR'!S975)</f>
        <v>ea</v>
      </c>
      <c r="O1140" s="4270"/>
      <c r="P1140" s="4271" t="s">
        <v>1519</v>
      </c>
      <c r="Q1140" s="4271"/>
      <c r="R1140" s="4271"/>
      <c r="S1140" s="4271"/>
      <c r="T1140" s="4271"/>
      <c r="U1140" s="4271"/>
      <c r="V1140" s="4272"/>
      <c r="W1140" s="12">
        <f t="shared" si="76"/>
        <v>1</v>
      </c>
      <c r="X1140" s="12">
        <f t="shared" si="78"/>
        <v>1</v>
      </c>
      <c r="Y1140" s="12">
        <f t="shared" si="77"/>
        <v>1</v>
      </c>
    </row>
    <row r="1141" spans="3:25" ht="15.7">
      <c r="D1141" s="4267" t="str">
        <f>T('2 REPAIR ESTIMATOR'!D976:O976)</f>
        <v/>
      </c>
      <c r="E1141" s="4268"/>
      <c r="F1141" s="4268"/>
      <c r="G1141" s="4268"/>
      <c r="H1141" s="4268"/>
      <c r="I1141" s="4268"/>
      <c r="J1141" s="4268"/>
      <c r="K1141" s="4268"/>
      <c r="L1141" s="4269">
        <f>'2 REPAIR ESTIMATOR'!P976</f>
        <v>0</v>
      </c>
      <c r="M1141" s="4269"/>
      <c r="N1141" s="4270" t="str">
        <f>T('2 REPAIR ESTIMATOR'!S976)</f>
        <v/>
      </c>
      <c r="O1141" s="4270"/>
      <c r="P1141" s="4271"/>
      <c r="Q1141" s="4271"/>
      <c r="R1141" s="4271"/>
      <c r="S1141" s="4271"/>
      <c r="T1141" s="4271"/>
      <c r="U1141" s="4271"/>
      <c r="V1141" s="4272"/>
      <c r="W1141" s="12">
        <f t="shared" si="76"/>
        <v>1</v>
      </c>
      <c r="X1141" s="12">
        <f t="shared" si="78"/>
        <v>1</v>
      </c>
      <c r="Y1141" s="12">
        <f t="shared" si="77"/>
        <v>1</v>
      </c>
    </row>
    <row r="1142" spans="3:25" ht="15.7">
      <c r="D1142" s="4267" t="str">
        <f>T('2 REPAIR ESTIMATOR'!D977:O977)</f>
        <v/>
      </c>
      <c r="E1142" s="4268"/>
      <c r="F1142" s="4268"/>
      <c r="G1142" s="4268"/>
      <c r="H1142" s="4268"/>
      <c r="I1142" s="4268"/>
      <c r="J1142" s="4268"/>
      <c r="K1142" s="4268"/>
      <c r="L1142" s="4269">
        <f>'2 REPAIR ESTIMATOR'!P977</f>
        <v>0</v>
      </c>
      <c r="M1142" s="4269"/>
      <c r="N1142" s="4270" t="str">
        <f>T('2 REPAIR ESTIMATOR'!S977)</f>
        <v/>
      </c>
      <c r="O1142" s="4270"/>
      <c r="P1142" s="4271"/>
      <c r="Q1142" s="4271"/>
      <c r="R1142" s="4271"/>
      <c r="S1142" s="4271"/>
      <c r="T1142" s="4271"/>
      <c r="U1142" s="4271"/>
      <c r="V1142" s="4272"/>
      <c r="W1142" s="12">
        <f t="shared" si="76"/>
        <v>1</v>
      </c>
      <c r="X1142" s="12">
        <f t="shared" si="78"/>
        <v>1</v>
      </c>
      <c r="Y1142" s="12">
        <f t="shared" si="77"/>
        <v>1</v>
      </c>
    </row>
    <row r="1143" spans="3:25" ht="15.7">
      <c r="D1143" s="4267" t="str">
        <f>T('2 REPAIR ESTIMATOR'!D978:O978)</f>
        <v/>
      </c>
      <c r="E1143" s="4268"/>
      <c r="F1143" s="4268"/>
      <c r="G1143" s="4268"/>
      <c r="H1143" s="4268"/>
      <c r="I1143" s="4268"/>
      <c r="J1143" s="4268"/>
      <c r="K1143" s="4268"/>
      <c r="L1143" s="4269">
        <f>'2 REPAIR ESTIMATOR'!P978</f>
        <v>0</v>
      </c>
      <c r="M1143" s="4269"/>
      <c r="N1143" s="4270" t="str">
        <f>T('2 REPAIR ESTIMATOR'!S978)</f>
        <v/>
      </c>
      <c r="O1143" s="4270"/>
      <c r="P1143" s="4271"/>
      <c r="Q1143" s="4271"/>
      <c r="R1143" s="4271"/>
      <c r="S1143" s="4271"/>
      <c r="T1143" s="4271"/>
      <c r="U1143" s="4271"/>
      <c r="V1143" s="4272"/>
      <c r="W1143" s="12">
        <f t="shared" si="76"/>
        <v>1</v>
      </c>
      <c r="X1143" s="12">
        <f t="shared" si="78"/>
        <v>1</v>
      </c>
      <c r="Y1143" s="12">
        <f t="shared" si="77"/>
        <v>1</v>
      </c>
    </row>
    <row r="1144" spans="3:25" ht="15.7">
      <c r="D1144" s="4267" t="str">
        <f>T('2 REPAIR ESTIMATOR'!D979:O979)</f>
        <v/>
      </c>
      <c r="E1144" s="4268"/>
      <c r="F1144" s="4268"/>
      <c r="G1144" s="4268"/>
      <c r="H1144" s="4268"/>
      <c r="I1144" s="4268"/>
      <c r="J1144" s="4268"/>
      <c r="K1144" s="4268"/>
      <c r="L1144" s="4269">
        <f>'2 REPAIR ESTIMATOR'!P979</f>
        <v>0</v>
      </c>
      <c r="M1144" s="4269"/>
      <c r="N1144" s="4270" t="str">
        <f>T('2 REPAIR ESTIMATOR'!S979)</f>
        <v/>
      </c>
      <c r="O1144" s="4270"/>
      <c r="P1144" s="4271"/>
      <c r="Q1144" s="4271"/>
      <c r="R1144" s="4271"/>
      <c r="S1144" s="4271"/>
      <c r="T1144" s="4271"/>
      <c r="U1144" s="4271"/>
      <c r="V1144" s="4272"/>
      <c r="W1144" s="12">
        <f t="shared" si="76"/>
        <v>1</v>
      </c>
      <c r="X1144" s="12">
        <f t="shared" si="78"/>
        <v>1</v>
      </c>
      <c r="Y1144" s="12">
        <f t="shared" si="77"/>
        <v>1</v>
      </c>
    </row>
    <row r="1145" spans="3:25" ht="15.7">
      <c r="D1145" s="4267" t="str">
        <f>T('2 REPAIR ESTIMATOR'!D980:O980)</f>
        <v/>
      </c>
      <c r="E1145" s="4268"/>
      <c r="F1145" s="4268"/>
      <c r="G1145" s="4268"/>
      <c r="H1145" s="4268"/>
      <c r="I1145" s="4268"/>
      <c r="J1145" s="4268"/>
      <c r="K1145" s="4268"/>
      <c r="L1145" s="4269">
        <f>'2 REPAIR ESTIMATOR'!P980</f>
        <v>0</v>
      </c>
      <c r="M1145" s="4269"/>
      <c r="N1145" s="4270" t="str">
        <f>T('2 REPAIR ESTIMATOR'!S980)</f>
        <v/>
      </c>
      <c r="O1145" s="4270"/>
      <c r="P1145" s="4271"/>
      <c r="Q1145" s="4271"/>
      <c r="R1145" s="4271"/>
      <c r="S1145" s="4271"/>
      <c r="T1145" s="4271"/>
      <c r="U1145" s="4271"/>
      <c r="V1145" s="4272"/>
      <c r="W1145" s="12">
        <f t="shared" si="76"/>
        <v>1</v>
      </c>
      <c r="X1145" s="12">
        <f t="shared" si="78"/>
        <v>1</v>
      </c>
      <c r="Y1145" s="12">
        <f t="shared" si="77"/>
        <v>1</v>
      </c>
    </row>
    <row r="1146" spans="3:25" ht="15.7">
      <c r="D1146" s="4267" t="str">
        <f>T('2 REPAIR ESTIMATOR'!D981:O981)</f>
        <v/>
      </c>
      <c r="E1146" s="4268"/>
      <c r="F1146" s="4268"/>
      <c r="G1146" s="4268"/>
      <c r="H1146" s="4268"/>
      <c r="I1146" s="4268"/>
      <c r="J1146" s="4268"/>
      <c r="K1146" s="4268"/>
      <c r="L1146" s="4269">
        <f>'2 REPAIR ESTIMATOR'!P981</f>
        <v>0</v>
      </c>
      <c r="M1146" s="4269"/>
      <c r="N1146" s="4270" t="str">
        <f>T('2 REPAIR ESTIMATOR'!S981)</f>
        <v/>
      </c>
      <c r="O1146" s="4270"/>
      <c r="P1146" s="4271"/>
      <c r="Q1146" s="4271"/>
      <c r="R1146" s="4271"/>
      <c r="S1146" s="4271"/>
      <c r="T1146" s="4271"/>
      <c r="U1146" s="4271"/>
      <c r="V1146" s="4272"/>
      <c r="W1146" s="12">
        <f t="shared" si="76"/>
        <v>1</v>
      </c>
      <c r="X1146" s="12">
        <f t="shared" si="78"/>
        <v>1</v>
      </c>
      <c r="Y1146" s="12">
        <f t="shared" si="77"/>
        <v>1</v>
      </c>
    </row>
    <row r="1147" spans="3:25" ht="15.7">
      <c r="D1147" s="4267" t="str">
        <f>T('2 REPAIR ESTIMATOR'!D982:O982)</f>
        <v/>
      </c>
      <c r="E1147" s="4268"/>
      <c r="F1147" s="4268"/>
      <c r="G1147" s="4268"/>
      <c r="H1147" s="4268"/>
      <c r="I1147" s="4268"/>
      <c r="J1147" s="4268"/>
      <c r="K1147" s="4268"/>
      <c r="L1147" s="4269">
        <f>'2 REPAIR ESTIMATOR'!P982</f>
        <v>0</v>
      </c>
      <c r="M1147" s="4269"/>
      <c r="N1147" s="4270" t="str">
        <f>T('2 REPAIR ESTIMATOR'!S982)</f>
        <v/>
      </c>
      <c r="O1147" s="4270"/>
      <c r="P1147" s="4271"/>
      <c r="Q1147" s="4271"/>
      <c r="R1147" s="4271"/>
      <c r="S1147" s="4271"/>
      <c r="T1147" s="4271"/>
      <c r="U1147" s="4271"/>
      <c r="V1147" s="4272"/>
      <c r="W1147" s="12">
        <f t="shared" si="76"/>
        <v>1</v>
      </c>
      <c r="X1147" s="12">
        <f t="shared" si="78"/>
        <v>1</v>
      </c>
      <c r="Y1147" s="12">
        <f t="shared" si="77"/>
        <v>1</v>
      </c>
    </row>
    <row r="1148" spans="3:25" ht="15.7">
      <c r="C1148" s="6"/>
      <c r="D1148" s="723"/>
      <c r="E1148" s="723"/>
      <c r="F1148" s="723"/>
      <c r="G1148" s="723"/>
      <c r="H1148" s="723"/>
      <c r="I1148" s="723"/>
      <c r="J1148" s="723"/>
      <c r="K1148" s="723"/>
      <c r="L1148" s="724"/>
      <c r="M1148" s="724"/>
      <c r="N1148" s="725"/>
      <c r="O1148" s="725"/>
      <c r="P1148" s="724"/>
      <c r="Q1148" s="445"/>
      <c r="R1148" s="445"/>
      <c r="S1148" s="725"/>
      <c r="T1148" s="725"/>
      <c r="U1148" s="725"/>
      <c r="V1148" s="725"/>
      <c r="W1148" s="12">
        <f>W1149</f>
        <v>0</v>
      </c>
      <c r="X1148" s="12">
        <f t="shared" si="78"/>
        <v>1</v>
      </c>
      <c r="Y1148" s="12">
        <f t="shared" si="77"/>
        <v>0</v>
      </c>
    </row>
    <row r="1149" spans="3:25" ht="16.7">
      <c r="C1149" s="6"/>
      <c r="D1149" s="4266" t="str">
        <f>UPPER(CONCATENATE("Miscellaneous ",D1107," Items"))</f>
        <v>MISCELLANEOUS APPLIANCES ITEMS</v>
      </c>
      <c r="E1149" s="4266"/>
      <c r="F1149" s="4266"/>
      <c r="G1149" s="4266"/>
      <c r="H1149" s="4266"/>
      <c r="I1149" s="4266"/>
      <c r="J1149" s="4266"/>
      <c r="K1149" s="4266"/>
      <c r="L1149" s="4266"/>
      <c r="M1149" s="4266"/>
      <c r="N1149" s="4266"/>
      <c r="O1149" s="4266"/>
      <c r="P1149" s="4266"/>
      <c r="Q1149" s="4266"/>
      <c r="R1149" s="4266"/>
      <c r="S1149" s="4266"/>
      <c r="T1149" s="4266"/>
      <c r="U1149" s="4266"/>
      <c r="V1149" s="4266"/>
      <c r="W1149" s="12">
        <f>SUM(W1150:W1159)</f>
        <v>0</v>
      </c>
      <c r="X1149" s="12">
        <f t="shared" si="78"/>
        <v>1</v>
      </c>
      <c r="Y1149" s="12">
        <f t="shared" si="77"/>
        <v>0</v>
      </c>
    </row>
    <row r="1150" spans="3:25" ht="15.7">
      <c r="C1150" s="6"/>
      <c r="D1150" s="712">
        <v>1</v>
      </c>
      <c r="E1150" s="4263" t="s">
        <v>1499</v>
      </c>
      <c r="F1150" s="4263"/>
      <c r="G1150" s="4263"/>
      <c r="H1150" s="4263"/>
      <c r="I1150" s="4263"/>
      <c r="J1150" s="4263"/>
      <c r="K1150" s="4263"/>
      <c r="L1150" s="4263"/>
      <c r="M1150" s="4263"/>
      <c r="N1150" s="4263"/>
      <c r="O1150" s="4263"/>
      <c r="P1150" s="4263"/>
      <c r="Q1150" s="4263"/>
      <c r="R1150" s="4263"/>
      <c r="S1150" s="4263"/>
      <c r="T1150" s="4263"/>
      <c r="U1150" s="4263"/>
      <c r="V1150" s="4263"/>
      <c r="W1150" s="12">
        <f>IF(E1150&lt;&gt;"",1,0)*W1107</f>
        <v>0</v>
      </c>
      <c r="X1150" s="12">
        <f t="shared" si="78"/>
        <v>1</v>
      </c>
      <c r="Y1150" s="12">
        <f t="shared" si="77"/>
        <v>0</v>
      </c>
    </row>
    <row r="1151" spans="3:25" ht="15.7">
      <c r="C1151" s="6"/>
      <c r="D1151" s="712">
        <v>2</v>
      </c>
      <c r="E1151" s="4263" t="s">
        <v>1500</v>
      </c>
      <c r="F1151" s="4263"/>
      <c r="G1151" s="4263"/>
      <c r="H1151" s="4263"/>
      <c r="I1151" s="4263"/>
      <c r="J1151" s="4263"/>
      <c r="K1151" s="4263"/>
      <c r="L1151" s="4263"/>
      <c r="M1151" s="4263"/>
      <c r="N1151" s="4263"/>
      <c r="O1151" s="4263"/>
      <c r="P1151" s="4263"/>
      <c r="Q1151" s="4263"/>
      <c r="R1151" s="4263"/>
      <c r="S1151" s="4263"/>
      <c r="T1151" s="4263"/>
      <c r="U1151" s="4263"/>
      <c r="V1151" s="4263"/>
      <c r="W1151" s="12">
        <f>IF(E1151&lt;&gt;"",1,0)*W1107</f>
        <v>0</v>
      </c>
      <c r="X1151" s="12">
        <f t="shared" si="78"/>
        <v>1</v>
      </c>
      <c r="Y1151" s="12">
        <f t="shared" si="77"/>
        <v>0</v>
      </c>
    </row>
    <row r="1152" spans="3:25" ht="15.7">
      <c r="C1152" s="6"/>
      <c r="D1152" s="712">
        <v>3</v>
      </c>
      <c r="E1152" s="4263" t="s">
        <v>1501</v>
      </c>
      <c r="F1152" s="4263"/>
      <c r="G1152" s="4263"/>
      <c r="H1152" s="4263"/>
      <c r="I1152" s="4263"/>
      <c r="J1152" s="4263"/>
      <c r="K1152" s="4263"/>
      <c r="L1152" s="4263"/>
      <c r="M1152" s="4263"/>
      <c r="N1152" s="4263"/>
      <c r="O1152" s="4263"/>
      <c r="P1152" s="4263"/>
      <c r="Q1152" s="4263"/>
      <c r="R1152" s="4263"/>
      <c r="S1152" s="4263"/>
      <c r="T1152" s="4263"/>
      <c r="U1152" s="4263"/>
      <c r="V1152" s="4263"/>
      <c r="W1152" s="12">
        <f>IF(E1152&lt;&gt;"",1,0)*W1107</f>
        <v>0</v>
      </c>
      <c r="X1152" s="12">
        <f t="shared" si="78"/>
        <v>1</v>
      </c>
      <c r="Y1152" s="12">
        <f t="shared" si="77"/>
        <v>0</v>
      </c>
    </row>
    <row r="1153" spans="3:25" ht="15.7">
      <c r="C1153" s="6"/>
      <c r="D1153" s="712">
        <v>4</v>
      </c>
      <c r="E1153" s="4263"/>
      <c r="F1153" s="4263"/>
      <c r="G1153" s="4263"/>
      <c r="H1153" s="4263"/>
      <c r="I1153" s="4263"/>
      <c r="J1153" s="4263"/>
      <c r="K1153" s="4263"/>
      <c r="L1153" s="4263"/>
      <c r="M1153" s="4263"/>
      <c r="N1153" s="4263"/>
      <c r="O1153" s="4263"/>
      <c r="P1153" s="4263"/>
      <c r="Q1153" s="4263"/>
      <c r="R1153" s="4263"/>
      <c r="S1153" s="4263"/>
      <c r="T1153" s="4263"/>
      <c r="U1153" s="4263"/>
      <c r="V1153" s="4263"/>
      <c r="W1153" s="12">
        <f>IF(E1153&lt;&gt;"",1,0)*W1107</f>
        <v>0</v>
      </c>
      <c r="X1153" s="12">
        <f t="shared" si="78"/>
        <v>1</v>
      </c>
      <c r="Y1153" s="12">
        <f t="shared" si="77"/>
        <v>0</v>
      </c>
    </row>
    <row r="1154" spans="3:25" ht="15.7">
      <c r="C1154" s="6"/>
      <c r="D1154" s="712">
        <v>5</v>
      </c>
      <c r="E1154" s="4263"/>
      <c r="F1154" s="4263"/>
      <c r="G1154" s="4263"/>
      <c r="H1154" s="4263"/>
      <c r="I1154" s="4263"/>
      <c r="J1154" s="4263"/>
      <c r="K1154" s="4263"/>
      <c r="L1154" s="4263"/>
      <c r="M1154" s="4263"/>
      <c r="N1154" s="4263"/>
      <c r="O1154" s="4263"/>
      <c r="P1154" s="4263"/>
      <c r="Q1154" s="4263"/>
      <c r="R1154" s="4263"/>
      <c r="S1154" s="4263"/>
      <c r="T1154" s="4263"/>
      <c r="U1154" s="4263"/>
      <c r="V1154" s="4263"/>
      <c r="W1154" s="12">
        <f>IF(E1154&lt;&gt;"",1,0)*W1107</f>
        <v>0</v>
      </c>
      <c r="X1154" s="12">
        <f t="shared" si="78"/>
        <v>1</v>
      </c>
      <c r="Y1154" s="12">
        <f t="shared" si="77"/>
        <v>0</v>
      </c>
    </row>
    <row r="1155" spans="3:25" ht="15.7">
      <c r="C1155" s="6"/>
      <c r="D1155" s="712">
        <v>6</v>
      </c>
      <c r="E1155" s="4263"/>
      <c r="F1155" s="4263"/>
      <c r="G1155" s="4263"/>
      <c r="H1155" s="4263"/>
      <c r="I1155" s="4263"/>
      <c r="J1155" s="4263"/>
      <c r="K1155" s="4263"/>
      <c r="L1155" s="4263"/>
      <c r="M1155" s="4263"/>
      <c r="N1155" s="4263"/>
      <c r="O1155" s="4263"/>
      <c r="P1155" s="4263"/>
      <c r="Q1155" s="4263"/>
      <c r="R1155" s="4263"/>
      <c r="S1155" s="4263"/>
      <c r="T1155" s="4263"/>
      <c r="U1155" s="4263"/>
      <c r="V1155" s="4263"/>
      <c r="W1155" s="12">
        <f>IF(E1155&lt;&gt;"",1,0)*W1107</f>
        <v>0</v>
      </c>
      <c r="X1155" s="12">
        <f t="shared" si="78"/>
        <v>1</v>
      </c>
      <c r="Y1155" s="12">
        <f t="shared" si="77"/>
        <v>0</v>
      </c>
    </row>
    <row r="1156" spans="3:25" ht="15.7">
      <c r="C1156" s="6"/>
      <c r="D1156" s="712">
        <v>7</v>
      </c>
      <c r="E1156" s="4263"/>
      <c r="F1156" s="4263"/>
      <c r="G1156" s="4263"/>
      <c r="H1156" s="4263"/>
      <c r="I1156" s="4263"/>
      <c r="J1156" s="4263"/>
      <c r="K1156" s="4263"/>
      <c r="L1156" s="4263"/>
      <c r="M1156" s="4263"/>
      <c r="N1156" s="4263"/>
      <c r="O1156" s="4263"/>
      <c r="P1156" s="4263"/>
      <c r="Q1156" s="4263"/>
      <c r="R1156" s="4263"/>
      <c r="S1156" s="4263"/>
      <c r="T1156" s="4263"/>
      <c r="U1156" s="4263"/>
      <c r="V1156" s="4263"/>
      <c r="W1156" s="12">
        <f>IF(E1156&lt;&gt;"",1,0)*W1107</f>
        <v>0</v>
      </c>
      <c r="X1156" s="12">
        <f t="shared" si="78"/>
        <v>1</v>
      </c>
      <c r="Y1156" s="12">
        <f t="shared" si="77"/>
        <v>0</v>
      </c>
    </row>
    <row r="1157" spans="3:25" ht="15.7">
      <c r="C1157" s="6"/>
      <c r="D1157" s="712">
        <v>8</v>
      </c>
      <c r="E1157" s="4263"/>
      <c r="F1157" s="4263"/>
      <c r="G1157" s="4263"/>
      <c r="H1157" s="4263"/>
      <c r="I1157" s="4263"/>
      <c r="J1157" s="4263"/>
      <c r="K1157" s="4263"/>
      <c r="L1157" s="4263"/>
      <c r="M1157" s="4263"/>
      <c r="N1157" s="4263"/>
      <c r="O1157" s="4263"/>
      <c r="P1157" s="4263"/>
      <c r="Q1157" s="4263"/>
      <c r="R1157" s="4263"/>
      <c r="S1157" s="4263"/>
      <c r="T1157" s="4263"/>
      <c r="U1157" s="4263"/>
      <c r="V1157" s="4263"/>
      <c r="W1157" s="12">
        <f>IF(E1157&lt;&gt;"",1,0)*W1107</f>
        <v>0</v>
      </c>
      <c r="X1157" s="12">
        <f t="shared" si="78"/>
        <v>1</v>
      </c>
      <c r="Y1157" s="12">
        <f t="shared" si="77"/>
        <v>0</v>
      </c>
    </row>
    <row r="1158" spans="3:25" ht="15.7">
      <c r="C1158" s="6"/>
      <c r="D1158" s="712">
        <v>9</v>
      </c>
      <c r="E1158" s="4263"/>
      <c r="F1158" s="4263"/>
      <c r="G1158" s="4263"/>
      <c r="H1158" s="4263"/>
      <c r="I1158" s="4263"/>
      <c r="J1158" s="4263"/>
      <c r="K1158" s="4263"/>
      <c r="L1158" s="4263"/>
      <c r="M1158" s="4263"/>
      <c r="N1158" s="4263"/>
      <c r="O1158" s="4263"/>
      <c r="P1158" s="4263"/>
      <c r="Q1158" s="4263"/>
      <c r="R1158" s="4263"/>
      <c r="S1158" s="4263"/>
      <c r="T1158" s="4263"/>
      <c r="U1158" s="4263"/>
      <c r="V1158" s="4263"/>
      <c r="W1158" s="12">
        <f>IF(E1158&lt;&gt;"",1,0)*W1107</f>
        <v>0</v>
      </c>
      <c r="X1158" s="12">
        <f t="shared" si="78"/>
        <v>1</v>
      </c>
      <c r="Y1158" s="12">
        <f t="shared" si="77"/>
        <v>0</v>
      </c>
    </row>
    <row r="1159" spans="3:25" ht="15.7">
      <c r="C1159" s="6"/>
      <c r="D1159" s="712">
        <v>10</v>
      </c>
      <c r="E1159" s="4263"/>
      <c r="F1159" s="4263"/>
      <c r="G1159" s="4263"/>
      <c r="H1159" s="4263"/>
      <c r="I1159" s="4263"/>
      <c r="J1159" s="4263"/>
      <c r="K1159" s="4263"/>
      <c r="L1159" s="4263"/>
      <c r="M1159" s="4263"/>
      <c r="N1159" s="4263"/>
      <c r="O1159" s="4263"/>
      <c r="P1159" s="4263"/>
      <c r="Q1159" s="4263"/>
      <c r="R1159" s="4263"/>
      <c r="S1159" s="4263"/>
      <c r="T1159" s="4263"/>
      <c r="U1159" s="4263"/>
      <c r="V1159" s="4263"/>
      <c r="W1159" s="12">
        <f>IF(E1159&lt;&gt;"",1,0)*W1107</f>
        <v>0</v>
      </c>
      <c r="X1159" s="12">
        <f t="shared" si="78"/>
        <v>1</v>
      </c>
      <c r="Y1159" s="12">
        <f t="shared" si="77"/>
        <v>0</v>
      </c>
    </row>
    <row r="1160" spans="3:25" ht="15.7">
      <c r="C1160" s="6"/>
      <c r="D1160" s="723"/>
      <c r="E1160" s="723"/>
      <c r="F1160" s="723"/>
      <c r="G1160" s="723"/>
      <c r="H1160" s="723"/>
      <c r="I1160" s="723"/>
      <c r="J1160" s="723"/>
      <c r="K1160" s="723"/>
      <c r="L1160" s="724"/>
      <c r="M1160" s="724"/>
      <c r="N1160" s="725"/>
      <c r="O1160" s="725"/>
      <c r="P1160" s="724"/>
      <c r="Q1160" s="445"/>
      <c r="R1160" s="445"/>
      <c r="S1160" s="726"/>
      <c r="T1160" s="726"/>
      <c r="U1160" s="726"/>
      <c r="V1160" s="726"/>
      <c r="W1160" s="12">
        <f>W1107</f>
        <v>0</v>
      </c>
      <c r="X1160" s="12">
        <f t="shared" si="78"/>
        <v>1</v>
      </c>
      <c r="Y1160" s="12">
        <f t="shared" si="77"/>
        <v>0</v>
      </c>
    </row>
    <row r="1161" spans="3:25" ht="40.5" customHeight="1">
      <c r="C1161" s="6"/>
      <c r="D1161" s="4264" t="str">
        <f>UPPER(CONCATENATE("TOTAL ",D1107))</f>
        <v>TOTAL APPLIANCES</v>
      </c>
      <c r="E1161" s="4264"/>
      <c r="F1161" s="4264"/>
      <c r="G1161" s="4264"/>
      <c r="H1161" s="4264"/>
      <c r="I1161" s="4264"/>
      <c r="J1161" s="4264"/>
      <c r="K1161" s="4264"/>
      <c r="L1161" s="4264"/>
      <c r="M1161" s="4264"/>
      <c r="N1161" s="4264"/>
      <c r="O1161" s="4264"/>
      <c r="P1161" s="4264"/>
      <c r="Q1161" s="4265"/>
      <c r="R1161" s="4265"/>
      <c r="S1161" s="4265"/>
      <c r="T1161" s="4265"/>
      <c r="U1161" s="4265"/>
      <c r="V1161" s="4265"/>
      <c r="W1161" s="12">
        <f>W1107</f>
        <v>0</v>
      </c>
      <c r="X1161" s="12">
        <f t="shared" si="78"/>
        <v>1</v>
      </c>
      <c r="Y1161" s="12">
        <f t="shared" si="77"/>
        <v>0</v>
      </c>
    </row>
    <row r="1162" spans="3:25" ht="15.7">
      <c r="D1162" s="723"/>
      <c r="E1162" s="723"/>
      <c r="F1162" s="723"/>
      <c r="G1162" s="723"/>
      <c r="H1162" s="723"/>
      <c r="I1162" s="723"/>
      <c r="J1162" s="723"/>
      <c r="K1162" s="723"/>
      <c r="L1162" s="724"/>
      <c r="M1162" s="724"/>
      <c r="N1162" s="725"/>
      <c r="O1162" s="725"/>
      <c r="P1162" s="724"/>
      <c r="Q1162" s="445"/>
      <c r="R1162" s="445"/>
      <c r="S1162" s="726"/>
      <c r="T1162" s="726"/>
      <c r="U1162" s="726"/>
      <c r="V1162" s="726"/>
      <c r="W1162" s="12">
        <f>W1107</f>
        <v>0</v>
      </c>
      <c r="X1162" s="12">
        <f t="shared" si="78"/>
        <v>1</v>
      </c>
      <c r="Y1162" s="12">
        <f t="shared" si="77"/>
        <v>0</v>
      </c>
    </row>
    <row r="1163" spans="3:25" ht="26.45" customHeight="1">
      <c r="D1163" s="4275" t="str">
        <f>T('2 REPAIR ESTIMATOR'!D987:O987)</f>
        <v>PLUMBING</v>
      </c>
      <c r="E1163" s="4275"/>
      <c r="F1163" s="4275"/>
      <c r="G1163" s="4275"/>
      <c r="H1163" s="4275"/>
      <c r="I1163" s="4275"/>
      <c r="J1163" s="4275"/>
      <c r="K1163" s="4276"/>
      <c r="L1163" s="4277">
        <f>SUM(L1164:M1203)</f>
        <v>0</v>
      </c>
      <c r="M1163" s="4278"/>
      <c r="N1163" s="4279"/>
      <c r="O1163" s="4280"/>
      <c r="P1163" s="4277"/>
      <c r="Q1163" s="4281"/>
      <c r="R1163" s="4281"/>
      <c r="S1163" s="4281"/>
      <c r="T1163" s="4281"/>
      <c r="U1163" s="4281"/>
      <c r="V1163" s="4281"/>
      <c r="W1163" s="12">
        <f>IF(L1163&gt;0,1,0)</f>
        <v>0</v>
      </c>
      <c r="X1163" s="12">
        <f t="shared" ref="X1163:X1194" si="79">IF(Scope21_Setting="Shown",1,0)</f>
        <v>1</v>
      </c>
      <c r="Y1163" s="12">
        <f t="shared" si="77"/>
        <v>0</v>
      </c>
    </row>
    <row r="1164" spans="3:25" ht="15.7">
      <c r="D1164" s="4267" t="str">
        <f>T('2 REPAIR ESTIMATOR'!D988:O988)</f>
        <v>Plumbing, bid/allowance</v>
      </c>
      <c r="E1164" s="4268"/>
      <c r="F1164" s="4268"/>
      <c r="G1164" s="4268"/>
      <c r="H1164" s="4268"/>
      <c r="I1164" s="4268"/>
      <c r="J1164" s="4268"/>
      <c r="K1164" s="4268"/>
      <c r="L1164" s="4269">
        <f>'2 REPAIR ESTIMATOR'!P988</f>
        <v>0</v>
      </c>
      <c r="M1164" s="4269"/>
      <c r="N1164" s="4270" t="str">
        <f>T('2 REPAIR ESTIMATOR'!S988)</f>
        <v>ls</v>
      </c>
      <c r="O1164" s="4270"/>
      <c r="P1164" s="4273"/>
      <c r="Q1164" s="4273"/>
      <c r="R1164" s="4273"/>
      <c r="S1164" s="4273"/>
      <c r="T1164" s="4273"/>
      <c r="U1164" s="4273"/>
      <c r="V1164" s="4274"/>
      <c r="W1164" s="12">
        <f>IF(L1164="",0,1)</f>
        <v>1</v>
      </c>
      <c r="X1164" s="12">
        <f t="shared" si="79"/>
        <v>1</v>
      </c>
      <c r="Y1164" s="12">
        <f t="shared" si="77"/>
        <v>1</v>
      </c>
    </row>
    <row r="1165" spans="3:25" ht="15.7">
      <c r="D1165" s="4267" t="str">
        <f>T('2 REPAIR ESTIMATOR'!D989:O989)</f>
        <v>Miscellaneous Plumbing</v>
      </c>
      <c r="E1165" s="4268"/>
      <c r="F1165" s="4268"/>
      <c r="G1165" s="4268"/>
      <c r="H1165" s="4268"/>
      <c r="I1165" s="4268"/>
      <c r="J1165" s="4268"/>
      <c r="K1165" s="4268"/>
      <c r="L1165" s="4269">
        <f>'2 REPAIR ESTIMATOR'!P989</f>
        <v>0</v>
      </c>
      <c r="M1165" s="4269"/>
      <c r="N1165" s="4270" t="str">
        <f>T('2 REPAIR ESTIMATOR'!S989)</f>
        <v>ls</v>
      </c>
      <c r="O1165" s="4270"/>
      <c r="P1165" s="4271"/>
      <c r="Q1165" s="4271"/>
      <c r="R1165" s="4271"/>
      <c r="S1165" s="4271"/>
      <c r="T1165" s="4271"/>
      <c r="U1165" s="4271"/>
      <c r="V1165" s="4272"/>
      <c r="W1165" s="12">
        <f t="shared" ref="W1165:W1203" si="80">IF(L1165="",0,1)</f>
        <v>1</v>
      </c>
      <c r="X1165" s="12">
        <f t="shared" si="79"/>
        <v>1</v>
      </c>
      <c r="Y1165" s="12">
        <f t="shared" si="77"/>
        <v>1</v>
      </c>
    </row>
    <row r="1166" spans="3:25" ht="15.7">
      <c r="D1166" s="4267" t="str">
        <f>T('2 REPAIR ESTIMATOR'!D990:O990)</f>
        <v>Plumbing rough-in, per hour</v>
      </c>
      <c r="E1166" s="4268"/>
      <c r="F1166" s="4268"/>
      <c r="G1166" s="4268"/>
      <c r="H1166" s="4268"/>
      <c r="I1166" s="4268"/>
      <c r="J1166" s="4268"/>
      <c r="K1166" s="4268"/>
      <c r="L1166" s="4269">
        <f>'2 REPAIR ESTIMATOR'!P990</f>
        <v>0</v>
      </c>
      <c r="M1166" s="4269"/>
      <c r="N1166" s="4270" t="str">
        <f>T('2 REPAIR ESTIMATOR'!S990)</f>
        <v>hrs</v>
      </c>
      <c r="O1166" s="4270"/>
      <c r="P1166" s="4271"/>
      <c r="Q1166" s="4271"/>
      <c r="R1166" s="4271"/>
      <c r="S1166" s="4271"/>
      <c r="T1166" s="4271"/>
      <c r="U1166" s="4271"/>
      <c r="V1166" s="4272"/>
      <c r="W1166" s="12">
        <f t="shared" si="80"/>
        <v>1</v>
      </c>
      <c r="X1166" s="12">
        <f t="shared" si="79"/>
        <v>1</v>
      </c>
      <c r="Y1166" s="12">
        <f t="shared" si="77"/>
        <v>1</v>
      </c>
    </row>
    <row r="1167" spans="3:25" ht="15.7">
      <c r="D1167" s="4267" t="str">
        <f>T('2 REPAIR ESTIMATOR'!D991:O991)</f>
        <v>Concrete demo for below slab rough-in</v>
      </c>
      <c r="E1167" s="4268"/>
      <c r="F1167" s="4268"/>
      <c r="G1167" s="4268"/>
      <c r="H1167" s="4268"/>
      <c r="I1167" s="4268"/>
      <c r="J1167" s="4268"/>
      <c r="K1167" s="4268"/>
      <c r="L1167" s="4269">
        <f>'2 REPAIR ESTIMATOR'!P991</f>
        <v>0</v>
      </c>
      <c r="M1167" s="4269"/>
      <c r="N1167" s="4270" t="str">
        <f>T('2 REPAIR ESTIMATOR'!S991)</f>
        <v>sf</v>
      </c>
      <c r="O1167" s="4270"/>
      <c r="P1167" s="4271" t="s">
        <v>1519</v>
      </c>
      <c r="Q1167" s="4271"/>
      <c r="R1167" s="4271"/>
      <c r="S1167" s="4271"/>
      <c r="T1167" s="4271"/>
      <c r="U1167" s="4271"/>
      <c r="V1167" s="4272"/>
      <c r="W1167" s="12">
        <f t="shared" si="80"/>
        <v>1</v>
      </c>
      <c r="X1167" s="12">
        <f t="shared" si="79"/>
        <v>1</v>
      </c>
      <c r="Y1167" s="12">
        <f t="shared" si="77"/>
        <v>1</v>
      </c>
    </row>
    <row r="1168" spans="3:25" ht="15.7">
      <c r="D1168" s="4267" t="str">
        <f>T('2 REPAIR ESTIMATOR'!D992:O992)</f>
        <v>Plumbing finish work, per hour</v>
      </c>
      <c r="E1168" s="4268"/>
      <c r="F1168" s="4268"/>
      <c r="G1168" s="4268"/>
      <c r="H1168" s="4268"/>
      <c r="I1168" s="4268"/>
      <c r="J1168" s="4268"/>
      <c r="K1168" s="4268"/>
      <c r="L1168" s="4269">
        <f>'2 REPAIR ESTIMATOR'!P992</f>
        <v>0</v>
      </c>
      <c r="M1168" s="4269"/>
      <c r="N1168" s="4270" t="str">
        <f>T('2 REPAIR ESTIMATOR'!S992)</f>
        <v>hrs</v>
      </c>
      <c r="O1168" s="4270"/>
      <c r="P1168" s="4271" t="s">
        <v>1519</v>
      </c>
      <c r="Q1168" s="4271"/>
      <c r="R1168" s="4271"/>
      <c r="S1168" s="4271"/>
      <c r="T1168" s="4271"/>
      <c r="U1168" s="4271"/>
      <c r="V1168" s="4272"/>
      <c r="W1168" s="12">
        <f t="shared" si="80"/>
        <v>1</v>
      </c>
      <c r="X1168" s="12">
        <f t="shared" si="79"/>
        <v>1</v>
      </c>
      <c r="Y1168" s="12">
        <f t="shared" si="77"/>
        <v>1</v>
      </c>
    </row>
    <row r="1169" spans="4:25" ht="15.7">
      <c r="D1169" s="4267" t="str">
        <f>T('2 REPAIR ESTIMATOR'!D993:O993)</f>
        <v>Replace gas hot water heater, 40 gallon</v>
      </c>
      <c r="E1169" s="4268"/>
      <c r="F1169" s="4268"/>
      <c r="G1169" s="4268"/>
      <c r="H1169" s="4268"/>
      <c r="I1169" s="4268"/>
      <c r="J1169" s="4268"/>
      <c r="K1169" s="4268"/>
      <c r="L1169" s="4269">
        <f>'2 REPAIR ESTIMATOR'!P993</f>
        <v>0</v>
      </c>
      <c r="M1169" s="4269"/>
      <c r="N1169" s="4270" t="str">
        <f>T('2 REPAIR ESTIMATOR'!S993)</f>
        <v>ea</v>
      </c>
      <c r="O1169" s="4270"/>
      <c r="P1169" s="4271" t="s">
        <v>1519</v>
      </c>
      <c r="Q1169" s="4271"/>
      <c r="R1169" s="4271"/>
      <c r="S1169" s="4271"/>
      <c r="T1169" s="4271"/>
      <c r="U1169" s="4271"/>
      <c r="V1169" s="4272"/>
      <c r="W1169" s="12">
        <f t="shared" si="80"/>
        <v>1</v>
      </c>
      <c r="X1169" s="12">
        <f t="shared" si="79"/>
        <v>1</v>
      </c>
      <c r="Y1169" s="12">
        <f t="shared" si="77"/>
        <v>1</v>
      </c>
    </row>
    <row r="1170" spans="4:25" ht="15.7">
      <c r="D1170" s="4282" t="str">
        <f>T('2 REPAIR ESTIMATOR'!D994:O994)</f>
        <v>Kitchen</v>
      </c>
      <c r="E1170" s="4283"/>
      <c r="F1170" s="4283"/>
      <c r="G1170" s="4283"/>
      <c r="H1170" s="4283"/>
      <c r="I1170" s="4283"/>
      <c r="J1170" s="4283"/>
      <c r="K1170" s="4283"/>
      <c r="L1170" s="4269">
        <f>'2 REPAIR ESTIMATOR'!P994</f>
        <v>0</v>
      </c>
      <c r="M1170" s="4269"/>
      <c r="N1170" s="4270" t="str">
        <f>T('2 REPAIR ESTIMATOR'!S994)</f>
        <v/>
      </c>
      <c r="O1170" s="4270"/>
      <c r="P1170" s="4271"/>
      <c r="Q1170" s="4271"/>
      <c r="R1170" s="4271"/>
      <c r="S1170" s="4271"/>
      <c r="T1170" s="4271"/>
      <c r="U1170" s="4271"/>
      <c r="V1170" s="4272"/>
      <c r="W1170" s="12">
        <f t="shared" si="80"/>
        <v>1</v>
      </c>
      <c r="X1170" s="12">
        <f t="shared" si="79"/>
        <v>1</v>
      </c>
      <c r="Y1170" s="12">
        <f t="shared" si="77"/>
        <v>1</v>
      </c>
    </row>
    <row r="1171" spans="4:25" ht="15.7">
      <c r="D1171" s="4267" t="str">
        <f>T('2 REPAIR ESTIMATOR'!D995:O995)</f>
        <v>Kitchen faucet fixture</v>
      </c>
      <c r="E1171" s="4268"/>
      <c r="F1171" s="4268"/>
      <c r="G1171" s="4268"/>
      <c r="H1171" s="4268"/>
      <c r="I1171" s="4268"/>
      <c r="J1171" s="4268"/>
      <c r="K1171" s="4268"/>
      <c r="L1171" s="4269">
        <f>'2 REPAIR ESTIMATOR'!P995</f>
        <v>0</v>
      </c>
      <c r="M1171" s="4269"/>
      <c r="N1171" s="4270" t="str">
        <f>T('2 REPAIR ESTIMATOR'!S995)</f>
        <v>ea</v>
      </c>
      <c r="O1171" s="4270"/>
      <c r="P1171" s="4271" t="s">
        <v>1519</v>
      </c>
      <c r="Q1171" s="4271"/>
      <c r="R1171" s="4271"/>
      <c r="S1171" s="4271"/>
      <c r="T1171" s="4271"/>
      <c r="U1171" s="4271"/>
      <c r="V1171" s="4272"/>
      <c r="W1171" s="12">
        <f t="shared" si="80"/>
        <v>1</v>
      </c>
      <c r="X1171" s="12">
        <f t="shared" si="79"/>
        <v>1</v>
      </c>
      <c r="Y1171" s="12">
        <f t="shared" si="77"/>
        <v>1</v>
      </c>
    </row>
    <row r="1172" spans="4:25" ht="15.7">
      <c r="D1172" s="4267" t="str">
        <f>T('2 REPAIR ESTIMATOR'!D996:O996)</f>
        <v>Garbage disposal</v>
      </c>
      <c r="E1172" s="4268"/>
      <c r="F1172" s="4268"/>
      <c r="G1172" s="4268"/>
      <c r="H1172" s="4268"/>
      <c r="I1172" s="4268"/>
      <c r="J1172" s="4268"/>
      <c r="K1172" s="4268"/>
      <c r="L1172" s="4269">
        <f>'2 REPAIR ESTIMATOR'!P996</f>
        <v>0</v>
      </c>
      <c r="M1172" s="4269"/>
      <c r="N1172" s="4270" t="str">
        <f>T('2 REPAIR ESTIMATOR'!S996)</f>
        <v>ea</v>
      </c>
      <c r="O1172" s="4270"/>
      <c r="P1172" s="4271" t="s">
        <v>1519</v>
      </c>
      <c r="Q1172" s="4271"/>
      <c r="R1172" s="4271"/>
      <c r="S1172" s="4271"/>
      <c r="T1172" s="4271"/>
      <c r="U1172" s="4271"/>
      <c r="V1172" s="4272"/>
      <c r="W1172" s="12">
        <f t="shared" si="80"/>
        <v>1</v>
      </c>
      <c r="X1172" s="12">
        <f t="shared" si="79"/>
        <v>1</v>
      </c>
      <c r="Y1172" s="12">
        <f t="shared" si="77"/>
        <v>1</v>
      </c>
    </row>
    <row r="1173" spans="4:25" ht="15.7">
      <c r="D1173" s="4267" t="str">
        <f>T('2 REPAIR ESTIMATOR'!D997:O997)</f>
        <v>Hookup dishwasher</v>
      </c>
      <c r="E1173" s="4268"/>
      <c r="F1173" s="4268"/>
      <c r="G1173" s="4268"/>
      <c r="H1173" s="4268"/>
      <c r="I1173" s="4268"/>
      <c r="J1173" s="4268"/>
      <c r="K1173" s="4268"/>
      <c r="L1173" s="4269">
        <f>'2 REPAIR ESTIMATOR'!P997</f>
        <v>0</v>
      </c>
      <c r="M1173" s="4269"/>
      <c r="N1173" s="4270" t="str">
        <f>T('2 REPAIR ESTIMATOR'!S997)</f>
        <v>ea</v>
      </c>
      <c r="O1173" s="4270"/>
      <c r="P1173" s="4271" t="s">
        <v>1519</v>
      </c>
      <c r="Q1173" s="4271"/>
      <c r="R1173" s="4271"/>
      <c r="S1173" s="4271"/>
      <c r="T1173" s="4271"/>
      <c r="U1173" s="4271"/>
      <c r="V1173" s="4272"/>
      <c r="W1173" s="12">
        <f t="shared" si="80"/>
        <v>1</v>
      </c>
      <c r="X1173" s="12">
        <f t="shared" si="79"/>
        <v>1</v>
      </c>
      <c r="Y1173" s="12">
        <f t="shared" si="77"/>
        <v>1</v>
      </c>
    </row>
    <row r="1174" spans="4:25" ht="15.7">
      <c r="D1174" s="4267" t="str">
        <f>T('2 REPAIR ESTIMATOR'!D998:O998)</f>
        <v>Water supply line for refrigerator</v>
      </c>
      <c r="E1174" s="4268"/>
      <c r="F1174" s="4268"/>
      <c r="G1174" s="4268"/>
      <c r="H1174" s="4268"/>
      <c r="I1174" s="4268"/>
      <c r="J1174" s="4268"/>
      <c r="K1174" s="4268"/>
      <c r="L1174" s="4269">
        <f>'2 REPAIR ESTIMATOR'!P998</f>
        <v>0</v>
      </c>
      <c r="M1174" s="4269"/>
      <c r="N1174" s="4270" t="str">
        <f>T('2 REPAIR ESTIMATOR'!S998)</f>
        <v>ea</v>
      </c>
      <c r="O1174" s="4270"/>
      <c r="P1174" s="4271" t="s">
        <v>1519</v>
      </c>
      <c r="Q1174" s="4271"/>
      <c r="R1174" s="4271"/>
      <c r="S1174" s="4271"/>
      <c r="T1174" s="4271"/>
      <c r="U1174" s="4271"/>
      <c r="V1174" s="4272"/>
      <c r="W1174" s="12">
        <f t="shared" si="80"/>
        <v>1</v>
      </c>
      <c r="X1174" s="12">
        <f t="shared" si="79"/>
        <v>1</v>
      </c>
      <c r="Y1174" s="12">
        <f t="shared" si="77"/>
        <v>1</v>
      </c>
    </row>
    <row r="1175" spans="4:25" ht="15.7">
      <c r="D1175" s="4282" t="str">
        <f>T('2 REPAIR ESTIMATOR'!D999:O999)</f>
        <v>Bathrooms</v>
      </c>
      <c r="E1175" s="4283"/>
      <c r="F1175" s="4283"/>
      <c r="G1175" s="4283"/>
      <c r="H1175" s="4283"/>
      <c r="I1175" s="4283"/>
      <c r="J1175" s="4283"/>
      <c r="K1175" s="4283"/>
      <c r="L1175" s="4269">
        <f>'2 REPAIR ESTIMATOR'!P999</f>
        <v>0</v>
      </c>
      <c r="M1175" s="4269"/>
      <c r="N1175" s="4270" t="str">
        <f>T('2 REPAIR ESTIMATOR'!S999)</f>
        <v/>
      </c>
      <c r="O1175" s="4270"/>
      <c r="P1175" s="4271" t="s">
        <v>1519</v>
      </c>
      <c r="Q1175" s="4271"/>
      <c r="R1175" s="4271"/>
      <c r="S1175" s="4271"/>
      <c r="T1175" s="4271"/>
      <c r="U1175" s="4271"/>
      <c r="V1175" s="4272"/>
      <c r="W1175" s="12">
        <f t="shared" si="80"/>
        <v>1</v>
      </c>
      <c r="X1175" s="12">
        <f t="shared" si="79"/>
        <v>1</v>
      </c>
      <c r="Y1175" s="12">
        <f t="shared" si="77"/>
        <v>1</v>
      </c>
    </row>
    <row r="1176" spans="4:25" ht="15.7">
      <c r="D1176" s="4267" t="str">
        <f>T('2 REPAIR ESTIMATOR'!D1000:O1000)</f>
        <v>Bathroom faucet fixture</v>
      </c>
      <c r="E1176" s="4268"/>
      <c r="F1176" s="4268"/>
      <c r="G1176" s="4268"/>
      <c r="H1176" s="4268"/>
      <c r="I1176" s="4268"/>
      <c r="J1176" s="4268"/>
      <c r="K1176" s="4268"/>
      <c r="L1176" s="4269">
        <f>'2 REPAIR ESTIMATOR'!P1000</f>
        <v>0</v>
      </c>
      <c r="M1176" s="4269"/>
      <c r="N1176" s="4270" t="str">
        <f>T('2 REPAIR ESTIMATOR'!S1000)</f>
        <v>ea</v>
      </c>
      <c r="O1176" s="4270"/>
      <c r="P1176" s="4271" t="s">
        <v>1519</v>
      </c>
      <c r="Q1176" s="4271"/>
      <c r="R1176" s="4271"/>
      <c r="S1176" s="4271"/>
      <c r="T1176" s="4271"/>
      <c r="U1176" s="4271"/>
      <c r="V1176" s="4272"/>
      <c r="W1176" s="12">
        <f t="shared" si="80"/>
        <v>1</v>
      </c>
      <c r="X1176" s="12">
        <f t="shared" si="79"/>
        <v>1</v>
      </c>
      <c r="Y1176" s="12">
        <f t="shared" si="77"/>
        <v>1</v>
      </c>
    </row>
    <row r="1177" spans="4:25" ht="15.7">
      <c r="D1177" s="4267" t="str">
        <f>T('2 REPAIR ESTIMATOR'!D1001:O1001)</f>
        <v>Fiberglass shower stall</v>
      </c>
      <c r="E1177" s="4268"/>
      <c r="F1177" s="4268"/>
      <c r="G1177" s="4268"/>
      <c r="H1177" s="4268"/>
      <c r="I1177" s="4268"/>
      <c r="J1177" s="4268"/>
      <c r="K1177" s="4268"/>
      <c r="L1177" s="4269">
        <f>'2 REPAIR ESTIMATOR'!P1001</f>
        <v>0</v>
      </c>
      <c r="M1177" s="4269"/>
      <c r="N1177" s="4270" t="str">
        <f>T('2 REPAIR ESTIMATOR'!S1001)</f>
        <v>ea</v>
      </c>
      <c r="O1177" s="4270"/>
      <c r="P1177" s="4271" t="s">
        <v>1519</v>
      </c>
      <c r="Q1177" s="4271"/>
      <c r="R1177" s="4271"/>
      <c r="S1177" s="4271"/>
      <c r="T1177" s="4271"/>
      <c r="U1177" s="4271"/>
      <c r="V1177" s="4272"/>
      <c r="W1177" s="12">
        <f t="shared" si="80"/>
        <v>1</v>
      </c>
      <c r="X1177" s="12">
        <f t="shared" si="79"/>
        <v>1</v>
      </c>
      <c r="Y1177" s="12">
        <f t="shared" si="77"/>
        <v>1</v>
      </c>
    </row>
    <row r="1178" spans="4:25" ht="15.7">
      <c r="D1178" s="4267" t="str">
        <f>T('2 REPAIR ESTIMATOR'!D1002:O1002)</f>
        <v>Fiberglass tub</v>
      </c>
      <c r="E1178" s="4268"/>
      <c r="F1178" s="4268"/>
      <c r="G1178" s="4268"/>
      <c r="H1178" s="4268"/>
      <c r="I1178" s="4268"/>
      <c r="J1178" s="4268"/>
      <c r="K1178" s="4268"/>
      <c r="L1178" s="4269">
        <f>'2 REPAIR ESTIMATOR'!P1002</f>
        <v>0</v>
      </c>
      <c r="M1178" s="4269"/>
      <c r="N1178" s="4270" t="str">
        <f>T('2 REPAIR ESTIMATOR'!S1002)</f>
        <v>ea</v>
      </c>
      <c r="O1178" s="4270"/>
      <c r="P1178" s="4271" t="s">
        <v>1519</v>
      </c>
      <c r="Q1178" s="4271"/>
      <c r="R1178" s="4271"/>
      <c r="S1178" s="4271"/>
      <c r="T1178" s="4271"/>
      <c r="U1178" s="4271"/>
      <c r="V1178" s="4272"/>
      <c r="W1178" s="12">
        <f t="shared" si="80"/>
        <v>1</v>
      </c>
      <c r="X1178" s="12">
        <f t="shared" si="79"/>
        <v>1</v>
      </c>
      <c r="Y1178" s="12">
        <f t="shared" si="77"/>
        <v>1</v>
      </c>
    </row>
    <row r="1179" spans="4:25" ht="15.7">
      <c r="D1179" s="4267" t="str">
        <f>T('2 REPAIR ESTIMATOR'!D1003:O1003)</f>
        <v>Fiberglass tub/shower surround</v>
      </c>
      <c r="E1179" s="4268"/>
      <c r="F1179" s="4268"/>
      <c r="G1179" s="4268"/>
      <c r="H1179" s="4268"/>
      <c r="I1179" s="4268"/>
      <c r="J1179" s="4268"/>
      <c r="K1179" s="4268"/>
      <c r="L1179" s="4269">
        <f>'2 REPAIR ESTIMATOR'!P1003</f>
        <v>0</v>
      </c>
      <c r="M1179" s="4269"/>
      <c r="N1179" s="4270" t="str">
        <f>T('2 REPAIR ESTIMATOR'!S1003)</f>
        <v>ea</v>
      </c>
      <c r="O1179" s="4270"/>
      <c r="P1179" s="4271" t="s">
        <v>1519</v>
      </c>
      <c r="Q1179" s="4271"/>
      <c r="R1179" s="4271"/>
      <c r="S1179" s="4271"/>
      <c r="T1179" s="4271"/>
      <c r="U1179" s="4271"/>
      <c r="V1179" s="4272"/>
      <c r="W1179" s="12">
        <f t="shared" si="80"/>
        <v>1</v>
      </c>
      <c r="X1179" s="12">
        <f t="shared" si="79"/>
        <v>1</v>
      </c>
      <c r="Y1179" s="12">
        <f t="shared" si="77"/>
        <v>1</v>
      </c>
    </row>
    <row r="1180" spans="4:25" ht="15.7">
      <c r="D1180" s="4267" t="str">
        <f>T('2 REPAIR ESTIMATOR'!D1004:O1004)</f>
        <v>Showerhead/tub kit</v>
      </c>
      <c r="E1180" s="4268"/>
      <c r="F1180" s="4268"/>
      <c r="G1180" s="4268"/>
      <c r="H1180" s="4268"/>
      <c r="I1180" s="4268"/>
      <c r="J1180" s="4268"/>
      <c r="K1180" s="4268"/>
      <c r="L1180" s="4269">
        <f>'2 REPAIR ESTIMATOR'!P1004</f>
        <v>0</v>
      </c>
      <c r="M1180" s="4269"/>
      <c r="N1180" s="4270" t="str">
        <f>T('2 REPAIR ESTIMATOR'!S1004)</f>
        <v>ea</v>
      </c>
      <c r="O1180" s="4270"/>
      <c r="P1180" s="4271" t="s">
        <v>1519</v>
      </c>
      <c r="Q1180" s="4271"/>
      <c r="R1180" s="4271"/>
      <c r="S1180" s="4271"/>
      <c r="T1180" s="4271"/>
      <c r="U1180" s="4271"/>
      <c r="V1180" s="4272"/>
      <c r="W1180" s="12">
        <f t="shared" si="80"/>
        <v>1</v>
      </c>
      <c r="X1180" s="12">
        <f t="shared" si="79"/>
        <v>1</v>
      </c>
      <c r="Y1180" s="12">
        <f t="shared" si="77"/>
        <v>1</v>
      </c>
    </row>
    <row r="1181" spans="4:25" ht="15.7">
      <c r="D1181" s="4267" t="str">
        <f>T('2 REPAIR ESTIMATOR'!D1005:O1005)</f>
        <v>Toilets</v>
      </c>
      <c r="E1181" s="4268"/>
      <c r="F1181" s="4268"/>
      <c r="G1181" s="4268"/>
      <c r="H1181" s="4268"/>
      <c r="I1181" s="4268"/>
      <c r="J1181" s="4268"/>
      <c r="K1181" s="4268"/>
      <c r="L1181" s="4269">
        <f>'2 REPAIR ESTIMATOR'!P1005</f>
        <v>0</v>
      </c>
      <c r="M1181" s="4269"/>
      <c r="N1181" s="4270" t="str">
        <f>T('2 REPAIR ESTIMATOR'!S1005)</f>
        <v>ea</v>
      </c>
      <c r="O1181" s="4270"/>
      <c r="P1181" s="4271" t="s">
        <v>1519</v>
      </c>
      <c r="Q1181" s="4271"/>
      <c r="R1181" s="4271"/>
      <c r="S1181" s="4271"/>
      <c r="T1181" s="4271"/>
      <c r="U1181" s="4271"/>
      <c r="V1181" s="4272"/>
      <c r="W1181" s="12">
        <f t="shared" si="80"/>
        <v>1</v>
      </c>
      <c r="X1181" s="12">
        <f t="shared" si="79"/>
        <v>1</v>
      </c>
      <c r="Y1181" s="12">
        <f t="shared" si="77"/>
        <v>1</v>
      </c>
    </row>
    <row r="1182" spans="4:25" ht="15.7">
      <c r="D1182" s="4267" t="str">
        <f>T('2 REPAIR ESTIMATOR'!D1006:O1006)</f>
        <v>Toilet seats</v>
      </c>
      <c r="E1182" s="4268"/>
      <c r="F1182" s="4268"/>
      <c r="G1182" s="4268"/>
      <c r="H1182" s="4268"/>
      <c r="I1182" s="4268"/>
      <c r="J1182" s="4268"/>
      <c r="K1182" s="4268"/>
      <c r="L1182" s="4269">
        <f>'2 REPAIR ESTIMATOR'!P1006</f>
        <v>0</v>
      </c>
      <c r="M1182" s="4269"/>
      <c r="N1182" s="4270" t="str">
        <f>T('2 REPAIR ESTIMATOR'!S1006)</f>
        <v>ea</v>
      </c>
      <c r="O1182" s="4270"/>
      <c r="P1182" s="4271" t="s">
        <v>1519</v>
      </c>
      <c r="Q1182" s="4271"/>
      <c r="R1182" s="4271"/>
      <c r="S1182" s="4271"/>
      <c r="T1182" s="4271"/>
      <c r="U1182" s="4271"/>
      <c r="V1182" s="4272"/>
      <c r="W1182" s="12">
        <f t="shared" si="80"/>
        <v>1</v>
      </c>
      <c r="X1182" s="12">
        <f t="shared" si="79"/>
        <v>1</v>
      </c>
      <c r="Y1182" s="12">
        <f t="shared" si="77"/>
        <v>1</v>
      </c>
    </row>
    <row r="1183" spans="4:25" ht="15.7">
      <c r="D1183" s="4267" t="str">
        <f>T('2 REPAIR ESTIMATOR'!D1007:O1007)</f>
        <v>Pedestal sink</v>
      </c>
      <c r="E1183" s="4268"/>
      <c r="F1183" s="4268"/>
      <c r="G1183" s="4268"/>
      <c r="H1183" s="4268"/>
      <c r="I1183" s="4268"/>
      <c r="J1183" s="4268"/>
      <c r="K1183" s="4268"/>
      <c r="L1183" s="4269">
        <f>'2 REPAIR ESTIMATOR'!P1007</f>
        <v>0</v>
      </c>
      <c r="M1183" s="4269"/>
      <c r="N1183" s="4270" t="str">
        <f>T('2 REPAIR ESTIMATOR'!S1007)</f>
        <v>ea</v>
      </c>
      <c r="O1183" s="4270"/>
      <c r="P1183" s="4271" t="s">
        <v>1519</v>
      </c>
      <c r="Q1183" s="4271"/>
      <c r="R1183" s="4271"/>
      <c r="S1183" s="4271"/>
      <c r="T1183" s="4271"/>
      <c r="U1183" s="4271"/>
      <c r="V1183" s="4272"/>
      <c r="W1183" s="12">
        <f t="shared" si="80"/>
        <v>1</v>
      </c>
      <c r="X1183" s="12">
        <f t="shared" si="79"/>
        <v>1</v>
      </c>
      <c r="Y1183" s="12">
        <f t="shared" si="77"/>
        <v>1</v>
      </c>
    </row>
    <row r="1184" spans="4:25" ht="15.7">
      <c r="D1184" s="4267" t="str">
        <f>T('2 REPAIR ESTIMATOR'!D1008:O1008)</f>
        <v/>
      </c>
      <c r="E1184" s="4268"/>
      <c r="F1184" s="4268"/>
      <c r="G1184" s="4268"/>
      <c r="H1184" s="4268"/>
      <c r="I1184" s="4268"/>
      <c r="J1184" s="4268"/>
      <c r="K1184" s="4268"/>
      <c r="L1184" s="4269">
        <f>'2 REPAIR ESTIMATOR'!P1008</f>
        <v>0</v>
      </c>
      <c r="M1184" s="4269"/>
      <c r="N1184" s="4270" t="str">
        <f>T('2 REPAIR ESTIMATOR'!S1008)</f>
        <v/>
      </c>
      <c r="O1184" s="4270"/>
      <c r="P1184" s="4271"/>
      <c r="Q1184" s="4271"/>
      <c r="R1184" s="4271"/>
      <c r="S1184" s="4271"/>
      <c r="T1184" s="4271"/>
      <c r="U1184" s="4271"/>
      <c r="V1184" s="4272"/>
      <c r="W1184" s="12">
        <f t="shared" si="80"/>
        <v>1</v>
      </c>
      <c r="X1184" s="12">
        <f t="shared" si="79"/>
        <v>1</v>
      </c>
      <c r="Y1184" s="12">
        <f t="shared" si="77"/>
        <v>1</v>
      </c>
    </row>
    <row r="1185" spans="4:25" ht="15.7">
      <c r="D1185" s="4267" t="str">
        <f>T('2 REPAIR ESTIMATOR'!D1009:O1009)</f>
        <v/>
      </c>
      <c r="E1185" s="4268"/>
      <c r="F1185" s="4268"/>
      <c r="G1185" s="4268"/>
      <c r="H1185" s="4268"/>
      <c r="I1185" s="4268"/>
      <c r="J1185" s="4268"/>
      <c r="K1185" s="4268"/>
      <c r="L1185" s="4269">
        <f>'2 REPAIR ESTIMATOR'!P1009</f>
        <v>0</v>
      </c>
      <c r="M1185" s="4269"/>
      <c r="N1185" s="4270" t="str">
        <f>T('2 REPAIR ESTIMATOR'!S1009)</f>
        <v/>
      </c>
      <c r="O1185" s="4270"/>
      <c r="P1185" s="4271"/>
      <c r="Q1185" s="4271"/>
      <c r="R1185" s="4271"/>
      <c r="S1185" s="4271"/>
      <c r="T1185" s="4271"/>
      <c r="U1185" s="4271"/>
      <c r="V1185" s="4272"/>
      <c r="W1185" s="12">
        <f t="shared" si="80"/>
        <v>1</v>
      </c>
      <c r="X1185" s="12">
        <f t="shared" si="79"/>
        <v>1</v>
      </c>
      <c r="Y1185" s="12">
        <f t="shared" si="77"/>
        <v>1</v>
      </c>
    </row>
    <row r="1186" spans="4:25" ht="15.7">
      <c r="D1186" s="4267" t="str">
        <f>T('2 REPAIR ESTIMATOR'!D1010:O1010)</f>
        <v/>
      </c>
      <c r="E1186" s="4268"/>
      <c r="F1186" s="4268"/>
      <c r="G1186" s="4268"/>
      <c r="H1186" s="4268"/>
      <c r="I1186" s="4268"/>
      <c r="J1186" s="4268"/>
      <c r="K1186" s="4268"/>
      <c r="L1186" s="4269">
        <f>'2 REPAIR ESTIMATOR'!P1010</f>
        <v>0</v>
      </c>
      <c r="M1186" s="4269"/>
      <c r="N1186" s="4270" t="str">
        <f>T('2 REPAIR ESTIMATOR'!S1010)</f>
        <v/>
      </c>
      <c r="O1186" s="4270"/>
      <c r="P1186" s="4271"/>
      <c r="Q1186" s="4271"/>
      <c r="R1186" s="4271"/>
      <c r="S1186" s="4271"/>
      <c r="T1186" s="4271"/>
      <c r="U1186" s="4271"/>
      <c r="V1186" s="4272"/>
      <c r="W1186" s="12">
        <f t="shared" si="80"/>
        <v>1</v>
      </c>
      <c r="X1186" s="12">
        <f t="shared" si="79"/>
        <v>1</v>
      </c>
      <c r="Y1186" s="12">
        <f t="shared" si="77"/>
        <v>1</v>
      </c>
    </row>
    <row r="1187" spans="4:25" ht="15.7">
      <c r="D1187" s="4267" t="str">
        <f>T('2 REPAIR ESTIMATOR'!D1011:O1011)</f>
        <v/>
      </c>
      <c r="E1187" s="4268"/>
      <c r="F1187" s="4268"/>
      <c r="G1187" s="4268"/>
      <c r="H1187" s="4268"/>
      <c r="I1187" s="4268"/>
      <c r="J1187" s="4268"/>
      <c r="K1187" s="4268"/>
      <c r="L1187" s="4269">
        <f>'2 REPAIR ESTIMATOR'!P1011</f>
        <v>0</v>
      </c>
      <c r="M1187" s="4269"/>
      <c r="N1187" s="4270" t="str">
        <f>T('2 REPAIR ESTIMATOR'!S1011)</f>
        <v/>
      </c>
      <c r="O1187" s="4270"/>
      <c r="P1187" s="4271"/>
      <c r="Q1187" s="4271"/>
      <c r="R1187" s="4271"/>
      <c r="S1187" s="4271"/>
      <c r="T1187" s="4271"/>
      <c r="U1187" s="4271"/>
      <c r="V1187" s="4272"/>
      <c r="W1187" s="12">
        <f t="shared" si="80"/>
        <v>1</v>
      </c>
      <c r="X1187" s="12">
        <f t="shared" si="79"/>
        <v>1</v>
      </c>
      <c r="Y1187" s="12">
        <f t="shared" si="77"/>
        <v>1</v>
      </c>
    </row>
    <row r="1188" spans="4:25" ht="15.7">
      <c r="D1188" s="4267" t="str">
        <f>T('2 REPAIR ESTIMATOR'!D1012:O1012)</f>
        <v/>
      </c>
      <c r="E1188" s="4268"/>
      <c r="F1188" s="4268"/>
      <c r="G1188" s="4268"/>
      <c r="H1188" s="4268"/>
      <c r="I1188" s="4268"/>
      <c r="J1188" s="4268"/>
      <c r="K1188" s="4268"/>
      <c r="L1188" s="4269">
        <f>'2 REPAIR ESTIMATOR'!P1012</f>
        <v>0</v>
      </c>
      <c r="M1188" s="4269"/>
      <c r="N1188" s="4270" t="str">
        <f>T('2 REPAIR ESTIMATOR'!S1012)</f>
        <v/>
      </c>
      <c r="O1188" s="4270"/>
      <c r="P1188" s="4271"/>
      <c r="Q1188" s="4271"/>
      <c r="R1188" s="4271"/>
      <c r="S1188" s="4271"/>
      <c r="T1188" s="4271"/>
      <c r="U1188" s="4271"/>
      <c r="V1188" s="4272"/>
      <c r="W1188" s="12">
        <f t="shared" si="80"/>
        <v>1</v>
      </c>
      <c r="X1188" s="12">
        <f t="shared" si="79"/>
        <v>1</v>
      </c>
      <c r="Y1188" s="12">
        <f t="shared" si="77"/>
        <v>1</v>
      </c>
    </row>
    <row r="1189" spans="4:25" ht="15.7">
      <c r="D1189" s="4267" t="str">
        <f>T('2 REPAIR ESTIMATOR'!D1013:O1013)</f>
        <v/>
      </c>
      <c r="E1189" s="4268"/>
      <c r="F1189" s="4268"/>
      <c r="G1189" s="4268"/>
      <c r="H1189" s="4268"/>
      <c r="I1189" s="4268"/>
      <c r="J1189" s="4268"/>
      <c r="K1189" s="4268"/>
      <c r="L1189" s="4269">
        <f>'2 REPAIR ESTIMATOR'!P1013</f>
        <v>0</v>
      </c>
      <c r="M1189" s="4269"/>
      <c r="N1189" s="4270" t="str">
        <f>T('2 REPAIR ESTIMATOR'!S1013)</f>
        <v/>
      </c>
      <c r="O1189" s="4270"/>
      <c r="P1189" s="4271"/>
      <c r="Q1189" s="4271"/>
      <c r="R1189" s="4271"/>
      <c r="S1189" s="4271"/>
      <c r="T1189" s="4271"/>
      <c r="U1189" s="4271"/>
      <c r="V1189" s="4272"/>
      <c r="W1189" s="12">
        <f t="shared" si="80"/>
        <v>1</v>
      </c>
      <c r="X1189" s="12">
        <f t="shared" si="79"/>
        <v>1</v>
      </c>
      <c r="Y1189" s="12">
        <f t="shared" si="77"/>
        <v>1</v>
      </c>
    </row>
    <row r="1190" spans="4:25" ht="15.7">
      <c r="D1190" s="4267" t="str">
        <f>T('2 REPAIR ESTIMATOR'!D1014:O1014)</f>
        <v/>
      </c>
      <c r="E1190" s="4268"/>
      <c r="F1190" s="4268"/>
      <c r="G1190" s="4268"/>
      <c r="H1190" s="4268"/>
      <c r="I1190" s="4268"/>
      <c r="J1190" s="4268"/>
      <c r="K1190" s="4268"/>
      <c r="L1190" s="4269">
        <f>'2 REPAIR ESTIMATOR'!P1014</f>
        <v>0</v>
      </c>
      <c r="M1190" s="4269"/>
      <c r="N1190" s="4270" t="str">
        <f>T('2 REPAIR ESTIMATOR'!S1014)</f>
        <v/>
      </c>
      <c r="O1190" s="4270"/>
      <c r="P1190" s="4271"/>
      <c r="Q1190" s="4271"/>
      <c r="R1190" s="4271"/>
      <c r="S1190" s="4271"/>
      <c r="T1190" s="4271"/>
      <c r="U1190" s="4271"/>
      <c r="V1190" s="4272"/>
      <c r="W1190" s="12">
        <f t="shared" si="80"/>
        <v>1</v>
      </c>
      <c r="X1190" s="12">
        <f t="shared" si="79"/>
        <v>1</v>
      </c>
      <c r="Y1190" s="12">
        <f t="shared" si="77"/>
        <v>1</v>
      </c>
    </row>
    <row r="1191" spans="4:25" ht="15.7">
      <c r="D1191" s="4267" t="str">
        <f>T('2 REPAIR ESTIMATOR'!D1015:O1015)</f>
        <v/>
      </c>
      <c r="E1191" s="4268"/>
      <c r="F1191" s="4268"/>
      <c r="G1191" s="4268"/>
      <c r="H1191" s="4268"/>
      <c r="I1191" s="4268"/>
      <c r="J1191" s="4268"/>
      <c r="K1191" s="4268"/>
      <c r="L1191" s="4269">
        <f>'2 REPAIR ESTIMATOR'!P1015</f>
        <v>0</v>
      </c>
      <c r="M1191" s="4269"/>
      <c r="N1191" s="4270" t="str">
        <f>T('2 REPAIR ESTIMATOR'!S1015)</f>
        <v/>
      </c>
      <c r="O1191" s="4270"/>
      <c r="P1191" s="4271"/>
      <c r="Q1191" s="4271"/>
      <c r="R1191" s="4271"/>
      <c r="S1191" s="4271"/>
      <c r="T1191" s="4271"/>
      <c r="U1191" s="4271"/>
      <c r="V1191" s="4272"/>
      <c r="W1191" s="12">
        <f t="shared" si="80"/>
        <v>1</v>
      </c>
      <c r="X1191" s="12">
        <f t="shared" si="79"/>
        <v>1</v>
      </c>
      <c r="Y1191" s="12">
        <f t="shared" si="77"/>
        <v>1</v>
      </c>
    </row>
    <row r="1192" spans="4:25" ht="15.7">
      <c r="D1192" s="4267" t="str">
        <f>T('2 REPAIR ESTIMATOR'!D1016:O1016)</f>
        <v/>
      </c>
      <c r="E1192" s="4268"/>
      <c r="F1192" s="4268"/>
      <c r="G1192" s="4268"/>
      <c r="H1192" s="4268"/>
      <c r="I1192" s="4268"/>
      <c r="J1192" s="4268"/>
      <c r="K1192" s="4268"/>
      <c r="L1192" s="4269">
        <f>'2 REPAIR ESTIMATOR'!P1016</f>
        <v>0</v>
      </c>
      <c r="M1192" s="4269"/>
      <c r="N1192" s="4270" t="str">
        <f>T('2 REPAIR ESTIMATOR'!S1016)</f>
        <v/>
      </c>
      <c r="O1192" s="4270"/>
      <c r="P1192" s="4271"/>
      <c r="Q1192" s="4271"/>
      <c r="R1192" s="4271"/>
      <c r="S1192" s="4271"/>
      <c r="T1192" s="4271"/>
      <c r="U1192" s="4271"/>
      <c r="V1192" s="4272"/>
      <c r="W1192" s="12">
        <f t="shared" si="80"/>
        <v>1</v>
      </c>
      <c r="X1192" s="12">
        <f t="shared" si="79"/>
        <v>1</v>
      </c>
      <c r="Y1192" s="12">
        <f t="shared" si="77"/>
        <v>1</v>
      </c>
    </row>
    <row r="1193" spans="4:25" ht="15.7">
      <c r="D1193" s="4267" t="str">
        <f>T('2 REPAIR ESTIMATOR'!D1017:O1017)</f>
        <v/>
      </c>
      <c r="E1193" s="4268"/>
      <c r="F1193" s="4268"/>
      <c r="G1193" s="4268"/>
      <c r="H1193" s="4268"/>
      <c r="I1193" s="4268"/>
      <c r="J1193" s="4268"/>
      <c r="K1193" s="4268"/>
      <c r="L1193" s="4269">
        <f>'2 REPAIR ESTIMATOR'!P1017</f>
        <v>0</v>
      </c>
      <c r="M1193" s="4269"/>
      <c r="N1193" s="4270" t="str">
        <f>T('2 REPAIR ESTIMATOR'!S1017)</f>
        <v/>
      </c>
      <c r="O1193" s="4270"/>
      <c r="P1193" s="4271"/>
      <c r="Q1193" s="4271"/>
      <c r="R1193" s="4271"/>
      <c r="S1193" s="4271"/>
      <c r="T1193" s="4271"/>
      <c r="U1193" s="4271"/>
      <c r="V1193" s="4272"/>
      <c r="W1193" s="12">
        <f t="shared" si="80"/>
        <v>1</v>
      </c>
      <c r="X1193" s="12">
        <f t="shared" si="79"/>
        <v>1</v>
      </c>
      <c r="Y1193" s="12">
        <f t="shared" si="77"/>
        <v>1</v>
      </c>
    </row>
    <row r="1194" spans="4:25" ht="15.7">
      <c r="D1194" s="4267" t="str">
        <f>T('2 REPAIR ESTIMATOR'!D1018:O1018)</f>
        <v/>
      </c>
      <c r="E1194" s="4268"/>
      <c r="F1194" s="4268"/>
      <c r="G1194" s="4268"/>
      <c r="H1194" s="4268"/>
      <c r="I1194" s="4268"/>
      <c r="J1194" s="4268"/>
      <c r="K1194" s="4268"/>
      <c r="L1194" s="4269">
        <f>'2 REPAIR ESTIMATOR'!P1018</f>
        <v>0</v>
      </c>
      <c r="M1194" s="4269"/>
      <c r="N1194" s="4270" t="str">
        <f>T('2 REPAIR ESTIMATOR'!S1018)</f>
        <v/>
      </c>
      <c r="O1194" s="4270"/>
      <c r="P1194" s="4271"/>
      <c r="Q1194" s="4271"/>
      <c r="R1194" s="4271"/>
      <c r="S1194" s="4271"/>
      <c r="T1194" s="4271"/>
      <c r="U1194" s="4271"/>
      <c r="V1194" s="4272"/>
      <c r="W1194" s="12">
        <f t="shared" si="80"/>
        <v>1</v>
      </c>
      <c r="X1194" s="12">
        <f t="shared" si="79"/>
        <v>1</v>
      </c>
      <c r="Y1194" s="12">
        <f t="shared" si="77"/>
        <v>1</v>
      </c>
    </row>
    <row r="1195" spans="4:25" ht="15.7">
      <c r="D1195" s="4267" t="str">
        <f>T('2 REPAIR ESTIMATOR'!D1019:O1019)</f>
        <v/>
      </c>
      <c r="E1195" s="4268"/>
      <c r="F1195" s="4268"/>
      <c r="G1195" s="4268"/>
      <c r="H1195" s="4268"/>
      <c r="I1195" s="4268"/>
      <c r="J1195" s="4268"/>
      <c r="K1195" s="4268"/>
      <c r="L1195" s="4269">
        <f>'2 REPAIR ESTIMATOR'!P1019</f>
        <v>0</v>
      </c>
      <c r="M1195" s="4269"/>
      <c r="N1195" s="4270" t="str">
        <f>T('2 REPAIR ESTIMATOR'!S1019)</f>
        <v/>
      </c>
      <c r="O1195" s="4270"/>
      <c r="P1195" s="4271"/>
      <c r="Q1195" s="4271"/>
      <c r="R1195" s="4271"/>
      <c r="S1195" s="4271"/>
      <c r="T1195" s="4271"/>
      <c r="U1195" s="4271"/>
      <c r="V1195" s="4272"/>
      <c r="W1195" s="12">
        <f t="shared" si="80"/>
        <v>1</v>
      </c>
      <c r="X1195" s="12">
        <f t="shared" ref="X1195:X1218" si="81">IF(Scope21_Setting="Shown",1,0)</f>
        <v>1</v>
      </c>
      <c r="Y1195" s="12">
        <f t="shared" si="77"/>
        <v>1</v>
      </c>
    </row>
    <row r="1196" spans="4:25" ht="15.7">
      <c r="D1196" s="4267" t="str">
        <f>T('2 REPAIR ESTIMATOR'!D1020:O1020)</f>
        <v/>
      </c>
      <c r="E1196" s="4268"/>
      <c r="F1196" s="4268"/>
      <c r="G1196" s="4268"/>
      <c r="H1196" s="4268"/>
      <c r="I1196" s="4268"/>
      <c r="J1196" s="4268"/>
      <c r="K1196" s="4268"/>
      <c r="L1196" s="4269">
        <f>'2 REPAIR ESTIMATOR'!P1020</f>
        <v>0</v>
      </c>
      <c r="M1196" s="4269"/>
      <c r="N1196" s="4270" t="str">
        <f>T('2 REPAIR ESTIMATOR'!S1020)</f>
        <v/>
      </c>
      <c r="O1196" s="4270"/>
      <c r="P1196" s="4271"/>
      <c r="Q1196" s="4271"/>
      <c r="R1196" s="4271"/>
      <c r="S1196" s="4271"/>
      <c r="T1196" s="4271"/>
      <c r="U1196" s="4271"/>
      <c r="V1196" s="4272"/>
      <c r="W1196" s="12">
        <f t="shared" si="80"/>
        <v>1</v>
      </c>
      <c r="X1196" s="12">
        <f t="shared" si="81"/>
        <v>1</v>
      </c>
      <c r="Y1196" s="12">
        <f t="shared" ref="Y1196:Y1259" si="82">W1196*X1196</f>
        <v>1</v>
      </c>
    </row>
    <row r="1197" spans="4:25" ht="15.7">
      <c r="D1197" s="4267" t="str">
        <f>T('2 REPAIR ESTIMATOR'!D1021:O1021)</f>
        <v/>
      </c>
      <c r="E1197" s="4268"/>
      <c r="F1197" s="4268"/>
      <c r="G1197" s="4268"/>
      <c r="H1197" s="4268"/>
      <c r="I1197" s="4268"/>
      <c r="J1197" s="4268"/>
      <c r="K1197" s="4268"/>
      <c r="L1197" s="4269">
        <f>'2 REPAIR ESTIMATOR'!P1021</f>
        <v>0</v>
      </c>
      <c r="M1197" s="4269"/>
      <c r="N1197" s="4270" t="str">
        <f>T('2 REPAIR ESTIMATOR'!S1021)</f>
        <v/>
      </c>
      <c r="O1197" s="4270"/>
      <c r="P1197" s="4271"/>
      <c r="Q1197" s="4271"/>
      <c r="R1197" s="4271"/>
      <c r="S1197" s="4271"/>
      <c r="T1197" s="4271"/>
      <c r="U1197" s="4271"/>
      <c r="V1197" s="4272"/>
      <c r="W1197" s="12">
        <f t="shared" si="80"/>
        <v>1</v>
      </c>
      <c r="X1197" s="12">
        <f t="shared" si="81"/>
        <v>1</v>
      </c>
      <c r="Y1197" s="12">
        <f t="shared" si="82"/>
        <v>1</v>
      </c>
    </row>
    <row r="1198" spans="4:25" ht="15.7">
      <c r="D1198" s="4267" t="str">
        <f>T('2 REPAIR ESTIMATOR'!D1022:O1022)</f>
        <v/>
      </c>
      <c r="E1198" s="4268"/>
      <c r="F1198" s="4268"/>
      <c r="G1198" s="4268"/>
      <c r="H1198" s="4268"/>
      <c r="I1198" s="4268"/>
      <c r="J1198" s="4268"/>
      <c r="K1198" s="4268"/>
      <c r="L1198" s="4269">
        <f>'2 REPAIR ESTIMATOR'!P1022</f>
        <v>0</v>
      </c>
      <c r="M1198" s="4269"/>
      <c r="N1198" s="4270" t="str">
        <f>T('2 REPAIR ESTIMATOR'!S1022)</f>
        <v/>
      </c>
      <c r="O1198" s="4270"/>
      <c r="P1198" s="4271"/>
      <c r="Q1198" s="4271"/>
      <c r="R1198" s="4271"/>
      <c r="S1198" s="4271"/>
      <c r="T1198" s="4271"/>
      <c r="U1198" s="4271"/>
      <c r="V1198" s="4272"/>
      <c r="W1198" s="12">
        <f t="shared" si="80"/>
        <v>1</v>
      </c>
      <c r="X1198" s="12">
        <f t="shared" si="81"/>
        <v>1</v>
      </c>
      <c r="Y1198" s="12">
        <f t="shared" si="82"/>
        <v>1</v>
      </c>
    </row>
    <row r="1199" spans="4:25" ht="15.7">
      <c r="D1199" s="4267" t="str">
        <f>T('2 REPAIR ESTIMATOR'!D1023:O1023)</f>
        <v/>
      </c>
      <c r="E1199" s="4268"/>
      <c r="F1199" s="4268"/>
      <c r="G1199" s="4268"/>
      <c r="H1199" s="4268"/>
      <c r="I1199" s="4268"/>
      <c r="J1199" s="4268"/>
      <c r="K1199" s="4268"/>
      <c r="L1199" s="4269">
        <f>'2 REPAIR ESTIMATOR'!P1023</f>
        <v>0</v>
      </c>
      <c r="M1199" s="4269"/>
      <c r="N1199" s="4270" t="str">
        <f>T('2 REPAIR ESTIMATOR'!S1023)</f>
        <v/>
      </c>
      <c r="O1199" s="4270"/>
      <c r="P1199" s="4271"/>
      <c r="Q1199" s="4271"/>
      <c r="R1199" s="4271"/>
      <c r="S1199" s="4271"/>
      <c r="T1199" s="4271"/>
      <c r="U1199" s="4271"/>
      <c r="V1199" s="4272"/>
      <c r="W1199" s="12">
        <f t="shared" si="80"/>
        <v>1</v>
      </c>
      <c r="X1199" s="12">
        <f t="shared" si="81"/>
        <v>1</v>
      </c>
      <c r="Y1199" s="12">
        <f t="shared" si="82"/>
        <v>1</v>
      </c>
    </row>
    <row r="1200" spans="4:25" ht="15.7">
      <c r="D1200" s="4267" t="str">
        <f>T('2 REPAIR ESTIMATOR'!D1024:O1024)</f>
        <v/>
      </c>
      <c r="E1200" s="4268"/>
      <c r="F1200" s="4268"/>
      <c r="G1200" s="4268"/>
      <c r="H1200" s="4268"/>
      <c r="I1200" s="4268"/>
      <c r="J1200" s="4268"/>
      <c r="K1200" s="4268"/>
      <c r="L1200" s="4269">
        <f>'2 REPAIR ESTIMATOR'!P1024</f>
        <v>0</v>
      </c>
      <c r="M1200" s="4269"/>
      <c r="N1200" s="4270" t="str">
        <f>T('2 REPAIR ESTIMATOR'!S1024)</f>
        <v/>
      </c>
      <c r="O1200" s="4270"/>
      <c r="P1200" s="4271"/>
      <c r="Q1200" s="4271"/>
      <c r="R1200" s="4271"/>
      <c r="S1200" s="4271"/>
      <c r="T1200" s="4271"/>
      <c r="U1200" s="4271"/>
      <c r="V1200" s="4272"/>
      <c r="W1200" s="12">
        <f t="shared" si="80"/>
        <v>1</v>
      </c>
      <c r="X1200" s="12">
        <f t="shared" si="81"/>
        <v>1</v>
      </c>
      <c r="Y1200" s="12">
        <f t="shared" si="82"/>
        <v>1</v>
      </c>
    </row>
    <row r="1201" spans="3:25" ht="15.7">
      <c r="D1201" s="4267" t="str">
        <f>T('2 REPAIR ESTIMATOR'!D1025:O1025)</f>
        <v/>
      </c>
      <c r="E1201" s="4268"/>
      <c r="F1201" s="4268"/>
      <c r="G1201" s="4268"/>
      <c r="H1201" s="4268"/>
      <c r="I1201" s="4268"/>
      <c r="J1201" s="4268"/>
      <c r="K1201" s="4268"/>
      <c r="L1201" s="4269">
        <f>'2 REPAIR ESTIMATOR'!P1025</f>
        <v>0</v>
      </c>
      <c r="M1201" s="4269"/>
      <c r="N1201" s="4270" t="str">
        <f>T('2 REPAIR ESTIMATOR'!S1025)</f>
        <v/>
      </c>
      <c r="O1201" s="4270"/>
      <c r="P1201" s="4271"/>
      <c r="Q1201" s="4271"/>
      <c r="R1201" s="4271"/>
      <c r="S1201" s="4271"/>
      <c r="T1201" s="4271"/>
      <c r="U1201" s="4271"/>
      <c r="V1201" s="4272"/>
      <c r="W1201" s="12">
        <f t="shared" si="80"/>
        <v>1</v>
      </c>
      <c r="X1201" s="12">
        <f t="shared" si="81"/>
        <v>1</v>
      </c>
      <c r="Y1201" s="12">
        <f t="shared" si="82"/>
        <v>1</v>
      </c>
    </row>
    <row r="1202" spans="3:25" ht="15.7">
      <c r="D1202" s="4267" t="str">
        <f>T('2 REPAIR ESTIMATOR'!D1026:O1026)</f>
        <v/>
      </c>
      <c r="E1202" s="4268"/>
      <c r="F1202" s="4268"/>
      <c r="G1202" s="4268"/>
      <c r="H1202" s="4268"/>
      <c r="I1202" s="4268"/>
      <c r="J1202" s="4268"/>
      <c r="K1202" s="4268"/>
      <c r="L1202" s="4269">
        <f>'2 REPAIR ESTIMATOR'!P1026</f>
        <v>0</v>
      </c>
      <c r="M1202" s="4269"/>
      <c r="N1202" s="4270" t="str">
        <f>T('2 REPAIR ESTIMATOR'!S1026)</f>
        <v/>
      </c>
      <c r="O1202" s="4270"/>
      <c r="P1202" s="4271"/>
      <c r="Q1202" s="4271"/>
      <c r="R1202" s="4271"/>
      <c r="S1202" s="4271"/>
      <c r="T1202" s="4271"/>
      <c r="U1202" s="4271"/>
      <c r="V1202" s="4272"/>
      <c r="W1202" s="12">
        <f t="shared" si="80"/>
        <v>1</v>
      </c>
      <c r="X1202" s="12">
        <f t="shared" si="81"/>
        <v>1</v>
      </c>
      <c r="Y1202" s="12">
        <f t="shared" si="82"/>
        <v>1</v>
      </c>
    </row>
    <row r="1203" spans="3:25" ht="15.7">
      <c r="D1203" s="4267" t="str">
        <f>T('2 REPAIR ESTIMATOR'!D1027:O1027)</f>
        <v/>
      </c>
      <c r="E1203" s="4268"/>
      <c r="F1203" s="4268"/>
      <c r="G1203" s="4268"/>
      <c r="H1203" s="4268"/>
      <c r="I1203" s="4268"/>
      <c r="J1203" s="4268"/>
      <c r="K1203" s="4268"/>
      <c r="L1203" s="4269">
        <f>'2 REPAIR ESTIMATOR'!P1027</f>
        <v>0</v>
      </c>
      <c r="M1203" s="4269"/>
      <c r="N1203" s="4270" t="str">
        <f>T('2 REPAIR ESTIMATOR'!S1027)</f>
        <v/>
      </c>
      <c r="O1203" s="4270"/>
      <c r="P1203" s="4271"/>
      <c r="Q1203" s="4271"/>
      <c r="R1203" s="4271"/>
      <c r="S1203" s="4271"/>
      <c r="T1203" s="4271"/>
      <c r="U1203" s="4271"/>
      <c r="V1203" s="4272"/>
      <c r="W1203" s="12">
        <f t="shared" si="80"/>
        <v>1</v>
      </c>
      <c r="X1203" s="12">
        <f t="shared" si="81"/>
        <v>1</v>
      </c>
      <c r="Y1203" s="12">
        <f t="shared" si="82"/>
        <v>1</v>
      </c>
    </row>
    <row r="1204" spans="3:25" ht="15.7">
      <c r="C1204" s="6"/>
      <c r="D1204" s="723"/>
      <c r="E1204" s="723"/>
      <c r="F1204" s="723"/>
      <c r="G1204" s="723"/>
      <c r="H1204" s="723"/>
      <c r="I1204" s="723"/>
      <c r="J1204" s="723"/>
      <c r="K1204" s="723"/>
      <c r="L1204" s="724"/>
      <c r="M1204" s="724"/>
      <c r="N1204" s="725"/>
      <c r="O1204" s="725"/>
      <c r="P1204" s="724"/>
      <c r="Q1204" s="445"/>
      <c r="R1204" s="445"/>
      <c r="S1204" s="725"/>
      <c r="T1204" s="725"/>
      <c r="U1204" s="725"/>
      <c r="V1204" s="725"/>
      <c r="W1204" s="12">
        <f>W1205</f>
        <v>0</v>
      </c>
      <c r="X1204" s="12">
        <f t="shared" si="81"/>
        <v>1</v>
      </c>
      <c r="Y1204" s="12">
        <f t="shared" si="82"/>
        <v>0</v>
      </c>
    </row>
    <row r="1205" spans="3:25" ht="16.7">
      <c r="C1205" s="6"/>
      <c r="D1205" s="4266" t="str">
        <f>UPPER(CONCATENATE("Miscellaneous ",D1163," Items"))</f>
        <v>MISCELLANEOUS PLUMBING ITEMS</v>
      </c>
      <c r="E1205" s="4266"/>
      <c r="F1205" s="4266"/>
      <c r="G1205" s="4266"/>
      <c r="H1205" s="4266"/>
      <c r="I1205" s="4266"/>
      <c r="J1205" s="4266"/>
      <c r="K1205" s="4266"/>
      <c r="L1205" s="4266"/>
      <c r="M1205" s="4266"/>
      <c r="N1205" s="4266"/>
      <c r="O1205" s="4266"/>
      <c r="P1205" s="4266"/>
      <c r="Q1205" s="4266"/>
      <c r="R1205" s="4266"/>
      <c r="S1205" s="4266"/>
      <c r="T1205" s="4266"/>
      <c r="U1205" s="4266"/>
      <c r="V1205" s="4266"/>
      <c r="W1205" s="12">
        <f>SUM(W1206:W1215)</f>
        <v>0</v>
      </c>
      <c r="X1205" s="12">
        <f t="shared" si="81"/>
        <v>1</v>
      </c>
      <c r="Y1205" s="12">
        <f t="shared" si="82"/>
        <v>0</v>
      </c>
    </row>
    <row r="1206" spans="3:25" ht="15.7">
      <c r="C1206" s="6"/>
      <c r="D1206" s="712">
        <v>1</v>
      </c>
      <c r="E1206" s="4263" t="s">
        <v>1504</v>
      </c>
      <c r="F1206" s="4263"/>
      <c r="G1206" s="4263"/>
      <c r="H1206" s="4263"/>
      <c r="I1206" s="4263"/>
      <c r="J1206" s="4263"/>
      <c r="K1206" s="4263"/>
      <c r="L1206" s="4263"/>
      <c r="M1206" s="4263"/>
      <c r="N1206" s="4263"/>
      <c r="O1206" s="4263"/>
      <c r="P1206" s="4263"/>
      <c r="Q1206" s="4263"/>
      <c r="R1206" s="4263"/>
      <c r="S1206" s="4263"/>
      <c r="T1206" s="4263"/>
      <c r="U1206" s="4263"/>
      <c r="V1206" s="4263"/>
      <c r="W1206" s="12">
        <f>IF(E1206&lt;&gt;"",1,0)*W1163</f>
        <v>0</v>
      </c>
      <c r="X1206" s="12">
        <f t="shared" si="81"/>
        <v>1</v>
      </c>
      <c r="Y1206" s="12">
        <f t="shared" si="82"/>
        <v>0</v>
      </c>
    </row>
    <row r="1207" spans="3:25" ht="15.7">
      <c r="C1207" s="6"/>
      <c r="D1207" s="712">
        <v>2</v>
      </c>
      <c r="E1207" s="4263" t="s">
        <v>1502</v>
      </c>
      <c r="F1207" s="4263"/>
      <c r="G1207" s="4263"/>
      <c r="H1207" s="4263"/>
      <c r="I1207" s="4263"/>
      <c r="J1207" s="4263"/>
      <c r="K1207" s="4263"/>
      <c r="L1207" s="4263"/>
      <c r="M1207" s="4263"/>
      <c r="N1207" s="4263"/>
      <c r="O1207" s="4263"/>
      <c r="P1207" s="4263"/>
      <c r="Q1207" s="4263"/>
      <c r="R1207" s="4263"/>
      <c r="S1207" s="4263"/>
      <c r="T1207" s="4263"/>
      <c r="U1207" s="4263"/>
      <c r="V1207" s="4263"/>
      <c r="W1207" s="12">
        <f>IF(E1207&lt;&gt;"",1,0)*W1163</f>
        <v>0</v>
      </c>
      <c r="X1207" s="12">
        <f t="shared" si="81"/>
        <v>1</v>
      </c>
      <c r="Y1207" s="12">
        <f t="shared" si="82"/>
        <v>0</v>
      </c>
    </row>
    <row r="1208" spans="3:25" ht="15.7">
      <c r="C1208" s="6"/>
      <c r="D1208" s="712">
        <v>3</v>
      </c>
      <c r="E1208" s="4263" t="s">
        <v>1503</v>
      </c>
      <c r="F1208" s="4263"/>
      <c r="G1208" s="4263"/>
      <c r="H1208" s="4263"/>
      <c r="I1208" s="4263"/>
      <c r="J1208" s="4263"/>
      <c r="K1208" s="4263"/>
      <c r="L1208" s="4263"/>
      <c r="M1208" s="4263"/>
      <c r="N1208" s="4263"/>
      <c r="O1208" s="4263"/>
      <c r="P1208" s="4263"/>
      <c r="Q1208" s="4263"/>
      <c r="R1208" s="4263"/>
      <c r="S1208" s="4263"/>
      <c r="T1208" s="4263"/>
      <c r="U1208" s="4263"/>
      <c r="V1208" s="4263"/>
      <c r="W1208" s="12">
        <f>IF(E1208&lt;&gt;"",1,0)*W1163</f>
        <v>0</v>
      </c>
      <c r="X1208" s="12">
        <f t="shared" si="81"/>
        <v>1</v>
      </c>
      <c r="Y1208" s="12">
        <f t="shared" si="82"/>
        <v>0</v>
      </c>
    </row>
    <row r="1209" spans="3:25" ht="15.7">
      <c r="C1209" s="6"/>
      <c r="D1209" s="712">
        <v>4</v>
      </c>
      <c r="E1209" s="4263" t="s">
        <v>1508</v>
      </c>
      <c r="F1209" s="4263"/>
      <c r="G1209" s="4263"/>
      <c r="H1209" s="4263"/>
      <c r="I1209" s="4263"/>
      <c r="J1209" s="4263"/>
      <c r="K1209" s="4263"/>
      <c r="L1209" s="4263"/>
      <c r="M1209" s="4263"/>
      <c r="N1209" s="4263"/>
      <c r="O1209" s="4263"/>
      <c r="P1209" s="4263"/>
      <c r="Q1209" s="4263"/>
      <c r="R1209" s="4263"/>
      <c r="S1209" s="4263"/>
      <c r="T1209" s="4263"/>
      <c r="U1209" s="4263"/>
      <c r="V1209" s="4263"/>
      <c r="W1209" s="12">
        <f>IF(E1209&lt;&gt;"",1,0)*W1163</f>
        <v>0</v>
      </c>
      <c r="X1209" s="12">
        <f t="shared" si="81"/>
        <v>1</v>
      </c>
      <c r="Y1209" s="12">
        <f t="shared" si="82"/>
        <v>0</v>
      </c>
    </row>
    <row r="1210" spans="3:25" ht="15.7">
      <c r="C1210" s="6"/>
      <c r="D1210" s="712">
        <v>5</v>
      </c>
      <c r="E1210" s="4263" t="s">
        <v>1522</v>
      </c>
      <c r="F1210" s="4263"/>
      <c r="G1210" s="4263"/>
      <c r="H1210" s="4263"/>
      <c r="I1210" s="4263"/>
      <c r="J1210" s="4263"/>
      <c r="K1210" s="4263"/>
      <c r="L1210" s="4263"/>
      <c r="M1210" s="4263"/>
      <c r="N1210" s="4263"/>
      <c r="O1210" s="4263"/>
      <c r="P1210" s="4263"/>
      <c r="Q1210" s="4263"/>
      <c r="R1210" s="4263"/>
      <c r="S1210" s="4263"/>
      <c r="T1210" s="4263"/>
      <c r="U1210" s="4263"/>
      <c r="V1210" s="4263"/>
      <c r="W1210" s="12">
        <f>IF(E1210&lt;&gt;"",1,0)*W1163</f>
        <v>0</v>
      </c>
      <c r="X1210" s="12">
        <f t="shared" si="81"/>
        <v>1</v>
      </c>
      <c r="Y1210" s="12">
        <f t="shared" si="82"/>
        <v>0</v>
      </c>
    </row>
    <row r="1211" spans="3:25" ht="15.7">
      <c r="C1211" s="6"/>
      <c r="D1211" s="712">
        <v>6</v>
      </c>
      <c r="E1211" s="4263" t="s">
        <v>1506</v>
      </c>
      <c r="F1211" s="4263"/>
      <c r="G1211" s="4263"/>
      <c r="H1211" s="4263"/>
      <c r="I1211" s="4263"/>
      <c r="J1211" s="4263"/>
      <c r="K1211" s="4263"/>
      <c r="L1211" s="4263"/>
      <c r="M1211" s="4263"/>
      <c r="N1211" s="4263"/>
      <c r="O1211" s="4263"/>
      <c r="P1211" s="4263"/>
      <c r="Q1211" s="4263"/>
      <c r="R1211" s="4263"/>
      <c r="S1211" s="4263"/>
      <c r="T1211" s="4263"/>
      <c r="U1211" s="4263"/>
      <c r="V1211" s="4263"/>
      <c r="W1211" s="12">
        <f>IF(E1211&lt;&gt;"",1,0)*W1163</f>
        <v>0</v>
      </c>
      <c r="X1211" s="12">
        <f t="shared" si="81"/>
        <v>1</v>
      </c>
      <c r="Y1211" s="12">
        <f t="shared" si="82"/>
        <v>0</v>
      </c>
    </row>
    <row r="1212" spans="3:25" ht="15.7">
      <c r="C1212" s="6"/>
      <c r="D1212" s="712">
        <v>7</v>
      </c>
      <c r="E1212" s="4263" t="s">
        <v>1505</v>
      </c>
      <c r="F1212" s="4263"/>
      <c r="G1212" s="4263"/>
      <c r="H1212" s="4263"/>
      <c r="I1212" s="4263"/>
      <c r="J1212" s="4263"/>
      <c r="K1212" s="4263"/>
      <c r="L1212" s="4263"/>
      <c r="M1212" s="4263"/>
      <c r="N1212" s="4263"/>
      <c r="O1212" s="4263"/>
      <c r="P1212" s="4263"/>
      <c r="Q1212" s="4263"/>
      <c r="R1212" s="4263"/>
      <c r="S1212" s="4263"/>
      <c r="T1212" s="4263"/>
      <c r="U1212" s="4263"/>
      <c r="V1212" s="4263"/>
      <c r="W1212" s="12">
        <f>IF(E1212&lt;&gt;"",1,0)*W1163</f>
        <v>0</v>
      </c>
      <c r="X1212" s="12">
        <f t="shared" si="81"/>
        <v>1</v>
      </c>
      <c r="Y1212" s="12">
        <f t="shared" si="82"/>
        <v>0</v>
      </c>
    </row>
    <row r="1213" spans="3:25" ht="15.7">
      <c r="C1213" s="6"/>
      <c r="D1213" s="712">
        <v>8</v>
      </c>
      <c r="E1213" s="4263" t="s">
        <v>1507</v>
      </c>
      <c r="F1213" s="4263"/>
      <c r="G1213" s="4263"/>
      <c r="H1213" s="4263"/>
      <c r="I1213" s="4263"/>
      <c r="J1213" s="4263"/>
      <c r="K1213" s="4263"/>
      <c r="L1213" s="4263"/>
      <c r="M1213" s="4263"/>
      <c r="N1213" s="4263"/>
      <c r="O1213" s="4263"/>
      <c r="P1213" s="4263"/>
      <c r="Q1213" s="4263"/>
      <c r="R1213" s="4263"/>
      <c r="S1213" s="4263"/>
      <c r="T1213" s="4263"/>
      <c r="U1213" s="4263"/>
      <c r="V1213" s="4263"/>
      <c r="W1213" s="12">
        <f>IF(E1213&lt;&gt;"",1,0)*W1163</f>
        <v>0</v>
      </c>
      <c r="X1213" s="12">
        <f t="shared" si="81"/>
        <v>1</v>
      </c>
      <c r="Y1213" s="12">
        <f t="shared" si="82"/>
        <v>0</v>
      </c>
    </row>
    <row r="1214" spans="3:25" ht="15.7">
      <c r="C1214" s="6"/>
      <c r="D1214" s="712">
        <v>9</v>
      </c>
      <c r="E1214" s="4263"/>
      <c r="F1214" s="4263"/>
      <c r="G1214" s="4263"/>
      <c r="H1214" s="4263"/>
      <c r="I1214" s="4263"/>
      <c r="J1214" s="4263"/>
      <c r="K1214" s="4263"/>
      <c r="L1214" s="4263"/>
      <c r="M1214" s="4263"/>
      <c r="N1214" s="4263"/>
      <c r="O1214" s="4263"/>
      <c r="P1214" s="4263"/>
      <c r="Q1214" s="4263"/>
      <c r="R1214" s="4263"/>
      <c r="S1214" s="4263"/>
      <c r="T1214" s="4263"/>
      <c r="U1214" s="4263"/>
      <c r="V1214" s="4263"/>
      <c r="W1214" s="12">
        <f>IF(E1214&lt;&gt;"",1,0)*W1163</f>
        <v>0</v>
      </c>
      <c r="X1214" s="12">
        <f t="shared" si="81"/>
        <v>1</v>
      </c>
      <c r="Y1214" s="12">
        <f t="shared" si="82"/>
        <v>0</v>
      </c>
    </row>
    <row r="1215" spans="3:25" ht="15.7">
      <c r="C1215" s="6"/>
      <c r="D1215" s="712">
        <v>10</v>
      </c>
      <c r="E1215" s="4263"/>
      <c r="F1215" s="4263"/>
      <c r="G1215" s="4263"/>
      <c r="H1215" s="4263"/>
      <c r="I1215" s="4263"/>
      <c r="J1215" s="4263"/>
      <c r="K1215" s="4263"/>
      <c r="L1215" s="4263"/>
      <c r="M1215" s="4263"/>
      <c r="N1215" s="4263"/>
      <c r="O1215" s="4263"/>
      <c r="P1215" s="4263"/>
      <c r="Q1215" s="4263"/>
      <c r="R1215" s="4263"/>
      <c r="S1215" s="4263"/>
      <c r="T1215" s="4263"/>
      <c r="U1215" s="4263"/>
      <c r="V1215" s="4263"/>
      <c r="W1215" s="12">
        <f>IF(E1215&lt;&gt;"",1,0)*W1163</f>
        <v>0</v>
      </c>
      <c r="X1215" s="12">
        <f t="shared" si="81"/>
        <v>1</v>
      </c>
      <c r="Y1215" s="12">
        <f t="shared" si="82"/>
        <v>0</v>
      </c>
    </row>
    <row r="1216" spans="3:25" ht="15.7">
      <c r="C1216" s="6"/>
      <c r="D1216" s="723"/>
      <c r="E1216" s="723"/>
      <c r="F1216" s="723"/>
      <c r="G1216" s="723"/>
      <c r="H1216" s="723"/>
      <c r="I1216" s="723"/>
      <c r="J1216" s="723"/>
      <c r="K1216" s="723"/>
      <c r="L1216" s="724"/>
      <c r="M1216" s="724"/>
      <c r="N1216" s="725"/>
      <c r="O1216" s="725"/>
      <c r="P1216" s="724"/>
      <c r="Q1216" s="445"/>
      <c r="R1216" s="445"/>
      <c r="S1216" s="726"/>
      <c r="T1216" s="726"/>
      <c r="U1216" s="726"/>
      <c r="V1216" s="726"/>
      <c r="W1216" s="12">
        <f>W1163</f>
        <v>0</v>
      </c>
      <c r="X1216" s="12">
        <f t="shared" si="81"/>
        <v>1</v>
      </c>
      <c r="Y1216" s="12">
        <f t="shared" si="82"/>
        <v>0</v>
      </c>
    </row>
    <row r="1217" spans="3:25" ht="40.5" customHeight="1">
      <c r="C1217" s="6"/>
      <c r="D1217" s="4264" t="str">
        <f>UPPER(CONCATENATE("TOTAL ",D1163))</f>
        <v>TOTAL PLUMBING</v>
      </c>
      <c r="E1217" s="4264"/>
      <c r="F1217" s="4264"/>
      <c r="G1217" s="4264"/>
      <c r="H1217" s="4264"/>
      <c r="I1217" s="4264"/>
      <c r="J1217" s="4264"/>
      <c r="K1217" s="4264"/>
      <c r="L1217" s="4264"/>
      <c r="M1217" s="4264"/>
      <c r="N1217" s="4264"/>
      <c r="O1217" s="4264"/>
      <c r="P1217" s="4264"/>
      <c r="Q1217" s="4265"/>
      <c r="R1217" s="4265"/>
      <c r="S1217" s="4265"/>
      <c r="T1217" s="4265"/>
      <c r="U1217" s="4265"/>
      <c r="V1217" s="4265"/>
      <c r="W1217" s="12">
        <f>W1163</f>
        <v>0</v>
      </c>
      <c r="X1217" s="12">
        <f t="shared" si="81"/>
        <v>1</v>
      </c>
      <c r="Y1217" s="12">
        <f t="shared" si="82"/>
        <v>0</v>
      </c>
    </row>
    <row r="1218" spans="3:25" ht="15.7">
      <c r="D1218" s="723"/>
      <c r="E1218" s="723"/>
      <c r="F1218" s="723"/>
      <c r="G1218" s="723"/>
      <c r="H1218" s="723"/>
      <c r="I1218" s="723"/>
      <c r="J1218" s="723"/>
      <c r="K1218" s="723"/>
      <c r="L1218" s="724"/>
      <c r="M1218" s="724"/>
      <c r="N1218" s="725"/>
      <c r="O1218" s="725"/>
      <c r="P1218" s="724"/>
      <c r="Q1218" s="445"/>
      <c r="R1218" s="445"/>
      <c r="S1218" s="726"/>
      <c r="T1218" s="726"/>
      <c r="U1218" s="726"/>
      <c r="V1218" s="726"/>
      <c r="W1218" s="12">
        <f>W1163</f>
        <v>0</v>
      </c>
      <c r="X1218" s="12">
        <f t="shared" si="81"/>
        <v>1</v>
      </c>
      <c r="Y1218" s="12">
        <f t="shared" si="82"/>
        <v>0</v>
      </c>
    </row>
    <row r="1219" spans="3:25" ht="26.45" customHeight="1">
      <c r="D1219" s="4275" t="str">
        <f>T('2 REPAIR ESTIMATOR'!D1032:O1032)</f>
        <v>HVAC</v>
      </c>
      <c r="E1219" s="4275"/>
      <c r="F1219" s="4275"/>
      <c r="G1219" s="4275"/>
      <c r="H1219" s="4275"/>
      <c r="I1219" s="4275"/>
      <c r="J1219" s="4275"/>
      <c r="K1219" s="4276"/>
      <c r="L1219" s="4277">
        <f>SUM(L1220:M1259)</f>
        <v>0</v>
      </c>
      <c r="M1219" s="4278"/>
      <c r="N1219" s="4279"/>
      <c r="O1219" s="4280"/>
      <c r="P1219" s="4277"/>
      <c r="Q1219" s="4281"/>
      <c r="R1219" s="4281"/>
      <c r="S1219" s="4281"/>
      <c r="T1219" s="4281"/>
      <c r="U1219" s="4281"/>
      <c r="V1219" s="4281"/>
      <c r="W1219" s="12">
        <f>IF(L1219&gt;0,1,0)</f>
        <v>0</v>
      </c>
      <c r="X1219" s="12">
        <f t="shared" ref="X1219:X1250" si="83">IF(Scope22_Setting="Shown",1,0)</f>
        <v>1</v>
      </c>
      <c r="Y1219" s="12">
        <f t="shared" si="82"/>
        <v>0</v>
      </c>
    </row>
    <row r="1220" spans="3:25" ht="15.7">
      <c r="D1220" s="4267" t="str">
        <f>T('2 REPAIR ESTIMATOR'!D1033:O1033)</f>
        <v>HVAC, bid/allowance</v>
      </c>
      <c r="E1220" s="4268"/>
      <c r="F1220" s="4268"/>
      <c r="G1220" s="4268"/>
      <c r="H1220" s="4268"/>
      <c r="I1220" s="4268"/>
      <c r="J1220" s="4268"/>
      <c r="K1220" s="4268"/>
      <c r="L1220" s="4269">
        <f>'2 REPAIR ESTIMATOR'!P1033</f>
        <v>0</v>
      </c>
      <c r="M1220" s="4269"/>
      <c r="N1220" s="4270" t="str">
        <f>T('2 REPAIR ESTIMATOR'!S1033)</f>
        <v>ls</v>
      </c>
      <c r="O1220" s="4270"/>
      <c r="P1220" s="4273"/>
      <c r="Q1220" s="4273"/>
      <c r="R1220" s="4273"/>
      <c r="S1220" s="4273"/>
      <c r="T1220" s="4273"/>
      <c r="U1220" s="4273"/>
      <c r="V1220" s="4274"/>
      <c r="W1220" s="12">
        <f>IF(L1220="",0,1)</f>
        <v>1</v>
      </c>
      <c r="X1220" s="12">
        <f t="shared" si="83"/>
        <v>1</v>
      </c>
      <c r="Y1220" s="12">
        <f t="shared" si="82"/>
        <v>1</v>
      </c>
    </row>
    <row r="1221" spans="3:25" ht="15.7">
      <c r="D1221" s="4267" t="str">
        <f>T('2 REPAIR ESTIMATOR'!D1034:O1034)</f>
        <v>HVAC Rough-In, per hour</v>
      </c>
      <c r="E1221" s="4268"/>
      <c r="F1221" s="4268"/>
      <c r="G1221" s="4268"/>
      <c r="H1221" s="4268"/>
      <c r="I1221" s="4268"/>
      <c r="J1221" s="4268"/>
      <c r="K1221" s="4268"/>
      <c r="L1221" s="4269">
        <f>'2 REPAIR ESTIMATOR'!P1034</f>
        <v>0</v>
      </c>
      <c r="M1221" s="4269"/>
      <c r="N1221" s="4270" t="str">
        <f>T('2 REPAIR ESTIMATOR'!S1034)</f>
        <v>hrs</v>
      </c>
      <c r="O1221" s="4270"/>
      <c r="P1221" s="4271"/>
      <c r="Q1221" s="4271"/>
      <c r="R1221" s="4271"/>
      <c r="S1221" s="4271"/>
      <c r="T1221" s="4271"/>
      <c r="U1221" s="4271"/>
      <c r="V1221" s="4272"/>
      <c r="W1221" s="12">
        <f t="shared" ref="W1221:W1259" si="84">IF(L1221="",0,1)</f>
        <v>1</v>
      </c>
      <c r="X1221" s="12">
        <f t="shared" si="83"/>
        <v>1</v>
      </c>
      <c r="Y1221" s="12">
        <f t="shared" si="82"/>
        <v>1</v>
      </c>
    </row>
    <row r="1222" spans="3:25" ht="15.7">
      <c r="D1222" s="4267" t="str">
        <f>T('2 REPAIR ESTIMATOR'!D1035:O1035)</f>
        <v>HVAC Finish Work, per hour</v>
      </c>
      <c r="E1222" s="4268"/>
      <c r="F1222" s="4268"/>
      <c r="G1222" s="4268"/>
      <c r="H1222" s="4268"/>
      <c r="I1222" s="4268"/>
      <c r="J1222" s="4268"/>
      <c r="K1222" s="4268"/>
      <c r="L1222" s="4269">
        <f>'2 REPAIR ESTIMATOR'!P1035</f>
        <v>0</v>
      </c>
      <c r="M1222" s="4269"/>
      <c r="N1222" s="4270" t="str">
        <f>T('2 REPAIR ESTIMATOR'!S1035)</f>
        <v>hrs</v>
      </c>
      <c r="O1222" s="4270"/>
      <c r="P1222" s="4271"/>
      <c r="Q1222" s="4271"/>
      <c r="R1222" s="4271"/>
      <c r="S1222" s="4271"/>
      <c r="T1222" s="4271"/>
      <c r="U1222" s="4271"/>
      <c r="V1222" s="4272"/>
      <c r="W1222" s="12">
        <f t="shared" si="84"/>
        <v>1</v>
      </c>
      <c r="X1222" s="12">
        <f t="shared" si="83"/>
        <v>1</v>
      </c>
      <c r="Y1222" s="12">
        <f t="shared" si="82"/>
        <v>1</v>
      </c>
    </row>
    <row r="1223" spans="3:25" ht="15.7">
      <c r="D1223" s="4267" t="str">
        <f>T('2 REPAIR ESTIMATOR'!D1036:O1036)</f>
        <v>Replace gas fired forced air unit, 1000 sf, 60k btus</v>
      </c>
      <c r="E1223" s="4268"/>
      <c r="F1223" s="4268"/>
      <c r="G1223" s="4268"/>
      <c r="H1223" s="4268"/>
      <c r="I1223" s="4268"/>
      <c r="J1223" s="4268"/>
      <c r="K1223" s="4268"/>
      <c r="L1223" s="4269">
        <f>'2 REPAIR ESTIMATOR'!P1036</f>
        <v>0</v>
      </c>
      <c r="M1223" s="4269"/>
      <c r="N1223" s="4270" t="str">
        <f>T('2 REPAIR ESTIMATOR'!S1036)</f>
        <v>ea</v>
      </c>
      <c r="O1223" s="4270"/>
      <c r="P1223" s="4271" t="s">
        <v>1520</v>
      </c>
      <c r="Q1223" s="4271"/>
      <c r="R1223" s="4271"/>
      <c r="S1223" s="4271"/>
      <c r="T1223" s="4271"/>
      <c r="U1223" s="4271"/>
      <c r="V1223" s="4272"/>
      <c r="W1223" s="12">
        <f t="shared" si="84"/>
        <v>1</v>
      </c>
      <c r="X1223" s="12">
        <f t="shared" si="83"/>
        <v>1</v>
      </c>
      <c r="Y1223" s="12">
        <f t="shared" si="82"/>
        <v>1</v>
      </c>
    </row>
    <row r="1224" spans="3:25" ht="15.7">
      <c r="D1224" s="4267" t="str">
        <f>T('2 REPAIR ESTIMATOR'!D1037:O1037)</f>
        <v>Replace gas fired forced air unit, 2,000, 80k btus</v>
      </c>
      <c r="E1224" s="4268"/>
      <c r="F1224" s="4268"/>
      <c r="G1224" s="4268"/>
      <c r="H1224" s="4268"/>
      <c r="I1224" s="4268"/>
      <c r="J1224" s="4268"/>
      <c r="K1224" s="4268"/>
      <c r="L1224" s="4269">
        <f>'2 REPAIR ESTIMATOR'!P1037</f>
        <v>0</v>
      </c>
      <c r="M1224" s="4269"/>
      <c r="N1224" s="4270" t="str">
        <f>T('2 REPAIR ESTIMATOR'!S1037)</f>
        <v>ea</v>
      </c>
      <c r="O1224" s="4270"/>
      <c r="P1224" s="4271" t="s">
        <v>1520</v>
      </c>
      <c r="Q1224" s="4271"/>
      <c r="R1224" s="4271"/>
      <c r="S1224" s="4271"/>
      <c r="T1224" s="4271"/>
      <c r="U1224" s="4271"/>
      <c r="V1224" s="4272"/>
      <c r="W1224" s="12">
        <f t="shared" si="84"/>
        <v>1</v>
      </c>
      <c r="X1224" s="12">
        <f t="shared" si="83"/>
        <v>1</v>
      </c>
      <c r="Y1224" s="12">
        <f t="shared" si="82"/>
        <v>1</v>
      </c>
    </row>
    <row r="1225" spans="3:25" ht="15.7">
      <c r="D1225" s="4267" t="str">
        <f>T('2 REPAIR ESTIMATOR'!D1038:O1038)</f>
        <v>Replace gas fired forced air unit, 3,000, 100k btus</v>
      </c>
      <c r="E1225" s="4268"/>
      <c r="F1225" s="4268"/>
      <c r="G1225" s="4268"/>
      <c r="H1225" s="4268"/>
      <c r="I1225" s="4268"/>
      <c r="J1225" s="4268"/>
      <c r="K1225" s="4268"/>
      <c r="L1225" s="4269">
        <f>'2 REPAIR ESTIMATOR'!P1038</f>
        <v>0</v>
      </c>
      <c r="M1225" s="4269"/>
      <c r="N1225" s="4270" t="str">
        <f>T('2 REPAIR ESTIMATOR'!S1038)</f>
        <v>ea</v>
      </c>
      <c r="O1225" s="4270"/>
      <c r="P1225" s="4271" t="s">
        <v>1520</v>
      </c>
      <c r="Q1225" s="4271"/>
      <c r="R1225" s="4271"/>
      <c r="S1225" s="4271"/>
      <c r="T1225" s="4271"/>
      <c r="U1225" s="4271"/>
      <c r="V1225" s="4272"/>
      <c r="W1225" s="12">
        <f t="shared" si="84"/>
        <v>1</v>
      </c>
      <c r="X1225" s="12">
        <f t="shared" si="83"/>
        <v>1</v>
      </c>
      <c r="Y1225" s="12">
        <f t="shared" si="82"/>
        <v>1</v>
      </c>
    </row>
    <row r="1226" spans="3:25" ht="15.7">
      <c r="D1226" s="4267" t="str">
        <f>T('2 REPAIR ESTIMATOR'!D1039:O1039)</f>
        <v>Replace air conditioning unit, ~1,000 sf, 2 ton</v>
      </c>
      <c r="E1226" s="4268"/>
      <c r="F1226" s="4268"/>
      <c r="G1226" s="4268"/>
      <c r="H1226" s="4268"/>
      <c r="I1226" s="4268"/>
      <c r="J1226" s="4268"/>
      <c r="K1226" s="4268"/>
      <c r="L1226" s="4269">
        <f>'2 REPAIR ESTIMATOR'!P1039</f>
        <v>0</v>
      </c>
      <c r="M1226" s="4269"/>
      <c r="N1226" s="4270" t="str">
        <f>T('2 REPAIR ESTIMATOR'!S1039)</f>
        <v>ea</v>
      </c>
      <c r="O1226" s="4270"/>
      <c r="P1226" s="4271" t="s">
        <v>1520</v>
      </c>
      <c r="Q1226" s="4271"/>
      <c r="R1226" s="4271"/>
      <c r="S1226" s="4271"/>
      <c r="T1226" s="4271"/>
      <c r="U1226" s="4271"/>
      <c r="V1226" s="4272"/>
      <c r="W1226" s="12">
        <f t="shared" si="84"/>
        <v>1</v>
      </c>
      <c r="X1226" s="12">
        <f t="shared" si="83"/>
        <v>1</v>
      </c>
      <c r="Y1226" s="12">
        <f t="shared" si="82"/>
        <v>1</v>
      </c>
    </row>
    <row r="1227" spans="3:25" ht="15.7">
      <c r="D1227" s="4267" t="str">
        <f>T('2 REPAIR ESTIMATOR'!D1040:O1040)</f>
        <v>Replace air conditioning unit, ~2,000 sf, 3.5 ton</v>
      </c>
      <c r="E1227" s="4268"/>
      <c r="F1227" s="4268"/>
      <c r="G1227" s="4268"/>
      <c r="H1227" s="4268"/>
      <c r="I1227" s="4268"/>
      <c r="J1227" s="4268"/>
      <c r="K1227" s="4268"/>
      <c r="L1227" s="4269">
        <f>'2 REPAIR ESTIMATOR'!P1040</f>
        <v>0</v>
      </c>
      <c r="M1227" s="4269"/>
      <c r="N1227" s="4270" t="str">
        <f>T('2 REPAIR ESTIMATOR'!S1040)</f>
        <v>ea</v>
      </c>
      <c r="O1227" s="4270"/>
      <c r="P1227" s="4271" t="s">
        <v>1520</v>
      </c>
      <c r="Q1227" s="4271"/>
      <c r="R1227" s="4271"/>
      <c r="S1227" s="4271"/>
      <c r="T1227" s="4271"/>
      <c r="U1227" s="4271"/>
      <c r="V1227" s="4272"/>
      <c r="W1227" s="12">
        <f t="shared" si="84"/>
        <v>1</v>
      </c>
      <c r="X1227" s="12">
        <f t="shared" si="83"/>
        <v>1</v>
      </c>
      <c r="Y1227" s="12">
        <f t="shared" si="82"/>
        <v>1</v>
      </c>
    </row>
    <row r="1228" spans="3:25" ht="15.7">
      <c r="D1228" s="4267" t="str">
        <f>T('2 REPAIR ESTIMATOR'!D1041:O1041)</f>
        <v>Replace air conditioning unit, ~3,000sf, 5 ton</v>
      </c>
      <c r="E1228" s="4268"/>
      <c r="F1228" s="4268"/>
      <c r="G1228" s="4268"/>
      <c r="H1228" s="4268"/>
      <c r="I1228" s="4268"/>
      <c r="J1228" s="4268"/>
      <c r="K1228" s="4268"/>
      <c r="L1228" s="4269">
        <f>'2 REPAIR ESTIMATOR'!P1041</f>
        <v>0</v>
      </c>
      <c r="M1228" s="4269"/>
      <c r="N1228" s="4270" t="str">
        <f>T('2 REPAIR ESTIMATOR'!S1041)</f>
        <v>ea</v>
      </c>
      <c r="O1228" s="4270"/>
      <c r="P1228" s="4271" t="s">
        <v>1520</v>
      </c>
      <c r="Q1228" s="4271"/>
      <c r="R1228" s="4271"/>
      <c r="S1228" s="4271"/>
      <c r="T1228" s="4271"/>
      <c r="U1228" s="4271"/>
      <c r="V1228" s="4272"/>
      <c r="W1228" s="12">
        <f t="shared" si="84"/>
        <v>1</v>
      </c>
      <c r="X1228" s="12">
        <f t="shared" si="83"/>
        <v>1</v>
      </c>
      <c r="Y1228" s="12">
        <f t="shared" si="82"/>
        <v>1</v>
      </c>
    </row>
    <row r="1229" spans="3:25" ht="15.7">
      <c r="D1229" s="4267" t="str">
        <f>T('2 REPAIR ESTIMATOR'!D1042:O1042)</f>
        <v>Hotel type, hot/cold packaged unit</v>
      </c>
      <c r="E1229" s="4268"/>
      <c r="F1229" s="4268"/>
      <c r="G1229" s="4268"/>
      <c r="H1229" s="4268"/>
      <c r="I1229" s="4268"/>
      <c r="J1229" s="4268"/>
      <c r="K1229" s="4268"/>
      <c r="L1229" s="4269">
        <f>'2 REPAIR ESTIMATOR'!P1042</f>
        <v>0</v>
      </c>
      <c r="M1229" s="4269"/>
      <c r="N1229" s="4270" t="str">
        <f>T('2 REPAIR ESTIMATOR'!S1042)</f>
        <v>ea</v>
      </c>
      <c r="O1229" s="4270"/>
      <c r="P1229" s="4271" t="s">
        <v>1520</v>
      </c>
      <c r="Q1229" s="4271"/>
      <c r="R1229" s="4271"/>
      <c r="S1229" s="4271"/>
      <c r="T1229" s="4271"/>
      <c r="U1229" s="4271"/>
      <c r="V1229" s="4272"/>
      <c r="W1229" s="12">
        <f t="shared" si="84"/>
        <v>1</v>
      </c>
      <c r="X1229" s="12">
        <f t="shared" si="83"/>
        <v>1</v>
      </c>
      <c r="Y1229" s="12">
        <f t="shared" si="82"/>
        <v>1</v>
      </c>
    </row>
    <row r="1230" spans="3:25" ht="15.7">
      <c r="D1230" s="4267" t="str">
        <f>T('2 REPAIR ESTIMATOR'!D1043:O1043)</f>
        <v>Window mounted unit</v>
      </c>
      <c r="E1230" s="4268"/>
      <c r="F1230" s="4268"/>
      <c r="G1230" s="4268"/>
      <c r="H1230" s="4268"/>
      <c r="I1230" s="4268"/>
      <c r="J1230" s="4268"/>
      <c r="K1230" s="4268"/>
      <c r="L1230" s="4269">
        <f>'2 REPAIR ESTIMATOR'!P1043</f>
        <v>0</v>
      </c>
      <c r="M1230" s="4269"/>
      <c r="N1230" s="4270" t="str">
        <f>T('2 REPAIR ESTIMATOR'!S1043)</f>
        <v>ea</v>
      </c>
      <c r="O1230" s="4270"/>
      <c r="P1230" s="4271" t="s">
        <v>1520</v>
      </c>
      <c r="Q1230" s="4271"/>
      <c r="R1230" s="4271"/>
      <c r="S1230" s="4271"/>
      <c r="T1230" s="4271"/>
      <c r="U1230" s="4271"/>
      <c r="V1230" s="4272"/>
      <c r="W1230" s="12">
        <f t="shared" si="84"/>
        <v>1</v>
      </c>
      <c r="X1230" s="12">
        <f t="shared" si="83"/>
        <v>1</v>
      </c>
      <c r="Y1230" s="12">
        <f t="shared" si="82"/>
        <v>1</v>
      </c>
    </row>
    <row r="1231" spans="3:25" ht="15.7">
      <c r="D1231" s="4267" t="str">
        <f>T('2 REPAIR ESTIMATOR'!D1044:O1044)</f>
        <v>HVAC equipment tune-up/service call</v>
      </c>
      <c r="E1231" s="4268"/>
      <c r="F1231" s="4268"/>
      <c r="G1231" s="4268"/>
      <c r="H1231" s="4268"/>
      <c r="I1231" s="4268"/>
      <c r="J1231" s="4268"/>
      <c r="K1231" s="4268"/>
      <c r="L1231" s="4269">
        <f>'2 REPAIR ESTIMATOR'!P1044</f>
        <v>0</v>
      </c>
      <c r="M1231" s="4269"/>
      <c r="N1231" s="4270" t="str">
        <f>T('2 REPAIR ESTIMATOR'!S1044)</f>
        <v>ea</v>
      </c>
      <c r="O1231" s="4270"/>
      <c r="P1231" s="4271"/>
      <c r="Q1231" s="4271"/>
      <c r="R1231" s="4271"/>
      <c r="S1231" s="4271"/>
      <c r="T1231" s="4271"/>
      <c r="U1231" s="4271"/>
      <c r="V1231" s="4272"/>
      <c r="W1231" s="12">
        <f t="shared" si="84"/>
        <v>1</v>
      </c>
      <c r="X1231" s="12">
        <f t="shared" si="83"/>
        <v>1</v>
      </c>
      <c r="Y1231" s="12">
        <f t="shared" si="82"/>
        <v>1</v>
      </c>
    </row>
    <row r="1232" spans="3:25" ht="15.7">
      <c r="D1232" s="4267" t="str">
        <f>T('2 REPAIR ESTIMATOR'!D1045:O1045)</f>
        <v>Programmable thermostat</v>
      </c>
      <c r="E1232" s="4268"/>
      <c r="F1232" s="4268"/>
      <c r="G1232" s="4268"/>
      <c r="H1232" s="4268"/>
      <c r="I1232" s="4268"/>
      <c r="J1232" s="4268"/>
      <c r="K1232" s="4268"/>
      <c r="L1232" s="4269">
        <f>'2 REPAIR ESTIMATOR'!P1045</f>
        <v>0</v>
      </c>
      <c r="M1232" s="4269"/>
      <c r="N1232" s="4270" t="str">
        <f>T('2 REPAIR ESTIMATOR'!S1045)</f>
        <v>ea</v>
      </c>
      <c r="O1232" s="4270"/>
      <c r="P1232" s="4271" t="s">
        <v>1520</v>
      </c>
      <c r="Q1232" s="4271"/>
      <c r="R1232" s="4271"/>
      <c r="S1232" s="4271"/>
      <c r="T1232" s="4271"/>
      <c r="U1232" s="4271"/>
      <c r="V1232" s="4272"/>
      <c r="W1232" s="12">
        <f t="shared" si="84"/>
        <v>1</v>
      </c>
      <c r="X1232" s="12">
        <f t="shared" si="83"/>
        <v>1</v>
      </c>
      <c r="Y1232" s="12">
        <f t="shared" si="82"/>
        <v>1</v>
      </c>
    </row>
    <row r="1233" spans="4:25" ht="15.7">
      <c r="D1233" s="4267" t="str">
        <f>T('2 REPAIR ESTIMATOR'!D1046:O1046)</f>
        <v>Replace supply air grilles/returns</v>
      </c>
      <c r="E1233" s="4268"/>
      <c r="F1233" s="4268"/>
      <c r="G1233" s="4268"/>
      <c r="H1233" s="4268"/>
      <c r="I1233" s="4268"/>
      <c r="J1233" s="4268"/>
      <c r="K1233" s="4268"/>
      <c r="L1233" s="4269">
        <f>'2 REPAIR ESTIMATOR'!P1046</f>
        <v>0</v>
      </c>
      <c r="M1233" s="4269"/>
      <c r="N1233" s="4270" t="str">
        <f>T('2 REPAIR ESTIMATOR'!S1046)</f>
        <v>ea</v>
      </c>
      <c r="O1233" s="4270"/>
      <c r="P1233" s="4271" t="s">
        <v>1520</v>
      </c>
      <c r="Q1233" s="4271"/>
      <c r="R1233" s="4271"/>
      <c r="S1233" s="4271"/>
      <c r="T1233" s="4271"/>
      <c r="U1233" s="4271"/>
      <c r="V1233" s="4272"/>
      <c r="W1233" s="12">
        <f t="shared" si="84"/>
        <v>1</v>
      </c>
      <c r="X1233" s="12">
        <f t="shared" si="83"/>
        <v>1</v>
      </c>
      <c r="Y1233" s="12">
        <f t="shared" si="82"/>
        <v>1</v>
      </c>
    </row>
    <row r="1234" spans="4:25" ht="15.7">
      <c r="D1234" s="4267" t="str">
        <f>T('2 REPAIR ESTIMATOR'!D1047:O1047)</f>
        <v>Clean ductwork</v>
      </c>
      <c r="E1234" s="4268"/>
      <c r="F1234" s="4268"/>
      <c r="G1234" s="4268"/>
      <c r="H1234" s="4268"/>
      <c r="I1234" s="4268"/>
      <c r="J1234" s="4268"/>
      <c r="K1234" s="4268"/>
      <c r="L1234" s="4269">
        <f>'2 REPAIR ESTIMATOR'!P1047</f>
        <v>0</v>
      </c>
      <c r="M1234" s="4269"/>
      <c r="N1234" s="4270" t="str">
        <f>T('2 REPAIR ESTIMATOR'!S1047)</f>
        <v>ls</v>
      </c>
      <c r="O1234" s="4270"/>
      <c r="P1234" s="4271"/>
      <c r="Q1234" s="4271"/>
      <c r="R1234" s="4271"/>
      <c r="S1234" s="4271"/>
      <c r="T1234" s="4271"/>
      <c r="U1234" s="4271"/>
      <c r="V1234" s="4272"/>
      <c r="W1234" s="12">
        <f t="shared" si="84"/>
        <v>1</v>
      </c>
      <c r="X1234" s="12">
        <f t="shared" si="83"/>
        <v>1</v>
      </c>
      <c r="Y1234" s="12">
        <f t="shared" si="82"/>
        <v>1</v>
      </c>
    </row>
    <row r="1235" spans="4:25" ht="15.7">
      <c r="D1235" s="4267" t="str">
        <f>T('2 REPAIR ESTIMATOR'!D1048:O1048)</f>
        <v/>
      </c>
      <c r="E1235" s="4268"/>
      <c r="F1235" s="4268"/>
      <c r="G1235" s="4268"/>
      <c r="H1235" s="4268"/>
      <c r="I1235" s="4268"/>
      <c r="J1235" s="4268"/>
      <c r="K1235" s="4268"/>
      <c r="L1235" s="4269">
        <f>'2 REPAIR ESTIMATOR'!P1048</f>
        <v>0</v>
      </c>
      <c r="M1235" s="4269"/>
      <c r="N1235" s="4270" t="str">
        <f>T('2 REPAIR ESTIMATOR'!S1048)</f>
        <v/>
      </c>
      <c r="O1235" s="4270"/>
      <c r="P1235" s="4271"/>
      <c r="Q1235" s="4271"/>
      <c r="R1235" s="4271"/>
      <c r="S1235" s="4271"/>
      <c r="T1235" s="4271"/>
      <c r="U1235" s="4271"/>
      <c r="V1235" s="4272"/>
      <c r="W1235" s="12">
        <f t="shared" si="84"/>
        <v>1</v>
      </c>
      <c r="X1235" s="12">
        <f t="shared" si="83"/>
        <v>1</v>
      </c>
      <c r="Y1235" s="12">
        <f t="shared" si="82"/>
        <v>1</v>
      </c>
    </row>
    <row r="1236" spans="4:25" ht="15.7">
      <c r="D1236" s="4267" t="str">
        <f>T('2 REPAIR ESTIMATOR'!D1049:O1049)</f>
        <v/>
      </c>
      <c r="E1236" s="4268"/>
      <c r="F1236" s="4268"/>
      <c r="G1236" s="4268"/>
      <c r="H1236" s="4268"/>
      <c r="I1236" s="4268"/>
      <c r="J1236" s="4268"/>
      <c r="K1236" s="4268"/>
      <c r="L1236" s="4269">
        <f>'2 REPAIR ESTIMATOR'!P1049</f>
        <v>0</v>
      </c>
      <c r="M1236" s="4269"/>
      <c r="N1236" s="4270" t="str">
        <f>T('2 REPAIR ESTIMATOR'!S1049)</f>
        <v/>
      </c>
      <c r="O1236" s="4270"/>
      <c r="P1236" s="4271"/>
      <c r="Q1236" s="4271"/>
      <c r="R1236" s="4271"/>
      <c r="S1236" s="4271"/>
      <c r="T1236" s="4271"/>
      <c r="U1236" s="4271"/>
      <c r="V1236" s="4272"/>
      <c r="W1236" s="12">
        <f t="shared" si="84"/>
        <v>1</v>
      </c>
      <c r="X1236" s="12">
        <f t="shared" si="83"/>
        <v>1</v>
      </c>
      <c r="Y1236" s="12">
        <f t="shared" si="82"/>
        <v>1</v>
      </c>
    </row>
    <row r="1237" spans="4:25" ht="15.7">
      <c r="D1237" s="4267" t="str">
        <f>T('2 REPAIR ESTIMATOR'!D1050:O1050)</f>
        <v/>
      </c>
      <c r="E1237" s="4268"/>
      <c r="F1237" s="4268"/>
      <c r="G1237" s="4268"/>
      <c r="H1237" s="4268"/>
      <c r="I1237" s="4268"/>
      <c r="J1237" s="4268"/>
      <c r="K1237" s="4268"/>
      <c r="L1237" s="4269">
        <f>'2 REPAIR ESTIMATOR'!P1050</f>
        <v>0</v>
      </c>
      <c r="M1237" s="4269"/>
      <c r="N1237" s="4270" t="str">
        <f>T('2 REPAIR ESTIMATOR'!S1050)</f>
        <v/>
      </c>
      <c r="O1237" s="4270"/>
      <c r="P1237" s="4271"/>
      <c r="Q1237" s="4271"/>
      <c r="R1237" s="4271"/>
      <c r="S1237" s="4271"/>
      <c r="T1237" s="4271"/>
      <c r="U1237" s="4271"/>
      <c r="V1237" s="4272"/>
      <c r="W1237" s="12">
        <f t="shared" si="84"/>
        <v>1</v>
      </c>
      <c r="X1237" s="12">
        <f t="shared" si="83"/>
        <v>1</v>
      </c>
      <c r="Y1237" s="12">
        <f t="shared" si="82"/>
        <v>1</v>
      </c>
    </row>
    <row r="1238" spans="4:25" ht="15.7">
      <c r="D1238" s="4267" t="str">
        <f>T('2 REPAIR ESTIMATOR'!D1051:O1051)</f>
        <v/>
      </c>
      <c r="E1238" s="4268"/>
      <c r="F1238" s="4268"/>
      <c r="G1238" s="4268"/>
      <c r="H1238" s="4268"/>
      <c r="I1238" s="4268"/>
      <c r="J1238" s="4268"/>
      <c r="K1238" s="4268"/>
      <c r="L1238" s="4269">
        <f>'2 REPAIR ESTIMATOR'!P1051</f>
        <v>0</v>
      </c>
      <c r="M1238" s="4269"/>
      <c r="N1238" s="4270" t="str">
        <f>T('2 REPAIR ESTIMATOR'!S1051)</f>
        <v/>
      </c>
      <c r="O1238" s="4270"/>
      <c r="P1238" s="4271"/>
      <c r="Q1238" s="4271"/>
      <c r="R1238" s="4271"/>
      <c r="S1238" s="4271"/>
      <c r="T1238" s="4271"/>
      <c r="U1238" s="4271"/>
      <c r="V1238" s="4272"/>
      <c r="W1238" s="12">
        <f t="shared" si="84"/>
        <v>1</v>
      </c>
      <c r="X1238" s="12">
        <f t="shared" si="83"/>
        <v>1</v>
      </c>
      <c r="Y1238" s="12">
        <f t="shared" si="82"/>
        <v>1</v>
      </c>
    </row>
    <row r="1239" spans="4:25" ht="15.7">
      <c r="D1239" s="4267" t="str">
        <f>T('2 REPAIR ESTIMATOR'!D1052:O1052)</f>
        <v/>
      </c>
      <c r="E1239" s="4268"/>
      <c r="F1239" s="4268"/>
      <c r="G1239" s="4268"/>
      <c r="H1239" s="4268"/>
      <c r="I1239" s="4268"/>
      <c r="J1239" s="4268"/>
      <c r="K1239" s="4268"/>
      <c r="L1239" s="4269">
        <f>'2 REPAIR ESTIMATOR'!P1052</f>
        <v>0</v>
      </c>
      <c r="M1239" s="4269"/>
      <c r="N1239" s="4270" t="str">
        <f>T('2 REPAIR ESTIMATOR'!S1052)</f>
        <v/>
      </c>
      <c r="O1239" s="4270"/>
      <c r="P1239" s="4271"/>
      <c r="Q1239" s="4271"/>
      <c r="R1239" s="4271"/>
      <c r="S1239" s="4271"/>
      <c r="T1239" s="4271"/>
      <c r="U1239" s="4271"/>
      <c r="V1239" s="4272"/>
      <c r="W1239" s="12">
        <f t="shared" si="84"/>
        <v>1</v>
      </c>
      <c r="X1239" s="12">
        <f t="shared" si="83"/>
        <v>1</v>
      </c>
      <c r="Y1239" s="12">
        <f t="shared" si="82"/>
        <v>1</v>
      </c>
    </row>
    <row r="1240" spans="4:25" ht="15.7">
      <c r="D1240" s="4267" t="str">
        <f>T('2 REPAIR ESTIMATOR'!D1053:O1053)</f>
        <v/>
      </c>
      <c r="E1240" s="4268"/>
      <c r="F1240" s="4268"/>
      <c r="G1240" s="4268"/>
      <c r="H1240" s="4268"/>
      <c r="I1240" s="4268"/>
      <c r="J1240" s="4268"/>
      <c r="K1240" s="4268"/>
      <c r="L1240" s="4269">
        <f>'2 REPAIR ESTIMATOR'!P1053</f>
        <v>0</v>
      </c>
      <c r="M1240" s="4269"/>
      <c r="N1240" s="4270" t="str">
        <f>T('2 REPAIR ESTIMATOR'!S1053)</f>
        <v/>
      </c>
      <c r="O1240" s="4270"/>
      <c r="P1240" s="4271"/>
      <c r="Q1240" s="4271"/>
      <c r="R1240" s="4271"/>
      <c r="S1240" s="4271"/>
      <c r="T1240" s="4271"/>
      <c r="U1240" s="4271"/>
      <c r="V1240" s="4272"/>
      <c r="W1240" s="12">
        <f t="shared" si="84"/>
        <v>1</v>
      </c>
      <c r="X1240" s="12">
        <f t="shared" si="83"/>
        <v>1</v>
      </c>
      <c r="Y1240" s="12">
        <f t="shared" si="82"/>
        <v>1</v>
      </c>
    </row>
    <row r="1241" spans="4:25" ht="15.7">
      <c r="D1241" s="4267" t="str">
        <f>T('2 REPAIR ESTIMATOR'!D1054:O1054)</f>
        <v/>
      </c>
      <c r="E1241" s="4268"/>
      <c r="F1241" s="4268"/>
      <c r="G1241" s="4268"/>
      <c r="H1241" s="4268"/>
      <c r="I1241" s="4268"/>
      <c r="J1241" s="4268"/>
      <c r="K1241" s="4268"/>
      <c r="L1241" s="4269">
        <f>'2 REPAIR ESTIMATOR'!P1054</f>
        <v>0</v>
      </c>
      <c r="M1241" s="4269"/>
      <c r="N1241" s="4270" t="str">
        <f>T('2 REPAIR ESTIMATOR'!S1054)</f>
        <v/>
      </c>
      <c r="O1241" s="4270"/>
      <c r="P1241" s="4271"/>
      <c r="Q1241" s="4271"/>
      <c r="R1241" s="4271"/>
      <c r="S1241" s="4271"/>
      <c r="T1241" s="4271"/>
      <c r="U1241" s="4271"/>
      <c r="V1241" s="4272"/>
      <c r="W1241" s="12">
        <f t="shared" si="84"/>
        <v>1</v>
      </c>
      <c r="X1241" s="12">
        <f t="shared" si="83"/>
        <v>1</v>
      </c>
      <c r="Y1241" s="12">
        <f t="shared" si="82"/>
        <v>1</v>
      </c>
    </row>
    <row r="1242" spans="4:25" ht="15.7">
      <c r="D1242" s="4267" t="str">
        <f>T('2 REPAIR ESTIMATOR'!D1055:O1055)</f>
        <v/>
      </c>
      <c r="E1242" s="4268"/>
      <c r="F1242" s="4268"/>
      <c r="G1242" s="4268"/>
      <c r="H1242" s="4268"/>
      <c r="I1242" s="4268"/>
      <c r="J1242" s="4268"/>
      <c r="K1242" s="4268"/>
      <c r="L1242" s="4269">
        <f>'2 REPAIR ESTIMATOR'!P1055</f>
        <v>0</v>
      </c>
      <c r="M1242" s="4269"/>
      <c r="N1242" s="4270" t="str">
        <f>T('2 REPAIR ESTIMATOR'!S1055)</f>
        <v/>
      </c>
      <c r="O1242" s="4270"/>
      <c r="P1242" s="4271"/>
      <c r="Q1242" s="4271"/>
      <c r="R1242" s="4271"/>
      <c r="S1242" s="4271"/>
      <c r="T1242" s="4271"/>
      <c r="U1242" s="4271"/>
      <c r="V1242" s="4272"/>
      <c r="W1242" s="12">
        <f t="shared" si="84"/>
        <v>1</v>
      </c>
      <c r="X1242" s="12">
        <f t="shared" si="83"/>
        <v>1</v>
      </c>
      <c r="Y1242" s="12">
        <f t="shared" si="82"/>
        <v>1</v>
      </c>
    </row>
    <row r="1243" spans="4:25" ht="15.7">
      <c r="D1243" s="4267" t="str">
        <f>T('2 REPAIR ESTIMATOR'!D1056:O1056)</f>
        <v/>
      </c>
      <c r="E1243" s="4268"/>
      <c r="F1243" s="4268"/>
      <c r="G1243" s="4268"/>
      <c r="H1243" s="4268"/>
      <c r="I1243" s="4268"/>
      <c r="J1243" s="4268"/>
      <c r="K1243" s="4268"/>
      <c r="L1243" s="4269">
        <f>'2 REPAIR ESTIMATOR'!P1056</f>
        <v>0</v>
      </c>
      <c r="M1243" s="4269"/>
      <c r="N1243" s="4270" t="str">
        <f>T('2 REPAIR ESTIMATOR'!S1056)</f>
        <v/>
      </c>
      <c r="O1243" s="4270"/>
      <c r="P1243" s="4271"/>
      <c r="Q1243" s="4271"/>
      <c r="R1243" s="4271"/>
      <c r="S1243" s="4271"/>
      <c r="T1243" s="4271"/>
      <c r="U1243" s="4271"/>
      <c r="V1243" s="4272"/>
      <c r="W1243" s="12">
        <f t="shared" si="84"/>
        <v>1</v>
      </c>
      <c r="X1243" s="12">
        <f t="shared" si="83"/>
        <v>1</v>
      </c>
      <c r="Y1243" s="12">
        <f t="shared" si="82"/>
        <v>1</v>
      </c>
    </row>
    <row r="1244" spans="4:25" ht="15.7">
      <c r="D1244" s="4267" t="str">
        <f>T('2 REPAIR ESTIMATOR'!D1057:O1057)</f>
        <v/>
      </c>
      <c r="E1244" s="4268"/>
      <c r="F1244" s="4268"/>
      <c r="G1244" s="4268"/>
      <c r="H1244" s="4268"/>
      <c r="I1244" s="4268"/>
      <c r="J1244" s="4268"/>
      <c r="K1244" s="4268"/>
      <c r="L1244" s="4269">
        <f>'2 REPAIR ESTIMATOR'!P1057</f>
        <v>0</v>
      </c>
      <c r="M1244" s="4269"/>
      <c r="N1244" s="4270" t="str">
        <f>T('2 REPAIR ESTIMATOR'!S1057)</f>
        <v/>
      </c>
      <c r="O1244" s="4270"/>
      <c r="P1244" s="4271"/>
      <c r="Q1244" s="4271"/>
      <c r="R1244" s="4271"/>
      <c r="S1244" s="4271"/>
      <c r="T1244" s="4271"/>
      <c r="U1244" s="4271"/>
      <c r="V1244" s="4272"/>
      <c r="W1244" s="12">
        <f t="shared" si="84"/>
        <v>1</v>
      </c>
      <c r="X1244" s="12">
        <f t="shared" si="83"/>
        <v>1</v>
      </c>
      <c r="Y1244" s="12">
        <f t="shared" si="82"/>
        <v>1</v>
      </c>
    </row>
    <row r="1245" spans="4:25" ht="15.7">
      <c r="D1245" s="4267" t="str">
        <f>T('2 REPAIR ESTIMATOR'!D1058:O1058)</f>
        <v/>
      </c>
      <c r="E1245" s="4268"/>
      <c r="F1245" s="4268"/>
      <c r="G1245" s="4268"/>
      <c r="H1245" s="4268"/>
      <c r="I1245" s="4268"/>
      <c r="J1245" s="4268"/>
      <c r="K1245" s="4268"/>
      <c r="L1245" s="4269">
        <f>'2 REPAIR ESTIMATOR'!P1058</f>
        <v>0</v>
      </c>
      <c r="M1245" s="4269"/>
      <c r="N1245" s="4270" t="str">
        <f>T('2 REPAIR ESTIMATOR'!S1058)</f>
        <v/>
      </c>
      <c r="O1245" s="4270"/>
      <c r="P1245" s="4271"/>
      <c r="Q1245" s="4271"/>
      <c r="R1245" s="4271"/>
      <c r="S1245" s="4271"/>
      <c r="T1245" s="4271"/>
      <c r="U1245" s="4271"/>
      <c r="V1245" s="4272"/>
      <c r="W1245" s="12">
        <f t="shared" si="84"/>
        <v>1</v>
      </c>
      <c r="X1245" s="12">
        <f t="shared" si="83"/>
        <v>1</v>
      </c>
      <c r="Y1245" s="12">
        <f t="shared" si="82"/>
        <v>1</v>
      </c>
    </row>
    <row r="1246" spans="4:25" ht="15.7">
      <c r="D1246" s="4267" t="str">
        <f>T('2 REPAIR ESTIMATOR'!D1059:O1059)</f>
        <v/>
      </c>
      <c r="E1246" s="4268"/>
      <c r="F1246" s="4268"/>
      <c r="G1246" s="4268"/>
      <c r="H1246" s="4268"/>
      <c r="I1246" s="4268"/>
      <c r="J1246" s="4268"/>
      <c r="K1246" s="4268"/>
      <c r="L1246" s="4269">
        <f>'2 REPAIR ESTIMATOR'!P1059</f>
        <v>0</v>
      </c>
      <c r="M1246" s="4269"/>
      <c r="N1246" s="4270" t="str">
        <f>T('2 REPAIR ESTIMATOR'!S1059)</f>
        <v/>
      </c>
      <c r="O1246" s="4270"/>
      <c r="P1246" s="4271"/>
      <c r="Q1246" s="4271"/>
      <c r="R1246" s="4271"/>
      <c r="S1246" s="4271"/>
      <c r="T1246" s="4271"/>
      <c r="U1246" s="4271"/>
      <c r="V1246" s="4272"/>
      <c r="W1246" s="12">
        <f t="shared" si="84"/>
        <v>1</v>
      </c>
      <c r="X1246" s="12">
        <f t="shared" si="83"/>
        <v>1</v>
      </c>
      <c r="Y1246" s="12">
        <f t="shared" si="82"/>
        <v>1</v>
      </c>
    </row>
    <row r="1247" spans="4:25" ht="15.7">
      <c r="D1247" s="4267" t="str">
        <f>T('2 REPAIR ESTIMATOR'!D1060:O1060)</f>
        <v/>
      </c>
      <c r="E1247" s="4268"/>
      <c r="F1247" s="4268"/>
      <c r="G1247" s="4268"/>
      <c r="H1247" s="4268"/>
      <c r="I1247" s="4268"/>
      <c r="J1247" s="4268"/>
      <c r="K1247" s="4268"/>
      <c r="L1247" s="4269">
        <f>'2 REPAIR ESTIMATOR'!P1060</f>
        <v>0</v>
      </c>
      <c r="M1247" s="4269"/>
      <c r="N1247" s="4270" t="str">
        <f>T('2 REPAIR ESTIMATOR'!S1060)</f>
        <v/>
      </c>
      <c r="O1247" s="4270"/>
      <c r="P1247" s="4271"/>
      <c r="Q1247" s="4271"/>
      <c r="R1247" s="4271"/>
      <c r="S1247" s="4271"/>
      <c r="T1247" s="4271"/>
      <c r="U1247" s="4271"/>
      <c r="V1247" s="4272"/>
      <c r="W1247" s="12">
        <f t="shared" si="84"/>
        <v>1</v>
      </c>
      <c r="X1247" s="12">
        <f t="shared" si="83"/>
        <v>1</v>
      </c>
      <c r="Y1247" s="12">
        <f t="shared" si="82"/>
        <v>1</v>
      </c>
    </row>
    <row r="1248" spans="4:25" ht="15.7">
      <c r="D1248" s="4267" t="str">
        <f>T('2 REPAIR ESTIMATOR'!D1061:O1061)</f>
        <v/>
      </c>
      <c r="E1248" s="4268"/>
      <c r="F1248" s="4268"/>
      <c r="G1248" s="4268"/>
      <c r="H1248" s="4268"/>
      <c r="I1248" s="4268"/>
      <c r="J1248" s="4268"/>
      <c r="K1248" s="4268"/>
      <c r="L1248" s="4269">
        <f>'2 REPAIR ESTIMATOR'!P1061</f>
        <v>0</v>
      </c>
      <c r="M1248" s="4269"/>
      <c r="N1248" s="4270" t="str">
        <f>T('2 REPAIR ESTIMATOR'!S1061)</f>
        <v/>
      </c>
      <c r="O1248" s="4270"/>
      <c r="P1248" s="4271"/>
      <c r="Q1248" s="4271"/>
      <c r="R1248" s="4271"/>
      <c r="S1248" s="4271"/>
      <c r="T1248" s="4271"/>
      <c r="U1248" s="4271"/>
      <c r="V1248" s="4272"/>
      <c r="W1248" s="12">
        <f t="shared" si="84"/>
        <v>1</v>
      </c>
      <c r="X1248" s="12">
        <f t="shared" si="83"/>
        <v>1</v>
      </c>
      <c r="Y1248" s="12">
        <f t="shared" si="82"/>
        <v>1</v>
      </c>
    </row>
    <row r="1249" spans="3:25" ht="15.7">
      <c r="D1249" s="4267" t="str">
        <f>T('2 REPAIR ESTIMATOR'!D1062:O1062)</f>
        <v/>
      </c>
      <c r="E1249" s="4268"/>
      <c r="F1249" s="4268"/>
      <c r="G1249" s="4268"/>
      <c r="H1249" s="4268"/>
      <c r="I1249" s="4268"/>
      <c r="J1249" s="4268"/>
      <c r="K1249" s="4268"/>
      <c r="L1249" s="4269">
        <f>'2 REPAIR ESTIMATOR'!P1062</f>
        <v>0</v>
      </c>
      <c r="M1249" s="4269"/>
      <c r="N1249" s="4270" t="str">
        <f>T('2 REPAIR ESTIMATOR'!S1062)</f>
        <v/>
      </c>
      <c r="O1249" s="4270"/>
      <c r="P1249" s="4271"/>
      <c r="Q1249" s="4271"/>
      <c r="R1249" s="4271"/>
      <c r="S1249" s="4271"/>
      <c r="T1249" s="4271"/>
      <c r="U1249" s="4271"/>
      <c r="V1249" s="4272"/>
      <c r="W1249" s="12">
        <f t="shared" si="84"/>
        <v>1</v>
      </c>
      <c r="X1249" s="12">
        <f t="shared" si="83"/>
        <v>1</v>
      </c>
      <c r="Y1249" s="12">
        <f t="shared" si="82"/>
        <v>1</v>
      </c>
    </row>
    <row r="1250" spans="3:25" ht="15.7">
      <c r="D1250" s="4267" t="str">
        <f>T('2 REPAIR ESTIMATOR'!D1063:O1063)</f>
        <v/>
      </c>
      <c r="E1250" s="4268"/>
      <c r="F1250" s="4268"/>
      <c r="G1250" s="4268"/>
      <c r="H1250" s="4268"/>
      <c r="I1250" s="4268"/>
      <c r="J1250" s="4268"/>
      <c r="K1250" s="4268"/>
      <c r="L1250" s="4269">
        <f>'2 REPAIR ESTIMATOR'!P1063</f>
        <v>0</v>
      </c>
      <c r="M1250" s="4269"/>
      <c r="N1250" s="4270" t="str">
        <f>T('2 REPAIR ESTIMATOR'!S1063)</f>
        <v/>
      </c>
      <c r="O1250" s="4270"/>
      <c r="P1250" s="4271"/>
      <c r="Q1250" s="4271"/>
      <c r="R1250" s="4271"/>
      <c r="S1250" s="4271"/>
      <c r="T1250" s="4271"/>
      <c r="U1250" s="4271"/>
      <c r="V1250" s="4272"/>
      <c r="W1250" s="12">
        <f t="shared" si="84"/>
        <v>1</v>
      </c>
      <c r="X1250" s="12">
        <f t="shared" si="83"/>
        <v>1</v>
      </c>
      <c r="Y1250" s="12">
        <f t="shared" si="82"/>
        <v>1</v>
      </c>
    </row>
    <row r="1251" spans="3:25" ht="15.7">
      <c r="D1251" s="4267" t="str">
        <f>T('2 REPAIR ESTIMATOR'!D1064:O1064)</f>
        <v/>
      </c>
      <c r="E1251" s="4268"/>
      <c r="F1251" s="4268"/>
      <c r="G1251" s="4268"/>
      <c r="H1251" s="4268"/>
      <c r="I1251" s="4268"/>
      <c r="J1251" s="4268"/>
      <c r="K1251" s="4268"/>
      <c r="L1251" s="4269">
        <f>'2 REPAIR ESTIMATOR'!P1064</f>
        <v>0</v>
      </c>
      <c r="M1251" s="4269"/>
      <c r="N1251" s="4270" t="str">
        <f>T('2 REPAIR ESTIMATOR'!S1064)</f>
        <v/>
      </c>
      <c r="O1251" s="4270"/>
      <c r="P1251" s="4271"/>
      <c r="Q1251" s="4271"/>
      <c r="R1251" s="4271"/>
      <c r="S1251" s="4271"/>
      <c r="T1251" s="4271"/>
      <c r="U1251" s="4271"/>
      <c r="V1251" s="4272"/>
      <c r="W1251" s="12">
        <f t="shared" si="84"/>
        <v>1</v>
      </c>
      <c r="X1251" s="12">
        <f t="shared" ref="X1251:X1274" si="85">IF(Scope22_Setting="Shown",1,0)</f>
        <v>1</v>
      </c>
      <c r="Y1251" s="12">
        <f t="shared" si="82"/>
        <v>1</v>
      </c>
    </row>
    <row r="1252" spans="3:25" ht="15.7">
      <c r="D1252" s="4267" t="str">
        <f>T('2 REPAIR ESTIMATOR'!D1065:O1065)</f>
        <v/>
      </c>
      <c r="E1252" s="4268"/>
      <c r="F1252" s="4268"/>
      <c r="G1252" s="4268"/>
      <c r="H1252" s="4268"/>
      <c r="I1252" s="4268"/>
      <c r="J1252" s="4268"/>
      <c r="K1252" s="4268"/>
      <c r="L1252" s="4269">
        <f>'2 REPAIR ESTIMATOR'!P1065</f>
        <v>0</v>
      </c>
      <c r="M1252" s="4269"/>
      <c r="N1252" s="4270" t="str">
        <f>T('2 REPAIR ESTIMATOR'!S1065)</f>
        <v/>
      </c>
      <c r="O1252" s="4270"/>
      <c r="P1252" s="4271"/>
      <c r="Q1252" s="4271"/>
      <c r="R1252" s="4271"/>
      <c r="S1252" s="4271"/>
      <c r="T1252" s="4271"/>
      <c r="U1252" s="4271"/>
      <c r="V1252" s="4272"/>
      <c r="W1252" s="12">
        <f t="shared" si="84"/>
        <v>1</v>
      </c>
      <c r="X1252" s="12">
        <f t="shared" si="85"/>
        <v>1</v>
      </c>
      <c r="Y1252" s="12">
        <f t="shared" si="82"/>
        <v>1</v>
      </c>
    </row>
    <row r="1253" spans="3:25" ht="15.7">
      <c r="D1253" s="4267" t="str">
        <f>T('2 REPAIR ESTIMATOR'!D1066:O1066)</f>
        <v/>
      </c>
      <c r="E1253" s="4268"/>
      <c r="F1253" s="4268"/>
      <c r="G1253" s="4268"/>
      <c r="H1253" s="4268"/>
      <c r="I1253" s="4268"/>
      <c r="J1253" s="4268"/>
      <c r="K1253" s="4268"/>
      <c r="L1253" s="4269">
        <f>'2 REPAIR ESTIMATOR'!P1066</f>
        <v>0</v>
      </c>
      <c r="M1253" s="4269"/>
      <c r="N1253" s="4270" t="str">
        <f>T('2 REPAIR ESTIMATOR'!S1066)</f>
        <v/>
      </c>
      <c r="O1253" s="4270"/>
      <c r="P1253" s="4271"/>
      <c r="Q1253" s="4271"/>
      <c r="R1253" s="4271"/>
      <c r="S1253" s="4271"/>
      <c r="T1253" s="4271"/>
      <c r="U1253" s="4271"/>
      <c r="V1253" s="4272"/>
      <c r="W1253" s="12">
        <f t="shared" si="84"/>
        <v>1</v>
      </c>
      <c r="X1253" s="12">
        <f t="shared" si="85"/>
        <v>1</v>
      </c>
      <c r="Y1253" s="12">
        <f t="shared" si="82"/>
        <v>1</v>
      </c>
    </row>
    <row r="1254" spans="3:25" ht="15.7">
      <c r="D1254" s="4267" t="str">
        <f>T('2 REPAIR ESTIMATOR'!D1067:O1067)</f>
        <v/>
      </c>
      <c r="E1254" s="4268"/>
      <c r="F1254" s="4268"/>
      <c r="G1254" s="4268"/>
      <c r="H1254" s="4268"/>
      <c r="I1254" s="4268"/>
      <c r="J1254" s="4268"/>
      <c r="K1254" s="4268"/>
      <c r="L1254" s="4269">
        <f>'2 REPAIR ESTIMATOR'!P1067</f>
        <v>0</v>
      </c>
      <c r="M1254" s="4269"/>
      <c r="N1254" s="4270" t="str">
        <f>T('2 REPAIR ESTIMATOR'!S1067)</f>
        <v/>
      </c>
      <c r="O1254" s="4270"/>
      <c r="P1254" s="4271"/>
      <c r="Q1254" s="4271"/>
      <c r="R1254" s="4271"/>
      <c r="S1254" s="4271"/>
      <c r="T1254" s="4271"/>
      <c r="U1254" s="4271"/>
      <c r="V1254" s="4272"/>
      <c r="W1254" s="12">
        <f t="shared" si="84"/>
        <v>1</v>
      </c>
      <c r="X1254" s="12">
        <f t="shared" si="85"/>
        <v>1</v>
      </c>
      <c r="Y1254" s="12">
        <f t="shared" si="82"/>
        <v>1</v>
      </c>
    </row>
    <row r="1255" spans="3:25" ht="15.7">
      <c r="D1255" s="4267" t="str">
        <f>T('2 REPAIR ESTIMATOR'!D1068:O1068)</f>
        <v/>
      </c>
      <c r="E1255" s="4268"/>
      <c r="F1255" s="4268"/>
      <c r="G1255" s="4268"/>
      <c r="H1255" s="4268"/>
      <c r="I1255" s="4268"/>
      <c r="J1255" s="4268"/>
      <c r="K1255" s="4268"/>
      <c r="L1255" s="4269">
        <f>'2 REPAIR ESTIMATOR'!P1068</f>
        <v>0</v>
      </c>
      <c r="M1255" s="4269"/>
      <c r="N1255" s="4270" t="str">
        <f>T('2 REPAIR ESTIMATOR'!S1068)</f>
        <v/>
      </c>
      <c r="O1255" s="4270"/>
      <c r="P1255" s="4271"/>
      <c r="Q1255" s="4271"/>
      <c r="R1255" s="4271"/>
      <c r="S1255" s="4271"/>
      <c r="T1255" s="4271"/>
      <c r="U1255" s="4271"/>
      <c r="V1255" s="4272"/>
      <c r="W1255" s="12">
        <f t="shared" si="84"/>
        <v>1</v>
      </c>
      <c r="X1255" s="12">
        <f t="shared" si="85"/>
        <v>1</v>
      </c>
      <c r="Y1255" s="12">
        <f t="shared" si="82"/>
        <v>1</v>
      </c>
    </row>
    <row r="1256" spans="3:25" ht="15.7">
      <c r="D1256" s="4267" t="str">
        <f>T('2 REPAIR ESTIMATOR'!D1069:O1069)</f>
        <v/>
      </c>
      <c r="E1256" s="4268"/>
      <c r="F1256" s="4268"/>
      <c r="G1256" s="4268"/>
      <c r="H1256" s="4268"/>
      <c r="I1256" s="4268"/>
      <c r="J1256" s="4268"/>
      <c r="K1256" s="4268"/>
      <c r="L1256" s="4269">
        <f>'2 REPAIR ESTIMATOR'!P1069</f>
        <v>0</v>
      </c>
      <c r="M1256" s="4269"/>
      <c r="N1256" s="4270" t="str">
        <f>T('2 REPAIR ESTIMATOR'!S1069)</f>
        <v/>
      </c>
      <c r="O1256" s="4270"/>
      <c r="P1256" s="4271"/>
      <c r="Q1256" s="4271"/>
      <c r="R1256" s="4271"/>
      <c r="S1256" s="4271"/>
      <c r="T1256" s="4271"/>
      <c r="U1256" s="4271"/>
      <c r="V1256" s="4272"/>
      <c r="W1256" s="12">
        <f t="shared" si="84"/>
        <v>1</v>
      </c>
      <c r="X1256" s="12">
        <f t="shared" si="85"/>
        <v>1</v>
      </c>
      <c r="Y1256" s="12">
        <f t="shared" si="82"/>
        <v>1</v>
      </c>
    </row>
    <row r="1257" spans="3:25" ht="15.7">
      <c r="D1257" s="4267" t="str">
        <f>T('2 REPAIR ESTIMATOR'!D1070:O1070)</f>
        <v/>
      </c>
      <c r="E1257" s="4268"/>
      <c r="F1257" s="4268"/>
      <c r="G1257" s="4268"/>
      <c r="H1257" s="4268"/>
      <c r="I1257" s="4268"/>
      <c r="J1257" s="4268"/>
      <c r="K1257" s="4268"/>
      <c r="L1257" s="4269">
        <f>'2 REPAIR ESTIMATOR'!P1070</f>
        <v>0</v>
      </c>
      <c r="M1257" s="4269"/>
      <c r="N1257" s="4270" t="str">
        <f>T('2 REPAIR ESTIMATOR'!S1070)</f>
        <v/>
      </c>
      <c r="O1257" s="4270"/>
      <c r="P1257" s="4271"/>
      <c r="Q1257" s="4271"/>
      <c r="R1257" s="4271"/>
      <c r="S1257" s="4271"/>
      <c r="T1257" s="4271"/>
      <c r="U1257" s="4271"/>
      <c r="V1257" s="4272"/>
      <c r="W1257" s="12">
        <f t="shared" si="84"/>
        <v>1</v>
      </c>
      <c r="X1257" s="12">
        <f t="shared" si="85"/>
        <v>1</v>
      </c>
      <c r="Y1257" s="12">
        <f t="shared" si="82"/>
        <v>1</v>
      </c>
    </row>
    <row r="1258" spans="3:25" ht="15.7">
      <c r="D1258" s="4267" t="str">
        <f>T('2 REPAIR ESTIMATOR'!D1071:O1071)</f>
        <v/>
      </c>
      <c r="E1258" s="4268"/>
      <c r="F1258" s="4268"/>
      <c r="G1258" s="4268"/>
      <c r="H1258" s="4268"/>
      <c r="I1258" s="4268"/>
      <c r="J1258" s="4268"/>
      <c r="K1258" s="4268"/>
      <c r="L1258" s="4269">
        <f>'2 REPAIR ESTIMATOR'!P1071</f>
        <v>0</v>
      </c>
      <c r="M1258" s="4269"/>
      <c r="N1258" s="4270" t="str">
        <f>T('2 REPAIR ESTIMATOR'!S1071)</f>
        <v/>
      </c>
      <c r="O1258" s="4270"/>
      <c r="P1258" s="4271"/>
      <c r="Q1258" s="4271"/>
      <c r="R1258" s="4271"/>
      <c r="S1258" s="4271"/>
      <c r="T1258" s="4271"/>
      <c r="U1258" s="4271"/>
      <c r="V1258" s="4272"/>
      <c r="W1258" s="12">
        <f t="shared" si="84"/>
        <v>1</v>
      </c>
      <c r="X1258" s="12">
        <f t="shared" si="85"/>
        <v>1</v>
      </c>
      <c r="Y1258" s="12">
        <f t="shared" si="82"/>
        <v>1</v>
      </c>
    </row>
    <row r="1259" spans="3:25" ht="15.7">
      <c r="D1259" s="4267" t="str">
        <f>T('2 REPAIR ESTIMATOR'!D1072:O1072)</f>
        <v/>
      </c>
      <c r="E1259" s="4268"/>
      <c r="F1259" s="4268"/>
      <c r="G1259" s="4268"/>
      <c r="H1259" s="4268"/>
      <c r="I1259" s="4268"/>
      <c r="J1259" s="4268"/>
      <c r="K1259" s="4268"/>
      <c r="L1259" s="4269">
        <f>'2 REPAIR ESTIMATOR'!P1072</f>
        <v>0</v>
      </c>
      <c r="M1259" s="4269"/>
      <c r="N1259" s="4270" t="str">
        <f>T('2 REPAIR ESTIMATOR'!S1072)</f>
        <v/>
      </c>
      <c r="O1259" s="4270"/>
      <c r="P1259" s="4271"/>
      <c r="Q1259" s="4271"/>
      <c r="R1259" s="4271"/>
      <c r="S1259" s="4271"/>
      <c r="T1259" s="4271"/>
      <c r="U1259" s="4271"/>
      <c r="V1259" s="4272"/>
      <c r="W1259" s="12">
        <f t="shared" si="84"/>
        <v>1</v>
      </c>
      <c r="X1259" s="12">
        <f t="shared" si="85"/>
        <v>1</v>
      </c>
      <c r="Y1259" s="12">
        <f t="shared" si="82"/>
        <v>1</v>
      </c>
    </row>
    <row r="1260" spans="3:25" ht="15.7">
      <c r="C1260" s="6"/>
      <c r="D1260" s="723"/>
      <c r="E1260" s="723"/>
      <c r="F1260" s="723"/>
      <c r="G1260" s="723"/>
      <c r="H1260" s="723"/>
      <c r="I1260" s="723"/>
      <c r="J1260" s="723"/>
      <c r="K1260" s="723"/>
      <c r="L1260" s="724"/>
      <c r="M1260" s="724"/>
      <c r="N1260" s="725"/>
      <c r="O1260" s="725"/>
      <c r="P1260" s="724"/>
      <c r="Q1260" s="445"/>
      <c r="R1260" s="445"/>
      <c r="S1260" s="725"/>
      <c r="T1260" s="725"/>
      <c r="U1260" s="725"/>
      <c r="V1260" s="725"/>
      <c r="W1260" s="12">
        <f>W1261</f>
        <v>0</v>
      </c>
      <c r="X1260" s="12">
        <f t="shared" si="85"/>
        <v>1</v>
      </c>
      <c r="Y1260" s="12">
        <f t="shared" ref="Y1260:Y1323" si="86">W1260*X1260</f>
        <v>0</v>
      </c>
    </row>
    <row r="1261" spans="3:25" ht="16.7">
      <c r="C1261" s="6"/>
      <c r="D1261" s="4266" t="str">
        <f>UPPER(CONCATENATE("Miscellaneous ",D1219," Items"))</f>
        <v>MISCELLANEOUS HVAC ITEMS</v>
      </c>
      <c r="E1261" s="4266"/>
      <c r="F1261" s="4266"/>
      <c r="G1261" s="4266"/>
      <c r="H1261" s="4266"/>
      <c r="I1261" s="4266"/>
      <c r="J1261" s="4266"/>
      <c r="K1261" s="4266"/>
      <c r="L1261" s="4266"/>
      <c r="M1261" s="4266"/>
      <c r="N1261" s="4266"/>
      <c r="O1261" s="4266"/>
      <c r="P1261" s="4266"/>
      <c r="Q1261" s="4266"/>
      <c r="R1261" s="4266"/>
      <c r="S1261" s="4266"/>
      <c r="T1261" s="4266"/>
      <c r="U1261" s="4266"/>
      <c r="V1261" s="4266"/>
      <c r="W1261" s="12">
        <f>SUM(W1262:W1271)</f>
        <v>0</v>
      </c>
      <c r="X1261" s="12">
        <f t="shared" si="85"/>
        <v>1</v>
      </c>
      <c r="Y1261" s="12">
        <f t="shared" si="86"/>
        <v>0</v>
      </c>
    </row>
    <row r="1262" spans="3:25" ht="15.7">
      <c r="C1262" s="6"/>
      <c r="D1262" s="712">
        <v>1</v>
      </c>
      <c r="E1262" s="4263" t="s">
        <v>1509</v>
      </c>
      <c r="F1262" s="4263"/>
      <c r="G1262" s="4263"/>
      <c r="H1262" s="4263"/>
      <c r="I1262" s="4263"/>
      <c r="J1262" s="4263"/>
      <c r="K1262" s="4263"/>
      <c r="L1262" s="4263"/>
      <c r="M1262" s="4263"/>
      <c r="N1262" s="4263"/>
      <c r="O1262" s="4263"/>
      <c r="P1262" s="4263"/>
      <c r="Q1262" s="4263"/>
      <c r="R1262" s="4263"/>
      <c r="S1262" s="4263"/>
      <c r="T1262" s="4263"/>
      <c r="U1262" s="4263"/>
      <c r="V1262" s="4263"/>
      <c r="W1262" s="12">
        <f>IF(E1262&lt;&gt;"",1,0)*W1219</f>
        <v>0</v>
      </c>
      <c r="X1262" s="12">
        <f t="shared" si="85"/>
        <v>1</v>
      </c>
      <c r="Y1262" s="12">
        <f t="shared" si="86"/>
        <v>0</v>
      </c>
    </row>
    <row r="1263" spans="3:25" ht="15.7">
      <c r="C1263" s="6"/>
      <c r="D1263" s="712">
        <v>2</v>
      </c>
      <c r="E1263" s="4263" t="s">
        <v>1510</v>
      </c>
      <c r="F1263" s="4263"/>
      <c r="G1263" s="4263"/>
      <c r="H1263" s="4263"/>
      <c r="I1263" s="4263"/>
      <c r="J1263" s="4263"/>
      <c r="K1263" s="4263"/>
      <c r="L1263" s="4263"/>
      <c r="M1263" s="4263"/>
      <c r="N1263" s="4263"/>
      <c r="O1263" s="4263"/>
      <c r="P1263" s="4263"/>
      <c r="Q1263" s="4263"/>
      <c r="R1263" s="4263"/>
      <c r="S1263" s="4263"/>
      <c r="T1263" s="4263"/>
      <c r="U1263" s="4263"/>
      <c r="V1263" s="4263"/>
      <c r="W1263" s="12">
        <f>IF(E1263&lt;&gt;"",1,0)*W1219</f>
        <v>0</v>
      </c>
      <c r="X1263" s="12">
        <f t="shared" si="85"/>
        <v>1</v>
      </c>
      <c r="Y1263" s="12">
        <f t="shared" si="86"/>
        <v>0</v>
      </c>
    </row>
    <row r="1264" spans="3:25" ht="15.7">
      <c r="C1264" s="6"/>
      <c r="D1264" s="712">
        <v>3</v>
      </c>
      <c r="E1264" s="4263" t="s">
        <v>1521</v>
      </c>
      <c r="F1264" s="4263"/>
      <c r="G1264" s="4263"/>
      <c r="H1264" s="4263"/>
      <c r="I1264" s="4263"/>
      <c r="J1264" s="4263"/>
      <c r="K1264" s="4263"/>
      <c r="L1264" s="4263"/>
      <c r="M1264" s="4263"/>
      <c r="N1264" s="4263"/>
      <c r="O1264" s="4263"/>
      <c r="P1264" s="4263"/>
      <c r="Q1264" s="4263"/>
      <c r="R1264" s="4263"/>
      <c r="S1264" s="4263"/>
      <c r="T1264" s="4263"/>
      <c r="U1264" s="4263"/>
      <c r="V1264" s="4263"/>
      <c r="W1264" s="12">
        <f>IF(E1264&lt;&gt;"",1,0)*W1219</f>
        <v>0</v>
      </c>
      <c r="X1264" s="12">
        <f t="shared" si="85"/>
        <v>1</v>
      </c>
      <c r="Y1264" s="12">
        <f t="shared" si="86"/>
        <v>0</v>
      </c>
    </row>
    <row r="1265" spans="3:25" ht="15.7">
      <c r="C1265" s="6"/>
      <c r="D1265" s="712">
        <v>4</v>
      </c>
      <c r="E1265" s="4263" t="s">
        <v>1511</v>
      </c>
      <c r="F1265" s="4263"/>
      <c r="G1265" s="4263"/>
      <c r="H1265" s="4263"/>
      <c r="I1265" s="4263"/>
      <c r="J1265" s="4263"/>
      <c r="K1265" s="4263"/>
      <c r="L1265" s="4263"/>
      <c r="M1265" s="4263"/>
      <c r="N1265" s="4263"/>
      <c r="O1265" s="4263"/>
      <c r="P1265" s="4263"/>
      <c r="Q1265" s="4263"/>
      <c r="R1265" s="4263"/>
      <c r="S1265" s="4263"/>
      <c r="T1265" s="4263"/>
      <c r="U1265" s="4263"/>
      <c r="V1265" s="4263"/>
      <c r="W1265" s="12">
        <f>IF(E1265&lt;&gt;"",1,0)*W1219</f>
        <v>0</v>
      </c>
      <c r="X1265" s="12">
        <f t="shared" si="85"/>
        <v>1</v>
      </c>
      <c r="Y1265" s="12">
        <f t="shared" si="86"/>
        <v>0</v>
      </c>
    </row>
    <row r="1266" spans="3:25" ht="15.7">
      <c r="C1266" s="6"/>
      <c r="D1266" s="712">
        <v>5</v>
      </c>
      <c r="E1266" s="4263"/>
      <c r="F1266" s="4263"/>
      <c r="G1266" s="4263"/>
      <c r="H1266" s="4263"/>
      <c r="I1266" s="4263"/>
      <c r="J1266" s="4263"/>
      <c r="K1266" s="4263"/>
      <c r="L1266" s="4263"/>
      <c r="M1266" s="4263"/>
      <c r="N1266" s="4263"/>
      <c r="O1266" s="4263"/>
      <c r="P1266" s="4263"/>
      <c r="Q1266" s="4263"/>
      <c r="R1266" s="4263"/>
      <c r="S1266" s="4263"/>
      <c r="T1266" s="4263"/>
      <c r="U1266" s="4263"/>
      <c r="V1266" s="4263"/>
      <c r="W1266" s="12">
        <f>IF(E1266&lt;&gt;"",1,0)*W1219</f>
        <v>0</v>
      </c>
      <c r="X1266" s="12">
        <f t="shared" si="85"/>
        <v>1</v>
      </c>
      <c r="Y1266" s="12">
        <f t="shared" si="86"/>
        <v>0</v>
      </c>
    </row>
    <row r="1267" spans="3:25" ht="15.7">
      <c r="C1267" s="6"/>
      <c r="D1267" s="712">
        <v>6</v>
      </c>
      <c r="E1267" s="4263"/>
      <c r="F1267" s="4263"/>
      <c r="G1267" s="4263"/>
      <c r="H1267" s="4263"/>
      <c r="I1267" s="4263"/>
      <c r="J1267" s="4263"/>
      <c r="K1267" s="4263"/>
      <c r="L1267" s="4263"/>
      <c r="M1267" s="4263"/>
      <c r="N1267" s="4263"/>
      <c r="O1267" s="4263"/>
      <c r="P1267" s="4263"/>
      <c r="Q1267" s="4263"/>
      <c r="R1267" s="4263"/>
      <c r="S1267" s="4263"/>
      <c r="T1267" s="4263"/>
      <c r="U1267" s="4263"/>
      <c r="V1267" s="4263"/>
      <c r="W1267" s="12">
        <f>IF(E1267&lt;&gt;"",1,0)*W1219</f>
        <v>0</v>
      </c>
      <c r="X1267" s="12">
        <f t="shared" si="85"/>
        <v>1</v>
      </c>
      <c r="Y1267" s="12">
        <f t="shared" si="86"/>
        <v>0</v>
      </c>
    </row>
    <row r="1268" spans="3:25" ht="15.7">
      <c r="C1268" s="6"/>
      <c r="D1268" s="712">
        <v>7</v>
      </c>
      <c r="E1268" s="4263"/>
      <c r="F1268" s="4263"/>
      <c r="G1268" s="4263"/>
      <c r="H1268" s="4263"/>
      <c r="I1268" s="4263"/>
      <c r="J1268" s="4263"/>
      <c r="K1268" s="4263"/>
      <c r="L1268" s="4263"/>
      <c r="M1268" s="4263"/>
      <c r="N1268" s="4263"/>
      <c r="O1268" s="4263"/>
      <c r="P1268" s="4263"/>
      <c r="Q1268" s="4263"/>
      <c r="R1268" s="4263"/>
      <c r="S1268" s="4263"/>
      <c r="T1268" s="4263"/>
      <c r="U1268" s="4263"/>
      <c r="V1268" s="4263"/>
      <c r="W1268" s="12">
        <f>IF(E1268&lt;&gt;"",1,0)*W1219</f>
        <v>0</v>
      </c>
      <c r="X1268" s="12">
        <f t="shared" si="85"/>
        <v>1</v>
      </c>
      <c r="Y1268" s="12">
        <f t="shared" si="86"/>
        <v>0</v>
      </c>
    </row>
    <row r="1269" spans="3:25" ht="15.7">
      <c r="C1269" s="6"/>
      <c r="D1269" s="712">
        <v>8</v>
      </c>
      <c r="E1269" s="4263"/>
      <c r="F1269" s="4263"/>
      <c r="G1269" s="4263"/>
      <c r="H1269" s="4263"/>
      <c r="I1269" s="4263"/>
      <c r="J1269" s="4263"/>
      <c r="K1269" s="4263"/>
      <c r="L1269" s="4263"/>
      <c r="M1269" s="4263"/>
      <c r="N1269" s="4263"/>
      <c r="O1269" s="4263"/>
      <c r="P1269" s="4263"/>
      <c r="Q1269" s="4263"/>
      <c r="R1269" s="4263"/>
      <c r="S1269" s="4263"/>
      <c r="T1269" s="4263"/>
      <c r="U1269" s="4263"/>
      <c r="V1269" s="4263"/>
      <c r="W1269" s="12">
        <f>IF(E1269&lt;&gt;"",1,0)*W1219</f>
        <v>0</v>
      </c>
      <c r="X1269" s="12">
        <f t="shared" si="85"/>
        <v>1</v>
      </c>
      <c r="Y1269" s="12">
        <f t="shared" si="86"/>
        <v>0</v>
      </c>
    </row>
    <row r="1270" spans="3:25" ht="15.7">
      <c r="C1270" s="6"/>
      <c r="D1270" s="712">
        <v>9</v>
      </c>
      <c r="E1270" s="4263"/>
      <c r="F1270" s="4263"/>
      <c r="G1270" s="4263"/>
      <c r="H1270" s="4263"/>
      <c r="I1270" s="4263"/>
      <c r="J1270" s="4263"/>
      <c r="K1270" s="4263"/>
      <c r="L1270" s="4263"/>
      <c r="M1270" s="4263"/>
      <c r="N1270" s="4263"/>
      <c r="O1270" s="4263"/>
      <c r="P1270" s="4263"/>
      <c r="Q1270" s="4263"/>
      <c r="R1270" s="4263"/>
      <c r="S1270" s="4263"/>
      <c r="T1270" s="4263"/>
      <c r="U1270" s="4263"/>
      <c r="V1270" s="4263"/>
      <c r="W1270" s="12">
        <f>IF(E1270&lt;&gt;"",1,0)*W1219</f>
        <v>0</v>
      </c>
      <c r="X1270" s="12">
        <f t="shared" si="85"/>
        <v>1</v>
      </c>
      <c r="Y1270" s="12">
        <f t="shared" si="86"/>
        <v>0</v>
      </c>
    </row>
    <row r="1271" spans="3:25" ht="15.7">
      <c r="C1271" s="6"/>
      <c r="D1271" s="712">
        <v>10</v>
      </c>
      <c r="E1271" s="4263"/>
      <c r="F1271" s="4263"/>
      <c r="G1271" s="4263"/>
      <c r="H1271" s="4263"/>
      <c r="I1271" s="4263"/>
      <c r="J1271" s="4263"/>
      <c r="K1271" s="4263"/>
      <c r="L1271" s="4263"/>
      <c r="M1271" s="4263"/>
      <c r="N1271" s="4263"/>
      <c r="O1271" s="4263"/>
      <c r="P1271" s="4263"/>
      <c r="Q1271" s="4263"/>
      <c r="R1271" s="4263"/>
      <c r="S1271" s="4263"/>
      <c r="T1271" s="4263"/>
      <c r="U1271" s="4263"/>
      <c r="V1271" s="4263"/>
      <c r="W1271" s="12">
        <f>IF(E1271&lt;&gt;"",1,0)*W1219</f>
        <v>0</v>
      </c>
      <c r="X1271" s="12">
        <f t="shared" si="85"/>
        <v>1</v>
      </c>
      <c r="Y1271" s="12">
        <f t="shared" si="86"/>
        <v>0</v>
      </c>
    </row>
    <row r="1272" spans="3:25" ht="15.7">
      <c r="C1272" s="6"/>
      <c r="D1272" s="723"/>
      <c r="E1272" s="723"/>
      <c r="F1272" s="723"/>
      <c r="G1272" s="723"/>
      <c r="H1272" s="723"/>
      <c r="I1272" s="723"/>
      <c r="J1272" s="723"/>
      <c r="K1272" s="723"/>
      <c r="L1272" s="724"/>
      <c r="M1272" s="724"/>
      <c r="N1272" s="725"/>
      <c r="O1272" s="725"/>
      <c r="P1272" s="724"/>
      <c r="Q1272" s="445"/>
      <c r="R1272" s="445"/>
      <c r="S1272" s="726"/>
      <c r="T1272" s="726"/>
      <c r="U1272" s="726"/>
      <c r="V1272" s="726"/>
      <c r="W1272" s="12">
        <f>W1219</f>
        <v>0</v>
      </c>
      <c r="X1272" s="12">
        <f t="shared" si="85"/>
        <v>1</v>
      </c>
      <c r="Y1272" s="12">
        <f t="shared" si="86"/>
        <v>0</v>
      </c>
    </row>
    <row r="1273" spans="3:25" ht="40.5" customHeight="1">
      <c r="C1273" s="6"/>
      <c r="D1273" s="4264" t="str">
        <f>UPPER(CONCATENATE("TOTAL ",D1219))</f>
        <v>TOTAL HVAC</v>
      </c>
      <c r="E1273" s="4264"/>
      <c r="F1273" s="4264"/>
      <c r="G1273" s="4264"/>
      <c r="H1273" s="4264"/>
      <c r="I1273" s="4264"/>
      <c r="J1273" s="4264"/>
      <c r="K1273" s="4264"/>
      <c r="L1273" s="4264"/>
      <c r="M1273" s="4264"/>
      <c r="N1273" s="4264"/>
      <c r="O1273" s="4264"/>
      <c r="P1273" s="4264"/>
      <c r="Q1273" s="4265"/>
      <c r="R1273" s="4265"/>
      <c r="S1273" s="4265"/>
      <c r="T1273" s="4265"/>
      <c r="U1273" s="4265"/>
      <c r="V1273" s="4265"/>
      <c r="W1273" s="12">
        <f>W1219</f>
        <v>0</v>
      </c>
      <c r="X1273" s="12">
        <f t="shared" si="85"/>
        <v>1</v>
      </c>
      <c r="Y1273" s="12">
        <f t="shared" si="86"/>
        <v>0</v>
      </c>
    </row>
    <row r="1274" spans="3:25" ht="15.7">
      <c r="D1274" s="723"/>
      <c r="E1274" s="723"/>
      <c r="F1274" s="723"/>
      <c r="G1274" s="723"/>
      <c r="H1274" s="723"/>
      <c r="I1274" s="723"/>
      <c r="J1274" s="723"/>
      <c r="K1274" s="723"/>
      <c r="L1274" s="724"/>
      <c r="M1274" s="724"/>
      <c r="N1274" s="725"/>
      <c r="O1274" s="725"/>
      <c r="P1274" s="724"/>
      <c r="Q1274" s="445"/>
      <c r="R1274" s="445"/>
      <c r="S1274" s="726"/>
      <c r="T1274" s="726"/>
      <c r="U1274" s="726"/>
      <c r="V1274" s="726"/>
      <c r="W1274" s="12">
        <f>W1219</f>
        <v>0</v>
      </c>
      <c r="X1274" s="12">
        <f t="shared" si="85"/>
        <v>1</v>
      </c>
      <c r="Y1274" s="12">
        <f t="shared" si="86"/>
        <v>0</v>
      </c>
    </row>
    <row r="1275" spans="3:25" ht="26.45" customHeight="1">
      <c r="D1275" s="4275" t="str">
        <f>T('2 REPAIR ESTIMATOR'!D1077:O1077)</f>
        <v>ELECTRICAL</v>
      </c>
      <c r="E1275" s="4275"/>
      <c r="F1275" s="4275"/>
      <c r="G1275" s="4275"/>
      <c r="H1275" s="4275"/>
      <c r="I1275" s="4275"/>
      <c r="J1275" s="4275"/>
      <c r="K1275" s="4276"/>
      <c r="L1275" s="4277">
        <f>SUM(L1276:M1315)</f>
        <v>0</v>
      </c>
      <c r="M1275" s="4278"/>
      <c r="N1275" s="4279"/>
      <c r="O1275" s="4280"/>
      <c r="P1275" s="4277"/>
      <c r="Q1275" s="4281"/>
      <c r="R1275" s="4281"/>
      <c r="S1275" s="4281"/>
      <c r="T1275" s="4281"/>
      <c r="U1275" s="4281"/>
      <c r="V1275" s="4281"/>
      <c r="W1275" s="12">
        <f>IF(L1275&gt;0,1,0)</f>
        <v>0</v>
      </c>
      <c r="X1275" s="12">
        <f t="shared" ref="X1275:X1306" si="87">IF(Scope23_Setting="Shown",1,0)</f>
        <v>1</v>
      </c>
      <c r="Y1275" s="12">
        <f t="shared" si="86"/>
        <v>0</v>
      </c>
    </row>
    <row r="1276" spans="3:25" ht="15.7">
      <c r="D1276" s="4267" t="str">
        <f>T('2 REPAIR ESTIMATOR'!D1078:O1078)</f>
        <v>Electrical, bid/allowance</v>
      </c>
      <c r="E1276" s="4268"/>
      <c r="F1276" s="4268"/>
      <c r="G1276" s="4268"/>
      <c r="H1276" s="4268"/>
      <c r="I1276" s="4268"/>
      <c r="J1276" s="4268"/>
      <c r="K1276" s="4268"/>
      <c r="L1276" s="4269">
        <f>'2 REPAIR ESTIMATOR'!P1078</f>
        <v>0</v>
      </c>
      <c r="M1276" s="4269"/>
      <c r="N1276" s="4270" t="str">
        <f>T('2 REPAIR ESTIMATOR'!S1078)</f>
        <v>ls</v>
      </c>
      <c r="O1276" s="4270"/>
      <c r="P1276" s="4273"/>
      <c r="Q1276" s="4273"/>
      <c r="R1276" s="4273"/>
      <c r="S1276" s="4273"/>
      <c r="T1276" s="4273"/>
      <c r="U1276" s="4273"/>
      <c r="V1276" s="4274"/>
      <c r="W1276" s="12">
        <f>IF(L1276="",0,1)</f>
        <v>1</v>
      </c>
      <c r="X1276" s="12">
        <f t="shared" si="87"/>
        <v>1</v>
      </c>
      <c r="Y1276" s="12">
        <f t="shared" si="86"/>
        <v>1</v>
      </c>
    </row>
    <row r="1277" spans="3:25" ht="15.7">
      <c r="D1277" s="4267" t="str">
        <f>T('2 REPAIR ESTIMATOR'!D1079:O1079)</f>
        <v xml:space="preserve">Miscellaneous Electrical </v>
      </c>
      <c r="E1277" s="4268"/>
      <c r="F1277" s="4268"/>
      <c r="G1277" s="4268"/>
      <c r="H1277" s="4268"/>
      <c r="I1277" s="4268"/>
      <c r="J1277" s="4268"/>
      <c r="K1277" s="4268"/>
      <c r="L1277" s="4269">
        <f>'2 REPAIR ESTIMATOR'!P1079</f>
        <v>0</v>
      </c>
      <c r="M1277" s="4269"/>
      <c r="N1277" s="4270" t="str">
        <f>T('2 REPAIR ESTIMATOR'!S1079)</f>
        <v/>
      </c>
      <c r="O1277" s="4270"/>
      <c r="P1277" s="4271"/>
      <c r="Q1277" s="4271"/>
      <c r="R1277" s="4271"/>
      <c r="S1277" s="4271"/>
      <c r="T1277" s="4271"/>
      <c r="U1277" s="4271"/>
      <c r="V1277" s="4272"/>
      <c r="W1277" s="12">
        <f t="shared" ref="W1277:W1315" si="88">IF(L1277="",0,1)</f>
        <v>1</v>
      </c>
      <c r="X1277" s="12">
        <f t="shared" si="87"/>
        <v>1</v>
      </c>
      <c r="Y1277" s="12">
        <f t="shared" si="86"/>
        <v>1</v>
      </c>
    </row>
    <row r="1278" spans="3:25" ht="15.7">
      <c r="D1278" s="4267" t="str">
        <f>T('2 REPAIR ESTIMATOR'!D1080:O1080)</f>
        <v>Electrical Rough-in, per hour</v>
      </c>
      <c r="E1278" s="4268"/>
      <c r="F1278" s="4268"/>
      <c r="G1278" s="4268"/>
      <c r="H1278" s="4268"/>
      <c r="I1278" s="4268"/>
      <c r="J1278" s="4268"/>
      <c r="K1278" s="4268"/>
      <c r="L1278" s="4269">
        <f>'2 REPAIR ESTIMATOR'!P1080</f>
        <v>0</v>
      </c>
      <c r="M1278" s="4269"/>
      <c r="N1278" s="4270" t="str">
        <f>T('2 REPAIR ESTIMATOR'!S1080)</f>
        <v>hrs</v>
      </c>
      <c r="O1278" s="4270"/>
      <c r="P1278" s="4271" t="s">
        <v>1520</v>
      </c>
      <c r="Q1278" s="4271"/>
      <c r="R1278" s="4271"/>
      <c r="S1278" s="4271"/>
      <c r="T1278" s="4271"/>
      <c r="U1278" s="4271"/>
      <c r="V1278" s="4272"/>
      <c r="W1278" s="12">
        <f t="shared" si="88"/>
        <v>1</v>
      </c>
      <c r="X1278" s="12">
        <f t="shared" si="87"/>
        <v>1</v>
      </c>
      <c r="Y1278" s="12">
        <f t="shared" si="86"/>
        <v>1</v>
      </c>
    </row>
    <row r="1279" spans="3:25" ht="15.7">
      <c r="D1279" s="4267" t="str">
        <f>T('2 REPAIR ESTIMATOR'!D1081:O1081)</f>
        <v>CATV Rough-in, per hour</v>
      </c>
      <c r="E1279" s="4268"/>
      <c r="F1279" s="4268"/>
      <c r="G1279" s="4268"/>
      <c r="H1279" s="4268"/>
      <c r="I1279" s="4268"/>
      <c r="J1279" s="4268"/>
      <c r="K1279" s="4268"/>
      <c r="L1279" s="4269">
        <f>'2 REPAIR ESTIMATOR'!P1081</f>
        <v>0</v>
      </c>
      <c r="M1279" s="4269"/>
      <c r="N1279" s="4270" t="str">
        <f>T('2 REPAIR ESTIMATOR'!S1081)</f>
        <v>hrs</v>
      </c>
      <c r="O1279" s="4270"/>
      <c r="P1279" s="4271" t="s">
        <v>1520</v>
      </c>
      <c r="Q1279" s="4271"/>
      <c r="R1279" s="4271"/>
      <c r="S1279" s="4271"/>
      <c r="T1279" s="4271"/>
      <c r="U1279" s="4271"/>
      <c r="V1279" s="4272"/>
      <c r="W1279" s="12">
        <f t="shared" si="88"/>
        <v>1</v>
      </c>
      <c r="X1279" s="12">
        <f t="shared" si="87"/>
        <v>1</v>
      </c>
      <c r="Y1279" s="12">
        <f t="shared" si="86"/>
        <v>1</v>
      </c>
    </row>
    <row r="1280" spans="3:25" ht="15.7">
      <c r="D1280" s="4267" t="str">
        <f>T('2 REPAIR ESTIMATOR'!D1082:O1082)</f>
        <v>Electrical Finish Work, per hour</v>
      </c>
      <c r="E1280" s="4268"/>
      <c r="F1280" s="4268"/>
      <c r="G1280" s="4268"/>
      <c r="H1280" s="4268"/>
      <c r="I1280" s="4268"/>
      <c r="J1280" s="4268"/>
      <c r="K1280" s="4268"/>
      <c r="L1280" s="4269">
        <f>'2 REPAIR ESTIMATOR'!P1082</f>
        <v>0</v>
      </c>
      <c r="M1280" s="4269"/>
      <c r="N1280" s="4270" t="str">
        <f>T('2 REPAIR ESTIMATOR'!S1082)</f>
        <v>hrs</v>
      </c>
      <c r="O1280" s="4270"/>
      <c r="P1280" s="4271" t="s">
        <v>1520</v>
      </c>
      <c r="Q1280" s="4271"/>
      <c r="R1280" s="4271"/>
      <c r="S1280" s="4271"/>
      <c r="T1280" s="4271"/>
      <c r="U1280" s="4271"/>
      <c r="V1280" s="4272"/>
      <c r="W1280" s="12">
        <f t="shared" si="88"/>
        <v>1</v>
      </c>
      <c r="X1280" s="12">
        <f t="shared" si="87"/>
        <v>1</v>
      </c>
      <c r="Y1280" s="12">
        <f t="shared" si="86"/>
        <v>1</v>
      </c>
    </row>
    <row r="1281" spans="4:25" ht="15.7">
      <c r="D1281" s="4267" t="str">
        <f>T('2 REPAIR ESTIMATOR'!D1083:O1083)</f>
        <v>Replace electrical panel, 100 AMP</v>
      </c>
      <c r="E1281" s="4268"/>
      <c r="F1281" s="4268"/>
      <c r="G1281" s="4268"/>
      <c r="H1281" s="4268"/>
      <c r="I1281" s="4268"/>
      <c r="J1281" s="4268"/>
      <c r="K1281" s="4268"/>
      <c r="L1281" s="4269">
        <f>'2 REPAIR ESTIMATOR'!P1083</f>
        <v>0</v>
      </c>
      <c r="M1281" s="4269"/>
      <c r="N1281" s="4270" t="str">
        <f>T('2 REPAIR ESTIMATOR'!S1083)</f>
        <v>ea</v>
      </c>
      <c r="O1281" s="4270"/>
      <c r="P1281" s="4271" t="s">
        <v>1520</v>
      </c>
      <c r="Q1281" s="4271"/>
      <c r="R1281" s="4271"/>
      <c r="S1281" s="4271"/>
      <c r="T1281" s="4271"/>
      <c r="U1281" s="4271"/>
      <c r="V1281" s="4272"/>
      <c r="W1281" s="12">
        <f t="shared" si="88"/>
        <v>1</v>
      </c>
      <c r="X1281" s="12">
        <f t="shared" si="87"/>
        <v>1</v>
      </c>
      <c r="Y1281" s="12">
        <f t="shared" si="86"/>
        <v>1</v>
      </c>
    </row>
    <row r="1282" spans="4:25" ht="15.7">
      <c r="D1282" s="4267" t="str">
        <f>T('2 REPAIR ESTIMATOR'!D1084:O1084)</f>
        <v>Replace electrical panel, 200 AMP</v>
      </c>
      <c r="E1282" s="4268"/>
      <c r="F1282" s="4268"/>
      <c r="G1282" s="4268"/>
      <c r="H1282" s="4268"/>
      <c r="I1282" s="4268"/>
      <c r="J1282" s="4268"/>
      <c r="K1282" s="4268"/>
      <c r="L1282" s="4269">
        <f>'2 REPAIR ESTIMATOR'!P1084</f>
        <v>0</v>
      </c>
      <c r="M1282" s="4269"/>
      <c r="N1282" s="4270" t="str">
        <f>T('2 REPAIR ESTIMATOR'!S1084)</f>
        <v>ea</v>
      </c>
      <c r="O1282" s="4270"/>
      <c r="P1282" s="4271" t="s">
        <v>1520</v>
      </c>
      <c r="Q1282" s="4271"/>
      <c r="R1282" s="4271"/>
      <c r="S1282" s="4271"/>
      <c r="T1282" s="4271"/>
      <c r="U1282" s="4271"/>
      <c r="V1282" s="4272"/>
      <c r="W1282" s="12">
        <f t="shared" si="88"/>
        <v>1</v>
      </c>
      <c r="X1282" s="12">
        <f t="shared" si="87"/>
        <v>1</v>
      </c>
      <c r="Y1282" s="12">
        <f t="shared" si="86"/>
        <v>1</v>
      </c>
    </row>
    <row r="1283" spans="4:25" ht="15.7">
      <c r="D1283" s="4267" t="str">
        <f>T('2 REPAIR ESTIMATOR'!D1085:O1085)</f>
        <v>Replace outlets, light switches</v>
      </c>
      <c r="E1283" s="4268"/>
      <c r="F1283" s="4268"/>
      <c r="G1283" s="4268"/>
      <c r="H1283" s="4268"/>
      <c r="I1283" s="4268"/>
      <c r="J1283" s="4268"/>
      <c r="K1283" s="4268"/>
      <c r="L1283" s="4269">
        <f>'2 REPAIR ESTIMATOR'!P1085</f>
        <v>0</v>
      </c>
      <c r="M1283" s="4269"/>
      <c r="N1283" s="4270" t="str">
        <f>T('2 REPAIR ESTIMATOR'!S1085)</f>
        <v>ea</v>
      </c>
      <c r="O1283" s="4270"/>
      <c r="P1283" s="4271" t="s">
        <v>1520</v>
      </c>
      <c r="Q1283" s="4271"/>
      <c r="R1283" s="4271"/>
      <c r="S1283" s="4271"/>
      <c r="T1283" s="4271"/>
      <c r="U1283" s="4271"/>
      <c r="V1283" s="4272"/>
      <c r="W1283" s="12">
        <f t="shared" si="88"/>
        <v>1</v>
      </c>
      <c r="X1283" s="12">
        <f t="shared" si="87"/>
        <v>1</v>
      </c>
      <c r="Y1283" s="12">
        <f t="shared" si="86"/>
        <v>1</v>
      </c>
    </row>
    <row r="1284" spans="4:25" ht="15.7">
      <c r="D1284" s="4267" t="str">
        <f>T('2 REPAIR ESTIMATOR'!D1086:O1086)</f>
        <v>Replace GFI outlets/ground back to panel</v>
      </c>
      <c r="E1284" s="4268"/>
      <c r="F1284" s="4268"/>
      <c r="G1284" s="4268"/>
      <c r="H1284" s="4268"/>
      <c r="I1284" s="4268"/>
      <c r="J1284" s="4268"/>
      <c r="K1284" s="4268"/>
      <c r="L1284" s="4269">
        <f>'2 REPAIR ESTIMATOR'!P1086</f>
        <v>0</v>
      </c>
      <c r="M1284" s="4269"/>
      <c r="N1284" s="4270" t="str">
        <f>T('2 REPAIR ESTIMATOR'!S1086)</f>
        <v>ea</v>
      </c>
      <c r="O1284" s="4270"/>
      <c r="P1284" s="4271" t="s">
        <v>1520</v>
      </c>
      <c r="Q1284" s="4271"/>
      <c r="R1284" s="4271"/>
      <c r="S1284" s="4271"/>
      <c r="T1284" s="4271"/>
      <c r="U1284" s="4271"/>
      <c r="V1284" s="4272"/>
      <c r="W1284" s="12">
        <f t="shared" si="88"/>
        <v>1</v>
      </c>
      <c r="X1284" s="12">
        <f t="shared" si="87"/>
        <v>1</v>
      </c>
      <c r="Y1284" s="12">
        <f t="shared" si="86"/>
        <v>1</v>
      </c>
    </row>
    <row r="1285" spans="4:25" ht="15.7">
      <c r="D1285" s="4267" t="str">
        <f>T('2 REPAIR ESTIMATOR'!D1087:O1087)</f>
        <v>Exhaust Fan</v>
      </c>
      <c r="E1285" s="4268"/>
      <c r="F1285" s="4268"/>
      <c r="G1285" s="4268"/>
      <c r="H1285" s="4268"/>
      <c r="I1285" s="4268"/>
      <c r="J1285" s="4268"/>
      <c r="K1285" s="4268"/>
      <c r="L1285" s="4269">
        <f>'2 REPAIR ESTIMATOR'!P1087</f>
        <v>0</v>
      </c>
      <c r="M1285" s="4269"/>
      <c r="N1285" s="4270" t="str">
        <f>T('2 REPAIR ESTIMATOR'!S1087)</f>
        <v>ea</v>
      </c>
      <c r="O1285" s="4270"/>
      <c r="P1285" s="4271" t="s">
        <v>1519</v>
      </c>
      <c r="Q1285" s="4271"/>
      <c r="R1285" s="4271"/>
      <c r="S1285" s="4271"/>
      <c r="T1285" s="4271"/>
      <c r="U1285" s="4271"/>
      <c r="V1285" s="4272"/>
      <c r="W1285" s="12">
        <f t="shared" si="88"/>
        <v>1</v>
      </c>
      <c r="X1285" s="12">
        <f t="shared" si="87"/>
        <v>1</v>
      </c>
      <c r="Y1285" s="12">
        <f t="shared" si="86"/>
        <v>1</v>
      </c>
    </row>
    <row r="1286" spans="4:25" ht="15.7">
      <c r="D1286" s="4267" t="str">
        <f>T('2 REPAIR ESTIMATOR'!D1088:O1088)</f>
        <v>Smoke detectors</v>
      </c>
      <c r="E1286" s="4268"/>
      <c r="F1286" s="4268"/>
      <c r="G1286" s="4268"/>
      <c r="H1286" s="4268"/>
      <c r="I1286" s="4268"/>
      <c r="J1286" s="4268"/>
      <c r="K1286" s="4268"/>
      <c r="L1286" s="4269">
        <f>'2 REPAIR ESTIMATOR'!P1088</f>
        <v>0</v>
      </c>
      <c r="M1286" s="4269"/>
      <c r="N1286" s="4270" t="str">
        <f>T('2 REPAIR ESTIMATOR'!S1088)</f>
        <v>ea</v>
      </c>
      <c r="O1286" s="4270"/>
      <c r="P1286" s="4271" t="s">
        <v>1520</v>
      </c>
      <c r="Q1286" s="4271"/>
      <c r="R1286" s="4271"/>
      <c r="S1286" s="4271"/>
      <c r="T1286" s="4271"/>
      <c r="U1286" s="4271"/>
      <c r="V1286" s="4272"/>
      <c r="W1286" s="12">
        <f t="shared" si="88"/>
        <v>1</v>
      </c>
      <c r="X1286" s="12">
        <f t="shared" si="87"/>
        <v>1</v>
      </c>
      <c r="Y1286" s="12">
        <f t="shared" si="86"/>
        <v>1</v>
      </c>
    </row>
    <row r="1287" spans="4:25" ht="15.7">
      <c r="D1287" s="4267" t="str">
        <f>T('2 REPAIR ESTIMATOR'!D1089:O1089)</f>
        <v>Carbon monoxide detector</v>
      </c>
      <c r="E1287" s="4268"/>
      <c r="F1287" s="4268"/>
      <c r="G1287" s="4268"/>
      <c r="H1287" s="4268"/>
      <c r="I1287" s="4268"/>
      <c r="J1287" s="4268"/>
      <c r="K1287" s="4268"/>
      <c r="L1287" s="4269">
        <f>'2 REPAIR ESTIMATOR'!P1089</f>
        <v>0</v>
      </c>
      <c r="M1287" s="4269"/>
      <c r="N1287" s="4270" t="str">
        <f>T('2 REPAIR ESTIMATOR'!S1089)</f>
        <v>ea</v>
      </c>
      <c r="O1287" s="4270"/>
      <c r="P1287" s="4271" t="s">
        <v>1520</v>
      </c>
      <c r="Q1287" s="4271"/>
      <c r="R1287" s="4271"/>
      <c r="S1287" s="4271"/>
      <c r="T1287" s="4271"/>
      <c r="U1287" s="4271"/>
      <c r="V1287" s="4272"/>
      <c r="W1287" s="12">
        <f t="shared" si="88"/>
        <v>1</v>
      </c>
      <c r="X1287" s="12">
        <f t="shared" si="87"/>
        <v>1</v>
      </c>
      <c r="Y1287" s="12">
        <f t="shared" si="86"/>
        <v>1</v>
      </c>
    </row>
    <row r="1288" spans="4:25" ht="15.7">
      <c r="D1288" s="4267" t="str">
        <f>T('2 REPAIR ESTIMATOR'!D1090:O1090)</f>
        <v>Lighting</v>
      </c>
      <c r="E1288" s="4268"/>
      <c r="F1288" s="4268"/>
      <c r="G1288" s="4268"/>
      <c r="H1288" s="4268"/>
      <c r="I1288" s="4268"/>
      <c r="J1288" s="4268"/>
      <c r="K1288" s="4268"/>
      <c r="L1288" s="4269">
        <f>'2 REPAIR ESTIMATOR'!P1090</f>
        <v>0</v>
      </c>
      <c r="M1288" s="4269"/>
      <c r="N1288" s="4270" t="str">
        <f>T('2 REPAIR ESTIMATOR'!S1090)</f>
        <v/>
      </c>
      <c r="O1288" s="4270"/>
      <c r="P1288" s="4271" t="s">
        <v>1519</v>
      </c>
      <c r="Q1288" s="4271"/>
      <c r="R1288" s="4271"/>
      <c r="S1288" s="4271"/>
      <c r="T1288" s="4271"/>
      <c r="U1288" s="4271"/>
      <c r="V1288" s="4272"/>
      <c r="W1288" s="12">
        <f t="shared" si="88"/>
        <v>1</v>
      </c>
      <c r="X1288" s="12">
        <f t="shared" si="87"/>
        <v>1</v>
      </c>
      <c r="Y1288" s="12">
        <f t="shared" si="86"/>
        <v>1</v>
      </c>
    </row>
    <row r="1289" spans="4:25" ht="15.7">
      <c r="D1289" s="4267" t="str">
        <f>T('2 REPAIR ESTIMATOR'!D1091:O1091)</f>
        <v>Track/Pendent light</v>
      </c>
      <c r="E1289" s="4268"/>
      <c r="F1289" s="4268"/>
      <c r="G1289" s="4268"/>
      <c r="H1289" s="4268"/>
      <c r="I1289" s="4268"/>
      <c r="J1289" s="4268"/>
      <c r="K1289" s="4268"/>
      <c r="L1289" s="4269">
        <f>'2 REPAIR ESTIMATOR'!P1091</f>
        <v>0</v>
      </c>
      <c r="M1289" s="4269"/>
      <c r="N1289" s="4270" t="str">
        <f>T('2 REPAIR ESTIMATOR'!S1091)</f>
        <v>ea</v>
      </c>
      <c r="O1289" s="4270"/>
      <c r="P1289" s="4271" t="s">
        <v>1519</v>
      </c>
      <c r="Q1289" s="4271"/>
      <c r="R1289" s="4271"/>
      <c r="S1289" s="4271"/>
      <c r="T1289" s="4271"/>
      <c r="U1289" s="4271"/>
      <c r="V1289" s="4272"/>
      <c r="W1289" s="12">
        <f t="shared" si="88"/>
        <v>1</v>
      </c>
      <c r="X1289" s="12">
        <f t="shared" si="87"/>
        <v>1</v>
      </c>
      <c r="Y1289" s="12">
        <f t="shared" si="86"/>
        <v>1</v>
      </c>
    </row>
    <row r="1290" spans="4:25" ht="15.7">
      <c r="D1290" s="4267" t="str">
        <f>T('2 REPAIR ESTIMATOR'!D1092:O1092)</f>
        <v>Chandelier light fixture</v>
      </c>
      <c r="E1290" s="4268"/>
      <c r="F1290" s="4268"/>
      <c r="G1290" s="4268"/>
      <c r="H1290" s="4268"/>
      <c r="I1290" s="4268"/>
      <c r="J1290" s="4268"/>
      <c r="K1290" s="4268"/>
      <c r="L1290" s="4269">
        <f>'2 REPAIR ESTIMATOR'!P1092</f>
        <v>0</v>
      </c>
      <c r="M1290" s="4269"/>
      <c r="N1290" s="4270" t="str">
        <f>T('2 REPAIR ESTIMATOR'!S1092)</f>
        <v>ea</v>
      </c>
      <c r="O1290" s="4270"/>
      <c r="P1290" s="4271" t="s">
        <v>1519</v>
      </c>
      <c r="Q1290" s="4271"/>
      <c r="R1290" s="4271"/>
      <c r="S1290" s="4271"/>
      <c r="T1290" s="4271"/>
      <c r="U1290" s="4271"/>
      <c r="V1290" s="4272"/>
      <c r="W1290" s="12">
        <f t="shared" si="88"/>
        <v>1</v>
      </c>
      <c r="X1290" s="12">
        <f t="shared" si="87"/>
        <v>1</v>
      </c>
      <c r="Y1290" s="12">
        <f t="shared" si="86"/>
        <v>1</v>
      </c>
    </row>
    <row r="1291" spans="4:25" ht="15.7">
      <c r="D1291" s="4267" t="str">
        <f>T('2 REPAIR ESTIMATOR'!D1093:O1093)</f>
        <v>Ceiling dome light</v>
      </c>
      <c r="E1291" s="4268"/>
      <c r="F1291" s="4268"/>
      <c r="G1291" s="4268"/>
      <c r="H1291" s="4268"/>
      <c r="I1291" s="4268"/>
      <c r="J1291" s="4268"/>
      <c r="K1291" s="4268"/>
      <c r="L1291" s="4269">
        <f>'2 REPAIR ESTIMATOR'!P1093</f>
        <v>0</v>
      </c>
      <c r="M1291" s="4269"/>
      <c r="N1291" s="4270" t="str">
        <f>T('2 REPAIR ESTIMATOR'!S1093)</f>
        <v>ea</v>
      </c>
      <c r="O1291" s="4270"/>
      <c r="P1291" s="4271" t="s">
        <v>1519</v>
      </c>
      <c r="Q1291" s="4271"/>
      <c r="R1291" s="4271"/>
      <c r="S1291" s="4271"/>
      <c r="T1291" s="4271"/>
      <c r="U1291" s="4271"/>
      <c r="V1291" s="4272"/>
      <c r="W1291" s="12">
        <f t="shared" si="88"/>
        <v>1</v>
      </c>
      <c r="X1291" s="12">
        <f t="shared" si="87"/>
        <v>1</v>
      </c>
      <c r="Y1291" s="12">
        <f t="shared" si="86"/>
        <v>1</v>
      </c>
    </row>
    <row r="1292" spans="4:25" ht="15.7">
      <c r="D1292" s="4267" t="str">
        <f>T('2 REPAIR ESTIMATOR'!D1094:O1094)</f>
        <v>Ceiling fan fixture</v>
      </c>
      <c r="E1292" s="4268"/>
      <c r="F1292" s="4268"/>
      <c r="G1292" s="4268"/>
      <c r="H1292" s="4268"/>
      <c r="I1292" s="4268"/>
      <c r="J1292" s="4268"/>
      <c r="K1292" s="4268"/>
      <c r="L1292" s="4269">
        <f>'2 REPAIR ESTIMATOR'!P1094</f>
        <v>0</v>
      </c>
      <c r="M1292" s="4269"/>
      <c r="N1292" s="4270" t="str">
        <f>T('2 REPAIR ESTIMATOR'!S1094)</f>
        <v>ea</v>
      </c>
      <c r="O1292" s="4270"/>
      <c r="P1292" s="4271" t="s">
        <v>1519</v>
      </c>
      <c r="Q1292" s="4271"/>
      <c r="R1292" s="4271"/>
      <c r="S1292" s="4271"/>
      <c r="T1292" s="4271"/>
      <c r="U1292" s="4271"/>
      <c r="V1292" s="4272"/>
      <c r="W1292" s="12">
        <f t="shared" si="88"/>
        <v>1</v>
      </c>
      <c r="X1292" s="12">
        <f t="shared" si="87"/>
        <v>1</v>
      </c>
      <c r="Y1292" s="12">
        <f t="shared" si="86"/>
        <v>1</v>
      </c>
    </row>
    <row r="1293" spans="4:25" ht="15.7">
      <c r="D1293" s="4267" t="str">
        <f>T('2 REPAIR ESTIMATOR'!D1095:O1095)</f>
        <v>Bathroom vanity light</v>
      </c>
      <c r="E1293" s="4268"/>
      <c r="F1293" s="4268"/>
      <c r="G1293" s="4268"/>
      <c r="H1293" s="4268"/>
      <c r="I1293" s="4268"/>
      <c r="J1293" s="4268"/>
      <c r="K1293" s="4268"/>
      <c r="L1293" s="4269">
        <f>'2 REPAIR ESTIMATOR'!P1095</f>
        <v>0</v>
      </c>
      <c r="M1293" s="4269"/>
      <c r="N1293" s="4270" t="str">
        <f>T('2 REPAIR ESTIMATOR'!S1095)</f>
        <v>ea</v>
      </c>
      <c r="O1293" s="4270"/>
      <c r="P1293" s="4271" t="s">
        <v>1519</v>
      </c>
      <c r="Q1293" s="4271"/>
      <c r="R1293" s="4271"/>
      <c r="S1293" s="4271"/>
      <c r="T1293" s="4271"/>
      <c r="U1293" s="4271"/>
      <c r="V1293" s="4272"/>
      <c r="W1293" s="12">
        <f t="shared" si="88"/>
        <v>1</v>
      </c>
      <c r="X1293" s="12">
        <f t="shared" si="87"/>
        <v>1</v>
      </c>
      <c r="Y1293" s="12">
        <f t="shared" si="86"/>
        <v>1</v>
      </c>
    </row>
    <row r="1294" spans="4:25" ht="15.7">
      <c r="D1294" s="4267" t="str">
        <f>T('2 REPAIR ESTIMATOR'!D1096:O1096)</f>
        <v>Can lighting</v>
      </c>
      <c r="E1294" s="4268"/>
      <c r="F1294" s="4268"/>
      <c r="G1294" s="4268"/>
      <c r="H1294" s="4268"/>
      <c r="I1294" s="4268"/>
      <c r="J1294" s="4268"/>
      <c r="K1294" s="4268"/>
      <c r="L1294" s="4269">
        <f>'2 REPAIR ESTIMATOR'!P1096</f>
        <v>0</v>
      </c>
      <c r="M1294" s="4269"/>
      <c r="N1294" s="4270" t="str">
        <f>T('2 REPAIR ESTIMATOR'!S1096)</f>
        <v>ea</v>
      </c>
      <c r="O1294" s="4270"/>
      <c r="P1294" s="4271" t="s">
        <v>1519</v>
      </c>
      <c r="Q1294" s="4271"/>
      <c r="R1294" s="4271"/>
      <c r="S1294" s="4271"/>
      <c r="T1294" s="4271"/>
      <c r="U1294" s="4271"/>
      <c r="V1294" s="4272"/>
      <c r="W1294" s="12">
        <f t="shared" si="88"/>
        <v>1</v>
      </c>
      <c r="X1294" s="12">
        <f t="shared" si="87"/>
        <v>1</v>
      </c>
      <c r="Y1294" s="12">
        <f t="shared" si="86"/>
        <v>1</v>
      </c>
    </row>
    <row r="1295" spans="4:25" ht="15.7">
      <c r="D1295" s="4267" t="str">
        <f>T('2 REPAIR ESTIMATOR'!D1097:O1097)</f>
        <v>Exterior light fixture</v>
      </c>
      <c r="E1295" s="4268"/>
      <c r="F1295" s="4268"/>
      <c r="G1295" s="4268"/>
      <c r="H1295" s="4268"/>
      <c r="I1295" s="4268"/>
      <c r="J1295" s="4268"/>
      <c r="K1295" s="4268"/>
      <c r="L1295" s="4269">
        <f>'2 REPAIR ESTIMATOR'!P1097</f>
        <v>0</v>
      </c>
      <c r="M1295" s="4269"/>
      <c r="N1295" s="4270" t="str">
        <f>T('2 REPAIR ESTIMATOR'!S1097)</f>
        <v>ea</v>
      </c>
      <c r="O1295" s="4270"/>
      <c r="P1295" s="4271" t="s">
        <v>1519</v>
      </c>
      <c r="Q1295" s="4271"/>
      <c r="R1295" s="4271"/>
      <c r="S1295" s="4271"/>
      <c r="T1295" s="4271"/>
      <c r="U1295" s="4271"/>
      <c r="V1295" s="4272"/>
      <c r="W1295" s="12">
        <f t="shared" si="88"/>
        <v>1</v>
      </c>
      <c r="X1295" s="12">
        <f t="shared" si="87"/>
        <v>1</v>
      </c>
      <c r="Y1295" s="12">
        <f t="shared" si="86"/>
        <v>1</v>
      </c>
    </row>
    <row r="1296" spans="4:25" ht="15.7">
      <c r="D1296" s="4267" t="str">
        <f>T('2 REPAIR ESTIMATOR'!D1098:O1098)</f>
        <v/>
      </c>
      <c r="E1296" s="4268"/>
      <c r="F1296" s="4268"/>
      <c r="G1296" s="4268"/>
      <c r="H1296" s="4268"/>
      <c r="I1296" s="4268"/>
      <c r="J1296" s="4268"/>
      <c r="K1296" s="4268"/>
      <c r="L1296" s="4269">
        <f>'2 REPAIR ESTIMATOR'!P1098</f>
        <v>0</v>
      </c>
      <c r="M1296" s="4269"/>
      <c r="N1296" s="4270" t="str">
        <f>T('2 REPAIR ESTIMATOR'!S1098)</f>
        <v/>
      </c>
      <c r="O1296" s="4270"/>
      <c r="P1296" s="4271"/>
      <c r="Q1296" s="4271"/>
      <c r="R1296" s="4271"/>
      <c r="S1296" s="4271"/>
      <c r="T1296" s="4271"/>
      <c r="U1296" s="4271"/>
      <c r="V1296" s="4272"/>
      <c r="W1296" s="12">
        <f t="shared" si="88"/>
        <v>1</v>
      </c>
      <c r="X1296" s="12">
        <f t="shared" si="87"/>
        <v>1</v>
      </c>
      <c r="Y1296" s="12">
        <f t="shared" si="86"/>
        <v>1</v>
      </c>
    </row>
    <row r="1297" spans="4:25" ht="15.7">
      <c r="D1297" s="4267" t="str">
        <f>T('2 REPAIR ESTIMATOR'!D1099:O1099)</f>
        <v/>
      </c>
      <c r="E1297" s="4268"/>
      <c r="F1297" s="4268"/>
      <c r="G1297" s="4268"/>
      <c r="H1297" s="4268"/>
      <c r="I1297" s="4268"/>
      <c r="J1297" s="4268"/>
      <c r="K1297" s="4268"/>
      <c r="L1297" s="4269">
        <f>'2 REPAIR ESTIMATOR'!P1099</f>
        <v>0</v>
      </c>
      <c r="M1297" s="4269"/>
      <c r="N1297" s="4270" t="str">
        <f>T('2 REPAIR ESTIMATOR'!S1099)</f>
        <v/>
      </c>
      <c r="O1297" s="4270"/>
      <c r="P1297" s="4271"/>
      <c r="Q1297" s="4271"/>
      <c r="R1297" s="4271"/>
      <c r="S1297" s="4271"/>
      <c r="T1297" s="4271"/>
      <c r="U1297" s="4271"/>
      <c r="V1297" s="4272"/>
      <c r="W1297" s="12">
        <f t="shared" si="88"/>
        <v>1</v>
      </c>
      <c r="X1297" s="12">
        <f t="shared" si="87"/>
        <v>1</v>
      </c>
      <c r="Y1297" s="12">
        <f t="shared" si="86"/>
        <v>1</v>
      </c>
    </row>
    <row r="1298" spans="4:25" ht="15.7">
      <c r="D1298" s="4267" t="str">
        <f>T('2 REPAIR ESTIMATOR'!D1100:O1100)</f>
        <v/>
      </c>
      <c r="E1298" s="4268"/>
      <c r="F1298" s="4268"/>
      <c r="G1298" s="4268"/>
      <c r="H1298" s="4268"/>
      <c r="I1298" s="4268"/>
      <c r="J1298" s="4268"/>
      <c r="K1298" s="4268"/>
      <c r="L1298" s="4269">
        <f>'2 REPAIR ESTIMATOR'!P1100</f>
        <v>0</v>
      </c>
      <c r="M1298" s="4269"/>
      <c r="N1298" s="4270" t="str">
        <f>T('2 REPAIR ESTIMATOR'!S1100)</f>
        <v/>
      </c>
      <c r="O1298" s="4270"/>
      <c r="P1298" s="4271"/>
      <c r="Q1298" s="4271"/>
      <c r="R1298" s="4271"/>
      <c r="S1298" s="4271"/>
      <c r="T1298" s="4271"/>
      <c r="U1298" s="4271"/>
      <c r="V1298" s="4272"/>
      <c r="W1298" s="12">
        <f t="shared" si="88"/>
        <v>1</v>
      </c>
      <c r="X1298" s="12">
        <f t="shared" si="87"/>
        <v>1</v>
      </c>
      <c r="Y1298" s="12">
        <f t="shared" si="86"/>
        <v>1</v>
      </c>
    </row>
    <row r="1299" spans="4:25" ht="15.7">
      <c r="D1299" s="4267" t="str">
        <f>T('2 REPAIR ESTIMATOR'!D1101:O1101)</f>
        <v/>
      </c>
      <c r="E1299" s="4268"/>
      <c r="F1299" s="4268"/>
      <c r="G1299" s="4268"/>
      <c r="H1299" s="4268"/>
      <c r="I1299" s="4268"/>
      <c r="J1299" s="4268"/>
      <c r="K1299" s="4268"/>
      <c r="L1299" s="4269">
        <f>'2 REPAIR ESTIMATOR'!P1101</f>
        <v>0</v>
      </c>
      <c r="M1299" s="4269"/>
      <c r="N1299" s="4270" t="str">
        <f>T('2 REPAIR ESTIMATOR'!S1101)</f>
        <v/>
      </c>
      <c r="O1299" s="4270"/>
      <c r="P1299" s="4271"/>
      <c r="Q1299" s="4271"/>
      <c r="R1299" s="4271"/>
      <c r="S1299" s="4271"/>
      <c r="T1299" s="4271"/>
      <c r="U1299" s="4271"/>
      <c r="V1299" s="4272"/>
      <c r="W1299" s="12">
        <f t="shared" si="88"/>
        <v>1</v>
      </c>
      <c r="X1299" s="12">
        <f t="shared" si="87"/>
        <v>1</v>
      </c>
      <c r="Y1299" s="12">
        <f t="shared" si="86"/>
        <v>1</v>
      </c>
    </row>
    <row r="1300" spans="4:25" ht="15.7">
      <c r="D1300" s="4267" t="str">
        <f>T('2 REPAIR ESTIMATOR'!D1102:O1102)</f>
        <v/>
      </c>
      <c r="E1300" s="4268"/>
      <c r="F1300" s="4268"/>
      <c r="G1300" s="4268"/>
      <c r="H1300" s="4268"/>
      <c r="I1300" s="4268"/>
      <c r="J1300" s="4268"/>
      <c r="K1300" s="4268"/>
      <c r="L1300" s="4269">
        <f>'2 REPAIR ESTIMATOR'!P1102</f>
        <v>0</v>
      </c>
      <c r="M1300" s="4269"/>
      <c r="N1300" s="4270" t="str">
        <f>T('2 REPAIR ESTIMATOR'!S1102)</f>
        <v/>
      </c>
      <c r="O1300" s="4270"/>
      <c r="P1300" s="4271"/>
      <c r="Q1300" s="4271"/>
      <c r="R1300" s="4271"/>
      <c r="S1300" s="4271"/>
      <c r="T1300" s="4271"/>
      <c r="U1300" s="4271"/>
      <c r="V1300" s="4272"/>
      <c r="W1300" s="12">
        <f t="shared" si="88"/>
        <v>1</v>
      </c>
      <c r="X1300" s="12">
        <f t="shared" si="87"/>
        <v>1</v>
      </c>
      <c r="Y1300" s="12">
        <f t="shared" si="86"/>
        <v>1</v>
      </c>
    </row>
    <row r="1301" spans="4:25" ht="15.7">
      <c r="D1301" s="4267" t="str">
        <f>T('2 REPAIR ESTIMATOR'!D1103:O1103)</f>
        <v/>
      </c>
      <c r="E1301" s="4268"/>
      <c r="F1301" s="4268"/>
      <c r="G1301" s="4268"/>
      <c r="H1301" s="4268"/>
      <c r="I1301" s="4268"/>
      <c r="J1301" s="4268"/>
      <c r="K1301" s="4268"/>
      <c r="L1301" s="4269">
        <f>'2 REPAIR ESTIMATOR'!P1103</f>
        <v>0</v>
      </c>
      <c r="M1301" s="4269"/>
      <c r="N1301" s="4270" t="str">
        <f>T('2 REPAIR ESTIMATOR'!S1103)</f>
        <v/>
      </c>
      <c r="O1301" s="4270"/>
      <c r="P1301" s="4271"/>
      <c r="Q1301" s="4271"/>
      <c r="R1301" s="4271"/>
      <c r="S1301" s="4271"/>
      <c r="T1301" s="4271"/>
      <c r="U1301" s="4271"/>
      <c r="V1301" s="4272"/>
      <c r="W1301" s="12">
        <f t="shared" si="88"/>
        <v>1</v>
      </c>
      <c r="X1301" s="12">
        <f t="shared" si="87"/>
        <v>1</v>
      </c>
      <c r="Y1301" s="12">
        <f t="shared" si="86"/>
        <v>1</v>
      </c>
    </row>
    <row r="1302" spans="4:25" ht="15.7">
      <c r="D1302" s="4267" t="str">
        <f>T('2 REPAIR ESTIMATOR'!D1104:O1104)</f>
        <v/>
      </c>
      <c r="E1302" s="4268"/>
      <c r="F1302" s="4268"/>
      <c r="G1302" s="4268"/>
      <c r="H1302" s="4268"/>
      <c r="I1302" s="4268"/>
      <c r="J1302" s="4268"/>
      <c r="K1302" s="4268"/>
      <c r="L1302" s="4269">
        <f>'2 REPAIR ESTIMATOR'!P1104</f>
        <v>0</v>
      </c>
      <c r="M1302" s="4269"/>
      <c r="N1302" s="4270" t="str">
        <f>T('2 REPAIR ESTIMATOR'!S1104)</f>
        <v/>
      </c>
      <c r="O1302" s="4270"/>
      <c r="P1302" s="4271"/>
      <c r="Q1302" s="4271"/>
      <c r="R1302" s="4271"/>
      <c r="S1302" s="4271"/>
      <c r="T1302" s="4271"/>
      <c r="U1302" s="4271"/>
      <c r="V1302" s="4272"/>
      <c r="W1302" s="12">
        <f t="shared" si="88"/>
        <v>1</v>
      </c>
      <c r="X1302" s="12">
        <f t="shared" si="87"/>
        <v>1</v>
      </c>
      <c r="Y1302" s="12">
        <f t="shared" si="86"/>
        <v>1</v>
      </c>
    </row>
    <row r="1303" spans="4:25" ht="15.7">
      <c r="D1303" s="4267" t="str">
        <f>T('2 REPAIR ESTIMATOR'!D1105:O1105)</f>
        <v/>
      </c>
      <c r="E1303" s="4268"/>
      <c r="F1303" s="4268"/>
      <c r="G1303" s="4268"/>
      <c r="H1303" s="4268"/>
      <c r="I1303" s="4268"/>
      <c r="J1303" s="4268"/>
      <c r="K1303" s="4268"/>
      <c r="L1303" s="4269">
        <f>'2 REPAIR ESTIMATOR'!P1105</f>
        <v>0</v>
      </c>
      <c r="M1303" s="4269"/>
      <c r="N1303" s="4270" t="str">
        <f>T('2 REPAIR ESTIMATOR'!S1105)</f>
        <v/>
      </c>
      <c r="O1303" s="4270"/>
      <c r="P1303" s="4271"/>
      <c r="Q1303" s="4271"/>
      <c r="R1303" s="4271"/>
      <c r="S1303" s="4271"/>
      <c r="T1303" s="4271"/>
      <c r="U1303" s="4271"/>
      <c r="V1303" s="4272"/>
      <c r="W1303" s="12">
        <f t="shared" si="88"/>
        <v>1</v>
      </c>
      <c r="X1303" s="12">
        <f t="shared" si="87"/>
        <v>1</v>
      </c>
      <c r="Y1303" s="12">
        <f t="shared" si="86"/>
        <v>1</v>
      </c>
    </row>
    <row r="1304" spans="4:25" ht="15.7">
      <c r="D1304" s="4267" t="str">
        <f>T('2 REPAIR ESTIMATOR'!D1106:O1106)</f>
        <v/>
      </c>
      <c r="E1304" s="4268"/>
      <c r="F1304" s="4268"/>
      <c r="G1304" s="4268"/>
      <c r="H1304" s="4268"/>
      <c r="I1304" s="4268"/>
      <c r="J1304" s="4268"/>
      <c r="K1304" s="4268"/>
      <c r="L1304" s="4269">
        <f>'2 REPAIR ESTIMATOR'!P1106</f>
        <v>0</v>
      </c>
      <c r="M1304" s="4269"/>
      <c r="N1304" s="4270" t="str">
        <f>T('2 REPAIR ESTIMATOR'!S1106)</f>
        <v/>
      </c>
      <c r="O1304" s="4270"/>
      <c r="P1304" s="4271"/>
      <c r="Q1304" s="4271"/>
      <c r="R1304" s="4271"/>
      <c r="S1304" s="4271"/>
      <c r="T1304" s="4271"/>
      <c r="U1304" s="4271"/>
      <c r="V1304" s="4272"/>
      <c r="W1304" s="12">
        <f t="shared" si="88"/>
        <v>1</v>
      </c>
      <c r="X1304" s="12">
        <f t="shared" si="87"/>
        <v>1</v>
      </c>
      <c r="Y1304" s="12">
        <f t="shared" si="86"/>
        <v>1</v>
      </c>
    </row>
    <row r="1305" spans="4:25" ht="15.7">
      <c r="D1305" s="4267" t="str">
        <f>T('2 REPAIR ESTIMATOR'!D1107:O1107)</f>
        <v/>
      </c>
      <c r="E1305" s="4268"/>
      <c r="F1305" s="4268"/>
      <c r="G1305" s="4268"/>
      <c r="H1305" s="4268"/>
      <c r="I1305" s="4268"/>
      <c r="J1305" s="4268"/>
      <c r="K1305" s="4268"/>
      <c r="L1305" s="4269">
        <f>'2 REPAIR ESTIMATOR'!P1107</f>
        <v>0</v>
      </c>
      <c r="M1305" s="4269"/>
      <c r="N1305" s="4270" t="str">
        <f>T('2 REPAIR ESTIMATOR'!S1107)</f>
        <v/>
      </c>
      <c r="O1305" s="4270"/>
      <c r="P1305" s="4271"/>
      <c r="Q1305" s="4271"/>
      <c r="R1305" s="4271"/>
      <c r="S1305" s="4271"/>
      <c r="T1305" s="4271"/>
      <c r="U1305" s="4271"/>
      <c r="V1305" s="4272"/>
      <c r="W1305" s="12">
        <f t="shared" si="88"/>
        <v>1</v>
      </c>
      <c r="X1305" s="12">
        <f t="shared" si="87"/>
        <v>1</v>
      </c>
      <c r="Y1305" s="12">
        <f t="shared" si="86"/>
        <v>1</v>
      </c>
    </row>
    <row r="1306" spans="4:25" ht="15.7">
      <c r="D1306" s="4267" t="str">
        <f>T('2 REPAIR ESTIMATOR'!D1108:O1108)</f>
        <v/>
      </c>
      <c r="E1306" s="4268"/>
      <c r="F1306" s="4268"/>
      <c r="G1306" s="4268"/>
      <c r="H1306" s="4268"/>
      <c r="I1306" s="4268"/>
      <c r="J1306" s="4268"/>
      <c r="K1306" s="4268"/>
      <c r="L1306" s="4269">
        <f>'2 REPAIR ESTIMATOR'!P1108</f>
        <v>0</v>
      </c>
      <c r="M1306" s="4269"/>
      <c r="N1306" s="4270" t="str">
        <f>T('2 REPAIR ESTIMATOR'!S1108)</f>
        <v/>
      </c>
      <c r="O1306" s="4270"/>
      <c r="P1306" s="4271"/>
      <c r="Q1306" s="4271"/>
      <c r="R1306" s="4271"/>
      <c r="S1306" s="4271"/>
      <c r="T1306" s="4271"/>
      <c r="U1306" s="4271"/>
      <c r="V1306" s="4272"/>
      <c r="W1306" s="12">
        <f t="shared" si="88"/>
        <v>1</v>
      </c>
      <c r="X1306" s="12">
        <f t="shared" si="87"/>
        <v>1</v>
      </c>
      <c r="Y1306" s="12">
        <f t="shared" si="86"/>
        <v>1</v>
      </c>
    </row>
    <row r="1307" spans="4:25" ht="15.7">
      <c r="D1307" s="4267" t="str">
        <f>T('2 REPAIR ESTIMATOR'!D1109:O1109)</f>
        <v/>
      </c>
      <c r="E1307" s="4268"/>
      <c r="F1307" s="4268"/>
      <c r="G1307" s="4268"/>
      <c r="H1307" s="4268"/>
      <c r="I1307" s="4268"/>
      <c r="J1307" s="4268"/>
      <c r="K1307" s="4268"/>
      <c r="L1307" s="4269">
        <f>'2 REPAIR ESTIMATOR'!P1109</f>
        <v>0</v>
      </c>
      <c r="M1307" s="4269"/>
      <c r="N1307" s="4270" t="str">
        <f>T('2 REPAIR ESTIMATOR'!S1109)</f>
        <v/>
      </c>
      <c r="O1307" s="4270"/>
      <c r="P1307" s="4271"/>
      <c r="Q1307" s="4271"/>
      <c r="R1307" s="4271"/>
      <c r="S1307" s="4271"/>
      <c r="T1307" s="4271"/>
      <c r="U1307" s="4271"/>
      <c r="V1307" s="4272"/>
      <c r="W1307" s="12">
        <f t="shared" si="88"/>
        <v>1</v>
      </c>
      <c r="X1307" s="12">
        <f t="shared" ref="X1307:X1330" si="89">IF(Scope23_Setting="Shown",1,0)</f>
        <v>1</v>
      </c>
      <c r="Y1307" s="12">
        <f t="shared" si="86"/>
        <v>1</v>
      </c>
    </row>
    <row r="1308" spans="4:25" ht="15.7">
      <c r="D1308" s="4267" t="str">
        <f>T('2 REPAIR ESTIMATOR'!D1110:O1110)</f>
        <v/>
      </c>
      <c r="E1308" s="4268"/>
      <c r="F1308" s="4268"/>
      <c r="G1308" s="4268"/>
      <c r="H1308" s="4268"/>
      <c r="I1308" s="4268"/>
      <c r="J1308" s="4268"/>
      <c r="K1308" s="4268"/>
      <c r="L1308" s="4269">
        <f>'2 REPAIR ESTIMATOR'!P1110</f>
        <v>0</v>
      </c>
      <c r="M1308" s="4269"/>
      <c r="N1308" s="4270" t="str">
        <f>T('2 REPAIR ESTIMATOR'!S1110)</f>
        <v/>
      </c>
      <c r="O1308" s="4270"/>
      <c r="P1308" s="4271"/>
      <c r="Q1308" s="4271"/>
      <c r="R1308" s="4271"/>
      <c r="S1308" s="4271"/>
      <c r="T1308" s="4271"/>
      <c r="U1308" s="4271"/>
      <c r="V1308" s="4272"/>
      <c r="W1308" s="12">
        <f t="shared" si="88"/>
        <v>1</v>
      </c>
      <c r="X1308" s="12">
        <f t="shared" si="89"/>
        <v>1</v>
      </c>
      <c r="Y1308" s="12">
        <f t="shared" si="86"/>
        <v>1</v>
      </c>
    </row>
    <row r="1309" spans="4:25" ht="15.7">
      <c r="D1309" s="4267" t="str">
        <f>T('2 REPAIR ESTIMATOR'!D1111:O1111)</f>
        <v/>
      </c>
      <c r="E1309" s="4268"/>
      <c r="F1309" s="4268"/>
      <c r="G1309" s="4268"/>
      <c r="H1309" s="4268"/>
      <c r="I1309" s="4268"/>
      <c r="J1309" s="4268"/>
      <c r="K1309" s="4268"/>
      <c r="L1309" s="4269">
        <f>'2 REPAIR ESTIMATOR'!P1111</f>
        <v>0</v>
      </c>
      <c r="M1309" s="4269"/>
      <c r="N1309" s="4270" t="str">
        <f>T('2 REPAIR ESTIMATOR'!S1111)</f>
        <v/>
      </c>
      <c r="O1309" s="4270"/>
      <c r="P1309" s="4271"/>
      <c r="Q1309" s="4271"/>
      <c r="R1309" s="4271"/>
      <c r="S1309" s="4271"/>
      <c r="T1309" s="4271"/>
      <c r="U1309" s="4271"/>
      <c r="V1309" s="4272"/>
      <c r="W1309" s="12">
        <f t="shared" si="88"/>
        <v>1</v>
      </c>
      <c r="X1309" s="12">
        <f t="shared" si="89"/>
        <v>1</v>
      </c>
      <c r="Y1309" s="12">
        <f t="shared" si="86"/>
        <v>1</v>
      </c>
    </row>
    <row r="1310" spans="4:25" ht="15.7">
      <c r="D1310" s="4267" t="str">
        <f>T('2 REPAIR ESTIMATOR'!D1112:O1112)</f>
        <v/>
      </c>
      <c r="E1310" s="4268"/>
      <c r="F1310" s="4268"/>
      <c r="G1310" s="4268"/>
      <c r="H1310" s="4268"/>
      <c r="I1310" s="4268"/>
      <c r="J1310" s="4268"/>
      <c r="K1310" s="4268"/>
      <c r="L1310" s="4269">
        <f>'2 REPAIR ESTIMATOR'!P1112</f>
        <v>0</v>
      </c>
      <c r="M1310" s="4269"/>
      <c r="N1310" s="4270" t="str">
        <f>T('2 REPAIR ESTIMATOR'!S1112)</f>
        <v/>
      </c>
      <c r="O1310" s="4270"/>
      <c r="P1310" s="4271"/>
      <c r="Q1310" s="4271"/>
      <c r="R1310" s="4271"/>
      <c r="S1310" s="4271"/>
      <c r="T1310" s="4271"/>
      <c r="U1310" s="4271"/>
      <c r="V1310" s="4272"/>
      <c r="W1310" s="12">
        <f t="shared" si="88"/>
        <v>1</v>
      </c>
      <c r="X1310" s="12">
        <f t="shared" si="89"/>
        <v>1</v>
      </c>
      <c r="Y1310" s="12">
        <f t="shared" si="86"/>
        <v>1</v>
      </c>
    </row>
    <row r="1311" spans="4:25" ht="15.7">
      <c r="D1311" s="4267" t="str">
        <f>T('2 REPAIR ESTIMATOR'!D1113:O1113)</f>
        <v/>
      </c>
      <c r="E1311" s="4268"/>
      <c r="F1311" s="4268"/>
      <c r="G1311" s="4268"/>
      <c r="H1311" s="4268"/>
      <c r="I1311" s="4268"/>
      <c r="J1311" s="4268"/>
      <c r="K1311" s="4268"/>
      <c r="L1311" s="4269">
        <f>'2 REPAIR ESTIMATOR'!P1113</f>
        <v>0</v>
      </c>
      <c r="M1311" s="4269"/>
      <c r="N1311" s="4270" t="str">
        <f>T('2 REPAIR ESTIMATOR'!S1113)</f>
        <v/>
      </c>
      <c r="O1311" s="4270"/>
      <c r="P1311" s="4271"/>
      <c r="Q1311" s="4271"/>
      <c r="R1311" s="4271"/>
      <c r="S1311" s="4271"/>
      <c r="T1311" s="4271"/>
      <c r="U1311" s="4271"/>
      <c r="V1311" s="4272"/>
      <c r="W1311" s="12">
        <f t="shared" si="88"/>
        <v>1</v>
      </c>
      <c r="X1311" s="12">
        <f t="shared" si="89"/>
        <v>1</v>
      </c>
      <c r="Y1311" s="12">
        <f t="shared" si="86"/>
        <v>1</v>
      </c>
    </row>
    <row r="1312" spans="4:25" ht="15.7">
      <c r="D1312" s="4267" t="str">
        <f>T('2 REPAIR ESTIMATOR'!D1114:O1114)</f>
        <v/>
      </c>
      <c r="E1312" s="4268"/>
      <c r="F1312" s="4268"/>
      <c r="G1312" s="4268"/>
      <c r="H1312" s="4268"/>
      <c r="I1312" s="4268"/>
      <c r="J1312" s="4268"/>
      <c r="K1312" s="4268"/>
      <c r="L1312" s="4269">
        <f>'2 REPAIR ESTIMATOR'!P1114</f>
        <v>0</v>
      </c>
      <c r="M1312" s="4269"/>
      <c r="N1312" s="4270" t="str">
        <f>T('2 REPAIR ESTIMATOR'!S1114)</f>
        <v/>
      </c>
      <c r="O1312" s="4270"/>
      <c r="P1312" s="4271"/>
      <c r="Q1312" s="4271"/>
      <c r="R1312" s="4271"/>
      <c r="S1312" s="4271"/>
      <c r="T1312" s="4271"/>
      <c r="U1312" s="4271"/>
      <c r="V1312" s="4272"/>
      <c r="W1312" s="12">
        <f t="shared" si="88"/>
        <v>1</v>
      </c>
      <c r="X1312" s="12">
        <f t="shared" si="89"/>
        <v>1</v>
      </c>
      <c r="Y1312" s="12">
        <f t="shared" si="86"/>
        <v>1</v>
      </c>
    </row>
    <row r="1313" spans="3:25" ht="15.7">
      <c r="D1313" s="4267" t="str">
        <f>T('2 REPAIR ESTIMATOR'!D1115:O1115)</f>
        <v/>
      </c>
      <c r="E1313" s="4268"/>
      <c r="F1313" s="4268"/>
      <c r="G1313" s="4268"/>
      <c r="H1313" s="4268"/>
      <c r="I1313" s="4268"/>
      <c r="J1313" s="4268"/>
      <c r="K1313" s="4268"/>
      <c r="L1313" s="4269">
        <f>'2 REPAIR ESTIMATOR'!P1115</f>
        <v>0</v>
      </c>
      <c r="M1313" s="4269"/>
      <c r="N1313" s="4270" t="str">
        <f>T('2 REPAIR ESTIMATOR'!S1115)</f>
        <v/>
      </c>
      <c r="O1313" s="4270"/>
      <c r="P1313" s="4271"/>
      <c r="Q1313" s="4271"/>
      <c r="R1313" s="4271"/>
      <c r="S1313" s="4271"/>
      <c r="T1313" s="4271"/>
      <c r="U1313" s="4271"/>
      <c r="V1313" s="4272"/>
      <c r="W1313" s="12">
        <f t="shared" si="88"/>
        <v>1</v>
      </c>
      <c r="X1313" s="12">
        <f t="shared" si="89"/>
        <v>1</v>
      </c>
      <c r="Y1313" s="12">
        <f t="shared" si="86"/>
        <v>1</v>
      </c>
    </row>
    <row r="1314" spans="3:25" ht="15.7">
      <c r="D1314" s="4267" t="str">
        <f>T('2 REPAIR ESTIMATOR'!D1116:O1116)</f>
        <v/>
      </c>
      <c r="E1314" s="4268"/>
      <c r="F1314" s="4268"/>
      <c r="G1314" s="4268"/>
      <c r="H1314" s="4268"/>
      <c r="I1314" s="4268"/>
      <c r="J1314" s="4268"/>
      <c r="K1314" s="4268"/>
      <c r="L1314" s="4269">
        <f>'2 REPAIR ESTIMATOR'!P1116</f>
        <v>0</v>
      </c>
      <c r="M1314" s="4269"/>
      <c r="N1314" s="4270" t="str">
        <f>T('2 REPAIR ESTIMATOR'!S1116)</f>
        <v/>
      </c>
      <c r="O1314" s="4270"/>
      <c r="P1314" s="4271"/>
      <c r="Q1314" s="4271"/>
      <c r="R1314" s="4271"/>
      <c r="S1314" s="4271"/>
      <c r="T1314" s="4271"/>
      <c r="U1314" s="4271"/>
      <c r="V1314" s="4272"/>
      <c r="W1314" s="12">
        <f t="shared" si="88"/>
        <v>1</v>
      </c>
      <c r="X1314" s="12">
        <f t="shared" si="89"/>
        <v>1</v>
      </c>
      <c r="Y1314" s="12">
        <f t="shared" si="86"/>
        <v>1</v>
      </c>
    </row>
    <row r="1315" spans="3:25" ht="15.7">
      <c r="D1315" s="4267" t="str">
        <f>T('2 REPAIR ESTIMATOR'!D1117:O1117)</f>
        <v/>
      </c>
      <c r="E1315" s="4268"/>
      <c r="F1315" s="4268"/>
      <c r="G1315" s="4268"/>
      <c r="H1315" s="4268"/>
      <c r="I1315" s="4268"/>
      <c r="J1315" s="4268"/>
      <c r="K1315" s="4268"/>
      <c r="L1315" s="4269">
        <f>'2 REPAIR ESTIMATOR'!P1117</f>
        <v>0</v>
      </c>
      <c r="M1315" s="4269"/>
      <c r="N1315" s="4270" t="str">
        <f>T('2 REPAIR ESTIMATOR'!S1117)</f>
        <v/>
      </c>
      <c r="O1315" s="4270"/>
      <c r="P1315" s="4271"/>
      <c r="Q1315" s="4271"/>
      <c r="R1315" s="4271"/>
      <c r="S1315" s="4271"/>
      <c r="T1315" s="4271"/>
      <c r="U1315" s="4271"/>
      <c r="V1315" s="4272"/>
      <c r="W1315" s="12">
        <f t="shared" si="88"/>
        <v>1</v>
      </c>
      <c r="X1315" s="12">
        <f t="shared" si="89"/>
        <v>1</v>
      </c>
      <c r="Y1315" s="12">
        <f t="shared" si="86"/>
        <v>1</v>
      </c>
    </row>
    <row r="1316" spans="3:25" ht="15.7">
      <c r="C1316" s="6"/>
      <c r="D1316" s="723"/>
      <c r="E1316" s="723"/>
      <c r="F1316" s="723"/>
      <c r="G1316" s="723"/>
      <c r="H1316" s="723"/>
      <c r="I1316" s="723"/>
      <c r="J1316" s="723"/>
      <c r="K1316" s="723"/>
      <c r="L1316" s="724"/>
      <c r="M1316" s="724"/>
      <c r="N1316" s="725"/>
      <c r="O1316" s="725"/>
      <c r="P1316" s="724"/>
      <c r="Q1316" s="445"/>
      <c r="R1316" s="445"/>
      <c r="S1316" s="725"/>
      <c r="T1316" s="725"/>
      <c r="U1316" s="725"/>
      <c r="V1316" s="725"/>
      <c r="W1316" s="12">
        <f>W1317</f>
        <v>0</v>
      </c>
      <c r="X1316" s="12">
        <f t="shared" si="89"/>
        <v>1</v>
      </c>
      <c r="Y1316" s="12">
        <f t="shared" si="86"/>
        <v>0</v>
      </c>
    </row>
    <row r="1317" spans="3:25" ht="16.7">
      <c r="C1317" s="6"/>
      <c r="D1317" s="4266" t="str">
        <f>UPPER(CONCATENATE("Miscellaneous ",D1275," Items"))</f>
        <v>MISCELLANEOUS ELECTRICAL ITEMS</v>
      </c>
      <c r="E1317" s="4266"/>
      <c r="F1317" s="4266"/>
      <c r="G1317" s="4266"/>
      <c r="H1317" s="4266"/>
      <c r="I1317" s="4266"/>
      <c r="J1317" s="4266"/>
      <c r="K1317" s="4266"/>
      <c r="L1317" s="4266"/>
      <c r="M1317" s="4266"/>
      <c r="N1317" s="4266"/>
      <c r="O1317" s="4266"/>
      <c r="P1317" s="4266"/>
      <c r="Q1317" s="4266"/>
      <c r="R1317" s="4266"/>
      <c r="S1317" s="4266"/>
      <c r="T1317" s="4266"/>
      <c r="U1317" s="4266"/>
      <c r="V1317" s="4266"/>
      <c r="W1317" s="12">
        <f>SUM(W1318:W1327)</f>
        <v>0</v>
      </c>
      <c r="X1317" s="12">
        <f t="shared" si="89"/>
        <v>1</v>
      </c>
      <c r="Y1317" s="12">
        <f t="shared" si="86"/>
        <v>0</v>
      </c>
    </row>
    <row r="1318" spans="3:25" ht="15.7">
      <c r="C1318" s="6"/>
      <c r="D1318" s="712">
        <v>1</v>
      </c>
      <c r="E1318" s="4263" t="s">
        <v>1512</v>
      </c>
      <c r="F1318" s="4263"/>
      <c r="G1318" s="4263"/>
      <c r="H1318" s="4263"/>
      <c r="I1318" s="4263"/>
      <c r="J1318" s="4263"/>
      <c r="K1318" s="4263"/>
      <c r="L1318" s="4263"/>
      <c r="M1318" s="4263"/>
      <c r="N1318" s="4263"/>
      <c r="O1318" s="4263"/>
      <c r="P1318" s="4263"/>
      <c r="Q1318" s="4263"/>
      <c r="R1318" s="4263"/>
      <c r="S1318" s="4263"/>
      <c r="T1318" s="4263"/>
      <c r="U1318" s="4263"/>
      <c r="V1318" s="4263"/>
      <c r="W1318" s="12">
        <f>IF(E1318&lt;&gt;"",1,0)*W1275</f>
        <v>0</v>
      </c>
      <c r="X1318" s="12">
        <f t="shared" si="89"/>
        <v>1</v>
      </c>
      <c r="Y1318" s="12">
        <f t="shared" si="86"/>
        <v>0</v>
      </c>
    </row>
    <row r="1319" spans="3:25" ht="15.7">
      <c r="C1319" s="6"/>
      <c r="D1319" s="712">
        <v>2</v>
      </c>
      <c r="E1319" s="4263" t="s">
        <v>1513</v>
      </c>
      <c r="F1319" s="4263"/>
      <c r="G1319" s="4263"/>
      <c r="H1319" s="4263"/>
      <c r="I1319" s="4263"/>
      <c r="J1319" s="4263"/>
      <c r="K1319" s="4263"/>
      <c r="L1319" s="4263"/>
      <c r="M1319" s="4263"/>
      <c r="N1319" s="4263"/>
      <c r="O1319" s="4263"/>
      <c r="P1319" s="4263"/>
      <c r="Q1319" s="4263"/>
      <c r="R1319" s="4263"/>
      <c r="S1319" s="4263"/>
      <c r="T1319" s="4263"/>
      <c r="U1319" s="4263"/>
      <c r="V1319" s="4263"/>
      <c r="W1319" s="12">
        <f>IF(E1319&lt;&gt;"",1,0)*W1275</f>
        <v>0</v>
      </c>
      <c r="X1319" s="12">
        <f t="shared" si="89"/>
        <v>1</v>
      </c>
      <c r="Y1319" s="12">
        <f t="shared" si="86"/>
        <v>0</v>
      </c>
    </row>
    <row r="1320" spans="3:25" ht="15.7">
      <c r="C1320" s="6"/>
      <c r="D1320" s="712">
        <v>3</v>
      </c>
      <c r="E1320" s="4263" t="s">
        <v>1514</v>
      </c>
      <c r="F1320" s="4263"/>
      <c r="G1320" s="4263"/>
      <c r="H1320" s="4263"/>
      <c r="I1320" s="4263"/>
      <c r="J1320" s="4263"/>
      <c r="K1320" s="4263"/>
      <c r="L1320" s="4263"/>
      <c r="M1320" s="4263"/>
      <c r="N1320" s="4263"/>
      <c r="O1320" s="4263"/>
      <c r="P1320" s="4263"/>
      <c r="Q1320" s="4263"/>
      <c r="R1320" s="4263"/>
      <c r="S1320" s="4263"/>
      <c r="T1320" s="4263"/>
      <c r="U1320" s="4263"/>
      <c r="V1320" s="4263"/>
      <c r="W1320" s="12">
        <f>IF(E1320&lt;&gt;"",1,0)*W1275</f>
        <v>0</v>
      </c>
      <c r="X1320" s="12">
        <f t="shared" si="89"/>
        <v>1</v>
      </c>
      <c r="Y1320" s="12">
        <f t="shared" si="86"/>
        <v>0</v>
      </c>
    </row>
    <row r="1321" spans="3:25" ht="15.7">
      <c r="C1321" s="6"/>
      <c r="D1321" s="712">
        <v>4</v>
      </c>
      <c r="E1321" s="4263" t="s">
        <v>1516</v>
      </c>
      <c r="F1321" s="4263"/>
      <c r="G1321" s="4263"/>
      <c r="H1321" s="4263"/>
      <c r="I1321" s="4263"/>
      <c r="J1321" s="4263"/>
      <c r="K1321" s="4263"/>
      <c r="L1321" s="4263"/>
      <c r="M1321" s="4263"/>
      <c r="N1321" s="4263"/>
      <c r="O1321" s="4263"/>
      <c r="P1321" s="4263"/>
      <c r="Q1321" s="4263"/>
      <c r="R1321" s="4263"/>
      <c r="S1321" s="4263"/>
      <c r="T1321" s="4263"/>
      <c r="U1321" s="4263"/>
      <c r="V1321" s="4263"/>
      <c r="W1321" s="12">
        <f>IF(E1321&lt;&gt;"",1,0)*W1275</f>
        <v>0</v>
      </c>
      <c r="X1321" s="12">
        <f t="shared" si="89"/>
        <v>1</v>
      </c>
      <c r="Y1321" s="12">
        <f t="shared" si="86"/>
        <v>0</v>
      </c>
    </row>
    <row r="1322" spans="3:25" ht="15.7">
      <c r="C1322" s="6"/>
      <c r="D1322" s="712">
        <v>5</v>
      </c>
      <c r="E1322" s="4263" t="s">
        <v>1515</v>
      </c>
      <c r="F1322" s="4263"/>
      <c r="G1322" s="4263"/>
      <c r="H1322" s="4263"/>
      <c r="I1322" s="4263"/>
      <c r="J1322" s="4263"/>
      <c r="K1322" s="4263"/>
      <c r="L1322" s="4263"/>
      <c r="M1322" s="4263"/>
      <c r="N1322" s="4263"/>
      <c r="O1322" s="4263"/>
      <c r="P1322" s="4263"/>
      <c r="Q1322" s="4263"/>
      <c r="R1322" s="4263"/>
      <c r="S1322" s="4263"/>
      <c r="T1322" s="4263"/>
      <c r="U1322" s="4263"/>
      <c r="V1322" s="4263"/>
      <c r="W1322" s="12">
        <f>IF(E1322&lt;&gt;"",1,0)*W1275</f>
        <v>0</v>
      </c>
      <c r="X1322" s="12">
        <f t="shared" si="89"/>
        <v>1</v>
      </c>
      <c r="Y1322" s="12">
        <f t="shared" si="86"/>
        <v>0</v>
      </c>
    </row>
    <row r="1323" spans="3:25" ht="15.7">
      <c r="C1323" s="6"/>
      <c r="D1323" s="712">
        <v>6</v>
      </c>
      <c r="E1323" s="4263" t="s">
        <v>1517</v>
      </c>
      <c r="F1323" s="4263"/>
      <c r="G1323" s="4263"/>
      <c r="H1323" s="4263"/>
      <c r="I1323" s="4263"/>
      <c r="J1323" s="4263"/>
      <c r="K1323" s="4263"/>
      <c r="L1323" s="4263"/>
      <c r="M1323" s="4263"/>
      <c r="N1323" s="4263"/>
      <c r="O1323" s="4263"/>
      <c r="P1323" s="4263"/>
      <c r="Q1323" s="4263"/>
      <c r="R1323" s="4263"/>
      <c r="S1323" s="4263"/>
      <c r="T1323" s="4263"/>
      <c r="U1323" s="4263"/>
      <c r="V1323" s="4263"/>
      <c r="W1323" s="12">
        <f>IF(E1323&lt;&gt;"",1,0)*W1275</f>
        <v>0</v>
      </c>
      <c r="X1323" s="12">
        <f t="shared" si="89"/>
        <v>1</v>
      </c>
      <c r="Y1323" s="12">
        <f t="shared" si="86"/>
        <v>0</v>
      </c>
    </row>
    <row r="1324" spans="3:25" ht="15.7">
      <c r="C1324" s="6"/>
      <c r="D1324" s="712">
        <v>7</v>
      </c>
      <c r="E1324" s="4263" t="s">
        <v>1518</v>
      </c>
      <c r="F1324" s="4263"/>
      <c r="G1324" s="4263"/>
      <c r="H1324" s="4263"/>
      <c r="I1324" s="4263"/>
      <c r="J1324" s="4263"/>
      <c r="K1324" s="4263"/>
      <c r="L1324" s="4263"/>
      <c r="M1324" s="4263"/>
      <c r="N1324" s="4263"/>
      <c r="O1324" s="4263"/>
      <c r="P1324" s="4263"/>
      <c r="Q1324" s="4263"/>
      <c r="R1324" s="4263"/>
      <c r="S1324" s="4263"/>
      <c r="T1324" s="4263"/>
      <c r="U1324" s="4263"/>
      <c r="V1324" s="4263"/>
      <c r="W1324" s="12">
        <f>IF(E1324&lt;&gt;"",1,0)*W1275</f>
        <v>0</v>
      </c>
      <c r="X1324" s="12">
        <f t="shared" si="89"/>
        <v>1</v>
      </c>
      <c r="Y1324" s="12">
        <f t="shared" ref="Y1324:Y1387" si="90">W1324*X1324</f>
        <v>0</v>
      </c>
    </row>
    <row r="1325" spans="3:25" ht="15.7">
      <c r="C1325" s="6"/>
      <c r="D1325" s="712">
        <v>8</v>
      </c>
      <c r="E1325" s="4263"/>
      <c r="F1325" s="4263"/>
      <c r="G1325" s="4263"/>
      <c r="H1325" s="4263"/>
      <c r="I1325" s="4263"/>
      <c r="J1325" s="4263"/>
      <c r="K1325" s="4263"/>
      <c r="L1325" s="4263"/>
      <c r="M1325" s="4263"/>
      <c r="N1325" s="4263"/>
      <c r="O1325" s="4263"/>
      <c r="P1325" s="4263"/>
      <c r="Q1325" s="4263"/>
      <c r="R1325" s="4263"/>
      <c r="S1325" s="4263"/>
      <c r="T1325" s="4263"/>
      <c r="U1325" s="4263"/>
      <c r="V1325" s="4263"/>
      <c r="W1325" s="12">
        <f>IF(E1325&lt;&gt;"",1,0)*W1275</f>
        <v>0</v>
      </c>
      <c r="X1325" s="12">
        <f t="shared" si="89"/>
        <v>1</v>
      </c>
      <c r="Y1325" s="12">
        <f t="shared" si="90"/>
        <v>0</v>
      </c>
    </row>
    <row r="1326" spans="3:25" ht="15.7">
      <c r="C1326" s="6"/>
      <c r="D1326" s="712">
        <v>9</v>
      </c>
      <c r="E1326" s="4263"/>
      <c r="F1326" s="4263"/>
      <c r="G1326" s="4263"/>
      <c r="H1326" s="4263"/>
      <c r="I1326" s="4263"/>
      <c r="J1326" s="4263"/>
      <c r="K1326" s="4263"/>
      <c r="L1326" s="4263"/>
      <c r="M1326" s="4263"/>
      <c r="N1326" s="4263"/>
      <c r="O1326" s="4263"/>
      <c r="P1326" s="4263"/>
      <c r="Q1326" s="4263"/>
      <c r="R1326" s="4263"/>
      <c r="S1326" s="4263"/>
      <c r="T1326" s="4263"/>
      <c r="U1326" s="4263"/>
      <c r="V1326" s="4263"/>
      <c r="W1326" s="12">
        <f>IF(E1326&lt;&gt;"",1,0)*W1275</f>
        <v>0</v>
      </c>
      <c r="X1326" s="12">
        <f t="shared" si="89"/>
        <v>1</v>
      </c>
      <c r="Y1326" s="12">
        <f t="shared" si="90"/>
        <v>0</v>
      </c>
    </row>
    <row r="1327" spans="3:25" ht="15.7">
      <c r="C1327" s="6"/>
      <c r="D1327" s="712">
        <v>10</v>
      </c>
      <c r="E1327" s="4263"/>
      <c r="F1327" s="4263"/>
      <c r="G1327" s="4263"/>
      <c r="H1327" s="4263"/>
      <c r="I1327" s="4263"/>
      <c r="J1327" s="4263"/>
      <c r="K1327" s="4263"/>
      <c r="L1327" s="4263"/>
      <c r="M1327" s="4263"/>
      <c r="N1327" s="4263"/>
      <c r="O1327" s="4263"/>
      <c r="P1327" s="4263"/>
      <c r="Q1327" s="4263"/>
      <c r="R1327" s="4263"/>
      <c r="S1327" s="4263"/>
      <c r="T1327" s="4263"/>
      <c r="U1327" s="4263"/>
      <c r="V1327" s="4263"/>
      <c r="W1327" s="12">
        <f>IF(E1327&lt;&gt;"",1,0)*W1275</f>
        <v>0</v>
      </c>
      <c r="X1327" s="12">
        <f t="shared" si="89"/>
        <v>1</v>
      </c>
      <c r="Y1327" s="12">
        <f t="shared" si="90"/>
        <v>0</v>
      </c>
    </row>
    <row r="1328" spans="3:25" ht="15.7">
      <c r="C1328" s="6"/>
      <c r="D1328" s="723"/>
      <c r="E1328" s="723"/>
      <c r="F1328" s="723"/>
      <c r="G1328" s="723"/>
      <c r="H1328" s="723"/>
      <c r="I1328" s="723"/>
      <c r="J1328" s="723"/>
      <c r="K1328" s="723"/>
      <c r="L1328" s="724"/>
      <c r="M1328" s="724"/>
      <c r="N1328" s="725"/>
      <c r="O1328" s="725"/>
      <c r="P1328" s="724"/>
      <c r="Q1328" s="445"/>
      <c r="R1328" s="445"/>
      <c r="S1328" s="726"/>
      <c r="T1328" s="726"/>
      <c r="U1328" s="726"/>
      <c r="V1328" s="726"/>
      <c r="W1328" s="12">
        <f>W1275</f>
        <v>0</v>
      </c>
      <c r="X1328" s="12">
        <f t="shared" si="89"/>
        <v>1</v>
      </c>
      <c r="Y1328" s="12">
        <f t="shared" si="90"/>
        <v>0</v>
      </c>
    </row>
    <row r="1329" spans="3:25" ht="40.5" customHeight="1">
      <c r="C1329" s="6"/>
      <c r="D1329" s="4264" t="str">
        <f>UPPER(CONCATENATE("TOTAL ",D1275))</f>
        <v>TOTAL ELECTRICAL</v>
      </c>
      <c r="E1329" s="4264"/>
      <c r="F1329" s="4264"/>
      <c r="G1329" s="4264"/>
      <c r="H1329" s="4264"/>
      <c r="I1329" s="4264"/>
      <c r="J1329" s="4264"/>
      <c r="K1329" s="4264"/>
      <c r="L1329" s="4264"/>
      <c r="M1329" s="4264"/>
      <c r="N1329" s="4264"/>
      <c r="O1329" s="4264"/>
      <c r="P1329" s="4264"/>
      <c r="Q1329" s="4265"/>
      <c r="R1329" s="4265"/>
      <c r="S1329" s="4265"/>
      <c r="T1329" s="4265"/>
      <c r="U1329" s="4265"/>
      <c r="V1329" s="4265"/>
      <c r="W1329" s="12">
        <f>W1275</f>
        <v>0</v>
      </c>
      <c r="X1329" s="12">
        <f t="shared" si="89"/>
        <v>1</v>
      </c>
      <c r="Y1329" s="12">
        <f t="shared" si="90"/>
        <v>0</v>
      </c>
    </row>
    <row r="1330" spans="3:25" ht="15.7">
      <c r="D1330" s="723"/>
      <c r="E1330" s="723"/>
      <c r="F1330" s="723"/>
      <c r="G1330" s="723"/>
      <c r="H1330" s="723"/>
      <c r="I1330" s="723"/>
      <c r="J1330" s="723"/>
      <c r="K1330" s="723"/>
      <c r="L1330" s="724"/>
      <c r="M1330" s="724"/>
      <c r="N1330" s="725"/>
      <c r="O1330" s="725"/>
      <c r="P1330" s="724"/>
      <c r="Q1330" s="445"/>
      <c r="R1330" s="445"/>
      <c r="S1330" s="726"/>
      <c r="T1330" s="726"/>
      <c r="U1330" s="726"/>
      <c r="V1330" s="726"/>
      <c r="W1330" s="12">
        <f>W1275</f>
        <v>0</v>
      </c>
      <c r="X1330" s="12">
        <f t="shared" si="89"/>
        <v>1</v>
      </c>
      <c r="Y1330" s="12">
        <f t="shared" si="90"/>
        <v>0</v>
      </c>
    </row>
    <row r="1331" spans="3:25" ht="26.45" customHeight="1">
      <c r="D1331" s="4275" t="str">
        <f>T('2 REPAIR ESTIMATOR'!D1122:O1122)</f>
        <v>MISCELLANEOUS</v>
      </c>
      <c r="E1331" s="4275"/>
      <c r="F1331" s="4275"/>
      <c r="G1331" s="4275"/>
      <c r="H1331" s="4275"/>
      <c r="I1331" s="4275"/>
      <c r="J1331" s="4275"/>
      <c r="K1331" s="4276"/>
      <c r="L1331" s="4277">
        <f>SUM(L1332:M1371)</f>
        <v>0</v>
      </c>
      <c r="M1331" s="4278"/>
      <c r="N1331" s="4279"/>
      <c r="O1331" s="4280"/>
      <c r="P1331" s="4277"/>
      <c r="Q1331" s="4281"/>
      <c r="R1331" s="4281"/>
      <c r="S1331" s="4281"/>
      <c r="T1331" s="4281"/>
      <c r="U1331" s="4281"/>
      <c r="V1331" s="4281"/>
      <c r="W1331" s="12">
        <f>IF(L1331&gt;0,1,0)</f>
        <v>0</v>
      </c>
      <c r="X1331" s="12">
        <f t="shared" ref="X1331:X1362" si="91">IF(Scope24_Setting="Shown",1,0)</f>
        <v>1</v>
      </c>
      <c r="Y1331" s="12">
        <f t="shared" si="90"/>
        <v>0</v>
      </c>
    </row>
    <row r="1332" spans="3:25" ht="15.7">
      <c r="D1332" s="4267" t="str">
        <f>T('2 REPAIR ESTIMATOR'!D1123:O1123)</f>
        <v>Bath accessories, towel bar, toilet disp, ea bathroom</v>
      </c>
      <c r="E1332" s="4268"/>
      <c r="F1332" s="4268"/>
      <c r="G1332" s="4268"/>
      <c r="H1332" s="4268"/>
      <c r="I1332" s="4268"/>
      <c r="J1332" s="4268"/>
      <c r="K1332" s="4268"/>
      <c r="L1332" s="4269">
        <f>'2 REPAIR ESTIMATOR'!P1123</f>
        <v>0</v>
      </c>
      <c r="M1332" s="4269"/>
      <c r="N1332" s="4270" t="str">
        <f>T('2 REPAIR ESTIMATOR'!S1123)</f>
        <v>ea</v>
      </c>
      <c r="O1332" s="4270"/>
      <c r="P1332" s="4273"/>
      <c r="Q1332" s="4273"/>
      <c r="R1332" s="4273"/>
      <c r="S1332" s="4273"/>
      <c r="T1332" s="4273"/>
      <c r="U1332" s="4273"/>
      <c r="V1332" s="4274"/>
      <c r="W1332" s="12">
        <f>IF(L1332="",0,1)</f>
        <v>1</v>
      </c>
      <c r="X1332" s="12">
        <f t="shared" si="91"/>
        <v>1</v>
      </c>
      <c r="Y1332" s="12">
        <f t="shared" si="90"/>
        <v>1</v>
      </c>
    </row>
    <row r="1333" spans="3:25" ht="15.7">
      <c r="D1333" s="4267" t="str">
        <f>T('2 REPAIR ESTIMATOR'!D1124:O1124)</f>
        <v>Bathroom mirrors</v>
      </c>
      <c r="E1333" s="4268"/>
      <c r="F1333" s="4268"/>
      <c r="G1333" s="4268"/>
      <c r="H1333" s="4268"/>
      <c r="I1333" s="4268"/>
      <c r="J1333" s="4268"/>
      <c r="K1333" s="4268"/>
      <c r="L1333" s="4269">
        <f>'2 REPAIR ESTIMATOR'!P1124</f>
        <v>0</v>
      </c>
      <c r="M1333" s="4269"/>
      <c r="N1333" s="4270" t="str">
        <f>T('2 REPAIR ESTIMATOR'!S1124)</f>
        <v>ea</v>
      </c>
      <c r="O1333" s="4270"/>
      <c r="P1333" s="4271"/>
      <c r="Q1333" s="4271"/>
      <c r="R1333" s="4271"/>
      <c r="S1333" s="4271"/>
      <c r="T1333" s="4271"/>
      <c r="U1333" s="4271"/>
      <c r="V1333" s="4272"/>
      <c r="W1333" s="12">
        <f t="shared" ref="W1333:W1371" si="92">IF(L1333="",0,1)</f>
        <v>1</v>
      </c>
      <c r="X1333" s="12">
        <f t="shared" si="91"/>
        <v>1</v>
      </c>
      <c r="Y1333" s="12">
        <f t="shared" si="90"/>
        <v>1</v>
      </c>
    </row>
    <row r="1334" spans="3:25" ht="15.7">
      <c r="D1334" s="4267" t="str">
        <f>T('2 REPAIR ESTIMATOR'!D1125:O1125)</f>
        <v>Window coverings, each window</v>
      </c>
      <c r="E1334" s="4268"/>
      <c r="F1334" s="4268"/>
      <c r="G1334" s="4268"/>
      <c r="H1334" s="4268"/>
      <c r="I1334" s="4268"/>
      <c r="J1334" s="4268"/>
      <c r="K1334" s="4268"/>
      <c r="L1334" s="4269">
        <f>'2 REPAIR ESTIMATOR'!P1125</f>
        <v>0</v>
      </c>
      <c r="M1334" s="4269"/>
      <c r="N1334" s="4270" t="str">
        <f>T('2 REPAIR ESTIMATOR'!S1125)</f>
        <v>ea</v>
      </c>
      <c r="O1334" s="4270"/>
      <c r="P1334" s="4271"/>
      <c r="Q1334" s="4271"/>
      <c r="R1334" s="4271"/>
      <c r="S1334" s="4271"/>
      <c r="T1334" s="4271"/>
      <c r="U1334" s="4271"/>
      <c r="V1334" s="4272"/>
      <c r="W1334" s="12">
        <f t="shared" si="92"/>
        <v>1</v>
      </c>
      <c r="X1334" s="12">
        <f t="shared" si="91"/>
        <v>1</v>
      </c>
      <c r="Y1334" s="12">
        <f t="shared" si="90"/>
        <v>1</v>
      </c>
    </row>
    <row r="1335" spans="3:25" ht="15.7">
      <c r="D1335" s="4267" t="str">
        <f>T('2 REPAIR ESTIMATOR'!D1126:O1126)</f>
        <v/>
      </c>
      <c r="E1335" s="4268"/>
      <c r="F1335" s="4268"/>
      <c r="G1335" s="4268"/>
      <c r="H1335" s="4268"/>
      <c r="I1335" s="4268"/>
      <c r="J1335" s="4268"/>
      <c r="K1335" s="4268"/>
      <c r="L1335" s="4269">
        <f>'2 REPAIR ESTIMATOR'!P1126</f>
        <v>0</v>
      </c>
      <c r="M1335" s="4269"/>
      <c r="N1335" s="4270" t="str">
        <f>T('2 REPAIR ESTIMATOR'!S1126)</f>
        <v/>
      </c>
      <c r="O1335" s="4270"/>
      <c r="P1335" s="4271"/>
      <c r="Q1335" s="4271"/>
      <c r="R1335" s="4271"/>
      <c r="S1335" s="4271"/>
      <c r="T1335" s="4271"/>
      <c r="U1335" s="4271"/>
      <c r="V1335" s="4272"/>
      <c r="W1335" s="12">
        <f t="shared" si="92"/>
        <v>1</v>
      </c>
      <c r="X1335" s="12">
        <f t="shared" si="91"/>
        <v>1</v>
      </c>
      <c r="Y1335" s="12">
        <f t="shared" si="90"/>
        <v>1</v>
      </c>
    </row>
    <row r="1336" spans="3:25" ht="15.7">
      <c r="D1336" s="4267" t="str">
        <f>T('2 REPAIR ESTIMATOR'!D1127:O1127)</f>
        <v/>
      </c>
      <c r="E1336" s="4268"/>
      <c r="F1336" s="4268"/>
      <c r="G1336" s="4268"/>
      <c r="H1336" s="4268"/>
      <c r="I1336" s="4268"/>
      <c r="J1336" s="4268"/>
      <c r="K1336" s="4268"/>
      <c r="L1336" s="4269">
        <f>'2 REPAIR ESTIMATOR'!P1127</f>
        <v>0</v>
      </c>
      <c r="M1336" s="4269"/>
      <c r="N1336" s="4270" t="str">
        <f>T('2 REPAIR ESTIMATOR'!S1127)</f>
        <v/>
      </c>
      <c r="O1336" s="4270"/>
      <c r="P1336" s="4271"/>
      <c r="Q1336" s="4271"/>
      <c r="R1336" s="4271"/>
      <c r="S1336" s="4271"/>
      <c r="T1336" s="4271"/>
      <c r="U1336" s="4271"/>
      <c r="V1336" s="4272"/>
      <c r="W1336" s="12">
        <f t="shared" si="92"/>
        <v>1</v>
      </c>
      <c r="X1336" s="12">
        <f t="shared" si="91"/>
        <v>1</v>
      </c>
      <c r="Y1336" s="12">
        <f t="shared" si="90"/>
        <v>1</v>
      </c>
    </row>
    <row r="1337" spans="3:25" ht="15.7">
      <c r="D1337" s="4267" t="str">
        <f>T('2 REPAIR ESTIMATOR'!D1128:O1128)</f>
        <v/>
      </c>
      <c r="E1337" s="4268"/>
      <c r="F1337" s="4268"/>
      <c r="G1337" s="4268"/>
      <c r="H1337" s="4268"/>
      <c r="I1337" s="4268"/>
      <c r="J1337" s="4268"/>
      <c r="K1337" s="4268"/>
      <c r="L1337" s="4269">
        <f>'2 REPAIR ESTIMATOR'!P1128</f>
        <v>0</v>
      </c>
      <c r="M1337" s="4269"/>
      <c r="N1337" s="4270" t="str">
        <f>T('2 REPAIR ESTIMATOR'!S1128)</f>
        <v/>
      </c>
      <c r="O1337" s="4270"/>
      <c r="P1337" s="4271"/>
      <c r="Q1337" s="4271"/>
      <c r="R1337" s="4271"/>
      <c r="S1337" s="4271"/>
      <c r="T1337" s="4271"/>
      <c r="U1337" s="4271"/>
      <c r="V1337" s="4272"/>
      <c r="W1337" s="12">
        <f t="shared" si="92"/>
        <v>1</v>
      </c>
      <c r="X1337" s="12">
        <f t="shared" si="91"/>
        <v>1</v>
      </c>
      <c r="Y1337" s="12">
        <f t="shared" si="90"/>
        <v>1</v>
      </c>
    </row>
    <row r="1338" spans="3:25" ht="15.7">
      <c r="D1338" s="4267" t="str">
        <f>T('2 REPAIR ESTIMATOR'!D1129:O1129)</f>
        <v/>
      </c>
      <c r="E1338" s="4268"/>
      <c r="F1338" s="4268"/>
      <c r="G1338" s="4268"/>
      <c r="H1338" s="4268"/>
      <c r="I1338" s="4268"/>
      <c r="J1338" s="4268"/>
      <c r="K1338" s="4268"/>
      <c r="L1338" s="4269">
        <f>'2 REPAIR ESTIMATOR'!P1129</f>
        <v>0</v>
      </c>
      <c r="M1338" s="4269"/>
      <c r="N1338" s="4270" t="str">
        <f>T('2 REPAIR ESTIMATOR'!S1129)</f>
        <v/>
      </c>
      <c r="O1338" s="4270"/>
      <c r="P1338" s="4271"/>
      <c r="Q1338" s="4271"/>
      <c r="R1338" s="4271"/>
      <c r="S1338" s="4271"/>
      <c r="T1338" s="4271"/>
      <c r="U1338" s="4271"/>
      <c r="V1338" s="4272"/>
      <c r="W1338" s="12">
        <f t="shared" si="92"/>
        <v>1</v>
      </c>
      <c r="X1338" s="12">
        <f t="shared" si="91"/>
        <v>1</v>
      </c>
      <c r="Y1338" s="12">
        <f t="shared" si="90"/>
        <v>1</v>
      </c>
    </row>
    <row r="1339" spans="3:25" ht="15.7">
      <c r="D1339" s="4267" t="str">
        <f>T('2 REPAIR ESTIMATOR'!D1130:O1130)</f>
        <v/>
      </c>
      <c r="E1339" s="4268"/>
      <c r="F1339" s="4268"/>
      <c r="G1339" s="4268"/>
      <c r="H1339" s="4268"/>
      <c r="I1339" s="4268"/>
      <c r="J1339" s="4268"/>
      <c r="K1339" s="4268"/>
      <c r="L1339" s="4269">
        <f>'2 REPAIR ESTIMATOR'!P1130</f>
        <v>0</v>
      </c>
      <c r="M1339" s="4269"/>
      <c r="N1339" s="4270" t="str">
        <f>T('2 REPAIR ESTIMATOR'!S1130)</f>
        <v/>
      </c>
      <c r="O1339" s="4270"/>
      <c r="P1339" s="4271"/>
      <c r="Q1339" s="4271"/>
      <c r="R1339" s="4271"/>
      <c r="S1339" s="4271"/>
      <c r="T1339" s="4271"/>
      <c r="U1339" s="4271"/>
      <c r="V1339" s="4272"/>
      <c r="W1339" s="12">
        <f t="shared" si="92"/>
        <v>1</v>
      </c>
      <c r="X1339" s="12">
        <f t="shared" si="91"/>
        <v>1</v>
      </c>
      <c r="Y1339" s="12">
        <f t="shared" si="90"/>
        <v>1</v>
      </c>
    </row>
    <row r="1340" spans="3:25" ht="15.7">
      <c r="D1340" s="4267" t="str">
        <f>T('2 REPAIR ESTIMATOR'!D1131:O1131)</f>
        <v/>
      </c>
      <c r="E1340" s="4268"/>
      <c r="F1340" s="4268"/>
      <c r="G1340" s="4268"/>
      <c r="H1340" s="4268"/>
      <c r="I1340" s="4268"/>
      <c r="J1340" s="4268"/>
      <c r="K1340" s="4268"/>
      <c r="L1340" s="4269">
        <f>'2 REPAIR ESTIMATOR'!P1131</f>
        <v>0</v>
      </c>
      <c r="M1340" s="4269"/>
      <c r="N1340" s="4270" t="str">
        <f>T('2 REPAIR ESTIMATOR'!S1131)</f>
        <v/>
      </c>
      <c r="O1340" s="4270"/>
      <c r="P1340" s="4271"/>
      <c r="Q1340" s="4271"/>
      <c r="R1340" s="4271"/>
      <c r="S1340" s="4271"/>
      <c r="T1340" s="4271"/>
      <c r="U1340" s="4271"/>
      <c r="V1340" s="4272"/>
      <c r="W1340" s="12">
        <f t="shared" si="92"/>
        <v>1</v>
      </c>
      <c r="X1340" s="12">
        <f t="shared" si="91"/>
        <v>1</v>
      </c>
      <c r="Y1340" s="12">
        <f t="shared" si="90"/>
        <v>1</v>
      </c>
    </row>
    <row r="1341" spans="3:25" ht="15.7">
      <c r="D1341" s="4267" t="str">
        <f>T('2 REPAIR ESTIMATOR'!D1132:O1132)</f>
        <v/>
      </c>
      <c r="E1341" s="4268"/>
      <c r="F1341" s="4268"/>
      <c r="G1341" s="4268"/>
      <c r="H1341" s="4268"/>
      <c r="I1341" s="4268"/>
      <c r="J1341" s="4268"/>
      <c r="K1341" s="4268"/>
      <c r="L1341" s="4269">
        <f>'2 REPAIR ESTIMATOR'!P1132</f>
        <v>0</v>
      </c>
      <c r="M1341" s="4269"/>
      <c r="N1341" s="4270" t="str">
        <f>T('2 REPAIR ESTIMATOR'!S1132)</f>
        <v/>
      </c>
      <c r="O1341" s="4270"/>
      <c r="P1341" s="4271"/>
      <c r="Q1341" s="4271"/>
      <c r="R1341" s="4271"/>
      <c r="S1341" s="4271"/>
      <c r="T1341" s="4271"/>
      <c r="U1341" s="4271"/>
      <c r="V1341" s="4272"/>
      <c r="W1341" s="12">
        <f t="shared" si="92"/>
        <v>1</v>
      </c>
      <c r="X1341" s="12">
        <f t="shared" si="91"/>
        <v>1</v>
      </c>
      <c r="Y1341" s="12">
        <f t="shared" si="90"/>
        <v>1</v>
      </c>
    </row>
    <row r="1342" spans="3:25" ht="15.7">
      <c r="D1342" s="4267" t="str">
        <f>T('2 REPAIR ESTIMATOR'!D1133:O1133)</f>
        <v/>
      </c>
      <c r="E1342" s="4268"/>
      <c r="F1342" s="4268"/>
      <c r="G1342" s="4268"/>
      <c r="H1342" s="4268"/>
      <c r="I1342" s="4268"/>
      <c r="J1342" s="4268"/>
      <c r="K1342" s="4268"/>
      <c r="L1342" s="4269">
        <f>'2 REPAIR ESTIMATOR'!P1133</f>
        <v>0</v>
      </c>
      <c r="M1342" s="4269"/>
      <c r="N1342" s="4270" t="str">
        <f>T('2 REPAIR ESTIMATOR'!S1133)</f>
        <v/>
      </c>
      <c r="O1342" s="4270"/>
      <c r="P1342" s="4271"/>
      <c r="Q1342" s="4271"/>
      <c r="R1342" s="4271"/>
      <c r="S1342" s="4271"/>
      <c r="T1342" s="4271"/>
      <c r="U1342" s="4271"/>
      <c r="V1342" s="4272"/>
      <c r="W1342" s="12">
        <f t="shared" si="92"/>
        <v>1</v>
      </c>
      <c r="X1342" s="12">
        <f t="shared" si="91"/>
        <v>1</v>
      </c>
      <c r="Y1342" s="12">
        <f t="shared" si="90"/>
        <v>1</v>
      </c>
    </row>
    <row r="1343" spans="3:25" ht="15.7">
      <c r="D1343" s="4267" t="str">
        <f>T('2 REPAIR ESTIMATOR'!D1134:O1134)</f>
        <v/>
      </c>
      <c r="E1343" s="4268"/>
      <c r="F1343" s="4268"/>
      <c r="G1343" s="4268"/>
      <c r="H1343" s="4268"/>
      <c r="I1343" s="4268"/>
      <c r="J1343" s="4268"/>
      <c r="K1343" s="4268"/>
      <c r="L1343" s="4269">
        <f>'2 REPAIR ESTIMATOR'!P1134</f>
        <v>0</v>
      </c>
      <c r="M1343" s="4269"/>
      <c r="N1343" s="4270" t="str">
        <f>T('2 REPAIR ESTIMATOR'!S1134)</f>
        <v/>
      </c>
      <c r="O1343" s="4270"/>
      <c r="P1343" s="4271"/>
      <c r="Q1343" s="4271"/>
      <c r="R1343" s="4271"/>
      <c r="S1343" s="4271"/>
      <c r="T1343" s="4271"/>
      <c r="U1343" s="4271"/>
      <c r="V1343" s="4272"/>
      <c r="W1343" s="12">
        <f t="shared" si="92"/>
        <v>1</v>
      </c>
      <c r="X1343" s="12">
        <f t="shared" si="91"/>
        <v>1</v>
      </c>
      <c r="Y1343" s="12">
        <f t="shared" si="90"/>
        <v>1</v>
      </c>
    </row>
    <row r="1344" spans="3:25" ht="15.7">
      <c r="D1344" s="4267" t="str">
        <f>T('2 REPAIR ESTIMATOR'!D1135:O1135)</f>
        <v/>
      </c>
      <c r="E1344" s="4268"/>
      <c r="F1344" s="4268"/>
      <c r="G1344" s="4268"/>
      <c r="H1344" s="4268"/>
      <c r="I1344" s="4268"/>
      <c r="J1344" s="4268"/>
      <c r="K1344" s="4268"/>
      <c r="L1344" s="4269">
        <f>'2 REPAIR ESTIMATOR'!P1135</f>
        <v>0</v>
      </c>
      <c r="M1344" s="4269"/>
      <c r="N1344" s="4270" t="str">
        <f>T('2 REPAIR ESTIMATOR'!S1135)</f>
        <v/>
      </c>
      <c r="O1344" s="4270"/>
      <c r="P1344" s="4271"/>
      <c r="Q1344" s="4271"/>
      <c r="R1344" s="4271"/>
      <c r="S1344" s="4271"/>
      <c r="T1344" s="4271"/>
      <c r="U1344" s="4271"/>
      <c r="V1344" s="4272"/>
      <c r="W1344" s="12">
        <f t="shared" si="92"/>
        <v>1</v>
      </c>
      <c r="X1344" s="12">
        <f t="shared" si="91"/>
        <v>1</v>
      </c>
      <c r="Y1344" s="12">
        <f t="shared" si="90"/>
        <v>1</v>
      </c>
    </row>
    <row r="1345" spans="4:25" ht="15.7">
      <c r="D1345" s="4267" t="str">
        <f>T('2 REPAIR ESTIMATOR'!D1136:O1136)</f>
        <v/>
      </c>
      <c r="E1345" s="4268"/>
      <c r="F1345" s="4268"/>
      <c r="G1345" s="4268"/>
      <c r="H1345" s="4268"/>
      <c r="I1345" s="4268"/>
      <c r="J1345" s="4268"/>
      <c r="K1345" s="4268"/>
      <c r="L1345" s="4269">
        <f>'2 REPAIR ESTIMATOR'!P1136</f>
        <v>0</v>
      </c>
      <c r="M1345" s="4269"/>
      <c r="N1345" s="4270" t="str">
        <f>T('2 REPAIR ESTIMATOR'!S1136)</f>
        <v/>
      </c>
      <c r="O1345" s="4270"/>
      <c r="P1345" s="4271"/>
      <c r="Q1345" s="4271"/>
      <c r="R1345" s="4271"/>
      <c r="S1345" s="4271"/>
      <c r="T1345" s="4271"/>
      <c r="U1345" s="4271"/>
      <c r="V1345" s="4272"/>
      <c r="W1345" s="12">
        <f t="shared" si="92"/>
        <v>1</v>
      </c>
      <c r="X1345" s="12">
        <f t="shared" si="91"/>
        <v>1</v>
      </c>
      <c r="Y1345" s="12">
        <f t="shared" si="90"/>
        <v>1</v>
      </c>
    </row>
    <row r="1346" spans="4:25" ht="15.7">
      <c r="D1346" s="4267" t="str">
        <f>T('2 REPAIR ESTIMATOR'!D1137:O1137)</f>
        <v/>
      </c>
      <c r="E1346" s="4268"/>
      <c r="F1346" s="4268"/>
      <c r="G1346" s="4268"/>
      <c r="H1346" s="4268"/>
      <c r="I1346" s="4268"/>
      <c r="J1346" s="4268"/>
      <c r="K1346" s="4268"/>
      <c r="L1346" s="4269">
        <f>'2 REPAIR ESTIMATOR'!P1137</f>
        <v>0</v>
      </c>
      <c r="M1346" s="4269"/>
      <c r="N1346" s="4270" t="str">
        <f>T('2 REPAIR ESTIMATOR'!S1137)</f>
        <v/>
      </c>
      <c r="O1346" s="4270"/>
      <c r="P1346" s="4271"/>
      <c r="Q1346" s="4271"/>
      <c r="R1346" s="4271"/>
      <c r="S1346" s="4271"/>
      <c r="T1346" s="4271"/>
      <c r="U1346" s="4271"/>
      <c r="V1346" s="4272"/>
      <c r="W1346" s="12">
        <f t="shared" si="92"/>
        <v>1</v>
      </c>
      <c r="X1346" s="12">
        <f t="shared" si="91"/>
        <v>1</v>
      </c>
      <c r="Y1346" s="12">
        <f t="shared" si="90"/>
        <v>1</v>
      </c>
    </row>
    <row r="1347" spans="4:25" ht="15.7">
      <c r="D1347" s="4267" t="str">
        <f>T('2 REPAIR ESTIMATOR'!D1138:O1138)</f>
        <v/>
      </c>
      <c r="E1347" s="4268"/>
      <c r="F1347" s="4268"/>
      <c r="G1347" s="4268"/>
      <c r="H1347" s="4268"/>
      <c r="I1347" s="4268"/>
      <c r="J1347" s="4268"/>
      <c r="K1347" s="4268"/>
      <c r="L1347" s="4269">
        <f>'2 REPAIR ESTIMATOR'!P1138</f>
        <v>0</v>
      </c>
      <c r="M1347" s="4269"/>
      <c r="N1347" s="4270" t="str">
        <f>T('2 REPAIR ESTIMATOR'!S1138)</f>
        <v/>
      </c>
      <c r="O1347" s="4270"/>
      <c r="P1347" s="4271"/>
      <c r="Q1347" s="4271"/>
      <c r="R1347" s="4271"/>
      <c r="S1347" s="4271"/>
      <c r="T1347" s="4271"/>
      <c r="U1347" s="4271"/>
      <c r="V1347" s="4272"/>
      <c r="W1347" s="12">
        <f t="shared" si="92"/>
        <v>1</v>
      </c>
      <c r="X1347" s="12">
        <f t="shared" si="91"/>
        <v>1</v>
      </c>
      <c r="Y1347" s="12">
        <f t="shared" si="90"/>
        <v>1</v>
      </c>
    </row>
    <row r="1348" spans="4:25" ht="15.7">
      <c r="D1348" s="4267" t="str">
        <f>T('2 REPAIR ESTIMATOR'!D1139:O1139)</f>
        <v/>
      </c>
      <c r="E1348" s="4268"/>
      <c r="F1348" s="4268"/>
      <c r="G1348" s="4268"/>
      <c r="H1348" s="4268"/>
      <c r="I1348" s="4268"/>
      <c r="J1348" s="4268"/>
      <c r="K1348" s="4268"/>
      <c r="L1348" s="4269">
        <f>'2 REPAIR ESTIMATOR'!P1139</f>
        <v>0</v>
      </c>
      <c r="M1348" s="4269"/>
      <c r="N1348" s="4270" t="str">
        <f>T('2 REPAIR ESTIMATOR'!S1139)</f>
        <v/>
      </c>
      <c r="O1348" s="4270"/>
      <c r="P1348" s="4271"/>
      <c r="Q1348" s="4271"/>
      <c r="R1348" s="4271"/>
      <c r="S1348" s="4271"/>
      <c r="T1348" s="4271"/>
      <c r="U1348" s="4271"/>
      <c r="V1348" s="4272"/>
      <c r="W1348" s="12">
        <f t="shared" si="92"/>
        <v>1</v>
      </c>
      <c r="X1348" s="12">
        <f t="shared" si="91"/>
        <v>1</v>
      </c>
      <c r="Y1348" s="12">
        <f t="shared" si="90"/>
        <v>1</v>
      </c>
    </row>
    <row r="1349" spans="4:25" ht="15.7">
      <c r="D1349" s="4267" t="str">
        <f>T('2 REPAIR ESTIMATOR'!D1140:O1140)</f>
        <v/>
      </c>
      <c r="E1349" s="4268"/>
      <c r="F1349" s="4268"/>
      <c r="G1349" s="4268"/>
      <c r="H1349" s="4268"/>
      <c r="I1349" s="4268"/>
      <c r="J1349" s="4268"/>
      <c r="K1349" s="4268"/>
      <c r="L1349" s="4269">
        <f>'2 REPAIR ESTIMATOR'!P1140</f>
        <v>0</v>
      </c>
      <c r="M1349" s="4269"/>
      <c r="N1349" s="4270" t="str">
        <f>T('2 REPAIR ESTIMATOR'!S1140)</f>
        <v/>
      </c>
      <c r="O1349" s="4270"/>
      <c r="P1349" s="4271"/>
      <c r="Q1349" s="4271"/>
      <c r="R1349" s="4271"/>
      <c r="S1349" s="4271"/>
      <c r="T1349" s="4271"/>
      <c r="U1349" s="4271"/>
      <c r="V1349" s="4272"/>
      <c r="W1349" s="12">
        <f t="shared" si="92"/>
        <v>1</v>
      </c>
      <c r="X1349" s="12">
        <f t="shared" si="91"/>
        <v>1</v>
      </c>
      <c r="Y1349" s="12">
        <f t="shared" si="90"/>
        <v>1</v>
      </c>
    </row>
    <row r="1350" spans="4:25" ht="15.7">
      <c r="D1350" s="4267" t="str">
        <f>T('2 REPAIR ESTIMATOR'!D1141:O1141)</f>
        <v/>
      </c>
      <c r="E1350" s="4268"/>
      <c r="F1350" s="4268"/>
      <c r="G1350" s="4268"/>
      <c r="H1350" s="4268"/>
      <c r="I1350" s="4268"/>
      <c r="J1350" s="4268"/>
      <c r="K1350" s="4268"/>
      <c r="L1350" s="4269">
        <f>'2 REPAIR ESTIMATOR'!P1141</f>
        <v>0</v>
      </c>
      <c r="M1350" s="4269"/>
      <c r="N1350" s="4270" t="str">
        <f>T('2 REPAIR ESTIMATOR'!S1141)</f>
        <v/>
      </c>
      <c r="O1350" s="4270"/>
      <c r="P1350" s="4271"/>
      <c r="Q1350" s="4271"/>
      <c r="R1350" s="4271"/>
      <c r="S1350" s="4271"/>
      <c r="T1350" s="4271"/>
      <c r="U1350" s="4271"/>
      <c r="V1350" s="4272"/>
      <c r="W1350" s="12">
        <f t="shared" si="92"/>
        <v>1</v>
      </c>
      <c r="X1350" s="12">
        <f t="shared" si="91"/>
        <v>1</v>
      </c>
      <c r="Y1350" s="12">
        <f t="shared" si="90"/>
        <v>1</v>
      </c>
    </row>
    <row r="1351" spans="4:25" ht="15.7">
      <c r="D1351" s="4267" t="str">
        <f>T('2 REPAIR ESTIMATOR'!D1142:O1142)</f>
        <v/>
      </c>
      <c r="E1351" s="4268"/>
      <c r="F1351" s="4268"/>
      <c r="G1351" s="4268"/>
      <c r="H1351" s="4268"/>
      <c r="I1351" s="4268"/>
      <c r="J1351" s="4268"/>
      <c r="K1351" s="4268"/>
      <c r="L1351" s="4269">
        <f>'2 REPAIR ESTIMATOR'!P1142</f>
        <v>0</v>
      </c>
      <c r="M1351" s="4269"/>
      <c r="N1351" s="4270" t="str">
        <f>T('2 REPAIR ESTIMATOR'!S1142)</f>
        <v/>
      </c>
      <c r="O1351" s="4270"/>
      <c r="P1351" s="4271"/>
      <c r="Q1351" s="4271"/>
      <c r="R1351" s="4271"/>
      <c r="S1351" s="4271"/>
      <c r="T1351" s="4271"/>
      <c r="U1351" s="4271"/>
      <c r="V1351" s="4272"/>
      <c r="W1351" s="12">
        <f t="shared" si="92"/>
        <v>1</v>
      </c>
      <c r="X1351" s="12">
        <f t="shared" si="91"/>
        <v>1</v>
      </c>
      <c r="Y1351" s="12">
        <f t="shared" si="90"/>
        <v>1</v>
      </c>
    </row>
    <row r="1352" spans="4:25" ht="15.7">
      <c r="D1352" s="4267" t="str">
        <f>T('2 REPAIR ESTIMATOR'!D1143:O1143)</f>
        <v/>
      </c>
      <c r="E1352" s="4268"/>
      <c r="F1352" s="4268"/>
      <c r="G1352" s="4268"/>
      <c r="H1352" s="4268"/>
      <c r="I1352" s="4268"/>
      <c r="J1352" s="4268"/>
      <c r="K1352" s="4268"/>
      <c r="L1352" s="4269">
        <f>'2 REPAIR ESTIMATOR'!P1143</f>
        <v>0</v>
      </c>
      <c r="M1352" s="4269"/>
      <c r="N1352" s="4270" t="str">
        <f>T('2 REPAIR ESTIMATOR'!S1143)</f>
        <v/>
      </c>
      <c r="O1352" s="4270"/>
      <c r="P1352" s="4271"/>
      <c r="Q1352" s="4271"/>
      <c r="R1352" s="4271"/>
      <c r="S1352" s="4271"/>
      <c r="T1352" s="4271"/>
      <c r="U1352" s="4271"/>
      <c r="V1352" s="4272"/>
      <c r="W1352" s="12">
        <f t="shared" si="92"/>
        <v>1</v>
      </c>
      <c r="X1352" s="12">
        <f t="shared" si="91"/>
        <v>1</v>
      </c>
      <c r="Y1352" s="12">
        <f t="shared" si="90"/>
        <v>1</v>
      </c>
    </row>
    <row r="1353" spans="4:25" ht="15.7">
      <c r="D1353" s="4267" t="str">
        <f>T('2 REPAIR ESTIMATOR'!D1144:O1144)</f>
        <v/>
      </c>
      <c r="E1353" s="4268"/>
      <c r="F1353" s="4268"/>
      <c r="G1353" s="4268"/>
      <c r="H1353" s="4268"/>
      <c r="I1353" s="4268"/>
      <c r="J1353" s="4268"/>
      <c r="K1353" s="4268"/>
      <c r="L1353" s="4269">
        <f>'2 REPAIR ESTIMATOR'!P1144</f>
        <v>0</v>
      </c>
      <c r="M1353" s="4269"/>
      <c r="N1353" s="4270" t="str">
        <f>T('2 REPAIR ESTIMATOR'!S1144)</f>
        <v/>
      </c>
      <c r="O1353" s="4270"/>
      <c r="P1353" s="4271"/>
      <c r="Q1353" s="4271"/>
      <c r="R1353" s="4271"/>
      <c r="S1353" s="4271"/>
      <c r="T1353" s="4271"/>
      <c r="U1353" s="4271"/>
      <c r="V1353" s="4272"/>
      <c r="W1353" s="12">
        <f t="shared" si="92"/>
        <v>1</v>
      </c>
      <c r="X1353" s="12">
        <f t="shared" si="91"/>
        <v>1</v>
      </c>
      <c r="Y1353" s="12">
        <f t="shared" si="90"/>
        <v>1</v>
      </c>
    </row>
    <row r="1354" spans="4:25" ht="15.7">
      <c r="D1354" s="4267" t="str">
        <f>T('2 REPAIR ESTIMATOR'!D1145:O1145)</f>
        <v/>
      </c>
      <c r="E1354" s="4268"/>
      <c r="F1354" s="4268"/>
      <c r="G1354" s="4268"/>
      <c r="H1354" s="4268"/>
      <c r="I1354" s="4268"/>
      <c r="J1354" s="4268"/>
      <c r="K1354" s="4268"/>
      <c r="L1354" s="4269">
        <f>'2 REPAIR ESTIMATOR'!P1145</f>
        <v>0</v>
      </c>
      <c r="M1354" s="4269"/>
      <c r="N1354" s="4270" t="str">
        <f>T('2 REPAIR ESTIMATOR'!S1145)</f>
        <v/>
      </c>
      <c r="O1354" s="4270"/>
      <c r="P1354" s="4271"/>
      <c r="Q1354" s="4271"/>
      <c r="R1354" s="4271"/>
      <c r="S1354" s="4271"/>
      <c r="T1354" s="4271"/>
      <c r="U1354" s="4271"/>
      <c r="V1354" s="4272"/>
      <c r="W1354" s="12">
        <f t="shared" si="92"/>
        <v>1</v>
      </c>
      <c r="X1354" s="12">
        <f t="shared" si="91"/>
        <v>1</v>
      </c>
      <c r="Y1354" s="12">
        <f t="shared" si="90"/>
        <v>1</v>
      </c>
    </row>
    <row r="1355" spans="4:25" ht="15.7">
      <c r="D1355" s="4267" t="str">
        <f>T('2 REPAIR ESTIMATOR'!D1146:O1146)</f>
        <v/>
      </c>
      <c r="E1355" s="4268"/>
      <c r="F1355" s="4268"/>
      <c r="G1355" s="4268"/>
      <c r="H1355" s="4268"/>
      <c r="I1355" s="4268"/>
      <c r="J1355" s="4268"/>
      <c r="K1355" s="4268"/>
      <c r="L1355" s="4269">
        <f>'2 REPAIR ESTIMATOR'!P1146</f>
        <v>0</v>
      </c>
      <c r="M1355" s="4269"/>
      <c r="N1355" s="4270" t="str">
        <f>T('2 REPAIR ESTIMATOR'!S1146)</f>
        <v/>
      </c>
      <c r="O1355" s="4270"/>
      <c r="P1355" s="4271"/>
      <c r="Q1355" s="4271"/>
      <c r="R1355" s="4271"/>
      <c r="S1355" s="4271"/>
      <c r="T1355" s="4271"/>
      <c r="U1355" s="4271"/>
      <c r="V1355" s="4272"/>
      <c r="W1355" s="12">
        <f t="shared" si="92"/>
        <v>1</v>
      </c>
      <c r="X1355" s="12">
        <f t="shared" si="91"/>
        <v>1</v>
      </c>
      <c r="Y1355" s="12">
        <f t="shared" si="90"/>
        <v>1</v>
      </c>
    </row>
    <row r="1356" spans="4:25" ht="15.7">
      <c r="D1356" s="4267" t="str">
        <f>T('2 REPAIR ESTIMATOR'!D1147:O1147)</f>
        <v/>
      </c>
      <c r="E1356" s="4268"/>
      <c r="F1356" s="4268"/>
      <c r="G1356" s="4268"/>
      <c r="H1356" s="4268"/>
      <c r="I1356" s="4268"/>
      <c r="J1356" s="4268"/>
      <c r="K1356" s="4268"/>
      <c r="L1356" s="4269">
        <f>'2 REPAIR ESTIMATOR'!P1147</f>
        <v>0</v>
      </c>
      <c r="M1356" s="4269"/>
      <c r="N1356" s="4270" t="str">
        <f>T('2 REPAIR ESTIMATOR'!S1147)</f>
        <v/>
      </c>
      <c r="O1356" s="4270"/>
      <c r="P1356" s="4271"/>
      <c r="Q1356" s="4271"/>
      <c r="R1356" s="4271"/>
      <c r="S1356" s="4271"/>
      <c r="T1356" s="4271"/>
      <c r="U1356" s="4271"/>
      <c r="V1356" s="4272"/>
      <c r="W1356" s="12">
        <f t="shared" si="92"/>
        <v>1</v>
      </c>
      <c r="X1356" s="12">
        <f t="shared" si="91"/>
        <v>1</v>
      </c>
      <c r="Y1356" s="12">
        <f t="shared" si="90"/>
        <v>1</v>
      </c>
    </row>
    <row r="1357" spans="4:25" ht="15.7">
      <c r="D1357" s="4267" t="str">
        <f>T('2 REPAIR ESTIMATOR'!D1148:O1148)</f>
        <v/>
      </c>
      <c r="E1357" s="4268"/>
      <c r="F1357" s="4268"/>
      <c r="G1357" s="4268"/>
      <c r="H1357" s="4268"/>
      <c r="I1357" s="4268"/>
      <c r="J1357" s="4268"/>
      <c r="K1357" s="4268"/>
      <c r="L1357" s="4269">
        <f>'2 REPAIR ESTIMATOR'!P1148</f>
        <v>0</v>
      </c>
      <c r="M1357" s="4269"/>
      <c r="N1357" s="4270" t="str">
        <f>T('2 REPAIR ESTIMATOR'!S1148)</f>
        <v/>
      </c>
      <c r="O1357" s="4270"/>
      <c r="P1357" s="4271"/>
      <c r="Q1357" s="4271"/>
      <c r="R1357" s="4271"/>
      <c r="S1357" s="4271"/>
      <c r="T1357" s="4271"/>
      <c r="U1357" s="4271"/>
      <c r="V1357" s="4272"/>
      <c r="W1357" s="12">
        <f t="shared" si="92"/>
        <v>1</v>
      </c>
      <c r="X1357" s="12">
        <f t="shared" si="91"/>
        <v>1</v>
      </c>
      <c r="Y1357" s="12">
        <f t="shared" si="90"/>
        <v>1</v>
      </c>
    </row>
    <row r="1358" spans="4:25" ht="15.7">
      <c r="D1358" s="4267" t="str">
        <f>T('2 REPAIR ESTIMATOR'!D1149:O1149)</f>
        <v/>
      </c>
      <c r="E1358" s="4268"/>
      <c r="F1358" s="4268"/>
      <c r="G1358" s="4268"/>
      <c r="H1358" s="4268"/>
      <c r="I1358" s="4268"/>
      <c r="J1358" s="4268"/>
      <c r="K1358" s="4268"/>
      <c r="L1358" s="4269">
        <f>'2 REPAIR ESTIMATOR'!P1149</f>
        <v>0</v>
      </c>
      <c r="M1358" s="4269"/>
      <c r="N1358" s="4270" t="str">
        <f>T('2 REPAIR ESTIMATOR'!S1149)</f>
        <v/>
      </c>
      <c r="O1358" s="4270"/>
      <c r="P1358" s="4271"/>
      <c r="Q1358" s="4271"/>
      <c r="R1358" s="4271"/>
      <c r="S1358" s="4271"/>
      <c r="T1358" s="4271"/>
      <c r="U1358" s="4271"/>
      <c r="V1358" s="4272"/>
      <c r="W1358" s="12">
        <f t="shared" si="92"/>
        <v>1</v>
      </c>
      <c r="X1358" s="12">
        <f t="shared" si="91"/>
        <v>1</v>
      </c>
      <c r="Y1358" s="12">
        <f t="shared" si="90"/>
        <v>1</v>
      </c>
    </row>
    <row r="1359" spans="4:25" ht="15.7">
      <c r="D1359" s="4267" t="str">
        <f>T('2 REPAIR ESTIMATOR'!D1150:O1150)</f>
        <v/>
      </c>
      <c r="E1359" s="4268"/>
      <c r="F1359" s="4268"/>
      <c r="G1359" s="4268"/>
      <c r="H1359" s="4268"/>
      <c r="I1359" s="4268"/>
      <c r="J1359" s="4268"/>
      <c r="K1359" s="4268"/>
      <c r="L1359" s="4269">
        <f>'2 REPAIR ESTIMATOR'!P1150</f>
        <v>0</v>
      </c>
      <c r="M1359" s="4269"/>
      <c r="N1359" s="4270" t="str">
        <f>T('2 REPAIR ESTIMATOR'!S1150)</f>
        <v/>
      </c>
      <c r="O1359" s="4270"/>
      <c r="P1359" s="4271"/>
      <c r="Q1359" s="4271"/>
      <c r="R1359" s="4271"/>
      <c r="S1359" s="4271"/>
      <c r="T1359" s="4271"/>
      <c r="U1359" s="4271"/>
      <c r="V1359" s="4272"/>
      <c r="W1359" s="12">
        <f t="shared" si="92"/>
        <v>1</v>
      </c>
      <c r="X1359" s="12">
        <f t="shared" si="91"/>
        <v>1</v>
      </c>
      <c r="Y1359" s="12">
        <f t="shared" si="90"/>
        <v>1</v>
      </c>
    </row>
    <row r="1360" spans="4:25" ht="15.7">
      <c r="D1360" s="4267" t="str">
        <f>T('2 REPAIR ESTIMATOR'!D1151:O1151)</f>
        <v/>
      </c>
      <c r="E1360" s="4268"/>
      <c r="F1360" s="4268"/>
      <c r="G1360" s="4268"/>
      <c r="H1360" s="4268"/>
      <c r="I1360" s="4268"/>
      <c r="J1360" s="4268"/>
      <c r="K1360" s="4268"/>
      <c r="L1360" s="4269">
        <f>'2 REPAIR ESTIMATOR'!P1151</f>
        <v>0</v>
      </c>
      <c r="M1360" s="4269"/>
      <c r="N1360" s="4270" t="str">
        <f>T('2 REPAIR ESTIMATOR'!S1151)</f>
        <v/>
      </c>
      <c r="O1360" s="4270"/>
      <c r="P1360" s="4271"/>
      <c r="Q1360" s="4271"/>
      <c r="R1360" s="4271"/>
      <c r="S1360" s="4271"/>
      <c r="T1360" s="4271"/>
      <c r="U1360" s="4271"/>
      <c r="V1360" s="4272"/>
      <c r="W1360" s="12">
        <f t="shared" si="92"/>
        <v>1</v>
      </c>
      <c r="X1360" s="12">
        <f t="shared" si="91"/>
        <v>1</v>
      </c>
      <c r="Y1360" s="12">
        <f t="shared" si="90"/>
        <v>1</v>
      </c>
    </row>
    <row r="1361" spans="3:25" ht="15.7">
      <c r="D1361" s="4267" t="str">
        <f>T('2 REPAIR ESTIMATOR'!D1152:O1152)</f>
        <v/>
      </c>
      <c r="E1361" s="4268"/>
      <c r="F1361" s="4268"/>
      <c r="G1361" s="4268"/>
      <c r="H1361" s="4268"/>
      <c r="I1361" s="4268"/>
      <c r="J1361" s="4268"/>
      <c r="K1361" s="4268"/>
      <c r="L1361" s="4269">
        <f>'2 REPAIR ESTIMATOR'!P1152</f>
        <v>0</v>
      </c>
      <c r="M1361" s="4269"/>
      <c r="N1361" s="4270" t="str">
        <f>T('2 REPAIR ESTIMATOR'!S1152)</f>
        <v/>
      </c>
      <c r="O1361" s="4270"/>
      <c r="P1361" s="4271"/>
      <c r="Q1361" s="4271"/>
      <c r="R1361" s="4271"/>
      <c r="S1361" s="4271"/>
      <c r="T1361" s="4271"/>
      <c r="U1361" s="4271"/>
      <c r="V1361" s="4272"/>
      <c r="W1361" s="12">
        <f t="shared" si="92"/>
        <v>1</v>
      </c>
      <c r="X1361" s="12">
        <f t="shared" si="91"/>
        <v>1</v>
      </c>
      <c r="Y1361" s="12">
        <f t="shared" si="90"/>
        <v>1</v>
      </c>
    </row>
    <row r="1362" spans="3:25" ht="15.7">
      <c r="D1362" s="4267" t="str">
        <f>T('2 REPAIR ESTIMATOR'!D1153:O1153)</f>
        <v/>
      </c>
      <c r="E1362" s="4268"/>
      <c r="F1362" s="4268"/>
      <c r="G1362" s="4268"/>
      <c r="H1362" s="4268"/>
      <c r="I1362" s="4268"/>
      <c r="J1362" s="4268"/>
      <c r="K1362" s="4268"/>
      <c r="L1362" s="4269">
        <f>'2 REPAIR ESTIMATOR'!P1153</f>
        <v>0</v>
      </c>
      <c r="M1362" s="4269"/>
      <c r="N1362" s="4270" t="str">
        <f>T('2 REPAIR ESTIMATOR'!S1153)</f>
        <v/>
      </c>
      <c r="O1362" s="4270"/>
      <c r="P1362" s="4271"/>
      <c r="Q1362" s="4271"/>
      <c r="R1362" s="4271"/>
      <c r="S1362" s="4271"/>
      <c r="T1362" s="4271"/>
      <c r="U1362" s="4271"/>
      <c r="V1362" s="4272"/>
      <c r="W1362" s="12">
        <f t="shared" si="92"/>
        <v>1</v>
      </c>
      <c r="X1362" s="12">
        <f t="shared" si="91"/>
        <v>1</v>
      </c>
      <c r="Y1362" s="12">
        <f t="shared" si="90"/>
        <v>1</v>
      </c>
    </row>
    <row r="1363" spans="3:25" ht="15.7">
      <c r="D1363" s="4267" t="str">
        <f>T('2 REPAIR ESTIMATOR'!D1154:O1154)</f>
        <v/>
      </c>
      <c r="E1363" s="4268"/>
      <c r="F1363" s="4268"/>
      <c r="G1363" s="4268"/>
      <c r="H1363" s="4268"/>
      <c r="I1363" s="4268"/>
      <c r="J1363" s="4268"/>
      <c r="K1363" s="4268"/>
      <c r="L1363" s="4269">
        <f>'2 REPAIR ESTIMATOR'!P1154</f>
        <v>0</v>
      </c>
      <c r="M1363" s="4269"/>
      <c r="N1363" s="4270" t="str">
        <f>T('2 REPAIR ESTIMATOR'!S1154)</f>
        <v/>
      </c>
      <c r="O1363" s="4270"/>
      <c r="P1363" s="4271"/>
      <c r="Q1363" s="4271"/>
      <c r="R1363" s="4271"/>
      <c r="S1363" s="4271"/>
      <c r="T1363" s="4271"/>
      <c r="U1363" s="4271"/>
      <c r="V1363" s="4272"/>
      <c r="W1363" s="12">
        <f t="shared" si="92"/>
        <v>1</v>
      </c>
      <c r="X1363" s="12">
        <f t="shared" ref="X1363:X1387" si="93">IF(Scope24_Setting="Shown",1,0)</f>
        <v>1</v>
      </c>
      <c r="Y1363" s="12">
        <f t="shared" si="90"/>
        <v>1</v>
      </c>
    </row>
    <row r="1364" spans="3:25" ht="15.7">
      <c r="D1364" s="4267" t="str">
        <f>T('2 REPAIR ESTIMATOR'!D1155:O1155)</f>
        <v/>
      </c>
      <c r="E1364" s="4268"/>
      <c r="F1364" s="4268"/>
      <c r="G1364" s="4268"/>
      <c r="H1364" s="4268"/>
      <c r="I1364" s="4268"/>
      <c r="J1364" s="4268"/>
      <c r="K1364" s="4268"/>
      <c r="L1364" s="4269">
        <f>'2 REPAIR ESTIMATOR'!P1155</f>
        <v>0</v>
      </c>
      <c r="M1364" s="4269"/>
      <c r="N1364" s="4270" t="str">
        <f>T('2 REPAIR ESTIMATOR'!S1155)</f>
        <v/>
      </c>
      <c r="O1364" s="4270"/>
      <c r="P1364" s="4271"/>
      <c r="Q1364" s="4271"/>
      <c r="R1364" s="4271"/>
      <c r="S1364" s="4271"/>
      <c r="T1364" s="4271"/>
      <c r="U1364" s="4271"/>
      <c r="V1364" s="4272"/>
      <c r="W1364" s="12">
        <f t="shared" si="92"/>
        <v>1</v>
      </c>
      <c r="X1364" s="12">
        <f t="shared" si="93"/>
        <v>1</v>
      </c>
      <c r="Y1364" s="12">
        <f t="shared" si="90"/>
        <v>1</v>
      </c>
    </row>
    <row r="1365" spans="3:25" ht="15.7">
      <c r="D1365" s="4267" t="str">
        <f>T('2 REPAIR ESTIMATOR'!D1156:O1156)</f>
        <v/>
      </c>
      <c r="E1365" s="4268"/>
      <c r="F1365" s="4268"/>
      <c r="G1365" s="4268"/>
      <c r="H1365" s="4268"/>
      <c r="I1365" s="4268"/>
      <c r="J1365" s="4268"/>
      <c r="K1365" s="4268"/>
      <c r="L1365" s="4269">
        <f>'2 REPAIR ESTIMATOR'!P1156</f>
        <v>0</v>
      </c>
      <c r="M1365" s="4269"/>
      <c r="N1365" s="4270" t="str">
        <f>T('2 REPAIR ESTIMATOR'!S1156)</f>
        <v/>
      </c>
      <c r="O1365" s="4270"/>
      <c r="P1365" s="4271"/>
      <c r="Q1365" s="4271"/>
      <c r="R1365" s="4271"/>
      <c r="S1365" s="4271"/>
      <c r="T1365" s="4271"/>
      <c r="U1365" s="4271"/>
      <c r="V1365" s="4272"/>
      <c r="W1365" s="12">
        <f t="shared" si="92"/>
        <v>1</v>
      </c>
      <c r="X1365" s="12">
        <f t="shared" si="93"/>
        <v>1</v>
      </c>
      <c r="Y1365" s="12">
        <f t="shared" si="90"/>
        <v>1</v>
      </c>
    </row>
    <row r="1366" spans="3:25" ht="15.7">
      <c r="D1366" s="4267" t="str">
        <f>T('2 REPAIR ESTIMATOR'!D1157:O1157)</f>
        <v/>
      </c>
      <c r="E1366" s="4268"/>
      <c r="F1366" s="4268"/>
      <c r="G1366" s="4268"/>
      <c r="H1366" s="4268"/>
      <c r="I1366" s="4268"/>
      <c r="J1366" s="4268"/>
      <c r="K1366" s="4268"/>
      <c r="L1366" s="4269">
        <f>'2 REPAIR ESTIMATOR'!P1157</f>
        <v>0</v>
      </c>
      <c r="M1366" s="4269"/>
      <c r="N1366" s="4270" t="str">
        <f>T('2 REPAIR ESTIMATOR'!S1157)</f>
        <v/>
      </c>
      <c r="O1366" s="4270"/>
      <c r="P1366" s="4271"/>
      <c r="Q1366" s="4271"/>
      <c r="R1366" s="4271"/>
      <c r="S1366" s="4271"/>
      <c r="T1366" s="4271"/>
      <c r="U1366" s="4271"/>
      <c r="V1366" s="4272"/>
      <c r="W1366" s="12">
        <f t="shared" si="92"/>
        <v>1</v>
      </c>
      <c r="X1366" s="12">
        <f t="shared" si="93"/>
        <v>1</v>
      </c>
      <c r="Y1366" s="12">
        <f t="shared" si="90"/>
        <v>1</v>
      </c>
    </row>
    <row r="1367" spans="3:25" ht="15.7">
      <c r="D1367" s="4267" t="str">
        <f>T('2 REPAIR ESTIMATOR'!D1158:O1158)</f>
        <v/>
      </c>
      <c r="E1367" s="4268"/>
      <c r="F1367" s="4268"/>
      <c r="G1367" s="4268"/>
      <c r="H1367" s="4268"/>
      <c r="I1367" s="4268"/>
      <c r="J1367" s="4268"/>
      <c r="K1367" s="4268"/>
      <c r="L1367" s="4269">
        <f>'2 REPAIR ESTIMATOR'!P1158</f>
        <v>0</v>
      </c>
      <c r="M1367" s="4269"/>
      <c r="N1367" s="4270" t="str">
        <f>T('2 REPAIR ESTIMATOR'!S1158)</f>
        <v/>
      </c>
      <c r="O1367" s="4270"/>
      <c r="P1367" s="4271"/>
      <c r="Q1367" s="4271"/>
      <c r="R1367" s="4271"/>
      <c r="S1367" s="4271"/>
      <c r="T1367" s="4271"/>
      <c r="U1367" s="4271"/>
      <c r="V1367" s="4272"/>
      <c r="W1367" s="12">
        <f t="shared" si="92"/>
        <v>1</v>
      </c>
      <c r="X1367" s="12">
        <f t="shared" si="93"/>
        <v>1</v>
      </c>
      <c r="Y1367" s="12">
        <f t="shared" si="90"/>
        <v>1</v>
      </c>
    </row>
    <row r="1368" spans="3:25" ht="15.7">
      <c r="D1368" s="4267" t="str">
        <f>T('2 REPAIR ESTIMATOR'!D1159:O1159)</f>
        <v/>
      </c>
      <c r="E1368" s="4268"/>
      <c r="F1368" s="4268"/>
      <c r="G1368" s="4268"/>
      <c r="H1368" s="4268"/>
      <c r="I1368" s="4268"/>
      <c r="J1368" s="4268"/>
      <c r="K1368" s="4268"/>
      <c r="L1368" s="4269">
        <f>'2 REPAIR ESTIMATOR'!P1159</f>
        <v>0</v>
      </c>
      <c r="M1368" s="4269"/>
      <c r="N1368" s="4270" t="str">
        <f>T('2 REPAIR ESTIMATOR'!S1159)</f>
        <v/>
      </c>
      <c r="O1368" s="4270"/>
      <c r="P1368" s="4271"/>
      <c r="Q1368" s="4271"/>
      <c r="R1368" s="4271"/>
      <c r="S1368" s="4271"/>
      <c r="T1368" s="4271"/>
      <c r="U1368" s="4271"/>
      <c r="V1368" s="4272"/>
      <c r="W1368" s="12">
        <f t="shared" si="92"/>
        <v>1</v>
      </c>
      <c r="X1368" s="12">
        <f t="shared" si="93"/>
        <v>1</v>
      </c>
      <c r="Y1368" s="12">
        <f t="shared" si="90"/>
        <v>1</v>
      </c>
    </row>
    <row r="1369" spans="3:25" ht="15.7">
      <c r="D1369" s="4267" t="str">
        <f>T('2 REPAIR ESTIMATOR'!D1160:O1160)</f>
        <v/>
      </c>
      <c r="E1369" s="4268"/>
      <c r="F1369" s="4268"/>
      <c r="G1369" s="4268"/>
      <c r="H1369" s="4268"/>
      <c r="I1369" s="4268"/>
      <c r="J1369" s="4268"/>
      <c r="K1369" s="4268"/>
      <c r="L1369" s="4269">
        <f>'2 REPAIR ESTIMATOR'!P1160</f>
        <v>0</v>
      </c>
      <c r="M1369" s="4269"/>
      <c r="N1369" s="4270" t="str">
        <f>T('2 REPAIR ESTIMATOR'!S1160)</f>
        <v/>
      </c>
      <c r="O1369" s="4270"/>
      <c r="P1369" s="4271"/>
      <c r="Q1369" s="4271"/>
      <c r="R1369" s="4271"/>
      <c r="S1369" s="4271"/>
      <c r="T1369" s="4271"/>
      <c r="U1369" s="4271"/>
      <c r="V1369" s="4272"/>
      <c r="W1369" s="12">
        <f t="shared" si="92"/>
        <v>1</v>
      </c>
      <c r="X1369" s="12">
        <f t="shared" si="93"/>
        <v>1</v>
      </c>
      <c r="Y1369" s="12">
        <f t="shared" si="90"/>
        <v>1</v>
      </c>
    </row>
    <row r="1370" spans="3:25" ht="15.7">
      <c r="D1370" s="4267" t="str">
        <f>T('2 REPAIR ESTIMATOR'!D1161:O1161)</f>
        <v/>
      </c>
      <c r="E1370" s="4268"/>
      <c r="F1370" s="4268"/>
      <c r="G1370" s="4268"/>
      <c r="H1370" s="4268"/>
      <c r="I1370" s="4268"/>
      <c r="J1370" s="4268"/>
      <c r="K1370" s="4268"/>
      <c r="L1370" s="4269">
        <f>'2 REPAIR ESTIMATOR'!P1161</f>
        <v>0</v>
      </c>
      <c r="M1370" s="4269"/>
      <c r="N1370" s="4270" t="str">
        <f>T('2 REPAIR ESTIMATOR'!S1161)</f>
        <v/>
      </c>
      <c r="O1370" s="4270"/>
      <c r="P1370" s="4271"/>
      <c r="Q1370" s="4271"/>
      <c r="R1370" s="4271"/>
      <c r="S1370" s="4271"/>
      <c r="T1370" s="4271"/>
      <c r="U1370" s="4271"/>
      <c r="V1370" s="4272"/>
      <c r="W1370" s="12">
        <f t="shared" si="92"/>
        <v>1</v>
      </c>
      <c r="X1370" s="12">
        <f t="shared" si="93"/>
        <v>1</v>
      </c>
      <c r="Y1370" s="12">
        <f t="shared" si="90"/>
        <v>1</v>
      </c>
    </row>
    <row r="1371" spans="3:25" ht="15.7">
      <c r="D1371" s="4267" t="str">
        <f>T('2 REPAIR ESTIMATOR'!D1162:O1162)</f>
        <v/>
      </c>
      <c r="E1371" s="4268"/>
      <c r="F1371" s="4268"/>
      <c r="G1371" s="4268"/>
      <c r="H1371" s="4268"/>
      <c r="I1371" s="4268"/>
      <c r="J1371" s="4268"/>
      <c r="K1371" s="4268"/>
      <c r="L1371" s="4269">
        <f>'2 REPAIR ESTIMATOR'!P1162</f>
        <v>0</v>
      </c>
      <c r="M1371" s="4269"/>
      <c r="N1371" s="4270" t="str">
        <f>T('2 REPAIR ESTIMATOR'!S1162)</f>
        <v/>
      </c>
      <c r="O1371" s="4270"/>
      <c r="P1371" s="4271"/>
      <c r="Q1371" s="4271"/>
      <c r="R1371" s="4271"/>
      <c r="S1371" s="4271"/>
      <c r="T1371" s="4271"/>
      <c r="U1371" s="4271"/>
      <c r="V1371" s="4272"/>
      <c r="W1371" s="12">
        <f t="shared" si="92"/>
        <v>1</v>
      </c>
      <c r="X1371" s="12">
        <f t="shared" si="93"/>
        <v>1</v>
      </c>
      <c r="Y1371" s="12">
        <f t="shared" si="90"/>
        <v>1</v>
      </c>
    </row>
    <row r="1372" spans="3:25" ht="15.7">
      <c r="C1372" s="6"/>
      <c r="D1372" s="723"/>
      <c r="E1372" s="723"/>
      <c r="F1372" s="723"/>
      <c r="G1372" s="723"/>
      <c r="H1372" s="723"/>
      <c r="I1372" s="723"/>
      <c r="J1372" s="723"/>
      <c r="K1372" s="723"/>
      <c r="L1372" s="724"/>
      <c r="M1372" s="724"/>
      <c r="N1372" s="725"/>
      <c r="O1372" s="725"/>
      <c r="P1372" s="724"/>
      <c r="Q1372" s="445"/>
      <c r="R1372" s="445"/>
      <c r="S1372" s="725"/>
      <c r="T1372" s="725"/>
      <c r="U1372" s="725"/>
      <c r="V1372" s="725"/>
      <c r="W1372" s="12">
        <f>W1373</f>
        <v>0</v>
      </c>
      <c r="X1372" s="12">
        <f t="shared" si="93"/>
        <v>1</v>
      </c>
      <c r="Y1372" s="12">
        <f t="shared" si="90"/>
        <v>0</v>
      </c>
    </row>
    <row r="1373" spans="3:25" ht="16.7">
      <c r="C1373" s="6"/>
      <c r="D1373" s="4266" t="str">
        <f>UPPER(CONCATENATE("Miscellaneous ",D1331," Items"))</f>
        <v>MISCELLANEOUS MISCELLANEOUS ITEMS</v>
      </c>
      <c r="E1373" s="4266"/>
      <c r="F1373" s="4266"/>
      <c r="G1373" s="4266"/>
      <c r="H1373" s="4266"/>
      <c r="I1373" s="4266"/>
      <c r="J1373" s="4266"/>
      <c r="K1373" s="4266"/>
      <c r="L1373" s="4266"/>
      <c r="M1373" s="4266"/>
      <c r="N1373" s="4266"/>
      <c r="O1373" s="4266"/>
      <c r="P1373" s="4266"/>
      <c r="Q1373" s="4266"/>
      <c r="R1373" s="4266"/>
      <c r="S1373" s="4266"/>
      <c r="T1373" s="4266"/>
      <c r="U1373" s="4266"/>
      <c r="V1373" s="4266"/>
      <c r="W1373" s="12">
        <f>SUM(W1374:W1383)</f>
        <v>0</v>
      </c>
      <c r="X1373" s="12">
        <f t="shared" si="93"/>
        <v>1</v>
      </c>
      <c r="Y1373" s="12">
        <f t="shared" si="90"/>
        <v>0</v>
      </c>
    </row>
    <row r="1374" spans="3:25" ht="15.7">
      <c r="C1374" s="6"/>
      <c r="D1374" s="712">
        <v>1</v>
      </c>
      <c r="E1374" s="4263"/>
      <c r="F1374" s="4263"/>
      <c r="G1374" s="4263"/>
      <c r="H1374" s="4263"/>
      <c r="I1374" s="4263"/>
      <c r="J1374" s="4263"/>
      <c r="K1374" s="4263"/>
      <c r="L1374" s="4263"/>
      <c r="M1374" s="4263"/>
      <c r="N1374" s="4263"/>
      <c r="O1374" s="4263"/>
      <c r="P1374" s="4263"/>
      <c r="Q1374" s="4263"/>
      <c r="R1374" s="4263"/>
      <c r="S1374" s="4263"/>
      <c r="T1374" s="4263"/>
      <c r="U1374" s="4263"/>
      <c r="V1374" s="4263"/>
      <c r="W1374" s="12">
        <f>IF(E1374&lt;&gt;"",1,0)*W1331</f>
        <v>0</v>
      </c>
      <c r="X1374" s="12">
        <f t="shared" si="93"/>
        <v>1</v>
      </c>
      <c r="Y1374" s="12">
        <f t="shared" si="90"/>
        <v>0</v>
      </c>
    </row>
    <row r="1375" spans="3:25" ht="15.7">
      <c r="C1375" s="6"/>
      <c r="D1375" s="712">
        <v>2</v>
      </c>
      <c r="E1375" s="4263"/>
      <c r="F1375" s="4263"/>
      <c r="G1375" s="4263"/>
      <c r="H1375" s="4263"/>
      <c r="I1375" s="4263"/>
      <c r="J1375" s="4263"/>
      <c r="K1375" s="4263"/>
      <c r="L1375" s="4263"/>
      <c r="M1375" s="4263"/>
      <c r="N1375" s="4263"/>
      <c r="O1375" s="4263"/>
      <c r="P1375" s="4263"/>
      <c r="Q1375" s="4263"/>
      <c r="R1375" s="4263"/>
      <c r="S1375" s="4263"/>
      <c r="T1375" s="4263"/>
      <c r="U1375" s="4263"/>
      <c r="V1375" s="4263"/>
      <c r="W1375" s="12">
        <f>IF(E1375&lt;&gt;"",1,0)*W1331</f>
        <v>0</v>
      </c>
      <c r="X1375" s="12">
        <f t="shared" si="93"/>
        <v>1</v>
      </c>
      <c r="Y1375" s="12">
        <f t="shared" si="90"/>
        <v>0</v>
      </c>
    </row>
    <row r="1376" spans="3:25" ht="15.7">
      <c r="C1376" s="6"/>
      <c r="D1376" s="712">
        <v>3</v>
      </c>
      <c r="E1376" s="4263"/>
      <c r="F1376" s="4263"/>
      <c r="G1376" s="4263"/>
      <c r="H1376" s="4263"/>
      <c r="I1376" s="4263"/>
      <c r="J1376" s="4263"/>
      <c r="K1376" s="4263"/>
      <c r="L1376" s="4263"/>
      <c r="M1376" s="4263"/>
      <c r="N1376" s="4263"/>
      <c r="O1376" s="4263"/>
      <c r="P1376" s="4263"/>
      <c r="Q1376" s="4263"/>
      <c r="R1376" s="4263"/>
      <c r="S1376" s="4263"/>
      <c r="T1376" s="4263"/>
      <c r="U1376" s="4263"/>
      <c r="V1376" s="4263"/>
      <c r="W1376" s="12">
        <f>IF(E1376&lt;&gt;"",1,0)*W1331</f>
        <v>0</v>
      </c>
      <c r="X1376" s="12">
        <f t="shared" si="93"/>
        <v>1</v>
      </c>
      <c r="Y1376" s="12">
        <f t="shared" si="90"/>
        <v>0</v>
      </c>
    </row>
    <row r="1377" spans="3:26" ht="15.7">
      <c r="C1377" s="6"/>
      <c r="D1377" s="712">
        <v>4</v>
      </c>
      <c r="E1377" s="4263"/>
      <c r="F1377" s="4263"/>
      <c r="G1377" s="4263"/>
      <c r="H1377" s="4263"/>
      <c r="I1377" s="4263"/>
      <c r="J1377" s="4263"/>
      <c r="K1377" s="4263"/>
      <c r="L1377" s="4263"/>
      <c r="M1377" s="4263"/>
      <c r="N1377" s="4263"/>
      <c r="O1377" s="4263"/>
      <c r="P1377" s="4263"/>
      <c r="Q1377" s="4263"/>
      <c r="R1377" s="4263"/>
      <c r="S1377" s="4263"/>
      <c r="T1377" s="4263"/>
      <c r="U1377" s="4263"/>
      <c r="V1377" s="4263"/>
      <c r="W1377" s="12">
        <f>IF(E1377&lt;&gt;"",1,0)*W1331</f>
        <v>0</v>
      </c>
      <c r="X1377" s="12">
        <f t="shared" si="93"/>
        <v>1</v>
      </c>
      <c r="Y1377" s="12">
        <f t="shared" si="90"/>
        <v>0</v>
      </c>
    </row>
    <row r="1378" spans="3:26" ht="15.7">
      <c r="C1378" s="6"/>
      <c r="D1378" s="712">
        <v>5</v>
      </c>
      <c r="E1378" s="4263"/>
      <c r="F1378" s="4263"/>
      <c r="G1378" s="4263"/>
      <c r="H1378" s="4263"/>
      <c r="I1378" s="4263"/>
      <c r="J1378" s="4263"/>
      <c r="K1378" s="4263"/>
      <c r="L1378" s="4263"/>
      <c r="M1378" s="4263"/>
      <c r="N1378" s="4263"/>
      <c r="O1378" s="4263"/>
      <c r="P1378" s="4263"/>
      <c r="Q1378" s="4263"/>
      <c r="R1378" s="4263"/>
      <c r="S1378" s="4263"/>
      <c r="T1378" s="4263"/>
      <c r="U1378" s="4263"/>
      <c r="V1378" s="4263"/>
      <c r="W1378" s="12">
        <f>IF(E1378&lt;&gt;"",1,0)*W1331</f>
        <v>0</v>
      </c>
      <c r="X1378" s="12">
        <f t="shared" si="93"/>
        <v>1</v>
      </c>
      <c r="Y1378" s="12">
        <f t="shared" si="90"/>
        <v>0</v>
      </c>
    </row>
    <row r="1379" spans="3:26" ht="15.7">
      <c r="C1379" s="6"/>
      <c r="D1379" s="712">
        <v>6</v>
      </c>
      <c r="E1379" s="4263"/>
      <c r="F1379" s="4263"/>
      <c r="G1379" s="4263"/>
      <c r="H1379" s="4263"/>
      <c r="I1379" s="4263"/>
      <c r="J1379" s="4263"/>
      <c r="K1379" s="4263"/>
      <c r="L1379" s="4263"/>
      <c r="M1379" s="4263"/>
      <c r="N1379" s="4263"/>
      <c r="O1379" s="4263"/>
      <c r="P1379" s="4263"/>
      <c r="Q1379" s="4263"/>
      <c r="R1379" s="4263"/>
      <c r="S1379" s="4263"/>
      <c r="T1379" s="4263"/>
      <c r="U1379" s="4263"/>
      <c r="V1379" s="4263"/>
      <c r="W1379" s="12">
        <f>IF(E1379&lt;&gt;"",1,0)*W1331</f>
        <v>0</v>
      </c>
      <c r="X1379" s="12">
        <f t="shared" si="93"/>
        <v>1</v>
      </c>
      <c r="Y1379" s="12">
        <f t="shared" si="90"/>
        <v>0</v>
      </c>
    </row>
    <row r="1380" spans="3:26" ht="15.7">
      <c r="C1380" s="6"/>
      <c r="D1380" s="712">
        <v>7</v>
      </c>
      <c r="E1380" s="4263"/>
      <c r="F1380" s="4263"/>
      <c r="G1380" s="4263"/>
      <c r="H1380" s="4263"/>
      <c r="I1380" s="4263"/>
      <c r="J1380" s="4263"/>
      <c r="K1380" s="4263"/>
      <c r="L1380" s="4263"/>
      <c r="M1380" s="4263"/>
      <c r="N1380" s="4263"/>
      <c r="O1380" s="4263"/>
      <c r="P1380" s="4263"/>
      <c r="Q1380" s="4263"/>
      <c r="R1380" s="4263"/>
      <c r="S1380" s="4263"/>
      <c r="T1380" s="4263"/>
      <c r="U1380" s="4263"/>
      <c r="V1380" s="4263"/>
      <c r="W1380" s="12">
        <f>IF(E1380&lt;&gt;"",1,0)*W1331</f>
        <v>0</v>
      </c>
      <c r="X1380" s="12">
        <f t="shared" si="93"/>
        <v>1</v>
      </c>
      <c r="Y1380" s="12">
        <f t="shared" si="90"/>
        <v>0</v>
      </c>
    </row>
    <row r="1381" spans="3:26" ht="15.7">
      <c r="C1381" s="6"/>
      <c r="D1381" s="712">
        <v>8</v>
      </c>
      <c r="E1381" s="4263"/>
      <c r="F1381" s="4263"/>
      <c r="G1381" s="4263"/>
      <c r="H1381" s="4263"/>
      <c r="I1381" s="4263"/>
      <c r="J1381" s="4263"/>
      <c r="K1381" s="4263"/>
      <c r="L1381" s="4263"/>
      <c r="M1381" s="4263"/>
      <c r="N1381" s="4263"/>
      <c r="O1381" s="4263"/>
      <c r="P1381" s="4263"/>
      <c r="Q1381" s="4263"/>
      <c r="R1381" s="4263"/>
      <c r="S1381" s="4263"/>
      <c r="T1381" s="4263"/>
      <c r="U1381" s="4263"/>
      <c r="V1381" s="4263"/>
      <c r="W1381" s="12">
        <f>IF(E1381&lt;&gt;"",1,0)*W1331</f>
        <v>0</v>
      </c>
      <c r="X1381" s="12">
        <f t="shared" si="93"/>
        <v>1</v>
      </c>
      <c r="Y1381" s="12">
        <f t="shared" si="90"/>
        <v>0</v>
      </c>
    </row>
    <row r="1382" spans="3:26" ht="15.7">
      <c r="C1382" s="6"/>
      <c r="D1382" s="712">
        <v>9</v>
      </c>
      <c r="E1382" s="4263"/>
      <c r="F1382" s="4263"/>
      <c r="G1382" s="4263"/>
      <c r="H1382" s="4263"/>
      <c r="I1382" s="4263"/>
      <c r="J1382" s="4263"/>
      <c r="K1382" s="4263"/>
      <c r="L1382" s="4263"/>
      <c r="M1382" s="4263"/>
      <c r="N1382" s="4263"/>
      <c r="O1382" s="4263"/>
      <c r="P1382" s="4263"/>
      <c r="Q1382" s="4263"/>
      <c r="R1382" s="4263"/>
      <c r="S1382" s="4263"/>
      <c r="T1382" s="4263"/>
      <c r="U1382" s="4263"/>
      <c r="V1382" s="4263"/>
      <c r="W1382" s="12">
        <f>IF(E1382&lt;&gt;"",1,0)*W1331</f>
        <v>0</v>
      </c>
      <c r="X1382" s="12">
        <f t="shared" si="93"/>
        <v>1</v>
      </c>
      <c r="Y1382" s="12">
        <f t="shared" si="90"/>
        <v>0</v>
      </c>
    </row>
    <row r="1383" spans="3:26" ht="15.7">
      <c r="C1383" s="6"/>
      <c r="D1383" s="712">
        <v>10</v>
      </c>
      <c r="E1383" s="4263"/>
      <c r="F1383" s="4263"/>
      <c r="G1383" s="4263"/>
      <c r="H1383" s="4263"/>
      <c r="I1383" s="4263"/>
      <c r="J1383" s="4263"/>
      <c r="K1383" s="4263"/>
      <c r="L1383" s="4263"/>
      <c r="M1383" s="4263"/>
      <c r="N1383" s="4263"/>
      <c r="O1383" s="4263"/>
      <c r="P1383" s="4263"/>
      <c r="Q1383" s="4263"/>
      <c r="R1383" s="4263"/>
      <c r="S1383" s="4263"/>
      <c r="T1383" s="4263"/>
      <c r="U1383" s="4263"/>
      <c r="V1383" s="4263"/>
      <c r="W1383" s="12">
        <f>IF(E1383&lt;&gt;"",1,0)*W1331</f>
        <v>0</v>
      </c>
      <c r="X1383" s="12">
        <f t="shared" si="93"/>
        <v>1</v>
      </c>
      <c r="Y1383" s="12">
        <f t="shared" si="90"/>
        <v>0</v>
      </c>
    </row>
    <row r="1384" spans="3:26" ht="15.7">
      <c r="C1384" s="6"/>
      <c r="D1384" s="723"/>
      <c r="E1384" s="723"/>
      <c r="F1384" s="723"/>
      <c r="G1384" s="723"/>
      <c r="H1384" s="723"/>
      <c r="I1384" s="723"/>
      <c r="J1384" s="723"/>
      <c r="K1384" s="723"/>
      <c r="L1384" s="724"/>
      <c r="M1384" s="724"/>
      <c r="N1384" s="725"/>
      <c r="O1384" s="725"/>
      <c r="P1384" s="724"/>
      <c r="Q1384" s="445"/>
      <c r="R1384" s="445"/>
      <c r="S1384" s="726"/>
      <c r="T1384" s="726"/>
      <c r="U1384" s="726"/>
      <c r="V1384" s="726"/>
      <c r="W1384" s="12">
        <f>W1331</f>
        <v>0</v>
      </c>
      <c r="X1384" s="12">
        <f t="shared" si="93"/>
        <v>1</v>
      </c>
      <c r="Y1384" s="12">
        <f t="shared" si="90"/>
        <v>0</v>
      </c>
    </row>
    <row r="1385" spans="3:26" ht="40.5" customHeight="1">
      <c r="C1385" s="6"/>
      <c r="D1385" s="4264" t="str">
        <f>UPPER(CONCATENATE("TOTAL ",D1331))</f>
        <v>TOTAL MISCELLANEOUS</v>
      </c>
      <c r="E1385" s="4264"/>
      <c r="F1385" s="4264"/>
      <c r="G1385" s="4264"/>
      <c r="H1385" s="4264"/>
      <c r="I1385" s="4264"/>
      <c r="J1385" s="4264"/>
      <c r="K1385" s="4264"/>
      <c r="L1385" s="4264"/>
      <c r="M1385" s="4264"/>
      <c r="N1385" s="4264"/>
      <c r="O1385" s="4264"/>
      <c r="P1385" s="4264"/>
      <c r="Q1385" s="4265"/>
      <c r="R1385" s="4265"/>
      <c r="S1385" s="4265"/>
      <c r="T1385" s="4265"/>
      <c r="U1385" s="4265"/>
      <c r="V1385" s="4265"/>
      <c r="W1385" s="12">
        <f>W1331</f>
        <v>0</v>
      </c>
      <c r="X1385" s="12">
        <f t="shared" si="93"/>
        <v>1</v>
      </c>
      <c r="Y1385" s="12">
        <f t="shared" si="90"/>
        <v>0</v>
      </c>
    </row>
    <row r="1386" spans="3:26" ht="15.7">
      <c r="D1386" s="723"/>
      <c r="E1386" s="723"/>
      <c r="F1386" s="723"/>
      <c r="G1386" s="723"/>
      <c r="H1386" s="723"/>
      <c r="I1386" s="723"/>
      <c r="J1386" s="723"/>
      <c r="K1386" s="723"/>
      <c r="L1386" s="724"/>
      <c r="M1386" s="724"/>
      <c r="N1386" s="725"/>
      <c r="O1386" s="725"/>
      <c r="P1386" s="724"/>
      <c r="Q1386" s="445"/>
      <c r="R1386" s="445"/>
      <c r="S1386" s="726"/>
      <c r="T1386" s="726"/>
      <c r="U1386" s="726"/>
      <c r="V1386" s="726"/>
      <c r="W1386" s="12">
        <f>W1331</f>
        <v>0</v>
      </c>
      <c r="X1386" s="12">
        <f t="shared" si="93"/>
        <v>1</v>
      </c>
      <c r="Y1386" s="12">
        <f t="shared" si="90"/>
        <v>0</v>
      </c>
    </row>
    <row r="1387" spans="3:26" ht="18">
      <c r="D1387" s="703"/>
      <c r="E1387" s="704"/>
      <c r="F1387" s="704"/>
      <c r="G1387" s="704"/>
      <c r="H1387" s="704"/>
      <c r="I1387" s="704"/>
      <c r="J1387" s="704"/>
      <c r="K1387" s="704"/>
      <c r="L1387" s="705"/>
      <c r="M1387" s="705"/>
      <c r="N1387" s="706"/>
      <c r="O1387" s="706"/>
      <c r="P1387" s="705"/>
      <c r="Q1387" s="705"/>
      <c r="R1387" s="705"/>
      <c r="S1387" s="705"/>
      <c r="T1387" s="705"/>
      <c r="U1387" s="705"/>
      <c r="V1387" s="707"/>
      <c r="W1387" s="12">
        <v>1</v>
      </c>
      <c r="X1387" s="12">
        <f t="shared" si="93"/>
        <v>1</v>
      </c>
      <c r="Y1387" s="12">
        <f t="shared" si="90"/>
        <v>1</v>
      </c>
    </row>
    <row r="1388" spans="3:26" ht="15.7" hidden="1">
      <c r="D1388" s="4293" t="s">
        <v>955</v>
      </c>
      <c r="E1388" s="4293"/>
      <c r="F1388" s="4293"/>
      <c r="G1388" s="4293"/>
      <c r="H1388" s="4293"/>
      <c r="I1388" s="4293"/>
      <c r="J1388" s="4293"/>
      <c r="K1388" s="4293"/>
      <c r="L1388" s="4293"/>
      <c r="M1388" s="4293"/>
      <c r="N1388" s="4293"/>
      <c r="O1388" s="4293"/>
      <c r="P1388" s="4293"/>
      <c r="Q1388" s="4293"/>
      <c r="R1388" s="4293"/>
      <c r="S1388" s="4293"/>
      <c r="T1388" s="4293"/>
      <c r="U1388" s="4293"/>
      <c r="V1388" s="4293"/>
      <c r="W1388" s="28"/>
      <c r="X1388" s="28"/>
      <c r="Y1388" s="28"/>
      <c r="Z1388" s="28"/>
    </row>
    <row r="1389" spans="3:26" ht="15.7" hidden="1">
      <c r="D1389" s="4293"/>
      <c r="E1389" s="4293"/>
      <c r="F1389" s="4293"/>
      <c r="G1389" s="4293"/>
      <c r="H1389" s="4293"/>
      <c r="I1389" s="4293"/>
      <c r="J1389" s="4293"/>
      <c r="K1389" s="4293"/>
      <c r="L1389" s="4293"/>
      <c r="M1389" s="4293"/>
      <c r="N1389" s="4293"/>
      <c r="O1389" s="4293"/>
      <c r="P1389" s="4293"/>
      <c r="Q1389" s="4293"/>
      <c r="R1389" s="4293"/>
      <c r="S1389" s="4293"/>
      <c r="T1389" s="4293"/>
      <c r="U1389" s="4293"/>
      <c r="V1389" s="4293"/>
      <c r="W1389" s="28"/>
      <c r="X1389" s="28"/>
      <c r="Y1389" s="28"/>
      <c r="Z1389" s="28"/>
    </row>
    <row r="1391" spans="3:26" hidden="1"/>
    <row r="1392" spans="3:26" hidden="1">
      <c r="E1392" s="719" t="s">
        <v>1395</v>
      </c>
      <c r="F1392" s="720" t="s">
        <v>1126</v>
      </c>
    </row>
    <row r="1393" spans="5:6" hidden="1">
      <c r="E1393" s="719" t="s">
        <v>1396</v>
      </c>
      <c r="F1393" s="720" t="s">
        <v>1126</v>
      </c>
    </row>
    <row r="1394" spans="5:6" hidden="1">
      <c r="E1394" s="719" t="s">
        <v>1397</v>
      </c>
      <c r="F1394" s="720" t="s">
        <v>1126</v>
      </c>
    </row>
    <row r="1395" spans="5:6" hidden="1">
      <c r="E1395" s="719" t="s">
        <v>1398</v>
      </c>
      <c r="F1395" s="720" t="s">
        <v>1126</v>
      </c>
    </row>
    <row r="1396" spans="5:6" hidden="1">
      <c r="E1396" s="719" t="s">
        <v>1399</v>
      </c>
      <c r="F1396" s="720" t="s">
        <v>1126</v>
      </c>
    </row>
    <row r="1397" spans="5:6" hidden="1">
      <c r="E1397" s="719" t="s">
        <v>1400</v>
      </c>
      <c r="F1397" s="720" t="s">
        <v>1126</v>
      </c>
    </row>
    <row r="1398" spans="5:6" hidden="1">
      <c r="E1398" s="719" t="s">
        <v>1401</v>
      </c>
      <c r="F1398" s="720" t="s">
        <v>1126</v>
      </c>
    </row>
    <row r="1399" spans="5:6" hidden="1">
      <c r="E1399" s="719" t="s">
        <v>1402</v>
      </c>
      <c r="F1399" s="720" t="s">
        <v>1126</v>
      </c>
    </row>
    <row r="1400" spans="5:6" hidden="1">
      <c r="E1400" s="719" t="s">
        <v>1403</v>
      </c>
      <c r="F1400" s="720" t="s">
        <v>1126</v>
      </c>
    </row>
    <row r="1401" spans="5:6" hidden="1">
      <c r="E1401" s="719" t="s">
        <v>1404</v>
      </c>
      <c r="F1401" s="720" t="s">
        <v>1126</v>
      </c>
    </row>
    <row r="1402" spans="5:6" hidden="1">
      <c r="E1402" s="719" t="s">
        <v>1405</v>
      </c>
      <c r="F1402" s="720" t="s">
        <v>1126</v>
      </c>
    </row>
    <row r="1403" spans="5:6" hidden="1">
      <c r="E1403" s="719" t="s">
        <v>1406</v>
      </c>
      <c r="F1403" s="720" t="s">
        <v>1126</v>
      </c>
    </row>
    <row r="1404" spans="5:6" hidden="1">
      <c r="E1404" s="719" t="s">
        <v>1407</v>
      </c>
      <c r="F1404" s="720" t="s">
        <v>1126</v>
      </c>
    </row>
    <row r="1405" spans="5:6" hidden="1">
      <c r="E1405" s="719" t="s">
        <v>1408</v>
      </c>
      <c r="F1405" s="720" t="s">
        <v>1126</v>
      </c>
    </row>
    <row r="1406" spans="5:6" hidden="1">
      <c r="E1406" s="719" t="s">
        <v>1409</v>
      </c>
      <c r="F1406" s="720" t="s">
        <v>1126</v>
      </c>
    </row>
    <row r="1407" spans="5:6" hidden="1">
      <c r="E1407" s="719" t="s">
        <v>1410</v>
      </c>
      <c r="F1407" s="720" t="s">
        <v>1126</v>
      </c>
    </row>
    <row r="1408" spans="5:6" hidden="1">
      <c r="E1408" s="719" t="s">
        <v>1411</v>
      </c>
      <c r="F1408" s="720" t="s">
        <v>1126</v>
      </c>
    </row>
    <row r="1409" spans="5:6" hidden="1">
      <c r="E1409" s="719" t="s">
        <v>1412</v>
      </c>
      <c r="F1409" s="720" t="s">
        <v>1126</v>
      </c>
    </row>
    <row r="1410" spans="5:6" hidden="1">
      <c r="E1410" s="719" t="s">
        <v>1413</v>
      </c>
      <c r="F1410" s="720" t="s">
        <v>1126</v>
      </c>
    </row>
    <row r="1411" spans="5:6" hidden="1">
      <c r="E1411" s="719" t="s">
        <v>1414</v>
      </c>
      <c r="F1411" s="720" t="s">
        <v>1126</v>
      </c>
    </row>
    <row r="1412" spans="5:6" hidden="1">
      <c r="E1412" s="719" t="s">
        <v>1415</v>
      </c>
      <c r="F1412" s="720" t="s">
        <v>1126</v>
      </c>
    </row>
    <row r="1413" spans="5:6" hidden="1">
      <c r="E1413" s="719" t="s">
        <v>1416</v>
      </c>
      <c r="F1413" s="720" t="s">
        <v>1126</v>
      </c>
    </row>
    <row r="1414" spans="5:6" hidden="1">
      <c r="E1414" s="719" t="s">
        <v>1417</v>
      </c>
      <c r="F1414" s="720" t="s">
        <v>1126</v>
      </c>
    </row>
    <row r="1415" spans="5:6" hidden="1">
      <c r="E1415" s="719" t="s">
        <v>1418</v>
      </c>
      <c r="F1415" s="720" t="s">
        <v>1126</v>
      </c>
    </row>
    <row r="1416" spans="5:6" hidden="1"/>
  </sheetData>
  <sheetProtection formatCells="0" formatColumns="0" formatRows="0" insertHyperlinks="0" selectLockedCells="1" sort="0" autoFilter="0"/>
  <autoFilter ref="D42:Y1389" xr:uid="{00000000-0009-0000-0000-00002A000000}">
    <filterColumn colId="20">
      <customFilters>
        <customFilter operator="greaterThan" val="0"/>
      </customFilters>
    </filterColumn>
  </autoFilter>
  <mergeCells count="4286">
    <mergeCell ref="J15:M15"/>
    <mergeCell ref="J16:M16"/>
    <mergeCell ref="J17:M17"/>
    <mergeCell ref="J18:M18"/>
    <mergeCell ref="J19:M19"/>
    <mergeCell ref="E12:H12"/>
    <mergeCell ref="E13:H13"/>
    <mergeCell ref="E14:H14"/>
    <mergeCell ref="D47:K47"/>
    <mergeCell ref="D48:K48"/>
    <mergeCell ref="D49:K49"/>
    <mergeCell ref="D50:K50"/>
    <mergeCell ref="D51:K51"/>
    <mergeCell ref="D72:K72"/>
    <mergeCell ref="D73:K73"/>
    <mergeCell ref="D74:K74"/>
    <mergeCell ref="O16:R16"/>
    <mergeCell ref="L53:M53"/>
    <mergeCell ref="L54:M54"/>
    <mergeCell ref="L55:M55"/>
    <mergeCell ref="L56:M56"/>
    <mergeCell ref="L57:M57"/>
    <mergeCell ref="E15:H15"/>
    <mergeCell ref="E16:H16"/>
    <mergeCell ref="O12:R12"/>
    <mergeCell ref="O13:R13"/>
    <mergeCell ref="O14:R14"/>
    <mergeCell ref="O15:R15"/>
    <mergeCell ref="D52:K52"/>
    <mergeCell ref="D53:K53"/>
    <mergeCell ref="D54:K54"/>
    <mergeCell ref="D55:K55"/>
    <mergeCell ref="T17:U17"/>
    <mergeCell ref="T18:U18"/>
    <mergeCell ref="V13:V14"/>
    <mergeCell ref="B2:C2"/>
    <mergeCell ref="E1040:V1040"/>
    <mergeCell ref="D71:K71"/>
    <mergeCell ref="D62:K62"/>
    <mergeCell ref="D63:K63"/>
    <mergeCell ref="D64:K64"/>
    <mergeCell ref="D33:S41"/>
    <mergeCell ref="D23:Q23"/>
    <mergeCell ref="S23:V23"/>
    <mergeCell ref="O17:R17"/>
    <mergeCell ref="O18:R18"/>
    <mergeCell ref="O19:R19"/>
    <mergeCell ref="E17:H17"/>
    <mergeCell ref="E18:H18"/>
    <mergeCell ref="E19:H19"/>
    <mergeCell ref="J12:M12"/>
    <mergeCell ref="J13:M13"/>
    <mergeCell ref="J14:M14"/>
    <mergeCell ref="L44:M44"/>
    <mergeCell ref="L45:M45"/>
    <mergeCell ref="L46:M46"/>
    <mergeCell ref="L47:M47"/>
    <mergeCell ref="L48:M48"/>
    <mergeCell ref="L49:M49"/>
    <mergeCell ref="L50:M50"/>
    <mergeCell ref="L51:M51"/>
    <mergeCell ref="L52:M52"/>
    <mergeCell ref="P43:V43"/>
    <mergeCell ref="D43:K43"/>
    <mergeCell ref="L43:M43"/>
    <mergeCell ref="N43:O43"/>
    <mergeCell ref="D44:K44"/>
    <mergeCell ref="D45:K45"/>
    <mergeCell ref="D46:K46"/>
    <mergeCell ref="D65:K65"/>
    <mergeCell ref="D66:K66"/>
    <mergeCell ref="D57:K57"/>
    <mergeCell ref="D58:K58"/>
    <mergeCell ref="D59:K59"/>
    <mergeCell ref="D60:K60"/>
    <mergeCell ref="D61:K61"/>
    <mergeCell ref="L71:M71"/>
    <mergeCell ref="L72:M72"/>
    <mergeCell ref="L63:M63"/>
    <mergeCell ref="L64:M64"/>
    <mergeCell ref="L65:M65"/>
    <mergeCell ref="L66:M66"/>
    <mergeCell ref="L67:M67"/>
    <mergeCell ref="L58:M58"/>
    <mergeCell ref="D67:K67"/>
    <mergeCell ref="N44:O44"/>
    <mergeCell ref="N45:O45"/>
    <mergeCell ref="N46:O46"/>
    <mergeCell ref="N47:O47"/>
    <mergeCell ref="N48:O48"/>
    <mergeCell ref="N49:O49"/>
    <mergeCell ref="N50:O50"/>
    <mergeCell ref="N51:O51"/>
    <mergeCell ref="N52:O52"/>
    <mergeCell ref="N53:O53"/>
    <mergeCell ref="N54:O54"/>
    <mergeCell ref="P44:V44"/>
    <mergeCell ref="P45:V45"/>
    <mergeCell ref="P46:V46"/>
    <mergeCell ref="P47:V47"/>
    <mergeCell ref="P48:V48"/>
    <mergeCell ref="P49:V49"/>
    <mergeCell ref="P50:V50"/>
    <mergeCell ref="P51:V51"/>
    <mergeCell ref="P52:V52"/>
    <mergeCell ref="P53:V53"/>
    <mergeCell ref="N79:O79"/>
    <mergeCell ref="P56:V56"/>
    <mergeCell ref="P57:V57"/>
    <mergeCell ref="P58:V58"/>
    <mergeCell ref="P67:V67"/>
    <mergeCell ref="P68:V68"/>
    <mergeCell ref="P59:V59"/>
    <mergeCell ref="P60:V60"/>
    <mergeCell ref="P61:V61"/>
    <mergeCell ref="P62:V62"/>
    <mergeCell ref="P63:V63"/>
    <mergeCell ref="P54:V54"/>
    <mergeCell ref="P55:V55"/>
    <mergeCell ref="N71:O71"/>
    <mergeCell ref="N72:O72"/>
    <mergeCell ref="N73:O73"/>
    <mergeCell ref="N64:O64"/>
    <mergeCell ref="N65:O65"/>
    <mergeCell ref="D68:K68"/>
    <mergeCell ref="D69:K69"/>
    <mergeCell ref="D70:K70"/>
    <mergeCell ref="L59:M59"/>
    <mergeCell ref="L60:M60"/>
    <mergeCell ref="L61:M61"/>
    <mergeCell ref="L62:M62"/>
    <mergeCell ref="N61:O61"/>
    <mergeCell ref="N62:O62"/>
    <mergeCell ref="N63:O63"/>
    <mergeCell ref="N55:O55"/>
    <mergeCell ref="N56:O56"/>
    <mergeCell ref="N57:O57"/>
    <mergeCell ref="N58:O58"/>
    <mergeCell ref="D56:K56"/>
    <mergeCell ref="N59:O59"/>
    <mergeCell ref="N60:O60"/>
    <mergeCell ref="E90:V90"/>
    <mergeCell ref="E91:V91"/>
    <mergeCell ref="E92:V92"/>
    <mergeCell ref="N80:O80"/>
    <mergeCell ref="N81:O81"/>
    <mergeCell ref="N82:O82"/>
    <mergeCell ref="P69:V69"/>
    <mergeCell ref="P70:V70"/>
    <mergeCell ref="P71:V71"/>
    <mergeCell ref="P72:V72"/>
    <mergeCell ref="P73:V73"/>
    <mergeCell ref="P64:V64"/>
    <mergeCell ref="P65:V65"/>
    <mergeCell ref="P66:V66"/>
    <mergeCell ref="N76:O76"/>
    <mergeCell ref="N77:O77"/>
    <mergeCell ref="N78:O78"/>
    <mergeCell ref="N69:O69"/>
    <mergeCell ref="N70:O70"/>
    <mergeCell ref="L78:M78"/>
    <mergeCell ref="L79:M79"/>
    <mergeCell ref="N66:O66"/>
    <mergeCell ref="N67:O67"/>
    <mergeCell ref="N68:O68"/>
    <mergeCell ref="L73:M73"/>
    <mergeCell ref="L74:M74"/>
    <mergeCell ref="L75:M75"/>
    <mergeCell ref="L76:M76"/>
    <mergeCell ref="L77:M77"/>
    <mergeCell ref="L68:M68"/>
    <mergeCell ref="L69:M69"/>
    <mergeCell ref="L70:M70"/>
    <mergeCell ref="E93:V93"/>
    <mergeCell ref="D85:V85"/>
    <mergeCell ref="E86:V86"/>
    <mergeCell ref="E87:V87"/>
    <mergeCell ref="E88:V88"/>
    <mergeCell ref="P79:V79"/>
    <mergeCell ref="P80:V80"/>
    <mergeCell ref="P81:V81"/>
    <mergeCell ref="P82:V82"/>
    <mergeCell ref="P83:V83"/>
    <mergeCell ref="P74:V74"/>
    <mergeCell ref="P75:V75"/>
    <mergeCell ref="P76:V76"/>
    <mergeCell ref="P77:V77"/>
    <mergeCell ref="P78:V78"/>
    <mergeCell ref="D81:K81"/>
    <mergeCell ref="D82:K82"/>
    <mergeCell ref="D83:K83"/>
    <mergeCell ref="D80:K80"/>
    <mergeCell ref="D77:K77"/>
    <mergeCell ref="D78:K78"/>
    <mergeCell ref="D79:K79"/>
    <mergeCell ref="N83:O83"/>
    <mergeCell ref="N74:O74"/>
    <mergeCell ref="N75:O75"/>
    <mergeCell ref="D75:K75"/>
    <mergeCell ref="D76:K76"/>
    <mergeCell ref="L81:M81"/>
    <mergeCell ref="L82:M82"/>
    <mergeCell ref="E89:V89"/>
    <mergeCell ref="L83:M83"/>
    <mergeCell ref="L80:M80"/>
    <mergeCell ref="D102:K102"/>
    <mergeCell ref="L102:M102"/>
    <mergeCell ref="N102:O102"/>
    <mergeCell ref="P102:V102"/>
    <mergeCell ref="D103:K103"/>
    <mergeCell ref="L103:M103"/>
    <mergeCell ref="N103:O103"/>
    <mergeCell ref="P103:V103"/>
    <mergeCell ref="D100:K100"/>
    <mergeCell ref="L100:M100"/>
    <mergeCell ref="N100:O100"/>
    <mergeCell ref="P100:V100"/>
    <mergeCell ref="D101:K101"/>
    <mergeCell ref="L101:M101"/>
    <mergeCell ref="N101:O101"/>
    <mergeCell ref="P101:V101"/>
    <mergeCell ref="E94:V94"/>
    <mergeCell ref="E95:V95"/>
    <mergeCell ref="D99:K99"/>
    <mergeCell ref="L99:M99"/>
    <mergeCell ref="N99:O99"/>
    <mergeCell ref="P99:V99"/>
    <mergeCell ref="D97:P97"/>
    <mergeCell ref="Q97:V97"/>
    <mergeCell ref="D108:K108"/>
    <mergeCell ref="L108:M108"/>
    <mergeCell ref="N108:O108"/>
    <mergeCell ref="P108:V108"/>
    <mergeCell ref="D109:K109"/>
    <mergeCell ref="L109:M109"/>
    <mergeCell ref="N109:O109"/>
    <mergeCell ref="P109:V109"/>
    <mergeCell ref="D106:K106"/>
    <mergeCell ref="L106:M106"/>
    <mergeCell ref="N106:O106"/>
    <mergeCell ref="P106:V106"/>
    <mergeCell ref="D107:K107"/>
    <mergeCell ref="L107:M107"/>
    <mergeCell ref="N107:O107"/>
    <mergeCell ref="P107:V107"/>
    <mergeCell ref="D104:K104"/>
    <mergeCell ref="L104:M104"/>
    <mergeCell ref="N104:O104"/>
    <mergeCell ref="P104:V104"/>
    <mergeCell ref="D105:K105"/>
    <mergeCell ref="L105:M105"/>
    <mergeCell ref="N105:O105"/>
    <mergeCell ref="P105:V105"/>
    <mergeCell ref="D114:K114"/>
    <mergeCell ref="L114:M114"/>
    <mergeCell ref="N114:O114"/>
    <mergeCell ref="P114:V114"/>
    <mergeCell ref="D115:K115"/>
    <mergeCell ref="L115:M115"/>
    <mergeCell ref="N115:O115"/>
    <mergeCell ref="P115:V115"/>
    <mergeCell ref="D112:K112"/>
    <mergeCell ref="L112:M112"/>
    <mergeCell ref="N112:O112"/>
    <mergeCell ref="P112:V112"/>
    <mergeCell ref="D113:K113"/>
    <mergeCell ref="L113:M113"/>
    <mergeCell ref="N113:O113"/>
    <mergeCell ref="P113:V113"/>
    <mergeCell ref="D110:K110"/>
    <mergeCell ref="L110:M110"/>
    <mergeCell ref="N110:O110"/>
    <mergeCell ref="P110:V110"/>
    <mergeCell ref="D111:K111"/>
    <mergeCell ref="L111:M111"/>
    <mergeCell ref="N111:O111"/>
    <mergeCell ref="P111:V111"/>
    <mergeCell ref="D120:K120"/>
    <mergeCell ref="L120:M120"/>
    <mergeCell ref="N120:O120"/>
    <mergeCell ref="P120:V120"/>
    <mergeCell ref="D121:K121"/>
    <mergeCell ref="L121:M121"/>
    <mergeCell ref="N121:O121"/>
    <mergeCell ref="P121:V121"/>
    <mergeCell ref="D118:K118"/>
    <mergeCell ref="L118:M118"/>
    <mergeCell ref="N118:O118"/>
    <mergeCell ref="P118:V118"/>
    <mergeCell ref="D119:K119"/>
    <mergeCell ref="L119:M119"/>
    <mergeCell ref="N119:O119"/>
    <mergeCell ref="P119:V119"/>
    <mergeCell ref="D116:K116"/>
    <mergeCell ref="L116:M116"/>
    <mergeCell ref="N116:O116"/>
    <mergeCell ref="P116:V116"/>
    <mergeCell ref="D117:K117"/>
    <mergeCell ref="L117:M117"/>
    <mergeCell ref="N117:O117"/>
    <mergeCell ref="P117:V117"/>
    <mergeCell ref="D126:K126"/>
    <mergeCell ref="L126:M126"/>
    <mergeCell ref="N126:O126"/>
    <mergeCell ref="P126:V126"/>
    <mergeCell ref="D127:K127"/>
    <mergeCell ref="L127:M127"/>
    <mergeCell ref="N127:O127"/>
    <mergeCell ref="P127:V127"/>
    <mergeCell ref="D124:K124"/>
    <mergeCell ref="L124:M124"/>
    <mergeCell ref="N124:O124"/>
    <mergeCell ref="P124:V124"/>
    <mergeCell ref="D125:K125"/>
    <mergeCell ref="L125:M125"/>
    <mergeCell ref="N125:O125"/>
    <mergeCell ref="P125:V125"/>
    <mergeCell ref="D122:K122"/>
    <mergeCell ref="L122:M122"/>
    <mergeCell ref="N122:O122"/>
    <mergeCell ref="P122:V122"/>
    <mergeCell ref="D123:K123"/>
    <mergeCell ref="L123:M123"/>
    <mergeCell ref="N123:O123"/>
    <mergeCell ref="P123:V123"/>
    <mergeCell ref="D132:K132"/>
    <mergeCell ref="L132:M132"/>
    <mergeCell ref="N132:O132"/>
    <mergeCell ref="P132:V132"/>
    <mergeCell ref="D133:K133"/>
    <mergeCell ref="L133:M133"/>
    <mergeCell ref="N133:O133"/>
    <mergeCell ref="P133:V133"/>
    <mergeCell ref="D130:K130"/>
    <mergeCell ref="L130:M130"/>
    <mergeCell ref="N130:O130"/>
    <mergeCell ref="P130:V130"/>
    <mergeCell ref="D131:K131"/>
    <mergeCell ref="L131:M131"/>
    <mergeCell ref="N131:O131"/>
    <mergeCell ref="P131:V131"/>
    <mergeCell ref="D128:K128"/>
    <mergeCell ref="L128:M128"/>
    <mergeCell ref="N128:O128"/>
    <mergeCell ref="P128:V128"/>
    <mergeCell ref="D129:K129"/>
    <mergeCell ref="L129:M129"/>
    <mergeCell ref="N129:O129"/>
    <mergeCell ref="P129:V129"/>
    <mergeCell ref="D138:K138"/>
    <mergeCell ref="L138:M138"/>
    <mergeCell ref="N138:O138"/>
    <mergeCell ref="P138:V138"/>
    <mergeCell ref="D139:K139"/>
    <mergeCell ref="L139:M139"/>
    <mergeCell ref="N139:O139"/>
    <mergeCell ref="P139:V139"/>
    <mergeCell ref="D136:K136"/>
    <mergeCell ref="L136:M136"/>
    <mergeCell ref="N136:O136"/>
    <mergeCell ref="P136:V136"/>
    <mergeCell ref="D137:K137"/>
    <mergeCell ref="L137:M137"/>
    <mergeCell ref="N137:O137"/>
    <mergeCell ref="P137:V137"/>
    <mergeCell ref="D134:K134"/>
    <mergeCell ref="L134:M134"/>
    <mergeCell ref="N134:O134"/>
    <mergeCell ref="P134:V134"/>
    <mergeCell ref="D135:K135"/>
    <mergeCell ref="L135:M135"/>
    <mergeCell ref="N135:O135"/>
    <mergeCell ref="P135:V135"/>
    <mergeCell ref="E151:V151"/>
    <mergeCell ref="D153:P153"/>
    <mergeCell ref="Q153:V153"/>
    <mergeCell ref="D155:K155"/>
    <mergeCell ref="L155:M155"/>
    <mergeCell ref="N155:O155"/>
    <mergeCell ref="P155:V155"/>
    <mergeCell ref="E146:V146"/>
    <mergeCell ref="E147:V147"/>
    <mergeCell ref="E148:V148"/>
    <mergeCell ref="E149:V149"/>
    <mergeCell ref="E150:V150"/>
    <mergeCell ref="D141:V141"/>
    <mergeCell ref="E142:V142"/>
    <mergeCell ref="E143:V143"/>
    <mergeCell ref="E144:V144"/>
    <mergeCell ref="E145:V145"/>
    <mergeCell ref="D160:K160"/>
    <mergeCell ref="L160:M160"/>
    <mergeCell ref="N160:O160"/>
    <mergeCell ref="P160:V160"/>
    <mergeCell ref="D161:K161"/>
    <mergeCell ref="L161:M161"/>
    <mergeCell ref="N161:O161"/>
    <mergeCell ref="P161:V161"/>
    <mergeCell ref="D158:K158"/>
    <mergeCell ref="L158:M158"/>
    <mergeCell ref="N158:O158"/>
    <mergeCell ref="P158:V158"/>
    <mergeCell ref="D159:K159"/>
    <mergeCell ref="L159:M159"/>
    <mergeCell ref="N159:O159"/>
    <mergeCell ref="P159:V159"/>
    <mergeCell ref="D156:K156"/>
    <mergeCell ref="L156:M156"/>
    <mergeCell ref="N156:O156"/>
    <mergeCell ref="P156:V156"/>
    <mergeCell ref="D157:K157"/>
    <mergeCell ref="L157:M157"/>
    <mergeCell ref="N157:O157"/>
    <mergeCell ref="P157:V157"/>
    <mergeCell ref="D166:K166"/>
    <mergeCell ref="L166:M166"/>
    <mergeCell ref="N166:O166"/>
    <mergeCell ref="P166:V166"/>
    <mergeCell ref="D167:K167"/>
    <mergeCell ref="L167:M167"/>
    <mergeCell ref="N167:O167"/>
    <mergeCell ref="P167:V167"/>
    <mergeCell ref="D164:K164"/>
    <mergeCell ref="L164:M164"/>
    <mergeCell ref="N164:O164"/>
    <mergeCell ref="P164:V164"/>
    <mergeCell ref="D165:K165"/>
    <mergeCell ref="L165:M165"/>
    <mergeCell ref="N165:O165"/>
    <mergeCell ref="P165:V165"/>
    <mergeCell ref="D162:K162"/>
    <mergeCell ref="L162:M162"/>
    <mergeCell ref="N162:O162"/>
    <mergeCell ref="P162:V162"/>
    <mergeCell ref="D163:K163"/>
    <mergeCell ref="L163:M163"/>
    <mergeCell ref="N163:O163"/>
    <mergeCell ref="P163:V163"/>
    <mergeCell ref="D172:K172"/>
    <mergeCell ref="L172:M172"/>
    <mergeCell ref="N172:O172"/>
    <mergeCell ref="P172:V172"/>
    <mergeCell ref="D173:K173"/>
    <mergeCell ref="L173:M173"/>
    <mergeCell ref="N173:O173"/>
    <mergeCell ref="P173:V173"/>
    <mergeCell ref="D170:K170"/>
    <mergeCell ref="L170:M170"/>
    <mergeCell ref="N170:O170"/>
    <mergeCell ref="P170:V170"/>
    <mergeCell ref="D171:K171"/>
    <mergeCell ref="L171:M171"/>
    <mergeCell ref="N171:O171"/>
    <mergeCell ref="P171:V171"/>
    <mergeCell ref="D168:K168"/>
    <mergeCell ref="L168:M168"/>
    <mergeCell ref="N168:O168"/>
    <mergeCell ref="P168:V168"/>
    <mergeCell ref="D169:K169"/>
    <mergeCell ref="L169:M169"/>
    <mergeCell ref="N169:O169"/>
    <mergeCell ref="P169:V169"/>
    <mergeCell ref="D178:K178"/>
    <mergeCell ref="L178:M178"/>
    <mergeCell ref="N178:O178"/>
    <mergeCell ref="P178:V178"/>
    <mergeCell ref="D179:K179"/>
    <mergeCell ref="L179:M179"/>
    <mergeCell ref="N179:O179"/>
    <mergeCell ref="P179:V179"/>
    <mergeCell ref="D176:K176"/>
    <mergeCell ref="L176:M176"/>
    <mergeCell ref="N176:O176"/>
    <mergeCell ref="P176:V176"/>
    <mergeCell ref="D177:K177"/>
    <mergeCell ref="L177:M177"/>
    <mergeCell ref="N177:O177"/>
    <mergeCell ref="P177:V177"/>
    <mergeCell ref="D174:K174"/>
    <mergeCell ref="L174:M174"/>
    <mergeCell ref="N174:O174"/>
    <mergeCell ref="P174:V174"/>
    <mergeCell ref="D175:K175"/>
    <mergeCell ref="L175:M175"/>
    <mergeCell ref="N175:O175"/>
    <mergeCell ref="P175:V175"/>
    <mergeCell ref="D184:K184"/>
    <mergeCell ref="L184:M184"/>
    <mergeCell ref="N184:O184"/>
    <mergeCell ref="P184:V184"/>
    <mergeCell ref="D185:K185"/>
    <mergeCell ref="L185:M185"/>
    <mergeCell ref="N185:O185"/>
    <mergeCell ref="P185:V185"/>
    <mergeCell ref="D182:K182"/>
    <mergeCell ref="L182:M182"/>
    <mergeCell ref="N182:O182"/>
    <mergeCell ref="P182:V182"/>
    <mergeCell ref="D183:K183"/>
    <mergeCell ref="L183:M183"/>
    <mergeCell ref="N183:O183"/>
    <mergeCell ref="P183:V183"/>
    <mergeCell ref="D180:K180"/>
    <mergeCell ref="L180:M180"/>
    <mergeCell ref="N180:O180"/>
    <mergeCell ref="P180:V180"/>
    <mergeCell ref="D181:K181"/>
    <mergeCell ref="L181:M181"/>
    <mergeCell ref="N181:O181"/>
    <mergeCell ref="P181:V181"/>
    <mergeCell ref="D190:K190"/>
    <mergeCell ref="L190:M190"/>
    <mergeCell ref="N190:O190"/>
    <mergeCell ref="P190:V190"/>
    <mergeCell ref="D191:K191"/>
    <mergeCell ref="L191:M191"/>
    <mergeCell ref="N191:O191"/>
    <mergeCell ref="P191:V191"/>
    <mergeCell ref="D188:K188"/>
    <mergeCell ref="L188:M188"/>
    <mergeCell ref="N188:O188"/>
    <mergeCell ref="P188:V188"/>
    <mergeCell ref="D189:K189"/>
    <mergeCell ref="L189:M189"/>
    <mergeCell ref="N189:O189"/>
    <mergeCell ref="P189:V189"/>
    <mergeCell ref="D186:K186"/>
    <mergeCell ref="L186:M186"/>
    <mergeCell ref="N186:O186"/>
    <mergeCell ref="P186:V186"/>
    <mergeCell ref="D187:K187"/>
    <mergeCell ref="L187:M187"/>
    <mergeCell ref="N187:O187"/>
    <mergeCell ref="P187:V187"/>
    <mergeCell ref="D197:V197"/>
    <mergeCell ref="D194:K194"/>
    <mergeCell ref="L194:M194"/>
    <mergeCell ref="N194:O194"/>
    <mergeCell ref="P194:V194"/>
    <mergeCell ref="D195:K195"/>
    <mergeCell ref="L195:M195"/>
    <mergeCell ref="N195:O195"/>
    <mergeCell ref="P195:V195"/>
    <mergeCell ref="D192:K192"/>
    <mergeCell ref="L192:M192"/>
    <mergeCell ref="N192:O192"/>
    <mergeCell ref="P192:V192"/>
    <mergeCell ref="D193:K193"/>
    <mergeCell ref="L193:M193"/>
    <mergeCell ref="N193:O193"/>
    <mergeCell ref="P193:V193"/>
    <mergeCell ref="P211:V211"/>
    <mergeCell ref="D212:K212"/>
    <mergeCell ref="L212:M212"/>
    <mergeCell ref="N212:O212"/>
    <mergeCell ref="P212:V212"/>
    <mergeCell ref="D1388:V1389"/>
    <mergeCell ref="E198:V198"/>
    <mergeCell ref="E199:V199"/>
    <mergeCell ref="E200:V200"/>
    <mergeCell ref="E201:V201"/>
    <mergeCell ref="E202:V202"/>
    <mergeCell ref="E203:V203"/>
    <mergeCell ref="E204:V204"/>
    <mergeCell ref="E205:V205"/>
    <mergeCell ref="E206:V206"/>
    <mergeCell ref="E207:V207"/>
    <mergeCell ref="D209:P209"/>
    <mergeCell ref="Q209:V209"/>
    <mergeCell ref="D211:K211"/>
    <mergeCell ref="L211:M211"/>
    <mergeCell ref="N211:O211"/>
    <mergeCell ref="D217:K217"/>
    <mergeCell ref="L217:M217"/>
    <mergeCell ref="N217:O217"/>
    <mergeCell ref="P217:V217"/>
    <mergeCell ref="D218:K218"/>
    <mergeCell ref="L218:M218"/>
    <mergeCell ref="N218:O218"/>
    <mergeCell ref="P218:V218"/>
    <mergeCell ref="D215:K215"/>
    <mergeCell ref="L215:M215"/>
    <mergeCell ref="N215:O215"/>
    <mergeCell ref="P215:V215"/>
    <mergeCell ref="D216:K216"/>
    <mergeCell ref="L216:M216"/>
    <mergeCell ref="N216:O216"/>
    <mergeCell ref="P216:V216"/>
    <mergeCell ref="D213:K213"/>
    <mergeCell ref="L213:M213"/>
    <mergeCell ref="N213:O213"/>
    <mergeCell ref="P213:V213"/>
    <mergeCell ref="D214:K214"/>
    <mergeCell ref="L214:M214"/>
    <mergeCell ref="N214:O214"/>
    <mergeCell ref="P214:V214"/>
    <mergeCell ref="D223:K223"/>
    <mergeCell ref="L223:M223"/>
    <mergeCell ref="N223:O223"/>
    <mergeCell ref="P223:V223"/>
    <mergeCell ref="D224:K224"/>
    <mergeCell ref="L224:M224"/>
    <mergeCell ref="N224:O224"/>
    <mergeCell ref="P224:V224"/>
    <mergeCell ref="D221:K221"/>
    <mergeCell ref="L221:M221"/>
    <mergeCell ref="N221:O221"/>
    <mergeCell ref="P221:V221"/>
    <mergeCell ref="D222:K222"/>
    <mergeCell ref="L222:M222"/>
    <mergeCell ref="N222:O222"/>
    <mergeCell ref="P222:V222"/>
    <mergeCell ref="D219:K219"/>
    <mergeCell ref="L219:M219"/>
    <mergeCell ref="N219:O219"/>
    <mergeCell ref="P219:V219"/>
    <mergeCell ref="D220:K220"/>
    <mergeCell ref="L220:M220"/>
    <mergeCell ref="N220:O220"/>
    <mergeCell ref="P220:V220"/>
    <mergeCell ref="D229:K229"/>
    <mergeCell ref="L229:M229"/>
    <mergeCell ref="N229:O229"/>
    <mergeCell ref="P229:V229"/>
    <mergeCell ref="D230:K230"/>
    <mergeCell ref="L230:M230"/>
    <mergeCell ref="N230:O230"/>
    <mergeCell ref="P230:V230"/>
    <mergeCell ref="D227:K227"/>
    <mergeCell ref="L227:M227"/>
    <mergeCell ref="N227:O227"/>
    <mergeCell ref="P227:V227"/>
    <mergeCell ref="D228:K228"/>
    <mergeCell ref="L228:M228"/>
    <mergeCell ref="N228:O228"/>
    <mergeCell ref="P228:V228"/>
    <mergeCell ref="D225:K225"/>
    <mergeCell ref="L225:M225"/>
    <mergeCell ref="N225:O225"/>
    <mergeCell ref="P225:V225"/>
    <mergeCell ref="D226:K226"/>
    <mergeCell ref="L226:M226"/>
    <mergeCell ref="N226:O226"/>
    <mergeCell ref="P226:V226"/>
    <mergeCell ref="D235:K235"/>
    <mergeCell ref="L235:M235"/>
    <mergeCell ref="N235:O235"/>
    <mergeCell ref="P235:V235"/>
    <mergeCell ref="D236:K236"/>
    <mergeCell ref="L236:M236"/>
    <mergeCell ref="N236:O236"/>
    <mergeCell ref="P236:V236"/>
    <mergeCell ref="D233:K233"/>
    <mergeCell ref="L233:M233"/>
    <mergeCell ref="N233:O233"/>
    <mergeCell ref="P233:V233"/>
    <mergeCell ref="D234:K234"/>
    <mergeCell ref="L234:M234"/>
    <mergeCell ref="N234:O234"/>
    <mergeCell ref="P234:V234"/>
    <mergeCell ref="D231:K231"/>
    <mergeCell ref="L231:M231"/>
    <mergeCell ref="N231:O231"/>
    <mergeCell ref="P231:V231"/>
    <mergeCell ref="D232:K232"/>
    <mergeCell ref="L232:M232"/>
    <mergeCell ref="N232:O232"/>
    <mergeCell ref="P232:V232"/>
    <mergeCell ref="D241:K241"/>
    <mergeCell ref="L241:M241"/>
    <mergeCell ref="N241:O241"/>
    <mergeCell ref="P241:V241"/>
    <mergeCell ref="D242:K242"/>
    <mergeCell ref="L242:M242"/>
    <mergeCell ref="N242:O242"/>
    <mergeCell ref="P242:V242"/>
    <mergeCell ref="D239:K239"/>
    <mergeCell ref="L239:M239"/>
    <mergeCell ref="N239:O239"/>
    <mergeCell ref="P239:V239"/>
    <mergeCell ref="D240:K240"/>
    <mergeCell ref="L240:M240"/>
    <mergeCell ref="N240:O240"/>
    <mergeCell ref="P240:V240"/>
    <mergeCell ref="D237:K237"/>
    <mergeCell ref="L237:M237"/>
    <mergeCell ref="N237:O237"/>
    <mergeCell ref="P237:V237"/>
    <mergeCell ref="D238:K238"/>
    <mergeCell ref="L238:M238"/>
    <mergeCell ref="N238:O238"/>
    <mergeCell ref="P238:V238"/>
    <mergeCell ref="D247:K247"/>
    <mergeCell ref="L247:M247"/>
    <mergeCell ref="N247:O247"/>
    <mergeCell ref="P247:V247"/>
    <mergeCell ref="D248:K248"/>
    <mergeCell ref="L248:M248"/>
    <mergeCell ref="N248:O248"/>
    <mergeCell ref="P248:V248"/>
    <mergeCell ref="D245:K245"/>
    <mergeCell ref="L245:M245"/>
    <mergeCell ref="N245:O245"/>
    <mergeCell ref="P245:V245"/>
    <mergeCell ref="D246:K246"/>
    <mergeCell ref="L246:M246"/>
    <mergeCell ref="N246:O246"/>
    <mergeCell ref="P246:V246"/>
    <mergeCell ref="D243:K243"/>
    <mergeCell ref="L243:M243"/>
    <mergeCell ref="N243:O243"/>
    <mergeCell ref="P243:V243"/>
    <mergeCell ref="D244:K244"/>
    <mergeCell ref="L244:M244"/>
    <mergeCell ref="N244:O244"/>
    <mergeCell ref="P244:V244"/>
    <mergeCell ref="E254:V254"/>
    <mergeCell ref="E255:V255"/>
    <mergeCell ref="E256:V256"/>
    <mergeCell ref="E257:V257"/>
    <mergeCell ref="E258:V258"/>
    <mergeCell ref="D251:K251"/>
    <mergeCell ref="L251:M251"/>
    <mergeCell ref="N251:O251"/>
    <mergeCell ref="P251:V251"/>
    <mergeCell ref="D253:V253"/>
    <mergeCell ref="D249:K249"/>
    <mergeCell ref="L249:M249"/>
    <mergeCell ref="N249:O249"/>
    <mergeCell ref="P249:V249"/>
    <mergeCell ref="D250:K250"/>
    <mergeCell ref="L250:M250"/>
    <mergeCell ref="N250:O250"/>
    <mergeCell ref="P250:V250"/>
    <mergeCell ref="D272:K272"/>
    <mergeCell ref="L272:M272"/>
    <mergeCell ref="N272:O272"/>
    <mergeCell ref="P272:V272"/>
    <mergeCell ref="D273:K273"/>
    <mergeCell ref="L273:M273"/>
    <mergeCell ref="N273:O273"/>
    <mergeCell ref="P273:V273"/>
    <mergeCell ref="P270:V270"/>
    <mergeCell ref="D271:K271"/>
    <mergeCell ref="L271:M271"/>
    <mergeCell ref="N271:O271"/>
    <mergeCell ref="P271:V271"/>
    <mergeCell ref="D265:P265"/>
    <mergeCell ref="Q265:V265"/>
    <mergeCell ref="E259:V259"/>
    <mergeCell ref="E260:V260"/>
    <mergeCell ref="E261:V261"/>
    <mergeCell ref="E262:V262"/>
    <mergeCell ref="E263:V263"/>
    <mergeCell ref="D278:K278"/>
    <mergeCell ref="L278:M278"/>
    <mergeCell ref="N278:O278"/>
    <mergeCell ref="P278:V278"/>
    <mergeCell ref="D279:K279"/>
    <mergeCell ref="L279:M279"/>
    <mergeCell ref="N279:O279"/>
    <mergeCell ref="P279:V279"/>
    <mergeCell ref="D276:K276"/>
    <mergeCell ref="L276:M276"/>
    <mergeCell ref="N276:O276"/>
    <mergeCell ref="P276:V276"/>
    <mergeCell ref="D277:K277"/>
    <mergeCell ref="L277:M277"/>
    <mergeCell ref="N277:O277"/>
    <mergeCell ref="P277:V277"/>
    <mergeCell ref="D274:K274"/>
    <mergeCell ref="L274:M274"/>
    <mergeCell ref="N274:O274"/>
    <mergeCell ref="P274:V274"/>
    <mergeCell ref="D275:K275"/>
    <mergeCell ref="L275:M275"/>
    <mergeCell ref="N275:O275"/>
    <mergeCell ref="P275:V275"/>
    <mergeCell ref="D284:K284"/>
    <mergeCell ref="L284:M284"/>
    <mergeCell ref="N284:O284"/>
    <mergeCell ref="P284:V284"/>
    <mergeCell ref="D285:K285"/>
    <mergeCell ref="L285:M285"/>
    <mergeCell ref="N285:O285"/>
    <mergeCell ref="P285:V285"/>
    <mergeCell ref="D282:K282"/>
    <mergeCell ref="L282:M282"/>
    <mergeCell ref="N282:O282"/>
    <mergeCell ref="P282:V282"/>
    <mergeCell ref="D283:K283"/>
    <mergeCell ref="L283:M283"/>
    <mergeCell ref="N283:O283"/>
    <mergeCell ref="P283:V283"/>
    <mergeCell ref="D280:K280"/>
    <mergeCell ref="L280:M280"/>
    <mergeCell ref="N280:O280"/>
    <mergeCell ref="P280:V280"/>
    <mergeCell ref="D281:K281"/>
    <mergeCell ref="L281:M281"/>
    <mergeCell ref="N281:O281"/>
    <mergeCell ref="P281:V281"/>
    <mergeCell ref="D290:K290"/>
    <mergeCell ref="L290:M290"/>
    <mergeCell ref="N290:O290"/>
    <mergeCell ref="P290:V290"/>
    <mergeCell ref="D291:K291"/>
    <mergeCell ref="L291:M291"/>
    <mergeCell ref="N291:O291"/>
    <mergeCell ref="P291:V291"/>
    <mergeCell ref="D288:K288"/>
    <mergeCell ref="L288:M288"/>
    <mergeCell ref="N288:O288"/>
    <mergeCell ref="P288:V288"/>
    <mergeCell ref="D289:K289"/>
    <mergeCell ref="L289:M289"/>
    <mergeCell ref="N289:O289"/>
    <mergeCell ref="P289:V289"/>
    <mergeCell ref="D286:K286"/>
    <mergeCell ref="L286:M286"/>
    <mergeCell ref="N286:O286"/>
    <mergeCell ref="P286:V286"/>
    <mergeCell ref="D287:K287"/>
    <mergeCell ref="L287:M287"/>
    <mergeCell ref="N287:O287"/>
    <mergeCell ref="P287:V287"/>
    <mergeCell ref="D296:K296"/>
    <mergeCell ref="L296:M296"/>
    <mergeCell ref="N296:O296"/>
    <mergeCell ref="P296:V296"/>
    <mergeCell ref="D297:K297"/>
    <mergeCell ref="L297:M297"/>
    <mergeCell ref="N297:O297"/>
    <mergeCell ref="P297:V297"/>
    <mergeCell ref="D294:K294"/>
    <mergeCell ref="L294:M294"/>
    <mergeCell ref="N294:O294"/>
    <mergeCell ref="P294:V294"/>
    <mergeCell ref="D295:K295"/>
    <mergeCell ref="L295:M295"/>
    <mergeCell ref="N295:O295"/>
    <mergeCell ref="P295:V295"/>
    <mergeCell ref="D292:K292"/>
    <mergeCell ref="L292:M292"/>
    <mergeCell ref="N292:O292"/>
    <mergeCell ref="P292:V292"/>
    <mergeCell ref="D293:K293"/>
    <mergeCell ref="L293:M293"/>
    <mergeCell ref="N293:O293"/>
    <mergeCell ref="P293:V293"/>
    <mergeCell ref="D302:K302"/>
    <mergeCell ref="L302:M302"/>
    <mergeCell ref="N302:O302"/>
    <mergeCell ref="P302:V302"/>
    <mergeCell ref="D303:K303"/>
    <mergeCell ref="L303:M303"/>
    <mergeCell ref="N303:O303"/>
    <mergeCell ref="P303:V303"/>
    <mergeCell ref="D300:K300"/>
    <mergeCell ref="L300:M300"/>
    <mergeCell ref="N300:O300"/>
    <mergeCell ref="P300:V300"/>
    <mergeCell ref="D301:K301"/>
    <mergeCell ref="L301:M301"/>
    <mergeCell ref="N301:O301"/>
    <mergeCell ref="P301:V301"/>
    <mergeCell ref="D298:K298"/>
    <mergeCell ref="L298:M298"/>
    <mergeCell ref="N298:O298"/>
    <mergeCell ref="P298:V298"/>
    <mergeCell ref="D299:K299"/>
    <mergeCell ref="L299:M299"/>
    <mergeCell ref="N299:O299"/>
    <mergeCell ref="P299:V299"/>
    <mergeCell ref="E316:V316"/>
    <mergeCell ref="E317:V317"/>
    <mergeCell ref="E318:V318"/>
    <mergeCell ref="D309:V309"/>
    <mergeCell ref="E310:V310"/>
    <mergeCell ref="E311:V311"/>
    <mergeCell ref="E312:V312"/>
    <mergeCell ref="E313:V313"/>
    <mergeCell ref="D306:K306"/>
    <mergeCell ref="L306:M306"/>
    <mergeCell ref="N306:O306"/>
    <mergeCell ref="P306:V306"/>
    <mergeCell ref="D307:K307"/>
    <mergeCell ref="L307:M307"/>
    <mergeCell ref="N307:O307"/>
    <mergeCell ref="P307:V307"/>
    <mergeCell ref="D304:K304"/>
    <mergeCell ref="L304:M304"/>
    <mergeCell ref="N304:O304"/>
    <mergeCell ref="P304:V304"/>
    <mergeCell ref="D305:K305"/>
    <mergeCell ref="L305:M305"/>
    <mergeCell ref="N305:O305"/>
    <mergeCell ref="P305:V305"/>
    <mergeCell ref="D324:K324"/>
    <mergeCell ref="L324:M324"/>
    <mergeCell ref="N324:O324"/>
    <mergeCell ref="P324:V324"/>
    <mergeCell ref="D325:K325"/>
    <mergeCell ref="L325:M325"/>
    <mergeCell ref="N325:O325"/>
    <mergeCell ref="P325:V325"/>
    <mergeCell ref="E319:V319"/>
    <mergeCell ref="D321:P321"/>
    <mergeCell ref="Q321:V321"/>
    <mergeCell ref="D323:K323"/>
    <mergeCell ref="L323:M323"/>
    <mergeCell ref="N323:O323"/>
    <mergeCell ref="P323:V323"/>
    <mergeCell ref="D267:K267"/>
    <mergeCell ref="L267:M267"/>
    <mergeCell ref="N267:O267"/>
    <mergeCell ref="P267:V267"/>
    <mergeCell ref="D268:K268"/>
    <mergeCell ref="L268:M268"/>
    <mergeCell ref="N268:O268"/>
    <mergeCell ref="P268:V268"/>
    <mergeCell ref="D269:K269"/>
    <mergeCell ref="L269:M269"/>
    <mergeCell ref="N269:O269"/>
    <mergeCell ref="P269:V269"/>
    <mergeCell ref="D270:K270"/>
    <mergeCell ref="L270:M270"/>
    <mergeCell ref="N270:O270"/>
    <mergeCell ref="E314:V314"/>
    <mergeCell ref="E315:V315"/>
    <mergeCell ref="D330:K330"/>
    <mergeCell ref="L330:M330"/>
    <mergeCell ref="N330:O330"/>
    <mergeCell ref="P330:V330"/>
    <mergeCell ref="D331:K331"/>
    <mergeCell ref="L331:M331"/>
    <mergeCell ref="N331:O331"/>
    <mergeCell ref="P331:V331"/>
    <mergeCell ref="D328:K328"/>
    <mergeCell ref="L328:M328"/>
    <mergeCell ref="N328:O328"/>
    <mergeCell ref="P328:V328"/>
    <mergeCell ref="D329:K329"/>
    <mergeCell ref="L329:M329"/>
    <mergeCell ref="N329:O329"/>
    <mergeCell ref="P329:V329"/>
    <mergeCell ref="D326:K326"/>
    <mergeCell ref="L326:M326"/>
    <mergeCell ref="N326:O326"/>
    <mergeCell ref="P326:V326"/>
    <mergeCell ref="D327:K327"/>
    <mergeCell ref="L327:M327"/>
    <mergeCell ref="N327:O327"/>
    <mergeCell ref="P327:V327"/>
    <mergeCell ref="D336:K336"/>
    <mergeCell ref="L336:M336"/>
    <mergeCell ref="N336:O336"/>
    <mergeCell ref="P336:V336"/>
    <mergeCell ref="D337:K337"/>
    <mergeCell ref="L337:M337"/>
    <mergeCell ref="N337:O337"/>
    <mergeCell ref="P337:V337"/>
    <mergeCell ref="D334:K334"/>
    <mergeCell ref="L334:M334"/>
    <mergeCell ref="N334:O334"/>
    <mergeCell ref="P334:V334"/>
    <mergeCell ref="D335:K335"/>
    <mergeCell ref="L335:M335"/>
    <mergeCell ref="N335:O335"/>
    <mergeCell ref="P335:V335"/>
    <mergeCell ref="D332:K332"/>
    <mergeCell ref="L332:M332"/>
    <mergeCell ref="N332:O332"/>
    <mergeCell ref="P332:V332"/>
    <mergeCell ref="D333:K333"/>
    <mergeCell ref="L333:M333"/>
    <mergeCell ref="N333:O333"/>
    <mergeCell ref="P333:V333"/>
    <mergeCell ref="D342:K342"/>
    <mergeCell ref="L342:M342"/>
    <mergeCell ref="N342:O342"/>
    <mergeCell ref="P342:V342"/>
    <mergeCell ref="D343:K343"/>
    <mergeCell ref="L343:M343"/>
    <mergeCell ref="N343:O343"/>
    <mergeCell ref="P343:V343"/>
    <mergeCell ref="D340:K340"/>
    <mergeCell ref="L340:M340"/>
    <mergeCell ref="N340:O340"/>
    <mergeCell ref="P340:V340"/>
    <mergeCell ref="D341:K341"/>
    <mergeCell ref="L341:M341"/>
    <mergeCell ref="N341:O341"/>
    <mergeCell ref="P341:V341"/>
    <mergeCell ref="D338:K338"/>
    <mergeCell ref="L338:M338"/>
    <mergeCell ref="N338:O338"/>
    <mergeCell ref="P338:V338"/>
    <mergeCell ref="D339:K339"/>
    <mergeCell ref="L339:M339"/>
    <mergeCell ref="N339:O339"/>
    <mergeCell ref="P339:V339"/>
    <mergeCell ref="D348:K348"/>
    <mergeCell ref="L348:M348"/>
    <mergeCell ref="N348:O348"/>
    <mergeCell ref="P348:V348"/>
    <mergeCell ref="D349:K349"/>
    <mergeCell ref="L349:M349"/>
    <mergeCell ref="N349:O349"/>
    <mergeCell ref="P349:V349"/>
    <mergeCell ref="D346:K346"/>
    <mergeCell ref="L346:M346"/>
    <mergeCell ref="N346:O346"/>
    <mergeCell ref="P346:V346"/>
    <mergeCell ref="D347:K347"/>
    <mergeCell ref="L347:M347"/>
    <mergeCell ref="N347:O347"/>
    <mergeCell ref="P347:V347"/>
    <mergeCell ref="D344:K344"/>
    <mergeCell ref="L344:M344"/>
    <mergeCell ref="N344:O344"/>
    <mergeCell ref="P344:V344"/>
    <mergeCell ref="D345:K345"/>
    <mergeCell ref="L345:M345"/>
    <mergeCell ref="N345:O345"/>
    <mergeCell ref="P345:V345"/>
    <mergeCell ref="D354:K354"/>
    <mergeCell ref="L354:M354"/>
    <mergeCell ref="N354:O354"/>
    <mergeCell ref="P354:V354"/>
    <mergeCell ref="D355:K355"/>
    <mergeCell ref="L355:M355"/>
    <mergeCell ref="N355:O355"/>
    <mergeCell ref="P355:V355"/>
    <mergeCell ref="D352:K352"/>
    <mergeCell ref="L352:M352"/>
    <mergeCell ref="N352:O352"/>
    <mergeCell ref="P352:V352"/>
    <mergeCell ref="D353:K353"/>
    <mergeCell ref="L353:M353"/>
    <mergeCell ref="N353:O353"/>
    <mergeCell ref="P353:V353"/>
    <mergeCell ref="D350:K350"/>
    <mergeCell ref="L350:M350"/>
    <mergeCell ref="N350:O350"/>
    <mergeCell ref="P350:V350"/>
    <mergeCell ref="D351:K351"/>
    <mergeCell ref="L351:M351"/>
    <mergeCell ref="N351:O351"/>
    <mergeCell ref="P351:V351"/>
    <mergeCell ref="D360:K360"/>
    <mergeCell ref="L360:M360"/>
    <mergeCell ref="N360:O360"/>
    <mergeCell ref="P360:V360"/>
    <mergeCell ref="D361:K361"/>
    <mergeCell ref="L361:M361"/>
    <mergeCell ref="N361:O361"/>
    <mergeCell ref="P361:V361"/>
    <mergeCell ref="D358:K358"/>
    <mergeCell ref="L358:M358"/>
    <mergeCell ref="N358:O358"/>
    <mergeCell ref="P358:V358"/>
    <mergeCell ref="D359:K359"/>
    <mergeCell ref="L359:M359"/>
    <mergeCell ref="N359:O359"/>
    <mergeCell ref="P359:V359"/>
    <mergeCell ref="D356:K356"/>
    <mergeCell ref="L356:M356"/>
    <mergeCell ref="N356:O356"/>
    <mergeCell ref="P356:V356"/>
    <mergeCell ref="D357:K357"/>
    <mergeCell ref="L357:M357"/>
    <mergeCell ref="N357:O357"/>
    <mergeCell ref="P357:V357"/>
    <mergeCell ref="E370:V370"/>
    <mergeCell ref="E371:V371"/>
    <mergeCell ref="E372:V372"/>
    <mergeCell ref="E373:V373"/>
    <mergeCell ref="E374:V374"/>
    <mergeCell ref="D365:V365"/>
    <mergeCell ref="E366:V366"/>
    <mergeCell ref="E367:V367"/>
    <mergeCell ref="E368:V368"/>
    <mergeCell ref="E369:V369"/>
    <mergeCell ref="D362:K362"/>
    <mergeCell ref="L362:M362"/>
    <mergeCell ref="N362:O362"/>
    <mergeCell ref="P362:V362"/>
    <mergeCell ref="D363:K363"/>
    <mergeCell ref="L363:M363"/>
    <mergeCell ref="N363:O363"/>
    <mergeCell ref="P363:V363"/>
    <mergeCell ref="D382:K382"/>
    <mergeCell ref="L382:M382"/>
    <mergeCell ref="N382:O382"/>
    <mergeCell ref="P382:V382"/>
    <mergeCell ref="D383:K383"/>
    <mergeCell ref="L383:M383"/>
    <mergeCell ref="N383:O383"/>
    <mergeCell ref="P383:V383"/>
    <mergeCell ref="D380:K380"/>
    <mergeCell ref="L380:M380"/>
    <mergeCell ref="N380:O380"/>
    <mergeCell ref="P380:V380"/>
    <mergeCell ref="D381:K381"/>
    <mergeCell ref="L381:M381"/>
    <mergeCell ref="N381:O381"/>
    <mergeCell ref="P381:V381"/>
    <mergeCell ref="E375:V375"/>
    <mergeCell ref="D377:P377"/>
    <mergeCell ref="Q377:V377"/>
    <mergeCell ref="D379:K379"/>
    <mergeCell ref="L379:M379"/>
    <mergeCell ref="N379:O379"/>
    <mergeCell ref="P379:V379"/>
    <mergeCell ref="D388:K388"/>
    <mergeCell ref="L388:M388"/>
    <mergeCell ref="N388:O388"/>
    <mergeCell ref="P388:V388"/>
    <mergeCell ref="D389:K389"/>
    <mergeCell ref="L389:M389"/>
    <mergeCell ref="N389:O389"/>
    <mergeCell ref="P389:V389"/>
    <mergeCell ref="D386:K386"/>
    <mergeCell ref="L386:M386"/>
    <mergeCell ref="N386:O386"/>
    <mergeCell ref="P386:V386"/>
    <mergeCell ref="D387:K387"/>
    <mergeCell ref="L387:M387"/>
    <mergeCell ref="N387:O387"/>
    <mergeCell ref="P387:V387"/>
    <mergeCell ref="D384:K384"/>
    <mergeCell ref="L384:M384"/>
    <mergeCell ref="N384:O384"/>
    <mergeCell ref="P384:V384"/>
    <mergeCell ref="D385:K385"/>
    <mergeCell ref="L385:M385"/>
    <mergeCell ref="N385:O385"/>
    <mergeCell ref="P385:V385"/>
    <mergeCell ref="D394:K394"/>
    <mergeCell ref="L394:M394"/>
    <mergeCell ref="N394:O394"/>
    <mergeCell ref="P394:V394"/>
    <mergeCell ref="D395:K395"/>
    <mergeCell ref="L395:M395"/>
    <mergeCell ref="N395:O395"/>
    <mergeCell ref="P395:V395"/>
    <mergeCell ref="D392:K392"/>
    <mergeCell ref="L392:M392"/>
    <mergeCell ref="N392:O392"/>
    <mergeCell ref="P392:V392"/>
    <mergeCell ref="D393:K393"/>
    <mergeCell ref="L393:M393"/>
    <mergeCell ref="N393:O393"/>
    <mergeCell ref="P393:V393"/>
    <mergeCell ref="D390:K390"/>
    <mergeCell ref="L390:M390"/>
    <mergeCell ref="N390:O390"/>
    <mergeCell ref="P390:V390"/>
    <mergeCell ref="D391:K391"/>
    <mergeCell ref="L391:M391"/>
    <mergeCell ref="N391:O391"/>
    <mergeCell ref="P391:V391"/>
    <mergeCell ref="D400:K400"/>
    <mergeCell ref="L400:M400"/>
    <mergeCell ref="N400:O400"/>
    <mergeCell ref="P400:V400"/>
    <mergeCell ref="D401:K401"/>
    <mergeCell ref="L401:M401"/>
    <mergeCell ref="N401:O401"/>
    <mergeCell ref="P401:V401"/>
    <mergeCell ref="D398:K398"/>
    <mergeCell ref="L398:M398"/>
    <mergeCell ref="N398:O398"/>
    <mergeCell ref="P398:V398"/>
    <mergeCell ref="D399:K399"/>
    <mergeCell ref="L399:M399"/>
    <mergeCell ref="N399:O399"/>
    <mergeCell ref="P399:V399"/>
    <mergeCell ref="D396:K396"/>
    <mergeCell ref="L396:M396"/>
    <mergeCell ref="N396:O396"/>
    <mergeCell ref="P396:V396"/>
    <mergeCell ref="D397:K397"/>
    <mergeCell ref="L397:M397"/>
    <mergeCell ref="N397:O397"/>
    <mergeCell ref="P397:V397"/>
    <mergeCell ref="D406:K406"/>
    <mergeCell ref="L406:M406"/>
    <mergeCell ref="N406:O406"/>
    <mergeCell ref="P406:V406"/>
    <mergeCell ref="D407:K407"/>
    <mergeCell ref="L407:M407"/>
    <mergeCell ref="N407:O407"/>
    <mergeCell ref="P407:V407"/>
    <mergeCell ref="D404:K404"/>
    <mergeCell ref="L404:M404"/>
    <mergeCell ref="N404:O404"/>
    <mergeCell ref="P404:V404"/>
    <mergeCell ref="D405:K405"/>
    <mergeCell ref="L405:M405"/>
    <mergeCell ref="N405:O405"/>
    <mergeCell ref="P405:V405"/>
    <mergeCell ref="D402:K402"/>
    <mergeCell ref="L402:M402"/>
    <mergeCell ref="N402:O402"/>
    <mergeCell ref="P402:V402"/>
    <mergeCell ref="D403:K403"/>
    <mergeCell ref="L403:M403"/>
    <mergeCell ref="N403:O403"/>
    <mergeCell ref="P403:V403"/>
    <mergeCell ref="D412:K412"/>
    <mergeCell ref="L412:M412"/>
    <mergeCell ref="N412:O412"/>
    <mergeCell ref="P412:V412"/>
    <mergeCell ref="D413:K413"/>
    <mergeCell ref="L413:M413"/>
    <mergeCell ref="N413:O413"/>
    <mergeCell ref="P413:V413"/>
    <mergeCell ref="D410:K410"/>
    <mergeCell ref="L410:M410"/>
    <mergeCell ref="N410:O410"/>
    <mergeCell ref="P410:V410"/>
    <mergeCell ref="D411:K411"/>
    <mergeCell ref="L411:M411"/>
    <mergeCell ref="N411:O411"/>
    <mergeCell ref="P411:V411"/>
    <mergeCell ref="D408:K408"/>
    <mergeCell ref="L408:M408"/>
    <mergeCell ref="N408:O408"/>
    <mergeCell ref="P408:V408"/>
    <mergeCell ref="D409:K409"/>
    <mergeCell ref="L409:M409"/>
    <mergeCell ref="N409:O409"/>
    <mergeCell ref="P409:V409"/>
    <mergeCell ref="D418:K418"/>
    <mergeCell ref="L418:M418"/>
    <mergeCell ref="N418:O418"/>
    <mergeCell ref="P418:V418"/>
    <mergeCell ref="D419:K419"/>
    <mergeCell ref="L419:M419"/>
    <mergeCell ref="N419:O419"/>
    <mergeCell ref="P419:V419"/>
    <mergeCell ref="D416:K416"/>
    <mergeCell ref="L416:M416"/>
    <mergeCell ref="N416:O416"/>
    <mergeCell ref="P416:V416"/>
    <mergeCell ref="D417:K417"/>
    <mergeCell ref="L417:M417"/>
    <mergeCell ref="N417:O417"/>
    <mergeCell ref="P417:V417"/>
    <mergeCell ref="D414:K414"/>
    <mergeCell ref="L414:M414"/>
    <mergeCell ref="N414:O414"/>
    <mergeCell ref="P414:V414"/>
    <mergeCell ref="D415:K415"/>
    <mergeCell ref="L415:M415"/>
    <mergeCell ref="N415:O415"/>
    <mergeCell ref="P415:V415"/>
    <mergeCell ref="E431:V431"/>
    <mergeCell ref="D433:P433"/>
    <mergeCell ref="Q433:V433"/>
    <mergeCell ref="D435:K435"/>
    <mergeCell ref="L435:M435"/>
    <mergeCell ref="N435:O435"/>
    <mergeCell ref="P435:V435"/>
    <mergeCell ref="E426:V426"/>
    <mergeCell ref="E427:V427"/>
    <mergeCell ref="E428:V428"/>
    <mergeCell ref="E429:V429"/>
    <mergeCell ref="E430:V430"/>
    <mergeCell ref="D421:V421"/>
    <mergeCell ref="E422:V422"/>
    <mergeCell ref="E423:V423"/>
    <mergeCell ref="E424:V424"/>
    <mergeCell ref="E425:V425"/>
    <mergeCell ref="D440:K440"/>
    <mergeCell ref="L440:M440"/>
    <mergeCell ref="N440:O440"/>
    <mergeCell ref="P440:V440"/>
    <mergeCell ref="D441:K441"/>
    <mergeCell ref="L441:M441"/>
    <mergeCell ref="N441:O441"/>
    <mergeCell ref="P441:V441"/>
    <mergeCell ref="D438:K438"/>
    <mergeCell ref="L438:M438"/>
    <mergeCell ref="N438:O438"/>
    <mergeCell ref="P438:V438"/>
    <mergeCell ref="D439:K439"/>
    <mergeCell ref="L439:M439"/>
    <mergeCell ref="N439:O439"/>
    <mergeCell ref="P439:V439"/>
    <mergeCell ref="D436:K436"/>
    <mergeCell ref="L436:M436"/>
    <mergeCell ref="N436:O436"/>
    <mergeCell ref="P436:V436"/>
    <mergeCell ref="D437:K437"/>
    <mergeCell ref="L437:M437"/>
    <mergeCell ref="N437:O437"/>
    <mergeCell ref="P437:V437"/>
    <mergeCell ref="D446:K446"/>
    <mergeCell ref="L446:M446"/>
    <mergeCell ref="N446:O446"/>
    <mergeCell ref="P446:V446"/>
    <mergeCell ref="D447:K447"/>
    <mergeCell ref="L447:M447"/>
    <mergeCell ref="N447:O447"/>
    <mergeCell ref="P447:V447"/>
    <mergeCell ref="D444:K444"/>
    <mergeCell ref="L444:M444"/>
    <mergeCell ref="N444:O444"/>
    <mergeCell ref="P444:V444"/>
    <mergeCell ref="D445:K445"/>
    <mergeCell ref="L445:M445"/>
    <mergeCell ref="N445:O445"/>
    <mergeCell ref="P445:V445"/>
    <mergeCell ref="D442:K442"/>
    <mergeCell ref="L442:M442"/>
    <mergeCell ref="N442:O442"/>
    <mergeCell ref="P442:V442"/>
    <mergeCell ref="D443:K443"/>
    <mergeCell ref="L443:M443"/>
    <mergeCell ref="N443:O443"/>
    <mergeCell ref="P443:V443"/>
    <mergeCell ref="D452:K452"/>
    <mergeCell ref="L452:M452"/>
    <mergeCell ref="N452:O452"/>
    <mergeCell ref="P452:V452"/>
    <mergeCell ref="D453:K453"/>
    <mergeCell ref="L453:M453"/>
    <mergeCell ref="N453:O453"/>
    <mergeCell ref="P453:V453"/>
    <mergeCell ref="D450:K450"/>
    <mergeCell ref="L450:M450"/>
    <mergeCell ref="N450:O450"/>
    <mergeCell ref="P450:V450"/>
    <mergeCell ref="D451:K451"/>
    <mergeCell ref="L451:M451"/>
    <mergeCell ref="N451:O451"/>
    <mergeCell ref="P451:V451"/>
    <mergeCell ref="D448:K448"/>
    <mergeCell ref="L448:M448"/>
    <mergeCell ref="N448:O448"/>
    <mergeCell ref="P448:V448"/>
    <mergeCell ref="D449:K449"/>
    <mergeCell ref="L449:M449"/>
    <mergeCell ref="N449:O449"/>
    <mergeCell ref="P449:V449"/>
    <mergeCell ref="D458:K458"/>
    <mergeCell ref="L458:M458"/>
    <mergeCell ref="N458:O458"/>
    <mergeCell ref="P458:V458"/>
    <mergeCell ref="D459:K459"/>
    <mergeCell ref="L459:M459"/>
    <mergeCell ref="N459:O459"/>
    <mergeCell ref="P459:V459"/>
    <mergeCell ref="D456:K456"/>
    <mergeCell ref="L456:M456"/>
    <mergeCell ref="N456:O456"/>
    <mergeCell ref="P456:V456"/>
    <mergeCell ref="D457:K457"/>
    <mergeCell ref="L457:M457"/>
    <mergeCell ref="N457:O457"/>
    <mergeCell ref="P457:V457"/>
    <mergeCell ref="D454:K454"/>
    <mergeCell ref="L454:M454"/>
    <mergeCell ref="N454:O454"/>
    <mergeCell ref="P454:V454"/>
    <mergeCell ref="D455:K455"/>
    <mergeCell ref="L455:M455"/>
    <mergeCell ref="N455:O455"/>
    <mergeCell ref="P455:V455"/>
    <mergeCell ref="D464:K464"/>
    <mergeCell ref="L464:M464"/>
    <mergeCell ref="N464:O464"/>
    <mergeCell ref="P464:V464"/>
    <mergeCell ref="D465:K465"/>
    <mergeCell ref="L465:M465"/>
    <mergeCell ref="N465:O465"/>
    <mergeCell ref="P465:V465"/>
    <mergeCell ref="D462:K462"/>
    <mergeCell ref="L462:M462"/>
    <mergeCell ref="N462:O462"/>
    <mergeCell ref="P462:V462"/>
    <mergeCell ref="D463:K463"/>
    <mergeCell ref="L463:M463"/>
    <mergeCell ref="N463:O463"/>
    <mergeCell ref="P463:V463"/>
    <mergeCell ref="D460:K460"/>
    <mergeCell ref="L460:M460"/>
    <mergeCell ref="N460:O460"/>
    <mergeCell ref="P460:V460"/>
    <mergeCell ref="D461:K461"/>
    <mergeCell ref="L461:M461"/>
    <mergeCell ref="N461:O461"/>
    <mergeCell ref="P461:V461"/>
    <mergeCell ref="D470:K470"/>
    <mergeCell ref="L470:M470"/>
    <mergeCell ref="N470:O470"/>
    <mergeCell ref="P470:V470"/>
    <mergeCell ref="D471:K471"/>
    <mergeCell ref="L471:M471"/>
    <mergeCell ref="N471:O471"/>
    <mergeCell ref="P471:V471"/>
    <mergeCell ref="D468:K468"/>
    <mergeCell ref="L468:M468"/>
    <mergeCell ref="N468:O468"/>
    <mergeCell ref="P468:V468"/>
    <mergeCell ref="D469:K469"/>
    <mergeCell ref="L469:M469"/>
    <mergeCell ref="N469:O469"/>
    <mergeCell ref="P469:V469"/>
    <mergeCell ref="D466:K466"/>
    <mergeCell ref="L466:M466"/>
    <mergeCell ref="N466:O466"/>
    <mergeCell ref="P466:V466"/>
    <mergeCell ref="D467:K467"/>
    <mergeCell ref="L467:M467"/>
    <mergeCell ref="N467:O467"/>
    <mergeCell ref="P467:V467"/>
    <mergeCell ref="D477:V477"/>
    <mergeCell ref="E478:V478"/>
    <mergeCell ref="E479:V479"/>
    <mergeCell ref="E480:V480"/>
    <mergeCell ref="E481:V481"/>
    <mergeCell ref="D474:K474"/>
    <mergeCell ref="L474:M474"/>
    <mergeCell ref="N474:O474"/>
    <mergeCell ref="P474:V474"/>
    <mergeCell ref="D475:K475"/>
    <mergeCell ref="L475:M475"/>
    <mergeCell ref="N475:O475"/>
    <mergeCell ref="P475:V475"/>
    <mergeCell ref="D472:K472"/>
    <mergeCell ref="L472:M472"/>
    <mergeCell ref="N472:O472"/>
    <mergeCell ref="P472:V472"/>
    <mergeCell ref="D473:K473"/>
    <mergeCell ref="L473:M473"/>
    <mergeCell ref="N473:O473"/>
    <mergeCell ref="P473:V473"/>
    <mergeCell ref="D492:K492"/>
    <mergeCell ref="L492:M492"/>
    <mergeCell ref="N492:O492"/>
    <mergeCell ref="P492:V492"/>
    <mergeCell ref="D493:K493"/>
    <mergeCell ref="L493:M493"/>
    <mergeCell ref="N493:O493"/>
    <mergeCell ref="P493:V493"/>
    <mergeCell ref="E487:V487"/>
    <mergeCell ref="D489:P489"/>
    <mergeCell ref="Q489:V489"/>
    <mergeCell ref="D491:K491"/>
    <mergeCell ref="L491:M491"/>
    <mergeCell ref="N491:O491"/>
    <mergeCell ref="P491:V491"/>
    <mergeCell ref="E482:V482"/>
    <mergeCell ref="E483:V483"/>
    <mergeCell ref="E484:V484"/>
    <mergeCell ref="E485:V485"/>
    <mergeCell ref="E486:V486"/>
    <mergeCell ref="D498:K498"/>
    <mergeCell ref="L498:M498"/>
    <mergeCell ref="N498:O498"/>
    <mergeCell ref="P498:V498"/>
    <mergeCell ref="D499:K499"/>
    <mergeCell ref="L499:M499"/>
    <mergeCell ref="N499:O499"/>
    <mergeCell ref="P499:V499"/>
    <mergeCell ref="D496:K496"/>
    <mergeCell ref="L496:M496"/>
    <mergeCell ref="N496:O496"/>
    <mergeCell ref="P496:V496"/>
    <mergeCell ref="D497:K497"/>
    <mergeCell ref="L497:M497"/>
    <mergeCell ref="N497:O497"/>
    <mergeCell ref="P497:V497"/>
    <mergeCell ref="D494:K494"/>
    <mergeCell ref="L494:M494"/>
    <mergeCell ref="N494:O494"/>
    <mergeCell ref="P494:V494"/>
    <mergeCell ref="D495:K495"/>
    <mergeCell ref="L495:M495"/>
    <mergeCell ref="N495:O495"/>
    <mergeCell ref="P495:V495"/>
    <mergeCell ref="D504:K504"/>
    <mergeCell ref="L504:M504"/>
    <mergeCell ref="N504:O504"/>
    <mergeCell ref="P504:V504"/>
    <mergeCell ref="D505:K505"/>
    <mergeCell ref="L505:M505"/>
    <mergeCell ref="N505:O505"/>
    <mergeCell ref="P505:V505"/>
    <mergeCell ref="D502:K502"/>
    <mergeCell ref="L502:M502"/>
    <mergeCell ref="N502:O502"/>
    <mergeCell ref="P502:V502"/>
    <mergeCell ref="D503:K503"/>
    <mergeCell ref="L503:M503"/>
    <mergeCell ref="N503:O503"/>
    <mergeCell ref="P503:V503"/>
    <mergeCell ref="D500:K500"/>
    <mergeCell ref="L500:M500"/>
    <mergeCell ref="N500:O500"/>
    <mergeCell ref="P500:V500"/>
    <mergeCell ref="D501:K501"/>
    <mergeCell ref="L501:M501"/>
    <mergeCell ref="N501:O501"/>
    <mergeCell ref="P501:V501"/>
    <mergeCell ref="D510:K510"/>
    <mergeCell ref="L510:M510"/>
    <mergeCell ref="N510:O510"/>
    <mergeCell ref="P510:V510"/>
    <mergeCell ref="D511:K511"/>
    <mergeCell ref="L511:M511"/>
    <mergeCell ref="N511:O511"/>
    <mergeCell ref="P511:V511"/>
    <mergeCell ref="D508:K508"/>
    <mergeCell ref="L508:M508"/>
    <mergeCell ref="N508:O508"/>
    <mergeCell ref="P508:V508"/>
    <mergeCell ref="D509:K509"/>
    <mergeCell ref="L509:M509"/>
    <mergeCell ref="N509:O509"/>
    <mergeCell ref="P509:V509"/>
    <mergeCell ref="D506:K506"/>
    <mergeCell ref="L506:M506"/>
    <mergeCell ref="N506:O506"/>
    <mergeCell ref="P506:V506"/>
    <mergeCell ref="D507:K507"/>
    <mergeCell ref="L507:M507"/>
    <mergeCell ref="N507:O507"/>
    <mergeCell ref="P507:V507"/>
    <mergeCell ref="D516:K516"/>
    <mergeCell ref="L516:M516"/>
    <mergeCell ref="N516:O516"/>
    <mergeCell ref="P516:V516"/>
    <mergeCell ref="D517:K517"/>
    <mergeCell ref="L517:M517"/>
    <mergeCell ref="N517:O517"/>
    <mergeCell ref="P517:V517"/>
    <mergeCell ref="D514:K514"/>
    <mergeCell ref="L514:M514"/>
    <mergeCell ref="N514:O514"/>
    <mergeCell ref="P514:V514"/>
    <mergeCell ref="D515:K515"/>
    <mergeCell ref="L515:M515"/>
    <mergeCell ref="N515:O515"/>
    <mergeCell ref="P515:V515"/>
    <mergeCell ref="D512:K512"/>
    <mergeCell ref="L512:M512"/>
    <mergeCell ref="N512:O512"/>
    <mergeCell ref="P512:V512"/>
    <mergeCell ref="D513:K513"/>
    <mergeCell ref="L513:M513"/>
    <mergeCell ref="N513:O513"/>
    <mergeCell ref="P513:V513"/>
    <mergeCell ref="D522:K522"/>
    <mergeCell ref="L522:M522"/>
    <mergeCell ref="N522:O522"/>
    <mergeCell ref="P522:V522"/>
    <mergeCell ref="D523:K523"/>
    <mergeCell ref="L523:M523"/>
    <mergeCell ref="N523:O523"/>
    <mergeCell ref="P523:V523"/>
    <mergeCell ref="D520:K520"/>
    <mergeCell ref="L520:M520"/>
    <mergeCell ref="N520:O520"/>
    <mergeCell ref="P520:V520"/>
    <mergeCell ref="D521:K521"/>
    <mergeCell ref="L521:M521"/>
    <mergeCell ref="N521:O521"/>
    <mergeCell ref="P521:V521"/>
    <mergeCell ref="D518:K518"/>
    <mergeCell ref="L518:M518"/>
    <mergeCell ref="N518:O518"/>
    <mergeCell ref="P518:V518"/>
    <mergeCell ref="D519:K519"/>
    <mergeCell ref="L519:M519"/>
    <mergeCell ref="N519:O519"/>
    <mergeCell ref="P519:V519"/>
    <mergeCell ref="D528:K528"/>
    <mergeCell ref="L528:M528"/>
    <mergeCell ref="N528:O528"/>
    <mergeCell ref="P528:V528"/>
    <mergeCell ref="D529:K529"/>
    <mergeCell ref="L529:M529"/>
    <mergeCell ref="N529:O529"/>
    <mergeCell ref="P529:V529"/>
    <mergeCell ref="D526:K526"/>
    <mergeCell ref="L526:M526"/>
    <mergeCell ref="N526:O526"/>
    <mergeCell ref="P526:V526"/>
    <mergeCell ref="D527:K527"/>
    <mergeCell ref="L527:M527"/>
    <mergeCell ref="N527:O527"/>
    <mergeCell ref="P527:V527"/>
    <mergeCell ref="D524:K524"/>
    <mergeCell ref="L524:M524"/>
    <mergeCell ref="N524:O524"/>
    <mergeCell ref="P524:V524"/>
    <mergeCell ref="D525:K525"/>
    <mergeCell ref="L525:M525"/>
    <mergeCell ref="N525:O525"/>
    <mergeCell ref="P525:V525"/>
    <mergeCell ref="E538:V538"/>
    <mergeCell ref="E539:V539"/>
    <mergeCell ref="E540:V540"/>
    <mergeCell ref="E541:V541"/>
    <mergeCell ref="E542:V542"/>
    <mergeCell ref="D533:V533"/>
    <mergeCell ref="E534:V534"/>
    <mergeCell ref="E535:V535"/>
    <mergeCell ref="E536:V536"/>
    <mergeCell ref="E537:V537"/>
    <mergeCell ref="D530:K530"/>
    <mergeCell ref="L530:M530"/>
    <mergeCell ref="N530:O530"/>
    <mergeCell ref="P530:V530"/>
    <mergeCell ref="D531:K531"/>
    <mergeCell ref="L531:M531"/>
    <mergeCell ref="N531:O531"/>
    <mergeCell ref="P531:V531"/>
    <mergeCell ref="D550:K550"/>
    <mergeCell ref="L550:M550"/>
    <mergeCell ref="N550:O550"/>
    <mergeCell ref="P550:V550"/>
    <mergeCell ref="D551:K551"/>
    <mergeCell ref="L551:M551"/>
    <mergeCell ref="N551:O551"/>
    <mergeCell ref="P551:V551"/>
    <mergeCell ref="D548:K548"/>
    <mergeCell ref="L548:M548"/>
    <mergeCell ref="N548:O548"/>
    <mergeCell ref="P548:V548"/>
    <mergeCell ref="D549:K549"/>
    <mergeCell ref="L549:M549"/>
    <mergeCell ref="N549:O549"/>
    <mergeCell ref="P549:V549"/>
    <mergeCell ref="E543:V543"/>
    <mergeCell ref="D545:P545"/>
    <mergeCell ref="Q545:V545"/>
    <mergeCell ref="D547:K547"/>
    <mergeCell ref="L547:M547"/>
    <mergeCell ref="N547:O547"/>
    <mergeCell ref="P547:V547"/>
    <mergeCell ref="D556:K556"/>
    <mergeCell ref="L556:M556"/>
    <mergeCell ref="N556:O556"/>
    <mergeCell ref="P556:V556"/>
    <mergeCell ref="D557:K557"/>
    <mergeCell ref="L557:M557"/>
    <mergeCell ref="N557:O557"/>
    <mergeCell ref="P557:V557"/>
    <mergeCell ref="D554:K554"/>
    <mergeCell ref="L554:M554"/>
    <mergeCell ref="N554:O554"/>
    <mergeCell ref="P554:V554"/>
    <mergeCell ref="D555:K555"/>
    <mergeCell ref="L555:M555"/>
    <mergeCell ref="N555:O555"/>
    <mergeCell ref="P555:V555"/>
    <mergeCell ref="D552:K552"/>
    <mergeCell ref="L552:M552"/>
    <mergeCell ref="N552:O552"/>
    <mergeCell ref="P552:V552"/>
    <mergeCell ref="D553:K553"/>
    <mergeCell ref="L553:M553"/>
    <mergeCell ref="N553:O553"/>
    <mergeCell ref="P553:V553"/>
    <mergeCell ref="D562:K562"/>
    <mergeCell ref="L562:M562"/>
    <mergeCell ref="N562:O562"/>
    <mergeCell ref="P562:V562"/>
    <mergeCell ref="D563:K563"/>
    <mergeCell ref="L563:M563"/>
    <mergeCell ref="N563:O563"/>
    <mergeCell ref="P563:V563"/>
    <mergeCell ref="D560:K560"/>
    <mergeCell ref="L560:M560"/>
    <mergeCell ref="N560:O560"/>
    <mergeCell ref="P560:V560"/>
    <mergeCell ref="D561:K561"/>
    <mergeCell ref="L561:M561"/>
    <mergeCell ref="N561:O561"/>
    <mergeCell ref="P561:V561"/>
    <mergeCell ref="D558:K558"/>
    <mergeCell ref="L558:M558"/>
    <mergeCell ref="N558:O558"/>
    <mergeCell ref="P558:V558"/>
    <mergeCell ref="D559:K559"/>
    <mergeCell ref="L559:M559"/>
    <mergeCell ref="N559:O559"/>
    <mergeCell ref="P559:V559"/>
    <mergeCell ref="D568:K568"/>
    <mergeCell ref="L568:M568"/>
    <mergeCell ref="N568:O568"/>
    <mergeCell ref="P568:V568"/>
    <mergeCell ref="D569:K569"/>
    <mergeCell ref="L569:M569"/>
    <mergeCell ref="N569:O569"/>
    <mergeCell ref="P569:V569"/>
    <mergeCell ref="D566:K566"/>
    <mergeCell ref="L566:M566"/>
    <mergeCell ref="N566:O566"/>
    <mergeCell ref="P566:V566"/>
    <mergeCell ref="D567:K567"/>
    <mergeCell ref="L567:M567"/>
    <mergeCell ref="N567:O567"/>
    <mergeCell ref="P567:V567"/>
    <mergeCell ref="D564:K564"/>
    <mergeCell ref="L564:M564"/>
    <mergeCell ref="N564:O564"/>
    <mergeCell ref="P564:V564"/>
    <mergeCell ref="D565:K565"/>
    <mergeCell ref="L565:M565"/>
    <mergeCell ref="N565:O565"/>
    <mergeCell ref="P565:V565"/>
    <mergeCell ref="D574:K574"/>
    <mergeCell ref="L574:M574"/>
    <mergeCell ref="N574:O574"/>
    <mergeCell ref="P574:V574"/>
    <mergeCell ref="D575:K575"/>
    <mergeCell ref="L575:M575"/>
    <mergeCell ref="N575:O575"/>
    <mergeCell ref="P575:V575"/>
    <mergeCell ref="D572:K572"/>
    <mergeCell ref="L572:M572"/>
    <mergeCell ref="N572:O572"/>
    <mergeCell ref="P572:V572"/>
    <mergeCell ref="D573:K573"/>
    <mergeCell ref="L573:M573"/>
    <mergeCell ref="N573:O573"/>
    <mergeCell ref="P573:V573"/>
    <mergeCell ref="D570:K570"/>
    <mergeCell ref="L570:M570"/>
    <mergeCell ref="N570:O570"/>
    <mergeCell ref="P570:V570"/>
    <mergeCell ref="D571:K571"/>
    <mergeCell ref="L571:M571"/>
    <mergeCell ref="N571:O571"/>
    <mergeCell ref="P571:V571"/>
    <mergeCell ref="D580:K580"/>
    <mergeCell ref="L580:M580"/>
    <mergeCell ref="N580:O580"/>
    <mergeCell ref="P580:V580"/>
    <mergeCell ref="D581:K581"/>
    <mergeCell ref="L581:M581"/>
    <mergeCell ref="N581:O581"/>
    <mergeCell ref="P581:V581"/>
    <mergeCell ref="D578:K578"/>
    <mergeCell ref="L578:M578"/>
    <mergeCell ref="N578:O578"/>
    <mergeCell ref="P578:V578"/>
    <mergeCell ref="D579:K579"/>
    <mergeCell ref="L579:M579"/>
    <mergeCell ref="N579:O579"/>
    <mergeCell ref="P579:V579"/>
    <mergeCell ref="D576:K576"/>
    <mergeCell ref="L576:M576"/>
    <mergeCell ref="N576:O576"/>
    <mergeCell ref="P576:V576"/>
    <mergeCell ref="D577:K577"/>
    <mergeCell ref="L577:M577"/>
    <mergeCell ref="N577:O577"/>
    <mergeCell ref="P577:V577"/>
    <mergeCell ref="D586:K586"/>
    <mergeCell ref="L586:M586"/>
    <mergeCell ref="N586:O586"/>
    <mergeCell ref="P586:V586"/>
    <mergeCell ref="D587:K587"/>
    <mergeCell ref="L587:M587"/>
    <mergeCell ref="N587:O587"/>
    <mergeCell ref="P587:V587"/>
    <mergeCell ref="D584:K584"/>
    <mergeCell ref="L584:M584"/>
    <mergeCell ref="N584:O584"/>
    <mergeCell ref="P584:V584"/>
    <mergeCell ref="D585:K585"/>
    <mergeCell ref="L585:M585"/>
    <mergeCell ref="N585:O585"/>
    <mergeCell ref="P585:V585"/>
    <mergeCell ref="D582:K582"/>
    <mergeCell ref="L582:M582"/>
    <mergeCell ref="N582:O582"/>
    <mergeCell ref="P582:V582"/>
    <mergeCell ref="D583:K583"/>
    <mergeCell ref="L583:M583"/>
    <mergeCell ref="N583:O583"/>
    <mergeCell ref="P583:V583"/>
    <mergeCell ref="E599:V599"/>
    <mergeCell ref="D601:P601"/>
    <mergeCell ref="Q601:V601"/>
    <mergeCell ref="D603:K603"/>
    <mergeCell ref="L603:M603"/>
    <mergeCell ref="N603:O603"/>
    <mergeCell ref="P603:V603"/>
    <mergeCell ref="E594:V594"/>
    <mergeCell ref="E595:V595"/>
    <mergeCell ref="E596:V596"/>
    <mergeCell ref="E597:V597"/>
    <mergeCell ref="E598:V598"/>
    <mergeCell ref="D589:V589"/>
    <mergeCell ref="E590:V590"/>
    <mergeCell ref="E591:V591"/>
    <mergeCell ref="E592:V592"/>
    <mergeCell ref="E593:V593"/>
    <mergeCell ref="D608:K608"/>
    <mergeCell ref="L608:M608"/>
    <mergeCell ref="N608:O608"/>
    <mergeCell ref="P608:V608"/>
    <mergeCell ref="D609:K609"/>
    <mergeCell ref="L609:M609"/>
    <mergeCell ref="N609:O609"/>
    <mergeCell ref="P609:V609"/>
    <mergeCell ref="D606:K606"/>
    <mergeCell ref="L606:M606"/>
    <mergeCell ref="N606:O606"/>
    <mergeCell ref="P606:V606"/>
    <mergeCell ref="D607:K607"/>
    <mergeCell ref="L607:M607"/>
    <mergeCell ref="N607:O607"/>
    <mergeCell ref="P607:V607"/>
    <mergeCell ref="D604:K604"/>
    <mergeCell ref="L604:M604"/>
    <mergeCell ref="N604:O604"/>
    <mergeCell ref="P604:V604"/>
    <mergeCell ref="D605:K605"/>
    <mergeCell ref="L605:M605"/>
    <mergeCell ref="N605:O605"/>
    <mergeCell ref="P605:V605"/>
    <mergeCell ref="D614:K614"/>
    <mergeCell ref="L614:M614"/>
    <mergeCell ref="N614:O614"/>
    <mergeCell ref="P614:V614"/>
    <mergeCell ref="D615:K615"/>
    <mergeCell ref="L615:M615"/>
    <mergeCell ref="N615:O615"/>
    <mergeCell ref="P615:V615"/>
    <mergeCell ref="D612:K612"/>
    <mergeCell ref="L612:M612"/>
    <mergeCell ref="N612:O612"/>
    <mergeCell ref="P612:V612"/>
    <mergeCell ref="D613:K613"/>
    <mergeCell ref="L613:M613"/>
    <mergeCell ref="N613:O613"/>
    <mergeCell ref="P613:V613"/>
    <mergeCell ref="D610:K610"/>
    <mergeCell ref="L610:M610"/>
    <mergeCell ref="N610:O610"/>
    <mergeCell ref="P610:V610"/>
    <mergeCell ref="D611:K611"/>
    <mergeCell ref="L611:M611"/>
    <mergeCell ref="N611:O611"/>
    <mergeCell ref="P611:V611"/>
    <mergeCell ref="D620:K620"/>
    <mergeCell ref="L620:M620"/>
    <mergeCell ref="N620:O620"/>
    <mergeCell ref="P620:V620"/>
    <mergeCell ref="D621:K621"/>
    <mergeCell ref="L621:M621"/>
    <mergeCell ref="N621:O621"/>
    <mergeCell ref="P621:V621"/>
    <mergeCell ref="D618:K618"/>
    <mergeCell ref="L618:M618"/>
    <mergeCell ref="N618:O618"/>
    <mergeCell ref="P618:V618"/>
    <mergeCell ref="D619:K619"/>
    <mergeCell ref="L619:M619"/>
    <mergeCell ref="N619:O619"/>
    <mergeCell ref="P619:V619"/>
    <mergeCell ref="D616:K616"/>
    <mergeCell ref="L616:M616"/>
    <mergeCell ref="N616:O616"/>
    <mergeCell ref="P616:V616"/>
    <mergeCell ref="D617:K617"/>
    <mergeCell ref="L617:M617"/>
    <mergeCell ref="N617:O617"/>
    <mergeCell ref="P617:V617"/>
    <mergeCell ref="D626:K626"/>
    <mergeCell ref="L626:M626"/>
    <mergeCell ref="N626:O626"/>
    <mergeCell ref="P626:V626"/>
    <mergeCell ref="D627:K627"/>
    <mergeCell ref="L627:M627"/>
    <mergeCell ref="N627:O627"/>
    <mergeCell ref="P627:V627"/>
    <mergeCell ref="D624:K624"/>
    <mergeCell ref="L624:M624"/>
    <mergeCell ref="N624:O624"/>
    <mergeCell ref="P624:V624"/>
    <mergeCell ref="D625:K625"/>
    <mergeCell ref="L625:M625"/>
    <mergeCell ref="N625:O625"/>
    <mergeCell ref="P625:V625"/>
    <mergeCell ref="D622:K622"/>
    <mergeCell ref="L622:M622"/>
    <mergeCell ref="N622:O622"/>
    <mergeCell ref="P622:V622"/>
    <mergeCell ref="D623:K623"/>
    <mergeCell ref="L623:M623"/>
    <mergeCell ref="N623:O623"/>
    <mergeCell ref="P623:V623"/>
    <mergeCell ref="D632:K632"/>
    <mergeCell ref="L632:M632"/>
    <mergeCell ref="N632:O632"/>
    <mergeCell ref="P632:V632"/>
    <mergeCell ref="D633:K633"/>
    <mergeCell ref="L633:M633"/>
    <mergeCell ref="N633:O633"/>
    <mergeCell ref="P633:V633"/>
    <mergeCell ref="D630:K630"/>
    <mergeCell ref="L630:M630"/>
    <mergeCell ref="N630:O630"/>
    <mergeCell ref="P630:V630"/>
    <mergeCell ref="D631:K631"/>
    <mergeCell ref="L631:M631"/>
    <mergeCell ref="N631:O631"/>
    <mergeCell ref="P631:V631"/>
    <mergeCell ref="D628:K628"/>
    <mergeCell ref="L628:M628"/>
    <mergeCell ref="N628:O628"/>
    <mergeCell ref="P628:V628"/>
    <mergeCell ref="D629:K629"/>
    <mergeCell ref="L629:M629"/>
    <mergeCell ref="N629:O629"/>
    <mergeCell ref="P629:V629"/>
    <mergeCell ref="D638:K638"/>
    <mergeCell ref="L638:M638"/>
    <mergeCell ref="N638:O638"/>
    <mergeCell ref="P638:V638"/>
    <mergeCell ref="D639:K639"/>
    <mergeCell ref="L639:M639"/>
    <mergeCell ref="N639:O639"/>
    <mergeCell ref="P639:V639"/>
    <mergeCell ref="D636:K636"/>
    <mergeCell ref="L636:M636"/>
    <mergeCell ref="N636:O636"/>
    <mergeCell ref="P636:V636"/>
    <mergeCell ref="D637:K637"/>
    <mergeCell ref="L637:M637"/>
    <mergeCell ref="N637:O637"/>
    <mergeCell ref="P637:V637"/>
    <mergeCell ref="D634:K634"/>
    <mergeCell ref="L634:M634"/>
    <mergeCell ref="N634:O634"/>
    <mergeCell ref="P634:V634"/>
    <mergeCell ref="D635:K635"/>
    <mergeCell ref="L635:M635"/>
    <mergeCell ref="N635:O635"/>
    <mergeCell ref="P635:V635"/>
    <mergeCell ref="D645:V645"/>
    <mergeCell ref="E646:V646"/>
    <mergeCell ref="E647:V647"/>
    <mergeCell ref="E648:V648"/>
    <mergeCell ref="E649:V649"/>
    <mergeCell ref="D642:K642"/>
    <mergeCell ref="L642:M642"/>
    <mergeCell ref="N642:O642"/>
    <mergeCell ref="P642:V642"/>
    <mergeCell ref="D643:K643"/>
    <mergeCell ref="L643:M643"/>
    <mergeCell ref="N643:O643"/>
    <mergeCell ref="P643:V643"/>
    <mergeCell ref="D640:K640"/>
    <mergeCell ref="L640:M640"/>
    <mergeCell ref="N640:O640"/>
    <mergeCell ref="P640:V640"/>
    <mergeCell ref="D641:K641"/>
    <mergeCell ref="L641:M641"/>
    <mergeCell ref="N641:O641"/>
    <mergeCell ref="P641:V641"/>
    <mergeCell ref="D660:K660"/>
    <mergeCell ref="L660:M660"/>
    <mergeCell ref="N660:O660"/>
    <mergeCell ref="P660:V660"/>
    <mergeCell ref="D661:K661"/>
    <mergeCell ref="L661:M661"/>
    <mergeCell ref="N661:O661"/>
    <mergeCell ref="P661:V661"/>
    <mergeCell ref="E655:V655"/>
    <mergeCell ref="D657:P657"/>
    <mergeCell ref="Q657:V657"/>
    <mergeCell ref="D659:K659"/>
    <mergeCell ref="L659:M659"/>
    <mergeCell ref="N659:O659"/>
    <mergeCell ref="P659:V659"/>
    <mergeCell ref="E650:V650"/>
    <mergeCell ref="E651:V651"/>
    <mergeCell ref="E652:V652"/>
    <mergeCell ref="E653:V653"/>
    <mergeCell ref="E654:V654"/>
    <mergeCell ref="D666:K666"/>
    <mergeCell ref="L666:M666"/>
    <mergeCell ref="N666:O666"/>
    <mergeCell ref="P666:V666"/>
    <mergeCell ref="D667:K667"/>
    <mergeCell ref="L667:M667"/>
    <mergeCell ref="N667:O667"/>
    <mergeCell ref="P667:V667"/>
    <mergeCell ref="D664:K664"/>
    <mergeCell ref="L664:M664"/>
    <mergeCell ref="N664:O664"/>
    <mergeCell ref="P664:V664"/>
    <mergeCell ref="D665:K665"/>
    <mergeCell ref="L665:M665"/>
    <mergeCell ref="N665:O665"/>
    <mergeCell ref="P665:V665"/>
    <mergeCell ref="D662:K662"/>
    <mergeCell ref="L662:M662"/>
    <mergeCell ref="N662:O662"/>
    <mergeCell ref="P662:V662"/>
    <mergeCell ref="D663:K663"/>
    <mergeCell ref="L663:M663"/>
    <mergeCell ref="N663:O663"/>
    <mergeCell ref="P663:V663"/>
    <mergeCell ref="D672:K672"/>
    <mergeCell ref="L672:M672"/>
    <mergeCell ref="N672:O672"/>
    <mergeCell ref="P672:V672"/>
    <mergeCell ref="D673:K673"/>
    <mergeCell ref="L673:M673"/>
    <mergeCell ref="N673:O673"/>
    <mergeCell ref="P673:V673"/>
    <mergeCell ref="D670:K670"/>
    <mergeCell ref="L670:M670"/>
    <mergeCell ref="N670:O670"/>
    <mergeCell ref="P670:V670"/>
    <mergeCell ref="D671:K671"/>
    <mergeCell ref="L671:M671"/>
    <mergeCell ref="N671:O671"/>
    <mergeCell ref="P671:V671"/>
    <mergeCell ref="D668:K668"/>
    <mergeCell ref="L668:M668"/>
    <mergeCell ref="N668:O668"/>
    <mergeCell ref="P668:V668"/>
    <mergeCell ref="D669:K669"/>
    <mergeCell ref="L669:M669"/>
    <mergeCell ref="N669:O669"/>
    <mergeCell ref="P669:V669"/>
    <mergeCell ref="D678:K678"/>
    <mergeCell ref="L678:M678"/>
    <mergeCell ref="N678:O678"/>
    <mergeCell ref="P678:V678"/>
    <mergeCell ref="D679:K679"/>
    <mergeCell ref="L679:M679"/>
    <mergeCell ref="N679:O679"/>
    <mergeCell ref="P679:V679"/>
    <mergeCell ref="D676:K676"/>
    <mergeCell ref="L676:M676"/>
    <mergeCell ref="N676:O676"/>
    <mergeCell ref="P676:V676"/>
    <mergeCell ref="D677:K677"/>
    <mergeCell ref="L677:M677"/>
    <mergeCell ref="N677:O677"/>
    <mergeCell ref="P677:V677"/>
    <mergeCell ref="D674:K674"/>
    <mergeCell ref="L674:M674"/>
    <mergeCell ref="N674:O674"/>
    <mergeCell ref="P674:V674"/>
    <mergeCell ref="D675:K675"/>
    <mergeCell ref="L675:M675"/>
    <mergeCell ref="N675:O675"/>
    <mergeCell ref="P675:V675"/>
    <mergeCell ref="D684:K684"/>
    <mergeCell ref="L684:M684"/>
    <mergeCell ref="N684:O684"/>
    <mergeCell ref="P684:V684"/>
    <mergeCell ref="D685:K685"/>
    <mergeCell ref="L685:M685"/>
    <mergeCell ref="N685:O685"/>
    <mergeCell ref="P685:V685"/>
    <mergeCell ref="D682:K682"/>
    <mergeCell ref="L682:M682"/>
    <mergeCell ref="N682:O682"/>
    <mergeCell ref="P682:V682"/>
    <mergeCell ref="D683:K683"/>
    <mergeCell ref="L683:M683"/>
    <mergeCell ref="N683:O683"/>
    <mergeCell ref="P683:V683"/>
    <mergeCell ref="D680:K680"/>
    <mergeCell ref="L680:M680"/>
    <mergeCell ref="N680:O680"/>
    <mergeCell ref="P680:V680"/>
    <mergeCell ref="D681:K681"/>
    <mergeCell ref="L681:M681"/>
    <mergeCell ref="N681:O681"/>
    <mergeCell ref="P681:V681"/>
    <mergeCell ref="D690:K690"/>
    <mergeCell ref="L690:M690"/>
    <mergeCell ref="N690:O690"/>
    <mergeCell ref="P690:V690"/>
    <mergeCell ref="D691:K691"/>
    <mergeCell ref="L691:M691"/>
    <mergeCell ref="N691:O691"/>
    <mergeCell ref="P691:V691"/>
    <mergeCell ref="D688:K688"/>
    <mergeCell ref="L688:M688"/>
    <mergeCell ref="N688:O688"/>
    <mergeCell ref="P688:V688"/>
    <mergeCell ref="D689:K689"/>
    <mergeCell ref="L689:M689"/>
    <mergeCell ref="N689:O689"/>
    <mergeCell ref="P689:V689"/>
    <mergeCell ref="D686:K686"/>
    <mergeCell ref="L686:M686"/>
    <mergeCell ref="N686:O686"/>
    <mergeCell ref="P686:V686"/>
    <mergeCell ref="D687:K687"/>
    <mergeCell ref="L687:M687"/>
    <mergeCell ref="N687:O687"/>
    <mergeCell ref="P687:V687"/>
    <mergeCell ref="D696:K696"/>
    <mergeCell ref="L696:M696"/>
    <mergeCell ref="N696:O696"/>
    <mergeCell ref="P696:V696"/>
    <mergeCell ref="D697:K697"/>
    <mergeCell ref="L697:M697"/>
    <mergeCell ref="N697:O697"/>
    <mergeCell ref="P697:V697"/>
    <mergeCell ref="D694:K694"/>
    <mergeCell ref="L694:M694"/>
    <mergeCell ref="N694:O694"/>
    <mergeCell ref="P694:V694"/>
    <mergeCell ref="D695:K695"/>
    <mergeCell ref="L695:M695"/>
    <mergeCell ref="N695:O695"/>
    <mergeCell ref="P695:V695"/>
    <mergeCell ref="D692:K692"/>
    <mergeCell ref="L692:M692"/>
    <mergeCell ref="N692:O692"/>
    <mergeCell ref="P692:V692"/>
    <mergeCell ref="D693:K693"/>
    <mergeCell ref="L693:M693"/>
    <mergeCell ref="N693:O693"/>
    <mergeCell ref="P693:V693"/>
    <mergeCell ref="E706:V706"/>
    <mergeCell ref="E707:V707"/>
    <mergeCell ref="E708:V708"/>
    <mergeCell ref="E709:V709"/>
    <mergeCell ref="E710:V710"/>
    <mergeCell ref="D701:V701"/>
    <mergeCell ref="E702:V702"/>
    <mergeCell ref="E703:V703"/>
    <mergeCell ref="E704:V704"/>
    <mergeCell ref="E705:V705"/>
    <mergeCell ref="D698:K698"/>
    <mergeCell ref="L698:M698"/>
    <mergeCell ref="N698:O698"/>
    <mergeCell ref="P698:V698"/>
    <mergeCell ref="D699:K699"/>
    <mergeCell ref="L699:M699"/>
    <mergeCell ref="N699:O699"/>
    <mergeCell ref="P699:V699"/>
    <mergeCell ref="D718:K718"/>
    <mergeCell ref="L718:M718"/>
    <mergeCell ref="N718:O718"/>
    <mergeCell ref="P718:V718"/>
    <mergeCell ref="D719:K719"/>
    <mergeCell ref="L719:M719"/>
    <mergeCell ref="N719:O719"/>
    <mergeCell ref="P719:V719"/>
    <mergeCell ref="D716:K716"/>
    <mergeCell ref="L716:M716"/>
    <mergeCell ref="N716:O716"/>
    <mergeCell ref="P716:V716"/>
    <mergeCell ref="D717:K717"/>
    <mergeCell ref="L717:M717"/>
    <mergeCell ref="N717:O717"/>
    <mergeCell ref="P717:V717"/>
    <mergeCell ref="E711:V711"/>
    <mergeCell ref="D713:P713"/>
    <mergeCell ref="Q713:V713"/>
    <mergeCell ref="D715:K715"/>
    <mergeCell ref="L715:M715"/>
    <mergeCell ref="N715:O715"/>
    <mergeCell ref="P715:V715"/>
    <mergeCell ref="D724:K724"/>
    <mergeCell ref="L724:M724"/>
    <mergeCell ref="N724:O724"/>
    <mergeCell ref="P724:V724"/>
    <mergeCell ref="D725:K725"/>
    <mergeCell ref="L725:M725"/>
    <mergeCell ref="N725:O725"/>
    <mergeCell ref="P725:V725"/>
    <mergeCell ref="D722:K722"/>
    <mergeCell ref="L722:M722"/>
    <mergeCell ref="N722:O722"/>
    <mergeCell ref="P722:V722"/>
    <mergeCell ref="D723:K723"/>
    <mergeCell ref="L723:M723"/>
    <mergeCell ref="N723:O723"/>
    <mergeCell ref="P723:V723"/>
    <mergeCell ref="D720:K720"/>
    <mergeCell ref="L720:M720"/>
    <mergeCell ref="N720:O720"/>
    <mergeCell ref="P720:V720"/>
    <mergeCell ref="D721:K721"/>
    <mergeCell ref="L721:M721"/>
    <mergeCell ref="N721:O721"/>
    <mergeCell ref="P721:V721"/>
    <mergeCell ref="D730:K730"/>
    <mergeCell ref="L730:M730"/>
    <mergeCell ref="N730:O730"/>
    <mergeCell ref="P730:V730"/>
    <mergeCell ref="D731:K731"/>
    <mergeCell ref="L731:M731"/>
    <mergeCell ref="N731:O731"/>
    <mergeCell ref="P731:V731"/>
    <mergeCell ref="D728:K728"/>
    <mergeCell ref="L728:M728"/>
    <mergeCell ref="N728:O728"/>
    <mergeCell ref="P728:V728"/>
    <mergeCell ref="D729:K729"/>
    <mergeCell ref="L729:M729"/>
    <mergeCell ref="N729:O729"/>
    <mergeCell ref="P729:V729"/>
    <mergeCell ref="D726:K726"/>
    <mergeCell ref="L726:M726"/>
    <mergeCell ref="N726:O726"/>
    <mergeCell ref="P726:V726"/>
    <mergeCell ref="D727:K727"/>
    <mergeCell ref="L727:M727"/>
    <mergeCell ref="N727:O727"/>
    <mergeCell ref="P727:V727"/>
    <mergeCell ref="D736:K736"/>
    <mergeCell ref="L736:M736"/>
    <mergeCell ref="N736:O736"/>
    <mergeCell ref="P736:V736"/>
    <mergeCell ref="D737:K737"/>
    <mergeCell ref="L737:M737"/>
    <mergeCell ref="N737:O737"/>
    <mergeCell ref="P737:V737"/>
    <mergeCell ref="D734:K734"/>
    <mergeCell ref="L734:M734"/>
    <mergeCell ref="N734:O734"/>
    <mergeCell ref="P734:V734"/>
    <mergeCell ref="D735:K735"/>
    <mergeCell ref="L735:M735"/>
    <mergeCell ref="N735:O735"/>
    <mergeCell ref="P735:V735"/>
    <mergeCell ref="D732:K732"/>
    <mergeCell ref="L732:M732"/>
    <mergeCell ref="N732:O732"/>
    <mergeCell ref="P732:V732"/>
    <mergeCell ref="D733:K733"/>
    <mergeCell ref="L733:M733"/>
    <mergeCell ref="N733:O733"/>
    <mergeCell ref="P733:V733"/>
    <mergeCell ref="D742:K742"/>
    <mergeCell ref="L742:M742"/>
    <mergeCell ref="N742:O742"/>
    <mergeCell ref="P742:V742"/>
    <mergeCell ref="D743:K743"/>
    <mergeCell ref="L743:M743"/>
    <mergeCell ref="N743:O743"/>
    <mergeCell ref="P743:V743"/>
    <mergeCell ref="D740:K740"/>
    <mergeCell ref="L740:M740"/>
    <mergeCell ref="N740:O740"/>
    <mergeCell ref="P740:V740"/>
    <mergeCell ref="D741:K741"/>
    <mergeCell ref="L741:M741"/>
    <mergeCell ref="N741:O741"/>
    <mergeCell ref="P741:V741"/>
    <mergeCell ref="D738:K738"/>
    <mergeCell ref="L738:M738"/>
    <mergeCell ref="N738:O738"/>
    <mergeCell ref="P738:V738"/>
    <mergeCell ref="D739:K739"/>
    <mergeCell ref="L739:M739"/>
    <mergeCell ref="N739:O739"/>
    <mergeCell ref="P739:V739"/>
    <mergeCell ref="D748:K748"/>
    <mergeCell ref="L748:M748"/>
    <mergeCell ref="N748:O748"/>
    <mergeCell ref="P748:V748"/>
    <mergeCell ref="D749:K749"/>
    <mergeCell ref="L749:M749"/>
    <mergeCell ref="N749:O749"/>
    <mergeCell ref="P749:V749"/>
    <mergeCell ref="D746:K746"/>
    <mergeCell ref="L746:M746"/>
    <mergeCell ref="N746:O746"/>
    <mergeCell ref="P746:V746"/>
    <mergeCell ref="D747:K747"/>
    <mergeCell ref="L747:M747"/>
    <mergeCell ref="N747:O747"/>
    <mergeCell ref="P747:V747"/>
    <mergeCell ref="D744:K744"/>
    <mergeCell ref="L744:M744"/>
    <mergeCell ref="N744:O744"/>
    <mergeCell ref="P744:V744"/>
    <mergeCell ref="D745:K745"/>
    <mergeCell ref="L745:M745"/>
    <mergeCell ref="N745:O745"/>
    <mergeCell ref="P745:V745"/>
    <mergeCell ref="D754:K754"/>
    <mergeCell ref="L754:M754"/>
    <mergeCell ref="N754:O754"/>
    <mergeCell ref="P754:V754"/>
    <mergeCell ref="D755:K755"/>
    <mergeCell ref="L755:M755"/>
    <mergeCell ref="N755:O755"/>
    <mergeCell ref="P755:V755"/>
    <mergeCell ref="D752:K752"/>
    <mergeCell ref="L752:M752"/>
    <mergeCell ref="N752:O752"/>
    <mergeCell ref="P752:V752"/>
    <mergeCell ref="D753:K753"/>
    <mergeCell ref="L753:M753"/>
    <mergeCell ref="N753:O753"/>
    <mergeCell ref="P753:V753"/>
    <mergeCell ref="D750:K750"/>
    <mergeCell ref="L750:M750"/>
    <mergeCell ref="N750:O750"/>
    <mergeCell ref="P750:V750"/>
    <mergeCell ref="D751:K751"/>
    <mergeCell ref="L751:M751"/>
    <mergeCell ref="N751:O751"/>
    <mergeCell ref="P751:V751"/>
    <mergeCell ref="E767:V767"/>
    <mergeCell ref="D769:P769"/>
    <mergeCell ref="Q769:V769"/>
    <mergeCell ref="D771:K771"/>
    <mergeCell ref="L771:M771"/>
    <mergeCell ref="N771:O771"/>
    <mergeCell ref="P771:V771"/>
    <mergeCell ref="E762:V762"/>
    <mergeCell ref="E763:V763"/>
    <mergeCell ref="E764:V764"/>
    <mergeCell ref="E765:V765"/>
    <mergeCell ref="E766:V766"/>
    <mergeCell ref="D757:V757"/>
    <mergeCell ref="E758:V758"/>
    <mergeCell ref="E759:V759"/>
    <mergeCell ref="E760:V760"/>
    <mergeCell ref="E761:V761"/>
    <mergeCell ref="D776:K776"/>
    <mergeCell ref="L776:M776"/>
    <mergeCell ref="N776:O776"/>
    <mergeCell ref="P776:V776"/>
    <mergeCell ref="D777:K777"/>
    <mergeCell ref="L777:M777"/>
    <mergeCell ref="N777:O777"/>
    <mergeCell ref="P777:V777"/>
    <mergeCell ref="D774:K774"/>
    <mergeCell ref="L774:M774"/>
    <mergeCell ref="N774:O774"/>
    <mergeCell ref="P774:V774"/>
    <mergeCell ref="D775:K775"/>
    <mergeCell ref="L775:M775"/>
    <mergeCell ref="N775:O775"/>
    <mergeCell ref="P775:V775"/>
    <mergeCell ref="D772:K772"/>
    <mergeCell ref="L772:M772"/>
    <mergeCell ref="N772:O772"/>
    <mergeCell ref="P772:V772"/>
    <mergeCell ref="D773:K773"/>
    <mergeCell ref="L773:M773"/>
    <mergeCell ref="N773:O773"/>
    <mergeCell ref="P773:V773"/>
    <mergeCell ref="D782:K782"/>
    <mergeCell ref="L782:M782"/>
    <mergeCell ref="N782:O782"/>
    <mergeCell ref="P782:V782"/>
    <mergeCell ref="D783:K783"/>
    <mergeCell ref="L783:M783"/>
    <mergeCell ref="N783:O783"/>
    <mergeCell ref="P783:V783"/>
    <mergeCell ref="D780:K780"/>
    <mergeCell ref="L780:M780"/>
    <mergeCell ref="N780:O780"/>
    <mergeCell ref="P780:V780"/>
    <mergeCell ref="D781:K781"/>
    <mergeCell ref="L781:M781"/>
    <mergeCell ref="N781:O781"/>
    <mergeCell ref="P781:V781"/>
    <mergeCell ref="D778:K778"/>
    <mergeCell ref="L778:M778"/>
    <mergeCell ref="N778:O778"/>
    <mergeCell ref="P778:V778"/>
    <mergeCell ref="D779:K779"/>
    <mergeCell ref="L779:M779"/>
    <mergeCell ref="N779:O779"/>
    <mergeCell ref="P779:V779"/>
    <mergeCell ref="D788:K788"/>
    <mergeCell ref="L788:M788"/>
    <mergeCell ref="N788:O788"/>
    <mergeCell ref="P788:V788"/>
    <mergeCell ref="D789:K789"/>
    <mergeCell ref="L789:M789"/>
    <mergeCell ref="N789:O789"/>
    <mergeCell ref="P789:V789"/>
    <mergeCell ref="D786:K786"/>
    <mergeCell ref="L786:M786"/>
    <mergeCell ref="N786:O786"/>
    <mergeCell ref="P786:V786"/>
    <mergeCell ref="D787:K787"/>
    <mergeCell ref="L787:M787"/>
    <mergeCell ref="N787:O787"/>
    <mergeCell ref="P787:V787"/>
    <mergeCell ref="D784:K784"/>
    <mergeCell ref="L784:M784"/>
    <mergeCell ref="N784:O784"/>
    <mergeCell ref="P784:V784"/>
    <mergeCell ref="D785:K785"/>
    <mergeCell ref="L785:M785"/>
    <mergeCell ref="N785:O785"/>
    <mergeCell ref="P785:V785"/>
    <mergeCell ref="D794:K794"/>
    <mergeCell ref="L794:M794"/>
    <mergeCell ref="N794:O794"/>
    <mergeCell ref="P794:V794"/>
    <mergeCell ref="D795:K795"/>
    <mergeCell ref="L795:M795"/>
    <mergeCell ref="N795:O795"/>
    <mergeCell ref="P795:V795"/>
    <mergeCell ref="D792:K792"/>
    <mergeCell ref="L792:M792"/>
    <mergeCell ref="N792:O792"/>
    <mergeCell ref="P792:V792"/>
    <mergeCell ref="D793:K793"/>
    <mergeCell ref="L793:M793"/>
    <mergeCell ref="N793:O793"/>
    <mergeCell ref="P793:V793"/>
    <mergeCell ref="D790:K790"/>
    <mergeCell ref="L790:M790"/>
    <mergeCell ref="N790:O790"/>
    <mergeCell ref="P790:V790"/>
    <mergeCell ref="D791:K791"/>
    <mergeCell ref="L791:M791"/>
    <mergeCell ref="N791:O791"/>
    <mergeCell ref="P791:V791"/>
    <mergeCell ref="D800:K800"/>
    <mergeCell ref="L800:M800"/>
    <mergeCell ref="N800:O800"/>
    <mergeCell ref="P800:V800"/>
    <mergeCell ref="D801:K801"/>
    <mergeCell ref="L801:M801"/>
    <mergeCell ref="N801:O801"/>
    <mergeCell ref="P801:V801"/>
    <mergeCell ref="D798:K798"/>
    <mergeCell ref="L798:M798"/>
    <mergeCell ref="N798:O798"/>
    <mergeCell ref="P798:V798"/>
    <mergeCell ref="D799:K799"/>
    <mergeCell ref="L799:M799"/>
    <mergeCell ref="N799:O799"/>
    <mergeCell ref="P799:V799"/>
    <mergeCell ref="D796:K796"/>
    <mergeCell ref="L796:M796"/>
    <mergeCell ref="N796:O796"/>
    <mergeCell ref="P796:V796"/>
    <mergeCell ref="D797:K797"/>
    <mergeCell ref="L797:M797"/>
    <mergeCell ref="N797:O797"/>
    <mergeCell ref="P797:V797"/>
    <mergeCell ref="D806:K806"/>
    <mergeCell ref="L806:M806"/>
    <mergeCell ref="N806:O806"/>
    <mergeCell ref="P806:V806"/>
    <mergeCell ref="D807:K807"/>
    <mergeCell ref="L807:M807"/>
    <mergeCell ref="N807:O807"/>
    <mergeCell ref="P807:V807"/>
    <mergeCell ref="D804:K804"/>
    <mergeCell ref="L804:M804"/>
    <mergeCell ref="N804:O804"/>
    <mergeCell ref="P804:V804"/>
    <mergeCell ref="D805:K805"/>
    <mergeCell ref="L805:M805"/>
    <mergeCell ref="N805:O805"/>
    <mergeCell ref="P805:V805"/>
    <mergeCell ref="D802:K802"/>
    <mergeCell ref="L802:M802"/>
    <mergeCell ref="N802:O802"/>
    <mergeCell ref="P802:V802"/>
    <mergeCell ref="D803:K803"/>
    <mergeCell ref="L803:M803"/>
    <mergeCell ref="N803:O803"/>
    <mergeCell ref="P803:V803"/>
    <mergeCell ref="D813:V813"/>
    <mergeCell ref="E814:V814"/>
    <mergeCell ref="E815:V815"/>
    <mergeCell ref="E816:V816"/>
    <mergeCell ref="E817:V817"/>
    <mergeCell ref="D810:K810"/>
    <mergeCell ref="L810:M810"/>
    <mergeCell ref="N810:O810"/>
    <mergeCell ref="P810:V810"/>
    <mergeCell ref="D811:K811"/>
    <mergeCell ref="L811:M811"/>
    <mergeCell ref="N811:O811"/>
    <mergeCell ref="P811:V811"/>
    <mergeCell ref="D808:K808"/>
    <mergeCell ref="L808:M808"/>
    <mergeCell ref="N808:O808"/>
    <mergeCell ref="P808:V808"/>
    <mergeCell ref="D809:K809"/>
    <mergeCell ref="L809:M809"/>
    <mergeCell ref="N809:O809"/>
    <mergeCell ref="P809:V809"/>
    <mergeCell ref="D828:K828"/>
    <mergeCell ref="L828:M828"/>
    <mergeCell ref="N828:O828"/>
    <mergeCell ref="P828:V828"/>
    <mergeCell ref="D829:K829"/>
    <mergeCell ref="L829:M829"/>
    <mergeCell ref="N829:O829"/>
    <mergeCell ref="P829:V829"/>
    <mergeCell ref="E823:V823"/>
    <mergeCell ref="D825:P825"/>
    <mergeCell ref="Q825:V825"/>
    <mergeCell ref="D827:K827"/>
    <mergeCell ref="L827:M827"/>
    <mergeCell ref="N827:O827"/>
    <mergeCell ref="P827:V827"/>
    <mergeCell ref="E818:V818"/>
    <mergeCell ref="E819:V819"/>
    <mergeCell ref="E820:V820"/>
    <mergeCell ref="E821:V821"/>
    <mergeCell ref="E822:V822"/>
    <mergeCell ref="D834:K834"/>
    <mergeCell ref="L834:M834"/>
    <mergeCell ref="N834:O834"/>
    <mergeCell ref="P834:V834"/>
    <mergeCell ref="D835:K835"/>
    <mergeCell ref="L835:M835"/>
    <mergeCell ref="N835:O835"/>
    <mergeCell ref="P835:V835"/>
    <mergeCell ref="D832:K832"/>
    <mergeCell ref="L832:M832"/>
    <mergeCell ref="N832:O832"/>
    <mergeCell ref="P832:V832"/>
    <mergeCell ref="D833:K833"/>
    <mergeCell ref="L833:M833"/>
    <mergeCell ref="N833:O833"/>
    <mergeCell ref="P833:V833"/>
    <mergeCell ref="D830:K830"/>
    <mergeCell ref="L830:M830"/>
    <mergeCell ref="N830:O830"/>
    <mergeCell ref="P830:V830"/>
    <mergeCell ref="D831:K831"/>
    <mergeCell ref="L831:M831"/>
    <mergeCell ref="N831:O831"/>
    <mergeCell ref="P831:V831"/>
    <mergeCell ref="D840:K840"/>
    <mergeCell ref="L840:M840"/>
    <mergeCell ref="N840:O840"/>
    <mergeCell ref="P840:V840"/>
    <mergeCell ref="D841:K841"/>
    <mergeCell ref="L841:M841"/>
    <mergeCell ref="N841:O841"/>
    <mergeCell ref="P841:V841"/>
    <mergeCell ref="D838:K838"/>
    <mergeCell ref="L838:M838"/>
    <mergeCell ref="N838:O838"/>
    <mergeCell ref="P838:V838"/>
    <mergeCell ref="D839:K839"/>
    <mergeCell ref="L839:M839"/>
    <mergeCell ref="N839:O839"/>
    <mergeCell ref="P839:V839"/>
    <mergeCell ref="D836:K836"/>
    <mergeCell ref="L836:M836"/>
    <mergeCell ref="N836:O836"/>
    <mergeCell ref="P836:V836"/>
    <mergeCell ref="D837:K837"/>
    <mergeCell ref="L837:M837"/>
    <mergeCell ref="N837:O837"/>
    <mergeCell ref="P837:V837"/>
    <mergeCell ref="D846:K846"/>
    <mergeCell ref="L846:M846"/>
    <mergeCell ref="N846:O846"/>
    <mergeCell ref="P846:V846"/>
    <mergeCell ref="D847:K847"/>
    <mergeCell ref="L847:M847"/>
    <mergeCell ref="N847:O847"/>
    <mergeCell ref="P847:V847"/>
    <mergeCell ref="D844:K844"/>
    <mergeCell ref="L844:M844"/>
    <mergeCell ref="N844:O844"/>
    <mergeCell ref="P844:V844"/>
    <mergeCell ref="D845:K845"/>
    <mergeCell ref="L845:M845"/>
    <mergeCell ref="N845:O845"/>
    <mergeCell ref="P845:V845"/>
    <mergeCell ref="D842:K842"/>
    <mergeCell ref="L842:M842"/>
    <mergeCell ref="N842:O842"/>
    <mergeCell ref="P842:V842"/>
    <mergeCell ref="D843:K843"/>
    <mergeCell ref="L843:M843"/>
    <mergeCell ref="N843:O843"/>
    <mergeCell ref="P843:V843"/>
    <mergeCell ref="D852:K852"/>
    <mergeCell ref="L852:M852"/>
    <mergeCell ref="N852:O852"/>
    <mergeCell ref="P852:V852"/>
    <mergeCell ref="D853:K853"/>
    <mergeCell ref="L853:M853"/>
    <mergeCell ref="N853:O853"/>
    <mergeCell ref="P853:V853"/>
    <mergeCell ref="D850:K850"/>
    <mergeCell ref="L850:M850"/>
    <mergeCell ref="N850:O850"/>
    <mergeCell ref="P850:V850"/>
    <mergeCell ref="D851:K851"/>
    <mergeCell ref="L851:M851"/>
    <mergeCell ref="N851:O851"/>
    <mergeCell ref="P851:V851"/>
    <mergeCell ref="D848:K848"/>
    <mergeCell ref="L848:M848"/>
    <mergeCell ref="N848:O848"/>
    <mergeCell ref="P848:V848"/>
    <mergeCell ref="D849:K849"/>
    <mergeCell ref="L849:M849"/>
    <mergeCell ref="N849:O849"/>
    <mergeCell ref="P849:V849"/>
    <mergeCell ref="D858:K858"/>
    <mergeCell ref="L858:M858"/>
    <mergeCell ref="N858:O858"/>
    <mergeCell ref="P858:V858"/>
    <mergeCell ref="D859:K859"/>
    <mergeCell ref="L859:M859"/>
    <mergeCell ref="N859:O859"/>
    <mergeCell ref="P859:V859"/>
    <mergeCell ref="D856:K856"/>
    <mergeCell ref="L856:M856"/>
    <mergeCell ref="N856:O856"/>
    <mergeCell ref="P856:V856"/>
    <mergeCell ref="D857:K857"/>
    <mergeCell ref="L857:M857"/>
    <mergeCell ref="N857:O857"/>
    <mergeCell ref="P857:V857"/>
    <mergeCell ref="D854:K854"/>
    <mergeCell ref="L854:M854"/>
    <mergeCell ref="N854:O854"/>
    <mergeCell ref="P854:V854"/>
    <mergeCell ref="D855:K855"/>
    <mergeCell ref="L855:M855"/>
    <mergeCell ref="N855:O855"/>
    <mergeCell ref="P855:V855"/>
    <mergeCell ref="D864:K864"/>
    <mergeCell ref="L864:M864"/>
    <mergeCell ref="N864:O864"/>
    <mergeCell ref="P864:V864"/>
    <mergeCell ref="D865:K865"/>
    <mergeCell ref="L865:M865"/>
    <mergeCell ref="N865:O865"/>
    <mergeCell ref="P865:V865"/>
    <mergeCell ref="D862:K862"/>
    <mergeCell ref="L862:M862"/>
    <mergeCell ref="N862:O862"/>
    <mergeCell ref="P862:V862"/>
    <mergeCell ref="D863:K863"/>
    <mergeCell ref="L863:M863"/>
    <mergeCell ref="N863:O863"/>
    <mergeCell ref="P863:V863"/>
    <mergeCell ref="D860:K860"/>
    <mergeCell ref="L860:M860"/>
    <mergeCell ref="N860:O860"/>
    <mergeCell ref="P860:V860"/>
    <mergeCell ref="D861:K861"/>
    <mergeCell ref="L861:M861"/>
    <mergeCell ref="N861:O861"/>
    <mergeCell ref="P861:V861"/>
    <mergeCell ref="E874:V874"/>
    <mergeCell ref="E875:V875"/>
    <mergeCell ref="E876:V876"/>
    <mergeCell ref="E877:V877"/>
    <mergeCell ref="E878:V878"/>
    <mergeCell ref="D869:V869"/>
    <mergeCell ref="E870:V870"/>
    <mergeCell ref="E871:V871"/>
    <mergeCell ref="E872:V872"/>
    <mergeCell ref="E873:V873"/>
    <mergeCell ref="D866:K866"/>
    <mergeCell ref="L866:M866"/>
    <mergeCell ref="N866:O866"/>
    <mergeCell ref="P866:V866"/>
    <mergeCell ref="D867:K867"/>
    <mergeCell ref="L867:M867"/>
    <mergeCell ref="N867:O867"/>
    <mergeCell ref="P867:V867"/>
    <mergeCell ref="D886:K886"/>
    <mergeCell ref="L886:M886"/>
    <mergeCell ref="N886:O886"/>
    <mergeCell ref="P886:V886"/>
    <mergeCell ref="D887:K887"/>
    <mergeCell ref="L887:M887"/>
    <mergeCell ref="N887:O887"/>
    <mergeCell ref="P887:V887"/>
    <mergeCell ref="D884:K884"/>
    <mergeCell ref="L884:M884"/>
    <mergeCell ref="N884:O884"/>
    <mergeCell ref="P884:V884"/>
    <mergeCell ref="D885:K885"/>
    <mergeCell ref="L885:M885"/>
    <mergeCell ref="N885:O885"/>
    <mergeCell ref="P885:V885"/>
    <mergeCell ref="E879:V879"/>
    <mergeCell ref="D881:P881"/>
    <mergeCell ref="Q881:V881"/>
    <mergeCell ref="D883:K883"/>
    <mergeCell ref="L883:M883"/>
    <mergeCell ref="N883:O883"/>
    <mergeCell ref="P883:V883"/>
    <mergeCell ref="D892:K892"/>
    <mergeCell ref="L892:M892"/>
    <mergeCell ref="N892:O892"/>
    <mergeCell ref="P892:V892"/>
    <mergeCell ref="D893:K893"/>
    <mergeCell ref="L893:M893"/>
    <mergeCell ref="N893:O893"/>
    <mergeCell ref="P893:V893"/>
    <mergeCell ref="D890:K890"/>
    <mergeCell ref="L890:M890"/>
    <mergeCell ref="N890:O890"/>
    <mergeCell ref="P890:V890"/>
    <mergeCell ref="D891:K891"/>
    <mergeCell ref="L891:M891"/>
    <mergeCell ref="N891:O891"/>
    <mergeCell ref="P891:V891"/>
    <mergeCell ref="D888:K888"/>
    <mergeCell ref="L888:M888"/>
    <mergeCell ref="N888:O888"/>
    <mergeCell ref="P888:V888"/>
    <mergeCell ref="D889:K889"/>
    <mergeCell ref="L889:M889"/>
    <mergeCell ref="N889:O889"/>
    <mergeCell ref="P889:V889"/>
    <mergeCell ref="D898:K898"/>
    <mergeCell ref="L898:M898"/>
    <mergeCell ref="N898:O898"/>
    <mergeCell ref="P898:V898"/>
    <mergeCell ref="D899:K899"/>
    <mergeCell ref="L899:M899"/>
    <mergeCell ref="N899:O899"/>
    <mergeCell ref="P899:V899"/>
    <mergeCell ref="D896:K896"/>
    <mergeCell ref="L896:M896"/>
    <mergeCell ref="N896:O896"/>
    <mergeCell ref="P896:V896"/>
    <mergeCell ref="D897:K897"/>
    <mergeCell ref="L897:M897"/>
    <mergeCell ref="N897:O897"/>
    <mergeCell ref="P897:V897"/>
    <mergeCell ref="D894:K894"/>
    <mergeCell ref="L894:M894"/>
    <mergeCell ref="N894:O894"/>
    <mergeCell ref="P894:V894"/>
    <mergeCell ref="D895:K895"/>
    <mergeCell ref="L895:M895"/>
    <mergeCell ref="N895:O895"/>
    <mergeCell ref="P895:V895"/>
    <mergeCell ref="D904:K904"/>
    <mergeCell ref="L904:M904"/>
    <mergeCell ref="N904:O904"/>
    <mergeCell ref="P904:V904"/>
    <mergeCell ref="D905:K905"/>
    <mergeCell ref="L905:M905"/>
    <mergeCell ref="N905:O905"/>
    <mergeCell ref="P905:V905"/>
    <mergeCell ref="D902:K902"/>
    <mergeCell ref="L902:M902"/>
    <mergeCell ref="N902:O902"/>
    <mergeCell ref="P902:V902"/>
    <mergeCell ref="D903:K903"/>
    <mergeCell ref="L903:M903"/>
    <mergeCell ref="N903:O903"/>
    <mergeCell ref="P903:V903"/>
    <mergeCell ref="D900:K900"/>
    <mergeCell ref="L900:M900"/>
    <mergeCell ref="N900:O900"/>
    <mergeCell ref="P900:V900"/>
    <mergeCell ref="D901:K901"/>
    <mergeCell ref="L901:M901"/>
    <mergeCell ref="N901:O901"/>
    <mergeCell ref="P901:V901"/>
    <mergeCell ref="D910:K910"/>
    <mergeCell ref="L910:M910"/>
    <mergeCell ref="N910:O910"/>
    <mergeCell ref="P910:V910"/>
    <mergeCell ref="D911:K911"/>
    <mergeCell ref="L911:M911"/>
    <mergeCell ref="N911:O911"/>
    <mergeCell ref="P911:V911"/>
    <mergeCell ref="D908:K908"/>
    <mergeCell ref="L908:M908"/>
    <mergeCell ref="N908:O908"/>
    <mergeCell ref="P908:V908"/>
    <mergeCell ref="D909:K909"/>
    <mergeCell ref="L909:M909"/>
    <mergeCell ref="N909:O909"/>
    <mergeCell ref="P909:V909"/>
    <mergeCell ref="D906:K906"/>
    <mergeCell ref="L906:M906"/>
    <mergeCell ref="N906:O906"/>
    <mergeCell ref="P906:V906"/>
    <mergeCell ref="D907:K907"/>
    <mergeCell ref="L907:M907"/>
    <mergeCell ref="N907:O907"/>
    <mergeCell ref="P907:V907"/>
    <mergeCell ref="D916:K916"/>
    <mergeCell ref="L916:M916"/>
    <mergeCell ref="N916:O916"/>
    <mergeCell ref="P916:V916"/>
    <mergeCell ref="D917:K917"/>
    <mergeCell ref="L917:M917"/>
    <mergeCell ref="N917:O917"/>
    <mergeCell ref="P917:V917"/>
    <mergeCell ref="D914:K914"/>
    <mergeCell ref="L914:M914"/>
    <mergeCell ref="N914:O914"/>
    <mergeCell ref="P914:V914"/>
    <mergeCell ref="D915:K915"/>
    <mergeCell ref="L915:M915"/>
    <mergeCell ref="N915:O915"/>
    <mergeCell ref="P915:V915"/>
    <mergeCell ref="D912:K912"/>
    <mergeCell ref="L912:M912"/>
    <mergeCell ref="N912:O912"/>
    <mergeCell ref="P912:V912"/>
    <mergeCell ref="D913:K913"/>
    <mergeCell ref="L913:M913"/>
    <mergeCell ref="N913:O913"/>
    <mergeCell ref="P913:V913"/>
    <mergeCell ref="D922:K922"/>
    <mergeCell ref="L922:M922"/>
    <mergeCell ref="N922:O922"/>
    <mergeCell ref="P922:V922"/>
    <mergeCell ref="D923:K923"/>
    <mergeCell ref="L923:M923"/>
    <mergeCell ref="N923:O923"/>
    <mergeCell ref="P923:V923"/>
    <mergeCell ref="D920:K920"/>
    <mergeCell ref="L920:M920"/>
    <mergeCell ref="N920:O920"/>
    <mergeCell ref="P920:V920"/>
    <mergeCell ref="D921:K921"/>
    <mergeCell ref="L921:M921"/>
    <mergeCell ref="N921:O921"/>
    <mergeCell ref="P921:V921"/>
    <mergeCell ref="D918:K918"/>
    <mergeCell ref="L918:M918"/>
    <mergeCell ref="N918:O918"/>
    <mergeCell ref="P918:V918"/>
    <mergeCell ref="D919:K919"/>
    <mergeCell ref="L919:M919"/>
    <mergeCell ref="N919:O919"/>
    <mergeCell ref="P919:V919"/>
    <mergeCell ref="E935:V935"/>
    <mergeCell ref="D937:P937"/>
    <mergeCell ref="Q937:V937"/>
    <mergeCell ref="D939:K939"/>
    <mergeCell ref="L939:M939"/>
    <mergeCell ref="N939:O939"/>
    <mergeCell ref="P939:V939"/>
    <mergeCell ref="E930:V930"/>
    <mergeCell ref="E931:V931"/>
    <mergeCell ref="E932:V932"/>
    <mergeCell ref="E933:V933"/>
    <mergeCell ref="E934:V934"/>
    <mergeCell ref="D925:V925"/>
    <mergeCell ref="E926:V926"/>
    <mergeCell ref="E927:V927"/>
    <mergeCell ref="E928:V928"/>
    <mergeCell ref="E929:V929"/>
    <mergeCell ref="D944:K944"/>
    <mergeCell ref="L944:M944"/>
    <mergeCell ref="N944:O944"/>
    <mergeCell ref="P944:V944"/>
    <mergeCell ref="D945:K945"/>
    <mergeCell ref="L945:M945"/>
    <mergeCell ref="N945:O945"/>
    <mergeCell ref="P945:V945"/>
    <mergeCell ref="D942:K942"/>
    <mergeCell ref="L942:M942"/>
    <mergeCell ref="N942:O942"/>
    <mergeCell ref="P942:V942"/>
    <mergeCell ref="D943:K943"/>
    <mergeCell ref="L943:M943"/>
    <mergeCell ref="N943:O943"/>
    <mergeCell ref="P943:V943"/>
    <mergeCell ref="D940:K940"/>
    <mergeCell ref="L940:M940"/>
    <mergeCell ref="N940:O940"/>
    <mergeCell ref="P940:V940"/>
    <mergeCell ref="D941:K941"/>
    <mergeCell ref="L941:M941"/>
    <mergeCell ref="N941:O941"/>
    <mergeCell ref="P941:V941"/>
    <mergeCell ref="D950:K950"/>
    <mergeCell ref="L950:M950"/>
    <mergeCell ref="N950:O950"/>
    <mergeCell ref="P950:V950"/>
    <mergeCell ref="D951:K951"/>
    <mergeCell ref="L951:M951"/>
    <mergeCell ref="N951:O951"/>
    <mergeCell ref="P951:V951"/>
    <mergeCell ref="D948:K948"/>
    <mergeCell ref="L948:M948"/>
    <mergeCell ref="N948:O948"/>
    <mergeCell ref="P948:V948"/>
    <mergeCell ref="D949:K949"/>
    <mergeCell ref="L949:M949"/>
    <mergeCell ref="N949:O949"/>
    <mergeCell ref="P949:V949"/>
    <mergeCell ref="D946:K946"/>
    <mergeCell ref="L946:M946"/>
    <mergeCell ref="N946:O946"/>
    <mergeCell ref="P946:V946"/>
    <mergeCell ref="D947:K947"/>
    <mergeCell ref="L947:M947"/>
    <mergeCell ref="N947:O947"/>
    <mergeCell ref="P947:V947"/>
    <mergeCell ref="D956:K956"/>
    <mergeCell ref="L956:M956"/>
    <mergeCell ref="N956:O956"/>
    <mergeCell ref="P956:V956"/>
    <mergeCell ref="D957:K957"/>
    <mergeCell ref="L957:M957"/>
    <mergeCell ref="N957:O957"/>
    <mergeCell ref="P957:V957"/>
    <mergeCell ref="D954:K954"/>
    <mergeCell ref="L954:M954"/>
    <mergeCell ref="N954:O954"/>
    <mergeCell ref="P954:V954"/>
    <mergeCell ref="D955:K955"/>
    <mergeCell ref="L955:M955"/>
    <mergeCell ref="N955:O955"/>
    <mergeCell ref="P955:V955"/>
    <mergeCell ref="D952:K952"/>
    <mergeCell ref="L952:M952"/>
    <mergeCell ref="N952:O952"/>
    <mergeCell ref="P952:V952"/>
    <mergeCell ref="D953:K953"/>
    <mergeCell ref="L953:M953"/>
    <mergeCell ref="N953:O953"/>
    <mergeCell ref="P953:V953"/>
    <mergeCell ref="D962:K962"/>
    <mergeCell ref="L962:M962"/>
    <mergeCell ref="N962:O962"/>
    <mergeCell ref="P962:V962"/>
    <mergeCell ref="D963:K963"/>
    <mergeCell ref="L963:M963"/>
    <mergeCell ref="N963:O963"/>
    <mergeCell ref="P963:V963"/>
    <mergeCell ref="D960:K960"/>
    <mergeCell ref="L960:M960"/>
    <mergeCell ref="N960:O960"/>
    <mergeCell ref="P960:V960"/>
    <mergeCell ref="D961:K961"/>
    <mergeCell ref="L961:M961"/>
    <mergeCell ref="N961:O961"/>
    <mergeCell ref="P961:V961"/>
    <mergeCell ref="D958:K958"/>
    <mergeCell ref="L958:M958"/>
    <mergeCell ref="N958:O958"/>
    <mergeCell ref="P958:V958"/>
    <mergeCell ref="D959:K959"/>
    <mergeCell ref="L959:M959"/>
    <mergeCell ref="N959:O959"/>
    <mergeCell ref="P959:V959"/>
    <mergeCell ref="D968:K968"/>
    <mergeCell ref="L968:M968"/>
    <mergeCell ref="N968:O968"/>
    <mergeCell ref="P968:V968"/>
    <mergeCell ref="D969:K969"/>
    <mergeCell ref="L969:M969"/>
    <mergeCell ref="N969:O969"/>
    <mergeCell ref="P969:V969"/>
    <mergeCell ref="D966:K966"/>
    <mergeCell ref="L966:M966"/>
    <mergeCell ref="N966:O966"/>
    <mergeCell ref="P966:V966"/>
    <mergeCell ref="D967:K967"/>
    <mergeCell ref="L967:M967"/>
    <mergeCell ref="N967:O967"/>
    <mergeCell ref="P967:V967"/>
    <mergeCell ref="D964:K964"/>
    <mergeCell ref="L964:M964"/>
    <mergeCell ref="N964:O964"/>
    <mergeCell ref="P964:V964"/>
    <mergeCell ref="D965:K965"/>
    <mergeCell ref="L965:M965"/>
    <mergeCell ref="N965:O965"/>
    <mergeCell ref="P965:V965"/>
    <mergeCell ref="D974:K974"/>
    <mergeCell ref="L974:M974"/>
    <mergeCell ref="N974:O974"/>
    <mergeCell ref="P974:V974"/>
    <mergeCell ref="D975:K975"/>
    <mergeCell ref="L975:M975"/>
    <mergeCell ref="N975:O975"/>
    <mergeCell ref="P975:V975"/>
    <mergeCell ref="D972:K972"/>
    <mergeCell ref="L972:M972"/>
    <mergeCell ref="N972:O972"/>
    <mergeCell ref="P972:V972"/>
    <mergeCell ref="D973:K973"/>
    <mergeCell ref="L973:M973"/>
    <mergeCell ref="N973:O973"/>
    <mergeCell ref="P973:V973"/>
    <mergeCell ref="D970:K970"/>
    <mergeCell ref="L970:M970"/>
    <mergeCell ref="N970:O970"/>
    <mergeCell ref="P970:V970"/>
    <mergeCell ref="D971:K971"/>
    <mergeCell ref="L971:M971"/>
    <mergeCell ref="N971:O971"/>
    <mergeCell ref="P971:V971"/>
    <mergeCell ref="D981:V981"/>
    <mergeCell ref="E982:V982"/>
    <mergeCell ref="E983:V983"/>
    <mergeCell ref="E984:V984"/>
    <mergeCell ref="E985:V985"/>
    <mergeCell ref="D978:K978"/>
    <mergeCell ref="L978:M978"/>
    <mergeCell ref="N978:O978"/>
    <mergeCell ref="P978:V978"/>
    <mergeCell ref="D979:K979"/>
    <mergeCell ref="L979:M979"/>
    <mergeCell ref="N979:O979"/>
    <mergeCell ref="P979:V979"/>
    <mergeCell ref="D976:K976"/>
    <mergeCell ref="L976:M976"/>
    <mergeCell ref="N976:O976"/>
    <mergeCell ref="P976:V976"/>
    <mergeCell ref="D977:K977"/>
    <mergeCell ref="L977:M977"/>
    <mergeCell ref="N977:O977"/>
    <mergeCell ref="P977:V977"/>
    <mergeCell ref="D996:K996"/>
    <mergeCell ref="L996:M996"/>
    <mergeCell ref="N996:O996"/>
    <mergeCell ref="P996:V996"/>
    <mergeCell ref="D997:K997"/>
    <mergeCell ref="L997:M997"/>
    <mergeCell ref="N997:O997"/>
    <mergeCell ref="P997:V997"/>
    <mergeCell ref="E991:V991"/>
    <mergeCell ref="D993:P993"/>
    <mergeCell ref="Q993:V993"/>
    <mergeCell ref="D995:K995"/>
    <mergeCell ref="L995:M995"/>
    <mergeCell ref="N995:O995"/>
    <mergeCell ref="P995:V995"/>
    <mergeCell ref="E986:V986"/>
    <mergeCell ref="E987:V987"/>
    <mergeCell ref="E988:V988"/>
    <mergeCell ref="E989:V989"/>
    <mergeCell ref="E990:V990"/>
    <mergeCell ref="D1002:K1002"/>
    <mergeCell ref="L1002:M1002"/>
    <mergeCell ref="N1002:O1002"/>
    <mergeCell ref="P1002:V1002"/>
    <mergeCell ref="D1003:K1003"/>
    <mergeCell ref="L1003:M1003"/>
    <mergeCell ref="N1003:O1003"/>
    <mergeCell ref="P1003:V1003"/>
    <mergeCell ref="D1000:K1000"/>
    <mergeCell ref="L1000:M1000"/>
    <mergeCell ref="N1000:O1000"/>
    <mergeCell ref="P1000:V1000"/>
    <mergeCell ref="D1001:K1001"/>
    <mergeCell ref="L1001:M1001"/>
    <mergeCell ref="N1001:O1001"/>
    <mergeCell ref="P1001:V1001"/>
    <mergeCell ref="D998:K998"/>
    <mergeCell ref="L998:M998"/>
    <mergeCell ref="N998:O998"/>
    <mergeCell ref="P998:V998"/>
    <mergeCell ref="D999:K999"/>
    <mergeCell ref="L999:M999"/>
    <mergeCell ref="N999:O999"/>
    <mergeCell ref="P999:V999"/>
    <mergeCell ref="D1008:K1008"/>
    <mergeCell ref="L1008:M1008"/>
    <mergeCell ref="N1008:O1008"/>
    <mergeCell ref="P1008:V1008"/>
    <mergeCell ref="D1009:K1009"/>
    <mergeCell ref="L1009:M1009"/>
    <mergeCell ref="N1009:O1009"/>
    <mergeCell ref="P1009:V1009"/>
    <mergeCell ref="D1006:K1006"/>
    <mergeCell ref="L1006:M1006"/>
    <mergeCell ref="N1006:O1006"/>
    <mergeCell ref="P1006:V1006"/>
    <mergeCell ref="D1007:K1007"/>
    <mergeCell ref="L1007:M1007"/>
    <mergeCell ref="N1007:O1007"/>
    <mergeCell ref="P1007:V1007"/>
    <mergeCell ref="D1004:K1004"/>
    <mergeCell ref="L1004:M1004"/>
    <mergeCell ref="N1004:O1004"/>
    <mergeCell ref="P1004:V1004"/>
    <mergeCell ref="D1005:K1005"/>
    <mergeCell ref="L1005:M1005"/>
    <mergeCell ref="N1005:O1005"/>
    <mergeCell ref="P1005:V1005"/>
    <mergeCell ref="D1014:K1014"/>
    <mergeCell ref="L1014:M1014"/>
    <mergeCell ref="N1014:O1014"/>
    <mergeCell ref="P1014:V1014"/>
    <mergeCell ref="D1015:K1015"/>
    <mergeCell ref="L1015:M1015"/>
    <mergeCell ref="N1015:O1015"/>
    <mergeCell ref="P1015:V1015"/>
    <mergeCell ref="D1012:K1012"/>
    <mergeCell ref="L1012:M1012"/>
    <mergeCell ref="N1012:O1012"/>
    <mergeCell ref="P1012:V1012"/>
    <mergeCell ref="D1013:K1013"/>
    <mergeCell ref="L1013:M1013"/>
    <mergeCell ref="N1013:O1013"/>
    <mergeCell ref="P1013:V1013"/>
    <mergeCell ref="D1010:K1010"/>
    <mergeCell ref="L1010:M1010"/>
    <mergeCell ref="N1010:O1010"/>
    <mergeCell ref="P1010:V1010"/>
    <mergeCell ref="D1011:K1011"/>
    <mergeCell ref="L1011:M1011"/>
    <mergeCell ref="N1011:O1011"/>
    <mergeCell ref="P1011:V1011"/>
    <mergeCell ref="D1020:K1020"/>
    <mergeCell ref="L1020:M1020"/>
    <mergeCell ref="N1020:O1020"/>
    <mergeCell ref="P1020:V1020"/>
    <mergeCell ref="D1021:K1021"/>
    <mergeCell ref="L1021:M1021"/>
    <mergeCell ref="N1021:O1021"/>
    <mergeCell ref="P1021:V1021"/>
    <mergeCell ref="D1018:K1018"/>
    <mergeCell ref="L1018:M1018"/>
    <mergeCell ref="N1018:O1018"/>
    <mergeCell ref="P1018:V1018"/>
    <mergeCell ref="D1019:K1019"/>
    <mergeCell ref="L1019:M1019"/>
    <mergeCell ref="N1019:O1019"/>
    <mergeCell ref="P1019:V1019"/>
    <mergeCell ref="D1016:K1016"/>
    <mergeCell ref="L1016:M1016"/>
    <mergeCell ref="N1016:O1016"/>
    <mergeCell ref="P1016:V1016"/>
    <mergeCell ref="D1017:K1017"/>
    <mergeCell ref="L1017:M1017"/>
    <mergeCell ref="N1017:O1017"/>
    <mergeCell ref="P1017:V1017"/>
    <mergeCell ref="D1026:K1026"/>
    <mergeCell ref="L1026:M1026"/>
    <mergeCell ref="N1026:O1026"/>
    <mergeCell ref="P1026:V1026"/>
    <mergeCell ref="D1027:K1027"/>
    <mergeCell ref="L1027:M1027"/>
    <mergeCell ref="N1027:O1027"/>
    <mergeCell ref="P1027:V1027"/>
    <mergeCell ref="D1024:K1024"/>
    <mergeCell ref="L1024:M1024"/>
    <mergeCell ref="N1024:O1024"/>
    <mergeCell ref="P1024:V1024"/>
    <mergeCell ref="D1025:K1025"/>
    <mergeCell ref="L1025:M1025"/>
    <mergeCell ref="N1025:O1025"/>
    <mergeCell ref="P1025:V1025"/>
    <mergeCell ref="D1022:K1022"/>
    <mergeCell ref="L1022:M1022"/>
    <mergeCell ref="N1022:O1022"/>
    <mergeCell ref="P1022:V1022"/>
    <mergeCell ref="D1023:K1023"/>
    <mergeCell ref="L1023:M1023"/>
    <mergeCell ref="N1023:O1023"/>
    <mergeCell ref="P1023:V1023"/>
    <mergeCell ref="D1032:K1032"/>
    <mergeCell ref="L1032:M1032"/>
    <mergeCell ref="N1032:O1032"/>
    <mergeCell ref="P1032:V1032"/>
    <mergeCell ref="D1033:K1033"/>
    <mergeCell ref="L1033:M1033"/>
    <mergeCell ref="N1033:O1033"/>
    <mergeCell ref="P1033:V1033"/>
    <mergeCell ref="D1030:K1030"/>
    <mergeCell ref="L1030:M1030"/>
    <mergeCell ref="N1030:O1030"/>
    <mergeCell ref="P1030:V1030"/>
    <mergeCell ref="D1031:K1031"/>
    <mergeCell ref="L1031:M1031"/>
    <mergeCell ref="N1031:O1031"/>
    <mergeCell ref="P1031:V1031"/>
    <mergeCell ref="D1028:K1028"/>
    <mergeCell ref="L1028:M1028"/>
    <mergeCell ref="N1028:O1028"/>
    <mergeCell ref="P1028:V1028"/>
    <mergeCell ref="D1029:K1029"/>
    <mergeCell ref="L1029:M1029"/>
    <mergeCell ref="N1029:O1029"/>
    <mergeCell ref="P1029:V1029"/>
    <mergeCell ref="E1043:V1043"/>
    <mergeCell ref="E1044:V1044"/>
    <mergeCell ref="E1045:V1045"/>
    <mergeCell ref="E1046:V1046"/>
    <mergeCell ref="D1037:V1037"/>
    <mergeCell ref="E1038:V1038"/>
    <mergeCell ref="E1039:V1039"/>
    <mergeCell ref="E1041:V1041"/>
    <mergeCell ref="E1042:V1042"/>
    <mergeCell ref="D1034:K1034"/>
    <mergeCell ref="L1034:M1034"/>
    <mergeCell ref="N1034:O1034"/>
    <mergeCell ref="P1034:V1034"/>
    <mergeCell ref="D1035:K1035"/>
    <mergeCell ref="L1035:M1035"/>
    <mergeCell ref="N1035:O1035"/>
    <mergeCell ref="P1035:V1035"/>
    <mergeCell ref="D1054:K1054"/>
    <mergeCell ref="L1054:M1054"/>
    <mergeCell ref="N1054:O1054"/>
    <mergeCell ref="P1054:V1054"/>
    <mergeCell ref="D1055:K1055"/>
    <mergeCell ref="L1055:M1055"/>
    <mergeCell ref="N1055:O1055"/>
    <mergeCell ref="P1055:V1055"/>
    <mergeCell ref="D1052:K1052"/>
    <mergeCell ref="L1052:M1052"/>
    <mergeCell ref="N1052:O1052"/>
    <mergeCell ref="P1052:V1052"/>
    <mergeCell ref="D1053:K1053"/>
    <mergeCell ref="L1053:M1053"/>
    <mergeCell ref="N1053:O1053"/>
    <mergeCell ref="P1053:V1053"/>
    <mergeCell ref="E1047:V1047"/>
    <mergeCell ref="D1049:P1049"/>
    <mergeCell ref="Q1049:V1049"/>
    <mergeCell ref="D1051:K1051"/>
    <mergeCell ref="L1051:M1051"/>
    <mergeCell ref="N1051:O1051"/>
    <mergeCell ref="P1051:V1051"/>
    <mergeCell ref="D1060:K1060"/>
    <mergeCell ref="L1060:M1060"/>
    <mergeCell ref="N1060:O1060"/>
    <mergeCell ref="P1060:V1060"/>
    <mergeCell ref="D1061:K1061"/>
    <mergeCell ref="L1061:M1061"/>
    <mergeCell ref="N1061:O1061"/>
    <mergeCell ref="P1061:V1061"/>
    <mergeCell ref="D1058:K1058"/>
    <mergeCell ref="L1058:M1058"/>
    <mergeCell ref="N1058:O1058"/>
    <mergeCell ref="P1058:V1058"/>
    <mergeCell ref="D1059:K1059"/>
    <mergeCell ref="L1059:M1059"/>
    <mergeCell ref="N1059:O1059"/>
    <mergeCell ref="P1059:V1059"/>
    <mergeCell ref="D1056:K1056"/>
    <mergeCell ref="L1056:M1056"/>
    <mergeCell ref="N1056:O1056"/>
    <mergeCell ref="P1056:V1056"/>
    <mergeCell ref="D1057:K1057"/>
    <mergeCell ref="L1057:M1057"/>
    <mergeCell ref="N1057:O1057"/>
    <mergeCell ref="P1057:V1057"/>
    <mergeCell ref="D1066:K1066"/>
    <mergeCell ref="L1066:M1066"/>
    <mergeCell ref="N1066:O1066"/>
    <mergeCell ref="P1066:V1066"/>
    <mergeCell ref="D1067:K1067"/>
    <mergeCell ref="L1067:M1067"/>
    <mergeCell ref="N1067:O1067"/>
    <mergeCell ref="P1067:V1067"/>
    <mergeCell ref="D1064:K1064"/>
    <mergeCell ref="L1064:M1064"/>
    <mergeCell ref="N1064:O1064"/>
    <mergeCell ref="P1064:V1064"/>
    <mergeCell ref="D1065:K1065"/>
    <mergeCell ref="L1065:M1065"/>
    <mergeCell ref="N1065:O1065"/>
    <mergeCell ref="P1065:V1065"/>
    <mergeCell ref="D1062:K1062"/>
    <mergeCell ref="L1062:M1062"/>
    <mergeCell ref="N1062:O1062"/>
    <mergeCell ref="P1062:V1062"/>
    <mergeCell ref="D1063:K1063"/>
    <mergeCell ref="L1063:M1063"/>
    <mergeCell ref="N1063:O1063"/>
    <mergeCell ref="P1063:V1063"/>
    <mergeCell ref="D1072:K1072"/>
    <mergeCell ref="L1072:M1072"/>
    <mergeCell ref="N1072:O1072"/>
    <mergeCell ref="P1072:V1072"/>
    <mergeCell ref="D1073:K1073"/>
    <mergeCell ref="L1073:M1073"/>
    <mergeCell ref="N1073:O1073"/>
    <mergeCell ref="P1073:V1073"/>
    <mergeCell ref="D1070:K1070"/>
    <mergeCell ref="L1070:M1070"/>
    <mergeCell ref="N1070:O1070"/>
    <mergeCell ref="P1070:V1070"/>
    <mergeCell ref="D1071:K1071"/>
    <mergeCell ref="L1071:M1071"/>
    <mergeCell ref="N1071:O1071"/>
    <mergeCell ref="P1071:V1071"/>
    <mergeCell ref="D1068:K1068"/>
    <mergeCell ref="L1068:M1068"/>
    <mergeCell ref="N1068:O1068"/>
    <mergeCell ref="P1068:V1068"/>
    <mergeCell ref="D1069:K1069"/>
    <mergeCell ref="L1069:M1069"/>
    <mergeCell ref="N1069:O1069"/>
    <mergeCell ref="P1069:V1069"/>
    <mergeCell ref="D1078:K1078"/>
    <mergeCell ref="L1078:M1078"/>
    <mergeCell ref="N1078:O1078"/>
    <mergeCell ref="P1078:V1078"/>
    <mergeCell ref="D1079:K1079"/>
    <mergeCell ref="L1079:M1079"/>
    <mergeCell ref="N1079:O1079"/>
    <mergeCell ref="P1079:V1079"/>
    <mergeCell ref="D1076:K1076"/>
    <mergeCell ref="L1076:M1076"/>
    <mergeCell ref="N1076:O1076"/>
    <mergeCell ref="P1076:V1076"/>
    <mergeCell ref="D1077:K1077"/>
    <mergeCell ref="L1077:M1077"/>
    <mergeCell ref="N1077:O1077"/>
    <mergeCell ref="P1077:V1077"/>
    <mergeCell ref="D1074:K1074"/>
    <mergeCell ref="L1074:M1074"/>
    <mergeCell ref="N1074:O1074"/>
    <mergeCell ref="P1074:V1074"/>
    <mergeCell ref="D1075:K1075"/>
    <mergeCell ref="L1075:M1075"/>
    <mergeCell ref="N1075:O1075"/>
    <mergeCell ref="P1075:V1075"/>
    <mergeCell ref="D1084:K1084"/>
    <mergeCell ref="L1084:M1084"/>
    <mergeCell ref="N1084:O1084"/>
    <mergeCell ref="P1084:V1084"/>
    <mergeCell ref="D1085:K1085"/>
    <mergeCell ref="L1085:M1085"/>
    <mergeCell ref="N1085:O1085"/>
    <mergeCell ref="P1085:V1085"/>
    <mergeCell ref="D1082:K1082"/>
    <mergeCell ref="L1082:M1082"/>
    <mergeCell ref="N1082:O1082"/>
    <mergeCell ref="P1082:V1082"/>
    <mergeCell ref="D1083:K1083"/>
    <mergeCell ref="L1083:M1083"/>
    <mergeCell ref="N1083:O1083"/>
    <mergeCell ref="P1083:V1083"/>
    <mergeCell ref="D1080:K1080"/>
    <mergeCell ref="L1080:M1080"/>
    <mergeCell ref="N1080:O1080"/>
    <mergeCell ref="P1080:V1080"/>
    <mergeCell ref="D1081:K1081"/>
    <mergeCell ref="L1081:M1081"/>
    <mergeCell ref="N1081:O1081"/>
    <mergeCell ref="P1081:V1081"/>
    <mergeCell ref="D1090:K1090"/>
    <mergeCell ref="L1090:M1090"/>
    <mergeCell ref="N1090:O1090"/>
    <mergeCell ref="P1090:V1090"/>
    <mergeCell ref="D1091:K1091"/>
    <mergeCell ref="L1091:M1091"/>
    <mergeCell ref="N1091:O1091"/>
    <mergeCell ref="P1091:V1091"/>
    <mergeCell ref="D1088:K1088"/>
    <mergeCell ref="L1088:M1088"/>
    <mergeCell ref="N1088:O1088"/>
    <mergeCell ref="P1088:V1088"/>
    <mergeCell ref="D1089:K1089"/>
    <mergeCell ref="L1089:M1089"/>
    <mergeCell ref="N1089:O1089"/>
    <mergeCell ref="P1089:V1089"/>
    <mergeCell ref="D1086:K1086"/>
    <mergeCell ref="L1086:M1086"/>
    <mergeCell ref="N1086:O1086"/>
    <mergeCell ref="P1086:V1086"/>
    <mergeCell ref="D1087:K1087"/>
    <mergeCell ref="L1087:M1087"/>
    <mergeCell ref="N1087:O1087"/>
    <mergeCell ref="P1087:V1087"/>
    <mergeCell ref="E1103:V1103"/>
    <mergeCell ref="D1105:P1105"/>
    <mergeCell ref="Q1105:V1105"/>
    <mergeCell ref="D1107:K1107"/>
    <mergeCell ref="L1107:M1107"/>
    <mergeCell ref="N1107:O1107"/>
    <mergeCell ref="P1107:V1107"/>
    <mergeCell ref="E1098:V1098"/>
    <mergeCell ref="E1099:V1099"/>
    <mergeCell ref="E1100:V1100"/>
    <mergeCell ref="E1101:V1101"/>
    <mergeCell ref="E1102:V1102"/>
    <mergeCell ref="D1093:V1093"/>
    <mergeCell ref="E1094:V1094"/>
    <mergeCell ref="E1095:V1095"/>
    <mergeCell ref="E1096:V1096"/>
    <mergeCell ref="E1097:V1097"/>
    <mergeCell ref="D1112:K1112"/>
    <mergeCell ref="L1112:M1112"/>
    <mergeCell ref="N1112:O1112"/>
    <mergeCell ref="P1112:V1112"/>
    <mergeCell ref="D1113:K1113"/>
    <mergeCell ref="L1113:M1113"/>
    <mergeCell ref="N1113:O1113"/>
    <mergeCell ref="P1113:V1113"/>
    <mergeCell ref="D1110:K1110"/>
    <mergeCell ref="L1110:M1110"/>
    <mergeCell ref="N1110:O1110"/>
    <mergeCell ref="P1110:V1110"/>
    <mergeCell ref="D1111:K1111"/>
    <mergeCell ref="L1111:M1111"/>
    <mergeCell ref="N1111:O1111"/>
    <mergeCell ref="P1111:V1111"/>
    <mergeCell ref="D1108:K1108"/>
    <mergeCell ref="L1108:M1108"/>
    <mergeCell ref="N1108:O1108"/>
    <mergeCell ref="P1108:V1108"/>
    <mergeCell ref="D1109:K1109"/>
    <mergeCell ref="L1109:M1109"/>
    <mergeCell ref="N1109:O1109"/>
    <mergeCell ref="P1109:V1109"/>
    <mergeCell ref="D1118:K1118"/>
    <mergeCell ref="L1118:M1118"/>
    <mergeCell ref="N1118:O1118"/>
    <mergeCell ref="P1118:V1118"/>
    <mergeCell ref="D1119:K1119"/>
    <mergeCell ref="L1119:M1119"/>
    <mergeCell ref="N1119:O1119"/>
    <mergeCell ref="P1119:V1119"/>
    <mergeCell ref="D1116:K1116"/>
    <mergeCell ref="L1116:M1116"/>
    <mergeCell ref="N1116:O1116"/>
    <mergeCell ref="P1116:V1116"/>
    <mergeCell ref="D1117:K1117"/>
    <mergeCell ref="L1117:M1117"/>
    <mergeCell ref="N1117:O1117"/>
    <mergeCell ref="P1117:V1117"/>
    <mergeCell ref="D1114:K1114"/>
    <mergeCell ref="L1114:M1114"/>
    <mergeCell ref="N1114:O1114"/>
    <mergeCell ref="P1114:V1114"/>
    <mergeCell ref="D1115:K1115"/>
    <mergeCell ref="L1115:M1115"/>
    <mergeCell ref="N1115:O1115"/>
    <mergeCell ref="P1115:V1115"/>
    <mergeCell ref="D1124:K1124"/>
    <mergeCell ref="L1124:M1124"/>
    <mergeCell ref="N1124:O1124"/>
    <mergeCell ref="P1124:V1124"/>
    <mergeCell ref="D1125:K1125"/>
    <mergeCell ref="L1125:M1125"/>
    <mergeCell ref="N1125:O1125"/>
    <mergeCell ref="P1125:V1125"/>
    <mergeCell ref="D1122:K1122"/>
    <mergeCell ref="L1122:M1122"/>
    <mergeCell ref="N1122:O1122"/>
    <mergeCell ref="P1122:V1122"/>
    <mergeCell ref="D1123:K1123"/>
    <mergeCell ref="L1123:M1123"/>
    <mergeCell ref="N1123:O1123"/>
    <mergeCell ref="P1123:V1123"/>
    <mergeCell ref="D1120:K1120"/>
    <mergeCell ref="L1120:M1120"/>
    <mergeCell ref="N1120:O1120"/>
    <mergeCell ref="P1120:V1120"/>
    <mergeCell ref="D1121:K1121"/>
    <mergeCell ref="L1121:M1121"/>
    <mergeCell ref="N1121:O1121"/>
    <mergeCell ref="P1121:V1121"/>
    <mergeCell ref="D1130:K1130"/>
    <mergeCell ref="L1130:M1130"/>
    <mergeCell ref="N1130:O1130"/>
    <mergeCell ref="P1130:V1130"/>
    <mergeCell ref="D1131:K1131"/>
    <mergeCell ref="L1131:M1131"/>
    <mergeCell ref="N1131:O1131"/>
    <mergeCell ref="P1131:V1131"/>
    <mergeCell ref="D1128:K1128"/>
    <mergeCell ref="L1128:M1128"/>
    <mergeCell ref="N1128:O1128"/>
    <mergeCell ref="P1128:V1128"/>
    <mergeCell ref="D1129:K1129"/>
    <mergeCell ref="L1129:M1129"/>
    <mergeCell ref="N1129:O1129"/>
    <mergeCell ref="P1129:V1129"/>
    <mergeCell ref="D1126:K1126"/>
    <mergeCell ref="L1126:M1126"/>
    <mergeCell ref="N1126:O1126"/>
    <mergeCell ref="P1126:V1126"/>
    <mergeCell ref="D1127:K1127"/>
    <mergeCell ref="L1127:M1127"/>
    <mergeCell ref="N1127:O1127"/>
    <mergeCell ref="P1127:V1127"/>
    <mergeCell ref="D1136:K1136"/>
    <mergeCell ref="L1136:M1136"/>
    <mergeCell ref="N1136:O1136"/>
    <mergeCell ref="P1136:V1136"/>
    <mergeCell ref="D1137:K1137"/>
    <mergeCell ref="L1137:M1137"/>
    <mergeCell ref="N1137:O1137"/>
    <mergeCell ref="P1137:V1137"/>
    <mergeCell ref="D1134:K1134"/>
    <mergeCell ref="L1134:M1134"/>
    <mergeCell ref="N1134:O1134"/>
    <mergeCell ref="P1134:V1134"/>
    <mergeCell ref="D1135:K1135"/>
    <mergeCell ref="L1135:M1135"/>
    <mergeCell ref="N1135:O1135"/>
    <mergeCell ref="P1135:V1135"/>
    <mergeCell ref="D1132:K1132"/>
    <mergeCell ref="L1132:M1132"/>
    <mergeCell ref="N1132:O1132"/>
    <mergeCell ref="P1132:V1132"/>
    <mergeCell ref="D1133:K1133"/>
    <mergeCell ref="L1133:M1133"/>
    <mergeCell ref="N1133:O1133"/>
    <mergeCell ref="P1133:V1133"/>
    <mergeCell ref="D1142:K1142"/>
    <mergeCell ref="L1142:M1142"/>
    <mergeCell ref="N1142:O1142"/>
    <mergeCell ref="P1142:V1142"/>
    <mergeCell ref="D1143:K1143"/>
    <mergeCell ref="L1143:M1143"/>
    <mergeCell ref="N1143:O1143"/>
    <mergeCell ref="P1143:V1143"/>
    <mergeCell ref="D1140:K1140"/>
    <mergeCell ref="L1140:M1140"/>
    <mergeCell ref="N1140:O1140"/>
    <mergeCell ref="P1140:V1140"/>
    <mergeCell ref="D1141:K1141"/>
    <mergeCell ref="L1141:M1141"/>
    <mergeCell ref="N1141:O1141"/>
    <mergeCell ref="P1141:V1141"/>
    <mergeCell ref="D1138:K1138"/>
    <mergeCell ref="L1138:M1138"/>
    <mergeCell ref="N1138:O1138"/>
    <mergeCell ref="P1138:V1138"/>
    <mergeCell ref="D1139:K1139"/>
    <mergeCell ref="L1139:M1139"/>
    <mergeCell ref="N1139:O1139"/>
    <mergeCell ref="P1139:V1139"/>
    <mergeCell ref="D1149:V1149"/>
    <mergeCell ref="E1150:V1150"/>
    <mergeCell ref="E1151:V1151"/>
    <mergeCell ref="E1152:V1152"/>
    <mergeCell ref="E1153:V1153"/>
    <mergeCell ref="D1146:K1146"/>
    <mergeCell ref="L1146:M1146"/>
    <mergeCell ref="N1146:O1146"/>
    <mergeCell ref="P1146:V1146"/>
    <mergeCell ref="D1147:K1147"/>
    <mergeCell ref="L1147:M1147"/>
    <mergeCell ref="N1147:O1147"/>
    <mergeCell ref="P1147:V1147"/>
    <mergeCell ref="D1144:K1144"/>
    <mergeCell ref="L1144:M1144"/>
    <mergeCell ref="N1144:O1144"/>
    <mergeCell ref="P1144:V1144"/>
    <mergeCell ref="D1145:K1145"/>
    <mergeCell ref="L1145:M1145"/>
    <mergeCell ref="N1145:O1145"/>
    <mergeCell ref="P1145:V1145"/>
    <mergeCell ref="D1164:K1164"/>
    <mergeCell ref="L1164:M1164"/>
    <mergeCell ref="N1164:O1164"/>
    <mergeCell ref="P1164:V1164"/>
    <mergeCell ref="D1165:K1165"/>
    <mergeCell ref="L1165:M1165"/>
    <mergeCell ref="N1165:O1165"/>
    <mergeCell ref="P1165:V1165"/>
    <mergeCell ref="E1159:V1159"/>
    <mergeCell ref="D1161:P1161"/>
    <mergeCell ref="Q1161:V1161"/>
    <mergeCell ref="D1163:K1163"/>
    <mergeCell ref="L1163:M1163"/>
    <mergeCell ref="N1163:O1163"/>
    <mergeCell ref="P1163:V1163"/>
    <mergeCell ref="E1154:V1154"/>
    <mergeCell ref="E1155:V1155"/>
    <mergeCell ref="E1156:V1156"/>
    <mergeCell ref="E1157:V1157"/>
    <mergeCell ref="E1158:V1158"/>
    <mergeCell ref="D1170:K1170"/>
    <mergeCell ref="L1170:M1170"/>
    <mergeCell ref="N1170:O1170"/>
    <mergeCell ref="P1170:V1170"/>
    <mergeCell ref="D1171:K1171"/>
    <mergeCell ref="L1171:M1171"/>
    <mergeCell ref="N1171:O1171"/>
    <mergeCell ref="P1171:V1171"/>
    <mergeCell ref="D1168:K1168"/>
    <mergeCell ref="L1168:M1168"/>
    <mergeCell ref="N1168:O1168"/>
    <mergeCell ref="P1168:V1168"/>
    <mergeCell ref="D1169:K1169"/>
    <mergeCell ref="L1169:M1169"/>
    <mergeCell ref="N1169:O1169"/>
    <mergeCell ref="P1169:V1169"/>
    <mergeCell ref="D1166:K1166"/>
    <mergeCell ref="L1166:M1166"/>
    <mergeCell ref="N1166:O1166"/>
    <mergeCell ref="P1166:V1166"/>
    <mergeCell ref="D1167:K1167"/>
    <mergeCell ref="L1167:M1167"/>
    <mergeCell ref="N1167:O1167"/>
    <mergeCell ref="P1167:V1167"/>
    <mergeCell ref="D1176:K1176"/>
    <mergeCell ref="L1176:M1176"/>
    <mergeCell ref="N1176:O1176"/>
    <mergeCell ref="P1176:V1176"/>
    <mergeCell ref="D1177:K1177"/>
    <mergeCell ref="L1177:M1177"/>
    <mergeCell ref="N1177:O1177"/>
    <mergeCell ref="P1177:V1177"/>
    <mergeCell ref="D1174:K1174"/>
    <mergeCell ref="L1174:M1174"/>
    <mergeCell ref="N1174:O1174"/>
    <mergeCell ref="P1174:V1174"/>
    <mergeCell ref="D1175:K1175"/>
    <mergeCell ref="L1175:M1175"/>
    <mergeCell ref="N1175:O1175"/>
    <mergeCell ref="P1175:V1175"/>
    <mergeCell ref="D1172:K1172"/>
    <mergeCell ref="L1172:M1172"/>
    <mergeCell ref="N1172:O1172"/>
    <mergeCell ref="P1172:V1172"/>
    <mergeCell ref="D1173:K1173"/>
    <mergeCell ref="L1173:M1173"/>
    <mergeCell ref="N1173:O1173"/>
    <mergeCell ref="P1173:V1173"/>
    <mergeCell ref="D1182:K1182"/>
    <mergeCell ref="L1182:M1182"/>
    <mergeCell ref="N1182:O1182"/>
    <mergeCell ref="P1182:V1182"/>
    <mergeCell ref="D1183:K1183"/>
    <mergeCell ref="L1183:M1183"/>
    <mergeCell ref="N1183:O1183"/>
    <mergeCell ref="P1183:V1183"/>
    <mergeCell ref="D1180:K1180"/>
    <mergeCell ref="L1180:M1180"/>
    <mergeCell ref="N1180:O1180"/>
    <mergeCell ref="P1180:V1180"/>
    <mergeCell ref="D1181:K1181"/>
    <mergeCell ref="L1181:M1181"/>
    <mergeCell ref="N1181:O1181"/>
    <mergeCell ref="P1181:V1181"/>
    <mergeCell ref="D1178:K1178"/>
    <mergeCell ref="L1178:M1178"/>
    <mergeCell ref="N1178:O1178"/>
    <mergeCell ref="P1178:V1178"/>
    <mergeCell ref="D1179:K1179"/>
    <mergeCell ref="L1179:M1179"/>
    <mergeCell ref="N1179:O1179"/>
    <mergeCell ref="P1179:V1179"/>
    <mergeCell ref="D1188:K1188"/>
    <mergeCell ref="L1188:M1188"/>
    <mergeCell ref="N1188:O1188"/>
    <mergeCell ref="P1188:V1188"/>
    <mergeCell ref="D1189:K1189"/>
    <mergeCell ref="L1189:M1189"/>
    <mergeCell ref="N1189:O1189"/>
    <mergeCell ref="P1189:V1189"/>
    <mergeCell ref="D1186:K1186"/>
    <mergeCell ref="L1186:M1186"/>
    <mergeCell ref="N1186:O1186"/>
    <mergeCell ref="P1186:V1186"/>
    <mergeCell ref="D1187:K1187"/>
    <mergeCell ref="L1187:M1187"/>
    <mergeCell ref="N1187:O1187"/>
    <mergeCell ref="P1187:V1187"/>
    <mergeCell ref="D1184:K1184"/>
    <mergeCell ref="L1184:M1184"/>
    <mergeCell ref="N1184:O1184"/>
    <mergeCell ref="P1184:V1184"/>
    <mergeCell ref="D1185:K1185"/>
    <mergeCell ref="L1185:M1185"/>
    <mergeCell ref="N1185:O1185"/>
    <mergeCell ref="P1185:V1185"/>
    <mergeCell ref="D1194:K1194"/>
    <mergeCell ref="L1194:M1194"/>
    <mergeCell ref="N1194:O1194"/>
    <mergeCell ref="P1194:V1194"/>
    <mergeCell ref="D1195:K1195"/>
    <mergeCell ref="L1195:M1195"/>
    <mergeCell ref="N1195:O1195"/>
    <mergeCell ref="P1195:V1195"/>
    <mergeCell ref="D1192:K1192"/>
    <mergeCell ref="L1192:M1192"/>
    <mergeCell ref="N1192:O1192"/>
    <mergeCell ref="P1192:V1192"/>
    <mergeCell ref="D1193:K1193"/>
    <mergeCell ref="L1193:M1193"/>
    <mergeCell ref="N1193:O1193"/>
    <mergeCell ref="P1193:V1193"/>
    <mergeCell ref="D1190:K1190"/>
    <mergeCell ref="L1190:M1190"/>
    <mergeCell ref="N1190:O1190"/>
    <mergeCell ref="P1190:V1190"/>
    <mergeCell ref="D1191:K1191"/>
    <mergeCell ref="L1191:M1191"/>
    <mergeCell ref="N1191:O1191"/>
    <mergeCell ref="P1191:V1191"/>
    <mergeCell ref="D1200:K1200"/>
    <mergeCell ref="L1200:M1200"/>
    <mergeCell ref="N1200:O1200"/>
    <mergeCell ref="P1200:V1200"/>
    <mergeCell ref="D1201:K1201"/>
    <mergeCell ref="L1201:M1201"/>
    <mergeCell ref="N1201:O1201"/>
    <mergeCell ref="P1201:V1201"/>
    <mergeCell ref="D1198:K1198"/>
    <mergeCell ref="L1198:M1198"/>
    <mergeCell ref="N1198:O1198"/>
    <mergeCell ref="P1198:V1198"/>
    <mergeCell ref="D1199:K1199"/>
    <mergeCell ref="L1199:M1199"/>
    <mergeCell ref="N1199:O1199"/>
    <mergeCell ref="P1199:V1199"/>
    <mergeCell ref="D1196:K1196"/>
    <mergeCell ref="L1196:M1196"/>
    <mergeCell ref="N1196:O1196"/>
    <mergeCell ref="P1196:V1196"/>
    <mergeCell ref="D1197:K1197"/>
    <mergeCell ref="L1197:M1197"/>
    <mergeCell ref="N1197:O1197"/>
    <mergeCell ref="P1197:V1197"/>
    <mergeCell ref="E1210:V1210"/>
    <mergeCell ref="E1211:V1211"/>
    <mergeCell ref="E1212:V1212"/>
    <mergeCell ref="E1213:V1213"/>
    <mergeCell ref="E1214:V1214"/>
    <mergeCell ref="D1205:V1205"/>
    <mergeCell ref="E1206:V1206"/>
    <mergeCell ref="E1207:V1207"/>
    <mergeCell ref="E1208:V1208"/>
    <mergeCell ref="E1209:V1209"/>
    <mergeCell ref="D1202:K1202"/>
    <mergeCell ref="L1202:M1202"/>
    <mergeCell ref="N1202:O1202"/>
    <mergeCell ref="P1202:V1202"/>
    <mergeCell ref="D1203:K1203"/>
    <mergeCell ref="L1203:M1203"/>
    <mergeCell ref="N1203:O1203"/>
    <mergeCell ref="P1203:V1203"/>
    <mergeCell ref="D1222:K1222"/>
    <mergeCell ref="L1222:M1222"/>
    <mergeCell ref="N1222:O1222"/>
    <mergeCell ref="P1222:V1222"/>
    <mergeCell ref="D1223:K1223"/>
    <mergeCell ref="L1223:M1223"/>
    <mergeCell ref="N1223:O1223"/>
    <mergeCell ref="P1223:V1223"/>
    <mergeCell ref="D1220:K1220"/>
    <mergeCell ref="L1220:M1220"/>
    <mergeCell ref="N1220:O1220"/>
    <mergeCell ref="P1220:V1220"/>
    <mergeCell ref="D1221:K1221"/>
    <mergeCell ref="L1221:M1221"/>
    <mergeCell ref="N1221:O1221"/>
    <mergeCell ref="P1221:V1221"/>
    <mergeCell ref="E1215:V1215"/>
    <mergeCell ref="D1217:P1217"/>
    <mergeCell ref="Q1217:V1217"/>
    <mergeCell ref="D1219:K1219"/>
    <mergeCell ref="L1219:M1219"/>
    <mergeCell ref="N1219:O1219"/>
    <mergeCell ref="P1219:V1219"/>
    <mergeCell ref="D1228:K1228"/>
    <mergeCell ref="L1228:M1228"/>
    <mergeCell ref="N1228:O1228"/>
    <mergeCell ref="P1228:V1228"/>
    <mergeCell ref="D1229:K1229"/>
    <mergeCell ref="L1229:M1229"/>
    <mergeCell ref="N1229:O1229"/>
    <mergeCell ref="P1229:V1229"/>
    <mergeCell ref="D1226:K1226"/>
    <mergeCell ref="L1226:M1226"/>
    <mergeCell ref="N1226:O1226"/>
    <mergeCell ref="P1226:V1226"/>
    <mergeCell ref="D1227:K1227"/>
    <mergeCell ref="L1227:M1227"/>
    <mergeCell ref="N1227:O1227"/>
    <mergeCell ref="P1227:V1227"/>
    <mergeCell ref="D1224:K1224"/>
    <mergeCell ref="L1224:M1224"/>
    <mergeCell ref="N1224:O1224"/>
    <mergeCell ref="P1224:V1224"/>
    <mergeCell ref="D1225:K1225"/>
    <mergeCell ref="L1225:M1225"/>
    <mergeCell ref="N1225:O1225"/>
    <mergeCell ref="P1225:V1225"/>
    <mergeCell ref="D1234:K1234"/>
    <mergeCell ref="L1234:M1234"/>
    <mergeCell ref="N1234:O1234"/>
    <mergeCell ref="P1234:V1234"/>
    <mergeCell ref="D1235:K1235"/>
    <mergeCell ref="L1235:M1235"/>
    <mergeCell ref="N1235:O1235"/>
    <mergeCell ref="P1235:V1235"/>
    <mergeCell ref="D1232:K1232"/>
    <mergeCell ref="L1232:M1232"/>
    <mergeCell ref="N1232:O1232"/>
    <mergeCell ref="P1232:V1232"/>
    <mergeCell ref="D1233:K1233"/>
    <mergeCell ref="L1233:M1233"/>
    <mergeCell ref="N1233:O1233"/>
    <mergeCell ref="P1233:V1233"/>
    <mergeCell ref="D1230:K1230"/>
    <mergeCell ref="L1230:M1230"/>
    <mergeCell ref="N1230:O1230"/>
    <mergeCell ref="P1230:V1230"/>
    <mergeCell ref="D1231:K1231"/>
    <mergeCell ref="L1231:M1231"/>
    <mergeCell ref="N1231:O1231"/>
    <mergeCell ref="P1231:V1231"/>
    <mergeCell ref="D1240:K1240"/>
    <mergeCell ref="L1240:M1240"/>
    <mergeCell ref="N1240:O1240"/>
    <mergeCell ref="P1240:V1240"/>
    <mergeCell ref="D1241:K1241"/>
    <mergeCell ref="L1241:M1241"/>
    <mergeCell ref="N1241:O1241"/>
    <mergeCell ref="P1241:V1241"/>
    <mergeCell ref="D1238:K1238"/>
    <mergeCell ref="L1238:M1238"/>
    <mergeCell ref="N1238:O1238"/>
    <mergeCell ref="P1238:V1238"/>
    <mergeCell ref="D1239:K1239"/>
    <mergeCell ref="L1239:M1239"/>
    <mergeCell ref="N1239:O1239"/>
    <mergeCell ref="P1239:V1239"/>
    <mergeCell ref="D1236:K1236"/>
    <mergeCell ref="L1236:M1236"/>
    <mergeCell ref="N1236:O1236"/>
    <mergeCell ref="P1236:V1236"/>
    <mergeCell ref="D1237:K1237"/>
    <mergeCell ref="L1237:M1237"/>
    <mergeCell ref="N1237:O1237"/>
    <mergeCell ref="P1237:V1237"/>
    <mergeCell ref="D1246:K1246"/>
    <mergeCell ref="L1246:M1246"/>
    <mergeCell ref="N1246:O1246"/>
    <mergeCell ref="P1246:V1246"/>
    <mergeCell ref="D1247:K1247"/>
    <mergeCell ref="L1247:M1247"/>
    <mergeCell ref="N1247:O1247"/>
    <mergeCell ref="P1247:V1247"/>
    <mergeCell ref="D1244:K1244"/>
    <mergeCell ref="L1244:M1244"/>
    <mergeCell ref="N1244:O1244"/>
    <mergeCell ref="P1244:V1244"/>
    <mergeCell ref="D1245:K1245"/>
    <mergeCell ref="L1245:M1245"/>
    <mergeCell ref="N1245:O1245"/>
    <mergeCell ref="P1245:V1245"/>
    <mergeCell ref="D1242:K1242"/>
    <mergeCell ref="L1242:M1242"/>
    <mergeCell ref="N1242:O1242"/>
    <mergeCell ref="P1242:V1242"/>
    <mergeCell ref="D1243:K1243"/>
    <mergeCell ref="L1243:M1243"/>
    <mergeCell ref="N1243:O1243"/>
    <mergeCell ref="P1243:V1243"/>
    <mergeCell ref="D1252:K1252"/>
    <mergeCell ref="L1252:M1252"/>
    <mergeCell ref="N1252:O1252"/>
    <mergeCell ref="P1252:V1252"/>
    <mergeCell ref="D1253:K1253"/>
    <mergeCell ref="L1253:M1253"/>
    <mergeCell ref="N1253:O1253"/>
    <mergeCell ref="P1253:V1253"/>
    <mergeCell ref="D1250:K1250"/>
    <mergeCell ref="L1250:M1250"/>
    <mergeCell ref="N1250:O1250"/>
    <mergeCell ref="P1250:V1250"/>
    <mergeCell ref="D1251:K1251"/>
    <mergeCell ref="L1251:M1251"/>
    <mergeCell ref="N1251:O1251"/>
    <mergeCell ref="P1251:V1251"/>
    <mergeCell ref="D1248:K1248"/>
    <mergeCell ref="L1248:M1248"/>
    <mergeCell ref="N1248:O1248"/>
    <mergeCell ref="P1248:V1248"/>
    <mergeCell ref="D1249:K1249"/>
    <mergeCell ref="L1249:M1249"/>
    <mergeCell ref="N1249:O1249"/>
    <mergeCell ref="P1249:V1249"/>
    <mergeCell ref="D1258:K1258"/>
    <mergeCell ref="L1258:M1258"/>
    <mergeCell ref="N1258:O1258"/>
    <mergeCell ref="P1258:V1258"/>
    <mergeCell ref="D1259:K1259"/>
    <mergeCell ref="L1259:M1259"/>
    <mergeCell ref="N1259:O1259"/>
    <mergeCell ref="P1259:V1259"/>
    <mergeCell ref="D1256:K1256"/>
    <mergeCell ref="L1256:M1256"/>
    <mergeCell ref="N1256:O1256"/>
    <mergeCell ref="P1256:V1256"/>
    <mergeCell ref="D1257:K1257"/>
    <mergeCell ref="L1257:M1257"/>
    <mergeCell ref="N1257:O1257"/>
    <mergeCell ref="P1257:V1257"/>
    <mergeCell ref="D1254:K1254"/>
    <mergeCell ref="L1254:M1254"/>
    <mergeCell ref="N1254:O1254"/>
    <mergeCell ref="P1254:V1254"/>
    <mergeCell ref="D1255:K1255"/>
    <mergeCell ref="L1255:M1255"/>
    <mergeCell ref="N1255:O1255"/>
    <mergeCell ref="P1255:V1255"/>
    <mergeCell ref="E1271:V1271"/>
    <mergeCell ref="D1273:P1273"/>
    <mergeCell ref="Q1273:V1273"/>
    <mergeCell ref="D1275:K1275"/>
    <mergeCell ref="L1275:M1275"/>
    <mergeCell ref="N1275:O1275"/>
    <mergeCell ref="P1275:V1275"/>
    <mergeCell ref="E1266:V1266"/>
    <mergeCell ref="E1267:V1267"/>
    <mergeCell ref="E1268:V1268"/>
    <mergeCell ref="E1269:V1269"/>
    <mergeCell ref="E1270:V1270"/>
    <mergeCell ref="D1261:V1261"/>
    <mergeCell ref="E1262:V1262"/>
    <mergeCell ref="E1263:V1263"/>
    <mergeCell ref="E1264:V1264"/>
    <mergeCell ref="E1265:V1265"/>
    <mergeCell ref="D1280:K1280"/>
    <mergeCell ref="L1280:M1280"/>
    <mergeCell ref="N1280:O1280"/>
    <mergeCell ref="P1280:V1280"/>
    <mergeCell ref="D1281:K1281"/>
    <mergeCell ref="L1281:M1281"/>
    <mergeCell ref="N1281:O1281"/>
    <mergeCell ref="P1281:V1281"/>
    <mergeCell ref="D1278:K1278"/>
    <mergeCell ref="L1278:M1278"/>
    <mergeCell ref="N1278:O1278"/>
    <mergeCell ref="P1278:V1278"/>
    <mergeCell ref="D1279:K1279"/>
    <mergeCell ref="L1279:M1279"/>
    <mergeCell ref="N1279:O1279"/>
    <mergeCell ref="P1279:V1279"/>
    <mergeCell ref="D1276:K1276"/>
    <mergeCell ref="L1276:M1276"/>
    <mergeCell ref="N1276:O1276"/>
    <mergeCell ref="P1276:V1276"/>
    <mergeCell ref="D1277:K1277"/>
    <mergeCell ref="L1277:M1277"/>
    <mergeCell ref="N1277:O1277"/>
    <mergeCell ref="P1277:V1277"/>
    <mergeCell ref="D1286:K1286"/>
    <mergeCell ref="L1286:M1286"/>
    <mergeCell ref="N1286:O1286"/>
    <mergeCell ref="P1286:V1286"/>
    <mergeCell ref="D1287:K1287"/>
    <mergeCell ref="L1287:M1287"/>
    <mergeCell ref="N1287:O1287"/>
    <mergeCell ref="P1287:V1287"/>
    <mergeCell ref="D1284:K1284"/>
    <mergeCell ref="L1284:M1284"/>
    <mergeCell ref="N1284:O1284"/>
    <mergeCell ref="P1284:V1284"/>
    <mergeCell ref="D1285:K1285"/>
    <mergeCell ref="L1285:M1285"/>
    <mergeCell ref="N1285:O1285"/>
    <mergeCell ref="P1285:V1285"/>
    <mergeCell ref="D1282:K1282"/>
    <mergeCell ref="L1282:M1282"/>
    <mergeCell ref="N1282:O1282"/>
    <mergeCell ref="P1282:V1282"/>
    <mergeCell ref="D1283:K1283"/>
    <mergeCell ref="L1283:M1283"/>
    <mergeCell ref="N1283:O1283"/>
    <mergeCell ref="P1283:V1283"/>
    <mergeCell ref="D1292:K1292"/>
    <mergeCell ref="L1292:M1292"/>
    <mergeCell ref="N1292:O1292"/>
    <mergeCell ref="P1292:V1292"/>
    <mergeCell ref="D1293:K1293"/>
    <mergeCell ref="L1293:M1293"/>
    <mergeCell ref="N1293:O1293"/>
    <mergeCell ref="P1293:V1293"/>
    <mergeCell ref="D1290:K1290"/>
    <mergeCell ref="L1290:M1290"/>
    <mergeCell ref="N1290:O1290"/>
    <mergeCell ref="P1290:V1290"/>
    <mergeCell ref="D1291:K1291"/>
    <mergeCell ref="L1291:M1291"/>
    <mergeCell ref="N1291:O1291"/>
    <mergeCell ref="P1291:V1291"/>
    <mergeCell ref="D1288:K1288"/>
    <mergeCell ref="L1288:M1288"/>
    <mergeCell ref="N1288:O1288"/>
    <mergeCell ref="P1288:V1288"/>
    <mergeCell ref="D1289:K1289"/>
    <mergeCell ref="L1289:M1289"/>
    <mergeCell ref="N1289:O1289"/>
    <mergeCell ref="P1289:V1289"/>
    <mergeCell ref="D1298:K1298"/>
    <mergeCell ref="L1298:M1298"/>
    <mergeCell ref="N1298:O1298"/>
    <mergeCell ref="P1298:V1298"/>
    <mergeCell ref="D1299:K1299"/>
    <mergeCell ref="L1299:M1299"/>
    <mergeCell ref="N1299:O1299"/>
    <mergeCell ref="P1299:V1299"/>
    <mergeCell ref="D1296:K1296"/>
    <mergeCell ref="L1296:M1296"/>
    <mergeCell ref="N1296:O1296"/>
    <mergeCell ref="P1296:V1296"/>
    <mergeCell ref="D1297:K1297"/>
    <mergeCell ref="L1297:M1297"/>
    <mergeCell ref="N1297:O1297"/>
    <mergeCell ref="P1297:V1297"/>
    <mergeCell ref="D1294:K1294"/>
    <mergeCell ref="L1294:M1294"/>
    <mergeCell ref="N1294:O1294"/>
    <mergeCell ref="P1294:V1294"/>
    <mergeCell ref="D1295:K1295"/>
    <mergeCell ref="L1295:M1295"/>
    <mergeCell ref="N1295:O1295"/>
    <mergeCell ref="P1295:V1295"/>
    <mergeCell ref="D1304:K1304"/>
    <mergeCell ref="L1304:M1304"/>
    <mergeCell ref="N1304:O1304"/>
    <mergeCell ref="P1304:V1304"/>
    <mergeCell ref="D1305:K1305"/>
    <mergeCell ref="L1305:M1305"/>
    <mergeCell ref="N1305:O1305"/>
    <mergeCell ref="P1305:V1305"/>
    <mergeCell ref="D1302:K1302"/>
    <mergeCell ref="L1302:M1302"/>
    <mergeCell ref="N1302:O1302"/>
    <mergeCell ref="P1302:V1302"/>
    <mergeCell ref="D1303:K1303"/>
    <mergeCell ref="L1303:M1303"/>
    <mergeCell ref="N1303:O1303"/>
    <mergeCell ref="P1303:V1303"/>
    <mergeCell ref="D1300:K1300"/>
    <mergeCell ref="L1300:M1300"/>
    <mergeCell ref="N1300:O1300"/>
    <mergeCell ref="P1300:V1300"/>
    <mergeCell ref="D1301:K1301"/>
    <mergeCell ref="L1301:M1301"/>
    <mergeCell ref="N1301:O1301"/>
    <mergeCell ref="P1301:V1301"/>
    <mergeCell ref="D1310:K1310"/>
    <mergeCell ref="L1310:M1310"/>
    <mergeCell ref="N1310:O1310"/>
    <mergeCell ref="P1310:V1310"/>
    <mergeCell ref="D1311:K1311"/>
    <mergeCell ref="L1311:M1311"/>
    <mergeCell ref="N1311:O1311"/>
    <mergeCell ref="P1311:V1311"/>
    <mergeCell ref="D1308:K1308"/>
    <mergeCell ref="L1308:M1308"/>
    <mergeCell ref="N1308:O1308"/>
    <mergeCell ref="P1308:V1308"/>
    <mergeCell ref="D1309:K1309"/>
    <mergeCell ref="L1309:M1309"/>
    <mergeCell ref="N1309:O1309"/>
    <mergeCell ref="P1309:V1309"/>
    <mergeCell ref="D1306:K1306"/>
    <mergeCell ref="L1306:M1306"/>
    <mergeCell ref="N1306:O1306"/>
    <mergeCell ref="P1306:V1306"/>
    <mergeCell ref="D1307:K1307"/>
    <mergeCell ref="L1307:M1307"/>
    <mergeCell ref="N1307:O1307"/>
    <mergeCell ref="P1307:V1307"/>
    <mergeCell ref="D1317:V1317"/>
    <mergeCell ref="E1318:V1318"/>
    <mergeCell ref="E1319:V1319"/>
    <mergeCell ref="E1320:V1320"/>
    <mergeCell ref="E1321:V1321"/>
    <mergeCell ref="D1314:K1314"/>
    <mergeCell ref="L1314:M1314"/>
    <mergeCell ref="N1314:O1314"/>
    <mergeCell ref="P1314:V1314"/>
    <mergeCell ref="D1315:K1315"/>
    <mergeCell ref="L1315:M1315"/>
    <mergeCell ref="N1315:O1315"/>
    <mergeCell ref="P1315:V1315"/>
    <mergeCell ref="D1312:K1312"/>
    <mergeCell ref="L1312:M1312"/>
    <mergeCell ref="N1312:O1312"/>
    <mergeCell ref="P1312:V1312"/>
    <mergeCell ref="D1313:K1313"/>
    <mergeCell ref="L1313:M1313"/>
    <mergeCell ref="N1313:O1313"/>
    <mergeCell ref="P1313:V1313"/>
    <mergeCell ref="D1332:K1332"/>
    <mergeCell ref="L1332:M1332"/>
    <mergeCell ref="N1332:O1332"/>
    <mergeCell ref="P1332:V1332"/>
    <mergeCell ref="D1333:K1333"/>
    <mergeCell ref="L1333:M1333"/>
    <mergeCell ref="N1333:O1333"/>
    <mergeCell ref="P1333:V1333"/>
    <mergeCell ref="E1327:V1327"/>
    <mergeCell ref="D1329:P1329"/>
    <mergeCell ref="Q1329:V1329"/>
    <mergeCell ref="D1331:K1331"/>
    <mergeCell ref="L1331:M1331"/>
    <mergeCell ref="N1331:O1331"/>
    <mergeCell ref="P1331:V1331"/>
    <mergeCell ref="E1322:V1322"/>
    <mergeCell ref="E1323:V1323"/>
    <mergeCell ref="E1324:V1324"/>
    <mergeCell ref="E1325:V1325"/>
    <mergeCell ref="E1326:V1326"/>
    <mergeCell ref="D1338:K1338"/>
    <mergeCell ref="L1338:M1338"/>
    <mergeCell ref="N1338:O1338"/>
    <mergeCell ref="P1338:V1338"/>
    <mergeCell ref="D1339:K1339"/>
    <mergeCell ref="L1339:M1339"/>
    <mergeCell ref="N1339:O1339"/>
    <mergeCell ref="P1339:V1339"/>
    <mergeCell ref="D1336:K1336"/>
    <mergeCell ref="L1336:M1336"/>
    <mergeCell ref="N1336:O1336"/>
    <mergeCell ref="P1336:V1336"/>
    <mergeCell ref="D1337:K1337"/>
    <mergeCell ref="L1337:M1337"/>
    <mergeCell ref="N1337:O1337"/>
    <mergeCell ref="P1337:V1337"/>
    <mergeCell ref="D1334:K1334"/>
    <mergeCell ref="L1334:M1334"/>
    <mergeCell ref="N1334:O1334"/>
    <mergeCell ref="P1334:V1334"/>
    <mergeCell ref="D1335:K1335"/>
    <mergeCell ref="L1335:M1335"/>
    <mergeCell ref="N1335:O1335"/>
    <mergeCell ref="P1335:V1335"/>
    <mergeCell ref="D1344:K1344"/>
    <mergeCell ref="L1344:M1344"/>
    <mergeCell ref="N1344:O1344"/>
    <mergeCell ref="P1344:V1344"/>
    <mergeCell ref="D1345:K1345"/>
    <mergeCell ref="L1345:M1345"/>
    <mergeCell ref="N1345:O1345"/>
    <mergeCell ref="P1345:V1345"/>
    <mergeCell ref="D1342:K1342"/>
    <mergeCell ref="L1342:M1342"/>
    <mergeCell ref="N1342:O1342"/>
    <mergeCell ref="P1342:V1342"/>
    <mergeCell ref="D1343:K1343"/>
    <mergeCell ref="L1343:M1343"/>
    <mergeCell ref="N1343:O1343"/>
    <mergeCell ref="P1343:V1343"/>
    <mergeCell ref="D1340:K1340"/>
    <mergeCell ref="L1340:M1340"/>
    <mergeCell ref="N1340:O1340"/>
    <mergeCell ref="P1340:V1340"/>
    <mergeCell ref="D1341:K1341"/>
    <mergeCell ref="L1341:M1341"/>
    <mergeCell ref="N1341:O1341"/>
    <mergeCell ref="P1341:V1341"/>
    <mergeCell ref="D1350:K1350"/>
    <mergeCell ref="L1350:M1350"/>
    <mergeCell ref="N1350:O1350"/>
    <mergeCell ref="P1350:V1350"/>
    <mergeCell ref="D1351:K1351"/>
    <mergeCell ref="L1351:M1351"/>
    <mergeCell ref="N1351:O1351"/>
    <mergeCell ref="P1351:V1351"/>
    <mergeCell ref="D1348:K1348"/>
    <mergeCell ref="L1348:M1348"/>
    <mergeCell ref="N1348:O1348"/>
    <mergeCell ref="P1348:V1348"/>
    <mergeCell ref="D1349:K1349"/>
    <mergeCell ref="L1349:M1349"/>
    <mergeCell ref="N1349:O1349"/>
    <mergeCell ref="P1349:V1349"/>
    <mergeCell ref="D1346:K1346"/>
    <mergeCell ref="L1346:M1346"/>
    <mergeCell ref="N1346:O1346"/>
    <mergeCell ref="P1346:V1346"/>
    <mergeCell ref="D1347:K1347"/>
    <mergeCell ref="L1347:M1347"/>
    <mergeCell ref="N1347:O1347"/>
    <mergeCell ref="P1347:V1347"/>
    <mergeCell ref="D1356:K1356"/>
    <mergeCell ref="L1356:M1356"/>
    <mergeCell ref="N1356:O1356"/>
    <mergeCell ref="P1356:V1356"/>
    <mergeCell ref="D1357:K1357"/>
    <mergeCell ref="L1357:M1357"/>
    <mergeCell ref="N1357:O1357"/>
    <mergeCell ref="P1357:V1357"/>
    <mergeCell ref="D1354:K1354"/>
    <mergeCell ref="L1354:M1354"/>
    <mergeCell ref="N1354:O1354"/>
    <mergeCell ref="P1354:V1354"/>
    <mergeCell ref="D1355:K1355"/>
    <mergeCell ref="L1355:M1355"/>
    <mergeCell ref="N1355:O1355"/>
    <mergeCell ref="P1355:V1355"/>
    <mergeCell ref="D1352:K1352"/>
    <mergeCell ref="L1352:M1352"/>
    <mergeCell ref="N1352:O1352"/>
    <mergeCell ref="P1352:V1352"/>
    <mergeCell ref="D1353:K1353"/>
    <mergeCell ref="L1353:M1353"/>
    <mergeCell ref="N1353:O1353"/>
    <mergeCell ref="P1353:V1353"/>
    <mergeCell ref="D1362:K1362"/>
    <mergeCell ref="L1362:M1362"/>
    <mergeCell ref="N1362:O1362"/>
    <mergeCell ref="P1362:V1362"/>
    <mergeCell ref="D1363:K1363"/>
    <mergeCell ref="L1363:M1363"/>
    <mergeCell ref="N1363:O1363"/>
    <mergeCell ref="P1363:V1363"/>
    <mergeCell ref="D1360:K1360"/>
    <mergeCell ref="L1360:M1360"/>
    <mergeCell ref="N1360:O1360"/>
    <mergeCell ref="P1360:V1360"/>
    <mergeCell ref="D1361:K1361"/>
    <mergeCell ref="L1361:M1361"/>
    <mergeCell ref="N1361:O1361"/>
    <mergeCell ref="P1361:V1361"/>
    <mergeCell ref="D1358:K1358"/>
    <mergeCell ref="L1358:M1358"/>
    <mergeCell ref="N1358:O1358"/>
    <mergeCell ref="P1358:V1358"/>
    <mergeCell ref="D1359:K1359"/>
    <mergeCell ref="L1359:M1359"/>
    <mergeCell ref="N1359:O1359"/>
    <mergeCell ref="P1359:V1359"/>
    <mergeCell ref="L1369:M1369"/>
    <mergeCell ref="N1369:O1369"/>
    <mergeCell ref="P1369:V1369"/>
    <mergeCell ref="D1366:K1366"/>
    <mergeCell ref="L1366:M1366"/>
    <mergeCell ref="N1366:O1366"/>
    <mergeCell ref="P1366:V1366"/>
    <mergeCell ref="D1367:K1367"/>
    <mergeCell ref="L1367:M1367"/>
    <mergeCell ref="N1367:O1367"/>
    <mergeCell ref="P1367:V1367"/>
    <mergeCell ref="D1364:K1364"/>
    <mergeCell ref="L1364:M1364"/>
    <mergeCell ref="N1364:O1364"/>
    <mergeCell ref="P1364:V1364"/>
    <mergeCell ref="D1365:K1365"/>
    <mergeCell ref="L1365:M1365"/>
    <mergeCell ref="N1365:O1365"/>
    <mergeCell ref="P1365:V1365"/>
    <mergeCell ref="D21:V21"/>
    <mergeCell ref="V15:V16"/>
    <mergeCell ref="S15:U15"/>
    <mergeCell ref="S13:U14"/>
    <mergeCell ref="S11:V11"/>
    <mergeCell ref="D11:R11"/>
    <mergeCell ref="E1383:V1383"/>
    <mergeCell ref="D1385:P1385"/>
    <mergeCell ref="Q1385:V1385"/>
    <mergeCell ref="E1378:V1378"/>
    <mergeCell ref="E1379:V1379"/>
    <mergeCell ref="E1380:V1380"/>
    <mergeCell ref="E1381:V1381"/>
    <mergeCell ref="E1382:V1382"/>
    <mergeCell ref="D1373:V1373"/>
    <mergeCell ref="E1374:V1374"/>
    <mergeCell ref="E1375:V1375"/>
    <mergeCell ref="E1376:V1376"/>
    <mergeCell ref="E1377:V1377"/>
    <mergeCell ref="D1370:K1370"/>
    <mergeCell ref="L1370:M1370"/>
    <mergeCell ref="N1370:O1370"/>
    <mergeCell ref="P1370:V1370"/>
    <mergeCell ref="D1371:K1371"/>
    <mergeCell ref="L1371:M1371"/>
    <mergeCell ref="N1371:O1371"/>
    <mergeCell ref="P1371:V1371"/>
    <mergeCell ref="D1368:K1368"/>
    <mergeCell ref="L1368:M1368"/>
    <mergeCell ref="N1368:O1368"/>
    <mergeCell ref="P1368:V1368"/>
    <mergeCell ref="D1369:K1369"/>
  </mergeCells>
  <conditionalFormatting sqref="P44:V83 D1038:V1039 D1046:V1047 E1041:V1045 D1040:D1045">
    <cfRule type="expression" dxfId="54" priority="57">
      <formula>$T$18="Print View"</formula>
    </cfRule>
  </conditionalFormatting>
  <conditionalFormatting sqref="D1374:V1383">
    <cfRule type="expression" dxfId="53" priority="16">
      <formula>$T$18="Print View"</formula>
    </cfRule>
  </conditionalFormatting>
  <conditionalFormatting sqref="P100:V139">
    <cfRule type="expression" dxfId="52" priority="55">
      <formula>$T$18="Print View"</formula>
    </cfRule>
  </conditionalFormatting>
  <conditionalFormatting sqref="P156:V195">
    <cfRule type="expression" dxfId="51" priority="54">
      <formula>$T$18="Print View"</formula>
    </cfRule>
  </conditionalFormatting>
  <conditionalFormatting sqref="P212:V251">
    <cfRule type="expression" dxfId="50" priority="53">
      <formula>$T$18="Print View"</formula>
    </cfRule>
  </conditionalFormatting>
  <conditionalFormatting sqref="P268:V307">
    <cfRule type="expression" dxfId="49" priority="52">
      <formula>$T$18="Print View"</formula>
    </cfRule>
  </conditionalFormatting>
  <conditionalFormatting sqref="P324:V363">
    <cfRule type="expression" dxfId="48" priority="51">
      <formula>$T$18="Print View"</formula>
    </cfRule>
  </conditionalFormatting>
  <conditionalFormatting sqref="P380:V419">
    <cfRule type="expression" dxfId="47" priority="50">
      <formula>$T$18="Print View"</formula>
    </cfRule>
  </conditionalFormatting>
  <conditionalFormatting sqref="P436:V475">
    <cfRule type="expression" dxfId="46" priority="49">
      <formula>$T$18="Print View"</formula>
    </cfRule>
  </conditionalFormatting>
  <conditionalFormatting sqref="P492:V531">
    <cfRule type="expression" dxfId="45" priority="48">
      <formula>$T$18="Print View"</formula>
    </cfRule>
  </conditionalFormatting>
  <conditionalFormatting sqref="P548:V587">
    <cfRule type="expression" dxfId="44" priority="47">
      <formula>$T$18="Print View"</formula>
    </cfRule>
  </conditionalFormatting>
  <conditionalFormatting sqref="P604:V643">
    <cfRule type="expression" dxfId="43" priority="46">
      <formula>$T$18="Print View"</formula>
    </cfRule>
  </conditionalFormatting>
  <conditionalFormatting sqref="P660:V699">
    <cfRule type="expression" dxfId="42" priority="45">
      <formula>$T$18="Print View"</formula>
    </cfRule>
  </conditionalFormatting>
  <conditionalFormatting sqref="P716:V755">
    <cfRule type="expression" dxfId="41" priority="44">
      <formula>$T$18="Print View"</formula>
    </cfRule>
  </conditionalFormatting>
  <conditionalFormatting sqref="P772:V811">
    <cfRule type="expression" dxfId="40" priority="43">
      <formula>$T$18="Print View"</formula>
    </cfRule>
  </conditionalFormatting>
  <conditionalFormatting sqref="P828:V867">
    <cfRule type="expression" dxfId="39" priority="42">
      <formula>$T$18="Print View"</formula>
    </cfRule>
  </conditionalFormatting>
  <conditionalFormatting sqref="P884:V923">
    <cfRule type="expression" dxfId="38" priority="41">
      <formula>$T$18="Print View"</formula>
    </cfRule>
  </conditionalFormatting>
  <conditionalFormatting sqref="P940:V979">
    <cfRule type="expression" dxfId="37" priority="40">
      <formula>$T$18="Print View"</formula>
    </cfRule>
  </conditionalFormatting>
  <conditionalFormatting sqref="D86:V95">
    <cfRule type="expression" dxfId="36" priority="39">
      <formula>$T$18="Print View"</formula>
    </cfRule>
  </conditionalFormatting>
  <conditionalFormatting sqref="D142:V151">
    <cfRule type="expression" dxfId="35" priority="38">
      <formula>$T$18="Print View"</formula>
    </cfRule>
  </conditionalFormatting>
  <conditionalFormatting sqref="D198:V207">
    <cfRule type="expression" dxfId="34" priority="37">
      <formula>$T$18="Print View"</formula>
    </cfRule>
  </conditionalFormatting>
  <conditionalFormatting sqref="D254:V263">
    <cfRule type="expression" dxfId="33" priority="36">
      <formula>$T$18="Print View"</formula>
    </cfRule>
  </conditionalFormatting>
  <conditionalFormatting sqref="D310:V319">
    <cfRule type="expression" dxfId="32" priority="35">
      <formula>$T$18="Print View"</formula>
    </cfRule>
  </conditionalFormatting>
  <conditionalFormatting sqref="D366:V367 D371:V375 D368:D370">
    <cfRule type="expression" dxfId="31" priority="34">
      <formula>$T$18="Print View"</formula>
    </cfRule>
  </conditionalFormatting>
  <conditionalFormatting sqref="D422:V431">
    <cfRule type="expression" dxfId="30" priority="33">
      <formula>$T$18="Print View"</formula>
    </cfRule>
  </conditionalFormatting>
  <conditionalFormatting sqref="D478:V485 D487:V487 D486">
    <cfRule type="expression" dxfId="29" priority="32">
      <formula>$T$18="Print View"</formula>
    </cfRule>
  </conditionalFormatting>
  <conditionalFormatting sqref="D534:V543">
    <cfRule type="expression" dxfId="28" priority="31">
      <formula>$T$18="Print View"</formula>
    </cfRule>
  </conditionalFormatting>
  <conditionalFormatting sqref="D591:V592 D590 D595:V599 D593:D594">
    <cfRule type="expression" dxfId="27" priority="30">
      <formula>$T$18="Print View"</formula>
    </cfRule>
  </conditionalFormatting>
  <conditionalFormatting sqref="D646:V655">
    <cfRule type="expression" dxfId="26" priority="29">
      <formula>$T$18="Print View"</formula>
    </cfRule>
  </conditionalFormatting>
  <conditionalFormatting sqref="D702:V711">
    <cfRule type="expression" dxfId="25" priority="28">
      <formula>$T$18="Print View"</formula>
    </cfRule>
  </conditionalFormatting>
  <conditionalFormatting sqref="D758 D759:V767">
    <cfRule type="expression" dxfId="24" priority="27">
      <formula>$T$18="Print View"</formula>
    </cfRule>
  </conditionalFormatting>
  <conditionalFormatting sqref="D814 D815:V823">
    <cfRule type="expression" dxfId="23" priority="26">
      <formula>$T$18="Print View"</formula>
    </cfRule>
  </conditionalFormatting>
  <conditionalFormatting sqref="D870 D871:V879">
    <cfRule type="expression" dxfId="22" priority="25">
      <formula>$T$18="Print View"</formula>
    </cfRule>
  </conditionalFormatting>
  <conditionalFormatting sqref="D926 D927:V935">
    <cfRule type="expression" dxfId="21" priority="24">
      <formula>$T$18="Print View"</formula>
    </cfRule>
  </conditionalFormatting>
  <conditionalFormatting sqref="D983:V991 D982">
    <cfRule type="expression" dxfId="20" priority="23">
      <formula>$T$18="Print View"</formula>
    </cfRule>
  </conditionalFormatting>
  <conditionalFormatting sqref="D1094:V1103">
    <cfRule type="expression" dxfId="19" priority="21">
      <formula>$T$18="Print View"</formula>
    </cfRule>
  </conditionalFormatting>
  <conditionalFormatting sqref="D1150:V1155 D1156:D1159">
    <cfRule type="expression" dxfId="18" priority="20">
      <formula>$T$18="Print View"</formula>
    </cfRule>
  </conditionalFormatting>
  <conditionalFormatting sqref="D1206:V1209 D1214:V1215 D1210:D1213">
    <cfRule type="expression" dxfId="17" priority="19">
      <formula>$T$18="Print View"</formula>
    </cfRule>
  </conditionalFormatting>
  <conditionalFormatting sqref="D1262:V1271">
    <cfRule type="expression" dxfId="16" priority="18">
      <formula>$T$18="Print View"</formula>
    </cfRule>
  </conditionalFormatting>
  <conditionalFormatting sqref="D1318:V1327">
    <cfRule type="expression" dxfId="15" priority="17">
      <formula>$T$18="Print View"</formula>
    </cfRule>
  </conditionalFormatting>
  <conditionalFormatting sqref="E368:V368">
    <cfRule type="expression" dxfId="14" priority="15">
      <formula>$T$18="Print View"</formula>
    </cfRule>
  </conditionalFormatting>
  <conditionalFormatting sqref="E369:V369">
    <cfRule type="expression" dxfId="13" priority="14">
      <formula>$T$18="Print View"</formula>
    </cfRule>
  </conditionalFormatting>
  <conditionalFormatting sqref="E370:V370">
    <cfRule type="expression" dxfId="12" priority="13">
      <formula>$T$18="Print View"</formula>
    </cfRule>
  </conditionalFormatting>
  <conditionalFormatting sqref="E486:V486">
    <cfRule type="expression" dxfId="11" priority="12">
      <formula>$T$18="Print View"</formula>
    </cfRule>
  </conditionalFormatting>
  <conditionalFormatting sqref="E590:V590">
    <cfRule type="expression" dxfId="10" priority="11">
      <formula>$T$18="Print View"</formula>
    </cfRule>
  </conditionalFormatting>
  <conditionalFormatting sqref="E593:V593">
    <cfRule type="expression" dxfId="9" priority="10">
      <formula>$T$18="Print View"</formula>
    </cfRule>
  </conditionalFormatting>
  <conditionalFormatting sqref="E594:V594">
    <cfRule type="expression" dxfId="8" priority="9">
      <formula>$T$18="Print View"</formula>
    </cfRule>
  </conditionalFormatting>
  <conditionalFormatting sqref="E758:V758">
    <cfRule type="expression" dxfId="7" priority="8">
      <formula>$T$18="Print View"</formula>
    </cfRule>
  </conditionalFormatting>
  <conditionalFormatting sqref="E814:V814">
    <cfRule type="expression" dxfId="6" priority="7">
      <formula>$T$18="Print View"</formula>
    </cfRule>
  </conditionalFormatting>
  <conditionalFormatting sqref="E870:V870">
    <cfRule type="expression" dxfId="5" priority="6">
      <formula>$T$18="Print View"</formula>
    </cfRule>
  </conditionalFormatting>
  <conditionalFormatting sqref="E926:V926">
    <cfRule type="expression" dxfId="4" priority="5">
      <formula>$T$18="Print View"</formula>
    </cfRule>
  </conditionalFormatting>
  <conditionalFormatting sqref="E982:V982">
    <cfRule type="expression" dxfId="3" priority="4">
      <formula>$T$18="Print View"</formula>
    </cfRule>
  </conditionalFormatting>
  <conditionalFormatting sqref="E1040:V1040">
    <cfRule type="expression" dxfId="2" priority="3">
      <formula>$T$18="Print View"</formula>
    </cfRule>
  </conditionalFormatting>
  <conditionalFormatting sqref="E1156:V1159">
    <cfRule type="expression" dxfId="1" priority="2">
      <formula>$T$18="Print View"</formula>
    </cfRule>
  </conditionalFormatting>
  <conditionalFormatting sqref="E1210:V1213">
    <cfRule type="expression" dxfId="0" priority="1">
      <formula>$T$18="Print View"</formula>
    </cfRule>
  </conditionalFormatting>
  <pageMargins left="0.7" right="0.7" top="0.75" bottom="0.75" header="0.3" footer="0.3"/>
  <pageSetup scale="68" fitToHeight="0" orientation="portrait" r:id="rId1"/>
  <headerFooter scaleWithDoc="0"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A00-000000000000}">
          <x14:formula1>
            <xm:f>LISTS!$J$24:$J$25</xm:f>
          </x14:formula1>
          <xm:sqref>T18:U18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wsEULA">
    <tabColor theme="1" tint="0.249977111117893"/>
    <pageSetUpPr fitToPage="1"/>
  </sheetPr>
  <dimension ref="F1:AJ52"/>
  <sheetViews>
    <sheetView showGridLines="0" showRowColHeaders="0" zoomScaleNormal="100" workbookViewId="0">
      <selection activeCell="W8" sqref="W8"/>
    </sheetView>
  </sheetViews>
  <sheetFormatPr defaultColWidth="8.8984375" defaultRowHeight="15"/>
  <cols>
    <col min="1" max="23" width="2.09765625" style="169" customWidth="1"/>
    <col min="24" max="33" width="11.09765625" style="169" customWidth="1"/>
    <col min="34" max="35" width="8.8984375" style="169"/>
    <col min="36" max="36" width="1.6484375" style="169" customWidth="1"/>
    <col min="37" max="16384" width="8.8984375" style="169"/>
  </cols>
  <sheetData>
    <row r="1" spans="6:36" s="181" customFormat="1" ht="45" customHeight="1"/>
    <row r="2" spans="6:36" ht="15.75" customHeight="1">
      <c r="X2" s="182"/>
      <c r="Y2" s="182"/>
      <c r="Z2" s="182"/>
      <c r="AA2" s="182"/>
      <c r="AB2" s="182"/>
      <c r="AC2" s="182"/>
      <c r="AD2" s="182"/>
      <c r="AE2" s="182"/>
      <c r="AF2" s="182"/>
      <c r="AG2" s="182"/>
    </row>
    <row r="3" spans="6:36" ht="15.75" customHeight="1">
      <c r="W3" s="184"/>
      <c r="X3" s="183"/>
      <c r="Y3" s="183"/>
      <c r="Z3" s="183"/>
      <c r="AA3" s="183"/>
      <c r="AB3" s="183"/>
      <c r="AC3" s="183"/>
      <c r="AD3" s="183"/>
      <c r="AE3" s="183"/>
      <c r="AF3" s="183"/>
      <c r="AG3" s="185"/>
    </row>
    <row r="4" spans="6:36" ht="22.5" customHeight="1">
      <c r="F4" s="1484" t="s">
        <v>940</v>
      </c>
      <c r="G4" s="1485"/>
      <c r="H4" s="1485"/>
      <c r="I4" s="1485"/>
      <c r="J4" s="1485"/>
      <c r="K4" s="1485"/>
      <c r="L4" s="1485"/>
      <c r="M4" s="1485"/>
      <c r="N4" s="1485"/>
      <c r="O4" s="1485"/>
      <c r="P4" s="1485"/>
      <c r="Q4" s="1485"/>
      <c r="R4" s="1485"/>
      <c r="S4" s="1485"/>
      <c r="T4" s="1486"/>
      <c r="X4" s="173"/>
      <c r="Y4" s="179"/>
      <c r="Z4" s="179"/>
      <c r="AA4" s="179"/>
      <c r="AB4" s="179"/>
      <c r="AC4" s="179"/>
      <c r="AD4" s="179"/>
      <c r="AE4" s="179"/>
      <c r="AF4" s="179"/>
      <c r="AG4" s="178"/>
    </row>
    <row r="5" spans="6:36" ht="22.5" customHeight="1">
      <c r="F5" s="1474" t="s">
        <v>941</v>
      </c>
      <c r="G5" s="1475"/>
      <c r="H5" s="1475"/>
      <c r="I5" s="1475"/>
      <c r="J5" s="1475"/>
      <c r="K5" s="1475"/>
      <c r="L5" s="1475"/>
      <c r="M5" s="1475"/>
      <c r="N5" s="1475"/>
      <c r="O5" s="1475"/>
      <c r="P5" s="1475"/>
      <c r="Q5" s="1475"/>
      <c r="R5" s="1475"/>
      <c r="S5" s="1475"/>
      <c r="T5" s="1476"/>
      <c r="X5" s="173"/>
      <c r="Y5" s="1494" t="s">
        <v>619</v>
      </c>
      <c r="Z5" s="1494"/>
      <c r="AA5" s="1494"/>
      <c r="AB5" s="1494"/>
      <c r="AC5" s="52"/>
      <c r="AD5" s="52"/>
      <c r="AE5" s="52"/>
      <c r="AF5" s="52"/>
      <c r="AG5" s="139"/>
    </row>
    <row r="6" spans="6:36" ht="22.5" customHeight="1">
      <c r="F6" s="1501" t="s">
        <v>1907</v>
      </c>
      <c r="G6" s="1502"/>
      <c r="H6" s="1502"/>
      <c r="I6" s="1502"/>
      <c r="J6" s="1502"/>
      <c r="K6" s="1502"/>
      <c r="L6" s="1502"/>
      <c r="M6" s="1502"/>
      <c r="N6" s="1502"/>
      <c r="O6" s="1502"/>
      <c r="P6" s="1502"/>
      <c r="Q6" s="1502"/>
      <c r="R6" s="1502"/>
      <c r="S6" s="1502"/>
      <c r="T6" s="1503"/>
      <c r="X6" s="138"/>
      <c r="Y6" s="1494"/>
      <c r="Z6" s="1494"/>
      <c r="AA6" s="1494"/>
      <c r="AB6" s="1494"/>
      <c r="AC6" s="52"/>
      <c r="AD6" s="52"/>
      <c r="AE6" s="52"/>
      <c r="AF6" s="52"/>
      <c r="AG6" s="139"/>
      <c r="AH6" s="170"/>
      <c r="AI6" s="170"/>
    </row>
    <row r="7" spans="6:36" ht="22.5" customHeight="1">
      <c r="F7" s="1504"/>
      <c r="G7" s="1505"/>
      <c r="H7" s="1505"/>
      <c r="I7" s="1505"/>
      <c r="J7" s="1505"/>
      <c r="K7" s="1505"/>
      <c r="L7" s="1505"/>
      <c r="M7" s="1505"/>
      <c r="N7" s="1505"/>
      <c r="O7" s="1505"/>
      <c r="P7" s="1505"/>
      <c r="Q7" s="1505"/>
      <c r="R7" s="1505"/>
      <c r="S7" s="1505"/>
      <c r="T7" s="1506"/>
      <c r="X7" s="138"/>
      <c r="Y7" s="1494"/>
      <c r="Z7" s="1494"/>
      <c r="AA7" s="1494"/>
      <c r="AB7" s="1494"/>
      <c r="AC7" s="52"/>
      <c r="AD7" s="52"/>
      <c r="AE7" s="52"/>
      <c r="AF7" s="52"/>
      <c r="AG7" s="139"/>
      <c r="AH7" s="170"/>
      <c r="AI7" s="170"/>
    </row>
    <row r="8" spans="6:36" ht="22.5" customHeight="1">
      <c r="F8" s="1474" t="s">
        <v>942</v>
      </c>
      <c r="G8" s="1475"/>
      <c r="H8" s="1475"/>
      <c r="I8" s="1475"/>
      <c r="J8" s="1475"/>
      <c r="K8" s="1475"/>
      <c r="L8" s="1475"/>
      <c r="M8" s="1475"/>
      <c r="N8" s="1475"/>
      <c r="O8" s="1475"/>
      <c r="P8" s="1475"/>
      <c r="Q8" s="1475"/>
      <c r="R8" s="1475"/>
      <c r="S8" s="1475"/>
      <c r="T8" s="1476"/>
      <c r="X8" s="138"/>
      <c r="Y8" s="174"/>
      <c r="Z8" s="52"/>
      <c r="AA8" s="52"/>
      <c r="AB8" s="52"/>
      <c r="AC8" s="52"/>
      <c r="AD8" s="52"/>
      <c r="AE8" s="52"/>
      <c r="AF8" s="52"/>
      <c r="AG8" s="139"/>
    </row>
    <row r="9" spans="6:36" ht="22.5" customHeight="1">
      <c r="F9" s="1495">
        <v>6.7</v>
      </c>
      <c r="G9" s="1496"/>
      <c r="H9" s="1496"/>
      <c r="I9" s="1496"/>
      <c r="J9" s="1496"/>
      <c r="K9" s="1496"/>
      <c r="L9" s="1496"/>
      <c r="M9" s="1496"/>
      <c r="N9" s="1496"/>
      <c r="O9" s="1496"/>
      <c r="P9" s="1496"/>
      <c r="Q9" s="1496"/>
      <c r="R9" s="1496"/>
      <c r="S9" s="1496"/>
      <c r="T9" s="1497"/>
      <c r="X9" s="175"/>
      <c r="Y9" s="1483" t="s">
        <v>314</v>
      </c>
      <c r="Z9" s="1483"/>
      <c r="AA9" s="1483"/>
      <c r="AB9" s="1483"/>
      <c r="AC9" s="1483"/>
      <c r="AD9" s="1483"/>
      <c r="AE9" s="1483"/>
      <c r="AF9" s="1483"/>
      <c r="AG9" s="176"/>
      <c r="AH9" s="171"/>
    </row>
    <row r="10" spans="6:36" ht="22.5" customHeight="1">
      <c r="F10" s="1498"/>
      <c r="G10" s="1499"/>
      <c r="H10" s="1499"/>
      <c r="I10" s="1499"/>
      <c r="J10" s="1499"/>
      <c r="K10" s="1499"/>
      <c r="L10" s="1499"/>
      <c r="M10" s="1499"/>
      <c r="N10" s="1499"/>
      <c r="O10" s="1499"/>
      <c r="P10" s="1499"/>
      <c r="Q10" s="1499"/>
      <c r="R10" s="1499"/>
      <c r="S10" s="1499"/>
      <c r="T10" s="1500"/>
      <c r="X10" s="175"/>
      <c r="Y10" s="1483"/>
      <c r="Z10" s="1483"/>
      <c r="AA10" s="1483"/>
      <c r="AB10" s="1483"/>
      <c r="AC10" s="1483"/>
      <c r="AD10" s="1483"/>
      <c r="AE10" s="1483"/>
      <c r="AF10" s="1483"/>
      <c r="AG10" s="176"/>
      <c r="AH10" s="172"/>
    </row>
    <row r="11" spans="6:36" ht="22.5" customHeight="1">
      <c r="X11" s="175"/>
      <c r="Y11" s="1483"/>
      <c r="Z11" s="1483"/>
      <c r="AA11" s="1483"/>
      <c r="AB11" s="1483"/>
      <c r="AC11" s="1483"/>
      <c r="AD11" s="1483"/>
      <c r="AE11" s="1483"/>
      <c r="AF11" s="1483"/>
      <c r="AG11" s="176"/>
    </row>
    <row r="12" spans="6:36" ht="22.5" customHeight="1">
      <c r="F12" s="1484" t="s">
        <v>939</v>
      </c>
      <c r="G12" s="1485"/>
      <c r="H12" s="1485"/>
      <c r="I12" s="1485"/>
      <c r="J12" s="1485"/>
      <c r="K12" s="1485"/>
      <c r="L12" s="1485"/>
      <c r="M12" s="1485"/>
      <c r="N12" s="1485"/>
      <c r="O12" s="1485"/>
      <c r="P12" s="1485"/>
      <c r="Q12" s="1485"/>
      <c r="R12" s="1485"/>
      <c r="S12" s="1485"/>
      <c r="T12" s="1486"/>
      <c r="X12" s="175"/>
      <c r="Y12" s="1483"/>
      <c r="Z12" s="1483"/>
      <c r="AA12" s="1483"/>
      <c r="AB12" s="1483"/>
      <c r="AC12" s="1483"/>
      <c r="AD12" s="1483"/>
      <c r="AE12" s="1483"/>
      <c r="AF12" s="1483"/>
      <c r="AG12" s="176"/>
      <c r="AH12" s="172"/>
    </row>
    <row r="13" spans="6:36" ht="22.5" customHeight="1">
      <c r="F13" s="1474" t="s">
        <v>938</v>
      </c>
      <c r="G13" s="1475"/>
      <c r="H13" s="1475"/>
      <c r="I13" s="1475"/>
      <c r="J13" s="1475"/>
      <c r="K13" s="1475"/>
      <c r="L13" s="1475"/>
      <c r="M13" s="1475"/>
      <c r="N13" s="1475"/>
      <c r="O13" s="1475"/>
      <c r="P13" s="1475"/>
      <c r="Q13" s="1475"/>
      <c r="R13" s="1475"/>
      <c r="S13" s="1475"/>
      <c r="T13" s="1476"/>
      <c r="X13" s="175"/>
      <c r="Y13" s="1493" t="s">
        <v>107</v>
      </c>
      <c r="Z13" s="1493"/>
      <c r="AA13" s="1493"/>
      <c r="AB13" s="1493"/>
      <c r="AC13" s="1493"/>
      <c r="AD13" s="1493"/>
      <c r="AE13" s="1493"/>
      <c r="AF13" s="1493"/>
      <c r="AG13" s="176"/>
      <c r="AH13" s="172"/>
    </row>
    <row r="14" spans="6:36" ht="22.5" customHeight="1">
      <c r="F14" s="1468" t="s">
        <v>1585</v>
      </c>
      <c r="G14" s="1469"/>
      <c r="H14" s="1469"/>
      <c r="I14" s="1469"/>
      <c r="J14" s="1469"/>
      <c r="K14" s="1469"/>
      <c r="L14" s="1469"/>
      <c r="M14" s="1469"/>
      <c r="N14" s="1469"/>
      <c r="O14" s="1469"/>
      <c r="P14" s="1469"/>
      <c r="Q14" s="1469"/>
      <c r="R14" s="1469"/>
      <c r="S14" s="1469"/>
      <c r="T14" s="1470"/>
      <c r="X14" s="175"/>
      <c r="Y14" s="1483" t="s">
        <v>108</v>
      </c>
      <c r="Z14" s="1483"/>
      <c r="AA14" s="1483"/>
      <c r="AB14" s="1483"/>
      <c r="AC14" s="1483"/>
      <c r="AD14" s="1483"/>
      <c r="AE14" s="1483"/>
      <c r="AF14" s="1483"/>
      <c r="AG14" s="176"/>
      <c r="AH14" s="172"/>
    </row>
    <row r="15" spans="6:36" ht="22.5" customHeight="1">
      <c r="F15" s="1471"/>
      <c r="G15" s="1472"/>
      <c r="H15" s="1472"/>
      <c r="I15" s="1472"/>
      <c r="J15" s="1472"/>
      <c r="K15" s="1472"/>
      <c r="L15" s="1472"/>
      <c r="M15" s="1472"/>
      <c r="N15" s="1472"/>
      <c r="O15" s="1472"/>
      <c r="P15" s="1472"/>
      <c r="Q15" s="1472"/>
      <c r="R15" s="1472"/>
      <c r="S15" s="1472"/>
      <c r="T15" s="1473"/>
      <c r="X15" s="175"/>
      <c r="Y15" s="1483"/>
      <c r="Z15" s="1483"/>
      <c r="AA15" s="1483"/>
      <c r="AB15" s="1483"/>
      <c r="AC15" s="1483"/>
      <c r="AD15" s="1483"/>
      <c r="AE15" s="1483"/>
      <c r="AF15" s="1483"/>
      <c r="AG15" s="176"/>
      <c r="AH15" s="172"/>
      <c r="AI15" s="172"/>
      <c r="AJ15" s="172"/>
    </row>
    <row r="16" spans="6:36" ht="22.5" customHeight="1">
      <c r="F16" s="1474" t="s">
        <v>883</v>
      </c>
      <c r="G16" s="1475"/>
      <c r="H16" s="1475"/>
      <c r="I16" s="1475"/>
      <c r="J16" s="1475"/>
      <c r="K16" s="1475"/>
      <c r="L16" s="1475"/>
      <c r="M16" s="1475"/>
      <c r="N16" s="1475"/>
      <c r="O16" s="1475"/>
      <c r="P16" s="1475"/>
      <c r="Q16" s="1475"/>
      <c r="R16" s="1475"/>
      <c r="S16" s="1475"/>
      <c r="T16" s="1476"/>
      <c r="X16" s="175"/>
      <c r="Y16" s="177"/>
      <c r="Z16" s="177"/>
      <c r="AA16" s="177"/>
      <c r="AB16" s="177"/>
      <c r="AC16" s="177"/>
      <c r="AD16" s="177"/>
      <c r="AE16" s="177"/>
      <c r="AF16" s="177"/>
      <c r="AG16" s="176"/>
    </row>
    <row r="17" spans="6:33" ht="22.5" customHeight="1">
      <c r="F17" s="1477">
        <v>1</v>
      </c>
      <c r="G17" s="1478"/>
      <c r="H17" s="1478"/>
      <c r="I17" s="1478"/>
      <c r="J17" s="1478"/>
      <c r="K17" s="1478"/>
      <c r="L17" s="1478"/>
      <c r="M17" s="1478"/>
      <c r="N17" s="1478"/>
      <c r="O17" s="1478"/>
      <c r="P17" s="1478"/>
      <c r="Q17" s="1478"/>
      <c r="R17" s="1478"/>
      <c r="S17" s="1478"/>
      <c r="T17" s="1479"/>
      <c r="X17" s="175"/>
      <c r="Y17" s="1483" t="s">
        <v>502</v>
      </c>
      <c r="Z17" s="1483"/>
      <c r="AA17" s="1483"/>
      <c r="AB17" s="1483"/>
      <c r="AC17" s="1483"/>
      <c r="AD17" s="1483"/>
      <c r="AE17" s="1483"/>
      <c r="AF17" s="1483"/>
      <c r="AG17" s="176"/>
    </row>
    <row r="18" spans="6:33" ht="22.5" customHeight="1">
      <c r="F18" s="1480"/>
      <c r="G18" s="1481"/>
      <c r="H18" s="1481"/>
      <c r="I18" s="1481"/>
      <c r="J18" s="1481"/>
      <c r="K18" s="1481"/>
      <c r="L18" s="1481"/>
      <c r="M18" s="1481"/>
      <c r="N18" s="1481"/>
      <c r="O18" s="1481"/>
      <c r="P18" s="1481"/>
      <c r="Q18" s="1481"/>
      <c r="R18" s="1481"/>
      <c r="S18" s="1481"/>
      <c r="T18" s="1482"/>
      <c r="X18" s="175"/>
      <c r="Y18" s="1483"/>
      <c r="Z18" s="1483"/>
      <c r="AA18" s="1483"/>
      <c r="AB18" s="1483"/>
      <c r="AC18" s="1483"/>
      <c r="AD18" s="1483"/>
      <c r="AE18" s="1483"/>
      <c r="AF18" s="1483"/>
      <c r="AG18" s="176"/>
    </row>
    <row r="19" spans="6:33" ht="22.5" customHeight="1">
      <c r="F19" s="168"/>
      <c r="G19" s="168"/>
      <c r="H19" s="168"/>
      <c r="I19" s="168"/>
      <c r="J19" s="168"/>
      <c r="K19" s="168"/>
      <c r="L19" s="168"/>
      <c r="M19" s="168"/>
      <c r="N19" s="168"/>
      <c r="O19" s="168"/>
      <c r="P19" s="168"/>
      <c r="Q19" s="168"/>
      <c r="R19" s="168"/>
      <c r="S19" s="168"/>
      <c r="T19" s="168"/>
      <c r="X19" s="173"/>
      <c r="Y19" s="1483"/>
      <c r="Z19" s="1483"/>
      <c r="AA19" s="1483"/>
      <c r="AB19" s="1483"/>
      <c r="AC19" s="1483"/>
      <c r="AD19" s="1483"/>
      <c r="AE19" s="1483"/>
      <c r="AF19" s="1483"/>
      <c r="AG19" s="178"/>
    </row>
    <row r="20" spans="6:33" ht="22.5" customHeight="1">
      <c r="F20" s="1484" t="s">
        <v>943</v>
      </c>
      <c r="G20" s="1485"/>
      <c r="H20" s="1485"/>
      <c r="I20" s="1485"/>
      <c r="J20" s="1485"/>
      <c r="K20" s="1485"/>
      <c r="L20" s="1485"/>
      <c r="M20" s="1485"/>
      <c r="N20" s="1485"/>
      <c r="O20" s="1485"/>
      <c r="P20" s="1485"/>
      <c r="Q20" s="1485"/>
      <c r="R20" s="1485"/>
      <c r="S20" s="1485"/>
      <c r="T20" s="1486"/>
      <c r="X20" s="173"/>
      <c r="Y20" s="1483"/>
      <c r="Z20" s="1483"/>
      <c r="AA20" s="1483"/>
      <c r="AB20" s="1483"/>
      <c r="AC20" s="1483"/>
      <c r="AD20" s="1483"/>
      <c r="AE20" s="1483"/>
      <c r="AF20" s="1483"/>
      <c r="AG20" s="178"/>
    </row>
    <row r="21" spans="6:33" ht="22.5" customHeight="1">
      <c r="F21" s="1490" t="s">
        <v>944</v>
      </c>
      <c r="G21" s="1491"/>
      <c r="H21" s="1491"/>
      <c r="I21" s="1491"/>
      <c r="J21" s="1491"/>
      <c r="K21" s="1491"/>
      <c r="L21" s="1491"/>
      <c r="M21" s="1491"/>
      <c r="N21" s="1491"/>
      <c r="O21" s="1491"/>
      <c r="P21" s="1491"/>
      <c r="Q21" s="1491"/>
      <c r="R21" s="1491"/>
      <c r="S21" s="1491"/>
      <c r="T21" s="1492"/>
      <c r="X21" s="173"/>
      <c r="Y21" s="1483" t="s">
        <v>315</v>
      </c>
      <c r="Z21" s="1483"/>
      <c r="AA21" s="1483"/>
      <c r="AB21" s="1483"/>
      <c r="AC21" s="1483"/>
      <c r="AD21" s="1483"/>
      <c r="AE21" s="1483"/>
      <c r="AF21" s="1483"/>
      <c r="AG21" s="178"/>
    </row>
    <row r="22" spans="6:33" ht="22.5" customHeight="1">
      <c r="F22" s="1487" t="s">
        <v>945</v>
      </c>
      <c r="G22" s="1488"/>
      <c r="H22" s="1488"/>
      <c r="I22" s="1488"/>
      <c r="J22" s="1488"/>
      <c r="K22" s="1488"/>
      <c r="L22" s="1488"/>
      <c r="M22" s="1488"/>
      <c r="N22" s="1488"/>
      <c r="O22" s="1488"/>
      <c r="P22" s="1488"/>
      <c r="Q22" s="1488"/>
      <c r="R22" s="1488"/>
      <c r="S22" s="1488"/>
      <c r="T22" s="1489"/>
      <c r="X22" s="173"/>
      <c r="Y22" s="1483"/>
      <c r="Z22" s="1483"/>
      <c r="AA22" s="1483"/>
      <c r="AB22" s="1483"/>
      <c r="AC22" s="1483"/>
      <c r="AD22" s="1483"/>
      <c r="AE22" s="1483"/>
      <c r="AF22" s="1483"/>
      <c r="AG22" s="178"/>
    </row>
    <row r="23" spans="6:33" ht="22.5" customHeight="1">
      <c r="F23" s="1487" t="s">
        <v>946</v>
      </c>
      <c r="G23" s="1488"/>
      <c r="H23" s="1488"/>
      <c r="I23" s="1488"/>
      <c r="J23" s="1488"/>
      <c r="K23" s="1488"/>
      <c r="L23" s="1488"/>
      <c r="M23" s="1488"/>
      <c r="N23" s="1488"/>
      <c r="O23" s="1488"/>
      <c r="P23" s="1488"/>
      <c r="Q23" s="1488"/>
      <c r="R23" s="1488"/>
      <c r="S23" s="1488"/>
      <c r="T23" s="1489"/>
      <c r="X23" s="173"/>
      <c r="Y23" s="1483"/>
      <c r="Z23" s="1483"/>
      <c r="AA23" s="1483"/>
      <c r="AB23" s="1483"/>
      <c r="AC23" s="1483"/>
      <c r="AD23" s="1483"/>
      <c r="AE23" s="1483"/>
      <c r="AF23" s="1483"/>
      <c r="AG23" s="178"/>
    </row>
    <row r="24" spans="6:33" ht="22.5" customHeight="1">
      <c r="F24" s="1490" t="s">
        <v>947</v>
      </c>
      <c r="G24" s="1491"/>
      <c r="H24" s="1491"/>
      <c r="I24" s="1491"/>
      <c r="J24" s="1491"/>
      <c r="K24" s="1491"/>
      <c r="L24" s="1491"/>
      <c r="M24" s="1491"/>
      <c r="N24" s="1491"/>
      <c r="O24" s="1491"/>
      <c r="P24" s="1491"/>
      <c r="Q24" s="1491"/>
      <c r="R24" s="1491"/>
      <c r="S24" s="1491"/>
      <c r="T24" s="1492"/>
      <c r="X24" s="173"/>
      <c r="Y24" s="179"/>
      <c r="Z24" s="179"/>
      <c r="AA24" s="179"/>
      <c r="AB24" s="179"/>
      <c r="AC24" s="179"/>
      <c r="AD24" s="179"/>
      <c r="AE24" s="179"/>
      <c r="AF24" s="179"/>
      <c r="AG24" s="178"/>
    </row>
    <row r="25" spans="6:33" ht="22.5" customHeight="1">
      <c r="F25" s="1487" t="s">
        <v>948</v>
      </c>
      <c r="G25" s="1488"/>
      <c r="H25" s="1488"/>
      <c r="I25" s="1488"/>
      <c r="J25" s="1488"/>
      <c r="K25" s="1488"/>
      <c r="L25" s="1488"/>
      <c r="M25" s="1488"/>
      <c r="N25" s="1488"/>
      <c r="O25" s="1488"/>
      <c r="P25" s="1488"/>
      <c r="Q25" s="1488"/>
      <c r="R25" s="1488"/>
      <c r="S25" s="1488"/>
      <c r="T25" s="1489"/>
      <c r="X25" s="173"/>
      <c r="Y25" s="1483" t="s">
        <v>109</v>
      </c>
      <c r="Z25" s="1483"/>
      <c r="AA25" s="1483"/>
      <c r="AB25" s="1483"/>
      <c r="AC25" s="1483"/>
      <c r="AD25" s="1483"/>
      <c r="AE25" s="1483"/>
      <c r="AF25" s="1483"/>
      <c r="AG25" s="178"/>
    </row>
    <row r="26" spans="6:33" ht="22.5" customHeight="1">
      <c r="F26" s="1487" t="s">
        <v>949</v>
      </c>
      <c r="G26" s="1488"/>
      <c r="H26" s="1488"/>
      <c r="I26" s="1488"/>
      <c r="J26" s="1488"/>
      <c r="K26" s="1488"/>
      <c r="L26" s="1488"/>
      <c r="M26" s="1488"/>
      <c r="N26" s="1488"/>
      <c r="O26" s="1488"/>
      <c r="P26" s="1488"/>
      <c r="Q26" s="1488"/>
      <c r="R26" s="1488"/>
      <c r="S26" s="1488"/>
      <c r="T26" s="1489"/>
      <c r="X26" s="173"/>
      <c r="Y26" s="1483"/>
      <c r="Z26" s="1483"/>
      <c r="AA26" s="1483"/>
      <c r="AB26" s="1483"/>
      <c r="AC26" s="1483"/>
      <c r="AD26" s="1483"/>
      <c r="AE26" s="1483"/>
      <c r="AF26" s="1483"/>
      <c r="AG26" s="178"/>
    </row>
    <row r="27" spans="6:33" ht="22.5" customHeight="1">
      <c r="F27" s="1490" t="s">
        <v>950</v>
      </c>
      <c r="G27" s="1491"/>
      <c r="H27" s="1491"/>
      <c r="I27" s="1491"/>
      <c r="J27" s="1491"/>
      <c r="K27" s="1491"/>
      <c r="L27" s="1491"/>
      <c r="M27" s="1491"/>
      <c r="N27" s="1491"/>
      <c r="O27" s="1491"/>
      <c r="P27" s="1491"/>
      <c r="Q27" s="1491"/>
      <c r="R27" s="1491"/>
      <c r="S27" s="1491"/>
      <c r="T27" s="1492"/>
      <c r="X27" s="173"/>
      <c r="Y27" s="1483"/>
      <c r="Z27" s="1483"/>
      <c r="AA27" s="1483"/>
      <c r="AB27" s="1483"/>
      <c r="AC27" s="1483"/>
      <c r="AD27" s="1483"/>
      <c r="AE27" s="1483"/>
      <c r="AF27" s="1483"/>
      <c r="AG27" s="178"/>
    </row>
    <row r="28" spans="6:33" ht="22.5" customHeight="1">
      <c r="F28" s="1510" t="s">
        <v>951</v>
      </c>
      <c r="G28" s="1511"/>
      <c r="H28" s="1511"/>
      <c r="I28" s="1511"/>
      <c r="J28" s="1511"/>
      <c r="K28" s="1511"/>
      <c r="L28" s="1511"/>
      <c r="M28" s="1511"/>
      <c r="N28" s="1511"/>
      <c r="O28" s="1511"/>
      <c r="P28" s="1511"/>
      <c r="Q28" s="1511"/>
      <c r="R28" s="1511"/>
      <c r="S28" s="1511"/>
      <c r="T28" s="1512"/>
      <c r="X28" s="173"/>
      <c r="Y28" s="1483"/>
      <c r="Z28" s="1483"/>
      <c r="AA28" s="1483"/>
      <c r="AB28" s="1483"/>
      <c r="AC28" s="1483"/>
      <c r="AD28" s="1483"/>
      <c r="AE28" s="1483"/>
      <c r="AF28" s="1483"/>
      <c r="AG28" s="178"/>
    </row>
    <row r="29" spans="6:33" ht="22.5" customHeight="1">
      <c r="X29" s="173"/>
      <c r="Y29" s="179"/>
      <c r="Z29" s="179"/>
      <c r="AA29" s="179"/>
      <c r="AB29" s="179"/>
      <c r="AC29" s="179"/>
      <c r="AD29" s="179"/>
      <c r="AE29" s="179"/>
      <c r="AF29" s="179"/>
      <c r="AG29" s="178"/>
    </row>
    <row r="30" spans="6:33" ht="22.5" customHeight="1">
      <c r="X30" s="173"/>
      <c r="Y30" s="1483" t="s">
        <v>395</v>
      </c>
      <c r="Z30" s="1483"/>
      <c r="AA30" s="1483"/>
      <c r="AB30" s="1483"/>
      <c r="AC30" s="1483"/>
      <c r="AD30" s="1483"/>
      <c r="AE30" s="1483"/>
      <c r="AF30" s="1483"/>
      <c r="AG30" s="178"/>
    </row>
    <row r="31" spans="6:33" ht="22.5" customHeight="1">
      <c r="X31" s="173"/>
      <c r="Y31" s="1483"/>
      <c r="Z31" s="1483"/>
      <c r="AA31" s="1483"/>
      <c r="AB31" s="1483"/>
      <c r="AC31" s="1483"/>
      <c r="AD31" s="1483"/>
      <c r="AE31" s="1483"/>
      <c r="AF31" s="1483"/>
      <c r="AG31" s="178"/>
    </row>
    <row r="32" spans="6:33" ht="22.5" customHeight="1">
      <c r="X32" s="173"/>
      <c r="Y32" s="1483"/>
      <c r="Z32" s="1483"/>
      <c r="AA32" s="1483"/>
      <c r="AB32" s="1483"/>
      <c r="AC32" s="1483"/>
      <c r="AD32" s="1483"/>
      <c r="AE32" s="1483"/>
      <c r="AF32" s="1483"/>
      <c r="AG32" s="178"/>
    </row>
    <row r="33" spans="24:33" ht="22.5" customHeight="1">
      <c r="X33" s="173"/>
      <c r="Y33" s="1483"/>
      <c r="Z33" s="1483"/>
      <c r="AA33" s="1483"/>
      <c r="AB33" s="1483"/>
      <c r="AC33" s="1483"/>
      <c r="AD33" s="1483"/>
      <c r="AE33" s="1483"/>
      <c r="AF33" s="1483"/>
      <c r="AG33" s="178"/>
    </row>
    <row r="34" spans="24:33" ht="22.5" customHeight="1">
      <c r="X34" s="173"/>
      <c r="Y34" s="1483"/>
      <c r="Z34" s="1483"/>
      <c r="AA34" s="1483"/>
      <c r="AB34" s="1483"/>
      <c r="AC34" s="1483"/>
      <c r="AD34" s="1483"/>
      <c r="AE34" s="1483"/>
      <c r="AF34" s="1483"/>
      <c r="AG34" s="178"/>
    </row>
    <row r="35" spans="24:33" ht="22.5" customHeight="1">
      <c r="X35" s="173"/>
      <c r="Y35" s="1483"/>
      <c r="Z35" s="1483"/>
      <c r="AA35" s="1483"/>
      <c r="AB35" s="1483"/>
      <c r="AC35" s="1483"/>
      <c r="AD35" s="1483"/>
      <c r="AE35" s="1483"/>
      <c r="AF35" s="1483"/>
      <c r="AG35" s="178"/>
    </row>
    <row r="36" spans="24:33" ht="22.5" customHeight="1">
      <c r="X36" s="173"/>
      <c r="Y36" s="1483"/>
      <c r="Z36" s="1483"/>
      <c r="AA36" s="1483"/>
      <c r="AB36" s="1483"/>
      <c r="AC36" s="1483"/>
      <c r="AD36" s="1483"/>
      <c r="AE36" s="1483"/>
      <c r="AF36" s="1483"/>
      <c r="AG36" s="178"/>
    </row>
    <row r="37" spans="24:33" ht="22.5" customHeight="1">
      <c r="X37" s="173"/>
      <c r="Y37" s="1483"/>
      <c r="Z37" s="1483"/>
      <c r="AA37" s="1483"/>
      <c r="AB37" s="1483"/>
      <c r="AC37" s="1483"/>
      <c r="AD37" s="1483"/>
      <c r="AE37" s="1483"/>
      <c r="AF37" s="1483"/>
      <c r="AG37" s="178"/>
    </row>
    <row r="38" spans="24:33" ht="22.5" customHeight="1">
      <c r="X38" s="173"/>
      <c r="Y38" s="179"/>
      <c r="Z38" s="179"/>
      <c r="AA38" s="179"/>
      <c r="AB38" s="179"/>
      <c r="AC38" s="179"/>
      <c r="AD38" s="179"/>
      <c r="AE38" s="179"/>
      <c r="AF38" s="179"/>
      <c r="AG38" s="178"/>
    </row>
    <row r="39" spans="24:33" ht="22.5" customHeight="1">
      <c r="X39" s="173"/>
      <c r="Y39" s="1483" t="s">
        <v>105</v>
      </c>
      <c r="Z39" s="1483"/>
      <c r="AA39" s="1483"/>
      <c r="AB39" s="1483"/>
      <c r="AC39" s="1483"/>
      <c r="AD39" s="1483"/>
      <c r="AE39" s="1483"/>
      <c r="AF39" s="1483"/>
      <c r="AG39" s="178"/>
    </row>
    <row r="40" spans="24:33" ht="22.5" customHeight="1">
      <c r="X40" s="173"/>
      <c r="Y40" s="1483"/>
      <c r="Z40" s="1483"/>
      <c r="AA40" s="1483"/>
      <c r="AB40" s="1483"/>
      <c r="AC40" s="1483"/>
      <c r="AD40" s="1483"/>
      <c r="AE40" s="1483"/>
      <c r="AF40" s="1483"/>
      <c r="AG40" s="178"/>
    </row>
    <row r="41" spans="24:33" ht="22.5" customHeight="1">
      <c r="X41" s="173"/>
      <c r="Y41" s="1483"/>
      <c r="Z41" s="1483"/>
      <c r="AA41" s="1483"/>
      <c r="AB41" s="1483"/>
      <c r="AC41" s="1483"/>
      <c r="AD41" s="1483"/>
      <c r="AE41" s="1483"/>
      <c r="AF41" s="1483"/>
      <c r="AG41" s="178"/>
    </row>
    <row r="42" spans="24:33" ht="22.5" customHeight="1">
      <c r="X42" s="173"/>
      <c r="Y42" s="1483"/>
      <c r="Z42" s="1483"/>
      <c r="AA42" s="1483"/>
      <c r="AB42" s="1483"/>
      <c r="AC42" s="1483"/>
      <c r="AD42" s="1483"/>
      <c r="AE42" s="1483"/>
      <c r="AF42" s="1483"/>
      <c r="AG42" s="178"/>
    </row>
    <row r="43" spans="24:33" ht="22.5" customHeight="1">
      <c r="X43" s="173"/>
      <c r="Y43" s="1483"/>
      <c r="Z43" s="1483"/>
      <c r="AA43" s="1483"/>
      <c r="AB43" s="1483"/>
      <c r="AC43" s="1483"/>
      <c r="AD43" s="1483"/>
      <c r="AE43" s="1483"/>
      <c r="AF43" s="1483"/>
      <c r="AG43" s="178"/>
    </row>
    <row r="44" spans="24:33" ht="22.5" customHeight="1">
      <c r="X44" s="173"/>
      <c r="Y44" s="179"/>
      <c r="Z44" s="179"/>
      <c r="AA44" s="179"/>
      <c r="AB44" s="179"/>
      <c r="AC44" s="179"/>
      <c r="AD44" s="179"/>
      <c r="AE44" s="179"/>
      <c r="AF44" s="179"/>
      <c r="AG44" s="178"/>
    </row>
    <row r="45" spans="24:33" ht="22.5" customHeight="1">
      <c r="X45" s="173"/>
      <c r="Y45" s="1483" t="s">
        <v>106</v>
      </c>
      <c r="Z45" s="1483"/>
      <c r="AA45" s="1483"/>
      <c r="AB45" s="1483"/>
      <c r="AC45" s="1483"/>
      <c r="AD45" s="1483"/>
      <c r="AE45" s="1483"/>
      <c r="AF45" s="1483"/>
      <c r="AG45" s="178"/>
    </row>
    <row r="46" spans="24:33" ht="22.5" customHeight="1">
      <c r="X46" s="173"/>
      <c r="Y46" s="1483"/>
      <c r="Z46" s="1483"/>
      <c r="AA46" s="1483"/>
      <c r="AB46" s="1483"/>
      <c r="AC46" s="1483"/>
      <c r="AD46" s="1483"/>
      <c r="AE46" s="1483"/>
      <c r="AF46" s="1483"/>
      <c r="AG46" s="178"/>
    </row>
    <row r="47" spans="24:33" ht="15" customHeight="1">
      <c r="X47" s="173"/>
      <c r="Y47" s="177"/>
      <c r="Z47" s="177"/>
      <c r="AA47" s="177"/>
      <c r="AB47" s="177"/>
      <c r="AC47" s="177"/>
      <c r="AD47" s="177"/>
      <c r="AE47" s="177"/>
      <c r="AF47" s="177"/>
      <c r="AG47" s="178"/>
    </row>
    <row r="48" spans="24:33" ht="15" customHeight="1">
      <c r="X48" s="173"/>
      <c r="Y48" s="1483" t="s">
        <v>110</v>
      </c>
      <c r="Z48" s="1483"/>
      <c r="AA48" s="1483"/>
      <c r="AB48" s="1483"/>
      <c r="AC48" s="1483"/>
      <c r="AD48" s="1483"/>
      <c r="AE48" s="1483"/>
      <c r="AF48" s="1483"/>
      <c r="AG48" s="178"/>
    </row>
    <row r="49" spans="24:33">
      <c r="X49" s="173"/>
      <c r="Y49" s="1483"/>
      <c r="Z49" s="1483"/>
      <c r="AA49" s="1483"/>
      <c r="AB49" s="1483"/>
      <c r="AC49" s="1483"/>
      <c r="AD49" s="1483"/>
      <c r="AE49" s="1483"/>
      <c r="AF49" s="1483"/>
      <c r="AG49" s="178"/>
    </row>
    <row r="50" spans="24:33">
      <c r="X50" s="173"/>
      <c r="Y50" s="1483"/>
      <c r="Z50" s="1483"/>
      <c r="AA50" s="1483"/>
      <c r="AB50" s="1483"/>
      <c r="AC50" s="1483"/>
      <c r="AD50" s="1483"/>
      <c r="AE50" s="1483"/>
      <c r="AF50" s="1483"/>
      <c r="AG50" s="178"/>
    </row>
    <row r="51" spans="24:33">
      <c r="X51" s="173"/>
      <c r="Y51" s="179"/>
      <c r="Z51" s="179"/>
      <c r="AA51" s="179"/>
      <c r="AB51" s="179"/>
      <c r="AC51" s="179"/>
      <c r="AD51" s="179"/>
      <c r="AE51" s="179"/>
      <c r="AF51" s="179"/>
      <c r="AG51" s="178"/>
    </row>
    <row r="52" spans="24:33" ht="18">
      <c r="X52" s="1507" t="s">
        <v>1607</v>
      </c>
      <c r="Y52" s="1508"/>
      <c r="Z52" s="1508"/>
      <c r="AA52" s="1508"/>
      <c r="AB52" s="1508"/>
      <c r="AC52" s="1508"/>
      <c r="AD52" s="1508"/>
      <c r="AE52" s="1508"/>
      <c r="AF52" s="1508"/>
      <c r="AG52" s="1509"/>
    </row>
  </sheetData>
  <sheetProtection formatCells="0" formatColumns="0" formatRows="0" insertHyperlinks="0" selectLockedCells="1" sort="0" autoFilter="0"/>
  <customSheetViews>
    <customSheetView guid="{CCC3C480-7EFF-4539-BA29-9C13086C00B7}" scale="90" showGridLines="0">
      <selection activeCell="L8" sqref="L8"/>
      <pageMargins left="0.7" right="0.7" top="0.75" bottom="0.75" header="0.3" footer="0.3"/>
      <pageSetup paperSize="5" scale="89" orientation="portrait"/>
    </customSheetView>
  </customSheetViews>
  <mergeCells count="31">
    <mergeCell ref="X52:AG52"/>
    <mergeCell ref="Y45:AF46"/>
    <mergeCell ref="F25:T25"/>
    <mergeCell ref="F26:T26"/>
    <mergeCell ref="F27:T27"/>
    <mergeCell ref="F28:T28"/>
    <mergeCell ref="F4:T4"/>
    <mergeCell ref="F5:T5"/>
    <mergeCell ref="F9:T10"/>
    <mergeCell ref="F6:T7"/>
    <mergeCell ref="F8:T8"/>
    <mergeCell ref="Y13:AF13"/>
    <mergeCell ref="Y9:AF12"/>
    <mergeCell ref="Y5:AB7"/>
    <mergeCell ref="F12:T12"/>
    <mergeCell ref="F13:T13"/>
    <mergeCell ref="F14:T15"/>
    <mergeCell ref="F16:T16"/>
    <mergeCell ref="F17:T18"/>
    <mergeCell ref="Y48:AF50"/>
    <mergeCell ref="Y25:AF28"/>
    <mergeCell ref="Y30:AF37"/>
    <mergeCell ref="Y14:AF15"/>
    <mergeCell ref="Y17:AF20"/>
    <mergeCell ref="Y21:AF23"/>
    <mergeCell ref="F20:T20"/>
    <mergeCell ref="F23:T23"/>
    <mergeCell ref="F24:T24"/>
    <mergeCell ref="F21:T21"/>
    <mergeCell ref="F22:T22"/>
    <mergeCell ref="Y39:AF43"/>
  </mergeCells>
  <printOptions horizontalCentered="1" verticalCentered="1"/>
  <pageMargins left="0.86" right="0.39" top="0.75" bottom="0.75" header="0.3" footer="0.3"/>
  <pageSetup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wsADMIN">
    <tabColor theme="1" tint="0.249977111117893"/>
  </sheetPr>
  <dimension ref="C1:CP28"/>
  <sheetViews>
    <sheetView showGridLines="0" showRowColHeaders="0" zoomScaleNormal="100" workbookViewId="0">
      <pane ySplit="1" topLeftCell="A2" activePane="bottomLeft" state="frozen"/>
      <selection pane="bottomLeft"/>
    </sheetView>
  </sheetViews>
  <sheetFormatPr defaultColWidth="2.09765625" defaultRowHeight="15.7"/>
  <cols>
    <col min="1" max="2" width="2.09765625" style="154"/>
    <col min="3" max="3" width="2.09765625" style="154" customWidth="1"/>
    <col min="4" max="59" width="2.09765625" style="154"/>
    <col min="60" max="60" width="2.09765625" style="154" customWidth="1"/>
    <col min="61" max="97" width="2.09765625" style="154"/>
    <col min="98" max="103" width="2.09765625" style="154" customWidth="1"/>
    <col min="104" max="16384" width="2.09765625" style="154"/>
  </cols>
  <sheetData>
    <row r="1" spans="3:94" s="155" customFormat="1" ht="45" customHeight="1"/>
    <row r="3" spans="3:94" ht="38.25" customHeight="1">
      <c r="W3" s="1513" t="s">
        <v>893</v>
      </c>
      <c r="X3" s="1513"/>
      <c r="Y3" s="1513"/>
      <c r="Z3" s="1513"/>
      <c r="AA3" s="1513"/>
      <c r="AB3" s="1513"/>
      <c r="AC3" s="1513"/>
      <c r="AD3" s="1513"/>
      <c r="AE3" s="1513"/>
      <c r="AF3" s="1513"/>
      <c r="AG3" s="1513"/>
      <c r="AH3" s="1513"/>
      <c r="AI3" s="1513"/>
      <c r="AJ3" s="1513"/>
      <c r="AK3" s="1513"/>
      <c r="AL3" s="1513"/>
      <c r="AM3" s="1513"/>
      <c r="AN3" s="1513"/>
      <c r="AO3" s="1513"/>
      <c r="AP3" s="1513"/>
      <c r="AQ3" s="1513"/>
      <c r="AR3" s="1513"/>
      <c r="AS3" s="1513"/>
      <c r="AT3" s="1540" t="s">
        <v>894</v>
      </c>
      <c r="AU3" s="1540"/>
      <c r="AV3" s="1540"/>
      <c r="AW3" s="1540"/>
      <c r="AX3" s="1540"/>
      <c r="AY3" s="1540"/>
      <c r="AZ3" s="1540"/>
      <c r="BA3" s="1540" t="s">
        <v>895</v>
      </c>
      <c r="BB3" s="1540"/>
      <c r="BC3" s="1540"/>
      <c r="BD3" s="1540"/>
      <c r="BE3" s="1540"/>
      <c r="BF3" s="1540"/>
      <c r="BG3" s="1540"/>
      <c r="BH3" s="1540"/>
      <c r="BI3" s="1540"/>
      <c r="BJ3" s="1540"/>
      <c r="BK3" s="1540"/>
      <c r="BL3" s="1540"/>
      <c r="BM3" s="1540"/>
    </row>
    <row r="4" spans="3:94" ht="22.5" customHeight="1">
      <c r="E4" s="1544" t="s">
        <v>1904</v>
      </c>
      <c r="F4" s="1544"/>
      <c r="G4" s="1544"/>
      <c r="H4" s="1544"/>
      <c r="I4" s="1544"/>
      <c r="J4" s="1544"/>
      <c r="K4" s="1544"/>
      <c r="L4" s="1544"/>
      <c r="M4" s="1544"/>
      <c r="N4" s="1544"/>
      <c r="O4" s="1544"/>
      <c r="P4" s="1544"/>
      <c r="Q4" s="1544"/>
      <c r="R4" s="1544"/>
      <c r="S4" s="1544"/>
      <c r="W4" s="1532" t="s">
        <v>897</v>
      </c>
      <c r="X4" s="1533"/>
      <c r="Y4" s="1533"/>
      <c r="Z4" s="1533"/>
      <c r="AA4" s="1533"/>
      <c r="AB4" s="1533"/>
      <c r="AC4" s="1533"/>
      <c r="AD4" s="1533"/>
      <c r="AE4" s="1533"/>
      <c r="AF4" s="1533"/>
      <c r="AG4" s="1533"/>
      <c r="AH4" s="1533"/>
      <c r="AI4" s="1533"/>
      <c r="AJ4" s="1533"/>
      <c r="AK4" s="1533"/>
      <c r="AL4" s="1533"/>
      <c r="AM4" s="1533"/>
      <c r="AN4" s="1533"/>
      <c r="AO4" s="1533"/>
      <c r="AP4" s="1533"/>
      <c r="AQ4" s="1533"/>
      <c r="AR4" s="1533"/>
      <c r="AS4" s="1534"/>
      <c r="AT4" s="1535"/>
      <c r="AU4" s="1536"/>
      <c r="AV4" s="1536"/>
      <c r="AW4" s="1536"/>
      <c r="AX4" s="1536"/>
      <c r="AY4" s="1536"/>
      <c r="AZ4" s="1537"/>
      <c r="BA4" s="1523"/>
      <c r="BB4" s="1524"/>
      <c r="BC4" s="1524"/>
      <c r="BD4" s="1524"/>
      <c r="BE4" s="1524"/>
      <c r="BF4" s="1524"/>
      <c r="BG4" s="1524"/>
      <c r="BH4" s="1524"/>
      <c r="BI4" s="1524"/>
      <c r="BJ4" s="1524"/>
      <c r="BK4" s="1524"/>
      <c r="BL4" s="1524"/>
      <c r="BM4" s="1525"/>
    </row>
    <row r="5" spans="3:94" ht="22.5" customHeight="1">
      <c r="E5" s="1544"/>
      <c r="F5" s="1544"/>
      <c r="G5" s="1544"/>
      <c r="H5" s="1544"/>
      <c r="I5" s="1544"/>
      <c r="J5" s="1544"/>
      <c r="K5" s="1544"/>
      <c r="L5" s="1544"/>
      <c r="M5" s="1544"/>
      <c r="N5" s="1544"/>
      <c r="O5" s="1544"/>
      <c r="P5" s="1544"/>
      <c r="Q5" s="1544"/>
      <c r="R5" s="1544"/>
      <c r="S5" s="1544"/>
      <c r="W5" s="1526" t="s">
        <v>1618</v>
      </c>
      <c r="X5" s="1527"/>
      <c r="Y5" s="1527"/>
      <c r="Z5" s="1527"/>
      <c r="AA5" s="1527"/>
      <c r="AB5" s="1527"/>
      <c r="AC5" s="1527"/>
      <c r="AD5" s="1527"/>
      <c r="AE5" s="1527"/>
      <c r="AF5" s="1527"/>
      <c r="AG5" s="1527"/>
      <c r="AH5" s="1527"/>
      <c r="AI5" s="1527"/>
      <c r="AJ5" s="1527"/>
      <c r="AK5" s="1527"/>
      <c r="AL5" s="1527"/>
      <c r="AM5" s="1527"/>
      <c r="AN5" s="1527"/>
      <c r="AO5" s="1527"/>
      <c r="AP5" s="1527"/>
      <c r="AQ5" s="1527"/>
      <c r="AR5" s="1527"/>
      <c r="AS5" s="1528"/>
      <c r="AT5" s="1529"/>
      <c r="AU5" s="1530"/>
      <c r="AV5" s="1530"/>
      <c r="AW5" s="1530"/>
      <c r="AX5" s="1530"/>
      <c r="AY5" s="1530"/>
      <c r="AZ5" s="1531"/>
      <c r="BA5" s="1520"/>
      <c r="BB5" s="1521"/>
      <c r="BC5" s="1521"/>
      <c r="BD5" s="1521"/>
      <c r="BE5" s="1521"/>
      <c r="BF5" s="1521"/>
      <c r="BG5" s="1521"/>
      <c r="BH5" s="1521"/>
      <c r="BI5" s="1521"/>
      <c r="BJ5" s="1521"/>
      <c r="BK5" s="1521"/>
      <c r="BL5" s="1521"/>
      <c r="BM5" s="1522"/>
    </row>
    <row r="6" spans="3:94" ht="22.5" customHeight="1">
      <c r="C6" s="156"/>
      <c r="V6" s="156"/>
      <c r="W6" s="1541" t="s">
        <v>889</v>
      </c>
      <c r="X6" s="1542"/>
      <c r="Y6" s="1542"/>
      <c r="Z6" s="1542"/>
      <c r="AA6" s="1542"/>
      <c r="AB6" s="1542"/>
      <c r="AC6" s="1542"/>
      <c r="AD6" s="1542"/>
      <c r="AE6" s="1542"/>
      <c r="AF6" s="1542"/>
      <c r="AG6" s="1542"/>
      <c r="AH6" s="1542"/>
      <c r="AI6" s="1542"/>
      <c r="AJ6" s="1542"/>
      <c r="AK6" s="1542"/>
      <c r="AL6" s="1542"/>
      <c r="AM6" s="1542"/>
      <c r="AN6" s="1542"/>
      <c r="AO6" s="1542"/>
      <c r="AP6" s="1542"/>
      <c r="AQ6" s="1542"/>
      <c r="AR6" s="1542"/>
      <c r="AS6" s="1543"/>
      <c r="AT6" s="1514"/>
      <c r="AU6" s="1515"/>
      <c r="AV6" s="1515"/>
      <c r="AW6" s="1515"/>
      <c r="AX6" s="1515"/>
      <c r="AY6" s="1515"/>
      <c r="AZ6" s="1516"/>
      <c r="BA6" s="1514"/>
      <c r="BB6" s="1515"/>
      <c r="BC6" s="1515"/>
      <c r="BD6" s="1515"/>
      <c r="BE6" s="1515"/>
      <c r="BF6" s="1515"/>
      <c r="BG6" s="1515"/>
      <c r="BH6" s="1515"/>
      <c r="BI6" s="1515"/>
      <c r="BJ6" s="1515"/>
      <c r="BK6" s="1515"/>
      <c r="BL6" s="1515"/>
      <c r="BM6" s="1516"/>
      <c r="BN6" s="156"/>
      <c r="BO6" s="156"/>
      <c r="BP6" s="156"/>
      <c r="BQ6" s="156"/>
      <c r="BR6" s="156"/>
      <c r="BS6" s="156"/>
      <c r="BT6" s="156"/>
      <c r="BU6" s="156"/>
      <c r="BV6" s="156"/>
      <c r="BW6" s="156"/>
      <c r="BX6" s="156"/>
      <c r="BY6" s="156"/>
      <c r="BZ6" s="156"/>
      <c r="CA6" s="156"/>
      <c r="CB6" s="156"/>
      <c r="CC6" s="156"/>
      <c r="CD6" s="156"/>
      <c r="CE6" s="156"/>
      <c r="CF6" s="156"/>
      <c r="CG6" s="156"/>
      <c r="CH6" s="156"/>
      <c r="CI6" s="156"/>
      <c r="CJ6" s="156"/>
      <c r="CK6" s="156"/>
      <c r="CL6" s="156"/>
      <c r="CM6" s="156"/>
      <c r="CN6" s="156"/>
      <c r="CO6" s="156"/>
      <c r="CP6" s="156"/>
    </row>
    <row r="7" spans="3:94" ht="22.5" customHeight="1">
      <c r="C7" s="156"/>
      <c r="V7" s="156"/>
      <c r="W7" s="1526" t="s">
        <v>884</v>
      </c>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8"/>
      <c r="AT7" s="1529"/>
      <c r="AU7" s="1530"/>
      <c r="AV7" s="1530"/>
      <c r="AW7" s="1530"/>
      <c r="AX7" s="1530"/>
      <c r="AY7" s="1530"/>
      <c r="AZ7" s="1531"/>
      <c r="BA7" s="1520"/>
      <c r="BB7" s="1521"/>
      <c r="BC7" s="1521"/>
      <c r="BD7" s="1521"/>
      <c r="BE7" s="1521"/>
      <c r="BF7" s="1521"/>
      <c r="BG7" s="1521"/>
      <c r="BH7" s="1521"/>
      <c r="BI7" s="1521"/>
      <c r="BJ7" s="1521"/>
      <c r="BK7" s="1521"/>
      <c r="BL7" s="1521"/>
      <c r="BM7" s="1522"/>
      <c r="BN7" s="156"/>
      <c r="BO7" s="156"/>
      <c r="BP7" s="156"/>
      <c r="BQ7" s="156"/>
      <c r="BR7" s="156"/>
      <c r="BS7" s="156"/>
      <c r="BT7" s="156"/>
      <c r="BU7" s="156"/>
      <c r="BV7" s="156"/>
      <c r="BW7" s="156"/>
      <c r="BX7" s="156"/>
      <c r="BY7" s="156"/>
      <c r="BZ7" s="156"/>
      <c r="CA7" s="156"/>
      <c r="CB7" s="156"/>
      <c r="CC7" s="156"/>
      <c r="CD7" s="156"/>
      <c r="CE7" s="156"/>
      <c r="CF7" s="156"/>
      <c r="CG7" s="156"/>
      <c r="CH7" s="156"/>
      <c r="CI7" s="156"/>
      <c r="CJ7" s="156"/>
      <c r="CK7" s="156"/>
      <c r="CL7" s="156"/>
      <c r="CM7" s="156"/>
      <c r="CN7" s="156"/>
      <c r="CO7" s="156"/>
      <c r="CP7" s="156"/>
    </row>
    <row r="8" spans="3:94" ht="22.5" customHeight="1">
      <c r="C8" s="156"/>
      <c r="E8" s="1547" t="s">
        <v>896</v>
      </c>
      <c r="F8" s="1547"/>
      <c r="G8" s="1547"/>
      <c r="H8" s="1547"/>
      <c r="I8" s="1547"/>
      <c r="J8" s="1547"/>
      <c r="K8" s="1547"/>
      <c r="L8" s="1547"/>
      <c r="M8" s="1547"/>
      <c r="N8" s="1547"/>
      <c r="O8" s="1547"/>
      <c r="P8" s="1547"/>
      <c r="Q8" s="1547"/>
      <c r="R8" s="1547"/>
      <c r="S8" s="1547"/>
      <c r="V8" s="156"/>
      <c r="W8" s="1526" t="s">
        <v>885</v>
      </c>
      <c r="X8" s="1527"/>
      <c r="Y8" s="1527"/>
      <c r="Z8" s="1527"/>
      <c r="AA8" s="1527"/>
      <c r="AB8" s="1527"/>
      <c r="AC8" s="1527"/>
      <c r="AD8" s="1527"/>
      <c r="AE8" s="1527"/>
      <c r="AF8" s="1527"/>
      <c r="AG8" s="1527"/>
      <c r="AH8" s="1527"/>
      <c r="AI8" s="1527"/>
      <c r="AJ8" s="1527"/>
      <c r="AK8" s="1527"/>
      <c r="AL8" s="1527"/>
      <c r="AM8" s="1527"/>
      <c r="AN8" s="1527"/>
      <c r="AO8" s="1527"/>
      <c r="AP8" s="1527"/>
      <c r="AQ8" s="1527"/>
      <c r="AR8" s="1527"/>
      <c r="AS8" s="1528"/>
      <c r="AT8" s="1529"/>
      <c r="AU8" s="1530"/>
      <c r="AV8" s="1530"/>
      <c r="AW8" s="1530"/>
      <c r="AX8" s="1530"/>
      <c r="AY8" s="1530"/>
      <c r="AZ8" s="1531"/>
      <c r="BA8" s="1520"/>
      <c r="BB8" s="1521"/>
      <c r="BC8" s="1521"/>
      <c r="BD8" s="1521"/>
      <c r="BE8" s="1521"/>
      <c r="BF8" s="1521"/>
      <c r="BG8" s="1521"/>
      <c r="BH8" s="1521"/>
      <c r="BI8" s="1521"/>
      <c r="BJ8" s="1521"/>
      <c r="BK8" s="1521"/>
      <c r="BL8" s="1521"/>
      <c r="BM8" s="1522"/>
      <c r="BN8" s="156"/>
      <c r="BO8" s="156"/>
      <c r="BP8" s="156"/>
      <c r="BQ8" s="156"/>
      <c r="BR8" s="156"/>
      <c r="BS8" s="156"/>
      <c r="BT8" s="156"/>
      <c r="BU8" s="156"/>
      <c r="BV8" s="156"/>
      <c r="BW8" s="156"/>
      <c r="BX8" s="156"/>
      <c r="BY8" s="156"/>
      <c r="BZ8" s="156"/>
      <c r="CA8" s="156"/>
      <c r="CB8" s="156"/>
      <c r="CC8" s="156"/>
      <c r="CD8" s="156"/>
      <c r="CE8" s="156"/>
      <c r="CF8" s="156"/>
      <c r="CG8" s="156"/>
      <c r="CH8" s="156"/>
      <c r="CI8" s="156"/>
      <c r="CJ8" s="156"/>
      <c r="CK8" s="156"/>
      <c r="CL8" s="156"/>
      <c r="CM8" s="156"/>
      <c r="CN8" s="156"/>
      <c r="CO8" s="156"/>
      <c r="CP8" s="156"/>
    </row>
    <row r="9" spans="3:94" ht="22.5" customHeight="1">
      <c r="C9" s="156"/>
      <c r="E9" s="1548"/>
      <c r="F9" s="1548"/>
      <c r="G9" s="1548"/>
      <c r="H9" s="1548"/>
      <c r="I9" s="1548"/>
      <c r="J9" s="1548"/>
      <c r="K9" s="1548"/>
      <c r="L9" s="1548"/>
      <c r="M9" s="1548"/>
      <c r="N9" s="1548"/>
      <c r="O9" s="1548"/>
      <c r="P9" s="1548"/>
      <c r="Q9" s="1548"/>
      <c r="R9" s="1548"/>
      <c r="S9" s="1548"/>
      <c r="V9" s="156"/>
      <c r="W9" s="1526" t="s">
        <v>1556</v>
      </c>
      <c r="X9" s="1527"/>
      <c r="Y9" s="1527"/>
      <c r="Z9" s="1527"/>
      <c r="AA9" s="1527"/>
      <c r="AB9" s="1527"/>
      <c r="AC9" s="1527"/>
      <c r="AD9" s="1527"/>
      <c r="AE9" s="1527"/>
      <c r="AF9" s="1527"/>
      <c r="AG9" s="1527"/>
      <c r="AH9" s="1527"/>
      <c r="AI9" s="1527"/>
      <c r="AJ9" s="1527"/>
      <c r="AK9" s="1527"/>
      <c r="AL9" s="1527"/>
      <c r="AM9" s="1527"/>
      <c r="AN9" s="1527"/>
      <c r="AO9" s="1527"/>
      <c r="AP9" s="1527"/>
      <c r="AQ9" s="1527"/>
      <c r="AR9" s="1527"/>
      <c r="AS9" s="1528"/>
      <c r="AT9" s="1529"/>
      <c r="AU9" s="1530"/>
      <c r="AV9" s="1530"/>
      <c r="AW9" s="1530"/>
      <c r="AX9" s="1530"/>
      <c r="AY9" s="1530"/>
      <c r="AZ9" s="1531"/>
      <c r="BA9" s="1520"/>
      <c r="BB9" s="1521"/>
      <c r="BC9" s="1521"/>
      <c r="BD9" s="1521"/>
      <c r="BE9" s="1521"/>
      <c r="BF9" s="1521"/>
      <c r="BG9" s="1521"/>
      <c r="BH9" s="1521"/>
      <c r="BI9" s="1521"/>
      <c r="BJ9" s="1521"/>
      <c r="BK9" s="1521"/>
      <c r="BL9" s="1521"/>
      <c r="BM9" s="1522"/>
      <c r="BN9" s="156"/>
      <c r="BO9" s="156"/>
      <c r="BP9" s="156"/>
      <c r="BQ9" s="156"/>
      <c r="BR9" s="156"/>
      <c r="BS9" s="156"/>
      <c r="BT9" s="156"/>
      <c r="BU9" s="156"/>
      <c r="BV9" s="156"/>
      <c r="BW9" s="156"/>
      <c r="BX9" s="156"/>
      <c r="BY9" s="156"/>
      <c r="BZ9" s="156"/>
      <c r="CA9" s="156"/>
      <c r="CB9" s="156"/>
      <c r="CC9" s="156"/>
      <c r="CD9" s="156"/>
      <c r="CE9" s="156"/>
      <c r="CF9" s="156"/>
      <c r="CG9" s="156"/>
      <c r="CH9" s="156"/>
      <c r="CI9" s="156"/>
      <c r="CJ9" s="156"/>
      <c r="CK9" s="156"/>
      <c r="CL9" s="156"/>
      <c r="CM9" s="156"/>
      <c r="CN9" s="156"/>
      <c r="CO9" s="156"/>
      <c r="CP9" s="156"/>
    </row>
    <row r="10" spans="3:94" ht="22.5" customHeight="1">
      <c r="C10" s="156"/>
      <c r="E10" s="1548"/>
      <c r="F10" s="1548"/>
      <c r="G10" s="1548"/>
      <c r="H10" s="1548"/>
      <c r="I10" s="1548"/>
      <c r="J10" s="1548"/>
      <c r="K10" s="1548"/>
      <c r="L10" s="1548"/>
      <c r="M10" s="1548"/>
      <c r="N10" s="1548"/>
      <c r="O10" s="1548"/>
      <c r="P10" s="1548"/>
      <c r="Q10" s="1548"/>
      <c r="R10" s="1548"/>
      <c r="S10" s="1548"/>
      <c r="V10" s="156"/>
      <c r="W10" s="1526" t="s">
        <v>1254</v>
      </c>
      <c r="X10" s="1527"/>
      <c r="Y10" s="1527"/>
      <c r="Z10" s="1527"/>
      <c r="AA10" s="1527"/>
      <c r="AB10" s="1527"/>
      <c r="AC10" s="1527"/>
      <c r="AD10" s="1527"/>
      <c r="AE10" s="1527"/>
      <c r="AF10" s="1527"/>
      <c r="AG10" s="1527"/>
      <c r="AH10" s="1527"/>
      <c r="AI10" s="1527"/>
      <c r="AJ10" s="1527"/>
      <c r="AK10" s="1527"/>
      <c r="AL10" s="1527"/>
      <c r="AM10" s="1527"/>
      <c r="AN10" s="1527"/>
      <c r="AO10" s="1527"/>
      <c r="AP10" s="1527"/>
      <c r="AQ10" s="1527"/>
      <c r="AR10" s="1527"/>
      <c r="AS10" s="1528"/>
      <c r="AT10" s="1529"/>
      <c r="AU10" s="1530"/>
      <c r="AV10" s="1530"/>
      <c r="AW10" s="1530"/>
      <c r="AX10" s="1530"/>
      <c r="AY10" s="1530"/>
      <c r="AZ10" s="1531"/>
      <c r="BA10" s="1520"/>
      <c r="BB10" s="1521"/>
      <c r="BC10" s="1521"/>
      <c r="BD10" s="1521"/>
      <c r="BE10" s="1521"/>
      <c r="BF10" s="1521"/>
      <c r="BG10" s="1521"/>
      <c r="BH10" s="1521"/>
      <c r="BI10" s="1521"/>
      <c r="BJ10" s="1521"/>
      <c r="BK10" s="1521"/>
      <c r="BL10" s="1521"/>
      <c r="BM10" s="1522"/>
      <c r="BN10" s="156"/>
      <c r="BO10" s="156"/>
      <c r="BP10" s="156"/>
      <c r="BQ10" s="156"/>
      <c r="BR10" s="156"/>
      <c r="BS10" s="156"/>
      <c r="BT10" s="156"/>
      <c r="BU10" s="156"/>
      <c r="BV10" s="156"/>
      <c r="BW10" s="156"/>
      <c r="BX10" s="156"/>
      <c r="BY10" s="156"/>
      <c r="BZ10" s="156"/>
      <c r="CA10" s="156"/>
      <c r="CB10" s="156"/>
      <c r="CC10" s="156"/>
      <c r="CD10" s="156"/>
      <c r="CE10" s="156"/>
      <c r="CF10" s="156"/>
      <c r="CG10" s="156"/>
      <c r="CH10" s="156"/>
      <c r="CI10" s="156"/>
      <c r="CJ10" s="156"/>
      <c r="CK10" s="156"/>
      <c r="CL10" s="156"/>
      <c r="CM10" s="156"/>
      <c r="CN10" s="156"/>
      <c r="CO10" s="156"/>
      <c r="CP10" s="156"/>
    </row>
    <row r="11" spans="3:94" ht="22.5" customHeight="1">
      <c r="C11" s="156"/>
      <c r="V11" s="156"/>
      <c r="W11" s="1526" t="s">
        <v>1557</v>
      </c>
      <c r="X11" s="1527"/>
      <c r="Y11" s="1527"/>
      <c r="Z11" s="1527"/>
      <c r="AA11" s="1527"/>
      <c r="AB11" s="1527"/>
      <c r="AC11" s="1527"/>
      <c r="AD11" s="1527"/>
      <c r="AE11" s="1527"/>
      <c r="AF11" s="1527"/>
      <c r="AG11" s="1527"/>
      <c r="AH11" s="1527"/>
      <c r="AI11" s="1527"/>
      <c r="AJ11" s="1527"/>
      <c r="AK11" s="1527"/>
      <c r="AL11" s="1527"/>
      <c r="AM11" s="1527"/>
      <c r="AN11" s="1527"/>
      <c r="AO11" s="1527"/>
      <c r="AP11" s="1527"/>
      <c r="AQ11" s="1527"/>
      <c r="AR11" s="1527"/>
      <c r="AS11" s="1528"/>
      <c r="AT11" s="1529"/>
      <c r="AU11" s="1530"/>
      <c r="AV11" s="1530"/>
      <c r="AW11" s="1530"/>
      <c r="AX11" s="1530"/>
      <c r="AY11" s="1530"/>
      <c r="AZ11" s="1531"/>
      <c r="BA11" s="1520"/>
      <c r="BB11" s="1521"/>
      <c r="BC11" s="1521"/>
      <c r="BD11" s="1521"/>
      <c r="BE11" s="1521"/>
      <c r="BF11" s="1521"/>
      <c r="BG11" s="1521"/>
      <c r="BH11" s="1521"/>
      <c r="BI11" s="1521"/>
      <c r="BJ11" s="1521"/>
      <c r="BK11" s="1521"/>
      <c r="BL11" s="1521"/>
      <c r="BM11" s="1522"/>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row>
    <row r="12" spans="3:94" ht="22.5" customHeight="1">
      <c r="C12" s="156"/>
      <c r="D12" s="180"/>
      <c r="E12" s="180"/>
      <c r="F12" s="180"/>
      <c r="G12" s="180"/>
      <c r="H12" s="180"/>
      <c r="I12" s="180"/>
      <c r="J12" s="180"/>
      <c r="K12" s="180"/>
      <c r="L12" s="180"/>
      <c r="M12" s="180"/>
      <c r="N12" s="180"/>
      <c r="O12" s="180"/>
      <c r="P12" s="180"/>
      <c r="Q12" s="180"/>
      <c r="R12" s="180"/>
      <c r="V12" s="156"/>
      <c r="W12" s="1546" t="s">
        <v>937</v>
      </c>
      <c r="X12" s="1546"/>
      <c r="Y12" s="1546"/>
      <c r="Z12" s="1546"/>
      <c r="AA12" s="1546"/>
      <c r="AB12" s="1546"/>
      <c r="AC12" s="1546"/>
      <c r="AD12" s="1546"/>
      <c r="AE12" s="1546"/>
      <c r="AF12" s="1546"/>
      <c r="AG12" s="1546"/>
      <c r="AH12" s="1546"/>
      <c r="AI12" s="1546"/>
      <c r="AJ12" s="1546"/>
      <c r="AK12" s="1546"/>
      <c r="AL12" s="1546"/>
      <c r="AM12" s="1546"/>
      <c r="AN12" s="1546"/>
      <c r="AO12" s="1546"/>
      <c r="AP12" s="1546"/>
      <c r="AQ12" s="1546"/>
      <c r="AR12" s="1546"/>
      <c r="AS12" s="1546"/>
      <c r="AT12" s="1545"/>
      <c r="AU12" s="1545"/>
      <c r="AV12" s="1545"/>
      <c r="AW12" s="1545"/>
      <c r="AX12" s="1545"/>
      <c r="AY12" s="1545"/>
      <c r="AZ12" s="1545"/>
      <c r="BA12" s="1545"/>
      <c r="BB12" s="1545"/>
      <c r="BC12" s="1545"/>
      <c r="BD12" s="1545"/>
      <c r="BE12" s="1545"/>
      <c r="BF12" s="1545"/>
      <c r="BG12" s="1545"/>
      <c r="BH12" s="1545"/>
      <c r="BI12" s="1545"/>
      <c r="BJ12" s="1545"/>
      <c r="BK12" s="1545"/>
      <c r="BL12" s="1545"/>
      <c r="BM12" s="1545"/>
      <c r="BN12" s="156"/>
      <c r="BO12" s="156"/>
      <c r="BP12" s="156"/>
      <c r="BQ12" s="156"/>
      <c r="BR12" s="156"/>
      <c r="BS12" s="156"/>
      <c r="BT12" s="156"/>
      <c r="BU12" s="156"/>
      <c r="BV12" s="156"/>
      <c r="BW12" s="156"/>
      <c r="BX12" s="156"/>
      <c r="BY12" s="156"/>
      <c r="BZ12" s="156"/>
      <c r="CA12" s="156"/>
      <c r="CB12" s="156"/>
      <c r="CC12" s="156"/>
      <c r="CD12" s="156"/>
      <c r="CE12" s="156"/>
      <c r="CF12" s="156"/>
      <c r="CG12" s="156"/>
      <c r="CH12" s="156"/>
      <c r="CI12" s="156"/>
      <c r="CJ12" s="156"/>
      <c r="CK12" s="156"/>
      <c r="CL12" s="156"/>
      <c r="CM12" s="156"/>
      <c r="CN12" s="156"/>
      <c r="CO12" s="156"/>
      <c r="CP12" s="156"/>
    </row>
    <row r="13" spans="3:94" ht="22.5" customHeight="1">
      <c r="C13" s="156"/>
      <c r="D13" s="180"/>
      <c r="E13" s="180"/>
      <c r="F13" s="180"/>
      <c r="G13" s="180"/>
      <c r="H13" s="180"/>
      <c r="I13" s="180"/>
      <c r="J13" s="180"/>
      <c r="K13" s="180"/>
      <c r="L13" s="180"/>
      <c r="M13" s="180"/>
      <c r="N13" s="180"/>
      <c r="O13" s="180"/>
      <c r="P13" s="180"/>
      <c r="Q13" s="180"/>
      <c r="R13" s="180"/>
      <c r="V13" s="156"/>
      <c r="W13" s="1526" t="s">
        <v>891</v>
      </c>
      <c r="X13" s="1527"/>
      <c r="Y13" s="1527"/>
      <c r="Z13" s="1527"/>
      <c r="AA13" s="1527"/>
      <c r="AB13" s="1527"/>
      <c r="AC13" s="1527"/>
      <c r="AD13" s="1527"/>
      <c r="AE13" s="1527"/>
      <c r="AF13" s="1527"/>
      <c r="AG13" s="1527"/>
      <c r="AH13" s="1527"/>
      <c r="AI13" s="1527"/>
      <c r="AJ13" s="1527"/>
      <c r="AK13" s="1527"/>
      <c r="AL13" s="1527"/>
      <c r="AM13" s="1527"/>
      <c r="AN13" s="1527"/>
      <c r="AO13" s="1527"/>
      <c r="AP13" s="1527"/>
      <c r="AQ13" s="1527"/>
      <c r="AR13" s="1527"/>
      <c r="AS13" s="1528"/>
      <c r="AT13" s="1529"/>
      <c r="AU13" s="1530"/>
      <c r="AV13" s="1530"/>
      <c r="AW13" s="1530"/>
      <c r="AX13" s="1530"/>
      <c r="AY13" s="1530"/>
      <c r="AZ13" s="1531"/>
      <c r="BA13" s="1520"/>
      <c r="BB13" s="1521"/>
      <c r="BC13" s="1521"/>
      <c r="BD13" s="1521"/>
      <c r="BE13" s="1521"/>
      <c r="BF13" s="1521"/>
      <c r="BG13" s="1521"/>
      <c r="BH13" s="1521"/>
      <c r="BI13" s="1521"/>
      <c r="BJ13" s="1521"/>
      <c r="BK13" s="1521"/>
      <c r="BL13" s="1521"/>
      <c r="BM13" s="1522"/>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156"/>
      <c r="CO13" s="156"/>
      <c r="CP13" s="156"/>
    </row>
    <row r="14" spans="3:94" ht="22.5" customHeight="1">
      <c r="C14" s="156"/>
      <c r="D14" s="180"/>
      <c r="E14" s="180"/>
      <c r="F14" s="180"/>
      <c r="G14" s="180"/>
      <c r="H14" s="180"/>
      <c r="I14" s="180"/>
      <c r="J14" s="180"/>
      <c r="K14" s="180"/>
      <c r="L14" s="180"/>
      <c r="M14" s="180"/>
      <c r="N14" s="180"/>
      <c r="O14" s="180"/>
      <c r="P14" s="180"/>
      <c r="Q14" s="180"/>
      <c r="R14" s="180"/>
      <c r="V14" s="156"/>
      <c r="W14" s="1526" t="s">
        <v>890</v>
      </c>
      <c r="X14" s="1527"/>
      <c r="Y14" s="1527"/>
      <c r="Z14" s="1527"/>
      <c r="AA14" s="1527"/>
      <c r="AB14" s="1527"/>
      <c r="AC14" s="1527"/>
      <c r="AD14" s="1527"/>
      <c r="AE14" s="1527"/>
      <c r="AF14" s="1527"/>
      <c r="AG14" s="1527"/>
      <c r="AH14" s="1527"/>
      <c r="AI14" s="1527"/>
      <c r="AJ14" s="1527"/>
      <c r="AK14" s="1527"/>
      <c r="AL14" s="1527"/>
      <c r="AM14" s="1527"/>
      <c r="AN14" s="1527"/>
      <c r="AO14" s="1527"/>
      <c r="AP14" s="1527"/>
      <c r="AQ14" s="1527"/>
      <c r="AR14" s="1527"/>
      <c r="AS14" s="1528"/>
      <c r="AT14" s="1529"/>
      <c r="AU14" s="1530"/>
      <c r="AV14" s="1530"/>
      <c r="AW14" s="1530"/>
      <c r="AX14" s="1530"/>
      <c r="AY14" s="1530"/>
      <c r="AZ14" s="1531"/>
      <c r="BA14" s="1520"/>
      <c r="BB14" s="1521"/>
      <c r="BC14" s="1521"/>
      <c r="BD14" s="1521"/>
      <c r="BE14" s="1521"/>
      <c r="BF14" s="1521"/>
      <c r="BG14" s="1521"/>
      <c r="BH14" s="1521"/>
      <c r="BI14" s="1521"/>
      <c r="BJ14" s="1521"/>
      <c r="BK14" s="1521"/>
      <c r="BL14" s="1521"/>
      <c r="BM14" s="1522"/>
      <c r="BN14" s="156"/>
      <c r="BO14" s="156"/>
      <c r="BP14" s="156"/>
      <c r="BQ14" s="156"/>
      <c r="BR14" s="156"/>
      <c r="BS14" s="156"/>
      <c r="BT14" s="156"/>
      <c r="BU14" s="156"/>
      <c r="BV14" s="156"/>
      <c r="BW14" s="156"/>
      <c r="BX14" s="156"/>
      <c r="BY14" s="156"/>
      <c r="BZ14" s="156"/>
      <c r="CA14" s="156"/>
      <c r="CB14" s="156"/>
      <c r="CC14" s="156"/>
      <c r="CD14" s="156"/>
      <c r="CE14" s="156"/>
      <c r="CF14" s="156"/>
      <c r="CG14" s="156"/>
      <c r="CH14" s="156"/>
      <c r="CI14" s="156"/>
      <c r="CJ14" s="156"/>
      <c r="CK14" s="156"/>
      <c r="CL14" s="156"/>
      <c r="CM14" s="156"/>
      <c r="CN14" s="156"/>
      <c r="CO14" s="156"/>
      <c r="CP14" s="156"/>
    </row>
    <row r="15" spans="3:94" ht="22.5" customHeight="1">
      <c r="C15" s="156"/>
      <c r="D15" s="180"/>
      <c r="E15" s="180"/>
      <c r="F15" s="180"/>
      <c r="G15" s="180"/>
      <c r="H15" s="180"/>
      <c r="I15" s="180"/>
      <c r="J15" s="180"/>
      <c r="K15" s="180"/>
      <c r="L15" s="180"/>
      <c r="M15" s="180"/>
      <c r="N15" s="180"/>
      <c r="O15" s="180"/>
      <c r="P15" s="180"/>
      <c r="Q15" s="180"/>
      <c r="R15" s="180"/>
      <c r="V15" s="156"/>
      <c r="W15" s="1541" t="s">
        <v>797</v>
      </c>
      <c r="X15" s="1542"/>
      <c r="Y15" s="1542"/>
      <c r="Z15" s="1542"/>
      <c r="AA15" s="1542"/>
      <c r="AB15" s="1542"/>
      <c r="AC15" s="1542"/>
      <c r="AD15" s="1542"/>
      <c r="AE15" s="1542"/>
      <c r="AF15" s="1542"/>
      <c r="AG15" s="1542"/>
      <c r="AH15" s="1542"/>
      <c r="AI15" s="1542"/>
      <c r="AJ15" s="1542"/>
      <c r="AK15" s="1542"/>
      <c r="AL15" s="1542"/>
      <c r="AM15" s="1542"/>
      <c r="AN15" s="1542"/>
      <c r="AO15" s="1542"/>
      <c r="AP15" s="1542"/>
      <c r="AQ15" s="1542"/>
      <c r="AR15" s="1542"/>
      <c r="AS15" s="1543"/>
      <c r="AT15" s="1517"/>
      <c r="AU15" s="1518"/>
      <c r="AV15" s="1518"/>
      <c r="AW15" s="1518"/>
      <c r="AX15" s="1518"/>
      <c r="AY15" s="1518"/>
      <c r="AZ15" s="1519"/>
      <c r="BA15" s="1517"/>
      <c r="BB15" s="1518"/>
      <c r="BC15" s="1518"/>
      <c r="BD15" s="1518"/>
      <c r="BE15" s="1518"/>
      <c r="BF15" s="1518"/>
      <c r="BG15" s="1518"/>
      <c r="BH15" s="1518"/>
      <c r="BI15" s="1518"/>
      <c r="BJ15" s="1518"/>
      <c r="BK15" s="1518"/>
      <c r="BL15" s="1518"/>
      <c r="BM15" s="1519"/>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156"/>
      <c r="CO15" s="156"/>
      <c r="CP15" s="156"/>
    </row>
    <row r="16" spans="3:94" ht="22.5" customHeight="1">
      <c r="D16" s="180"/>
      <c r="E16" s="180"/>
      <c r="F16" s="180"/>
      <c r="G16" s="180"/>
      <c r="H16" s="180"/>
      <c r="I16" s="180"/>
      <c r="J16" s="180"/>
      <c r="K16" s="180"/>
      <c r="L16" s="180"/>
      <c r="M16" s="180"/>
      <c r="N16" s="180"/>
      <c r="O16" s="180"/>
      <c r="P16" s="180"/>
      <c r="Q16" s="180"/>
      <c r="R16" s="180"/>
      <c r="W16" s="1526" t="s">
        <v>886</v>
      </c>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8"/>
      <c r="AT16" s="1529"/>
      <c r="AU16" s="1530"/>
      <c r="AV16" s="1530"/>
      <c r="AW16" s="1530"/>
      <c r="AX16" s="1530"/>
      <c r="AY16" s="1530"/>
      <c r="AZ16" s="1531"/>
      <c r="BA16" s="1520"/>
      <c r="BB16" s="1521"/>
      <c r="BC16" s="1521"/>
      <c r="BD16" s="1521"/>
      <c r="BE16" s="1521"/>
      <c r="BF16" s="1521"/>
      <c r="BG16" s="1521"/>
      <c r="BH16" s="1521"/>
      <c r="BI16" s="1521"/>
      <c r="BJ16" s="1521"/>
      <c r="BK16" s="1521"/>
      <c r="BL16" s="1521"/>
      <c r="BM16" s="1522"/>
    </row>
    <row r="17" spans="3:94" ht="22.5" customHeight="1">
      <c r="W17" s="1526" t="s">
        <v>892</v>
      </c>
      <c r="X17" s="1527"/>
      <c r="Y17" s="1527"/>
      <c r="Z17" s="1527"/>
      <c r="AA17" s="1527"/>
      <c r="AB17" s="1527"/>
      <c r="AC17" s="1527"/>
      <c r="AD17" s="1527"/>
      <c r="AE17" s="1527"/>
      <c r="AF17" s="1527"/>
      <c r="AG17" s="1527"/>
      <c r="AH17" s="1527"/>
      <c r="AI17" s="1527"/>
      <c r="AJ17" s="1527"/>
      <c r="AK17" s="1527"/>
      <c r="AL17" s="1527"/>
      <c r="AM17" s="1527"/>
      <c r="AN17" s="1527"/>
      <c r="AO17" s="1527"/>
      <c r="AP17" s="1527"/>
      <c r="AQ17" s="1527"/>
      <c r="AR17" s="1527"/>
      <c r="AS17" s="1528"/>
      <c r="AT17" s="1529"/>
      <c r="AU17" s="1530"/>
      <c r="AV17" s="1530"/>
      <c r="AW17" s="1530"/>
      <c r="AX17" s="1530"/>
      <c r="AY17" s="1530"/>
      <c r="AZ17" s="1531"/>
      <c r="BA17" s="1520"/>
      <c r="BB17" s="1521"/>
      <c r="BC17" s="1521"/>
      <c r="BD17" s="1521"/>
      <c r="BE17" s="1521"/>
      <c r="BF17" s="1521"/>
      <c r="BG17" s="1521"/>
      <c r="BH17" s="1521"/>
      <c r="BI17" s="1521"/>
      <c r="BJ17" s="1521"/>
      <c r="BK17" s="1521"/>
      <c r="BL17" s="1521"/>
      <c r="BM17" s="1522"/>
    </row>
    <row r="18" spans="3:94" ht="22.5" customHeight="1">
      <c r="E18" s="1539" t="s">
        <v>1701</v>
      </c>
      <c r="F18" s="1539"/>
      <c r="G18" s="1539"/>
      <c r="H18" s="1539"/>
      <c r="I18" s="1539"/>
      <c r="J18" s="1539"/>
      <c r="K18" s="1539"/>
      <c r="L18" s="1539"/>
      <c r="M18" s="1539"/>
      <c r="N18" s="1539"/>
      <c r="O18" s="1539"/>
      <c r="P18" s="1539"/>
      <c r="Q18" s="1539"/>
      <c r="R18" s="1539"/>
      <c r="S18" s="1539"/>
      <c r="W18" s="1526" t="s">
        <v>887</v>
      </c>
      <c r="X18" s="1527"/>
      <c r="Y18" s="1527"/>
      <c r="Z18" s="1527"/>
      <c r="AA18" s="1527"/>
      <c r="AB18" s="1527"/>
      <c r="AC18" s="1527"/>
      <c r="AD18" s="1527"/>
      <c r="AE18" s="1527"/>
      <c r="AF18" s="1527"/>
      <c r="AG18" s="1527"/>
      <c r="AH18" s="1527"/>
      <c r="AI18" s="1527"/>
      <c r="AJ18" s="1527"/>
      <c r="AK18" s="1527"/>
      <c r="AL18" s="1527"/>
      <c r="AM18" s="1527"/>
      <c r="AN18" s="1527"/>
      <c r="AO18" s="1527"/>
      <c r="AP18" s="1527"/>
      <c r="AQ18" s="1527"/>
      <c r="AR18" s="1527"/>
      <c r="AS18" s="1528"/>
      <c r="AT18" s="1529"/>
      <c r="AU18" s="1530"/>
      <c r="AV18" s="1530"/>
      <c r="AW18" s="1530"/>
      <c r="AX18" s="1530"/>
      <c r="AY18" s="1530"/>
      <c r="AZ18" s="1531"/>
      <c r="BA18" s="1520"/>
      <c r="BB18" s="1521"/>
      <c r="BC18" s="1521"/>
      <c r="BD18" s="1521"/>
      <c r="BE18" s="1521"/>
      <c r="BF18" s="1521"/>
      <c r="BG18" s="1521"/>
      <c r="BH18" s="1521"/>
      <c r="BI18" s="1521"/>
      <c r="BJ18" s="1521"/>
      <c r="BK18" s="1521"/>
      <c r="BL18" s="1521"/>
      <c r="BM18" s="1522"/>
    </row>
    <row r="19" spans="3:94" ht="22.5" customHeight="1">
      <c r="E19" s="1539"/>
      <c r="F19" s="1539"/>
      <c r="G19" s="1539"/>
      <c r="H19" s="1539"/>
      <c r="I19" s="1539"/>
      <c r="J19" s="1539"/>
      <c r="K19" s="1539"/>
      <c r="L19" s="1539"/>
      <c r="M19" s="1539"/>
      <c r="N19" s="1539"/>
      <c r="O19" s="1539"/>
      <c r="P19" s="1539"/>
      <c r="Q19" s="1539"/>
      <c r="R19" s="1539"/>
      <c r="S19" s="1539"/>
      <c r="U19" s="168"/>
      <c r="W19" s="1526" t="s">
        <v>1558</v>
      </c>
      <c r="X19" s="1527"/>
      <c r="Y19" s="1527"/>
      <c r="Z19" s="1527"/>
      <c r="AA19" s="1527"/>
      <c r="AB19" s="1527"/>
      <c r="AC19" s="1527"/>
      <c r="AD19" s="1527"/>
      <c r="AE19" s="1527"/>
      <c r="AF19" s="1527"/>
      <c r="AG19" s="1527"/>
      <c r="AH19" s="1527"/>
      <c r="AI19" s="1527"/>
      <c r="AJ19" s="1527"/>
      <c r="AK19" s="1527"/>
      <c r="AL19" s="1527"/>
      <c r="AM19" s="1527"/>
      <c r="AN19" s="1527"/>
      <c r="AO19" s="1527"/>
      <c r="AP19" s="1527"/>
      <c r="AQ19" s="1527"/>
      <c r="AR19" s="1527"/>
      <c r="AS19" s="1528"/>
      <c r="AT19" s="1529"/>
      <c r="AU19" s="1530"/>
      <c r="AV19" s="1530"/>
      <c r="AW19" s="1530"/>
      <c r="AX19" s="1530"/>
      <c r="AY19" s="1530"/>
      <c r="AZ19" s="1531"/>
      <c r="BA19" s="1520"/>
      <c r="BB19" s="1521"/>
      <c r="BC19" s="1521"/>
      <c r="BD19" s="1521"/>
      <c r="BE19" s="1521"/>
      <c r="BF19" s="1521"/>
      <c r="BG19" s="1521"/>
      <c r="BH19" s="1521"/>
      <c r="BI19" s="1521"/>
      <c r="BJ19" s="1521"/>
      <c r="BK19" s="1521"/>
      <c r="BL19" s="1521"/>
      <c r="BM19" s="1522"/>
    </row>
    <row r="20" spans="3:94" ht="22.5" customHeight="1">
      <c r="E20" s="1539"/>
      <c r="F20" s="1539"/>
      <c r="G20" s="1539"/>
      <c r="H20" s="1539"/>
      <c r="I20" s="1539"/>
      <c r="J20" s="1539"/>
      <c r="K20" s="1539"/>
      <c r="L20" s="1539"/>
      <c r="M20" s="1539"/>
      <c r="N20" s="1539"/>
      <c r="O20" s="1539"/>
      <c r="P20" s="1539"/>
      <c r="Q20" s="1539"/>
      <c r="R20" s="1539"/>
      <c r="S20" s="1539"/>
      <c r="T20" s="180"/>
      <c r="U20" s="168"/>
      <c r="V20" s="160"/>
      <c r="W20" s="1526" t="s">
        <v>1559</v>
      </c>
      <c r="X20" s="1527"/>
      <c r="Y20" s="1527"/>
      <c r="Z20" s="1527"/>
      <c r="AA20" s="1527"/>
      <c r="AB20" s="1527"/>
      <c r="AC20" s="1527"/>
      <c r="AD20" s="1527"/>
      <c r="AE20" s="1527"/>
      <c r="AF20" s="1527"/>
      <c r="AG20" s="1527"/>
      <c r="AH20" s="1527"/>
      <c r="AI20" s="1527"/>
      <c r="AJ20" s="1527"/>
      <c r="AK20" s="1527"/>
      <c r="AL20" s="1527"/>
      <c r="AM20" s="1527"/>
      <c r="AN20" s="1527"/>
      <c r="AO20" s="1527"/>
      <c r="AP20" s="1527"/>
      <c r="AQ20" s="1527"/>
      <c r="AR20" s="1527"/>
      <c r="AS20" s="1528"/>
      <c r="AT20" s="1529"/>
      <c r="AU20" s="1530"/>
      <c r="AV20" s="1530"/>
      <c r="AW20" s="1530"/>
      <c r="AX20" s="1530"/>
      <c r="AY20" s="1530"/>
      <c r="AZ20" s="1531"/>
      <c r="BA20" s="1520"/>
      <c r="BB20" s="1521"/>
      <c r="BC20" s="1521"/>
      <c r="BD20" s="1521"/>
      <c r="BE20" s="1521"/>
      <c r="BF20" s="1521"/>
      <c r="BG20" s="1521"/>
      <c r="BH20" s="1521"/>
      <c r="BI20" s="1521"/>
      <c r="BJ20" s="1521"/>
      <c r="BK20" s="1521"/>
      <c r="BL20" s="1521"/>
      <c r="BM20" s="1522"/>
    </row>
    <row r="21" spans="3:94" ht="22.5" customHeight="1">
      <c r="E21" s="160"/>
      <c r="F21" s="180"/>
      <c r="G21" s="180"/>
      <c r="H21" s="180"/>
      <c r="I21" s="180"/>
      <c r="J21" s="180"/>
      <c r="K21" s="180"/>
      <c r="L21" s="180"/>
      <c r="M21" s="180"/>
      <c r="N21" s="180"/>
      <c r="O21" s="180"/>
      <c r="P21" s="180"/>
      <c r="Q21" s="180"/>
      <c r="R21" s="180"/>
      <c r="S21" s="180"/>
      <c r="T21" s="180"/>
      <c r="U21" s="168"/>
      <c r="V21" s="160"/>
      <c r="W21" s="1526" t="s">
        <v>1560</v>
      </c>
      <c r="X21" s="1527"/>
      <c r="Y21" s="1527"/>
      <c r="Z21" s="1527"/>
      <c r="AA21" s="1527"/>
      <c r="AB21" s="1527"/>
      <c r="AC21" s="1527"/>
      <c r="AD21" s="1527"/>
      <c r="AE21" s="1527"/>
      <c r="AF21" s="1527"/>
      <c r="AG21" s="1527"/>
      <c r="AH21" s="1527"/>
      <c r="AI21" s="1527"/>
      <c r="AJ21" s="1527"/>
      <c r="AK21" s="1527"/>
      <c r="AL21" s="1527"/>
      <c r="AM21" s="1527"/>
      <c r="AN21" s="1527"/>
      <c r="AO21" s="1527"/>
      <c r="AP21" s="1527"/>
      <c r="AQ21" s="1527"/>
      <c r="AR21" s="1527"/>
      <c r="AS21" s="1528"/>
      <c r="AT21" s="1529"/>
      <c r="AU21" s="1530"/>
      <c r="AV21" s="1530"/>
      <c r="AW21" s="1530"/>
      <c r="AX21" s="1530"/>
      <c r="AY21" s="1530"/>
      <c r="AZ21" s="1531"/>
      <c r="BA21" s="1520"/>
      <c r="BB21" s="1521"/>
      <c r="BC21" s="1521"/>
      <c r="BD21" s="1521"/>
      <c r="BE21" s="1521"/>
      <c r="BF21" s="1521"/>
      <c r="BG21" s="1521"/>
      <c r="BH21" s="1521"/>
      <c r="BI21" s="1521"/>
      <c r="BJ21" s="1521"/>
      <c r="BK21" s="1521"/>
      <c r="BL21" s="1521"/>
      <c r="BM21" s="1522"/>
    </row>
    <row r="22" spans="3:94" ht="22.5" customHeight="1">
      <c r="E22" s="160"/>
      <c r="F22" s="180"/>
      <c r="G22" s="180"/>
      <c r="H22" s="180"/>
      <c r="I22" s="180"/>
      <c r="J22" s="180"/>
      <c r="K22" s="180"/>
      <c r="L22" s="180"/>
      <c r="M22" s="180"/>
      <c r="N22" s="180"/>
      <c r="O22" s="180"/>
      <c r="P22" s="180"/>
      <c r="Q22" s="180"/>
      <c r="R22" s="180"/>
      <c r="S22" s="180"/>
      <c r="T22" s="180"/>
      <c r="U22" s="168"/>
      <c r="V22" s="160"/>
      <c r="W22" s="1526" t="s">
        <v>1561</v>
      </c>
      <c r="X22" s="1527"/>
      <c r="Y22" s="1527"/>
      <c r="Z22" s="1527"/>
      <c r="AA22" s="1527"/>
      <c r="AB22" s="1527"/>
      <c r="AC22" s="1527"/>
      <c r="AD22" s="1527"/>
      <c r="AE22" s="1527"/>
      <c r="AF22" s="1527"/>
      <c r="AG22" s="1527"/>
      <c r="AH22" s="1527"/>
      <c r="AI22" s="1527"/>
      <c r="AJ22" s="1527"/>
      <c r="AK22" s="1527"/>
      <c r="AL22" s="1527"/>
      <c r="AM22" s="1527"/>
      <c r="AN22" s="1527"/>
      <c r="AO22" s="1527"/>
      <c r="AP22" s="1527"/>
      <c r="AQ22" s="1527"/>
      <c r="AR22" s="1527"/>
      <c r="AS22" s="1528"/>
      <c r="AT22" s="1529"/>
      <c r="AU22" s="1530"/>
      <c r="AV22" s="1530"/>
      <c r="AW22" s="1530"/>
      <c r="AX22" s="1530"/>
      <c r="AY22" s="1530"/>
      <c r="AZ22" s="1531"/>
      <c r="BA22" s="1520"/>
      <c r="BB22" s="1521"/>
      <c r="BC22" s="1521"/>
      <c r="BD22" s="1521"/>
      <c r="BE22" s="1521"/>
      <c r="BF22" s="1521"/>
      <c r="BG22" s="1521"/>
      <c r="BH22" s="1521"/>
      <c r="BI22" s="1521"/>
      <c r="BJ22" s="1521"/>
      <c r="BK22" s="1521"/>
      <c r="BL22" s="1521"/>
      <c r="BM22" s="1522"/>
    </row>
    <row r="23" spans="3:94" ht="22.5" customHeight="1">
      <c r="C23" s="156"/>
      <c r="F23" s="180"/>
      <c r="G23" s="180"/>
      <c r="H23" s="180"/>
      <c r="I23" s="180"/>
      <c r="J23" s="180"/>
      <c r="K23" s="180"/>
      <c r="L23" s="180"/>
      <c r="M23" s="180"/>
      <c r="N23" s="180"/>
      <c r="O23" s="180"/>
      <c r="P23" s="180"/>
      <c r="Q23" s="180"/>
      <c r="R23" s="180"/>
      <c r="S23" s="180"/>
      <c r="T23" s="180"/>
      <c r="U23" s="168"/>
      <c r="V23" s="156"/>
      <c r="W23" s="1541" t="s">
        <v>936</v>
      </c>
      <c r="X23" s="1542"/>
      <c r="Y23" s="1542"/>
      <c r="Z23" s="1542"/>
      <c r="AA23" s="1542"/>
      <c r="AB23" s="1542"/>
      <c r="AC23" s="1542"/>
      <c r="AD23" s="1542"/>
      <c r="AE23" s="1542"/>
      <c r="AF23" s="1542"/>
      <c r="AG23" s="1542"/>
      <c r="AH23" s="1542"/>
      <c r="AI23" s="1542"/>
      <c r="AJ23" s="1542"/>
      <c r="AK23" s="1542"/>
      <c r="AL23" s="1542"/>
      <c r="AM23" s="1542"/>
      <c r="AN23" s="1542"/>
      <c r="AO23" s="1542"/>
      <c r="AP23" s="1542"/>
      <c r="AQ23" s="1542"/>
      <c r="AR23" s="1542"/>
      <c r="AS23" s="1543"/>
      <c r="AT23" s="1514"/>
      <c r="AU23" s="1515"/>
      <c r="AV23" s="1515"/>
      <c r="AW23" s="1515"/>
      <c r="AX23" s="1515"/>
      <c r="AY23" s="1515"/>
      <c r="AZ23" s="1516"/>
      <c r="BA23" s="1514"/>
      <c r="BB23" s="1515"/>
      <c r="BC23" s="1515"/>
      <c r="BD23" s="1515"/>
      <c r="BE23" s="1515"/>
      <c r="BF23" s="1515"/>
      <c r="BG23" s="1515"/>
      <c r="BH23" s="1515"/>
      <c r="BI23" s="1515"/>
      <c r="BJ23" s="1515"/>
      <c r="BK23" s="1515"/>
      <c r="BL23" s="1515"/>
      <c r="BM23" s="1516"/>
      <c r="BN23" s="156"/>
      <c r="BO23" s="156"/>
      <c r="BP23" s="156"/>
      <c r="BQ23" s="156"/>
      <c r="BR23" s="156"/>
      <c r="BS23" s="156"/>
      <c r="BT23" s="156"/>
      <c r="BU23" s="156"/>
      <c r="BV23" s="156"/>
      <c r="BW23" s="156"/>
      <c r="BX23" s="156"/>
      <c r="BY23" s="156"/>
      <c r="BZ23" s="156"/>
      <c r="CA23" s="156"/>
      <c r="CB23" s="156"/>
      <c r="CC23" s="156"/>
      <c r="CD23" s="156"/>
      <c r="CE23" s="156"/>
      <c r="CF23" s="156"/>
      <c r="CG23" s="156"/>
      <c r="CH23" s="156"/>
      <c r="CI23" s="156"/>
      <c r="CJ23" s="156"/>
      <c r="CK23" s="156"/>
      <c r="CL23" s="156"/>
      <c r="CM23" s="156"/>
      <c r="CN23" s="156"/>
      <c r="CO23" s="156"/>
      <c r="CP23" s="156"/>
    </row>
    <row r="24" spans="3:94" ht="22.5" customHeight="1">
      <c r="F24" s="180"/>
      <c r="G24" s="180"/>
      <c r="H24" s="180"/>
      <c r="I24" s="180"/>
      <c r="J24" s="180"/>
      <c r="K24" s="180"/>
      <c r="L24" s="180"/>
      <c r="M24" s="180"/>
      <c r="N24" s="180"/>
      <c r="O24" s="180"/>
      <c r="P24" s="180"/>
      <c r="Q24" s="180"/>
      <c r="R24" s="180"/>
      <c r="S24" s="180"/>
      <c r="T24" s="180"/>
      <c r="U24" s="168"/>
      <c r="W24" s="1526" t="s">
        <v>1364</v>
      </c>
      <c r="X24" s="1527"/>
      <c r="Y24" s="1527"/>
      <c r="Z24" s="1527"/>
      <c r="AA24" s="1527"/>
      <c r="AB24" s="1527"/>
      <c r="AC24" s="1527"/>
      <c r="AD24" s="1527"/>
      <c r="AE24" s="1527"/>
      <c r="AF24" s="1527"/>
      <c r="AG24" s="1527"/>
      <c r="AH24" s="1527"/>
      <c r="AI24" s="1527"/>
      <c r="AJ24" s="1527"/>
      <c r="AK24" s="1527"/>
      <c r="AL24" s="1527"/>
      <c r="AM24" s="1527"/>
      <c r="AN24" s="1527"/>
      <c r="AO24" s="1527"/>
      <c r="AP24" s="1527"/>
      <c r="AQ24" s="1527"/>
      <c r="AR24" s="1527"/>
      <c r="AS24" s="1528"/>
      <c r="AT24" s="1529"/>
      <c r="AU24" s="1530"/>
      <c r="AV24" s="1530"/>
      <c r="AW24" s="1530"/>
      <c r="AX24" s="1530"/>
      <c r="AY24" s="1530"/>
      <c r="AZ24" s="1531"/>
      <c r="BA24" s="1520"/>
      <c r="BB24" s="1521"/>
      <c r="BC24" s="1521"/>
      <c r="BD24" s="1521"/>
      <c r="BE24" s="1521"/>
      <c r="BF24" s="1521"/>
      <c r="BG24" s="1521"/>
      <c r="BH24" s="1521"/>
      <c r="BI24" s="1521"/>
      <c r="BJ24" s="1521"/>
      <c r="BK24" s="1521"/>
      <c r="BL24" s="1521"/>
      <c r="BM24" s="1522"/>
    </row>
    <row r="25" spans="3:94" ht="22.5" customHeight="1">
      <c r="F25" s="180"/>
      <c r="G25" s="180"/>
      <c r="H25" s="180"/>
      <c r="I25" s="180"/>
      <c r="J25" s="180"/>
      <c r="K25" s="180"/>
      <c r="L25" s="180"/>
      <c r="M25" s="180"/>
      <c r="N25" s="180"/>
      <c r="O25" s="180"/>
      <c r="P25" s="180"/>
      <c r="Q25" s="180"/>
      <c r="R25" s="180"/>
      <c r="S25" s="180"/>
      <c r="T25" s="180"/>
      <c r="U25" s="168"/>
      <c r="W25" s="1526" t="s">
        <v>1365</v>
      </c>
      <c r="X25" s="1527"/>
      <c r="Y25" s="1527"/>
      <c r="Z25" s="1527"/>
      <c r="AA25" s="1527"/>
      <c r="AB25" s="1527"/>
      <c r="AC25" s="1527"/>
      <c r="AD25" s="1527"/>
      <c r="AE25" s="1527"/>
      <c r="AF25" s="1527"/>
      <c r="AG25" s="1527"/>
      <c r="AH25" s="1527"/>
      <c r="AI25" s="1527"/>
      <c r="AJ25" s="1527"/>
      <c r="AK25" s="1527"/>
      <c r="AL25" s="1527"/>
      <c r="AM25" s="1527"/>
      <c r="AN25" s="1527"/>
      <c r="AO25" s="1527"/>
      <c r="AP25" s="1527"/>
      <c r="AQ25" s="1527"/>
      <c r="AR25" s="1527"/>
      <c r="AS25" s="1528"/>
      <c r="AT25" s="1529"/>
      <c r="AU25" s="1530"/>
      <c r="AV25" s="1530"/>
      <c r="AW25" s="1530"/>
      <c r="AX25" s="1530"/>
      <c r="AY25" s="1530"/>
      <c r="AZ25" s="1531"/>
      <c r="BA25" s="1520"/>
      <c r="BB25" s="1521"/>
      <c r="BC25" s="1521"/>
      <c r="BD25" s="1521"/>
      <c r="BE25" s="1521"/>
      <c r="BF25" s="1521"/>
      <c r="BG25" s="1521"/>
      <c r="BH25" s="1521"/>
      <c r="BI25" s="1521"/>
      <c r="BJ25" s="1521"/>
      <c r="BK25" s="1521"/>
      <c r="BL25" s="1521"/>
      <c r="BM25" s="1522"/>
    </row>
    <row r="26" spans="3:94" ht="22.5" customHeight="1">
      <c r="W26" s="1526" t="s">
        <v>888</v>
      </c>
      <c r="X26" s="1527"/>
      <c r="Y26" s="1527"/>
      <c r="Z26" s="1527"/>
      <c r="AA26" s="1527"/>
      <c r="AB26" s="1527"/>
      <c r="AC26" s="1527"/>
      <c r="AD26" s="1527"/>
      <c r="AE26" s="1527"/>
      <c r="AF26" s="1527"/>
      <c r="AG26" s="1527"/>
      <c r="AH26" s="1527"/>
      <c r="AI26" s="1527"/>
      <c r="AJ26" s="1527"/>
      <c r="AK26" s="1527"/>
      <c r="AL26" s="1527"/>
      <c r="AM26" s="1527"/>
      <c r="AN26" s="1527"/>
      <c r="AO26" s="1527"/>
      <c r="AP26" s="1527"/>
      <c r="AQ26" s="1527"/>
      <c r="AR26" s="1527"/>
      <c r="AS26" s="1528"/>
      <c r="AT26" s="1529"/>
      <c r="AU26" s="1530"/>
      <c r="AV26" s="1530"/>
      <c r="AW26" s="1530"/>
      <c r="AX26" s="1530"/>
      <c r="AY26" s="1530"/>
      <c r="AZ26" s="1531"/>
      <c r="BA26" s="1520"/>
      <c r="BB26" s="1521"/>
      <c r="BC26" s="1521"/>
      <c r="BD26" s="1521"/>
      <c r="BE26" s="1521"/>
      <c r="BF26" s="1521"/>
      <c r="BG26" s="1521"/>
      <c r="BH26" s="1521"/>
      <c r="BI26" s="1521"/>
      <c r="BJ26" s="1521"/>
      <c r="BK26" s="1521"/>
      <c r="BL26" s="1521"/>
      <c r="BM26" s="1522"/>
    </row>
    <row r="27" spans="3:94">
      <c r="W27" s="1538" t="s">
        <v>1607</v>
      </c>
      <c r="X27" s="1538"/>
      <c r="Y27" s="1538"/>
      <c r="Z27" s="1538"/>
      <c r="AA27" s="1538"/>
      <c r="AB27" s="1538"/>
      <c r="AC27" s="1538"/>
      <c r="AD27" s="1538"/>
      <c r="AE27" s="1538"/>
      <c r="AF27" s="1538"/>
      <c r="AG27" s="1538"/>
      <c r="AH27" s="1538"/>
      <c r="AI27" s="1538"/>
      <c r="AJ27" s="1538"/>
      <c r="AK27" s="1538"/>
      <c r="AL27" s="1538"/>
      <c r="AM27" s="1538"/>
      <c r="AN27" s="1538"/>
      <c r="AO27" s="1538"/>
      <c r="AP27" s="1538"/>
      <c r="AQ27" s="1538"/>
      <c r="AR27" s="1538"/>
      <c r="AS27" s="1538"/>
      <c r="AT27" s="1538"/>
      <c r="AU27" s="1538"/>
      <c r="AV27" s="1538"/>
      <c r="AW27" s="1538"/>
      <c r="AX27" s="1538"/>
      <c r="AY27" s="1538"/>
      <c r="AZ27" s="1538"/>
      <c r="BA27" s="1538"/>
      <c r="BB27" s="1538"/>
      <c r="BC27" s="1538"/>
      <c r="BD27" s="1538"/>
      <c r="BE27" s="1538"/>
      <c r="BF27" s="1538"/>
      <c r="BG27" s="1538"/>
      <c r="BH27" s="1538"/>
      <c r="BI27" s="1538"/>
      <c r="BJ27" s="1538"/>
      <c r="BK27" s="1538"/>
      <c r="BL27" s="1538"/>
      <c r="BM27" s="1538"/>
    </row>
    <row r="28" spans="3:94">
      <c r="W28" s="1538"/>
      <c r="X28" s="1538"/>
      <c r="Y28" s="1538"/>
      <c r="Z28" s="1538"/>
      <c r="AA28" s="1538"/>
      <c r="AB28" s="1538"/>
      <c r="AC28" s="1538"/>
      <c r="AD28" s="1538"/>
      <c r="AE28" s="1538"/>
      <c r="AF28" s="1538"/>
      <c r="AG28" s="1538"/>
      <c r="AH28" s="1538"/>
      <c r="AI28" s="1538"/>
      <c r="AJ28" s="1538"/>
      <c r="AK28" s="1538"/>
      <c r="AL28" s="1538"/>
      <c r="AM28" s="1538"/>
      <c r="AN28" s="1538"/>
      <c r="AO28" s="1538"/>
      <c r="AP28" s="1538"/>
      <c r="AQ28" s="1538"/>
      <c r="AR28" s="1538"/>
      <c r="AS28" s="1538"/>
      <c r="AT28" s="1538"/>
      <c r="AU28" s="1538"/>
      <c r="AV28" s="1538"/>
      <c r="AW28" s="1538"/>
      <c r="AX28" s="1538"/>
      <c r="AY28" s="1538"/>
      <c r="AZ28" s="1538"/>
      <c r="BA28" s="1538"/>
      <c r="BB28" s="1538"/>
      <c r="BC28" s="1538"/>
      <c r="BD28" s="1538"/>
      <c r="BE28" s="1538"/>
      <c r="BF28" s="1538"/>
      <c r="BG28" s="1538"/>
      <c r="BH28" s="1538"/>
      <c r="BI28" s="1538"/>
      <c r="BJ28" s="1538"/>
      <c r="BK28" s="1538"/>
      <c r="BL28" s="1538"/>
      <c r="BM28" s="1538"/>
    </row>
  </sheetData>
  <sheetProtection algorithmName="SHA-512" hashValue="3vG4hX4Am/0AmFeHFReFy2ARLR5eFDu0RGqXXOqB3Y+fr17R7t8uZsOZsf/WvK5G0D2ofuL9ubPuX2L/dORaUg==" saltValue="ocOWAQajX0krGHfqCNR88g==" spinCount="100000" sheet="1" objects="1" formatCells="0" formatColumns="0" formatRows="0" insertHyperlinks="0" sort="0" autoFilter="0"/>
  <mergeCells count="77">
    <mergeCell ref="BA26:BM26"/>
    <mergeCell ref="W25:AS25"/>
    <mergeCell ref="AT26:AZ26"/>
    <mergeCell ref="W26:AS26"/>
    <mergeCell ref="W22:AS22"/>
    <mergeCell ref="AT22:AZ22"/>
    <mergeCell ref="W23:AS23"/>
    <mergeCell ref="BA21:BM21"/>
    <mergeCell ref="AT24:AZ24"/>
    <mergeCell ref="AT25:AZ25"/>
    <mergeCell ref="BA23:BM23"/>
    <mergeCell ref="BA24:BM24"/>
    <mergeCell ref="BA25:BM25"/>
    <mergeCell ref="BA22:BM22"/>
    <mergeCell ref="W20:AS20"/>
    <mergeCell ref="W24:AS24"/>
    <mergeCell ref="AT23:AZ23"/>
    <mergeCell ref="W10:AS10"/>
    <mergeCell ref="AT18:AZ18"/>
    <mergeCell ref="W18:AS18"/>
    <mergeCell ref="W19:AS19"/>
    <mergeCell ref="W11:AS11"/>
    <mergeCell ref="AT11:AZ11"/>
    <mergeCell ref="AT16:AZ16"/>
    <mergeCell ref="W21:AS21"/>
    <mergeCell ref="E8:S8"/>
    <mergeCell ref="E9:S10"/>
    <mergeCell ref="BA9:BM9"/>
    <mergeCell ref="AT10:AZ10"/>
    <mergeCell ref="BA10:BM10"/>
    <mergeCell ref="E4:S5"/>
    <mergeCell ref="BA12:BM12"/>
    <mergeCell ref="AT21:AZ21"/>
    <mergeCell ref="W17:AS17"/>
    <mergeCell ref="AT19:AZ19"/>
    <mergeCell ref="AT20:AZ20"/>
    <mergeCell ref="BA20:BM20"/>
    <mergeCell ref="W12:AS12"/>
    <mergeCell ref="AT17:AZ17"/>
    <mergeCell ref="AT12:AZ12"/>
    <mergeCell ref="BA13:BM13"/>
    <mergeCell ref="BA14:BM14"/>
    <mergeCell ref="BA19:BM19"/>
    <mergeCell ref="BA17:BM17"/>
    <mergeCell ref="BA18:BM18"/>
    <mergeCell ref="BA11:BM11"/>
    <mergeCell ref="W27:BM28"/>
    <mergeCell ref="E18:S20"/>
    <mergeCell ref="BA3:BM3"/>
    <mergeCell ref="W6:AS6"/>
    <mergeCell ref="W7:AS7"/>
    <mergeCell ref="W8:AS8"/>
    <mergeCell ref="W13:AS13"/>
    <mergeCell ref="W14:AS14"/>
    <mergeCell ref="W15:AS15"/>
    <mergeCell ref="W16:AS16"/>
    <mergeCell ref="AT3:AZ3"/>
    <mergeCell ref="AT7:AZ7"/>
    <mergeCell ref="AT8:AZ8"/>
    <mergeCell ref="AT13:AZ13"/>
    <mergeCell ref="AT14:AZ14"/>
    <mergeCell ref="AT15:AZ15"/>
    <mergeCell ref="W3:AS3"/>
    <mergeCell ref="AT6:AZ6"/>
    <mergeCell ref="BA6:BM6"/>
    <mergeCell ref="BA15:BM15"/>
    <mergeCell ref="BA16:BM16"/>
    <mergeCell ref="BA4:BM4"/>
    <mergeCell ref="BA5:BM5"/>
    <mergeCell ref="W9:AS9"/>
    <mergeCell ref="AT9:AZ9"/>
    <mergeCell ref="BA7:BM7"/>
    <mergeCell ref="BA8:BM8"/>
    <mergeCell ref="W4:AS4"/>
    <mergeCell ref="AT4:AZ4"/>
    <mergeCell ref="W5:AS5"/>
    <mergeCell ref="AT5:AZ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LISTS!$D$5:$D$6</xm:f>
          </x14:formula1>
          <xm:sqref>AT7:AZ11 AT13:AZ14 AT16:AZ22 AT4:AZ5 AT24:AZ26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wsINDEX">
    <tabColor theme="1" tint="0.249977111117893"/>
  </sheetPr>
  <dimension ref="A1:CS29"/>
  <sheetViews>
    <sheetView showGridLines="0" showRowColHeaders="0" zoomScaleNormal="100" workbookViewId="0">
      <pane ySplit="2" topLeftCell="A3" activePane="bottomLeft" state="frozen"/>
      <selection pane="bottomLeft" activeCell="AA5" sqref="AA5:AO5"/>
    </sheetView>
  </sheetViews>
  <sheetFormatPr defaultColWidth="2.09765625" defaultRowHeight="15.7"/>
  <cols>
    <col min="1" max="1" width="2.09765625" style="669" customWidth="1"/>
    <col min="2" max="2" width="2.09765625" style="669"/>
    <col min="3" max="3" width="2.09765625" style="669" customWidth="1"/>
    <col min="4" max="92" width="2.09765625" style="669"/>
    <col min="93" max="97" width="2.09765625" style="669" customWidth="1"/>
    <col min="98" max="153" width="10.8984375" style="669" customWidth="1"/>
    <col min="154" max="160" width="2.09765625" style="669" customWidth="1"/>
    <col min="161" max="16384" width="2.09765625" style="669"/>
  </cols>
  <sheetData>
    <row r="1" spans="1:97" s="155" customFormat="1" ht="45" customHeight="1"/>
    <row r="2" spans="1:97" s="675" customFormat="1" ht="36.6" customHeight="1">
      <c r="O2" s="1550" t="s">
        <v>1366</v>
      </c>
      <c r="P2" s="1550"/>
      <c r="Q2" s="1550"/>
      <c r="R2" s="1550"/>
      <c r="S2" s="1550"/>
      <c r="T2" s="1550"/>
      <c r="U2" s="1550"/>
    </row>
    <row r="3" spans="1:97" ht="9" customHeight="1"/>
    <row r="4" spans="1:97" s="670" customFormat="1" ht="15.6" customHeight="1">
      <c r="M4" s="671"/>
      <c r="Y4" s="261"/>
      <c r="Z4" s="262"/>
      <c r="AA4" s="263"/>
      <c r="AB4" s="263"/>
      <c r="AC4" s="263"/>
      <c r="AD4" s="263"/>
      <c r="AE4" s="263"/>
      <c r="AF4" s="263"/>
      <c r="AG4" s="263"/>
      <c r="AH4" s="263"/>
      <c r="AI4" s="263"/>
      <c r="AJ4" s="263"/>
      <c r="AK4" s="263"/>
      <c r="AL4" s="263"/>
      <c r="AM4" s="264"/>
      <c r="AN4" s="264"/>
      <c r="AO4" s="264"/>
      <c r="AP4" s="262"/>
      <c r="AQ4" s="265"/>
      <c r="AR4" s="671"/>
      <c r="AS4" s="261"/>
      <c r="AT4" s="262"/>
      <c r="AU4" s="263"/>
      <c r="AV4" s="263"/>
      <c r="AW4" s="263"/>
      <c r="AX4" s="263"/>
      <c r="AY4" s="263"/>
      <c r="AZ4" s="263"/>
      <c r="BA4" s="263"/>
      <c r="BB4" s="263"/>
      <c r="BC4" s="263"/>
      <c r="BD4" s="263"/>
      <c r="BE4" s="263"/>
      <c r="BF4" s="263"/>
      <c r="BG4" s="264"/>
      <c r="BH4" s="264"/>
      <c r="BI4" s="264"/>
      <c r="BJ4" s="262"/>
      <c r="BK4" s="265"/>
      <c r="BL4" s="671"/>
      <c r="BM4" s="671"/>
      <c r="BN4" s="671"/>
      <c r="BO4" s="671"/>
      <c r="BP4" s="671"/>
      <c r="BQ4" s="671"/>
      <c r="BR4" s="671"/>
      <c r="BS4" s="671"/>
      <c r="BT4" s="671"/>
      <c r="BU4" s="671"/>
      <c r="BV4" s="671"/>
      <c r="BW4" s="671"/>
      <c r="BX4" s="671"/>
      <c r="BY4" s="671"/>
      <c r="BZ4" s="669"/>
      <c r="CA4" s="669"/>
      <c r="CB4" s="669"/>
      <c r="CC4" s="669"/>
      <c r="CD4" s="669"/>
      <c r="CE4" s="669"/>
      <c r="CF4" s="669"/>
      <c r="CG4" s="669"/>
      <c r="CH4" s="669"/>
      <c r="CI4" s="669"/>
      <c r="CJ4" s="669"/>
      <c r="CK4" s="669"/>
      <c r="CL4" s="669"/>
      <c r="CM4" s="669"/>
      <c r="CN4" s="671"/>
      <c r="CO4" s="669"/>
      <c r="CP4" s="669"/>
      <c r="CQ4" s="669"/>
      <c r="CR4" s="669"/>
      <c r="CS4" s="669"/>
    </row>
    <row r="5" spans="1:97" s="670" customFormat="1" ht="31.5" customHeight="1">
      <c r="M5" s="671"/>
      <c r="Y5" s="266"/>
      <c r="Z5" s="255"/>
      <c r="AA5" s="1551" t="s">
        <v>879</v>
      </c>
      <c r="AB5" s="1551"/>
      <c r="AC5" s="1551"/>
      <c r="AD5" s="1551"/>
      <c r="AE5" s="1551"/>
      <c r="AF5" s="1551"/>
      <c r="AG5" s="1551"/>
      <c r="AH5" s="1551"/>
      <c r="AI5" s="1551"/>
      <c r="AJ5" s="1551"/>
      <c r="AK5" s="1551"/>
      <c r="AL5" s="1551"/>
      <c r="AM5" s="1551"/>
      <c r="AN5" s="1551"/>
      <c r="AO5" s="1551"/>
      <c r="AP5" s="255"/>
      <c r="AQ5" s="256"/>
      <c r="AR5" s="671"/>
      <c r="AS5" s="266"/>
      <c r="AT5" s="255"/>
      <c r="AU5" s="1552" t="s">
        <v>878</v>
      </c>
      <c r="AV5" s="1552"/>
      <c r="AW5" s="1552"/>
      <c r="AX5" s="1552"/>
      <c r="AY5" s="1552"/>
      <c r="AZ5" s="1552"/>
      <c r="BA5" s="1552"/>
      <c r="BB5" s="1552"/>
      <c r="BC5" s="1552"/>
      <c r="BD5" s="1552"/>
      <c r="BE5" s="1552"/>
      <c r="BF5" s="1552"/>
      <c r="BG5" s="1552"/>
      <c r="BH5" s="1552"/>
      <c r="BI5" s="1552"/>
      <c r="BJ5" s="255"/>
      <c r="BK5" s="256"/>
      <c r="BL5" s="671"/>
      <c r="BM5" s="671"/>
      <c r="BN5" s="671"/>
      <c r="BO5" s="671"/>
      <c r="BP5" s="671"/>
      <c r="BQ5" s="671"/>
      <c r="BR5" s="671"/>
      <c r="BS5" s="671"/>
      <c r="BT5" s="671"/>
      <c r="BU5" s="671"/>
      <c r="BV5" s="671"/>
      <c r="BW5" s="671"/>
      <c r="BX5" s="671"/>
      <c r="BY5" s="671"/>
      <c r="BZ5" s="669"/>
      <c r="CA5" s="669"/>
      <c r="CB5" s="669"/>
      <c r="CC5" s="669"/>
      <c r="CD5" s="669"/>
      <c r="CE5" s="669"/>
      <c r="CF5" s="669"/>
      <c r="CG5" s="669"/>
      <c r="CH5" s="669"/>
      <c r="CI5" s="669"/>
      <c r="CJ5" s="669"/>
      <c r="CK5" s="669"/>
      <c r="CL5" s="669"/>
      <c r="CM5" s="669"/>
      <c r="CN5" s="671"/>
      <c r="CO5" s="669"/>
      <c r="CP5" s="669"/>
      <c r="CQ5" s="669"/>
      <c r="CR5" s="669"/>
      <c r="CS5" s="669"/>
    </row>
    <row r="6" spans="1:97" s="670" customFormat="1" ht="10.5" customHeight="1">
      <c r="M6" s="671"/>
      <c r="Y6" s="266"/>
      <c r="Z6" s="255"/>
      <c r="AA6" s="481"/>
      <c r="AB6" s="481"/>
      <c r="AC6" s="481"/>
      <c r="AD6" s="481"/>
      <c r="AE6" s="481"/>
      <c r="AF6" s="481"/>
      <c r="AG6" s="481"/>
      <c r="AH6" s="481"/>
      <c r="AI6" s="481"/>
      <c r="AJ6" s="481"/>
      <c r="AK6" s="481"/>
      <c r="AL6" s="481"/>
      <c r="AM6" s="481"/>
      <c r="AN6" s="481"/>
      <c r="AO6" s="481"/>
      <c r="AP6" s="255"/>
      <c r="AQ6" s="256"/>
      <c r="AR6" s="671"/>
      <c r="AS6" s="266"/>
      <c r="AT6" s="255"/>
      <c r="AU6" s="481"/>
      <c r="AV6" s="481"/>
      <c r="AW6" s="481"/>
      <c r="AX6" s="481"/>
      <c r="AY6" s="481"/>
      <c r="AZ6" s="481"/>
      <c r="BA6" s="481"/>
      <c r="BB6" s="481"/>
      <c r="BC6" s="481"/>
      <c r="BD6" s="481"/>
      <c r="BE6" s="481"/>
      <c r="BF6" s="481"/>
      <c r="BG6" s="481"/>
      <c r="BH6" s="481"/>
      <c r="BI6" s="481"/>
      <c r="BJ6" s="255"/>
      <c r="BK6" s="256"/>
      <c r="BL6" s="671"/>
      <c r="BM6" s="671"/>
      <c r="BN6" s="671"/>
      <c r="BO6" s="671"/>
      <c r="BP6" s="671"/>
    </row>
    <row r="7" spans="1:97" s="670" customFormat="1" ht="30.7" customHeight="1">
      <c r="A7" s="672"/>
      <c r="B7" s="672"/>
      <c r="C7" s="672"/>
      <c r="D7" s="672"/>
      <c r="E7" s="672"/>
      <c r="F7" s="672"/>
      <c r="G7" s="672"/>
      <c r="H7" s="672"/>
      <c r="I7" s="672"/>
      <c r="J7" s="672"/>
      <c r="K7" s="672"/>
      <c r="L7" s="672"/>
      <c r="M7" s="673"/>
      <c r="Y7" s="266"/>
      <c r="Z7" s="255"/>
      <c r="AA7" s="1549" t="s">
        <v>982</v>
      </c>
      <c r="AB7" s="1549"/>
      <c r="AC7" s="1549"/>
      <c r="AD7" s="1549"/>
      <c r="AE7" s="1549"/>
      <c r="AF7" s="1549"/>
      <c r="AG7" s="1549"/>
      <c r="AH7" s="1549"/>
      <c r="AI7" s="1549"/>
      <c r="AJ7" s="1549"/>
      <c r="AK7" s="1549"/>
      <c r="AL7" s="1549"/>
      <c r="AM7" s="1549"/>
      <c r="AN7" s="1549"/>
      <c r="AO7" s="1549"/>
      <c r="AP7" s="255"/>
      <c r="AQ7" s="256"/>
      <c r="AR7" s="673"/>
      <c r="AS7" s="483"/>
      <c r="AT7" s="484"/>
      <c r="AU7" s="1549" t="s">
        <v>475</v>
      </c>
      <c r="AV7" s="1549"/>
      <c r="AW7" s="1549"/>
      <c r="AX7" s="1549"/>
      <c r="AY7" s="1549"/>
      <c r="AZ7" s="1549"/>
      <c r="BA7" s="1549"/>
      <c r="BB7" s="1549"/>
      <c r="BC7" s="1549"/>
      <c r="BD7" s="1549"/>
      <c r="BE7" s="1549"/>
      <c r="BF7" s="1549"/>
      <c r="BG7" s="1549"/>
      <c r="BH7" s="1549"/>
      <c r="BI7" s="1549"/>
      <c r="BJ7" s="484"/>
      <c r="BK7" s="482"/>
      <c r="BL7" s="673"/>
      <c r="BM7" s="673"/>
      <c r="BN7" s="673"/>
      <c r="BO7" s="673"/>
      <c r="BP7" s="673"/>
    </row>
    <row r="8" spans="1:97" s="670" customFormat="1" ht="30.7" customHeight="1">
      <c r="A8" s="672"/>
      <c r="B8" s="672"/>
      <c r="C8" s="672"/>
      <c r="D8" s="672"/>
      <c r="E8" s="672"/>
      <c r="F8" s="672"/>
      <c r="G8" s="672"/>
      <c r="H8" s="672"/>
      <c r="I8" s="672"/>
      <c r="J8" s="672"/>
      <c r="K8" s="672"/>
      <c r="L8" s="672"/>
      <c r="M8" s="673"/>
      <c r="Y8" s="266"/>
      <c r="Z8" s="255"/>
      <c r="AA8" s="1549" t="s">
        <v>875</v>
      </c>
      <c r="AB8" s="1549"/>
      <c r="AC8" s="1549"/>
      <c r="AD8" s="1549"/>
      <c r="AE8" s="1549"/>
      <c r="AF8" s="1549"/>
      <c r="AG8" s="1549"/>
      <c r="AH8" s="1549"/>
      <c r="AI8" s="1549"/>
      <c r="AJ8" s="1549"/>
      <c r="AK8" s="1549"/>
      <c r="AL8" s="1549"/>
      <c r="AM8" s="1549"/>
      <c r="AN8" s="1549"/>
      <c r="AO8" s="1549"/>
      <c r="AP8" s="255"/>
      <c r="AQ8" s="256"/>
      <c r="AR8" s="673"/>
      <c r="AS8" s="483"/>
      <c r="AT8" s="484"/>
      <c r="AU8" s="1549" t="s">
        <v>1030</v>
      </c>
      <c r="AV8" s="1549"/>
      <c r="AW8" s="1549"/>
      <c r="AX8" s="1549"/>
      <c r="AY8" s="1549"/>
      <c r="AZ8" s="1549"/>
      <c r="BA8" s="1549"/>
      <c r="BB8" s="1549"/>
      <c r="BC8" s="1549"/>
      <c r="BD8" s="1549"/>
      <c r="BE8" s="1549"/>
      <c r="BF8" s="1549"/>
      <c r="BG8" s="1549"/>
      <c r="BH8" s="1549"/>
      <c r="BI8" s="1549"/>
      <c r="BJ8" s="484"/>
      <c r="BK8" s="482"/>
      <c r="BL8" s="673"/>
      <c r="BM8" s="673"/>
      <c r="BN8" s="673"/>
      <c r="BO8" s="673"/>
      <c r="BP8" s="673"/>
    </row>
    <row r="9" spans="1:97" s="670" customFormat="1" ht="30.7" customHeight="1">
      <c r="A9" s="672"/>
      <c r="B9" s="672"/>
      <c r="C9" s="672"/>
      <c r="D9" s="672"/>
      <c r="E9" s="672"/>
      <c r="F9" s="672"/>
      <c r="G9" s="672"/>
      <c r="H9" s="672"/>
      <c r="I9" s="672"/>
      <c r="J9" s="672"/>
      <c r="K9" s="672"/>
      <c r="L9" s="672"/>
      <c r="M9" s="673"/>
      <c r="Y9" s="266"/>
      <c r="Z9" s="255"/>
      <c r="AA9" s="1549" t="s">
        <v>1183</v>
      </c>
      <c r="AB9" s="1549"/>
      <c r="AC9" s="1549"/>
      <c r="AD9" s="1549"/>
      <c r="AE9" s="1549"/>
      <c r="AF9" s="1549"/>
      <c r="AG9" s="1549"/>
      <c r="AH9" s="1549"/>
      <c r="AI9" s="1549"/>
      <c r="AJ9" s="1549"/>
      <c r="AK9" s="1549"/>
      <c r="AL9" s="1549"/>
      <c r="AM9" s="1549"/>
      <c r="AN9" s="1549"/>
      <c r="AO9" s="1549"/>
      <c r="AP9" s="255"/>
      <c r="AQ9" s="256"/>
      <c r="AR9" s="673"/>
      <c r="AS9" s="483"/>
      <c r="AT9" s="484"/>
      <c r="AU9" s="1549" t="s">
        <v>881</v>
      </c>
      <c r="AV9" s="1549"/>
      <c r="AW9" s="1549"/>
      <c r="AX9" s="1549"/>
      <c r="AY9" s="1549"/>
      <c r="AZ9" s="1549"/>
      <c r="BA9" s="1549"/>
      <c r="BB9" s="1549"/>
      <c r="BC9" s="1549"/>
      <c r="BD9" s="1549"/>
      <c r="BE9" s="1549"/>
      <c r="BF9" s="1549"/>
      <c r="BG9" s="1549"/>
      <c r="BH9" s="1549"/>
      <c r="BI9" s="1549"/>
      <c r="BJ9" s="484"/>
      <c r="BK9" s="482"/>
      <c r="BL9" s="673"/>
      <c r="BM9" s="673"/>
      <c r="BN9" s="673"/>
      <c r="BO9" s="673"/>
      <c r="BP9" s="673"/>
    </row>
    <row r="10" spans="1:97" s="670" customFormat="1" ht="30.7" customHeight="1">
      <c r="A10" s="672"/>
      <c r="B10" s="672"/>
      <c r="C10" s="672"/>
      <c r="D10" s="672"/>
      <c r="E10" s="672"/>
      <c r="F10" s="672"/>
      <c r="G10" s="672"/>
      <c r="H10" s="672"/>
      <c r="I10" s="672"/>
      <c r="J10" s="672"/>
      <c r="K10" s="672"/>
      <c r="L10" s="672"/>
      <c r="M10" s="673"/>
      <c r="Y10" s="266"/>
      <c r="Z10" s="255"/>
      <c r="AA10" s="1549" t="s">
        <v>1002</v>
      </c>
      <c r="AB10" s="1549"/>
      <c r="AC10" s="1549"/>
      <c r="AD10" s="1549"/>
      <c r="AE10" s="1549"/>
      <c r="AF10" s="1549"/>
      <c r="AG10" s="1549"/>
      <c r="AH10" s="1549"/>
      <c r="AI10" s="1549"/>
      <c r="AJ10" s="1549"/>
      <c r="AK10" s="1549"/>
      <c r="AL10" s="1549"/>
      <c r="AM10" s="1549"/>
      <c r="AN10" s="1549"/>
      <c r="AO10" s="1549"/>
      <c r="AP10" s="255"/>
      <c r="AQ10" s="256"/>
      <c r="AR10" s="673"/>
      <c r="AS10" s="483"/>
      <c r="AT10" s="484"/>
      <c r="AU10" s="1549" t="s">
        <v>1545</v>
      </c>
      <c r="AV10" s="1549"/>
      <c r="AW10" s="1549"/>
      <c r="AX10" s="1549"/>
      <c r="AY10" s="1549"/>
      <c r="AZ10" s="1549"/>
      <c r="BA10" s="1549"/>
      <c r="BB10" s="1549"/>
      <c r="BC10" s="1549"/>
      <c r="BD10" s="1549"/>
      <c r="BE10" s="1549"/>
      <c r="BF10" s="1549"/>
      <c r="BG10" s="1549"/>
      <c r="BH10" s="1549"/>
      <c r="BI10" s="1549"/>
      <c r="BJ10" s="484"/>
      <c r="BK10" s="482"/>
      <c r="BL10" s="673"/>
      <c r="BM10" s="673"/>
      <c r="BN10" s="673"/>
      <c r="BO10" s="673"/>
      <c r="BP10" s="673"/>
    </row>
    <row r="11" spans="1:97" s="670" customFormat="1" ht="30.7" customHeight="1">
      <c r="A11" s="672"/>
      <c r="B11" s="672"/>
      <c r="C11" s="672"/>
      <c r="D11" s="672"/>
      <c r="E11" s="672"/>
      <c r="F11" s="672"/>
      <c r="G11" s="672"/>
      <c r="H11" s="672"/>
      <c r="I11" s="672"/>
      <c r="J11" s="672"/>
      <c r="K11" s="672"/>
      <c r="L11" s="672"/>
      <c r="M11" s="673"/>
      <c r="Y11" s="266"/>
      <c r="Z11" s="255"/>
      <c r="AA11" s="1549" t="s">
        <v>1184</v>
      </c>
      <c r="AB11" s="1549"/>
      <c r="AC11" s="1549"/>
      <c r="AD11" s="1549"/>
      <c r="AE11" s="1549"/>
      <c r="AF11" s="1549"/>
      <c r="AG11" s="1549"/>
      <c r="AH11" s="1549"/>
      <c r="AI11" s="1549"/>
      <c r="AJ11" s="1549"/>
      <c r="AK11" s="1549"/>
      <c r="AL11" s="1549"/>
      <c r="AM11" s="1549"/>
      <c r="AN11" s="1549"/>
      <c r="AO11" s="1549"/>
      <c r="AP11" s="255"/>
      <c r="AQ11" s="256"/>
      <c r="AR11" s="673"/>
      <c r="AS11" s="483"/>
      <c r="AT11" s="484"/>
      <c r="AU11" s="1549" t="s">
        <v>1185</v>
      </c>
      <c r="AV11" s="1549"/>
      <c r="AW11" s="1549"/>
      <c r="AX11" s="1549"/>
      <c r="AY11" s="1549"/>
      <c r="AZ11" s="1549"/>
      <c r="BA11" s="1549"/>
      <c r="BB11" s="1549"/>
      <c r="BC11" s="1549"/>
      <c r="BD11" s="1549"/>
      <c r="BE11" s="1549"/>
      <c r="BF11" s="1549"/>
      <c r="BG11" s="1549"/>
      <c r="BH11" s="1549"/>
      <c r="BI11" s="1549"/>
      <c r="BJ11" s="484"/>
      <c r="BK11" s="482"/>
      <c r="BL11" s="673"/>
      <c r="BM11" s="673"/>
      <c r="BN11" s="673"/>
      <c r="BO11" s="673"/>
      <c r="BP11" s="673"/>
    </row>
    <row r="12" spans="1:97" s="670" customFormat="1" ht="30.7" customHeight="1">
      <c r="M12" s="671"/>
      <c r="Y12" s="266"/>
      <c r="Z12" s="255"/>
      <c r="AA12" s="1549" t="s">
        <v>877</v>
      </c>
      <c r="AB12" s="1549"/>
      <c r="AC12" s="1549"/>
      <c r="AD12" s="1549"/>
      <c r="AE12" s="1549"/>
      <c r="AF12" s="1549"/>
      <c r="AG12" s="1549"/>
      <c r="AH12" s="1549"/>
      <c r="AI12" s="1549"/>
      <c r="AJ12" s="1549"/>
      <c r="AK12" s="1549"/>
      <c r="AL12" s="1549"/>
      <c r="AM12" s="1549"/>
      <c r="AN12" s="1549"/>
      <c r="AO12" s="1549"/>
      <c r="AP12" s="255"/>
      <c r="AQ12" s="256"/>
      <c r="AR12" s="671"/>
      <c r="AS12" s="483"/>
      <c r="AT12" s="484"/>
      <c r="AU12" s="1549" t="s">
        <v>1003</v>
      </c>
      <c r="AV12" s="1549"/>
      <c r="AW12" s="1549"/>
      <c r="AX12" s="1549"/>
      <c r="AY12" s="1549"/>
      <c r="AZ12" s="1549"/>
      <c r="BA12" s="1549"/>
      <c r="BB12" s="1549"/>
      <c r="BC12" s="1549"/>
      <c r="BD12" s="1549"/>
      <c r="BE12" s="1549"/>
      <c r="BF12" s="1549"/>
      <c r="BG12" s="1549"/>
      <c r="BH12" s="1549"/>
      <c r="BI12" s="1549"/>
      <c r="BJ12" s="484"/>
      <c r="BK12" s="482"/>
      <c r="BL12" s="671"/>
      <c r="BM12" s="671"/>
      <c r="BN12" s="671"/>
      <c r="BO12" s="671"/>
      <c r="BP12" s="671"/>
    </row>
    <row r="13" spans="1:97" s="670" customFormat="1" ht="30.7" customHeight="1">
      <c r="M13" s="671"/>
      <c r="Y13" s="266"/>
      <c r="Z13" s="255"/>
      <c r="AA13" s="1549" t="s">
        <v>880</v>
      </c>
      <c r="AB13" s="1549"/>
      <c r="AC13" s="1549"/>
      <c r="AD13" s="1549"/>
      <c r="AE13" s="1549"/>
      <c r="AF13" s="1549"/>
      <c r="AG13" s="1549"/>
      <c r="AH13" s="1549"/>
      <c r="AI13" s="1549"/>
      <c r="AJ13" s="1549"/>
      <c r="AK13" s="1549"/>
      <c r="AL13" s="1549"/>
      <c r="AM13" s="1549"/>
      <c r="AN13" s="1549"/>
      <c r="AO13" s="1549"/>
      <c r="AP13" s="255"/>
      <c r="AQ13" s="256"/>
      <c r="AR13" s="671"/>
      <c r="AS13" s="483"/>
      <c r="AT13" s="484"/>
      <c r="AU13" s="1549" t="s">
        <v>1186</v>
      </c>
      <c r="AV13" s="1549"/>
      <c r="AW13" s="1549"/>
      <c r="AX13" s="1549"/>
      <c r="AY13" s="1549"/>
      <c r="AZ13" s="1549"/>
      <c r="BA13" s="1549"/>
      <c r="BB13" s="1549"/>
      <c r="BC13" s="1549"/>
      <c r="BD13" s="1549"/>
      <c r="BE13" s="1549"/>
      <c r="BF13" s="1549"/>
      <c r="BG13" s="1549"/>
      <c r="BH13" s="1549"/>
      <c r="BI13" s="1549"/>
      <c r="BJ13" s="484"/>
      <c r="BK13" s="482"/>
      <c r="BL13" s="671"/>
      <c r="BM13" s="671"/>
      <c r="BN13" s="671"/>
      <c r="BO13" s="671"/>
      <c r="BP13" s="671"/>
    </row>
    <row r="14" spans="1:97" s="670" customFormat="1" ht="30.7" customHeight="1">
      <c r="M14" s="671"/>
      <c r="Y14" s="266"/>
      <c r="Z14" s="255"/>
      <c r="AA14" s="255"/>
      <c r="AB14" s="255"/>
      <c r="AC14" s="255"/>
      <c r="AD14" s="255"/>
      <c r="AE14" s="255"/>
      <c r="AF14" s="255"/>
      <c r="AG14" s="255"/>
      <c r="AH14" s="255"/>
      <c r="AI14" s="255"/>
      <c r="AJ14" s="255"/>
      <c r="AK14" s="255"/>
      <c r="AL14" s="255"/>
      <c r="AM14" s="255"/>
      <c r="AN14" s="255"/>
      <c r="AO14" s="255"/>
      <c r="AP14" s="255"/>
      <c r="AQ14" s="256"/>
      <c r="AR14" s="671"/>
      <c r="AS14" s="483"/>
      <c r="AT14" s="484"/>
      <c r="AU14" s="1554"/>
      <c r="AV14" s="1554"/>
      <c r="AW14" s="1554"/>
      <c r="AX14" s="1554"/>
      <c r="AY14" s="1554"/>
      <c r="AZ14" s="1554"/>
      <c r="BA14" s="1554"/>
      <c r="BB14" s="1554"/>
      <c r="BC14" s="1554"/>
      <c r="BD14" s="1554"/>
      <c r="BE14" s="1554"/>
      <c r="BF14" s="1554"/>
      <c r="BG14" s="1554"/>
      <c r="BH14" s="1554"/>
      <c r="BI14" s="1554"/>
      <c r="BJ14" s="484"/>
      <c r="BK14" s="482"/>
      <c r="BL14" s="671"/>
      <c r="BM14" s="671"/>
      <c r="BN14" s="671"/>
      <c r="BO14" s="671"/>
      <c r="BP14" s="671"/>
    </row>
    <row r="15" spans="1:97" s="670" customFormat="1" ht="30.7" customHeight="1">
      <c r="M15" s="671"/>
      <c r="P15" s="671"/>
      <c r="Y15" s="485"/>
      <c r="Z15" s="486"/>
      <c r="AA15" s="486"/>
      <c r="AB15" s="486"/>
      <c r="AC15" s="486"/>
      <c r="AD15" s="486"/>
      <c r="AE15" s="486"/>
      <c r="AF15" s="486"/>
      <c r="AG15" s="486"/>
      <c r="AH15" s="486"/>
      <c r="AI15" s="486"/>
      <c r="AJ15" s="486"/>
      <c r="AK15" s="486"/>
      <c r="AL15" s="486"/>
      <c r="AM15" s="486"/>
      <c r="AN15" s="486"/>
      <c r="AO15" s="486"/>
      <c r="AP15" s="486"/>
      <c r="AQ15" s="487"/>
      <c r="AR15" s="671"/>
      <c r="AS15" s="266"/>
      <c r="AT15" s="255"/>
      <c r="AU15" s="1553" t="s">
        <v>876</v>
      </c>
      <c r="AV15" s="1553"/>
      <c r="AW15" s="1553"/>
      <c r="AX15" s="1553"/>
      <c r="AY15" s="1553"/>
      <c r="AZ15" s="1553"/>
      <c r="BA15" s="1553"/>
      <c r="BB15" s="1553"/>
      <c r="BC15" s="1553"/>
      <c r="BD15" s="1553"/>
      <c r="BE15" s="1553"/>
      <c r="BF15" s="1553"/>
      <c r="BG15" s="1553"/>
      <c r="BH15" s="1553"/>
      <c r="BI15" s="1553"/>
      <c r="BJ15" s="255"/>
      <c r="BK15" s="256"/>
      <c r="BL15" s="671"/>
      <c r="BM15" s="671"/>
      <c r="BN15" s="671"/>
      <c r="BO15" s="671"/>
      <c r="BP15" s="671"/>
    </row>
    <row r="16" spans="1:97" s="670" customFormat="1" ht="30.7" customHeight="1">
      <c r="M16" s="671"/>
      <c r="AR16" s="671"/>
      <c r="AS16" s="266"/>
      <c r="AT16" s="255"/>
      <c r="AU16" s="1549" t="s">
        <v>1187</v>
      </c>
      <c r="AV16" s="1549"/>
      <c r="AW16" s="1549"/>
      <c r="AX16" s="1549"/>
      <c r="AY16" s="1549"/>
      <c r="AZ16" s="1549"/>
      <c r="BA16" s="1549"/>
      <c r="BB16" s="1549"/>
      <c r="BC16" s="1549"/>
      <c r="BD16" s="1549"/>
      <c r="BE16" s="1549"/>
      <c r="BF16" s="1549"/>
      <c r="BG16" s="1549"/>
      <c r="BH16" s="1549"/>
      <c r="BI16" s="1549"/>
      <c r="BJ16" s="255"/>
      <c r="BK16" s="256"/>
      <c r="BL16" s="671"/>
      <c r="BM16" s="671"/>
      <c r="BN16" s="671"/>
      <c r="BO16" s="671"/>
      <c r="BP16" s="671"/>
    </row>
    <row r="17" spans="13:63" ht="30.7" customHeight="1">
      <c r="M17" s="674"/>
      <c r="P17" s="674"/>
      <c r="AS17" s="266"/>
      <c r="AT17" s="255"/>
      <c r="AU17" s="1549" t="s">
        <v>1188</v>
      </c>
      <c r="AV17" s="1549"/>
      <c r="AW17" s="1549"/>
      <c r="AX17" s="1549"/>
      <c r="AY17" s="1549"/>
      <c r="AZ17" s="1549"/>
      <c r="BA17" s="1549"/>
      <c r="BB17" s="1549"/>
      <c r="BC17" s="1549"/>
      <c r="BD17" s="1549"/>
      <c r="BE17" s="1549"/>
      <c r="BF17" s="1549"/>
      <c r="BG17" s="1549"/>
      <c r="BH17" s="1549"/>
      <c r="BI17" s="1549"/>
      <c r="BJ17" s="255"/>
      <c r="BK17" s="256"/>
    </row>
    <row r="18" spans="13:63" ht="30.7" customHeight="1">
      <c r="M18" s="674"/>
      <c r="P18" s="674"/>
      <c r="AS18" s="483"/>
      <c r="AT18" s="484"/>
      <c r="AU18" s="484"/>
      <c r="AV18" s="484"/>
      <c r="AW18" s="484"/>
      <c r="AX18" s="484"/>
      <c r="AY18" s="484"/>
      <c r="AZ18" s="484"/>
      <c r="BA18" s="484"/>
      <c r="BB18" s="484"/>
      <c r="BC18" s="484"/>
      <c r="BD18" s="484"/>
      <c r="BE18" s="484"/>
      <c r="BF18" s="484"/>
      <c r="BG18" s="484"/>
      <c r="BH18" s="484"/>
      <c r="BI18" s="484"/>
      <c r="BJ18" s="484"/>
      <c r="BK18" s="482"/>
    </row>
    <row r="19" spans="13:63" ht="30.7" customHeight="1">
      <c r="P19" s="674"/>
      <c r="AS19" s="485"/>
      <c r="AT19" s="486"/>
      <c r="AU19" s="486"/>
      <c r="AV19" s="486"/>
      <c r="AW19" s="486"/>
      <c r="AX19" s="486"/>
      <c r="AY19" s="486"/>
      <c r="AZ19" s="486"/>
      <c r="BA19" s="486"/>
      <c r="BB19" s="486"/>
      <c r="BC19" s="486"/>
      <c r="BD19" s="486"/>
      <c r="BE19" s="486"/>
      <c r="BF19" s="486"/>
      <c r="BG19" s="486"/>
      <c r="BH19" s="486"/>
      <c r="BI19" s="486"/>
      <c r="BJ19" s="486"/>
      <c r="BK19" s="487"/>
    </row>
    <row r="20" spans="13:63" ht="27" customHeight="1">
      <c r="P20" s="674"/>
    </row>
    <row r="21" spans="13:63" ht="27" customHeight="1">
      <c r="P21" s="674"/>
    </row>
    <row r="22" spans="13:63" ht="27" customHeight="1">
      <c r="P22" s="674"/>
    </row>
    <row r="23" spans="13:63" ht="27" customHeight="1">
      <c r="P23" s="674"/>
    </row>
    <row r="24" spans="13:63" ht="27" customHeight="1">
      <c r="P24" s="674"/>
    </row>
    <row r="25" spans="13:63" ht="27" customHeight="1">
      <c r="P25" s="674"/>
    </row>
    <row r="26" spans="13:63" ht="27" customHeight="1">
      <c r="P26" s="674"/>
    </row>
    <row r="27" spans="13:63" ht="27.6" customHeight="1">
      <c r="P27" s="674"/>
    </row>
    <row r="28" spans="13:63" ht="27.6" customHeight="1">
      <c r="P28" s="674"/>
    </row>
    <row r="29" spans="13:63" ht="27.6" customHeight="1">
      <c r="P29" s="674"/>
    </row>
  </sheetData>
  <sheetProtection formatCells="0" formatColumns="0" formatRows="0" insertColumns="0" insertHyperlinks="0" deleteColumns="0" deleteRows="0" sort="0" autoFilter="0"/>
  <mergeCells count="21">
    <mergeCell ref="AU15:BI15"/>
    <mergeCell ref="AU16:BI16"/>
    <mergeCell ref="AU17:BI17"/>
    <mergeCell ref="AU14:BI14"/>
    <mergeCell ref="AA12:AO12"/>
    <mergeCell ref="AA13:AO13"/>
    <mergeCell ref="AA7:AO7"/>
    <mergeCell ref="AA8:AO8"/>
    <mergeCell ref="AA9:AO9"/>
    <mergeCell ref="AU13:BI13"/>
    <mergeCell ref="O2:U2"/>
    <mergeCell ref="AA5:AO5"/>
    <mergeCell ref="AA10:AO10"/>
    <mergeCell ref="AA11:AO11"/>
    <mergeCell ref="AU5:BI5"/>
    <mergeCell ref="AU8:BI8"/>
    <mergeCell ref="AU9:BI9"/>
    <mergeCell ref="AU11:BI11"/>
    <mergeCell ref="AU12:BI12"/>
    <mergeCell ref="AU7:BI7"/>
    <mergeCell ref="AU10:BI10"/>
  </mergeCells>
  <conditionalFormatting sqref="Y4:AO4">
    <cfRule type="expression" dxfId="276" priority="8">
      <formula>Analyze_Help_Setting="Hidden"</formula>
    </cfRule>
  </conditionalFormatting>
  <conditionalFormatting sqref="AP4:AQ4">
    <cfRule type="expression" dxfId="275" priority="7">
      <formula>Analyze_Help_Setting="Hidden"</formula>
    </cfRule>
  </conditionalFormatting>
  <conditionalFormatting sqref="AS4:BI4">
    <cfRule type="expression" dxfId="274" priority="2">
      <formula>Analyze_Help_Setting="Hidden"</formula>
    </cfRule>
  </conditionalFormatting>
  <conditionalFormatting sqref="BJ4:BK4">
    <cfRule type="expression" dxfId="273" priority="1">
      <formula>Analyze_Help_Setting="Hidden"</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7479C-66D7-4350-9F55-DBDE7037D7C8}">
  <sheetPr codeName="wsINFO_SHEET">
    <tabColor theme="1" tint="0.249977111117893"/>
    <pageSetUpPr fitToPage="1"/>
  </sheetPr>
  <dimension ref="K1:FE53"/>
  <sheetViews>
    <sheetView showGridLines="0" showRowColHeaders="0" zoomScaleNormal="100" workbookViewId="0">
      <pane ySplit="4" topLeftCell="A5" activePane="bottomLeft" state="frozen"/>
      <selection pane="bottomLeft" activeCell="AM9" sqref="AM9:BT9"/>
    </sheetView>
  </sheetViews>
  <sheetFormatPr defaultColWidth="8.8984375" defaultRowHeight="15"/>
  <cols>
    <col min="1" max="1" width="2.19921875" style="6" customWidth="1"/>
    <col min="2" max="2" width="2.09765625" style="6" customWidth="1"/>
    <col min="3" max="43" width="2" style="6" customWidth="1"/>
    <col min="44" max="44" width="2.046875" style="6" customWidth="1"/>
    <col min="45" max="84" width="2" style="6" customWidth="1"/>
    <col min="85" max="85" width="2.09765625" style="6" customWidth="1"/>
    <col min="86" max="100" width="2" style="6" customWidth="1"/>
    <col min="101" max="105" width="1.8984375" style="6" customWidth="1"/>
    <col min="106" max="118" width="2.09765625" style="6" customWidth="1"/>
    <col min="119" max="131" width="2.44921875" style="6" customWidth="1"/>
    <col min="132" max="157" width="2.6484375" style="6" customWidth="1"/>
    <col min="158" max="187" width="2.546875" style="6" customWidth="1"/>
    <col min="188" max="16384" width="8.8984375" style="6"/>
  </cols>
  <sheetData>
    <row r="1" spans="11:161" s="109" customFormat="1" ht="45" customHeight="1"/>
    <row r="2" spans="11:161" s="431" customFormat="1" ht="7.5" customHeight="1"/>
    <row r="3" spans="11:161" s="431" customFormat="1" ht="22.5" customHeight="1">
      <c r="K3" s="569"/>
      <c r="L3" s="569"/>
      <c r="M3" s="1555" t="s">
        <v>1253</v>
      </c>
      <c r="N3" s="1555"/>
      <c r="O3" s="1555"/>
      <c r="P3" s="1555"/>
      <c r="Q3" s="1555"/>
      <c r="R3" s="1555"/>
      <c r="S3" s="1555"/>
      <c r="T3" s="1555"/>
      <c r="U3" s="1555"/>
      <c r="V3" s="1555"/>
      <c r="W3" s="876"/>
      <c r="X3" s="876"/>
      <c r="Y3" s="876"/>
      <c r="Z3" s="569"/>
      <c r="AA3" s="569"/>
      <c r="AB3" s="569"/>
    </row>
    <row r="4" spans="11:161" s="432" customFormat="1" ht="7.35" customHeight="1"/>
    <row r="5" spans="11:161" s="465" customFormat="1" ht="12" customHeight="1"/>
    <row r="6" spans="11:161" s="4" customFormat="1" ht="44.7" customHeight="1">
      <c r="Y6" s="1556" t="s">
        <v>1631</v>
      </c>
      <c r="Z6" s="1556"/>
      <c r="AA6" s="1556"/>
      <c r="AB6" s="1556"/>
      <c r="AC6" s="1556"/>
      <c r="AD6" s="1556"/>
      <c r="AE6" s="1556"/>
      <c r="AF6" s="1556"/>
      <c r="AG6" s="1556"/>
      <c r="AH6" s="1556"/>
      <c r="AI6" s="1556"/>
      <c r="AJ6" s="1556"/>
      <c r="AK6" s="1556"/>
      <c r="AL6" s="1556"/>
      <c r="AM6" s="1556"/>
      <c r="AN6" s="1556"/>
      <c r="AO6" s="1556"/>
      <c r="AP6" s="1556"/>
      <c r="AQ6" s="1556"/>
      <c r="AR6" s="1556"/>
      <c r="AS6" s="1556"/>
      <c r="AT6" s="1556"/>
      <c r="AU6" s="1556"/>
      <c r="AV6" s="1556"/>
      <c r="AW6" s="1556"/>
      <c r="AX6" s="1556"/>
      <c r="AY6" s="1556"/>
      <c r="AZ6" s="1556"/>
      <c r="BA6" s="1556"/>
      <c r="BB6" s="1556"/>
      <c r="BC6" s="1556"/>
      <c r="BD6" s="1556"/>
      <c r="BE6" s="1556"/>
      <c r="BF6" s="1556"/>
      <c r="BG6" s="1556"/>
      <c r="BH6" s="1556"/>
      <c r="BI6" s="1556"/>
      <c r="BJ6" s="1556"/>
      <c r="BK6" s="1556"/>
      <c r="BL6" s="1556"/>
      <c r="BM6" s="1556"/>
      <c r="BN6" s="1556"/>
      <c r="BO6" s="1556"/>
      <c r="BP6" s="1556"/>
      <c r="BQ6" s="1556"/>
      <c r="BR6" s="1556"/>
      <c r="BS6" s="1556"/>
      <c r="BT6" s="1556"/>
    </row>
    <row r="7" spans="11:161" s="4" customFormat="1" ht="12" customHeight="1">
      <c r="BN7" s="877"/>
      <c r="BO7" s="877"/>
    </row>
    <row r="8" spans="11:161" ht="24" customHeight="1">
      <c r="Y8" s="1562" t="s">
        <v>392</v>
      </c>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c r="BM8" s="1563"/>
      <c r="BN8" s="1563"/>
      <c r="BO8" s="1563"/>
      <c r="BP8" s="1563"/>
      <c r="BQ8" s="1563"/>
      <c r="BR8" s="1563"/>
      <c r="BS8" s="1563"/>
      <c r="BT8" s="1563"/>
      <c r="FE8" s="4"/>
    </row>
    <row r="9" spans="11:161" ht="24" customHeight="1">
      <c r="Y9" s="1565">
        <f t="shared" ref="Y9:Y15" si="0">IF(AM9&gt;0,1,0)</f>
        <v>0</v>
      </c>
      <c r="Z9" s="1565"/>
      <c r="AA9" s="1567" t="s">
        <v>82</v>
      </c>
      <c r="AB9" s="1567"/>
      <c r="AC9" s="1567"/>
      <c r="AD9" s="1567"/>
      <c r="AE9" s="1567"/>
      <c r="AF9" s="1567"/>
      <c r="AG9" s="1567"/>
      <c r="AH9" s="1567"/>
      <c r="AI9" s="1567"/>
      <c r="AJ9" s="1567"/>
      <c r="AK9" s="1567"/>
      <c r="AL9" s="1567"/>
      <c r="AM9" s="1564"/>
      <c r="AN9" s="1564"/>
      <c r="AO9" s="1564"/>
      <c r="AP9" s="1564"/>
      <c r="AQ9" s="1564"/>
      <c r="AR9" s="1564"/>
      <c r="AS9" s="1564"/>
      <c r="AT9" s="1564"/>
      <c r="AU9" s="1564"/>
      <c r="AV9" s="1564"/>
      <c r="AW9" s="1564"/>
      <c r="AX9" s="1564"/>
      <c r="AY9" s="1564"/>
      <c r="AZ9" s="1564"/>
      <c r="BA9" s="1564"/>
      <c r="BB9" s="1564"/>
      <c r="BC9" s="1564"/>
      <c r="BD9" s="1564"/>
      <c r="BE9" s="1564"/>
      <c r="BF9" s="1564"/>
      <c r="BG9" s="1564"/>
      <c r="BH9" s="1564"/>
      <c r="BI9" s="1564"/>
      <c r="BJ9" s="1564"/>
      <c r="BK9" s="1564"/>
      <c r="BL9" s="1564"/>
      <c r="BM9" s="1564"/>
      <c r="BN9" s="1564"/>
      <c r="BO9" s="1564"/>
      <c r="BP9" s="1564"/>
      <c r="BQ9" s="1564"/>
      <c r="BR9" s="1564"/>
      <c r="BS9" s="1564"/>
      <c r="BT9" s="1564"/>
      <c r="FE9" s="4"/>
    </row>
    <row r="10" spans="11:161" ht="24" customHeight="1">
      <c r="Y10" s="1561">
        <f t="shared" si="0"/>
        <v>0</v>
      </c>
      <c r="Z10" s="1561"/>
      <c r="AA10" s="1557" t="s">
        <v>363</v>
      </c>
      <c r="AB10" s="1557"/>
      <c r="AC10" s="1557"/>
      <c r="AD10" s="1557"/>
      <c r="AE10" s="1557"/>
      <c r="AF10" s="1557"/>
      <c r="AG10" s="1557"/>
      <c r="AH10" s="1557"/>
      <c r="AI10" s="1557"/>
      <c r="AJ10" s="1557"/>
      <c r="AK10" s="1557"/>
      <c r="AL10" s="1557"/>
      <c r="AM10" s="1558"/>
      <c r="AN10" s="1559"/>
      <c r="AO10" s="1559"/>
      <c r="AP10" s="1559"/>
      <c r="AQ10" s="1559"/>
      <c r="AR10" s="1559"/>
      <c r="AS10" s="1559"/>
      <c r="AT10" s="1559"/>
      <c r="AU10" s="1559"/>
      <c r="AV10" s="1559"/>
      <c r="AW10" s="1559"/>
      <c r="AX10" s="1559"/>
      <c r="AY10" s="1559"/>
      <c r="AZ10" s="1559"/>
      <c r="BA10" s="1559"/>
      <c r="BB10" s="1559"/>
      <c r="BC10" s="1559"/>
      <c r="BD10" s="1559"/>
      <c r="BE10" s="1559"/>
      <c r="BF10" s="1559"/>
      <c r="BG10" s="1559"/>
      <c r="BH10" s="1559"/>
      <c r="BI10" s="1559"/>
      <c r="BJ10" s="1559"/>
      <c r="BK10" s="1559"/>
      <c r="BL10" s="1559"/>
      <c r="BM10" s="1559"/>
      <c r="BN10" s="1559"/>
      <c r="BO10" s="1559"/>
      <c r="BP10" s="1559"/>
      <c r="BQ10" s="1559"/>
      <c r="BR10" s="1559"/>
      <c r="BS10" s="1559"/>
      <c r="BT10" s="1560"/>
    </row>
    <row r="11" spans="11:161" ht="24" customHeight="1">
      <c r="Y11" s="1561">
        <f t="shared" si="0"/>
        <v>0</v>
      </c>
      <c r="Z11" s="1561"/>
      <c r="AA11" s="1557" t="s">
        <v>102</v>
      </c>
      <c r="AB11" s="1557"/>
      <c r="AC11" s="1557"/>
      <c r="AD11" s="1557"/>
      <c r="AE11" s="1557"/>
      <c r="AF11" s="1557"/>
      <c r="AG11" s="1557"/>
      <c r="AH11" s="1557"/>
      <c r="AI11" s="1557"/>
      <c r="AJ11" s="1557"/>
      <c r="AK11" s="1557"/>
      <c r="AL11" s="1557"/>
      <c r="AM11" s="1558"/>
      <c r="AN11" s="1559"/>
      <c r="AO11" s="1559"/>
      <c r="AP11" s="1559"/>
      <c r="AQ11" s="1559"/>
      <c r="AR11" s="1559"/>
      <c r="AS11" s="1559"/>
      <c r="AT11" s="1559"/>
      <c r="AU11" s="1559"/>
      <c r="AV11" s="1559"/>
      <c r="AW11" s="1559"/>
      <c r="AX11" s="1559"/>
      <c r="AY11" s="1559"/>
      <c r="AZ11" s="1559"/>
      <c r="BA11" s="1559"/>
      <c r="BB11" s="1559"/>
      <c r="BC11" s="1559"/>
      <c r="BD11" s="1559"/>
      <c r="BE11" s="1559"/>
      <c r="BF11" s="1559"/>
      <c r="BG11" s="1559"/>
      <c r="BH11" s="1559"/>
      <c r="BI11" s="1559"/>
      <c r="BJ11" s="1559"/>
      <c r="BK11" s="1559"/>
      <c r="BL11" s="1559"/>
      <c r="BM11" s="1559"/>
      <c r="BN11" s="1559"/>
      <c r="BO11" s="1559"/>
      <c r="BP11" s="1559"/>
      <c r="BQ11" s="1559"/>
      <c r="BR11" s="1559"/>
      <c r="BS11" s="1559"/>
      <c r="BT11" s="1560"/>
    </row>
    <row r="12" spans="11:161" ht="24" customHeight="1">
      <c r="Y12" s="1561">
        <f t="shared" si="0"/>
        <v>0</v>
      </c>
      <c r="Z12" s="1561"/>
      <c r="AA12" s="1557" t="s">
        <v>355</v>
      </c>
      <c r="AB12" s="1557"/>
      <c r="AC12" s="1557"/>
      <c r="AD12" s="1557"/>
      <c r="AE12" s="1557"/>
      <c r="AF12" s="1557"/>
      <c r="AG12" s="1557"/>
      <c r="AH12" s="1557"/>
      <c r="AI12" s="1557"/>
      <c r="AJ12" s="1557"/>
      <c r="AK12" s="1557"/>
      <c r="AL12" s="1557"/>
      <c r="AM12" s="1558"/>
      <c r="AN12" s="1559"/>
      <c r="AO12" s="1559"/>
      <c r="AP12" s="1559"/>
      <c r="AQ12" s="1559"/>
      <c r="AR12" s="1559"/>
      <c r="AS12" s="1559"/>
      <c r="AT12" s="1559"/>
      <c r="AU12" s="1559"/>
      <c r="AV12" s="1559"/>
      <c r="AW12" s="1559"/>
      <c r="AX12" s="1559"/>
      <c r="AY12" s="1559"/>
      <c r="AZ12" s="1559"/>
      <c r="BA12" s="1559"/>
      <c r="BB12" s="1559"/>
      <c r="BC12" s="1559"/>
      <c r="BD12" s="1559"/>
      <c r="BE12" s="1559"/>
      <c r="BF12" s="1559"/>
      <c r="BG12" s="1559"/>
      <c r="BH12" s="1559"/>
      <c r="BI12" s="1559"/>
      <c r="BJ12" s="1559"/>
      <c r="BK12" s="1559"/>
      <c r="BL12" s="1559"/>
      <c r="BM12" s="1559"/>
      <c r="BN12" s="1559"/>
      <c r="BO12" s="1559"/>
      <c r="BP12" s="1559"/>
      <c r="BQ12" s="1559"/>
      <c r="BR12" s="1559"/>
      <c r="BS12" s="1559"/>
      <c r="BT12" s="1560"/>
    </row>
    <row r="13" spans="11:161" ht="24" customHeight="1">
      <c r="Y13" s="1561">
        <f t="shared" si="0"/>
        <v>0</v>
      </c>
      <c r="Z13" s="1561"/>
      <c r="AA13" s="1557" t="s">
        <v>905</v>
      </c>
      <c r="AB13" s="1557"/>
      <c r="AC13" s="1557"/>
      <c r="AD13" s="1557"/>
      <c r="AE13" s="1557"/>
      <c r="AF13" s="1557"/>
      <c r="AG13" s="1557"/>
      <c r="AH13" s="1557"/>
      <c r="AI13" s="1557"/>
      <c r="AJ13" s="1557"/>
      <c r="AK13" s="1557"/>
      <c r="AL13" s="1557"/>
      <c r="AM13" s="1558"/>
      <c r="AN13" s="1559"/>
      <c r="AO13" s="1559"/>
      <c r="AP13" s="1559"/>
      <c r="AQ13" s="1559"/>
      <c r="AR13" s="1559"/>
      <c r="AS13" s="1559"/>
      <c r="AT13" s="1559"/>
      <c r="AU13" s="1559"/>
      <c r="AV13" s="1559"/>
      <c r="AW13" s="1559"/>
      <c r="AX13" s="1559"/>
      <c r="AY13" s="1559"/>
      <c r="AZ13" s="1559"/>
      <c r="BA13" s="1559"/>
      <c r="BB13" s="1559"/>
      <c r="BC13" s="1559"/>
      <c r="BD13" s="1559"/>
      <c r="BE13" s="1559"/>
      <c r="BF13" s="1559"/>
      <c r="BG13" s="1559"/>
      <c r="BH13" s="1559"/>
      <c r="BI13" s="1559"/>
      <c r="BJ13" s="1559"/>
      <c r="BK13" s="1559"/>
      <c r="BL13" s="1559"/>
      <c r="BM13" s="1559"/>
      <c r="BN13" s="1559"/>
      <c r="BO13" s="1559"/>
      <c r="BP13" s="1559"/>
      <c r="BQ13" s="1559"/>
      <c r="BR13" s="1559"/>
      <c r="BS13" s="1559"/>
      <c r="BT13" s="1560"/>
    </row>
    <row r="14" spans="11:161" ht="24" customHeight="1">
      <c r="Y14" s="1561">
        <f t="shared" si="0"/>
        <v>0</v>
      </c>
      <c r="Z14" s="1561"/>
      <c r="AA14" s="1557" t="s">
        <v>83</v>
      </c>
      <c r="AB14" s="1557"/>
      <c r="AC14" s="1557"/>
      <c r="AD14" s="1557"/>
      <c r="AE14" s="1557"/>
      <c r="AF14" s="1557"/>
      <c r="AG14" s="1557"/>
      <c r="AH14" s="1557"/>
      <c r="AI14" s="1557"/>
      <c r="AJ14" s="1557"/>
      <c r="AK14" s="1557"/>
      <c r="AL14" s="1557"/>
      <c r="AM14" s="1558"/>
      <c r="AN14" s="1559"/>
      <c r="AO14" s="1559"/>
      <c r="AP14" s="1559"/>
      <c r="AQ14" s="1559"/>
      <c r="AR14" s="1559"/>
      <c r="AS14" s="1559"/>
      <c r="AT14" s="1559"/>
      <c r="AU14" s="1559"/>
      <c r="AV14" s="1559"/>
      <c r="AW14" s="1559"/>
      <c r="AX14" s="1559"/>
      <c r="AY14" s="1559"/>
      <c r="AZ14" s="1559"/>
      <c r="BA14" s="1559"/>
      <c r="BB14" s="1559"/>
      <c r="BC14" s="1559"/>
      <c r="BD14" s="1559"/>
      <c r="BE14" s="1559"/>
      <c r="BF14" s="1559"/>
      <c r="BG14" s="1559"/>
      <c r="BH14" s="1559"/>
      <c r="BI14" s="1559"/>
      <c r="BJ14" s="1559"/>
      <c r="BK14" s="1559"/>
      <c r="BL14" s="1559"/>
      <c r="BM14" s="1559"/>
      <c r="BN14" s="1559"/>
      <c r="BO14" s="1559"/>
      <c r="BP14" s="1559"/>
      <c r="BQ14" s="1559"/>
      <c r="BR14" s="1559"/>
      <c r="BS14" s="1559"/>
      <c r="BT14" s="1560"/>
    </row>
    <row r="15" spans="11:161" ht="24" customHeight="1">
      <c r="Y15" s="1561">
        <f t="shared" si="0"/>
        <v>0</v>
      </c>
      <c r="Z15" s="1561"/>
      <c r="AA15" s="1557" t="s">
        <v>103</v>
      </c>
      <c r="AB15" s="1557"/>
      <c r="AC15" s="1557"/>
      <c r="AD15" s="1557"/>
      <c r="AE15" s="1557"/>
      <c r="AF15" s="1557"/>
      <c r="AG15" s="1557"/>
      <c r="AH15" s="1557"/>
      <c r="AI15" s="1557"/>
      <c r="AJ15" s="1557"/>
      <c r="AK15" s="1557"/>
      <c r="AL15" s="1557"/>
      <c r="AM15" s="1568"/>
      <c r="AN15" s="1569"/>
      <c r="AO15" s="1569"/>
      <c r="AP15" s="1569"/>
      <c r="AQ15" s="1569"/>
      <c r="AR15" s="1569"/>
      <c r="AS15" s="1569"/>
      <c r="AT15" s="1569"/>
      <c r="AU15" s="1569"/>
      <c r="AV15" s="1569"/>
      <c r="AW15" s="1569"/>
      <c r="AX15" s="1569"/>
      <c r="AY15" s="1569"/>
      <c r="AZ15" s="1570" t="s">
        <v>104</v>
      </c>
      <c r="BA15" s="1571"/>
      <c r="BB15" s="1571"/>
      <c r="BC15" s="1571"/>
      <c r="BD15" s="1571"/>
      <c r="BE15" s="1571"/>
      <c r="BF15" s="1571"/>
      <c r="BG15" s="1571"/>
      <c r="BH15" s="1572"/>
      <c r="BI15" s="1569"/>
      <c r="BJ15" s="1569"/>
      <c r="BK15" s="1569"/>
      <c r="BL15" s="1569"/>
      <c r="BM15" s="1569"/>
      <c r="BN15" s="1569"/>
      <c r="BO15" s="1569"/>
      <c r="BP15" s="1569"/>
      <c r="BQ15" s="1569"/>
      <c r="BR15" s="1569"/>
      <c r="BS15" s="1569"/>
      <c r="BT15" s="1573"/>
    </row>
    <row r="16" spans="11:161" ht="24" customHeight="1">
      <c r="Y16" s="882"/>
      <c r="Z16" s="882"/>
      <c r="AA16" s="1557" t="s">
        <v>329</v>
      </c>
      <c r="AB16" s="1557"/>
      <c r="AC16" s="1557"/>
      <c r="AD16" s="1557"/>
      <c r="AE16" s="1557"/>
      <c r="AF16" s="1557"/>
      <c r="AG16" s="1557"/>
      <c r="AH16" s="1557"/>
      <c r="AI16" s="1557"/>
      <c r="AJ16" s="1557"/>
      <c r="AK16" s="1557"/>
      <c r="AL16" s="1557"/>
      <c r="AM16" s="1579"/>
      <c r="AN16" s="1579"/>
      <c r="AO16" s="1579"/>
      <c r="AP16" s="1579"/>
      <c r="AQ16" s="1579"/>
      <c r="AR16" s="1579"/>
      <c r="AS16" s="1579"/>
      <c r="AT16" s="1579"/>
      <c r="AU16" s="1579"/>
      <c r="AV16" s="1579"/>
      <c r="AW16" s="1579"/>
      <c r="AX16" s="1579"/>
      <c r="AY16" s="1582"/>
      <c r="AZ16" s="1583" t="s">
        <v>1542</v>
      </c>
      <c r="BA16" s="1584"/>
      <c r="BB16" s="1584"/>
      <c r="BC16" s="1584"/>
      <c r="BD16" s="1584"/>
      <c r="BE16" s="1584"/>
      <c r="BF16" s="1584"/>
      <c r="BG16" s="1584"/>
      <c r="BH16" s="1585"/>
      <c r="BI16" s="1578"/>
      <c r="BJ16" s="1579"/>
      <c r="BK16" s="1579"/>
      <c r="BL16" s="1579"/>
      <c r="BM16" s="1579"/>
      <c r="BN16" s="1579"/>
      <c r="BO16" s="1579"/>
      <c r="BP16" s="1579"/>
      <c r="BQ16" s="1579"/>
      <c r="BR16" s="1579"/>
      <c r="BS16" s="1579"/>
      <c r="BT16" s="1579"/>
    </row>
    <row r="18" spans="25:105" ht="23.35">
      <c r="Y18" s="1587" t="s">
        <v>339</v>
      </c>
      <c r="Z18" s="1587"/>
      <c r="AA18" s="1587"/>
      <c r="AB18" s="1587"/>
      <c r="AC18" s="1587"/>
      <c r="AD18" s="1587"/>
      <c r="AE18" s="1587"/>
      <c r="AF18" s="1587"/>
      <c r="AG18" s="1587"/>
      <c r="AH18" s="1587"/>
      <c r="AI18" s="1587"/>
      <c r="AJ18" s="1587"/>
      <c r="AK18" s="1587"/>
      <c r="AL18" s="1587"/>
      <c r="AM18" s="1563"/>
      <c r="AN18" s="1563"/>
      <c r="AO18" s="1563"/>
      <c r="AP18" s="1563"/>
      <c r="AQ18" s="1563"/>
      <c r="AR18" s="1563"/>
      <c r="AS18" s="1563"/>
      <c r="AT18" s="1563"/>
      <c r="AU18" s="1563"/>
      <c r="AV18" s="1563"/>
      <c r="AW18" s="1563"/>
      <c r="AX18" s="1563"/>
      <c r="AY18" s="1563"/>
      <c r="AZ18" s="1563"/>
      <c r="BA18" s="1563"/>
      <c r="BB18" s="1563"/>
      <c r="BC18" s="1563"/>
      <c r="BD18" s="1563"/>
      <c r="BE18" s="1563"/>
      <c r="BF18" s="1563"/>
      <c r="BG18" s="1563"/>
      <c r="BH18" s="1563"/>
      <c r="BI18" s="1563"/>
      <c r="BJ18" s="1563"/>
      <c r="BK18" s="1563"/>
      <c r="BL18" s="1563"/>
      <c r="BM18" s="1563"/>
      <c r="BN18" s="1563"/>
      <c r="BO18" s="1563"/>
      <c r="BP18" s="1563"/>
      <c r="BQ18" s="1563"/>
      <c r="BR18" s="1563"/>
      <c r="BS18" s="1563"/>
      <c r="BT18" s="1563"/>
    </row>
    <row r="19" spans="25:105" ht="24" customHeight="1">
      <c r="Y19" s="1588">
        <f t="shared" ref="Y19:Y26" si="1">IF(AM19&gt;0,1,0)</f>
        <v>0</v>
      </c>
      <c r="Z19" s="1588"/>
      <c r="AA19" s="1566" t="s">
        <v>1181</v>
      </c>
      <c r="AB19" s="1566"/>
      <c r="AC19" s="1566"/>
      <c r="AD19" s="1566"/>
      <c r="AE19" s="1566"/>
      <c r="AF19" s="1566"/>
      <c r="AG19" s="1566"/>
      <c r="AH19" s="1566"/>
      <c r="AI19" s="1566"/>
      <c r="AJ19" s="1566"/>
      <c r="AK19" s="1566"/>
      <c r="AL19" s="1566"/>
      <c r="AM19" s="1564"/>
      <c r="AN19" s="1564"/>
      <c r="AO19" s="1564"/>
      <c r="AP19" s="1564"/>
      <c r="AQ19" s="1564"/>
      <c r="AR19" s="1564"/>
      <c r="AS19" s="1564"/>
      <c r="AT19" s="1564"/>
      <c r="AU19" s="1564"/>
      <c r="AV19" s="1564"/>
      <c r="AW19" s="1564"/>
      <c r="AX19" s="1564"/>
      <c r="AY19" s="1564"/>
      <c r="AZ19" s="1564"/>
      <c r="BA19" s="1564"/>
      <c r="BB19" s="1564"/>
      <c r="BC19" s="1564"/>
      <c r="BD19" s="1564"/>
      <c r="BE19" s="1564"/>
      <c r="BF19" s="1564"/>
      <c r="BG19" s="1564"/>
      <c r="BH19" s="1564"/>
      <c r="BI19" s="1564"/>
      <c r="BJ19" s="1564"/>
      <c r="BK19" s="1564"/>
      <c r="BL19" s="1564"/>
      <c r="BM19" s="1564"/>
      <c r="BN19" s="1564"/>
      <c r="BO19" s="1564"/>
      <c r="BP19" s="1564"/>
      <c r="BQ19" s="1564"/>
      <c r="BR19" s="1564"/>
      <c r="BS19" s="1564"/>
      <c r="BT19" s="1564"/>
      <c r="CP19" s="949"/>
    </row>
    <row r="20" spans="25:105" ht="24" customHeight="1">
      <c r="Y20" s="1561">
        <f t="shared" si="1"/>
        <v>0</v>
      </c>
      <c r="Z20" s="1561"/>
      <c r="AA20" s="1557" t="s">
        <v>340</v>
      </c>
      <c r="AB20" s="1557"/>
      <c r="AC20" s="1557"/>
      <c r="AD20" s="1557"/>
      <c r="AE20" s="1557"/>
      <c r="AF20" s="1557"/>
      <c r="AG20" s="1557"/>
      <c r="AH20" s="1557"/>
      <c r="AI20" s="1557"/>
      <c r="AJ20" s="1557"/>
      <c r="AK20" s="1557"/>
      <c r="AL20" s="1557"/>
      <c r="AM20" s="1558"/>
      <c r="AN20" s="1559"/>
      <c r="AO20" s="1559"/>
      <c r="AP20" s="1559"/>
      <c r="AQ20" s="1559"/>
      <c r="AR20" s="1559"/>
      <c r="AS20" s="1559"/>
      <c r="AT20" s="1559"/>
      <c r="AU20" s="1559"/>
      <c r="AV20" s="1559"/>
      <c r="AW20" s="1559"/>
      <c r="AX20" s="1559"/>
      <c r="AY20" s="1559"/>
      <c r="AZ20" s="1559"/>
      <c r="BA20" s="1559"/>
      <c r="BB20" s="1559"/>
      <c r="BC20" s="1559"/>
      <c r="BD20" s="1559"/>
      <c r="BE20" s="1559"/>
      <c r="BF20" s="1559"/>
      <c r="BG20" s="1559"/>
      <c r="BH20" s="1559"/>
      <c r="BI20" s="1559"/>
      <c r="BJ20" s="1559"/>
      <c r="BK20" s="1559"/>
      <c r="BL20" s="1559"/>
      <c r="BM20" s="1559"/>
      <c r="BN20" s="1559"/>
      <c r="BO20" s="1559"/>
      <c r="BP20" s="1559"/>
      <c r="BQ20" s="1559"/>
      <c r="BR20" s="1559"/>
      <c r="BS20" s="1559"/>
      <c r="BT20" s="1560"/>
    </row>
    <row r="21" spans="25:105" ht="24" customHeight="1">
      <c r="Y21" s="1561">
        <f t="shared" si="1"/>
        <v>0</v>
      </c>
      <c r="Z21" s="1561"/>
      <c r="AA21" s="1557" t="s">
        <v>102</v>
      </c>
      <c r="AB21" s="1557"/>
      <c r="AC21" s="1557"/>
      <c r="AD21" s="1557"/>
      <c r="AE21" s="1557"/>
      <c r="AF21" s="1557"/>
      <c r="AG21" s="1557"/>
      <c r="AH21" s="1557"/>
      <c r="AI21" s="1557"/>
      <c r="AJ21" s="1557"/>
      <c r="AK21" s="1557"/>
      <c r="AL21" s="1557"/>
      <c r="AM21" s="1558"/>
      <c r="AN21" s="1559"/>
      <c r="AO21" s="1559"/>
      <c r="AP21" s="1559"/>
      <c r="AQ21" s="1559"/>
      <c r="AR21" s="1559"/>
      <c r="AS21" s="1559"/>
      <c r="AT21" s="1559"/>
      <c r="AU21" s="1559"/>
      <c r="AV21" s="1559"/>
      <c r="AW21" s="1559"/>
      <c r="AX21" s="1559"/>
      <c r="AY21" s="1559"/>
      <c r="AZ21" s="1559"/>
      <c r="BA21" s="1559"/>
      <c r="BB21" s="1559"/>
      <c r="BC21" s="1559"/>
      <c r="BD21" s="1559"/>
      <c r="BE21" s="1559"/>
      <c r="BF21" s="1559"/>
      <c r="BG21" s="1559"/>
      <c r="BH21" s="1559"/>
      <c r="BI21" s="1559"/>
      <c r="BJ21" s="1559"/>
      <c r="BK21" s="1559"/>
      <c r="BL21" s="1559"/>
      <c r="BM21" s="1559"/>
      <c r="BN21" s="1559"/>
      <c r="BO21" s="1559"/>
      <c r="BP21" s="1559"/>
      <c r="BQ21" s="1559"/>
      <c r="BR21" s="1559"/>
      <c r="BS21" s="1559"/>
      <c r="BT21" s="1560"/>
    </row>
    <row r="22" spans="25:105" ht="24" customHeight="1">
      <c r="Y22" s="1561">
        <f t="shared" si="1"/>
        <v>0</v>
      </c>
      <c r="Z22" s="1561"/>
      <c r="AA22" s="1557" t="s">
        <v>328</v>
      </c>
      <c r="AB22" s="1557"/>
      <c r="AC22" s="1557"/>
      <c r="AD22" s="1557"/>
      <c r="AE22" s="1557"/>
      <c r="AF22" s="1557"/>
      <c r="AG22" s="1557"/>
      <c r="AH22" s="1557"/>
      <c r="AI22" s="1557"/>
      <c r="AJ22" s="1557"/>
      <c r="AK22" s="1557"/>
      <c r="AL22" s="1557"/>
      <c r="AM22" s="1558"/>
      <c r="AN22" s="1559"/>
      <c r="AO22" s="1559"/>
      <c r="AP22" s="1559"/>
      <c r="AQ22" s="1559"/>
      <c r="AR22" s="1559"/>
      <c r="AS22" s="1559"/>
      <c r="AT22" s="1559"/>
      <c r="AU22" s="1559"/>
      <c r="AV22" s="1559"/>
      <c r="AW22" s="1559"/>
      <c r="AX22" s="1559"/>
      <c r="AY22" s="1559"/>
      <c r="AZ22" s="1559"/>
      <c r="BA22" s="1559"/>
      <c r="BB22" s="1559"/>
      <c r="BC22" s="1559"/>
      <c r="BD22" s="1559"/>
      <c r="BE22" s="1559"/>
      <c r="BF22" s="1559"/>
      <c r="BG22" s="1559"/>
      <c r="BH22" s="1559"/>
      <c r="BI22" s="1559"/>
      <c r="BJ22" s="1559"/>
      <c r="BK22" s="1559"/>
      <c r="BL22" s="1559"/>
      <c r="BM22" s="1559"/>
      <c r="BN22" s="1559"/>
      <c r="BO22" s="1559"/>
      <c r="BP22" s="1559"/>
      <c r="BQ22" s="1559"/>
      <c r="BR22" s="1559"/>
      <c r="BS22" s="1559"/>
      <c r="BT22" s="1560"/>
      <c r="CP22" s="949"/>
    </row>
    <row r="23" spans="25:105" ht="24" customHeight="1">
      <c r="Y23" s="1561">
        <f t="shared" si="1"/>
        <v>0</v>
      </c>
      <c r="Z23" s="1561"/>
      <c r="AA23" s="1557" t="s">
        <v>356</v>
      </c>
      <c r="AB23" s="1557"/>
      <c r="AC23" s="1557"/>
      <c r="AD23" s="1557"/>
      <c r="AE23" s="1557"/>
      <c r="AF23" s="1557"/>
      <c r="AG23" s="1557"/>
      <c r="AH23" s="1557"/>
      <c r="AI23" s="1557"/>
      <c r="AJ23" s="1557"/>
      <c r="AK23" s="1557"/>
      <c r="AL23" s="1557"/>
      <c r="AM23" s="1586"/>
      <c r="AN23" s="1559"/>
      <c r="AO23" s="1559"/>
      <c r="AP23" s="1559"/>
      <c r="AQ23" s="1559"/>
      <c r="AR23" s="1559"/>
      <c r="AS23" s="1559"/>
      <c r="AT23" s="1559"/>
      <c r="AU23" s="1559"/>
      <c r="AV23" s="1559"/>
      <c r="AW23" s="1559"/>
      <c r="AX23" s="1559"/>
      <c r="AY23" s="1559"/>
      <c r="AZ23" s="1559"/>
      <c r="BA23" s="1559"/>
      <c r="BB23" s="1559"/>
      <c r="BC23" s="1559"/>
      <c r="BD23" s="1559"/>
      <c r="BE23" s="1559"/>
      <c r="BF23" s="1559"/>
      <c r="BG23" s="1559"/>
      <c r="BH23" s="1559"/>
      <c r="BI23" s="1559"/>
      <c r="BJ23" s="1559"/>
      <c r="BK23" s="1559"/>
      <c r="BL23" s="1559"/>
      <c r="BM23" s="1559"/>
      <c r="BN23" s="1559"/>
      <c r="BO23" s="1559"/>
      <c r="BP23" s="1559"/>
      <c r="BQ23" s="1559"/>
      <c r="BR23" s="1559"/>
      <c r="BS23" s="1559"/>
      <c r="BT23" s="1560"/>
    </row>
    <row r="24" spans="25:105" ht="24" customHeight="1">
      <c r="Y24" s="1561">
        <f t="shared" si="1"/>
        <v>0</v>
      </c>
      <c r="Z24" s="1561"/>
      <c r="AA24" s="1557" t="s">
        <v>341</v>
      </c>
      <c r="AB24" s="1557"/>
      <c r="AC24" s="1557"/>
      <c r="AD24" s="1557"/>
      <c r="AE24" s="1557"/>
      <c r="AF24" s="1557"/>
      <c r="AG24" s="1557"/>
      <c r="AH24" s="1557"/>
      <c r="AI24" s="1557"/>
      <c r="AJ24" s="1557"/>
      <c r="AK24" s="1557"/>
      <c r="AL24" s="1557"/>
      <c r="AM24" s="1580"/>
      <c r="AN24" s="1580"/>
      <c r="AO24" s="1580"/>
      <c r="AP24" s="1580"/>
      <c r="AQ24" s="1580"/>
      <c r="AR24" s="1580"/>
      <c r="AS24" s="1580"/>
      <c r="AT24" s="1580"/>
      <c r="AU24" s="1580"/>
      <c r="AV24" s="1580"/>
      <c r="AW24" s="1580"/>
      <c r="AX24" s="1580"/>
      <c r="AY24" s="1580"/>
      <c r="AZ24" s="1580"/>
      <c r="BA24" s="1580"/>
      <c r="BB24" s="1580"/>
      <c r="BC24" s="1580"/>
      <c r="BD24" s="1580"/>
      <c r="BE24" s="1580"/>
      <c r="BF24" s="1580"/>
      <c r="BG24" s="1580"/>
      <c r="BH24" s="1580"/>
      <c r="BI24" s="1580"/>
      <c r="BJ24" s="1580"/>
      <c r="BK24" s="1580"/>
      <c r="BL24" s="1580"/>
      <c r="BM24" s="1580"/>
      <c r="BN24" s="1580"/>
      <c r="BO24" s="1580"/>
      <c r="BP24" s="1580"/>
      <c r="BQ24" s="1580"/>
      <c r="BR24" s="1580"/>
      <c r="BS24" s="1580"/>
      <c r="BT24" s="1580"/>
      <c r="CP24" s="949"/>
    </row>
    <row r="25" spans="25:105" ht="24" customHeight="1">
      <c r="Y25" s="1561">
        <f t="shared" si="1"/>
        <v>0</v>
      </c>
      <c r="Z25" s="1561"/>
      <c r="AA25" s="1557" t="s">
        <v>342</v>
      </c>
      <c r="AB25" s="1557"/>
      <c r="AC25" s="1557"/>
      <c r="AD25" s="1557"/>
      <c r="AE25" s="1557"/>
      <c r="AF25" s="1557"/>
      <c r="AG25" s="1557"/>
      <c r="AH25" s="1557"/>
      <c r="AI25" s="1557"/>
      <c r="AJ25" s="1557"/>
      <c r="AK25" s="1557"/>
      <c r="AL25" s="1557"/>
      <c r="AM25" s="1575"/>
      <c r="AN25" s="1576"/>
      <c r="AO25" s="1576"/>
      <c r="AP25" s="1576"/>
      <c r="AQ25" s="1576"/>
      <c r="AR25" s="1576"/>
      <c r="AS25" s="1576"/>
      <c r="AT25" s="1576"/>
      <c r="AU25" s="1576"/>
      <c r="AV25" s="1576"/>
      <c r="AW25" s="1576"/>
      <c r="AX25" s="1576"/>
      <c r="AY25" s="1576"/>
      <c r="AZ25" s="1576"/>
      <c r="BA25" s="1576"/>
      <c r="BB25" s="1576"/>
      <c r="BC25" s="1576"/>
      <c r="BD25" s="1576"/>
      <c r="BE25" s="1576"/>
      <c r="BF25" s="1576"/>
      <c r="BG25" s="1576"/>
      <c r="BH25" s="1576"/>
      <c r="BI25" s="1576"/>
      <c r="BJ25" s="1576"/>
      <c r="BK25" s="1576"/>
      <c r="BL25" s="1576"/>
      <c r="BM25" s="1576"/>
      <c r="BN25" s="1576"/>
      <c r="BO25" s="1576"/>
      <c r="BP25" s="1576"/>
      <c r="BQ25" s="1576"/>
      <c r="BR25" s="1576"/>
      <c r="BS25" s="1576"/>
      <c r="BT25" s="1577"/>
    </row>
    <row r="26" spans="25:105" ht="24" customHeight="1">
      <c r="Y26" s="1561">
        <f t="shared" si="1"/>
        <v>0</v>
      </c>
      <c r="Z26" s="1561"/>
      <c r="AA26" s="1557" t="s">
        <v>1199</v>
      </c>
      <c r="AB26" s="1557"/>
      <c r="AC26" s="1557"/>
      <c r="AD26" s="1557"/>
      <c r="AE26" s="1557"/>
      <c r="AF26" s="1557"/>
      <c r="AG26" s="1557"/>
      <c r="AH26" s="1557"/>
      <c r="AI26" s="1557"/>
      <c r="AJ26" s="1557"/>
      <c r="AK26" s="1557"/>
      <c r="AL26" s="1557"/>
      <c r="AM26" s="1581"/>
      <c r="AN26" s="1581"/>
      <c r="AO26" s="1581"/>
      <c r="AP26" s="1581"/>
      <c r="AQ26" s="1581"/>
      <c r="AR26" s="1581"/>
      <c r="AS26" s="1581"/>
      <c r="AT26" s="1581"/>
      <c r="AU26" s="1581"/>
      <c r="AV26" s="1581"/>
      <c r="AW26" s="1581"/>
      <c r="AX26" s="1581"/>
      <c r="AY26" s="1581"/>
      <c r="AZ26" s="1581"/>
      <c r="BA26" s="1581"/>
      <c r="BB26" s="1581"/>
      <c r="BC26" s="1581"/>
      <c r="BD26" s="1581"/>
      <c r="BE26" s="1581"/>
      <c r="BF26" s="1581"/>
      <c r="BG26" s="1581"/>
      <c r="BH26" s="1581"/>
      <c r="BI26" s="1581"/>
      <c r="BJ26" s="1581"/>
      <c r="BK26" s="1581"/>
      <c r="BL26" s="1581"/>
      <c r="BM26" s="1581"/>
      <c r="BN26" s="1581"/>
      <c r="BO26" s="1581"/>
      <c r="BP26" s="1581"/>
      <c r="BQ26" s="1581"/>
      <c r="BR26" s="1581"/>
      <c r="BS26" s="1581"/>
      <c r="BT26" s="1581"/>
      <c r="BX26" s="1574" t="s">
        <v>1864</v>
      </c>
      <c r="BY26" s="1574"/>
      <c r="BZ26" s="1574"/>
      <c r="CA26" s="1574"/>
      <c r="CB26" s="1574"/>
      <c r="CC26" s="1574"/>
      <c r="CD26" s="1574"/>
      <c r="CE26" s="1574"/>
      <c r="CF26" s="1574"/>
      <c r="CG26" s="1574"/>
      <c r="CH26" s="1574"/>
      <c r="CI26" s="1574"/>
      <c r="CJ26" s="1574"/>
    </row>
    <row r="27" spans="25:105">
      <c r="CY27" s="9"/>
      <c r="CZ27" s="9"/>
      <c r="DA27" s="9"/>
    </row>
    <row r="28" spans="25:105">
      <c r="CY28" s="9"/>
      <c r="CZ28" s="9"/>
      <c r="DA28" s="9"/>
    </row>
    <row r="29" spans="25:105">
      <c r="BI29" s="950"/>
      <c r="BJ29" s="950"/>
      <c r="BK29" s="950"/>
      <c r="BL29" s="950"/>
      <c r="BM29" s="950"/>
      <c r="BN29" s="950"/>
      <c r="BO29" s="950"/>
      <c r="BP29" s="950"/>
      <c r="BQ29" s="950"/>
      <c r="BR29" s="950"/>
      <c r="BS29" s="950"/>
      <c r="BT29" s="950"/>
      <c r="CY29" s="9"/>
      <c r="CZ29" s="9"/>
      <c r="DA29" s="9"/>
    </row>
    <row r="30" spans="25:105">
      <c r="BI30" s="950"/>
      <c r="BJ30" s="950"/>
      <c r="BK30" s="950"/>
      <c r="BL30" s="950"/>
      <c r="BM30" s="950"/>
      <c r="BN30" s="950"/>
      <c r="BO30" s="950"/>
      <c r="BP30" s="950"/>
      <c r="BQ30" s="950"/>
      <c r="BR30" s="950"/>
      <c r="BS30" s="950"/>
      <c r="BT30" s="950"/>
      <c r="CY30" s="9"/>
      <c r="CZ30" s="9"/>
      <c r="DA30" s="9"/>
    </row>
    <row r="31" spans="25:105">
      <c r="BI31" s="950"/>
      <c r="BJ31" s="950"/>
      <c r="BK31" s="950"/>
      <c r="BL31" s="950"/>
      <c r="BM31" s="950"/>
      <c r="BN31" s="950"/>
      <c r="BO31" s="950"/>
      <c r="BP31" s="950"/>
      <c r="BQ31" s="950"/>
      <c r="BR31" s="950"/>
      <c r="BS31" s="950"/>
      <c r="BT31" s="950"/>
      <c r="CY31" s="9"/>
      <c r="CZ31" s="9"/>
      <c r="DA31" s="9"/>
    </row>
    <row r="32" spans="25:105">
      <c r="CZ32" s="5"/>
      <c r="DA32" s="5"/>
    </row>
    <row r="33" spans="99:160">
      <c r="CU33" s="4"/>
      <c r="CV33" s="4"/>
      <c r="CY33" s="4"/>
      <c r="CZ33" s="5"/>
      <c r="DA33" s="5"/>
    </row>
    <row r="34" spans="99:160">
      <c r="CU34" s="4"/>
      <c r="CV34" s="4"/>
      <c r="CY34" s="4"/>
      <c r="CZ34" s="5"/>
      <c r="DA34" s="5"/>
    </row>
    <row r="35" spans="99:160">
      <c r="CU35" s="4"/>
      <c r="CV35" s="4"/>
      <c r="CY35" s="4"/>
      <c r="CZ35" s="5"/>
      <c r="DA35" s="5"/>
    </row>
    <row r="36" spans="99:160">
      <c r="CU36" s="4"/>
      <c r="CV36" s="4"/>
      <c r="CY36" s="4"/>
      <c r="CZ36" s="5"/>
      <c r="DA36" s="5"/>
    </row>
    <row r="37" spans="99:160">
      <c r="CU37" s="4"/>
      <c r="CV37" s="4"/>
      <c r="CY37" s="4"/>
      <c r="CZ37" s="5"/>
      <c r="DA37" s="5"/>
    </row>
    <row r="38" spans="99:160">
      <c r="CU38" s="4"/>
      <c r="CV38" s="4"/>
      <c r="CY38" s="4"/>
      <c r="CZ38" s="5"/>
      <c r="DA38" s="4"/>
      <c r="EW38" s="4"/>
      <c r="EX38" s="4"/>
      <c r="EY38" s="4"/>
      <c r="EZ38" s="4"/>
      <c r="FA38" s="4"/>
      <c r="FB38" s="4"/>
      <c r="FC38" s="4"/>
      <c r="FD38" s="4"/>
    </row>
    <row r="39" spans="99:160">
      <c r="CU39" s="4"/>
      <c r="CV39" s="4"/>
      <c r="CY39" s="4"/>
      <c r="CZ39" s="5"/>
      <c r="DA39" s="4"/>
      <c r="DB39" s="4"/>
      <c r="DC39" s="4"/>
      <c r="DD39" s="4"/>
      <c r="DE39" s="4"/>
      <c r="DF39" s="4"/>
      <c r="DG39" s="4"/>
      <c r="DH39" s="4"/>
      <c r="DI39" s="4"/>
      <c r="DJ39" s="4"/>
      <c r="DK39" s="4"/>
      <c r="DL39" s="4"/>
      <c r="DM39" s="4"/>
      <c r="DN39" s="4"/>
      <c r="DO39" s="4"/>
      <c r="DY39" s="4"/>
      <c r="DZ39" s="4"/>
      <c r="EA39" s="4"/>
      <c r="EB39" s="4"/>
      <c r="EC39" s="4"/>
      <c r="ED39" s="4"/>
      <c r="EE39" s="4"/>
      <c r="EF39" s="4"/>
      <c r="EG39" s="4"/>
      <c r="EH39" s="4"/>
      <c r="EI39" s="4"/>
      <c r="EJ39" s="4"/>
      <c r="EK39" s="4"/>
      <c r="EL39" s="4"/>
      <c r="EM39" s="4"/>
      <c r="EN39" s="4"/>
      <c r="EO39" s="4"/>
      <c r="EP39" s="4"/>
      <c r="EQ39" s="4"/>
      <c r="ER39" s="4"/>
      <c r="ES39" s="4"/>
      <c r="EW39" s="4"/>
      <c r="EX39" s="4"/>
      <c r="EY39" s="4"/>
      <c r="EZ39" s="4"/>
      <c r="FA39" s="4"/>
      <c r="FB39" s="4"/>
      <c r="FC39" s="4"/>
      <c r="FD39" s="4"/>
    </row>
    <row r="40" spans="99:160">
      <c r="CU40" s="4"/>
      <c r="CV40" s="4"/>
      <c r="CY40" s="4"/>
      <c r="CZ40" s="5"/>
      <c r="DA40" s="4"/>
      <c r="DB40" s="4"/>
      <c r="DC40" s="4"/>
      <c r="DD40" s="4"/>
      <c r="DE40" s="4"/>
      <c r="DF40" s="4"/>
      <c r="DG40" s="4"/>
      <c r="DH40" s="4"/>
      <c r="DI40" s="4"/>
      <c r="DJ40" s="4"/>
      <c r="DK40" s="4"/>
      <c r="DL40" s="4"/>
      <c r="DM40" s="4"/>
      <c r="DN40" s="4"/>
      <c r="DO40" s="4"/>
      <c r="DY40" s="4"/>
      <c r="DZ40" s="4"/>
      <c r="EA40" s="4"/>
      <c r="EB40" s="4"/>
      <c r="EC40" s="4"/>
      <c r="ED40" s="4"/>
      <c r="EE40" s="4"/>
      <c r="EF40" s="4"/>
      <c r="EG40" s="4"/>
      <c r="EH40" s="4"/>
      <c r="EI40" s="4"/>
      <c r="EJ40" s="4"/>
      <c r="EK40" s="4"/>
      <c r="EL40" s="4"/>
      <c r="EM40" s="4"/>
      <c r="EN40" s="4"/>
      <c r="EO40" s="4"/>
      <c r="EP40" s="4"/>
      <c r="EQ40" s="4"/>
      <c r="ER40" s="4"/>
      <c r="ES40" s="4"/>
      <c r="EW40" s="4"/>
      <c r="EX40" s="4"/>
      <c r="EY40" s="4"/>
      <c r="EZ40" s="4"/>
      <c r="FA40" s="4"/>
      <c r="FB40" s="4"/>
      <c r="FC40" s="4"/>
      <c r="FD40" s="4"/>
    </row>
    <row r="41" spans="99:160">
      <c r="CU41" s="4"/>
      <c r="CV41" s="4"/>
      <c r="CY41" s="4"/>
      <c r="CZ41" s="4"/>
      <c r="DA41" s="4"/>
      <c r="DB41" s="4"/>
      <c r="DC41" s="4"/>
      <c r="DD41" s="4"/>
      <c r="DE41" s="4"/>
      <c r="DF41" s="4"/>
      <c r="DG41" s="4"/>
      <c r="DH41" s="4"/>
      <c r="DI41" s="4"/>
      <c r="DJ41" s="4"/>
      <c r="DK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W41" s="4"/>
      <c r="EX41" s="4"/>
      <c r="EY41" s="4"/>
      <c r="EZ41" s="4"/>
      <c r="FA41" s="4"/>
      <c r="FB41" s="4"/>
      <c r="FC41" s="4"/>
      <c r="FD41" s="4"/>
    </row>
    <row r="42" spans="99:160">
      <c r="CU42" s="4"/>
      <c r="CV42" s="4"/>
      <c r="CY42" s="4"/>
      <c r="CZ42" s="4"/>
      <c r="DA42" s="4"/>
      <c r="DB42" s="4"/>
      <c r="DC42" s="4"/>
      <c r="DD42" s="4"/>
      <c r="DE42" s="4"/>
      <c r="DF42" s="4"/>
      <c r="DG42" s="4"/>
      <c r="DH42" s="4"/>
      <c r="DI42" s="4"/>
      <c r="DJ42" s="4"/>
      <c r="DK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row>
    <row r="43" spans="99:160">
      <c r="CU43" s="4"/>
      <c r="CV43" s="4"/>
      <c r="CY43" s="4"/>
      <c r="CZ43" s="5"/>
      <c r="DA43" s="4"/>
      <c r="DB43" s="4"/>
      <c r="DC43" s="4"/>
      <c r="DD43" s="4"/>
      <c r="DE43" s="4"/>
      <c r="DF43" s="4"/>
      <c r="DG43" s="4"/>
      <c r="DH43" s="4"/>
      <c r="DI43" s="4"/>
      <c r="DJ43" s="4"/>
      <c r="DK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row>
    <row r="44" spans="99:160">
      <c r="CU44" s="4"/>
      <c r="CV44" s="4"/>
      <c r="CY44" s="4"/>
      <c r="CZ44" s="4"/>
      <c r="DA44" s="4"/>
      <c r="DB44" s="4"/>
      <c r="DC44" s="4"/>
      <c r="DD44" s="4"/>
      <c r="DE44" s="4"/>
      <c r="DF44" s="4"/>
      <c r="DG44" s="4"/>
      <c r="DH44" s="4"/>
      <c r="DI44" s="4"/>
      <c r="DJ44" s="4"/>
      <c r="DK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row>
    <row r="45" spans="99:160">
      <c r="CU45" s="4"/>
      <c r="CV45" s="4"/>
      <c r="CY45" s="4"/>
      <c r="CZ45" s="5"/>
      <c r="DA45" s="4"/>
      <c r="DB45" s="4"/>
      <c r="DC45" s="4"/>
      <c r="DD45" s="4"/>
      <c r="DE45" s="4"/>
      <c r="DF45" s="4"/>
      <c r="DG45" s="4"/>
      <c r="DH45" s="4"/>
      <c r="DI45" s="4"/>
      <c r="DJ45" s="4"/>
      <c r="DK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row>
    <row r="46" spans="99:160">
      <c r="CU46" s="4"/>
      <c r="CV46" s="4"/>
      <c r="CY46" s="4"/>
      <c r="CZ46" s="5"/>
      <c r="DA46" s="229"/>
      <c r="EA46" s="4"/>
      <c r="EB46" s="4"/>
      <c r="EC46" s="4"/>
      <c r="ED46" s="4"/>
      <c r="EE46" s="4"/>
      <c r="EF46" s="4"/>
      <c r="EG46" s="4"/>
      <c r="EH46" s="4"/>
      <c r="EI46" s="4"/>
      <c r="EJ46" s="4"/>
      <c r="EK46" s="4"/>
      <c r="EL46" s="4"/>
      <c r="EM46" s="4"/>
      <c r="EN46" s="4"/>
      <c r="EO46" s="4"/>
      <c r="EP46" s="4"/>
      <c r="EQ46" s="4"/>
      <c r="ER46" s="4"/>
      <c r="ES46" s="4"/>
      <c r="ET46" s="4"/>
      <c r="FC46" s="4"/>
      <c r="FD46" s="4"/>
    </row>
    <row r="47" spans="99:160">
      <c r="CU47" s="4"/>
      <c r="CV47" s="4"/>
      <c r="CY47" s="4"/>
      <c r="CZ47" s="5"/>
      <c r="DA47" s="4"/>
      <c r="DB47" s="4"/>
      <c r="DC47" s="4"/>
      <c r="DD47" s="4"/>
      <c r="DE47" s="4"/>
      <c r="DF47" s="4"/>
      <c r="DG47" s="4"/>
      <c r="DH47" s="4"/>
      <c r="DI47" s="4"/>
      <c r="DJ47" s="4"/>
      <c r="DK47" s="4"/>
      <c r="DW47" s="4"/>
      <c r="DX47" s="4"/>
      <c r="DY47" s="4"/>
      <c r="DZ47" s="4"/>
      <c r="EA47" s="4"/>
      <c r="EB47" s="4"/>
      <c r="EC47" s="4"/>
      <c r="ED47" s="4"/>
      <c r="EE47" s="4"/>
      <c r="EF47" s="4"/>
      <c r="EG47" s="4"/>
      <c r="EH47" s="4"/>
      <c r="EI47" s="4"/>
      <c r="EJ47" s="4"/>
      <c r="EK47" s="4"/>
      <c r="EL47" s="4"/>
      <c r="EM47" s="4"/>
      <c r="EN47" s="4"/>
      <c r="EO47" s="4"/>
      <c r="EP47" s="4"/>
      <c r="EQ47" s="4"/>
      <c r="ER47" s="4"/>
      <c r="ES47" s="4"/>
      <c r="ET47" s="4"/>
      <c r="EV47" s="4"/>
      <c r="EW47" s="4"/>
      <c r="EX47" s="4"/>
      <c r="EY47" s="4"/>
      <c r="EZ47" s="4"/>
      <c r="FA47" s="4"/>
      <c r="FB47" s="4"/>
      <c r="FC47" s="4"/>
      <c r="FD47" s="4"/>
    </row>
    <row r="48" spans="99:160">
      <c r="CU48" s="4"/>
      <c r="CV48" s="4"/>
      <c r="CY48" s="4"/>
      <c r="CZ48" s="5"/>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row>
    <row r="49" spans="99:160">
      <c r="CU49" s="4"/>
      <c r="CV49" s="4"/>
      <c r="CW49" s="5"/>
      <c r="CX49" s="4"/>
      <c r="CY49" s="4"/>
      <c r="CZ49" s="5"/>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row>
    <row r="50" spans="99:160">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row>
    <row r="51" spans="99:160">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row>
    <row r="52" spans="99:160">
      <c r="CU52" s="4"/>
      <c r="CV52" s="4"/>
      <c r="CW52" s="4"/>
      <c r="CX52" s="4"/>
      <c r="CY52" s="4"/>
      <c r="CZ52" s="4"/>
      <c r="DB52" s="229"/>
      <c r="EB52" s="4"/>
      <c r="EC52" s="4"/>
      <c r="ED52" s="4"/>
      <c r="EE52" s="4"/>
      <c r="EF52" s="4"/>
      <c r="EG52" s="4"/>
      <c r="EH52" s="4"/>
      <c r="EI52" s="4"/>
      <c r="EJ52" s="4"/>
      <c r="EK52" s="4"/>
      <c r="EL52" s="4"/>
      <c r="EM52" s="4"/>
      <c r="EN52" s="4"/>
      <c r="EO52" s="4"/>
      <c r="EP52" s="4"/>
      <c r="EQ52" s="4"/>
      <c r="ER52" s="4"/>
      <c r="ES52" s="4"/>
      <c r="ET52" s="4"/>
      <c r="EU52" s="4"/>
    </row>
    <row r="53" spans="99:160">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row>
  </sheetData>
  <sheetProtection formatCells="0" formatColumns="0" formatRows="0" insertColumns="0" insertHyperlinks="0" deleteColumns="0" deleteRows="0" selectLockedCells="1" sort="0" autoFilter="0"/>
  <mergeCells count="56">
    <mergeCell ref="Y26:Z26"/>
    <mergeCell ref="AA26:AL26"/>
    <mergeCell ref="AM26:BT26"/>
    <mergeCell ref="AA16:AL16"/>
    <mergeCell ref="AM16:AY16"/>
    <mergeCell ref="AZ16:BH16"/>
    <mergeCell ref="AM20:BT20"/>
    <mergeCell ref="Y22:Z22"/>
    <mergeCell ref="AM23:BT23"/>
    <mergeCell ref="Y18:BT18"/>
    <mergeCell ref="Y19:Z19"/>
    <mergeCell ref="Y25:Z25"/>
    <mergeCell ref="Y24:Z24"/>
    <mergeCell ref="Y23:Z23"/>
    <mergeCell ref="AM15:AY15"/>
    <mergeCell ref="AZ15:BH15"/>
    <mergeCell ref="BI15:BT15"/>
    <mergeCell ref="BX26:CJ26"/>
    <mergeCell ref="AA25:AL25"/>
    <mergeCell ref="AM25:BT25"/>
    <mergeCell ref="BI16:BT16"/>
    <mergeCell ref="AA24:AL24"/>
    <mergeCell ref="AM24:BT24"/>
    <mergeCell ref="AA23:AL23"/>
    <mergeCell ref="AA9:AL9"/>
    <mergeCell ref="AM19:BT19"/>
    <mergeCell ref="Y10:Z10"/>
    <mergeCell ref="Y14:Z14"/>
    <mergeCell ref="AA10:AL10"/>
    <mergeCell ref="AM10:BT10"/>
    <mergeCell ref="AM14:BT14"/>
    <mergeCell ref="Y13:Z13"/>
    <mergeCell ref="AA13:AL13"/>
    <mergeCell ref="AA12:AL12"/>
    <mergeCell ref="AM13:BT13"/>
    <mergeCell ref="Y12:Z12"/>
    <mergeCell ref="AM12:BT12"/>
    <mergeCell ref="AA14:AL14"/>
    <mergeCell ref="Y15:Z15"/>
    <mergeCell ref="AA15:AL15"/>
    <mergeCell ref="M3:V3"/>
    <mergeCell ref="Y6:BT6"/>
    <mergeCell ref="AA22:AL22"/>
    <mergeCell ref="AM22:BT22"/>
    <mergeCell ref="Y11:Z11"/>
    <mergeCell ref="AA11:AL11"/>
    <mergeCell ref="AM11:BT11"/>
    <mergeCell ref="Y21:Z21"/>
    <mergeCell ref="AA21:AL21"/>
    <mergeCell ref="AM21:BT21"/>
    <mergeCell ref="Y20:Z20"/>
    <mergeCell ref="AA20:AL20"/>
    <mergeCell ref="Y8:BT8"/>
    <mergeCell ref="AM9:BT9"/>
    <mergeCell ref="Y9:Z9"/>
    <mergeCell ref="AA19:AL19"/>
  </mergeCells>
  <printOptions horizontalCentered="1"/>
  <pageMargins left="0.7" right="0.7" top="0.75" bottom="0.75" header="0.3" footer="0.3"/>
  <pageSetup scale="29"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5" id="{497CF9E3-0FC0-4F05-9CCB-F15ECF70FAFF}">
            <x14:iconSet showValue="0" custom="1">
              <x14:cfvo type="percent">
                <xm:f>0</xm:f>
              </x14:cfvo>
              <x14:cfvo type="num">
                <xm:f>0</xm:f>
              </x14:cfvo>
              <x14:cfvo type="num">
                <xm:f>1</xm:f>
              </x14:cfvo>
              <x14:cfIcon iconSet="NoIcons" iconId="0"/>
              <x14:cfIcon iconSet="3Symbols2" iconId="1"/>
              <x14:cfIcon iconSet="3Symbols2" iconId="2"/>
            </x14:iconSet>
          </x14:cfRule>
          <xm:sqref>Y14</xm:sqref>
        </x14:conditionalFormatting>
        <x14:conditionalFormatting xmlns:xm="http://schemas.microsoft.com/office/excel/2006/main">
          <x14:cfRule type="iconSet" priority="14" id="{06F1FB81-C35A-4D6E-9ADB-57A4648BE512}">
            <x14:iconSet showValue="0" custom="1">
              <x14:cfvo type="percent">
                <xm:f>0</xm:f>
              </x14:cfvo>
              <x14:cfvo type="num">
                <xm:f>0</xm:f>
              </x14:cfvo>
              <x14:cfvo type="num">
                <xm:f>1</xm:f>
              </x14:cfvo>
              <x14:cfIcon iconSet="NoIcons" iconId="0"/>
              <x14:cfIcon iconSet="3Symbols2" iconId="1"/>
              <x14:cfIcon iconSet="3Symbols2" iconId="2"/>
            </x14:iconSet>
          </x14:cfRule>
          <xm:sqref>Y13</xm:sqref>
        </x14:conditionalFormatting>
        <x14:conditionalFormatting xmlns:xm="http://schemas.microsoft.com/office/excel/2006/main">
          <x14:cfRule type="iconSet" priority="13" id="{12771C99-FDC2-4ED5-97E8-BFFFECCED9A1}">
            <x14:iconSet showValue="0" custom="1">
              <x14:cfvo type="percent">
                <xm:f>0</xm:f>
              </x14:cfvo>
              <x14:cfvo type="num">
                <xm:f>0</xm:f>
              </x14:cfvo>
              <x14:cfvo type="num">
                <xm:f>1</xm:f>
              </x14:cfvo>
              <x14:cfIcon iconSet="NoIcons" iconId="0"/>
              <x14:cfIcon iconSet="3Symbols2" iconId="1"/>
              <x14:cfIcon iconSet="3Symbols2" iconId="2"/>
            </x14:iconSet>
          </x14:cfRule>
          <xm:sqref>Y12</xm:sqref>
        </x14:conditionalFormatting>
        <x14:conditionalFormatting xmlns:xm="http://schemas.microsoft.com/office/excel/2006/main">
          <x14:cfRule type="iconSet" priority="12" id="{F04A008B-BB0D-44F5-A703-9EE6AF6A7F11}">
            <x14:iconSet showValue="0" custom="1">
              <x14:cfvo type="percent">
                <xm:f>0</xm:f>
              </x14:cfvo>
              <x14:cfvo type="num">
                <xm:f>0</xm:f>
              </x14:cfvo>
              <x14:cfvo type="num">
                <xm:f>1</xm:f>
              </x14:cfvo>
              <x14:cfIcon iconSet="NoIcons" iconId="0"/>
              <x14:cfIcon iconSet="3Symbols2" iconId="1"/>
              <x14:cfIcon iconSet="3Symbols2" iconId="2"/>
            </x14:iconSet>
          </x14:cfRule>
          <xm:sqref>Y11</xm:sqref>
        </x14:conditionalFormatting>
        <x14:conditionalFormatting xmlns:xm="http://schemas.microsoft.com/office/excel/2006/main">
          <x14:cfRule type="iconSet" priority="11" id="{D0D4FE06-4B41-4B26-A200-5FECC19BABEB}">
            <x14:iconSet showValue="0" custom="1">
              <x14:cfvo type="percent">
                <xm:f>0</xm:f>
              </x14:cfvo>
              <x14:cfvo type="num">
                <xm:f>0</xm:f>
              </x14:cfvo>
              <x14:cfvo type="num">
                <xm:f>1</xm:f>
              </x14:cfvo>
              <x14:cfIcon iconSet="NoIcons" iconId="0"/>
              <x14:cfIcon iconSet="3Symbols2" iconId="1"/>
              <x14:cfIcon iconSet="3Symbols2" iconId="2"/>
            </x14:iconSet>
          </x14:cfRule>
          <xm:sqref>Y10</xm:sqref>
        </x14:conditionalFormatting>
        <x14:conditionalFormatting xmlns:xm="http://schemas.microsoft.com/office/excel/2006/main">
          <x14:cfRule type="iconSet" priority="10" id="{076E5AC1-AC22-4CE8-B024-B03F056CD70A}">
            <x14:iconSet showValue="0" custom="1">
              <x14:cfvo type="percent">
                <xm:f>0</xm:f>
              </x14:cfvo>
              <x14:cfvo type="num">
                <xm:f>0</xm:f>
              </x14:cfvo>
              <x14:cfvo type="num">
                <xm:f>1</xm:f>
              </x14:cfvo>
              <x14:cfIcon iconSet="NoIcons" iconId="0"/>
              <x14:cfIcon iconSet="3Symbols2" iconId="1"/>
              <x14:cfIcon iconSet="3Symbols2" iconId="2"/>
            </x14:iconSet>
          </x14:cfRule>
          <xm:sqref>Y9</xm:sqref>
        </x14:conditionalFormatting>
        <x14:conditionalFormatting xmlns:xm="http://schemas.microsoft.com/office/excel/2006/main">
          <x14:cfRule type="iconSet" priority="9" id="{5DF6A707-AF83-43FC-A9E1-9593F2454FA7}">
            <x14:iconSet showValue="0" custom="1">
              <x14:cfvo type="percent">
                <xm:f>0</xm:f>
              </x14:cfvo>
              <x14:cfvo type="num">
                <xm:f>0</xm:f>
              </x14:cfvo>
              <x14:cfvo type="num">
                <xm:f>1</xm:f>
              </x14:cfvo>
              <x14:cfIcon iconSet="NoIcons" iconId="0"/>
              <x14:cfIcon iconSet="3Symbols2" iconId="1"/>
              <x14:cfIcon iconSet="3Symbols2" iconId="2"/>
            </x14:iconSet>
          </x14:cfRule>
          <xm:sqref>Y15:Y16</xm:sqref>
        </x14:conditionalFormatting>
        <x14:conditionalFormatting xmlns:xm="http://schemas.microsoft.com/office/excel/2006/main">
          <x14:cfRule type="iconSet" priority="8" id="{D9DBDC27-53EA-4664-9886-9E198447E73B}">
            <x14:iconSet showValue="0" custom="1">
              <x14:cfvo type="percent">
                <xm:f>0</xm:f>
              </x14:cfvo>
              <x14:cfvo type="num">
                <xm:f>0</xm:f>
              </x14:cfvo>
              <x14:cfvo type="num">
                <xm:f>1</xm:f>
              </x14:cfvo>
              <x14:cfIcon iconSet="NoIcons" iconId="0"/>
              <x14:cfIcon iconSet="3Symbols2" iconId="1"/>
              <x14:cfIcon iconSet="3Symbols2" iconId="2"/>
            </x14:iconSet>
          </x14:cfRule>
          <xm:sqref>Y20</xm:sqref>
        </x14:conditionalFormatting>
        <x14:conditionalFormatting xmlns:xm="http://schemas.microsoft.com/office/excel/2006/main">
          <x14:cfRule type="iconSet" priority="7" id="{D45A7EF8-E5D1-4D0B-AC31-431B03B156DC}">
            <x14:iconSet showValue="0" custom="1">
              <x14:cfvo type="percent">
                <xm:f>0</xm:f>
              </x14:cfvo>
              <x14:cfvo type="num">
                <xm:f>0</xm:f>
              </x14:cfvo>
              <x14:cfvo type="num">
                <xm:f>1</xm:f>
              </x14:cfvo>
              <x14:cfIcon iconSet="NoIcons" iconId="0"/>
              <x14:cfIcon iconSet="3Symbols2" iconId="1"/>
              <x14:cfIcon iconSet="3Symbols2" iconId="2"/>
            </x14:iconSet>
          </x14:cfRule>
          <xm:sqref>Y21</xm:sqref>
        </x14:conditionalFormatting>
        <x14:conditionalFormatting xmlns:xm="http://schemas.microsoft.com/office/excel/2006/main">
          <x14:cfRule type="iconSet" priority="6" id="{5EBFA56C-4B42-4C5A-9904-29AF6C453382}">
            <x14:iconSet showValue="0" custom="1">
              <x14:cfvo type="percent">
                <xm:f>0</xm:f>
              </x14:cfvo>
              <x14:cfvo type="num">
                <xm:f>0</xm:f>
              </x14:cfvo>
              <x14:cfvo type="num">
                <xm:f>1</xm:f>
              </x14:cfvo>
              <x14:cfIcon iconSet="NoIcons" iconId="0"/>
              <x14:cfIcon iconSet="3Symbols2" iconId="1"/>
              <x14:cfIcon iconSet="3Symbols2" iconId="2"/>
            </x14:iconSet>
          </x14:cfRule>
          <xm:sqref>Y22</xm:sqref>
        </x14:conditionalFormatting>
        <x14:conditionalFormatting xmlns:xm="http://schemas.microsoft.com/office/excel/2006/main">
          <x14:cfRule type="iconSet" priority="5" id="{7FA828D0-EBFD-4168-9C7E-A4A989DFD378}">
            <x14:iconSet showValue="0" custom="1">
              <x14:cfvo type="percent">
                <xm:f>0</xm:f>
              </x14:cfvo>
              <x14:cfvo type="num">
                <xm:f>0</xm:f>
              </x14:cfvo>
              <x14:cfvo type="num">
                <xm:f>1</xm:f>
              </x14:cfvo>
              <x14:cfIcon iconSet="NoIcons" iconId="0"/>
              <x14:cfIcon iconSet="3Symbols2" iconId="1"/>
              <x14:cfIcon iconSet="3Symbols2" iconId="2"/>
            </x14:iconSet>
          </x14:cfRule>
          <xm:sqref>Y23</xm:sqref>
        </x14:conditionalFormatting>
        <x14:conditionalFormatting xmlns:xm="http://schemas.microsoft.com/office/excel/2006/main">
          <x14:cfRule type="iconSet" priority="4" id="{AB61494A-E7B6-4017-8E29-45CCA93F8707}">
            <x14:iconSet showValue="0" custom="1">
              <x14:cfvo type="percent">
                <xm:f>0</xm:f>
              </x14:cfvo>
              <x14:cfvo type="num">
                <xm:f>0</xm:f>
              </x14:cfvo>
              <x14:cfvo type="num">
                <xm:f>1</xm:f>
              </x14:cfvo>
              <x14:cfIcon iconSet="NoIcons" iconId="0"/>
              <x14:cfIcon iconSet="3Symbols2" iconId="1"/>
              <x14:cfIcon iconSet="3Symbols2" iconId="2"/>
            </x14:iconSet>
          </x14:cfRule>
          <xm:sqref>Y24</xm:sqref>
        </x14:conditionalFormatting>
        <x14:conditionalFormatting xmlns:xm="http://schemas.microsoft.com/office/excel/2006/main">
          <x14:cfRule type="iconSet" priority="3" id="{13E77671-D4C7-4B20-A84C-A95F6FA5F383}">
            <x14:iconSet showValue="0" custom="1">
              <x14:cfvo type="percent">
                <xm:f>0</xm:f>
              </x14:cfvo>
              <x14:cfvo type="num">
                <xm:f>0</xm:f>
              </x14:cfvo>
              <x14:cfvo type="num">
                <xm:f>1</xm:f>
              </x14:cfvo>
              <x14:cfIcon iconSet="NoIcons" iconId="0"/>
              <x14:cfIcon iconSet="3Symbols2" iconId="1"/>
              <x14:cfIcon iconSet="3Symbols2" iconId="2"/>
            </x14:iconSet>
          </x14:cfRule>
          <xm:sqref>Y25</xm:sqref>
        </x14:conditionalFormatting>
        <x14:conditionalFormatting xmlns:xm="http://schemas.microsoft.com/office/excel/2006/main">
          <x14:cfRule type="iconSet" priority="2" id="{6C548CD3-C315-41CE-A08F-6D77B86F28D2}">
            <x14:iconSet showValue="0" custom="1">
              <x14:cfvo type="percent">
                <xm:f>0</xm:f>
              </x14:cfvo>
              <x14:cfvo type="num">
                <xm:f>0</xm:f>
              </x14:cfvo>
              <x14:cfvo type="num">
                <xm:f>1</xm:f>
              </x14:cfvo>
              <x14:cfIcon iconSet="NoIcons" iconId="0"/>
              <x14:cfIcon iconSet="3Symbols2" iconId="1"/>
              <x14:cfIcon iconSet="3Symbols2" iconId="2"/>
            </x14:iconSet>
          </x14:cfRule>
          <xm:sqref>Y19</xm:sqref>
        </x14:conditionalFormatting>
        <x14:conditionalFormatting xmlns:xm="http://schemas.microsoft.com/office/excel/2006/main">
          <x14:cfRule type="iconSet" priority="1" id="{F463928E-CEA8-47F5-86FC-BBBB6FD4742C}">
            <x14:iconSet showValue="0" custom="1">
              <x14:cfvo type="percent">
                <xm:f>0</xm:f>
              </x14:cfvo>
              <x14:cfvo type="num">
                <xm:f>0</xm:f>
              </x14:cfvo>
              <x14:cfvo type="num">
                <xm:f>1</xm:f>
              </x14:cfvo>
              <x14:cfIcon iconSet="NoIcons" iconId="0"/>
              <x14:cfIcon iconSet="3Symbols2" iconId="1"/>
              <x14:cfIcon iconSet="3Symbols2" iconId="2"/>
            </x14:iconSet>
          </x14:cfRule>
          <xm:sqref>Y26</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xr:uid="{00000000-0002-0000-0700-00000B000000}">
          <x14:formula1>
            <xm:f>LISTS!$M$8:$M$11</xm:f>
          </x14:formula1>
          <xm:sqref>AM10 AY20:BT20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0D348-B5CC-41B1-B9B6-5327FDED6DF5}">
  <sheetPr codeName="wsCATEGORY_SETUP">
    <tabColor theme="1" tint="0.249977111117893"/>
    <pageSetUpPr fitToPage="1"/>
  </sheetPr>
  <dimension ref="K1:FE54"/>
  <sheetViews>
    <sheetView showGridLines="0" showRowColHeaders="0" zoomScaleNormal="100" workbookViewId="0">
      <pane ySplit="4" topLeftCell="A5" activePane="bottomLeft" state="frozen"/>
      <selection pane="bottomLeft" activeCell="AD10" sqref="AD10:AZ10"/>
    </sheetView>
  </sheetViews>
  <sheetFormatPr defaultColWidth="8.8984375" defaultRowHeight="15"/>
  <cols>
    <col min="1" max="1" width="2.19921875" style="6" customWidth="1"/>
    <col min="2" max="2" width="2.09765625" style="6" customWidth="1"/>
    <col min="3" max="43" width="2" style="6" customWidth="1"/>
    <col min="44" max="44" width="2.046875" style="6" customWidth="1"/>
    <col min="45" max="84" width="2" style="6" customWidth="1"/>
    <col min="85" max="85" width="2.09765625" style="6" customWidth="1"/>
    <col min="86" max="100" width="2" style="6" customWidth="1"/>
    <col min="101" max="105" width="1.8984375" style="6" customWidth="1"/>
    <col min="106" max="118" width="2.09765625" style="6" customWidth="1"/>
    <col min="119" max="131" width="2.44921875" style="6" customWidth="1"/>
    <col min="132" max="157" width="2.6484375" style="6" customWidth="1"/>
    <col min="158" max="187" width="2.546875" style="6" customWidth="1"/>
    <col min="188" max="16384" width="8.8984375" style="6"/>
  </cols>
  <sheetData>
    <row r="1" spans="11:161" s="109" customFormat="1" ht="45" customHeight="1"/>
    <row r="2" spans="11:161" s="431" customFormat="1" ht="7.5" customHeight="1"/>
    <row r="3" spans="11:161" s="431" customFormat="1" ht="22.5" customHeight="1">
      <c r="K3" s="569"/>
      <c r="L3" s="569"/>
      <c r="M3" s="1594" t="s">
        <v>1628</v>
      </c>
      <c r="N3" s="1594"/>
      <c r="O3" s="1594"/>
      <c r="P3" s="1594"/>
      <c r="Q3" s="1594"/>
      <c r="R3" s="1594"/>
      <c r="S3" s="1594"/>
      <c r="T3" s="1594"/>
      <c r="U3" s="1594"/>
      <c r="V3" s="1594"/>
      <c r="W3" s="880"/>
      <c r="X3" s="880"/>
      <c r="Y3" s="880"/>
      <c r="Z3" s="569"/>
      <c r="AA3" s="569"/>
      <c r="AB3" s="569"/>
    </row>
    <row r="4" spans="11:161" s="432" customFormat="1" ht="7.5" customHeight="1"/>
    <row r="5" spans="11:161" s="465" customFormat="1" ht="12" customHeight="1"/>
    <row r="6" spans="11:161" s="4" customFormat="1" ht="44.7" customHeight="1">
      <c r="Y6" s="1600" t="s">
        <v>1669</v>
      </c>
      <c r="Z6" s="1600"/>
      <c r="AA6" s="1600"/>
      <c r="AB6" s="1600"/>
      <c r="AC6" s="1600"/>
      <c r="AD6" s="1600"/>
      <c r="AE6" s="1600"/>
      <c r="AF6" s="1600"/>
      <c r="AG6" s="1600"/>
      <c r="AH6" s="1600"/>
      <c r="AI6" s="1600"/>
      <c r="AJ6" s="1600"/>
      <c r="AK6" s="1600"/>
      <c r="AL6" s="1600"/>
      <c r="AM6" s="1600"/>
      <c r="AN6" s="1600"/>
      <c r="AO6" s="1600"/>
      <c r="AP6" s="1600"/>
      <c r="AQ6" s="1600"/>
      <c r="AR6" s="1600"/>
      <c r="AS6" s="1600"/>
      <c r="AT6" s="1600"/>
      <c r="AU6" s="1600"/>
      <c r="AV6" s="1600"/>
      <c r="AW6" s="1600"/>
      <c r="AX6" s="1600"/>
      <c r="AY6" s="1600"/>
      <c r="AZ6" s="1600"/>
      <c r="BA6" s="1600"/>
      <c r="BB6" s="1600"/>
      <c r="BC6" s="1600"/>
      <c r="BD6" s="1600"/>
      <c r="BE6" s="1600"/>
      <c r="BF6" s="1600"/>
      <c r="BG6" s="1600"/>
      <c r="BH6" s="1600"/>
      <c r="BI6" s="1600"/>
      <c r="BJ6" s="1600"/>
      <c r="BK6" s="1600"/>
      <c r="BL6" s="1600"/>
      <c r="BM6" s="1600"/>
      <c r="BN6" s="1600"/>
      <c r="BO6" s="1600"/>
      <c r="BP6" s="1600"/>
      <c r="BQ6" s="1600"/>
      <c r="BR6" s="1600"/>
      <c r="BS6" s="1600"/>
      <c r="BT6" s="1600"/>
    </row>
    <row r="7" spans="11:161" s="4" customFormat="1" ht="12" customHeight="1">
      <c r="BN7" s="879"/>
      <c r="BO7" s="879"/>
    </row>
    <row r="8" spans="11:161" ht="24" customHeight="1">
      <c r="Y8" s="1562" t="s">
        <v>1626</v>
      </c>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c r="BM8" s="1563"/>
      <c r="BN8" s="1563"/>
      <c r="BO8" s="1563"/>
      <c r="BP8" s="1563"/>
      <c r="BQ8" s="1563"/>
      <c r="BR8" s="1563"/>
      <c r="BS8" s="1563"/>
      <c r="BT8" s="1563"/>
      <c r="FE8" s="4"/>
    </row>
    <row r="9" spans="11:161" ht="24" customHeight="1">
      <c r="Y9" s="1598"/>
      <c r="Z9" s="1598"/>
      <c r="AA9" s="1599" t="s">
        <v>608</v>
      </c>
      <c r="AB9" s="1599"/>
      <c r="AC9" s="1599"/>
      <c r="AD9" s="1597" t="s">
        <v>1627</v>
      </c>
      <c r="AE9" s="1597"/>
      <c r="AF9" s="1597"/>
      <c r="AG9" s="1597"/>
      <c r="AH9" s="1597"/>
      <c r="AI9" s="1597"/>
      <c r="AJ9" s="1597"/>
      <c r="AK9" s="1597"/>
      <c r="AL9" s="1597"/>
      <c r="AM9" s="1597"/>
      <c r="AN9" s="1597"/>
      <c r="AO9" s="1597"/>
      <c r="AP9" s="1597"/>
      <c r="AQ9" s="1597"/>
      <c r="AR9" s="1597"/>
      <c r="AS9" s="1597"/>
      <c r="AT9" s="1597"/>
      <c r="AU9" s="1597"/>
      <c r="AV9" s="1597"/>
      <c r="AW9" s="1597"/>
      <c r="AX9" s="1597"/>
      <c r="AY9" s="1597"/>
      <c r="AZ9" s="1597"/>
      <c r="BA9" s="1597" t="s">
        <v>313</v>
      </c>
      <c r="BB9" s="1597"/>
      <c r="BC9" s="1597"/>
      <c r="BD9" s="1597"/>
      <c r="BE9" s="1597"/>
      <c r="BF9" s="1597"/>
      <c r="BG9" s="1597"/>
      <c r="BH9" s="1597"/>
      <c r="BI9" s="1597"/>
      <c r="BJ9" s="1597"/>
      <c r="BK9" s="1597"/>
      <c r="BL9" s="1597"/>
      <c r="BM9" s="1597"/>
      <c r="BN9" s="1597"/>
      <c r="BO9" s="1597"/>
      <c r="BP9" s="1597"/>
      <c r="BQ9" s="1597"/>
      <c r="BR9" s="1597"/>
      <c r="BS9" s="1597"/>
      <c r="BT9" s="1597"/>
      <c r="FE9" s="4"/>
    </row>
    <row r="10" spans="11:161" ht="24" customHeight="1">
      <c r="Y10" s="1590">
        <f>IF(AD10&gt;0,1,0)</f>
        <v>1</v>
      </c>
      <c r="Z10" s="1591"/>
      <c r="AA10" s="1592">
        <v>1</v>
      </c>
      <c r="AB10" s="1593"/>
      <c r="AC10" s="1593"/>
      <c r="AD10" s="1564" t="s">
        <v>67</v>
      </c>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58"/>
      <c r="BA10" s="1595"/>
      <c r="BB10" s="1596"/>
      <c r="BC10" s="1596"/>
      <c r="BD10" s="1596"/>
      <c r="BE10" s="1596"/>
      <c r="BF10" s="1596"/>
      <c r="BG10" s="1596"/>
      <c r="BH10" s="1596"/>
      <c r="BI10" s="1596"/>
      <c r="BJ10" s="1596"/>
      <c r="BK10" s="1596"/>
      <c r="BL10" s="1596"/>
      <c r="BM10" s="1596"/>
      <c r="BN10" s="1596"/>
      <c r="BO10" s="1596"/>
      <c r="BP10" s="1596"/>
      <c r="BQ10" s="1596"/>
      <c r="BR10" s="1596"/>
      <c r="BS10" s="1596"/>
      <c r="BT10" s="1596"/>
      <c r="FE10" s="4"/>
    </row>
    <row r="11" spans="11:161" ht="24" customHeight="1">
      <c r="Y11" s="1590">
        <f t="shared" ref="Y11:Y27" si="0">IF(AD11&gt;0,1,0)</f>
        <v>1</v>
      </c>
      <c r="Z11" s="1591"/>
      <c r="AA11" s="1592">
        <v>2</v>
      </c>
      <c r="AB11" s="1593"/>
      <c r="AC11" s="1593"/>
      <c r="AD11" s="1564" t="s">
        <v>800</v>
      </c>
      <c r="AE11" s="1564"/>
      <c r="AF11" s="1564"/>
      <c r="AG11" s="1564"/>
      <c r="AH11" s="1564"/>
      <c r="AI11" s="1564"/>
      <c r="AJ11" s="1564"/>
      <c r="AK11" s="1564"/>
      <c r="AL11" s="1564"/>
      <c r="AM11" s="1564"/>
      <c r="AN11" s="1564"/>
      <c r="AO11" s="1564"/>
      <c r="AP11" s="1564"/>
      <c r="AQ11" s="1564"/>
      <c r="AR11" s="1564"/>
      <c r="AS11" s="1564"/>
      <c r="AT11" s="1564"/>
      <c r="AU11" s="1564"/>
      <c r="AV11" s="1564"/>
      <c r="AW11" s="1564"/>
      <c r="AX11" s="1564"/>
      <c r="AY11" s="1564"/>
      <c r="AZ11" s="1558"/>
      <c r="BA11" s="1595"/>
      <c r="BB11" s="1596"/>
      <c r="BC11" s="1596"/>
      <c r="BD11" s="1596"/>
      <c r="BE11" s="1596"/>
      <c r="BF11" s="1596"/>
      <c r="BG11" s="1596"/>
      <c r="BH11" s="1596"/>
      <c r="BI11" s="1596"/>
      <c r="BJ11" s="1596"/>
      <c r="BK11" s="1596"/>
      <c r="BL11" s="1596"/>
      <c r="BM11" s="1596"/>
      <c r="BN11" s="1596"/>
      <c r="BO11" s="1596"/>
      <c r="BP11" s="1596"/>
      <c r="BQ11" s="1596"/>
      <c r="BR11" s="1596"/>
      <c r="BS11" s="1596"/>
      <c r="BT11" s="1596"/>
    </row>
    <row r="12" spans="11:161" ht="24" customHeight="1">
      <c r="Y12" s="1590">
        <f t="shared" si="0"/>
        <v>1</v>
      </c>
      <c r="Z12" s="1591"/>
      <c r="AA12" s="1592">
        <v>3</v>
      </c>
      <c r="AB12" s="1593"/>
      <c r="AC12" s="1593"/>
      <c r="AD12" s="1564" t="s">
        <v>620</v>
      </c>
      <c r="AE12" s="1564"/>
      <c r="AF12" s="1564"/>
      <c r="AG12" s="1564"/>
      <c r="AH12" s="1564"/>
      <c r="AI12" s="1564"/>
      <c r="AJ12" s="1564"/>
      <c r="AK12" s="1564"/>
      <c r="AL12" s="1564"/>
      <c r="AM12" s="1564"/>
      <c r="AN12" s="1564"/>
      <c r="AO12" s="1564"/>
      <c r="AP12" s="1564"/>
      <c r="AQ12" s="1564"/>
      <c r="AR12" s="1564"/>
      <c r="AS12" s="1564"/>
      <c r="AT12" s="1564"/>
      <c r="AU12" s="1564"/>
      <c r="AV12" s="1564"/>
      <c r="AW12" s="1564"/>
      <c r="AX12" s="1564"/>
      <c r="AY12" s="1564"/>
      <c r="AZ12" s="1558"/>
      <c r="BA12" s="1595"/>
      <c r="BB12" s="1596"/>
      <c r="BC12" s="1596"/>
      <c r="BD12" s="1596"/>
      <c r="BE12" s="1596"/>
      <c r="BF12" s="1596"/>
      <c r="BG12" s="1596"/>
      <c r="BH12" s="1596"/>
      <c r="BI12" s="1596"/>
      <c r="BJ12" s="1596"/>
      <c r="BK12" s="1596"/>
      <c r="BL12" s="1596"/>
      <c r="BM12" s="1596"/>
      <c r="BN12" s="1596"/>
      <c r="BO12" s="1596"/>
      <c r="BP12" s="1596"/>
      <c r="BQ12" s="1596"/>
      <c r="BR12" s="1596"/>
      <c r="BS12" s="1596"/>
      <c r="BT12" s="1596"/>
    </row>
    <row r="13" spans="11:161" ht="24" customHeight="1">
      <c r="Y13" s="1590">
        <f t="shared" si="0"/>
        <v>1</v>
      </c>
      <c r="Z13" s="1591"/>
      <c r="AA13" s="1592">
        <v>4</v>
      </c>
      <c r="AB13" s="1593"/>
      <c r="AC13" s="1593"/>
      <c r="AD13" s="1564" t="s">
        <v>523</v>
      </c>
      <c r="AE13" s="1564"/>
      <c r="AF13" s="1564"/>
      <c r="AG13" s="1564"/>
      <c r="AH13" s="1564"/>
      <c r="AI13" s="1564"/>
      <c r="AJ13" s="1564"/>
      <c r="AK13" s="1564"/>
      <c r="AL13" s="1564"/>
      <c r="AM13" s="1564"/>
      <c r="AN13" s="1564"/>
      <c r="AO13" s="1564"/>
      <c r="AP13" s="1564"/>
      <c r="AQ13" s="1564"/>
      <c r="AR13" s="1564"/>
      <c r="AS13" s="1564"/>
      <c r="AT13" s="1564"/>
      <c r="AU13" s="1564"/>
      <c r="AV13" s="1564"/>
      <c r="AW13" s="1564"/>
      <c r="AX13" s="1564"/>
      <c r="AY13" s="1564"/>
      <c r="AZ13" s="1558"/>
      <c r="BA13" s="1595"/>
      <c r="BB13" s="1596"/>
      <c r="BC13" s="1596"/>
      <c r="BD13" s="1596"/>
      <c r="BE13" s="1596"/>
      <c r="BF13" s="1596"/>
      <c r="BG13" s="1596"/>
      <c r="BH13" s="1596"/>
      <c r="BI13" s="1596"/>
      <c r="BJ13" s="1596"/>
      <c r="BK13" s="1596"/>
      <c r="BL13" s="1596"/>
      <c r="BM13" s="1596"/>
      <c r="BN13" s="1596"/>
      <c r="BO13" s="1596"/>
      <c r="BP13" s="1596"/>
      <c r="BQ13" s="1596"/>
      <c r="BR13" s="1596"/>
      <c r="BS13" s="1596"/>
      <c r="BT13" s="1596"/>
    </row>
    <row r="14" spans="11:161" ht="24" customHeight="1">
      <c r="Y14" s="1590">
        <f t="shared" si="0"/>
        <v>1</v>
      </c>
      <c r="Z14" s="1591"/>
      <c r="AA14" s="1592">
        <v>5</v>
      </c>
      <c r="AB14" s="1593"/>
      <c r="AC14" s="1593"/>
      <c r="AD14" s="1564" t="s">
        <v>288</v>
      </c>
      <c r="AE14" s="1564"/>
      <c r="AF14" s="1564"/>
      <c r="AG14" s="1564"/>
      <c r="AH14" s="1564"/>
      <c r="AI14" s="1564"/>
      <c r="AJ14" s="1564"/>
      <c r="AK14" s="1564"/>
      <c r="AL14" s="1564"/>
      <c r="AM14" s="1564"/>
      <c r="AN14" s="1564"/>
      <c r="AO14" s="1564"/>
      <c r="AP14" s="1564"/>
      <c r="AQ14" s="1564"/>
      <c r="AR14" s="1564"/>
      <c r="AS14" s="1564"/>
      <c r="AT14" s="1564"/>
      <c r="AU14" s="1564"/>
      <c r="AV14" s="1564"/>
      <c r="AW14" s="1564"/>
      <c r="AX14" s="1564"/>
      <c r="AY14" s="1564"/>
      <c r="AZ14" s="1558"/>
      <c r="BA14" s="1595"/>
      <c r="BB14" s="1596"/>
      <c r="BC14" s="1596"/>
      <c r="BD14" s="1596"/>
      <c r="BE14" s="1596"/>
      <c r="BF14" s="1596"/>
      <c r="BG14" s="1596"/>
      <c r="BH14" s="1596"/>
      <c r="BI14" s="1596"/>
      <c r="BJ14" s="1596"/>
      <c r="BK14" s="1596"/>
      <c r="BL14" s="1596"/>
      <c r="BM14" s="1596"/>
      <c r="BN14" s="1596"/>
      <c r="BO14" s="1596"/>
      <c r="BP14" s="1596"/>
      <c r="BQ14" s="1596"/>
      <c r="BR14" s="1596"/>
      <c r="BS14" s="1596"/>
      <c r="BT14" s="1596"/>
    </row>
    <row r="15" spans="11:161" ht="24" customHeight="1">
      <c r="Y15" s="1590">
        <f t="shared" si="0"/>
        <v>1</v>
      </c>
      <c r="Z15" s="1591"/>
      <c r="AA15" s="1592">
        <v>6</v>
      </c>
      <c r="AB15" s="1593"/>
      <c r="AC15" s="1593"/>
      <c r="AD15" s="1564" t="s">
        <v>287</v>
      </c>
      <c r="AE15" s="1564"/>
      <c r="AF15" s="1564"/>
      <c r="AG15" s="1564"/>
      <c r="AH15" s="1564"/>
      <c r="AI15" s="1564"/>
      <c r="AJ15" s="1564"/>
      <c r="AK15" s="1564"/>
      <c r="AL15" s="1564"/>
      <c r="AM15" s="1564"/>
      <c r="AN15" s="1564"/>
      <c r="AO15" s="1564"/>
      <c r="AP15" s="1564"/>
      <c r="AQ15" s="1564"/>
      <c r="AR15" s="1564"/>
      <c r="AS15" s="1564"/>
      <c r="AT15" s="1564"/>
      <c r="AU15" s="1564"/>
      <c r="AV15" s="1564"/>
      <c r="AW15" s="1564"/>
      <c r="AX15" s="1564"/>
      <c r="AY15" s="1564"/>
      <c r="AZ15" s="1558"/>
      <c r="BA15" s="1595"/>
      <c r="BB15" s="1596"/>
      <c r="BC15" s="1596"/>
      <c r="BD15" s="1596"/>
      <c r="BE15" s="1596"/>
      <c r="BF15" s="1596"/>
      <c r="BG15" s="1596"/>
      <c r="BH15" s="1596"/>
      <c r="BI15" s="1596"/>
      <c r="BJ15" s="1596"/>
      <c r="BK15" s="1596"/>
      <c r="BL15" s="1596"/>
      <c r="BM15" s="1596"/>
      <c r="BN15" s="1596"/>
      <c r="BO15" s="1596"/>
      <c r="BP15" s="1596"/>
      <c r="BQ15" s="1596"/>
      <c r="BR15" s="1596"/>
      <c r="BS15" s="1596"/>
      <c r="BT15" s="1596"/>
    </row>
    <row r="16" spans="11:161" ht="24" customHeight="1">
      <c r="Y16" s="1590">
        <f t="shared" si="0"/>
        <v>1</v>
      </c>
      <c r="Z16" s="1591"/>
      <c r="AA16" s="1592">
        <v>7</v>
      </c>
      <c r="AB16" s="1593"/>
      <c r="AC16" s="1593"/>
      <c r="AD16" s="1564" t="s">
        <v>687</v>
      </c>
      <c r="AE16" s="1564"/>
      <c r="AF16" s="1564"/>
      <c r="AG16" s="1564"/>
      <c r="AH16" s="1564"/>
      <c r="AI16" s="1564"/>
      <c r="AJ16" s="1564"/>
      <c r="AK16" s="1564"/>
      <c r="AL16" s="1564"/>
      <c r="AM16" s="1564"/>
      <c r="AN16" s="1564"/>
      <c r="AO16" s="1564"/>
      <c r="AP16" s="1564"/>
      <c r="AQ16" s="1564"/>
      <c r="AR16" s="1564"/>
      <c r="AS16" s="1564"/>
      <c r="AT16" s="1564"/>
      <c r="AU16" s="1564"/>
      <c r="AV16" s="1564"/>
      <c r="AW16" s="1564"/>
      <c r="AX16" s="1564"/>
      <c r="AY16" s="1564"/>
      <c r="AZ16" s="1558"/>
      <c r="BA16" s="1595"/>
      <c r="BB16" s="1596"/>
      <c r="BC16" s="1596"/>
      <c r="BD16" s="1596"/>
      <c r="BE16" s="1596"/>
      <c r="BF16" s="1596"/>
      <c r="BG16" s="1596"/>
      <c r="BH16" s="1596"/>
      <c r="BI16" s="1596"/>
      <c r="BJ16" s="1596"/>
      <c r="BK16" s="1596"/>
      <c r="BL16" s="1596"/>
      <c r="BM16" s="1596"/>
      <c r="BN16" s="1596"/>
      <c r="BO16" s="1596"/>
      <c r="BP16" s="1596"/>
      <c r="BQ16" s="1596"/>
      <c r="BR16" s="1596"/>
      <c r="BS16" s="1596"/>
      <c r="BT16" s="1596"/>
      <c r="FE16" s="4"/>
    </row>
    <row r="17" spans="25:161" ht="24" customHeight="1">
      <c r="Y17" s="1590">
        <f t="shared" si="0"/>
        <v>1</v>
      </c>
      <c r="Z17" s="1591"/>
      <c r="AA17" s="1592">
        <v>8</v>
      </c>
      <c r="AB17" s="1593"/>
      <c r="AC17" s="1593"/>
      <c r="AD17" s="1564" t="s">
        <v>286</v>
      </c>
      <c r="AE17" s="1564"/>
      <c r="AF17" s="1564"/>
      <c r="AG17" s="1564"/>
      <c r="AH17" s="1564"/>
      <c r="AI17" s="1564"/>
      <c r="AJ17" s="1564"/>
      <c r="AK17" s="1564"/>
      <c r="AL17" s="1564"/>
      <c r="AM17" s="1564"/>
      <c r="AN17" s="1564"/>
      <c r="AO17" s="1564"/>
      <c r="AP17" s="1564"/>
      <c r="AQ17" s="1564"/>
      <c r="AR17" s="1564"/>
      <c r="AS17" s="1564"/>
      <c r="AT17" s="1564"/>
      <c r="AU17" s="1564"/>
      <c r="AV17" s="1564"/>
      <c r="AW17" s="1564"/>
      <c r="AX17" s="1564"/>
      <c r="AY17" s="1564"/>
      <c r="AZ17" s="1558"/>
      <c r="BA17" s="1595"/>
      <c r="BB17" s="1596"/>
      <c r="BC17" s="1596"/>
      <c r="BD17" s="1596"/>
      <c r="BE17" s="1596"/>
      <c r="BF17" s="1596"/>
      <c r="BG17" s="1596"/>
      <c r="BH17" s="1596"/>
      <c r="BI17" s="1596"/>
      <c r="BJ17" s="1596"/>
      <c r="BK17" s="1596"/>
      <c r="BL17" s="1596"/>
      <c r="BM17" s="1596"/>
      <c r="BN17" s="1596"/>
      <c r="BO17" s="1596"/>
      <c r="BP17" s="1596"/>
      <c r="BQ17" s="1596"/>
      <c r="BR17" s="1596"/>
      <c r="BS17" s="1596"/>
      <c r="BT17" s="1596"/>
    </row>
    <row r="18" spans="25:161" ht="24" customHeight="1">
      <c r="Y18" s="1590">
        <f t="shared" si="0"/>
        <v>1</v>
      </c>
      <c r="Z18" s="1591"/>
      <c r="AA18" s="1592">
        <v>9</v>
      </c>
      <c r="AB18" s="1593"/>
      <c r="AC18" s="1593"/>
      <c r="AD18" s="1564" t="s">
        <v>1629</v>
      </c>
      <c r="AE18" s="1564"/>
      <c r="AF18" s="1564"/>
      <c r="AG18" s="1564"/>
      <c r="AH18" s="1564"/>
      <c r="AI18" s="1564"/>
      <c r="AJ18" s="1564"/>
      <c r="AK18" s="1564"/>
      <c r="AL18" s="1564"/>
      <c r="AM18" s="1564"/>
      <c r="AN18" s="1564"/>
      <c r="AO18" s="1564"/>
      <c r="AP18" s="1564"/>
      <c r="AQ18" s="1564"/>
      <c r="AR18" s="1564"/>
      <c r="AS18" s="1564"/>
      <c r="AT18" s="1564"/>
      <c r="AU18" s="1564"/>
      <c r="AV18" s="1564"/>
      <c r="AW18" s="1564"/>
      <c r="AX18" s="1564"/>
      <c r="AY18" s="1564"/>
      <c r="AZ18" s="1558"/>
      <c r="BA18" s="1595"/>
      <c r="BB18" s="1596"/>
      <c r="BC18" s="1596"/>
      <c r="BD18" s="1596"/>
      <c r="BE18" s="1596"/>
      <c r="BF18" s="1596"/>
      <c r="BG18" s="1596"/>
      <c r="BH18" s="1596"/>
      <c r="BI18" s="1596"/>
      <c r="BJ18" s="1596"/>
      <c r="BK18" s="1596"/>
      <c r="BL18" s="1596"/>
      <c r="BM18" s="1596"/>
      <c r="BN18" s="1596"/>
      <c r="BO18" s="1596"/>
      <c r="BP18" s="1596"/>
      <c r="BQ18" s="1596"/>
      <c r="BR18" s="1596"/>
      <c r="BS18" s="1596"/>
      <c r="BT18" s="1596"/>
    </row>
    <row r="19" spans="25:161" ht="24" customHeight="1">
      <c r="Y19" s="1590">
        <f t="shared" si="0"/>
        <v>1</v>
      </c>
      <c r="Z19" s="1591"/>
      <c r="AA19" s="1592">
        <v>10</v>
      </c>
      <c r="AB19" s="1593"/>
      <c r="AC19" s="1593"/>
      <c r="AD19" s="1564" t="s">
        <v>285</v>
      </c>
      <c r="AE19" s="1564"/>
      <c r="AF19" s="1564"/>
      <c r="AG19" s="1564"/>
      <c r="AH19" s="1564"/>
      <c r="AI19" s="1564"/>
      <c r="AJ19" s="1564"/>
      <c r="AK19" s="1564"/>
      <c r="AL19" s="1564"/>
      <c r="AM19" s="1564"/>
      <c r="AN19" s="1564"/>
      <c r="AO19" s="1564"/>
      <c r="AP19" s="1564"/>
      <c r="AQ19" s="1564"/>
      <c r="AR19" s="1564"/>
      <c r="AS19" s="1564"/>
      <c r="AT19" s="1564"/>
      <c r="AU19" s="1564"/>
      <c r="AV19" s="1564"/>
      <c r="AW19" s="1564"/>
      <c r="AX19" s="1564"/>
      <c r="AY19" s="1564"/>
      <c r="AZ19" s="1558"/>
      <c r="BA19" s="1595"/>
      <c r="BB19" s="1596"/>
      <c r="BC19" s="1596"/>
      <c r="BD19" s="1596"/>
      <c r="BE19" s="1596"/>
      <c r="BF19" s="1596"/>
      <c r="BG19" s="1596"/>
      <c r="BH19" s="1596"/>
      <c r="BI19" s="1596"/>
      <c r="BJ19" s="1596"/>
      <c r="BK19" s="1596"/>
      <c r="BL19" s="1596"/>
      <c r="BM19" s="1596"/>
      <c r="BN19" s="1596"/>
      <c r="BO19" s="1596"/>
      <c r="BP19" s="1596"/>
      <c r="BQ19" s="1596"/>
      <c r="BR19" s="1596"/>
      <c r="BS19" s="1596"/>
      <c r="BT19" s="1596"/>
    </row>
    <row r="20" spans="25:161" ht="24" customHeight="1">
      <c r="Y20" s="1590">
        <f t="shared" si="0"/>
        <v>1</v>
      </c>
      <c r="Z20" s="1591"/>
      <c r="AA20" s="1592">
        <v>11</v>
      </c>
      <c r="AB20" s="1593"/>
      <c r="AC20" s="1593"/>
      <c r="AD20" s="1564" t="s">
        <v>284</v>
      </c>
      <c r="AE20" s="1564"/>
      <c r="AF20" s="1564"/>
      <c r="AG20" s="1564"/>
      <c r="AH20" s="1564"/>
      <c r="AI20" s="1564"/>
      <c r="AJ20" s="1564"/>
      <c r="AK20" s="1564"/>
      <c r="AL20" s="1564"/>
      <c r="AM20" s="1564"/>
      <c r="AN20" s="1564"/>
      <c r="AO20" s="1564"/>
      <c r="AP20" s="1564"/>
      <c r="AQ20" s="1564"/>
      <c r="AR20" s="1564"/>
      <c r="AS20" s="1564"/>
      <c r="AT20" s="1564"/>
      <c r="AU20" s="1564"/>
      <c r="AV20" s="1564"/>
      <c r="AW20" s="1564"/>
      <c r="AX20" s="1564"/>
      <c r="AY20" s="1564"/>
      <c r="AZ20" s="1558"/>
      <c r="BA20" s="1595"/>
      <c r="BB20" s="1596"/>
      <c r="BC20" s="1596"/>
      <c r="BD20" s="1596"/>
      <c r="BE20" s="1596"/>
      <c r="BF20" s="1596"/>
      <c r="BG20" s="1596"/>
      <c r="BH20" s="1596"/>
      <c r="BI20" s="1596"/>
      <c r="BJ20" s="1596"/>
      <c r="BK20" s="1596"/>
      <c r="BL20" s="1596"/>
      <c r="BM20" s="1596"/>
      <c r="BN20" s="1596"/>
      <c r="BO20" s="1596"/>
      <c r="BP20" s="1596"/>
      <c r="BQ20" s="1596"/>
      <c r="BR20" s="1596"/>
      <c r="BS20" s="1596"/>
      <c r="BT20" s="1596"/>
    </row>
    <row r="21" spans="25:161" ht="24" customHeight="1">
      <c r="Y21" s="1590">
        <f t="shared" si="0"/>
        <v>1</v>
      </c>
      <c r="Z21" s="1591"/>
      <c r="AA21" s="1592">
        <v>12</v>
      </c>
      <c r="AB21" s="1593"/>
      <c r="AC21" s="1593"/>
      <c r="AD21" s="1564" t="s">
        <v>1630</v>
      </c>
      <c r="AE21" s="1564"/>
      <c r="AF21" s="1564"/>
      <c r="AG21" s="1564"/>
      <c r="AH21" s="1564"/>
      <c r="AI21" s="1564"/>
      <c r="AJ21" s="1564"/>
      <c r="AK21" s="1564"/>
      <c r="AL21" s="1564"/>
      <c r="AM21" s="1564"/>
      <c r="AN21" s="1564"/>
      <c r="AO21" s="1564"/>
      <c r="AP21" s="1564"/>
      <c r="AQ21" s="1564"/>
      <c r="AR21" s="1564"/>
      <c r="AS21" s="1564"/>
      <c r="AT21" s="1564"/>
      <c r="AU21" s="1564"/>
      <c r="AV21" s="1564"/>
      <c r="AW21" s="1564"/>
      <c r="AX21" s="1564"/>
      <c r="AY21" s="1564"/>
      <c r="AZ21" s="1558"/>
      <c r="BA21" s="1595"/>
      <c r="BB21" s="1596"/>
      <c r="BC21" s="1596"/>
      <c r="BD21" s="1596"/>
      <c r="BE21" s="1596"/>
      <c r="BF21" s="1596"/>
      <c r="BG21" s="1596"/>
      <c r="BH21" s="1596"/>
      <c r="BI21" s="1596"/>
      <c r="BJ21" s="1596"/>
      <c r="BK21" s="1596"/>
      <c r="BL21" s="1596"/>
      <c r="BM21" s="1596"/>
      <c r="BN21" s="1596"/>
      <c r="BO21" s="1596"/>
      <c r="BP21" s="1596"/>
      <c r="BQ21" s="1596"/>
      <c r="BR21" s="1596"/>
      <c r="BS21" s="1596"/>
      <c r="BT21" s="1596"/>
    </row>
    <row r="22" spans="25:161" ht="24" customHeight="1">
      <c r="Y22" s="1590">
        <f t="shared" si="0"/>
        <v>1</v>
      </c>
      <c r="Z22" s="1591"/>
      <c r="AA22" s="1592">
        <v>13</v>
      </c>
      <c r="AB22" s="1593"/>
      <c r="AC22" s="1593"/>
      <c r="AD22" s="1564" t="s">
        <v>296</v>
      </c>
      <c r="AE22" s="1564"/>
      <c r="AF22" s="1564"/>
      <c r="AG22" s="1564"/>
      <c r="AH22" s="1564"/>
      <c r="AI22" s="1564"/>
      <c r="AJ22" s="1564"/>
      <c r="AK22" s="1564"/>
      <c r="AL22" s="1564"/>
      <c r="AM22" s="1564"/>
      <c r="AN22" s="1564"/>
      <c r="AO22" s="1564"/>
      <c r="AP22" s="1564"/>
      <c r="AQ22" s="1564"/>
      <c r="AR22" s="1564"/>
      <c r="AS22" s="1564"/>
      <c r="AT22" s="1564"/>
      <c r="AU22" s="1564"/>
      <c r="AV22" s="1564"/>
      <c r="AW22" s="1564"/>
      <c r="AX22" s="1564"/>
      <c r="AY22" s="1564"/>
      <c r="AZ22" s="1558"/>
      <c r="BA22" s="1595"/>
      <c r="BB22" s="1596"/>
      <c r="BC22" s="1596"/>
      <c r="BD22" s="1596"/>
      <c r="BE22" s="1596"/>
      <c r="BF22" s="1596"/>
      <c r="BG22" s="1596"/>
      <c r="BH22" s="1596"/>
      <c r="BI22" s="1596"/>
      <c r="BJ22" s="1596"/>
      <c r="BK22" s="1596"/>
      <c r="BL22" s="1596"/>
      <c r="BM22" s="1596"/>
      <c r="BN22" s="1596"/>
      <c r="BO22" s="1596"/>
      <c r="BP22" s="1596"/>
      <c r="BQ22" s="1596"/>
      <c r="BR22" s="1596"/>
      <c r="BS22" s="1596"/>
      <c r="BT22" s="1596"/>
      <c r="FE22" s="4"/>
    </row>
    <row r="23" spans="25:161" ht="24" customHeight="1">
      <c r="Y23" s="1590">
        <f t="shared" si="0"/>
        <v>1</v>
      </c>
      <c r="Z23" s="1591"/>
      <c r="AA23" s="1592">
        <v>14</v>
      </c>
      <c r="AB23" s="1593"/>
      <c r="AC23" s="1593"/>
      <c r="AD23" s="1564" t="s">
        <v>621</v>
      </c>
      <c r="AE23" s="1564"/>
      <c r="AF23" s="1564"/>
      <c r="AG23" s="1564"/>
      <c r="AH23" s="1564"/>
      <c r="AI23" s="1564"/>
      <c r="AJ23" s="1564"/>
      <c r="AK23" s="1564"/>
      <c r="AL23" s="1564"/>
      <c r="AM23" s="1564"/>
      <c r="AN23" s="1564"/>
      <c r="AO23" s="1564"/>
      <c r="AP23" s="1564"/>
      <c r="AQ23" s="1564"/>
      <c r="AR23" s="1564"/>
      <c r="AS23" s="1564"/>
      <c r="AT23" s="1564"/>
      <c r="AU23" s="1564"/>
      <c r="AV23" s="1564"/>
      <c r="AW23" s="1564"/>
      <c r="AX23" s="1564"/>
      <c r="AY23" s="1564"/>
      <c r="AZ23" s="1558"/>
      <c r="BA23" s="1595"/>
      <c r="BB23" s="1596"/>
      <c r="BC23" s="1596"/>
      <c r="BD23" s="1596"/>
      <c r="BE23" s="1596"/>
      <c r="BF23" s="1596"/>
      <c r="BG23" s="1596"/>
      <c r="BH23" s="1596"/>
      <c r="BI23" s="1596"/>
      <c r="BJ23" s="1596"/>
      <c r="BK23" s="1596"/>
      <c r="BL23" s="1596"/>
      <c r="BM23" s="1596"/>
      <c r="BN23" s="1596"/>
      <c r="BO23" s="1596"/>
      <c r="BP23" s="1596"/>
      <c r="BQ23" s="1596"/>
      <c r="BR23" s="1596"/>
      <c r="BS23" s="1596"/>
      <c r="BT23" s="1596"/>
    </row>
    <row r="24" spans="25:161" ht="24" customHeight="1">
      <c r="Y24" s="1590">
        <f t="shared" si="0"/>
        <v>1</v>
      </c>
      <c r="Z24" s="1591"/>
      <c r="AA24" s="1592">
        <v>15</v>
      </c>
      <c r="AB24" s="1593"/>
      <c r="AC24" s="1593"/>
      <c r="AD24" s="1564" t="s">
        <v>297</v>
      </c>
      <c r="AE24" s="1564"/>
      <c r="AF24" s="1564"/>
      <c r="AG24" s="1564"/>
      <c r="AH24" s="1564"/>
      <c r="AI24" s="1564"/>
      <c r="AJ24" s="1564"/>
      <c r="AK24" s="1564"/>
      <c r="AL24" s="1564"/>
      <c r="AM24" s="1564"/>
      <c r="AN24" s="1564"/>
      <c r="AO24" s="1564"/>
      <c r="AP24" s="1564"/>
      <c r="AQ24" s="1564"/>
      <c r="AR24" s="1564"/>
      <c r="AS24" s="1564"/>
      <c r="AT24" s="1564"/>
      <c r="AU24" s="1564"/>
      <c r="AV24" s="1564"/>
      <c r="AW24" s="1564"/>
      <c r="AX24" s="1564"/>
      <c r="AY24" s="1564"/>
      <c r="AZ24" s="1558"/>
      <c r="BA24" s="1595"/>
      <c r="BB24" s="1596"/>
      <c r="BC24" s="1596"/>
      <c r="BD24" s="1596"/>
      <c r="BE24" s="1596"/>
      <c r="BF24" s="1596"/>
      <c r="BG24" s="1596"/>
      <c r="BH24" s="1596"/>
      <c r="BI24" s="1596"/>
      <c r="BJ24" s="1596"/>
      <c r="BK24" s="1596"/>
      <c r="BL24" s="1596"/>
      <c r="BM24" s="1596"/>
      <c r="BN24" s="1596"/>
      <c r="BO24" s="1596"/>
      <c r="BP24" s="1596"/>
      <c r="BQ24" s="1596"/>
      <c r="BR24" s="1596"/>
      <c r="BS24" s="1596"/>
      <c r="BT24" s="1596"/>
    </row>
    <row r="25" spans="25:161" ht="24" customHeight="1">
      <c r="Y25" s="1590">
        <f t="shared" si="0"/>
        <v>1</v>
      </c>
      <c r="Z25" s="1591"/>
      <c r="AA25" s="1592">
        <v>16</v>
      </c>
      <c r="AB25" s="1593"/>
      <c r="AC25" s="1593"/>
      <c r="AD25" s="1564" t="s">
        <v>705</v>
      </c>
      <c r="AE25" s="1564"/>
      <c r="AF25" s="1564"/>
      <c r="AG25" s="1564"/>
      <c r="AH25" s="1564"/>
      <c r="AI25" s="1564"/>
      <c r="AJ25" s="1564"/>
      <c r="AK25" s="1564"/>
      <c r="AL25" s="1564"/>
      <c r="AM25" s="1564"/>
      <c r="AN25" s="1564"/>
      <c r="AO25" s="1564"/>
      <c r="AP25" s="1564"/>
      <c r="AQ25" s="1564"/>
      <c r="AR25" s="1564"/>
      <c r="AS25" s="1564"/>
      <c r="AT25" s="1564"/>
      <c r="AU25" s="1564"/>
      <c r="AV25" s="1564"/>
      <c r="AW25" s="1564"/>
      <c r="AX25" s="1564"/>
      <c r="AY25" s="1564"/>
      <c r="AZ25" s="1558"/>
      <c r="BA25" s="1595"/>
      <c r="BB25" s="1596"/>
      <c r="BC25" s="1596"/>
      <c r="BD25" s="1596"/>
      <c r="BE25" s="1596"/>
      <c r="BF25" s="1596"/>
      <c r="BG25" s="1596"/>
      <c r="BH25" s="1596"/>
      <c r="BI25" s="1596"/>
      <c r="BJ25" s="1596"/>
      <c r="BK25" s="1596"/>
      <c r="BL25" s="1596"/>
      <c r="BM25" s="1596"/>
      <c r="BN25" s="1596"/>
      <c r="BO25" s="1596"/>
      <c r="BP25" s="1596"/>
      <c r="BQ25" s="1596"/>
      <c r="BR25" s="1596"/>
      <c r="BS25" s="1596"/>
      <c r="BT25" s="1596"/>
    </row>
    <row r="26" spans="25:161" ht="24" customHeight="1">
      <c r="Y26" s="1590">
        <f t="shared" si="0"/>
        <v>1</v>
      </c>
      <c r="Z26" s="1591"/>
      <c r="AA26" s="1592">
        <v>17</v>
      </c>
      <c r="AB26" s="1593"/>
      <c r="AC26" s="1593"/>
      <c r="AD26" s="1564" t="s">
        <v>283</v>
      </c>
      <c r="AE26" s="1564"/>
      <c r="AF26" s="1564"/>
      <c r="AG26" s="1564"/>
      <c r="AH26" s="1564"/>
      <c r="AI26" s="1564"/>
      <c r="AJ26" s="1564"/>
      <c r="AK26" s="1564"/>
      <c r="AL26" s="1564"/>
      <c r="AM26" s="1564"/>
      <c r="AN26" s="1564"/>
      <c r="AO26" s="1564"/>
      <c r="AP26" s="1564"/>
      <c r="AQ26" s="1564"/>
      <c r="AR26" s="1564"/>
      <c r="AS26" s="1564"/>
      <c r="AT26" s="1564"/>
      <c r="AU26" s="1564"/>
      <c r="AV26" s="1564"/>
      <c r="AW26" s="1564"/>
      <c r="AX26" s="1564"/>
      <c r="AY26" s="1564"/>
      <c r="AZ26" s="1558"/>
      <c r="BA26" s="1595"/>
      <c r="BB26" s="1596"/>
      <c r="BC26" s="1596"/>
      <c r="BD26" s="1596"/>
      <c r="BE26" s="1596"/>
      <c r="BF26" s="1596"/>
      <c r="BG26" s="1596"/>
      <c r="BH26" s="1596"/>
      <c r="BI26" s="1596"/>
      <c r="BJ26" s="1596"/>
      <c r="BK26" s="1596"/>
      <c r="BL26" s="1596"/>
      <c r="BM26" s="1596"/>
      <c r="BN26" s="1596"/>
      <c r="BO26" s="1596"/>
      <c r="BP26" s="1596"/>
      <c r="BQ26" s="1596"/>
      <c r="BR26" s="1596"/>
      <c r="BS26" s="1596"/>
      <c r="BT26" s="1596"/>
    </row>
    <row r="27" spans="25:161" ht="24" customHeight="1">
      <c r="Y27" s="1590">
        <f t="shared" si="0"/>
        <v>1</v>
      </c>
      <c r="Z27" s="1591"/>
      <c r="AA27" s="1592">
        <v>18</v>
      </c>
      <c r="AB27" s="1593"/>
      <c r="AC27" s="1593"/>
      <c r="AD27" s="1564" t="s">
        <v>282</v>
      </c>
      <c r="AE27" s="1564"/>
      <c r="AF27" s="1564"/>
      <c r="AG27" s="1564"/>
      <c r="AH27" s="1564"/>
      <c r="AI27" s="1564"/>
      <c r="AJ27" s="1564"/>
      <c r="AK27" s="1564"/>
      <c r="AL27" s="1564"/>
      <c r="AM27" s="1564"/>
      <c r="AN27" s="1564"/>
      <c r="AO27" s="1564"/>
      <c r="AP27" s="1564"/>
      <c r="AQ27" s="1564"/>
      <c r="AR27" s="1564"/>
      <c r="AS27" s="1564"/>
      <c r="AT27" s="1564"/>
      <c r="AU27" s="1564"/>
      <c r="AV27" s="1564"/>
      <c r="AW27" s="1564"/>
      <c r="AX27" s="1564"/>
      <c r="AY27" s="1564"/>
      <c r="AZ27" s="1558"/>
      <c r="BA27" s="1595"/>
      <c r="BB27" s="1596"/>
      <c r="BC27" s="1596"/>
      <c r="BD27" s="1596"/>
      <c r="BE27" s="1596"/>
      <c r="BF27" s="1596"/>
      <c r="BG27" s="1596"/>
      <c r="BH27" s="1596"/>
      <c r="BI27" s="1596"/>
      <c r="BJ27" s="1596"/>
      <c r="BK27" s="1596"/>
      <c r="BL27" s="1596"/>
      <c r="BM27" s="1596"/>
      <c r="BN27" s="1596"/>
      <c r="BO27" s="1596"/>
      <c r="BP27" s="1596"/>
      <c r="BQ27" s="1596"/>
      <c r="BR27" s="1596"/>
      <c r="BS27" s="1596"/>
      <c r="BT27" s="1596"/>
    </row>
    <row r="28" spans="25:161" ht="24" customHeight="1">
      <c r="Y28" s="1590">
        <f t="shared" ref="Y28:Y33" si="1">IF(AD28&gt;0,1,0)</f>
        <v>1</v>
      </c>
      <c r="Z28" s="1591"/>
      <c r="AA28" s="1592">
        <v>19</v>
      </c>
      <c r="AB28" s="1593"/>
      <c r="AC28" s="1593"/>
      <c r="AD28" s="1564" t="s">
        <v>68</v>
      </c>
      <c r="AE28" s="1564"/>
      <c r="AF28" s="1564"/>
      <c r="AG28" s="1564"/>
      <c r="AH28" s="1564"/>
      <c r="AI28" s="1564"/>
      <c r="AJ28" s="1564"/>
      <c r="AK28" s="1564"/>
      <c r="AL28" s="1564"/>
      <c r="AM28" s="1564"/>
      <c r="AN28" s="1564"/>
      <c r="AO28" s="1564"/>
      <c r="AP28" s="1564"/>
      <c r="AQ28" s="1564"/>
      <c r="AR28" s="1564"/>
      <c r="AS28" s="1564"/>
      <c r="AT28" s="1564"/>
      <c r="AU28" s="1564"/>
      <c r="AV28" s="1564"/>
      <c r="AW28" s="1564"/>
      <c r="AX28" s="1564"/>
      <c r="AY28" s="1564"/>
      <c r="AZ28" s="1558"/>
      <c r="BA28" s="1595"/>
      <c r="BB28" s="1596"/>
      <c r="BC28" s="1596"/>
      <c r="BD28" s="1596"/>
      <c r="BE28" s="1596"/>
      <c r="BF28" s="1596"/>
      <c r="BG28" s="1596"/>
      <c r="BH28" s="1596"/>
      <c r="BI28" s="1596"/>
      <c r="BJ28" s="1596"/>
      <c r="BK28" s="1596"/>
      <c r="BL28" s="1596"/>
      <c r="BM28" s="1596"/>
      <c r="BN28" s="1596"/>
      <c r="BO28" s="1596"/>
      <c r="BP28" s="1596"/>
      <c r="BQ28" s="1596"/>
      <c r="BR28" s="1596"/>
      <c r="BS28" s="1596"/>
      <c r="BT28" s="1596"/>
    </row>
    <row r="29" spans="25:161" ht="24" customHeight="1">
      <c r="Y29" s="1590">
        <f t="shared" si="1"/>
        <v>1</v>
      </c>
      <c r="Z29" s="1591"/>
      <c r="AA29" s="1592">
        <v>20</v>
      </c>
      <c r="AB29" s="1593"/>
      <c r="AC29" s="1593"/>
      <c r="AD29" s="1564" t="s">
        <v>281</v>
      </c>
      <c r="AE29" s="1564"/>
      <c r="AF29" s="1564"/>
      <c r="AG29" s="1564"/>
      <c r="AH29" s="1564"/>
      <c r="AI29" s="1564"/>
      <c r="AJ29" s="1564"/>
      <c r="AK29" s="1564"/>
      <c r="AL29" s="1564"/>
      <c r="AM29" s="1564"/>
      <c r="AN29" s="1564"/>
      <c r="AO29" s="1564"/>
      <c r="AP29" s="1564"/>
      <c r="AQ29" s="1564"/>
      <c r="AR29" s="1564"/>
      <c r="AS29" s="1564"/>
      <c r="AT29" s="1564"/>
      <c r="AU29" s="1564"/>
      <c r="AV29" s="1564"/>
      <c r="AW29" s="1564"/>
      <c r="AX29" s="1564"/>
      <c r="AY29" s="1564"/>
      <c r="AZ29" s="1558"/>
      <c r="BA29" s="1595"/>
      <c r="BB29" s="1596"/>
      <c r="BC29" s="1596"/>
      <c r="BD29" s="1596"/>
      <c r="BE29" s="1596"/>
      <c r="BF29" s="1596"/>
      <c r="BG29" s="1596"/>
      <c r="BH29" s="1596"/>
      <c r="BI29" s="1596"/>
      <c r="BJ29" s="1596"/>
      <c r="BK29" s="1596"/>
      <c r="BL29" s="1596"/>
      <c r="BM29" s="1596"/>
      <c r="BN29" s="1596"/>
      <c r="BO29" s="1596"/>
      <c r="BP29" s="1596"/>
      <c r="BQ29" s="1596"/>
      <c r="BR29" s="1596"/>
      <c r="BS29" s="1596"/>
      <c r="BT29" s="1596"/>
    </row>
    <row r="30" spans="25:161" ht="24" customHeight="1">
      <c r="Y30" s="1590">
        <f t="shared" si="1"/>
        <v>1</v>
      </c>
      <c r="Z30" s="1591"/>
      <c r="AA30" s="1592">
        <v>21</v>
      </c>
      <c r="AB30" s="1593"/>
      <c r="AC30" s="1593"/>
      <c r="AD30" s="1564" t="s">
        <v>69</v>
      </c>
      <c r="AE30" s="1564"/>
      <c r="AF30" s="1564"/>
      <c r="AG30" s="1564"/>
      <c r="AH30" s="1564"/>
      <c r="AI30" s="1564"/>
      <c r="AJ30" s="1564"/>
      <c r="AK30" s="1564"/>
      <c r="AL30" s="1564"/>
      <c r="AM30" s="1564"/>
      <c r="AN30" s="1564"/>
      <c r="AO30" s="1564"/>
      <c r="AP30" s="1564"/>
      <c r="AQ30" s="1564"/>
      <c r="AR30" s="1564"/>
      <c r="AS30" s="1564"/>
      <c r="AT30" s="1564"/>
      <c r="AU30" s="1564"/>
      <c r="AV30" s="1564"/>
      <c r="AW30" s="1564"/>
      <c r="AX30" s="1564"/>
      <c r="AY30" s="1564"/>
      <c r="AZ30" s="1558"/>
      <c r="BA30" s="1595"/>
      <c r="BB30" s="1596"/>
      <c r="BC30" s="1596"/>
      <c r="BD30" s="1596"/>
      <c r="BE30" s="1596"/>
      <c r="BF30" s="1596"/>
      <c r="BG30" s="1596"/>
      <c r="BH30" s="1596"/>
      <c r="BI30" s="1596"/>
      <c r="BJ30" s="1596"/>
      <c r="BK30" s="1596"/>
      <c r="BL30" s="1596"/>
      <c r="BM30" s="1596"/>
      <c r="BN30" s="1596"/>
      <c r="BO30" s="1596"/>
      <c r="BP30" s="1596"/>
      <c r="BQ30" s="1596"/>
      <c r="BR30" s="1596"/>
      <c r="BS30" s="1596"/>
      <c r="BT30" s="1596"/>
    </row>
    <row r="31" spans="25:161" ht="24" customHeight="1">
      <c r="Y31" s="1590">
        <f t="shared" si="1"/>
        <v>1</v>
      </c>
      <c r="Z31" s="1591"/>
      <c r="AA31" s="1592">
        <v>22</v>
      </c>
      <c r="AB31" s="1593"/>
      <c r="AC31" s="1593"/>
      <c r="AD31" s="1564" t="s">
        <v>29</v>
      </c>
      <c r="AE31" s="1564"/>
      <c r="AF31" s="1564"/>
      <c r="AG31" s="1564"/>
      <c r="AH31" s="1564"/>
      <c r="AI31" s="1564"/>
      <c r="AJ31" s="1564"/>
      <c r="AK31" s="1564"/>
      <c r="AL31" s="1564"/>
      <c r="AM31" s="1564"/>
      <c r="AN31" s="1564"/>
      <c r="AO31" s="1564"/>
      <c r="AP31" s="1564"/>
      <c r="AQ31" s="1564"/>
      <c r="AR31" s="1564"/>
      <c r="AS31" s="1564"/>
      <c r="AT31" s="1564"/>
      <c r="AU31" s="1564"/>
      <c r="AV31" s="1564"/>
      <c r="AW31" s="1564"/>
      <c r="AX31" s="1564"/>
      <c r="AY31" s="1564"/>
      <c r="AZ31" s="1558"/>
      <c r="BA31" s="1595"/>
      <c r="BB31" s="1596"/>
      <c r="BC31" s="1596"/>
      <c r="BD31" s="1596"/>
      <c r="BE31" s="1596"/>
      <c r="BF31" s="1596"/>
      <c r="BG31" s="1596"/>
      <c r="BH31" s="1596"/>
      <c r="BI31" s="1596"/>
      <c r="BJ31" s="1596"/>
      <c r="BK31" s="1596"/>
      <c r="BL31" s="1596"/>
      <c r="BM31" s="1596"/>
      <c r="BN31" s="1596"/>
      <c r="BO31" s="1596"/>
      <c r="BP31" s="1596"/>
      <c r="BQ31" s="1596"/>
      <c r="BR31" s="1596"/>
      <c r="BS31" s="1596"/>
      <c r="BT31" s="1596"/>
    </row>
    <row r="32" spans="25:161" ht="24" customHeight="1">
      <c r="Y32" s="1590">
        <f t="shared" si="1"/>
        <v>1</v>
      </c>
      <c r="Z32" s="1591"/>
      <c r="AA32" s="1592">
        <v>23</v>
      </c>
      <c r="AB32" s="1593"/>
      <c r="AC32" s="1593"/>
      <c r="AD32" s="1564" t="s">
        <v>70</v>
      </c>
      <c r="AE32" s="1564"/>
      <c r="AF32" s="1564"/>
      <c r="AG32" s="1564"/>
      <c r="AH32" s="1564"/>
      <c r="AI32" s="1564"/>
      <c r="AJ32" s="1564"/>
      <c r="AK32" s="1564"/>
      <c r="AL32" s="1564"/>
      <c r="AM32" s="1564"/>
      <c r="AN32" s="1564"/>
      <c r="AO32" s="1564"/>
      <c r="AP32" s="1564"/>
      <c r="AQ32" s="1564"/>
      <c r="AR32" s="1564"/>
      <c r="AS32" s="1564"/>
      <c r="AT32" s="1564"/>
      <c r="AU32" s="1564"/>
      <c r="AV32" s="1564"/>
      <c r="AW32" s="1564"/>
      <c r="AX32" s="1564"/>
      <c r="AY32" s="1564"/>
      <c r="AZ32" s="1558"/>
      <c r="BA32" s="1595"/>
      <c r="BB32" s="1596"/>
      <c r="BC32" s="1596"/>
      <c r="BD32" s="1596"/>
      <c r="BE32" s="1596"/>
      <c r="BF32" s="1596"/>
      <c r="BG32" s="1596"/>
      <c r="BH32" s="1596"/>
      <c r="BI32" s="1596"/>
      <c r="BJ32" s="1596"/>
      <c r="BK32" s="1596"/>
      <c r="BL32" s="1596"/>
      <c r="BM32" s="1596"/>
      <c r="BN32" s="1596"/>
      <c r="BO32" s="1596"/>
      <c r="BP32" s="1596"/>
      <c r="BQ32" s="1596"/>
      <c r="BR32" s="1596"/>
      <c r="BS32" s="1596"/>
      <c r="BT32" s="1596"/>
    </row>
    <row r="33" spans="25:160" ht="24" customHeight="1">
      <c r="Y33" s="1590">
        <f t="shared" si="1"/>
        <v>1</v>
      </c>
      <c r="Z33" s="1591"/>
      <c r="AA33" s="1592">
        <v>24</v>
      </c>
      <c r="AB33" s="1593"/>
      <c r="AC33" s="1593"/>
      <c r="AD33" s="1564" t="s">
        <v>771</v>
      </c>
      <c r="AE33" s="1564"/>
      <c r="AF33" s="1564"/>
      <c r="AG33" s="1564"/>
      <c r="AH33" s="1564"/>
      <c r="AI33" s="1564"/>
      <c r="AJ33" s="1564"/>
      <c r="AK33" s="1564"/>
      <c r="AL33" s="1564"/>
      <c r="AM33" s="1564"/>
      <c r="AN33" s="1564"/>
      <c r="AO33" s="1564"/>
      <c r="AP33" s="1564"/>
      <c r="AQ33" s="1564"/>
      <c r="AR33" s="1564"/>
      <c r="AS33" s="1564"/>
      <c r="AT33" s="1564"/>
      <c r="AU33" s="1564"/>
      <c r="AV33" s="1564"/>
      <c r="AW33" s="1564"/>
      <c r="AX33" s="1564"/>
      <c r="AY33" s="1564"/>
      <c r="AZ33" s="1558"/>
      <c r="BA33" s="1595"/>
      <c r="BB33" s="1596"/>
      <c r="BC33" s="1596"/>
      <c r="BD33" s="1596"/>
      <c r="BE33" s="1596"/>
      <c r="BF33" s="1596"/>
      <c r="BG33" s="1596"/>
      <c r="BH33" s="1596"/>
      <c r="BI33" s="1596"/>
      <c r="BJ33" s="1596"/>
      <c r="BK33" s="1596"/>
      <c r="BL33" s="1596"/>
      <c r="BM33" s="1596"/>
      <c r="BN33" s="1596"/>
      <c r="BO33" s="1596"/>
      <c r="BP33" s="1596"/>
      <c r="BQ33" s="1596"/>
      <c r="BR33" s="1596"/>
      <c r="BS33" s="1596"/>
      <c r="BT33" s="1596"/>
    </row>
    <row r="34" spans="25:160" ht="8" customHeight="1">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c r="BD34" s="888"/>
      <c r="BE34" s="888"/>
      <c r="BF34" s="888"/>
      <c r="BG34" s="888"/>
      <c r="BH34" s="888"/>
      <c r="BI34" s="888"/>
      <c r="BJ34" s="888"/>
      <c r="BK34" s="888"/>
      <c r="BL34" s="888"/>
      <c r="BM34" s="888"/>
      <c r="BN34" s="888"/>
      <c r="BO34" s="888"/>
      <c r="BP34" s="888"/>
      <c r="BQ34" s="888"/>
      <c r="BR34" s="888"/>
      <c r="BS34" s="888"/>
      <c r="BT34" s="888"/>
      <c r="CU34" s="4"/>
      <c r="CV34" s="4"/>
      <c r="CY34" s="4"/>
      <c r="CZ34" s="5"/>
      <c r="DA34" s="5"/>
    </row>
    <row r="35" spans="25:160">
      <c r="CU35" s="4"/>
      <c r="CV35" s="4"/>
      <c r="CY35" s="4"/>
      <c r="CZ35" s="5"/>
      <c r="DA35" s="5"/>
    </row>
    <row r="36" spans="25:160">
      <c r="CB36" s="1589" t="s">
        <v>1700</v>
      </c>
      <c r="CC36" s="1589"/>
      <c r="CD36" s="1589"/>
      <c r="CE36" s="1589"/>
      <c r="CF36" s="1589"/>
      <c r="CG36" s="1589"/>
      <c r="CH36" s="1589"/>
      <c r="CI36" s="1589"/>
      <c r="CJ36" s="1589"/>
      <c r="CK36" s="1589"/>
      <c r="CL36" s="1589"/>
      <c r="CM36" s="1589"/>
      <c r="CU36" s="4"/>
      <c r="CV36" s="4"/>
      <c r="CY36" s="4"/>
      <c r="CZ36" s="5"/>
      <c r="DA36" s="5"/>
    </row>
    <row r="37" spans="25:160">
      <c r="CB37" s="1589"/>
      <c r="CC37" s="1589"/>
      <c r="CD37" s="1589"/>
      <c r="CE37" s="1589"/>
      <c r="CF37" s="1589"/>
      <c r="CG37" s="1589"/>
      <c r="CH37" s="1589"/>
      <c r="CI37" s="1589"/>
      <c r="CJ37" s="1589"/>
      <c r="CK37" s="1589"/>
      <c r="CL37" s="1589"/>
      <c r="CM37" s="1589"/>
      <c r="CU37" s="4"/>
      <c r="CV37" s="4"/>
      <c r="CY37" s="4"/>
      <c r="CZ37" s="5"/>
      <c r="DA37" s="5"/>
    </row>
    <row r="38" spans="25:160">
      <c r="CB38" s="1589"/>
      <c r="CC38" s="1589"/>
      <c r="CD38" s="1589"/>
      <c r="CE38" s="1589"/>
      <c r="CF38" s="1589"/>
      <c r="CG38" s="1589"/>
      <c r="CH38" s="1589"/>
      <c r="CI38" s="1589"/>
      <c r="CJ38" s="1589"/>
      <c r="CK38" s="1589"/>
      <c r="CL38" s="1589"/>
      <c r="CM38" s="1589"/>
      <c r="CU38" s="4"/>
      <c r="CV38" s="4"/>
      <c r="CY38" s="4"/>
      <c r="CZ38" s="5"/>
      <c r="DA38" s="5"/>
    </row>
    <row r="39" spans="25:160">
      <c r="CU39" s="4"/>
      <c r="CV39" s="4"/>
      <c r="CY39" s="4"/>
      <c r="CZ39" s="5"/>
      <c r="DA39" s="4"/>
      <c r="EW39" s="4"/>
      <c r="EX39" s="4"/>
      <c r="EY39" s="4"/>
      <c r="EZ39" s="4"/>
      <c r="FA39" s="4"/>
      <c r="FB39" s="4"/>
      <c r="FC39" s="4"/>
      <c r="FD39" s="4"/>
    </row>
    <row r="40" spans="25:160">
      <c r="CU40" s="4"/>
      <c r="CV40" s="4"/>
      <c r="CY40" s="4"/>
      <c r="CZ40" s="5"/>
      <c r="DA40" s="4"/>
      <c r="DB40" s="4"/>
      <c r="DC40" s="4"/>
      <c r="DD40" s="4"/>
      <c r="DE40" s="4"/>
      <c r="DF40" s="4"/>
      <c r="DG40" s="4"/>
      <c r="DH40" s="4"/>
      <c r="DI40" s="4"/>
      <c r="DJ40" s="4"/>
      <c r="DK40" s="4"/>
      <c r="DL40" s="4"/>
      <c r="DM40" s="4"/>
      <c r="DN40" s="4"/>
      <c r="DO40" s="4"/>
      <c r="DY40" s="4"/>
      <c r="DZ40" s="4"/>
      <c r="EA40" s="4"/>
      <c r="EB40" s="4"/>
      <c r="EC40" s="4"/>
      <c r="ED40" s="4"/>
      <c r="EE40" s="4"/>
      <c r="EF40" s="4"/>
      <c r="EG40" s="4"/>
      <c r="EH40" s="4"/>
      <c r="EI40" s="4"/>
      <c r="EJ40" s="4"/>
      <c r="EK40" s="4"/>
      <c r="EL40" s="4"/>
      <c r="EM40" s="4"/>
      <c r="EN40" s="4"/>
      <c r="EO40" s="4"/>
      <c r="EP40" s="4"/>
      <c r="EQ40" s="4"/>
      <c r="ER40" s="4"/>
      <c r="ES40" s="4"/>
      <c r="EW40" s="4"/>
      <c r="EX40" s="4"/>
      <c r="EY40" s="4"/>
      <c r="EZ40" s="4"/>
      <c r="FA40" s="4"/>
      <c r="FB40" s="4"/>
      <c r="FC40" s="4"/>
      <c r="FD40" s="4"/>
    </row>
    <row r="41" spans="25:160">
      <c r="CU41" s="4"/>
      <c r="CV41" s="4"/>
      <c r="CY41" s="4"/>
      <c r="CZ41" s="5"/>
      <c r="DA41" s="4"/>
      <c r="DB41" s="4"/>
      <c r="DC41" s="4"/>
      <c r="DD41" s="4"/>
      <c r="DE41" s="4"/>
      <c r="DF41" s="4"/>
      <c r="DG41" s="4"/>
      <c r="DH41" s="4"/>
      <c r="DI41" s="4"/>
      <c r="DJ41" s="4"/>
      <c r="DK41" s="4"/>
      <c r="DL41" s="4"/>
      <c r="DM41" s="4"/>
      <c r="DN41" s="4"/>
      <c r="DO41" s="4"/>
      <c r="DY41" s="4"/>
      <c r="DZ41" s="4"/>
      <c r="EA41" s="4"/>
      <c r="EB41" s="4"/>
      <c r="EC41" s="4"/>
      <c r="ED41" s="4"/>
      <c r="EE41" s="4"/>
      <c r="EF41" s="4"/>
      <c r="EG41" s="4"/>
      <c r="EH41" s="4"/>
      <c r="EI41" s="4"/>
      <c r="EJ41" s="4"/>
      <c r="EK41" s="4"/>
      <c r="EL41" s="4"/>
      <c r="EM41" s="4"/>
      <c r="EN41" s="4"/>
      <c r="EO41" s="4"/>
      <c r="EP41" s="4"/>
      <c r="EQ41" s="4"/>
      <c r="ER41" s="4"/>
      <c r="ES41" s="4"/>
      <c r="EW41" s="4"/>
      <c r="EX41" s="4"/>
      <c r="EY41" s="4"/>
      <c r="EZ41" s="4"/>
      <c r="FA41" s="4"/>
      <c r="FB41" s="4"/>
      <c r="FC41" s="4"/>
      <c r="FD41" s="4"/>
    </row>
    <row r="42" spans="25:160">
      <c r="CU42" s="4"/>
      <c r="CV42" s="4"/>
      <c r="CY42" s="4"/>
      <c r="CZ42" s="4"/>
      <c r="DA42" s="4"/>
      <c r="DB42" s="4"/>
      <c r="DC42" s="4"/>
      <c r="DD42" s="4"/>
      <c r="DE42" s="4"/>
      <c r="DF42" s="4"/>
      <c r="DG42" s="4"/>
      <c r="DH42" s="4"/>
      <c r="DI42" s="4"/>
      <c r="DJ42" s="4"/>
      <c r="DK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W42" s="4"/>
      <c r="EX42" s="4"/>
      <c r="EY42" s="4"/>
      <c r="EZ42" s="4"/>
      <c r="FA42" s="4"/>
      <c r="FB42" s="4"/>
      <c r="FC42" s="4"/>
      <c r="FD42" s="4"/>
    </row>
    <row r="43" spans="25:160">
      <c r="CU43" s="4"/>
      <c r="CV43" s="4"/>
      <c r="CY43" s="4"/>
      <c r="CZ43" s="4"/>
      <c r="DA43" s="4"/>
      <c r="DB43" s="4"/>
      <c r="DC43" s="4"/>
      <c r="DD43" s="4"/>
      <c r="DE43" s="4"/>
      <c r="DF43" s="4"/>
      <c r="DG43" s="4"/>
      <c r="DH43" s="4"/>
      <c r="DI43" s="4"/>
      <c r="DJ43" s="4"/>
      <c r="DK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row>
    <row r="44" spans="25:160">
      <c r="CU44" s="4"/>
      <c r="CV44" s="4"/>
      <c r="CY44" s="4"/>
      <c r="CZ44" s="5"/>
      <c r="DA44" s="4"/>
      <c r="DB44" s="4"/>
      <c r="DC44" s="4"/>
      <c r="DD44" s="4"/>
      <c r="DE44" s="4"/>
      <c r="DF44" s="4"/>
      <c r="DG44" s="4"/>
      <c r="DH44" s="4"/>
      <c r="DI44" s="4"/>
      <c r="DJ44" s="4"/>
      <c r="DK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row>
    <row r="45" spans="25:160">
      <c r="CU45" s="4"/>
      <c r="CV45" s="4"/>
      <c r="CY45" s="4"/>
      <c r="CZ45" s="4"/>
      <c r="DA45" s="4"/>
      <c r="DB45" s="4"/>
      <c r="DC45" s="4"/>
      <c r="DD45" s="4"/>
      <c r="DE45" s="4"/>
      <c r="DF45" s="4"/>
      <c r="DG45" s="4"/>
      <c r="DH45" s="4"/>
      <c r="DI45" s="4"/>
      <c r="DJ45" s="4"/>
      <c r="DK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row>
    <row r="46" spans="25:160">
      <c r="CU46" s="4"/>
      <c r="CV46" s="4"/>
      <c r="CY46" s="4"/>
      <c r="CZ46" s="5"/>
      <c r="DA46" s="4"/>
      <c r="DB46" s="4"/>
      <c r="DC46" s="4"/>
      <c r="DD46" s="4"/>
      <c r="DE46" s="4"/>
      <c r="DF46" s="4"/>
      <c r="DG46" s="4"/>
      <c r="DH46" s="4"/>
      <c r="DI46" s="4"/>
      <c r="DJ46" s="4"/>
      <c r="DK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row>
    <row r="47" spans="25:160">
      <c r="CU47" s="4"/>
      <c r="CV47" s="4"/>
      <c r="CY47" s="4"/>
      <c r="CZ47" s="5"/>
      <c r="DA47" s="229"/>
      <c r="EA47" s="4"/>
      <c r="EB47" s="4"/>
      <c r="EC47" s="4"/>
      <c r="ED47" s="4"/>
      <c r="EE47" s="4"/>
      <c r="EF47" s="4"/>
      <c r="EG47" s="4"/>
      <c r="EH47" s="4"/>
      <c r="EI47" s="4"/>
      <c r="EJ47" s="4"/>
      <c r="EK47" s="4"/>
      <c r="EL47" s="4"/>
      <c r="EM47" s="4"/>
      <c r="EN47" s="4"/>
      <c r="EO47" s="4"/>
      <c r="EP47" s="4"/>
      <c r="EQ47" s="4"/>
      <c r="ER47" s="4"/>
      <c r="ES47" s="4"/>
      <c r="ET47" s="4"/>
      <c r="FC47" s="4"/>
      <c r="FD47" s="4"/>
    </row>
    <row r="48" spans="25:160">
      <c r="CU48" s="4"/>
      <c r="CV48" s="4"/>
      <c r="CY48" s="4"/>
      <c r="CZ48" s="5"/>
      <c r="DA48" s="4"/>
      <c r="DB48" s="4"/>
      <c r="DC48" s="4"/>
      <c r="DD48" s="4"/>
      <c r="DE48" s="4"/>
      <c r="DF48" s="4"/>
      <c r="DG48" s="4"/>
      <c r="DH48" s="4"/>
      <c r="DI48" s="4"/>
      <c r="DJ48" s="4"/>
      <c r="DK48" s="4"/>
      <c r="DW48" s="4"/>
      <c r="DX48" s="4"/>
      <c r="DY48" s="4"/>
      <c r="DZ48" s="4"/>
      <c r="EA48" s="4"/>
      <c r="EB48" s="4"/>
      <c r="EC48" s="4"/>
      <c r="ED48" s="4"/>
      <c r="EE48" s="4"/>
      <c r="EF48" s="4"/>
      <c r="EG48" s="4"/>
      <c r="EH48" s="4"/>
      <c r="EI48" s="4"/>
      <c r="EJ48" s="4"/>
      <c r="EK48" s="4"/>
      <c r="EL48" s="4"/>
      <c r="EM48" s="4"/>
      <c r="EN48" s="4"/>
      <c r="EO48" s="4"/>
      <c r="EP48" s="4"/>
      <c r="EQ48" s="4"/>
      <c r="ER48" s="4"/>
      <c r="ES48" s="4"/>
      <c r="ET48" s="4"/>
      <c r="EV48" s="4"/>
      <c r="EW48" s="4"/>
      <c r="EX48" s="4"/>
      <c r="EY48" s="4"/>
      <c r="EZ48" s="4"/>
      <c r="FA48" s="4"/>
      <c r="FB48" s="4"/>
      <c r="FC48" s="4"/>
      <c r="FD48" s="4"/>
    </row>
    <row r="49" spans="99:160">
      <c r="CU49" s="4"/>
      <c r="CV49" s="4"/>
      <c r="CY49" s="4"/>
      <c r="CZ49" s="5"/>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row>
    <row r="50" spans="99:160">
      <c r="CU50" s="4"/>
      <c r="CV50" s="4"/>
      <c r="CW50" s="5"/>
      <c r="CX50" s="4"/>
      <c r="CY50" s="4"/>
      <c r="CZ50" s="5"/>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row>
    <row r="51" spans="99:160">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row>
    <row r="52" spans="99:160">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row>
    <row r="53" spans="99:160">
      <c r="CU53" s="4"/>
      <c r="CV53" s="4"/>
      <c r="CW53" s="4"/>
      <c r="CX53" s="4"/>
      <c r="CY53" s="4"/>
      <c r="CZ53" s="4"/>
      <c r="DB53" s="229"/>
      <c r="EB53" s="4"/>
      <c r="EC53" s="4"/>
      <c r="ED53" s="4"/>
      <c r="EE53" s="4"/>
      <c r="EF53" s="4"/>
      <c r="EG53" s="4"/>
      <c r="EH53" s="4"/>
      <c r="EI53" s="4"/>
      <c r="EJ53" s="4"/>
      <c r="EK53" s="4"/>
      <c r="EL53" s="4"/>
      <c r="EM53" s="4"/>
      <c r="EN53" s="4"/>
      <c r="EO53" s="4"/>
      <c r="EP53" s="4"/>
      <c r="EQ53" s="4"/>
      <c r="ER53" s="4"/>
      <c r="ES53" s="4"/>
      <c r="ET53" s="4"/>
      <c r="EU53" s="4"/>
    </row>
    <row r="54" spans="99:160">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row>
  </sheetData>
  <sheetProtection formatCells="0" formatColumns="0" formatRows="0" insertColumns="0" insertHyperlinks="0" deleteColumns="0" deleteRows="0" selectLockedCells="1" sort="0" autoFilter="0"/>
  <mergeCells count="104">
    <mergeCell ref="Y32:Z32"/>
    <mergeCell ref="AA32:AC32"/>
    <mergeCell ref="AD32:AZ32"/>
    <mergeCell ref="BA32:BT32"/>
    <mergeCell ref="Y33:Z33"/>
    <mergeCell ref="AA33:AC33"/>
    <mergeCell ref="AD33:AZ33"/>
    <mergeCell ref="BA33:BT33"/>
    <mergeCell ref="Y30:Z30"/>
    <mergeCell ref="AA30:AC30"/>
    <mergeCell ref="AD30:AZ30"/>
    <mergeCell ref="BA30:BT30"/>
    <mergeCell ref="Y31:Z31"/>
    <mergeCell ref="AA31:AC31"/>
    <mergeCell ref="AD31:AZ31"/>
    <mergeCell ref="BA31:BT31"/>
    <mergeCell ref="Y6:BT6"/>
    <mergeCell ref="Y28:Z28"/>
    <mergeCell ref="AA28:AC28"/>
    <mergeCell ref="AD28:AZ28"/>
    <mergeCell ref="BA28:BT28"/>
    <mergeCell ref="Y29:Z29"/>
    <mergeCell ref="AA29:AC29"/>
    <mergeCell ref="AD29:AZ29"/>
    <mergeCell ref="BA29:BT29"/>
    <mergeCell ref="AD25:AZ25"/>
    <mergeCell ref="BA25:BT25"/>
    <mergeCell ref="AD26:AZ26"/>
    <mergeCell ref="BA26:BT26"/>
    <mergeCell ref="AD27:AZ27"/>
    <mergeCell ref="BA27:BT27"/>
    <mergeCell ref="AD22:AZ22"/>
    <mergeCell ref="BA22:BT22"/>
    <mergeCell ref="AD23:AZ23"/>
    <mergeCell ref="BA23:BT23"/>
    <mergeCell ref="AD24:AZ24"/>
    <mergeCell ref="BA24:BT24"/>
    <mergeCell ref="AA22:AC22"/>
    <mergeCell ref="AA23:AC23"/>
    <mergeCell ref="AA24:AC24"/>
    <mergeCell ref="AA25:AC25"/>
    <mergeCell ref="AA26:AC26"/>
    <mergeCell ref="AA27:AC27"/>
    <mergeCell ref="AA16:AC16"/>
    <mergeCell ref="AA17:AC17"/>
    <mergeCell ref="AA18:AC18"/>
    <mergeCell ref="AA19:AC19"/>
    <mergeCell ref="AA20:AC20"/>
    <mergeCell ref="AA21:AC21"/>
    <mergeCell ref="BA16:BT16"/>
    <mergeCell ref="BA17:BT17"/>
    <mergeCell ref="BA18:BT18"/>
    <mergeCell ref="BA19:BT19"/>
    <mergeCell ref="BA20:BT20"/>
    <mergeCell ref="BA21:BT21"/>
    <mergeCell ref="AD17:AZ17"/>
    <mergeCell ref="AD18:AZ18"/>
    <mergeCell ref="AD19:AZ19"/>
    <mergeCell ref="AD20:AZ20"/>
    <mergeCell ref="AD21:AZ21"/>
    <mergeCell ref="AD16:AZ16"/>
    <mergeCell ref="BA11:BT11"/>
    <mergeCell ref="BA12:BT12"/>
    <mergeCell ref="BA13:BT13"/>
    <mergeCell ref="BA14:BT14"/>
    <mergeCell ref="BA15:BT15"/>
    <mergeCell ref="AD11:AZ11"/>
    <mergeCell ref="AD12:AZ12"/>
    <mergeCell ref="AD13:AZ13"/>
    <mergeCell ref="AD14:AZ14"/>
    <mergeCell ref="AD15:AZ15"/>
    <mergeCell ref="Y9:Z9"/>
    <mergeCell ref="AA9:AC9"/>
    <mergeCell ref="AA13:AC13"/>
    <mergeCell ref="AA14:AC14"/>
    <mergeCell ref="AA15:AC15"/>
    <mergeCell ref="Y14:Z14"/>
    <mergeCell ref="Y15:Z15"/>
    <mergeCell ref="Y12:Z12"/>
    <mergeCell ref="Y13:Z13"/>
    <mergeCell ref="CB36:CM38"/>
    <mergeCell ref="Y8:BT8"/>
    <mergeCell ref="Y10:Z10"/>
    <mergeCell ref="Y11:Z11"/>
    <mergeCell ref="AA10:AC10"/>
    <mergeCell ref="M3:V3"/>
    <mergeCell ref="Y26:Z26"/>
    <mergeCell ref="Y27:Z27"/>
    <mergeCell ref="Y24:Z24"/>
    <mergeCell ref="Y25:Z25"/>
    <mergeCell ref="Y22:Z22"/>
    <mergeCell ref="Y23:Z23"/>
    <mergeCell ref="Y20:Z20"/>
    <mergeCell ref="Y21:Z21"/>
    <mergeCell ref="Y16:Z16"/>
    <mergeCell ref="Y17:Z17"/>
    <mergeCell ref="BA10:BT10"/>
    <mergeCell ref="AD10:AZ10"/>
    <mergeCell ref="AD9:AZ9"/>
    <mergeCell ref="BA9:BT9"/>
    <mergeCell ref="Y18:Z18"/>
    <mergeCell ref="Y19:Z19"/>
    <mergeCell ref="AA11:AC11"/>
    <mergeCell ref="AA12:AC12"/>
  </mergeCells>
  <printOptions horizontalCentered="1"/>
  <pageMargins left="0.7" right="0.7" top="0.75" bottom="0.75" header="0.3" footer="0.3"/>
  <pageSetup scale="24"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5" id="{CB10ADB5-A91F-48EF-8A53-D2D802F5E872}">
            <x14:iconSet showValue="0" custom="1">
              <x14:cfvo type="percent">
                <xm:f>0</xm:f>
              </x14:cfvo>
              <x14:cfvo type="num">
                <xm:f>0</xm:f>
              </x14:cfvo>
              <x14:cfvo type="num">
                <xm:f>1</xm:f>
              </x14:cfvo>
              <x14:cfIcon iconSet="NoIcons" iconId="0"/>
              <x14:cfIcon iconSet="3Symbols2" iconId="1"/>
              <x14:cfIcon iconSet="3Symbols2" iconId="2"/>
            </x14:iconSet>
          </x14:cfRule>
          <xm:sqref>Y10:Y27</xm:sqref>
        </x14:conditionalFormatting>
        <x14:conditionalFormatting xmlns:xm="http://schemas.microsoft.com/office/excel/2006/main">
          <x14:cfRule type="iconSet" priority="2" id="{4CDDAF37-9716-45CE-A194-4157BDF92757}">
            <x14:iconSet showValue="0" custom="1">
              <x14:cfvo type="percent">
                <xm:f>0</xm:f>
              </x14:cfvo>
              <x14:cfvo type="num">
                <xm:f>0</xm:f>
              </x14:cfvo>
              <x14:cfvo type="num">
                <xm:f>1</xm:f>
              </x14:cfvo>
              <x14:cfIcon iconSet="NoIcons" iconId="0"/>
              <x14:cfIcon iconSet="3Symbols2" iconId="1"/>
              <x14:cfIcon iconSet="3Symbols2" iconId="2"/>
            </x14:iconSet>
          </x14:cfRule>
          <xm:sqref>Y28:Y32</xm:sqref>
        </x14:conditionalFormatting>
        <x14:conditionalFormatting xmlns:xm="http://schemas.microsoft.com/office/excel/2006/main">
          <x14:cfRule type="iconSet" priority="1" id="{E46C4B41-CCF1-45EE-833A-1DA6A8AA1947}">
            <x14:iconSet showValue="0" custom="1">
              <x14:cfvo type="percent">
                <xm:f>0</xm:f>
              </x14:cfvo>
              <x14:cfvo type="num">
                <xm:f>0</xm:f>
              </x14:cfvo>
              <x14:cfvo type="num">
                <xm:f>1</xm:f>
              </x14:cfvo>
              <x14:cfIcon iconSet="NoIcons" iconId="0"/>
              <x14:cfIcon iconSet="3Symbols2" iconId="1"/>
              <x14:cfIcon iconSet="3Symbols2" iconId="2"/>
            </x14:iconSet>
          </x14:cfRule>
          <xm:sqref>Y33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wsFINANCING_SHEET">
    <tabColor theme="1" tint="0.249977111117893"/>
    <pageSetUpPr fitToPage="1"/>
  </sheetPr>
  <dimension ref="B1:FH188"/>
  <sheetViews>
    <sheetView showGridLines="0" showRowColHeaders="0" zoomScaleNormal="100" workbookViewId="0">
      <pane ySplit="4" topLeftCell="A5" activePane="bottomLeft" state="frozen"/>
      <selection pane="bottomLeft" activeCell="CB6" sqref="CB6"/>
    </sheetView>
  </sheetViews>
  <sheetFormatPr defaultColWidth="8.8984375" defaultRowHeight="15"/>
  <cols>
    <col min="1" max="1" width="2.19921875" style="6" customWidth="1"/>
    <col min="2" max="2" width="2.09765625" style="6" customWidth="1"/>
    <col min="3" max="87" width="2" style="6" customWidth="1"/>
    <col min="88" max="88" width="2.09765625" style="6" customWidth="1"/>
    <col min="89" max="103" width="2" style="6" customWidth="1"/>
    <col min="104" max="108" width="1.8984375" style="6" customWidth="1"/>
    <col min="109" max="121" width="2.09765625" style="6" customWidth="1"/>
    <col min="122" max="134" width="2.44921875" style="6" customWidth="1"/>
    <col min="135" max="160" width="2.6484375" style="6" customWidth="1"/>
    <col min="161" max="190" width="2.546875" style="6" customWidth="1"/>
    <col min="191" max="16384" width="8.8984375" style="6"/>
  </cols>
  <sheetData>
    <row r="1" spans="11:160" s="109" customFormat="1" ht="45" customHeight="1"/>
    <row r="2" spans="11:160" s="431" customFormat="1" ht="7.5" customHeight="1"/>
    <row r="3" spans="11:160" s="431" customFormat="1" ht="22.5" customHeight="1">
      <c r="K3" s="569"/>
      <c r="L3" s="569"/>
      <c r="M3" s="1555" t="s">
        <v>1253</v>
      </c>
      <c r="N3" s="1555"/>
      <c r="O3" s="1555"/>
      <c r="P3" s="1555"/>
      <c r="Q3" s="1555"/>
      <c r="R3" s="1555"/>
      <c r="S3" s="1555"/>
      <c r="T3" s="1555"/>
      <c r="U3" s="1555"/>
      <c r="V3" s="1555"/>
      <c r="W3" s="569"/>
      <c r="X3" s="569"/>
      <c r="Y3" s="569"/>
    </row>
    <row r="4" spans="11:160" s="432" customFormat="1" ht="7.5" customHeight="1"/>
    <row r="5" spans="11:160" s="465" customFormat="1" ht="12" customHeight="1" thickBot="1"/>
    <row r="6" spans="11:160" s="4" customFormat="1" ht="26.25" customHeight="1" thickTop="1" thickBot="1">
      <c r="AE6" s="1748">
        <f>IF(1&gt;0,1,0)</f>
        <v>1</v>
      </c>
      <c r="AF6" s="1748"/>
      <c r="AG6" s="1748"/>
      <c r="AH6" s="1749" t="s">
        <v>855</v>
      </c>
      <c r="AI6" s="1750"/>
      <c r="AJ6" s="1750"/>
      <c r="AK6" s="1750"/>
      <c r="AL6" s="1750"/>
      <c r="AM6" s="1750"/>
      <c r="AN6" s="1750"/>
      <c r="AO6" s="1751"/>
      <c r="AP6" s="1748">
        <f>IF(1&gt;0,1,0)</f>
        <v>1</v>
      </c>
      <c r="AQ6" s="1748"/>
      <c r="AR6" s="1742" t="s">
        <v>854</v>
      </c>
      <c r="AS6" s="1742"/>
      <c r="AT6" s="1742"/>
      <c r="AU6" s="1742"/>
      <c r="AV6" s="1742"/>
      <c r="AW6" s="1742"/>
      <c r="AX6" s="1742"/>
      <c r="AY6" s="1742"/>
      <c r="AZ6" s="1742"/>
      <c r="BA6" s="1742"/>
      <c r="BB6" s="1742"/>
      <c r="BC6" s="1742"/>
      <c r="BD6" s="1748">
        <f>IF(1&gt;0,1,0)</f>
        <v>1</v>
      </c>
      <c r="BE6" s="1748"/>
      <c r="BF6" s="1708" t="s">
        <v>856</v>
      </c>
      <c r="BG6" s="1708"/>
      <c r="BH6" s="1708"/>
      <c r="BI6" s="1708"/>
      <c r="BJ6" s="1708"/>
      <c r="BK6" s="1708"/>
      <c r="BL6" s="1708"/>
      <c r="BM6" s="1708"/>
      <c r="BN6" s="1708"/>
    </row>
    <row r="7" spans="11:160" s="4" customFormat="1" ht="12" customHeight="1" thickTop="1">
      <c r="AD7" s="495"/>
      <c r="AE7" s="495"/>
      <c r="AF7" s="495"/>
      <c r="AG7" s="496"/>
      <c r="AH7" s="496"/>
      <c r="AI7" s="496"/>
      <c r="AJ7" s="496"/>
      <c r="AK7" s="496"/>
      <c r="AL7" s="496"/>
      <c r="AM7" s="496"/>
      <c r="AN7" s="496"/>
      <c r="AO7" s="495"/>
      <c r="AP7" s="495"/>
      <c r="AQ7" s="496"/>
      <c r="AR7" s="496"/>
      <c r="AS7" s="496"/>
      <c r="AT7" s="496"/>
      <c r="AU7" s="496"/>
      <c r="AV7" s="496"/>
      <c r="AW7" s="496"/>
      <c r="AX7" s="496"/>
      <c r="AY7" s="496"/>
      <c r="AZ7" s="496"/>
      <c r="BA7" s="496"/>
      <c r="BB7" s="496"/>
      <c r="BC7" s="496"/>
      <c r="BD7" s="495"/>
      <c r="BE7" s="495"/>
      <c r="BF7" s="496"/>
      <c r="BG7" s="496"/>
      <c r="BH7" s="496"/>
      <c r="BI7" s="496"/>
      <c r="BJ7" s="496"/>
      <c r="BK7" s="496"/>
      <c r="BL7" s="496"/>
      <c r="BM7" s="496"/>
      <c r="BN7" s="496"/>
    </row>
    <row r="8" spans="11:160" s="4" customFormat="1" ht="26.25" customHeight="1">
      <c r="T8" s="1752" t="s">
        <v>1015</v>
      </c>
      <c r="U8" s="1753"/>
      <c r="V8" s="1753"/>
      <c r="W8" s="1753"/>
      <c r="X8" s="1753"/>
      <c r="Y8" s="1753"/>
      <c r="Z8" s="1753"/>
      <c r="AA8" s="1753"/>
      <c r="AB8" s="1753"/>
      <c r="AC8" s="1753"/>
      <c r="AD8" s="1753"/>
      <c r="AE8" s="1753"/>
      <c r="AF8" s="1753"/>
      <c r="AG8" s="1753"/>
      <c r="AH8" s="1753"/>
      <c r="AI8" s="1753"/>
      <c r="AJ8" s="1753"/>
      <c r="AK8" s="1753"/>
      <c r="AL8" s="1753"/>
      <c r="AM8" s="1753"/>
      <c r="AN8" s="1753"/>
      <c r="AO8" s="1753"/>
      <c r="AP8" s="1753"/>
      <c r="AQ8" s="1753"/>
      <c r="AR8" s="1753"/>
      <c r="AS8" s="1753"/>
      <c r="AT8" s="1753"/>
      <c r="AU8" s="1753"/>
      <c r="AV8" s="1753"/>
      <c r="AW8" s="1753"/>
      <c r="AX8" s="1753"/>
      <c r="AY8" s="1753"/>
      <c r="AZ8" s="1753"/>
      <c r="BA8" s="1753"/>
      <c r="BB8" s="1753"/>
      <c r="BC8" s="1753"/>
      <c r="BD8" s="1753"/>
      <c r="BE8" s="1753"/>
      <c r="BF8" s="1753"/>
      <c r="BG8" s="1753"/>
      <c r="BH8" s="1753"/>
      <c r="BI8" s="1753"/>
      <c r="BJ8" s="1753"/>
      <c r="BK8" s="1753"/>
      <c r="BL8" s="1753"/>
      <c r="BM8" s="1753"/>
      <c r="BN8" s="1753"/>
      <c r="BO8" s="1753"/>
      <c r="BP8" s="1753"/>
      <c r="BQ8" s="1753"/>
      <c r="BR8" s="1753"/>
      <c r="BS8" s="1753"/>
      <c r="BT8" s="1753"/>
      <c r="BU8" s="1753"/>
      <c r="BV8" s="1753"/>
      <c r="BW8" s="1753"/>
      <c r="BX8" s="1753"/>
      <c r="BY8" s="1754"/>
    </row>
    <row r="9" spans="11:160" ht="23.25" customHeight="1">
      <c r="T9" s="1693" t="s">
        <v>1190</v>
      </c>
      <c r="U9" s="1694"/>
      <c r="V9" s="1694"/>
      <c r="W9" s="1694"/>
      <c r="X9" s="1694"/>
      <c r="Y9" s="1694"/>
      <c r="Z9" s="1694"/>
      <c r="AA9" s="1694"/>
      <c r="AB9" s="1694"/>
      <c r="AC9" s="1694"/>
      <c r="AD9" s="1694"/>
      <c r="AE9" s="1694"/>
      <c r="AF9" s="1694"/>
      <c r="AG9" s="1694"/>
      <c r="AH9" s="1694"/>
      <c r="AI9" s="1694"/>
      <c r="AJ9" s="1694"/>
      <c r="AK9" s="1694"/>
      <c r="AL9" s="1694"/>
      <c r="AM9" s="1694"/>
      <c r="AN9" s="1694"/>
      <c r="AO9" s="1694"/>
      <c r="AP9" s="1694"/>
      <c r="AQ9" s="1694"/>
      <c r="AR9" s="1694"/>
      <c r="AS9" s="1694"/>
      <c r="AT9" s="1694"/>
      <c r="AU9" s="1694"/>
      <c r="AV9" s="1694"/>
      <c r="AW9" s="1694"/>
      <c r="AX9" s="1694"/>
      <c r="AY9" s="1694"/>
      <c r="AZ9" s="1694"/>
      <c r="BA9" s="1694"/>
      <c r="BB9" s="1694"/>
      <c r="BC9" s="1694"/>
      <c r="BD9" s="1694"/>
      <c r="BE9" s="1694"/>
      <c r="BF9" s="1694"/>
      <c r="BG9" s="1694"/>
      <c r="BH9" s="1694"/>
      <c r="BI9" s="1694"/>
      <c r="BJ9" s="1694"/>
      <c r="BK9" s="1694"/>
      <c r="BL9" s="1694"/>
      <c r="BM9" s="1694"/>
      <c r="BN9" s="1694"/>
      <c r="BO9" s="1694"/>
      <c r="BP9" s="1694"/>
      <c r="BQ9" s="1694"/>
      <c r="BR9" s="1694"/>
      <c r="BS9" s="1694"/>
      <c r="BT9" s="1694"/>
      <c r="BU9" s="1694"/>
      <c r="BV9" s="1694"/>
      <c r="BW9" s="1694"/>
      <c r="BX9" s="1694"/>
      <c r="BY9" s="1695"/>
    </row>
    <row r="10" spans="11:160" s="4" customFormat="1" ht="19.5" customHeight="1">
      <c r="T10" s="297"/>
      <c r="U10" s="292"/>
      <c r="V10" s="292"/>
      <c r="W10" s="292"/>
      <c r="X10" s="292"/>
      <c r="Y10" s="292"/>
      <c r="Z10" s="292"/>
      <c r="AA10" s="292"/>
      <c r="AB10" s="292"/>
      <c r="AC10" s="292"/>
      <c r="AD10" s="292"/>
      <c r="AE10" s="292"/>
      <c r="AF10" s="292"/>
      <c r="AG10" s="292"/>
      <c r="AH10" s="292"/>
      <c r="AI10" s="292"/>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304"/>
      <c r="BK10" s="304"/>
      <c r="BL10" s="304"/>
      <c r="BM10" s="304"/>
      <c r="BN10" s="304"/>
      <c r="BO10" s="304"/>
      <c r="BP10" s="304"/>
      <c r="BQ10" s="304"/>
      <c r="BR10" s="304"/>
      <c r="BS10" s="304"/>
      <c r="BT10" s="304"/>
      <c r="BU10" s="304"/>
      <c r="BV10" s="304"/>
      <c r="BW10" s="304"/>
      <c r="BX10" s="304"/>
      <c r="BY10" s="299"/>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row>
    <row r="11" spans="11:160" s="4" customFormat="1" ht="25.5" customHeight="1">
      <c r="T11" s="295"/>
      <c r="U11" s="152"/>
      <c r="V11" s="1709"/>
      <c r="W11" s="1710"/>
      <c r="X11" s="1685" t="s">
        <v>373</v>
      </c>
      <c r="Y11" s="1686"/>
      <c r="Z11" s="1686"/>
      <c r="AA11" s="1686"/>
      <c r="AB11" s="1686"/>
      <c r="AC11" s="1686"/>
      <c r="AD11" s="1686"/>
      <c r="AE11" s="1686"/>
      <c r="AF11" s="1686"/>
      <c r="AG11" s="1687"/>
      <c r="AH11" s="298"/>
      <c r="AI11" s="1709"/>
      <c r="AJ11" s="1710"/>
      <c r="AK11" s="1685" t="s">
        <v>1644</v>
      </c>
      <c r="AL11" s="1686"/>
      <c r="AM11" s="1686"/>
      <c r="AN11" s="1686"/>
      <c r="AO11" s="1686"/>
      <c r="AP11" s="1686"/>
      <c r="AQ11" s="1686"/>
      <c r="AR11" s="1686"/>
      <c r="AS11" s="1686"/>
      <c r="AT11" s="1686"/>
      <c r="AU11" s="1687"/>
      <c r="AV11" s="298"/>
      <c r="AW11" s="1709"/>
      <c r="AX11" s="1710"/>
      <c r="AY11" s="1685" t="s">
        <v>1645</v>
      </c>
      <c r="AZ11" s="1686"/>
      <c r="BA11" s="1686"/>
      <c r="BB11" s="1686"/>
      <c r="BC11" s="1686"/>
      <c r="BD11" s="1686"/>
      <c r="BE11" s="1686"/>
      <c r="BF11" s="1686"/>
      <c r="BG11" s="1686"/>
      <c r="BH11" s="1686"/>
      <c r="BI11" s="1687"/>
      <c r="BJ11" s="298"/>
      <c r="BK11" s="1709"/>
      <c r="BL11" s="1710"/>
      <c r="BM11" s="1685" t="s">
        <v>1620</v>
      </c>
      <c r="BN11" s="1686"/>
      <c r="BO11" s="1686"/>
      <c r="BP11" s="1686"/>
      <c r="BQ11" s="1686"/>
      <c r="BR11" s="1686"/>
      <c r="BS11" s="1686"/>
      <c r="BT11" s="1686"/>
      <c r="BU11" s="1686"/>
      <c r="BV11" s="1686"/>
      <c r="BW11" s="1687"/>
      <c r="BX11" s="293"/>
      <c r="BY11" s="296"/>
    </row>
    <row r="12" spans="11:160" s="4" customFormat="1" ht="19.5" customHeight="1">
      <c r="T12" s="297"/>
      <c r="U12" s="292"/>
      <c r="V12" s="292"/>
      <c r="W12" s="292"/>
      <c r="X12" s="292"/>
      <c r="Y12" s="292"/>
      <c r="Z12" s="292"/>
      <c r="AA12" s="292"/>
      <c r="AB12" s="292"/>
      <c r="AC12" s="292"/>
      <c r="AD12" s="292"/>
      <c r="AE12" s="292"/>
      <c r="AF12" s="292"/>
      <c r="AG12" s="292"/>
      <c r="AH12" s="292"/>
      <c r="AI12" s="292"/>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304"/>
      <c r="BK12" s="304"/>
      <c r="BL12" s="304"/>
      <c r="BM12" s="304"/>
      <c r="BN12" s="304"/>
      <c r="BO12" s="304"/>
      <c r="BP12" s="304"/>
      <c r="BQ12" s="304"/>
      <c r="BR12" s="304"/>
      <c r="BS12" s="304"/>
      <c r="BT12" s="304"/>
      <c r="BU12" s="304"/>
      <c r="BV12" s="304"/>
      <c r="BW12" s="304"/>
      <c r="BX12" s="304"/>
      <c r="BY12" s="299"/>
      <c r="CZ12" s="10"/>
      <c r="DA12" s="10"/>
    </row>
    <row r="13" spans="11:160" ht="23.25" hidden="1" customHeight="1">
      <c r="T13" s="1693" t="s">
        <v>1191</v>
      </c>
      <c r="U13" s="1694"/>
      <c r="V13" s="1694"/>
      <c r="W13" s="1694"/>
      <c r="X13" s="1694"/>
      <c r="Y13" s="1694"/>
      <c r="Z13" s="1694"/>
      <c r="AA13" s="1694"/>
      <c r="AB13" s="1694"/>
      <c r="AC13" s="1694"/>
      <c r="AD13" s="1694"/>
      <c r="AE13" s="1694"/>
      <c r="AF13" s="1694"/>
      <c r="AG13" s="1694"/>
      <c r="AH13" s="1694"/>
      <c r="AI13" s="1694"/>
      <c r="AJ13" s="1694"/>
      <c r="AK13" s="1694"/>
      <c r="AL13" s="1694"/>
      <c r="AM13" s="1694"/>
      <c r="AN13" s="1694"/>
      <c r="AO13" s="1694"/>
      <c r="AP13" s="1694"/>
      <c r="AQ13" s="1694"/>
      <c r="AR13" s="1694"/>
      <c r="AS13" s="1694"/>
      <c r="AT13" s="1694"/>
      <c r="AU13" s="1694"/>
      <c r="AV13" s="1694"/>
      <c r="AW13" s="1694"/>
      <c r="AX13" s="1694"/>
      <c r="AY13" s="1694"/>
      <c r="AZ13" s="1694"/>
      <c r="BA13" s="1694"/>
      <c r="BB13" s="1694"/>
      <c r="BC13" s="1694"/>
      <c r="BD13" s="1694"/>
      <c r="BE13" s="1694"/>
      <c r="BF13" s="1694"/>
      <c r="BG13" s="1694"/>
      <c r="BH13" s="1694"/>
      <c r="BI13" s="1694"/>
      <c r="BJ13" s="1694"/>
      <c r="BK13" s="1694"/>
      <c r="BL13" s="1694"/>
      <c r="BM13" s="1694"/>
      <c r="BN13" s="1694"/>
      <c r="BO13" s="1694"/>
      <c r="BP13" s="1694"/>
      <c r="BQ13" s="1694"/>
      <c r="BR13" s="1694"/>
      <c r="BS13" s="1694"/>
      <c r="BT13" s="1694"/>
      <c r="BU13" s="1694"/>
      <c r="BV13" s="1694"/>
      <c r="BW13" s="1694"/>
      <c r="BX13" s="1694"/>
      <c r="BY13" s="1695"/>
      <c r="CU13" s="4"/>
      <c r="CV13" s="4"/>
      <c r="CW13" s="4"/>
      <c r="CX13" s="4"/>
      <c r="CY13" s="4"/>
      <c r="CZ13" s="10"/>
      <c r="DA13" s="10"/>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row>
    <row r="14" spans="11:160" s="4" customFormat="1" ht="19.5" hidden="1" customHeight="1">
      <c r="T14" s="297"/>
      <c r="U14" s="292"/>
      <c r="V14" s="292"/>
      <c r="W14" s="292"/>
      <c r="X14" s="292"/>
      <c r="Y14" s="292"/>
      <c r="Z14" s="292"/>
      <c r="AA14" s="292"/>
      <c r="AB14" s="292"/>
      <c r="AC14" s="292"/>
      <c r="AD14" s="292"/>
      <c r="AE14" s="292"/>
      <c r="AF14" s="292"/>
      <c r="AG14" s="292"/>
      <c r="AH14" s="301"/>
      <c r="AI14" s="301"/>
      <c r="AJ14" s="302"/>
      <c r="AK14" s="302"/>
      <c r="AL14" s="302"/>
      <c r="AM14" s="302"/>
      <c r="AN14" s="302"/>
      <c r="AO14" s="302"/>
      <c r="AP14" s="302"/>
      <c r="AQ14" s="302"/>
      <c r="AR14" s="302"/>
      <c r="AS14" s="302"/>
      <c r="AT14" s="302"/>
      <c r="AU14" s="298"/>
      <c r="AV14" s="298"/>
      <c r="AW14" s="298"/>
      <c r="AX14" s="298"/>
      <c r="AY14" s="298"/>
      <c r="AZ14" s="302"/>
      <c r="BA14" s="302"/>
      <c r="BB14" s="302"/>
      <c r="BC14" s="302"/>
      <c r="BD14" s="302"/>
      <c r="BE14" s="302"/>
      <c r="BF14" s="302"/>
      <c r="BG14" s="302"/>
      <c r="BH14" s="302"/>
      <c r="BI14" s="302"/>
      <c r="BJ14" s="301"/>
      <c r="BK14" s="301"/>
      <c r="BL14" s="301"/>
      <c r="BM14" s="292"/>
      <c r="BN14" s="292"/>
      <c r="BO14" s="292"/>
      <c r="BP14" s="292"/>
      <c r="BQ14" s="292"/>
      <c r="BR14" s="292"/>
      <c r="BS14" s="292"/>
      <c r="BT14" s="292"/>
      <c r="BU14" s="292"/>
      <c r="BV14" s="292"/>
      <c r="BW14" s="292"/>
      <c r="BX14" s="292"/>
      <c r="BY14" s="299"/>
      <c r="CZ14" s="10"/>
      <c r="DA14" s="10"/>
    </row>
    <row r="15" spans="11:160" s="4" customFormat="1" ht="25.5" hidden="1" customHeight="1">
      <c r="T15" s="295"/>
      <c r="U15" s="152"/>
      <c r="V15" s="152"/>
      <c r="W15" s="152"/>
      <c r="X15" s="152"/>
      <c r="Y15" s="152"/>
      <c r="Z15" s="152"/>
      <c r="AA15" s="152"/>
      <c r="AB15" s="152"/>
      <c r="AC15" s="152"/>
      <c r="AD15" s="152"/>
      <c r="AE15" s="1758"/>
      <c r="AF15" s="1758"/>
      <c r="AG15" s="152"/>
      <c r="AH15" s="1709"/>
      <c r="AI15" s="1710"/>
      <c r="AJ15" s="1755" t="s">
        <v>1192</v>
      </c>
      <c r="AK15" s="1756"/>
      <c r="AL15" s="1756"/>
      <c r="AM15" s="1756"/>
      <c r="AN15" s="1756"/>
      <c r="AO15" s="1756"/>
      <c r="AP15" s="1756"/>
      <c r="AQ15" s="1756"/>
      <c r="AR15" s="1756"/>
      <c r="AS15" s="1756"/>
      <c r="AT15" s="1757"/>
      <c r="AU15" s="298"/>
      <c r="AV15" s="298"/>
      <c r="AW15" s="298"/>
      <c r="AX15" s="298"/>
      <c r="AY15" s="298"/>
      <c r="AZ15" s="1709"/>
      <c r="BA15" s="1710"/>
      <c r="BB15" s="1755" t="s">
        <v>1193</v>
      </c>
      <c r="BC15" s="1756"/>
      <c r="BD15" s="1756"/>
      <c r="BE15" s="1756"/>
      <c r="BF15" s="1756"/>
      <c r="BG15" s="1756"/>
      <c r="BH15" s="1756"/>
      <c r="BI15" s="1756"/>
      <c r="BJ15" s="1756"/>
      <c r="BK15" s="1756"/>
      <c r="BL15" s="1757"/>
      <c r="BM15" s="293"/>
      <c r="BN15" s="293"/>
      <c r="BO15" s="293"/>
      <c r="BP15" s="293"/>
      <c r="BQ15" s="293"/>
      <c r="BR15" s="293"/>
      <c r="BS15" s="293"/>
      <c r="BT15" s="293"/>
      <c r="BU15" s="293"/>
      <c r="BV15" s="293"/>
      <c r="BW15" s="294"/>
      <c r="BX15" s="293"/>
      <c r="BY15" s="296"/>
      <c r="CZ15" s="10"/>
      <c r="DA15" s="10"/>
    </row>
    <row r="16" spans="11:160" s="4" customFormat="1" ht="19.5" hidden="1" customHeight="1">
      <c r="T16" s="300"/>
      <c r="U16" s="301"/>
      <c r="V16" s="301"/>
      <c r="W16" s="301"/>
      <c r="X16" s="301"/>
      <c r="Y16" s="301"/>
      <c r="Z16" s="301"/>
      <c r="AA16" s="301"/>
      <c r="AB16" s="301"/>
      <c r="AC16" s="301"/>
      <c r="AD16" s="301"/>
      <c r="AE16" s="301"/>
      <c r="AF16" s="301"/>
      <c r="AG16" s="301"/>
      <c r="AH16" s="301"/>
      <c r="AI16" s="301"/>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1"/>
      <c r="BK16" s="301"/>
      <c r="BL16" s="301"/>
      <c r="BM16" s="301"/>
      <c r="BN16" s="301"/>
      <c r="BO16" s="301"/>
      <c r="BP16" s="301"/>
      <c r="BQ16" s="301"/>
      <c r="BR16" s="301"/>
      <c r="BS16" s="301"/>
      <c r="BT16" s="301"/>
      <c r="BU16" s="301"/>
      <c r="BV16" s="301"/>
      <c r="BW16" s="301"/>
      <c r="BX16" s="301"/>
      <c r="BY16" s="303"/>
      <c r="CZ16" s="10"/>
      <c r="DA16" s="10"/>
    </row>
    <row r="17" spans="2:105" s="4" customFormat="1" ht="11.25" customHeight="1">
      <c r="T17" s="285"/>
      <c r="U17" s="286"/>
      <c r="V17" s="286"/>
      <c r="W17" s="286"/>
      <c r="X17" s="286"/>
      <c r="Y17" s="286"/>
      <c r="Z17" s="286"/>
      <c r="AA17" s="286"/>
      <c r="AB17" s="286"/>
      <c r="AC17" s="286"/>
      <c r="AD17" s="286"/>
      <c r="AE17" s="286"/>
      <c r="AF17" s="286"/>
      <c r="AG17" s="287"/>
      <c r="AH17" s="287"/>
      <c r="AI17" s="287"/>
      <c r="AJ17" s="287"/>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c r="BW17" s="288"/>
      <c r="BX17" s="287"/>
      <c r="BY17" s="287"/>
      <c r="CZ17" s="10"/>
      <c r="DA17" s="10"/>
    </row>
    <row r="18" spans="2:105" s="4" customFormat="1" ht="25.7" hidden="1">
      <c r="T18" s="783"/>
      <c r="U18" s="784"/>
      <c r="V18" s="785"/>
      <c r="W18" s="785"/>
      <c r="X18" s="784"/>
      <c r="Y18" s="784"/>
      <c r="Z18" s="784"/>
      <c r="AA18" s="784"/>
      <c r="AB18" s="784"/>
      <c r="AC18" s="784"/>
      <c r="AD18" s="784"/>
      <c r="AE18" s="784"/>
      <c r="AF18" s="784"/>
      <c r="AG18" s="784"/>
      <c r="AH18" s="784"/>
      <c r="AI18" s="784"/>
      <c r="AJ18" s="784"/>
      <c r="AK18" s="784"/>
      <c r="AL18" s="784"/>
      <c r="AM18" s="784"/>
      <c r="AN18" s="786"/>
      <c r="AO18" s="1688" t="s">
        <v>859</v>
      </c>
      <c r="AP18" s="1689"/>
      <c r="AQ18" s="1689"/>
      <c r="AR18" s="1689"/>
      <c r="AS18" s="1689"/>
      <c r="AT18" s="1689"/>
      <c r="AU18" s="1689"/>
      <c r="AV18" s="1689"/>
      <c r="AW18" s="1689"/>
      <c r="AX18" s="1689"/>
      <c r="AY18" s="1689"/>
      <c r="AZ18" s="1689"/>
      <c r="BA18" s="1689"/>
      <c r="BB18" s="1689"/>
      <c r="BC18" s="1689"/>
      <c r="BD18" s="1705" t="s">
        <v>860</v>
      </c>
      <c r="BE18" s="1706"/>
      <c r="BF18" s="1706"/>
      <c r="BG18" s="1706"/>
      <c r="BH18" s="1706"/>
      <c r="BI18" s="1706"/>
      <c r="BJ18" s="1706"/>
      <c r="BK18" s="1706"/>
      <c r="BL18" s="1706"/>
      <c r="BM18" s="1706"/>
      <c r="BN18" s="1706"/>
      <c r="BO18" s="1706"/>
      <c r="BP18" s="1706"/>
      <c r="BQ18" s="1706"/>
      <c r="BR18" s="1706"/>
      <c r="BS18" s="1707"/>
      <c r="BT18" s="787"/>
      <c r="BU18" s="1717">
        <v>15</v>
      </c>
      <c r="BV18" s="1718"/>
      <c r="BW18" s="1718"/>
      <c r="BX18" s="1719"/>
      <c r="BY18" s="788"/>
    </row>
    <row r="19" spans="2:105" ht="23.25" hidden="1" customHeight="1">
      <c r="T19" s="1703" t="s">
        <v>1194</v>
      </c>
      <c r="U19" s="1694"/>
      <c r="V19" s="1694"/>
      <c r="W19" s="1694"/>
      <c r="X19" s="1694"/>
      <c r="Y19" s="1694"/>
      <c r="Z19" s="1694"/>
      <c r="AA19" s="1694"/>
      <c r="AB19" s="1694"/>
      <c r="AC19" s="1694"/>
      <c r="AD19" s="1694"/>
      <c r="AE19" s="1694"/>
      <c r="AF19" s="1694"/>
      <c r="AG19" s="1694"/>
      <c r="AH19" s="1694"/>
      <c r="AI19" s="1694"/>
      <c r="AJ19" s="1694"/>
      <c r="AK19" s="1694"/>
      <c r="AL19" s="1694"/>
      <c r="AM19" s="1694"/>
      <c r="AN19" s="1694"/>
      <c r="AO19" s="1694"/>
      <c r="AP19" s="1694"/>
      <c r="AQ19" s="1694"/>
      <c r="AR19" s="1694"/>
      <c r="AS19" s="1694"/>
      <c r="AT19" s="1694"/>
      <c r="AU19" s="1694"/>
      <c r="AV19" s="1694"/>
      <c r="AW19" s="1694"/>
      <c r="AX19" s="1694"/>
      <c r="AY19" s="1694"/>
      <c r="AZ19" s="1694"/>
      <c r="BA19" s="1694"/>
      <c r="BB19" s="1694"/>
      <c r="BC19" s="1694"/>
      <c r="BD19" s="1694"/>
      <c r="BE19" s="1694"/>
      <c r="BF19" s="1694"/>
      <c r="BG19" s="1694"/>
      <c r="BH19" s="1694"/>
      <c r="BI19" s="1694"/>
      <c r="BJ19" s="1694"/>
      <c r="BK19" s="1694"/>
      <c r="BL19" s="1694"/>
      <c r="BM19" s="1694"/>
      <c r="BN19" s="1694"/>
      <c r="BO19" s="1694"/>
      <c r="BP19" s="1694"/>
      <c r="BQ19" s="1694"/>
      <c r="BR19" s="1694"/>
      <c r="BS19" s="1694"/>
      <c r="BT19" s="1694"/>
      <c r="BU19" s="1694"/>
      <c r="BV19" s="1694"/>
      <c r="BW19" s="1694"/>
      <c r="BX19" s="1694"/>
      <c r="BY19" s="1704"/>
    </row>
    <row r="20" spans="2:105" s="4" customFormat="1" ht="19.5" hidden="1" customHeight="1" thickBot="1">
      <c r="T20" s="789"/>
      <c r="U20" s="665"/>
      <c r="V20" s="665"/>
      <c r="W20" s="665"/>
      <c r="X20" s="665"/>
      <c r="Y20" s="665"/>
      <c r="Z20" s="665"/>
      <c r="AA20" s="665"/>
      <c r="AB20" s="665"/>
      <c r="AC20" s="665"/>
      <c r="AD20" s="665"/>
      <c r="AE20" s="665"/>
      <c r="AF20" s="665"/>
      <c r="AG20" s="665"/>
      <c r="AH20" s="665"/>
      <c r="AI20" s="665"/>
      <c r="AJ20" s="665"/>
      <c r="AK20" s="665"/>
      <c r="AL20" s="665"/>
      <c r="AM20" s="665"/>
      <c r="AN20" s="665"/>
      <c r="AO20" s="665"/>
      <c r="AP20" s="665"/>
      <c r="AQ20" s="665"/>
      <c r="AR20" s="665"/>
      <c r="AS20" s="665"/>
      <c r="AT20" s="665"/>
      <c r="AU20" s="665"/>
      <c r="AV20" s="665"/>
      <c r="AW20" s="665"/>
      <c r="AX20" s="665"/>
      <c r="AY20" s="665"/>
      <c r="AZ20" s="665"/>
      <c r="BA20" s="665"/>
      <c r="BB20" s="665"/>
      <c r="BC20" s="152"/>
      <c r="BD20" s="666"/>
      <c r="BE20" s="666"/>
      <c r="BF20" s="666"/>
      <c r="BG20" s="666"/>
      <c r="BH20" s="666"/>
      <c r="BI20" s="666"/>
      <c r="BJ20" s="666"/>
      <c r="BK20" s="666"/>
      <c r="BL20" s="666"/>
      <c r="BM20" s="666"/>
      <c r="BN20" s="666"/>
      <c r="BO20" s="666"/>
      <c r="BP20" s="666"/>
      <c r="BQ20" s="666"/>
      <c r="BR20" s="666"/>
      <c r="BS20" s="666"/>
      <c r="BT20" s="152"/>
      <c r="BU20" s="667"/>
      <c r="BV20" s="667"/>
      <c r="BW20" s="667"/>
      <c r="BX20" s="667"/>
      <c r="BY20" s="790"/>
    </row>
    <row r="21" spans="2:105" s="4" customFormat="1" ht="21" hidden="1" customHeight="1" thickTop="1">
      <c r="B21" s="1672" t="s">
        <v>1196</v>
      </c>
      <c r="C21" s="1673"/>
      <c r="D21" s="1673"/>
      <c r="E21" s="1673"/>
      <c r="F21" s="1673"/>
      <c r="G21" s="1673"/>
      <c r="H21" s="1673"/>
      <c r="I21" s="1673"/>
      <c r="J21" s="1673"/>
      <c r="K21" s="1673"/>
      <c r="L21" s="1673"/>
      <c r="M21" s="1673"/>
      <c r="N21" s="1673"/>
      <c r="O21" s="1673"/>
      <c r="P21" s="1673"/>
      <c r="Q21" s="1673"/>
      <c r="R21" s="1674"/>
      <c r="T21" s="791"/>
      <c r="U21" s="1690" t="s">
        <v>378</v>
      </c>
      <c r="V21" s="1691"/>
      <c r="W21" s="1691"/>
      <c r="X21" s="1691"/>
      <c r="Y21" s="1691"/>
      <c r="Z21" s="1691"/>
      <c r="AA21" s="1691"/>
      <c r="AB21" s="1692"/>
      <c r="AC21" s="497"/>
      <c r="AD21" s="1690" t="s">
        <v>957</v>
      </c>
      <c r="AE21" s="1691"/>
      <c r="AF21" s="1691"/>
      <c r="AG21" s="1691"/>
      <c r="AH21" s="1691"/>
      <c r="AI21" s="1691"/>
      <c r="AJ21" s="1691"/>
      <c r="AK21" s="1692"/>
      <c r="AL21" s="497"/>
      <c r="AM21" s="1690" t="s">
        <v>903</v>
      </c>
      <c r="AN21" s="1691"/>
      <c r="AO21" s="1691"/>
      <c r="AP21" s="1691"/>
      <c r="AQ21" s="1691"/>
      <c r="AR21" s="1691"/>
      <c r="AS21" s="1691"/>
      <c r="AT21" s="1692"/>
      <c r="AU21" s="152"/>
      <c r="AV21" s="1690" t="s">
        <v>958</v>
      </c>
      <c r="AW21" s="1691"/>
      <c r="AX21" s="1691"/>
      <c r="AY21" s="1691"/>
      <c r="AZ21" s="1691"/>
      <c r="BA21" s="1691"/>
      <c r="BB21" s="1691"/>
      <c r="BC21" s="1692"/>
      <c r="BD21" s="152"/>
      <c r="BE21" s="1690" t="s">
        <v>584</v>
      </c>
      <c r="BF21" s="1691"/>
      <c r="BG21" s="1691"/>
      <c r="BH21" s="1691"/>
      <c r="BI21" s="1691"/>
      <c r="BJ21" s="1691"/>
      <c r="BK21" s="1691"/>
      <c r="BL21" s="1692"/>
      <c r="BM21" s="152"/>
      <c r="BN21" s="1690" t="s">
        <v>956</v>
      </c>
      <c r="BO21" s="1691"/>
      <c r="BP21" s="1691"/>
      <c r="BQ21" s="1691"/>
      <c r="BR21" s="1691"/>
      <c r="BS21" s="1691"/>
      <c r="BT21" s="1691"/>
      <c r="BU21" s="1691"/>
      <c r="BV21" s="1691"/>
      <c r="BW21" s="1691"/>
      <c r="BX21" s="1692"/>
      <c r="BY21" s="792"/>
      <c r="CZ21" s="10"/>
      <c r="DA21" s="10"/>
    </row>
    <row r="22" spans="2:105" s="4" customFormat="1" ht="28.2" hidden="1" customHeight="1" thickBot="1">
      <c r="B22" s="1675"/>
      <c r="C22" s="1676"/>
      <c r="D22" s="1676"/>
      <c r="E22" s="1676"/>
      <c r="F22" s="1676"/>
      <c r="G22" s="1676"/>
      <c r="H22" s="1676"/>
      <c r="I22" s="1676"/>
      <c r="J22" s="1676"/>
      <c r="K22" s="1676"/>
      <c r="L22" s="1676"/>
      <c r="M22" s="1676"/>
      <c r="N22" s="1676"/>
      <c r="O22" s="1676"/>
      <c r="P22" s="1676"/>
      <c r="Q22" s="1676"/>
      <c r="R22" s="1677"/>
      <c r="T22" s="791"/>
      <c r="U22" s="878"/>
      <c r="V22" s="1696">
        <f>'ANALYSIS DATABASE'!C168</f>
        <v>0</v>
      </c>
      <c r="W22" s="1696"/>
      <c r="X22" s="1696"/>
      <c r="Y22" s="1696"/>
      <c r="Z22" s="1696"/>
      <c r="AA22" s="1696"/>
      <c r="AB22" s="1697"/>
      <c r="AC22" s="497"/>
      <c r="AD22" s="878"/>
      <c r="AE22" s="1696">
        <f>TOTAL_REPAIRS_ESTIMATE</f>
        <v>0</v>
      </c>
      <c r="AF22" s="1696"/>
      <c r="AG22" s="1696"/>
      <c r="AH22" s="1696"/>
      <c r="AI22" s="1696"/>
      <c r="AJ22" s="1696"/>
      <c r="AK22" s="1697"/>
      <c r="AL22" s="497"/>
      <c r="AM22" s="782"/>
      <c r="AN22" s="1696">
        <f>V22+AE22</f>
        <v>0</v>
      </c>
      <c r="AO22" s="1696"/>
      <c r="AP22" s="1696"/>
      <c r="AQ22" s="1696"/>
      <c r="AR22" s="1696"/>
      <c r="AS22" s="1696"/>
      <c r="AT22" s="1697"/>
      <c r="AU22" s="152"/>
      <c r="AV22" s="782"/>
      <c r="AW22" s="1696">
        <f>'ANALYSIS DATABASE'!C176</f>
        <v>0</v>
      </c>
      <c r="AX22" s="1696"/>
      <c r="AY22" s="1696"/>
      <c r="AZ22" s="1696"/>
      <c r="BA22" s="1696"/>
      <c r="BB22" s="1696"/>
      <c r="BC22" s="1697"/>
      <c r="BD22" s="152"/>
      <c r="BE22" s="782"/>
      <c r="BF22" s="1696">
        <f>AFTER_REPAIR_VALUE_ESTIMATED</f>
        <v>0</v>
      </c>
      <c r="BG22" s="1696"/>
      <c r="BH22" s="1696"/>
      <c r="BI22" s="1696"/>
      <c r="BJ22" s="1696"/>
      <c r="BK22" s="1696"/>
      <c r="BL22" s="1697"/>
      <c r="BM22" s="152"/>
      <c r="BN22" s="1698"/>
      <c r="BO22" s="1699"/>
      <c r="BP22" s="1740">
        <v>100000</v>
      </c>
      <c r="BQ22" s="1740"/>
      <c r="BR22" s="1740"/>
      <c r="BS22" s="1740"/>
      <c r="BT22" s="1740"/>
      <c r="BU22" s="1740"/>
      <c r="BV22" s="1740"/>
      <c r="BW22" s="1740"/>
      <c r="BX22" s="1741"/>
      <c r="BY22" s="792"/>
      <c r="CK22" s="1743"/>
      <c r="CL22" s="1743"/>
      <c r="CM22" s="1743"/>
      <c r="CN22" s="1743"/>
      <c r="CO22" s="1743"/>
      <c r="CP22" s="1743"/>
      <c r="CQ22" s="1743"/>
      <c r="CR22" s="1743"/>
      <c r="CZ22" s="10"/>
      <c r="DA22" s="10"/>
    </row>
    <row r="23" spans="2:105" s="4" customFormat="1" ht="11.25" hidden="1" customHeight="1" thickTop="1" thickBot="1">
      <c r="T23" s="789"/>
      <c r="U23" s="665"/>
      <c r="V23" s="665"/>
      <c r="W23" s="665"/>
      <c r="X23" s="665"/>
      <c r="Y23" s="665"/>
      <c r="Z23" s="665"/>
      <c r="AA23" s="665"/>
      <c r="AB23" s="665"/>
      <c r="AC23" s="665"/>
      <c r="AD23" s="665"/>
      <c r="AE23" s="665"/>
      <c r="AF23" s="665"/>
      <c r="AG23" s="665"/>
      <c r="AH23" s="665"/>
      <c r="AI23" s="665"/>
      <c r="AJ23" s="665"/>
      <c r="AK23" s="665"/>
      <c r="AL23" s="665"/>
      <c r="AM23" s="665"/>
      <c r="AN23" s="665"/>
      <c r="AO23" s="665"/>
      <c r="AP23" s="665"/>
      <c r="AQ23" s="665"/>
      <c r="AR23" s="665"/>
      <c r="AS23" s="665"/>
      <c r="AT23" s="665"/>
      <c r="AU23" s="665"/>
      <c r="AV23" s="665"/>
      <c r="AW23" s="665"/>
      <c r="AX23" s="665"/>
      <c r="AY23" s="665"/>
      <c r="AZ23" s="665"/>
      <c r="BA23" s="665"/>
      <c r="BB23" s="665"/>
      <c r="BC23" s="152"/>
      <c r="BD23" s="666"/>
      <c r="BE23" s="666"/>
      <c r="BF23" s="666"/>
      <c r="BG23" s="666"/>
      <c r="BH23" s="666"/>
      <c r="BI23" s="666"/>
      <c r="BJ23" s="666"/>
      <c r="BK23" s="666"/>
      <c r="BL23" s="666"/>
      <c r="BM23" s="666"/>
      <c r="BN23" s="666"/>
      <c r="BO23" s="666"/>
      <c r="BP23" s="666"/>
      <c r="BQ23" s="666"/>
      <c r="BR23" s="666"/>
      <c r="BS23" s="666"/>
      <c r="BT23" s="152"/>
      <c r="BU23" s="667"/>
      <c r="BV23" s="667"/>
      <c r="BW23" s="667"/>
      <c r="BX23" s="667"/>
      <c r="BY23" s="790"/>
      <c r="CZ23" s="10"/>
      <c r="DA23" s="10"/>
    </row>
    <row r="24" spans="2:105" s="4" customFormat="1" ht="26.45" hidden="1" customHeight="1" thickTop="1" thickBot="1">
      <c r="T24" s="789"/>
      <c r="U24" s="665"/>
      <c r="V24" s="665"/>
      <c r="W24" s="665"/>
      <c r="X24" s="665"/>
      <c r="Y24" s="665"/>
      <c r="Z24" s="665"/>
      <c r="AA24" s="665"/>
      <c r="AB24" s="1759" t="s">
        <v>964</v>
      </c>
      <c r="AC24" s="1759"/>
      <c r="AD24" s="1759"/>
      <c r="AE24" s="1759"/>
      <c r="AF24" s="1759"/>
      <c r="AG24" s="1759"/>
      <c r="AH24" s="1759"/>
      <c r="AI24" s="1759"/>
      <c r="AJ24" s="1759"/>
      <c r="AK24" s="1759"/>
      <c r="AL24" s="1759"/>
      <c r="AM24" s="1759"/>
      <c r="AN24" s="1759"/>
      <c r="AO24" s="1759"/>
      <c r="AP24" s="1759"/>
      <c r="AQ24" s="1759"/>
      <c r="AR24" s="1762"/>
      <c r="AS24" s="1763"/>
      <c r="AT24" s="1763"/>
      <c r="AU24" s="1763"/>
      <c r="AV24" s="1763"/>
      <c r="AW24" s="1763"/>
      <c r="AX24" s="1763"/>
      <c r="AY24" s="1763"/>
      <c r="AZ24" s="1763"/>
      <c r="BA24" s="1764"/>
      <c r="BB24" s="1730" t="s">
        <v>961</v>
      </c>
      <c r="BC24" s="1730"/>
      <c r="BD24" s="1730"/>
      <c r="BE24" s="1730"/>
      <c r="BF24" s="1730"/>
      <c r="BG24" s="1730"/>
      <c r="BH24" s="1730"/>
      <c r="BI24" s="1730"/>
      <c r="BJ24" s="1730"/>
      <c r="BK24" s="1730"/>
      <c r="BL24" s="1730"/>
      <c r="BM24" s="666"/>
      <c r="BN24" s="666"/>
      <c r="BO24" s="666"/>
      <c r="BP24" s="666"/>
      <c r="BQ24" s="666"/>
      <c r="BR24" s="666"/>
      <c r="BS24" s="666"/>
      <c r="BT24" s="152"/>
      <c r="BU24" s="667"/>
      <c r="BV24" s="667"/>
      <c r="BW24" s="667"/>
      <c r="BX24" s="667"/>
      <c r="BY24" s="790"/>
      <c r="CZ24" s="10"/>
      <c r="DA24" s="10"/>
    </row>
    <row r="25" spans="2:105" s="4" customFormat="1" ht="14.25" hidden="1" customHeight="1" thickTop="1">
      <c r="T25" s="789"/>
      <c r="U25" s="665"/>
      <c r="V25" s="665"/>
      <c r="W25" s="665"/>
      <c r="X25" s="665"/>
      <c r="Y25" s="665"/>
      <c r="Z25" s="665"/>
      <c r="AA25" s="665"/>
      <c r="AB25" s="665"/>
      <c r="AC25" s="665"/>
      <c r="AD25" s="665"/>
      <c r="AE25" s="665"/>
      <c r="AF25" s="665"/>
      <c r="AG25" s="665"/>
      <c r="AH25" s="665"/>
      <c r="AI25" s="665"/>
      <c r="AJ25" s="665"/>
      <c r="AK25" s="665"/>
      <c r="AL25" s="665"/>
      <c r="AM25" s="665"/>
      <c r="AN25" s="665"/>
      <c r="AO25" s="665"/>
      <c r="AP25" s="665"/>
      <c r="AQ25" s="665"/>
      <c r="AR25" s="665"/>
      <c r="AS25" s="665"/>
      <c r="AT25" s="665"/>
      <c r="AU25" s="665"/>
      <c r="AV25" s="665"/>
      <c r="AW25" s="665"/>
      <c r="AX25" s="665"/>
      <c r="AY25" s="665"/>
      <c r="AZ25" s="665"/>
      <c r="BA25" s="665"/>
      <c r="BB25" s="665"/>
      <c r="BC25" s="152"/>
      <c r="BD25" s="666"/>
      <c r="BE25" s="666"/>
      <c r="BF25" s="666"/>
      <c r="BG25" s="666"/>
      <c r="BH25" s="666"/>
      <c r="BI25" s="666"/>
      <c r="BJ25" s="666"/>
      <c r="BK25" s="666"/>
      <c r="BL25" s="666"/>
      <c r="BM25" s="666"/>
      <c r="BN25" s="666"/>
      <c r="BO25" s="666"/>
      <c r="BP25" s="666"/>
      <c r="BQ25" s="666"/>
      <c r="BR25" s="666"/>
      <c r="BS25" s="666"/>
      <c r="BT25" s="152"/>
      <c r="BU25" s="667"/>
      <c r="BV25" s="667"/>
      <c r="BW25" s="667"/>
      <c r="BX25" s="667"/>
      <c r="BY25" s="790"/>
      <c r="CZ25" s="10"/>
      <c r="DA25" s="10"/>
    </row>
    <row r="26" spans="2:105" s="4" customFormat="1" ht="13.7" hidden="1">
      <c r="T26" s="1761">
        <f>IF(AC26&gt;0,1,0)</f>
        <v>0</v>
      </c>
      <c r="U26" s="1679"/>
      <c r="V26" s="1765" t="s">
        <v>959</v>
      </c>
      <c r="W26" s="1766"/>
      <c r="X26" s="1766"/>
      <c r="Y26" s="1766"/>
      <c r="Z26" s="1766"/>
      <c r="AA26" s="1766"/>
      <c r="AB26" s="1766"/>
      <c r="AC26" s="1715"/>
      <c r="AD26" s="1715"/>
      <c r="AE26" s="1715"/>
      <c r="AF26" s="1715"/>
      <c r="AG26" s="1715"/>
      <c r="AH26" s="1715"/>
      <c r="AI26" s="1715"/>
      <c r="AJ26" s="1678">
        <f>IF(OR(AC26="NO",AC26&gt;0),1,0)</f>
        <v>0</v>
      </c>
      <c r="AK26" s="1679"/>
      <c r="AL26" s="1680" t="str">
        <f>IF(AC26="LTV","LTV Ratio","Down Payment %")</f>
        <v>Down Payment %</v>
      </c>
      <c r="AM26" s="1680"/>
      <c r="AN26" s="1680"/>
      <c r="AO26" s="1680"/>
      <c r="AP26" s="1680"/>
      <c r="AQ26" s="1680"/>
      <c r="AR26" s="1681"/>
      <c r="AS26" s="1700"/>
      <c r="AT26" s="1700"/>
      <c r="AU26" s="1700"/>
      <c r="AV26" s="1700"/>
      <c r="AW26" s="1700"/>
      <c r="AX26" s="1700"/>
      <c r="AY26" s="1700"/>
      <c r="AZ26" s="1690" t="str">
        <f>IF(AC26="Down Payment","Down Payment Amount","LTV Reduction")</f>
        <v>LTV Reduction</v>
      </c>
      <c r="BA26" s="1691"/>
      <c r="BB26" s="1691"/>
      <c r="BC26" s="1691"/>
      <c r="BD26" s="1691"/>
      <c r="BE26" s="1691"/>
      <c r="BF26" s="1691"/>
      <c r="BG26" s="1691"/>
      <c r="BH26" s="1691"/>
      <c r="BI26" s="1691"/>
      <c r="BJ26" s="1691"/>
      <c r="BK26" s="1691"/>
      <c r="BL26" s="1691"/>
      <c r="BM26" s="1691" t="s">
        <v>607</v>
      </c>
      <c r="BN26" s="1691"/>
      <c r="BO26" s="1691"/>
      <c r="BP26" s="1691"/>
      <c r="BQ26" s="1691"/>
      <c r="BR26" s="1691"/>
      <c r="BS26" s="1691"/>
      <c r="BT26" s="1691"/>
      <c r="BU26" s="1691"/>
      <c r="BV26" s="1691"/>
      <c r="BW26" s="1691"/>
      <c r="BX26" s="1691"/>
      <c r="BY26" s="1760"/>
      <c r="CZ26" s="10"/>
      <c r="DA26" s="10"/>
    </row>
    <row r="27" spans="2:105" s="4" customFormat="1" ht="20.7" hidden="1">
      <c r="T27" s="1761"/>
      <c r="U27" s="1679"/>
      <c r="V27" s="1765"/>
      <c r="W27" s="1766"/>
      <c r="X27" s="1766"/>
      <c r="Y27" s="1766"/>
      <c r="Z27" s="1766"/>
      <c r="AA27" s="1766"/>
      <c r="AB27" s="1766"/>
      <c r="AC27" s="1715"/>
      <c r="AD27" s="1715"/>
      <c r="AE27" s="1715"/>
      <c r="AF27" s="1715"/>
      <c r="AG27" s="1715"/>
      <c r="AH27" s="1715"/>
      <c r="AI27" s="1715"/>
      <c r="AJ27" s="1678"/>
      <c r="AK27" s="1679"/>
      <c r="AL27" s="1682"/>
      <c r="AM27" s="1682"/>
      <c r="AN27" s="1682"/>
      <c r="AO27" s="1682"/>
      <c r="AP27" s="1682"/>
      <c r="AQ27" s="1682"/>
      <c r="AR27" s="1683"/>
      <c r="AS27" s="1700"/>
      <c r="AT27" s="1700"/>
      <c r="AU27" s="1700"/>
      <c r="AV27" s="1700"/>
      <c r="AW27" s="1700"/>
      <c r="AX27" s="1700"/>
      <c r="AY27" s="1700"/>
      <c r="AZ27" s="1744">
        <f>IF(AND(AC26="LTV",AS26=0),0,'ANALYSIS DATABASE'!C193)</f>
        <v>0</v>
      </c>
      <c r="BA27" s="1745"/>
      <c r="BB27" s="1745"/>
      <c r="BC27" s="1745"/>
      <c r="BD27" s="1745"/>
      <c r="BE27" s="1745"/>
      <c r="BF27" s="1745"/>
      <c r="BG27" s="1745"/>
      <c r="BH27" s="1745"/>
      <c r="BI27" s="1745"/>
      <c r="BJ27" s="1745"/>
      <c r="BK27" s="1745"/>
      <c r="BL27" s="1746"/>
      <c r="BM27" s="1744">
        <f>Loan_Balance_After_DP_Loan1</f>
        <v>0</v>
      </c>
      <c r="BN27" s="1745"/>
      <c r="BO27" s="1745"/>
      <c r="BP27" s="1745"/>
      <c r="BQ27" s="1745"/>
      <c r="BR27" s="1745"/>
      <c r="BS27" s="1745"/>
      <c r="BT27" s="1745"/>
      <c r="BU27" s="1745"/>
      <c r="BV27" s="1745"/>
      <c r="BW27" s="1745"/>
      <c r="BX27" s="1745"/>
      <c r="BY27" s="1747"/>
    </row>
    <row r="28" spans="2:105" s="4" customFormat="1" ht="13.7" hidden="1">
      <c r="T28" s="1767">
        <f>IF(AC28&gt;0,1,0)</f>
        <v>0</v>
      </c>
      <c r="U28" s="1768"/>
      <c r="V28" s="1683" t="s">
        <v>846</v>
      </c>
      <c r="W28" s="1769"/>
      <c r="X28" s="1769"/>
      <c r="Y28" s="1769"/>
      <c r="Z28" s="1769"/>
      <c r="AA28" s="1769"/>
      <c r="AB28" s="1769"/>
      <c r="AC28" s="1700"/>
      <c r="AD28" s="1700"/>
      <c r="AE28" s="1700"/>
      <c r="AF28" s="1700"/>
      <c r="AG28" s="1700"/>
      <c r="AH28" s="1700"/>
      <c r="AI28" s="1700"/>
      <c r="AJ28" s="1678">
        <f>IF(AS28&gt;0,1,0)</f>
        <v>0</v>
      </c>
      <c r="AK28" s="1679"/>
      <c r="AL28" s="1680" t="s">
        <v>851</v>
      </c>
      <c r="AM28" s="1680"/>
      <c r="AN28" s="1680"/>
      <c r="AO28" s="1680"/>
      <c r="AP28" s="1680"/>
      <c r="AQ28" s="1680"/>
      <c r="AR28" s="1681"/>
      <c r="AS28" s="1702"/>
      <c r="AT28" s="1702"/>
      <c r="AU28" s="1702"/>
      <c r="AV28" s="1702"/>
      <c r="AW28" s="1702"/>
      <c r="AX28" s="1702"/>
      <c r="AY28" s="1702"/>
      <c r="AZ28" s="1684" t="s">
        <v>866</v>
      </c>
      <c r="BA28" s="1684"/>
      <c r="BB28" s="1684"/>
      <c r="BC28" s="1684"/>
      <c r="BD28" s="1684"/>
      <c r="BE28" s="1684"/>
      <c r="BF28" s="1684" t="s">
        <v>867</v>
      </c>
      <c r="BG28" s="1684"/>
      <c r="BH28" s="1684"/>
      <c r="BI28" s="1684"/>
      <c r="BJ28" s="1684"/>
      <c r="BK28" s="1684"/>
      <c r="BL28" s="1684"/>
      <c r="BM28" s="1684" t="s">
        <v>868</v>
      </c>
      <c r="BN28" s="1684"/>
      <c r="BO28" s="1684"/>
      <c r="BP28" s="1684"/>
      <c r="BQ28" s="1684"/>
      <c r="BR28" s="1684"/>
      <c r="BS28" s="1684"/>
      <c r="BT28" s="1684"/>
      <c r="BU28" s="1684"/>
      <c r="BV28" s="1684"/>
      <c r="BW28" s="1684"/>
      <c r="BX28" s="1684"/>
      <c r="BY28" s="1770"/>
    </row>
    <row r="29" spans="2:105" s="4" customFormat="1" ht="20.7" hidden="1">
      <c r="T29" s="1761"/>
      <c r="U29" s="1679"/>
      <c r="V29" s="1765"/>
      <c r="W29" s="1766"/>
      <c r="X29" s="1766"/>
      <c r="Y29" s="1766"/>
      <c r="Z29" s="1766"/>
      <c r="AA29" s="1766"/>
      <c r="AB29" s="1766"/>
      <c r="AC29" s="1700"/>
      <c r="AD29" s="1700"/>
      <c r="AE29" s="1700"/>
      <c r="AF29" s="1700"/>
      <c r="AG29" s="1700"/>
      <c r="AH29" s="1700"/>
      <c r="AI29" s="1700"/>
      <c r="AJ29" s="1678"/>
      <c r="AK29" s="1679"/>
      <c r="AL29" s="1682"/>
      <c r="AM29" s="1682"/>
      <c r="AN29" s="1682"/>
      <c r="AO29" s="1682"/>
      <c r="AP29" s="1682"/>
      <c r="AQ29" s="1682"/>
      <c r="AR29" s="1683"/>
      <c r="AS29" s="1702"/>
      <c r="AT29" s="1702"/>
      <c r="AU29" s="1702"/>
      <c r="AV29" s="1702"/>
      <c r="AW29" s="1702"/>
      <c r="AX29" s="1702"/>
      <c r="AY29" s="1702"/>
      <c r="AZ29" s="1701">
        <f>'ANALYSIS DATABASE'!C198</f>
        <v>0</v>
      </c>
      <c r="BA29" s="1701"/>
      <c r="BB29" s="1701"/>
      <c r="BC29" s="1701"/>
      <c r="BD29" s="1701"/>
      <c r="BE29" s="1701"/>
      <c r="BF29" s="1744">
        <f>'ANALYSIS DATABASE'!C199</f>
        <v>0</v>
      </c>
      <c r="BG29" s="1745"/>
      <c r="BH29" s="1745"/>
      <c r="BI29" s="1745"/>
      <c r="BJ29" s="1745"/>
      <c r="BK29" s="1745"/>
      <c r="BL29" s="1746"/>
      <c r="BM29" s="1744">
        <f>'ANALYSIS DATABASE'!C201</f>
        <v>0</v>
      </c>
      <c r="BN29" s="1745"/>
      <c r="BO29" s="1745"/>
      <c r="BP29" s="1745"/>
      <c r="BQ29" s="1745"/>
      <c r="BR29" s="1745"/>
      <c r="BS29" s="1745"/>
      <c r="BT29" s="1745"/>
      <c r="BU29" s="1745"/>
      <c r="BV29" s="1745"/>
      <c r="BW29" s="1745"/>
      <c r="BX29" s="1745"/>
      <c r="BY29" s="1747"/>
    </row>
    <row r="30" spans="2:105" s="4" customFormat="1" ht="13.7" hidden="1">
      <c r="T30" s="1767">
        <f>IF(AC30&gt;0,1,0)</f>
        <v>0</v>
      </c>
      <c r="U30" s="1768"/>
      <c r="V30" s="1683" t="s">
        <v>847</v>
      </c>
      <c r="W30" s="1769"/>
      <c r="X30" s="1769"/>
      <c r="Y30" s="1769"/>
      <c r="Z30" s="1769"/>
      <c r="AA30" s="1769"/>
      <c r="AB30" s="1769"/>
      <c r="AC30" s="1700"/>
      <c r="AD30" s="1700"/>
      <c r="AE30" s="1700"/>
      <c r="AF30" s="1700"/>
      <c r="AG30" s="1700"/>
      <c r="AH30" s="1700"/>
      <c r="AI30" s="1700"/>
      <c r="AJ30" s="1678">
        <f>IF(AS30&gt;0,1,0)</f>
        <v>0</v>
      </c>
      <c r="AK30" s="1679"/>
      <c r="AL30" s="1680" t="s">
        <v>850</v>
      </c>
      <c r="AM30" s="1680"/>
      <c r="AN30" s="1680"/>
      <c r="AO30" s="1680"/>
      <c r="AP30" s="1680"/>
      <c r="AQ30" s="1680"/>
      <c r="AR30" s="1681"/>
      <c r="AS30" s="1702"/>
      <c r="AT30" s="1702"/>
      <c r="AU30" s="1702"/>
      <c r="AV30" s="1702"/>
      <c r="AW30" s="1702"/>
      <c r="AX30" s="1702"/>
      <c r="AY30" s="1702"/>
      <c r="AZ30" s="1690" t="s">
        <v>848</v>
      </c>
      <c r="BA30" s="1691"/>
      <c r="BB30" s="1691"/>
      <c r="BC30" s="1691"/>
      <c r="BD30" s="1691"/>
      <c r="BE30" s="1691"/>
      <c r="BF30" s="1691"/>
      <c r="BG30" s="1691"/>
      <c r="BH30" s="1691"/>
      <c r="BI30" s="1691"/>
      <c r="BJ30" s="1691"/>
      <c r="BK30" s="1691"/>
      <c r="BL30" s="1691"/>
      <c r="BM30" s="1691" t="s">
        <v>849</v>
      </c>
      <c r="BN30" s="1691"/>
      <c r="BO30" s="1691"/>
      <c r="BP30" s="1691"/>
      <c r="BQ30" s="1691"/>
      <c r="BR30" s="1691"/>
      <c r="BS30" s="1691"/>
      <c r="BT30" s="1691"/>
      <c r="BU30" s="1691"/>
      <c r="BV30" s="1691"/>
      <c r="BW30" s="1691"/>
      <c r="BX30" s="1691"/>
      <c r="BY30" s="1760"/>
      <c r="CZ30" s="10"/>
      <c r="DA30" s="10"/>
    </row>
    <row r="31" spans="2:105" s="4" customFormat="1" ht="20.7" hidden="1">
      <c r="T31" s="1761"/>
      <c r="U31" s="1679"/>
      <c r="V31" s="1765"/>
      <c r="W31" s="1766"/>
      <c r="X31" s="1766"/>
      <c r="Y31" s="1766"/>
      <c r="Z31" s="1766"/>
      <c r="AA31" s="1766"/>
      <c r="AB31" s="1766"/>
      <c r="AC31" s="1700"/>
      <c r="AD31" s="1700"/>
      <c r="AE31" s="1700"/>
      <c r="AF31" s="1700"/>
      <c r="AG31" s="1700"/>
      <c r="AH31" s="1700"/>
      <c r="AI31" s="1700"/>
      <c r="AJ31" s="1678"/>
      <c r="AK31" s="1679"/>
      <c r="AL31" s="1682"/>
      <c r="AM31" s="1682"/>
      <c r="AN31" s="1682"/>
      <c r="AO31" s="1682"/>
      <c r="AP31" s="1682"/>
      <c r="AQ31" s="1682"/>
      <c r="AR31" s="1683"/>
      <c r="AS31" s="1702"/>
      <c r="AT31" s="1702"/>
      <c r="AU31" s="1702"/>
      <c r="AV31" s="1702"/>
      <c r="AW31" s="1702"/>
      <c r="AX31" s="1702"/>
      <c r="AY31" s="1702"/>
      <c r="AZ31" s="1744">
        <f>'ANALYSIS DATABASE'!C203</f>
        <v>0</v>
      </c>
      <c r="BA31" s="1745"/>
      <c r="BB31" s="1745"/>
      <c r="BC31" s="1745"/>
      <c r="BD31" s="1745"/>
      <c r="BE31" s="1745"/>
      <c r="BF31" s="1745"/>
      <c r="BG31" s="1745"/>
      <c r="BH31" s="1745"/>
      <c r="BI31" s="1745"/>
      <c r="BJ31" s="1745"/>
      <c r="BK31" s="1745"/>
      <c r="BL31" s="1746"/>
      <c r="BM31" s="1744">
        <f>'ANALYSIS DATABASE'!C205</f>
        <v>0</v>
      </c>
      <c r="BN31" s="1745"/>
      <c r="BO31" s="1745"/>
      <c r="BP31" s="1745"/>
      <c r="BQ31" s="1745"/>
      <c r="BR31" s="1745"/>
      <c r="BS31" s="1745"/>
      <c r="BT31" s="1745"/>
      <c r="BU31" s="1745"/>
      <c r="BV31" s="1745"/>
      <c r="BW31" s="1745"/>
      <c r="BX31" s="1745"/>
      <c r="BY31" s="1747"/>
    </row>
    <row r="32" spans="2:105" s="4" customFormat="1" ht="13.7" hidden="1" customHeight="1">
      <c r="T32" s="1711">
        <f>IF(AC32&gt;0,1,0)</f>
        <v>0</v>
      </c>
      <c r="U32" s="1712"/>
      <c r="V32" s="1720" t="s">
        <v>1360</v>
      </c>
      <c r="W32" s="1720"/>
      <c r="X32" s="1720"/>
      <c r="Y32" s="1720"/>
      <c r="Z32" s="1720"/>
      <c r="AA32" s="1720"/>
      <c r="AB32" s="1721"/>
      <c r="AC32" s="1700"/>
      <c r="AD32" s="1700"/>
      <c r="AE32" s="1700"/>
      <c r="AF32" s="1700"/>
      <c r="AG32" s="1700"/>
      <c r="AH32" s="1700"/>
      <c r="AI32" s="1700"/>
      <c r="AJ32" s="1678">
        <f>IF(AS32&gt;0,1,0)</f>
        <v>0</v>
      </c>
      <c r="AK32" s="1679"/>
      <c r="AL32" s="1680" t="str">
        <f>IF(AC32="% of Loan","% of Loan","Amount")</f>
        <v>Amount</v>
      </c>
      <c r="AM32" s="1680"/>
      <c r="AN32" s="1680"/>
      <c r="AO32" s="1680"/>
      <c r="AP32" s="1680"/>
      <c r="AQ32" s="1680"/>
      <c r="AR32" s="1681"/>
      <c r="AS32" s="1702"/>
      <c r="AT32" s="1702"/>
      <c r="AU32" s="1702"/>
      <c r="AV32" s="1702"/>
      <c r="AW32" s="1702"/>
      <c r="AX32" s="1702"/>
      <c r="AY32" s="1702"/>
      <c r="AZ32" s="1724"/>
      <c r="BA32" s="1725"/>
      <c r="BB32" s="1725"/>
      <c r="BC32" s="1725"/>
      <c r="BD32" s="1725"/>
      <c r="BE32" s="1725"/>
      <c r="BF32" s="1725"/>
      <c r="BG32" s="1725"/>
      <c r="BH32" s="1725"/>
      <c r="BI32" s="1725"/>
      <c r="BJ32" s="1725"/>
      <c r="BK32" s="1725"/>
      <c r="BL32" s="1726"/>
      <c r="BM32" s="1684" t="s">
        <v>1621</v>
      </c>
      <c r="BN32" s="1684"/>
      <c r="BO32" s="1684"/>
      <c r="BP32" s="1684"/>
      <c r="BQ32" s="1684"/>
      <c r="BR32" s="1684"/>
      <c r="BS32" s="1684"/>
      <c r="BT32" s="1684"/>
      <c r="BU32" s="1684"/>
      <c r="BV32" s="1684"/>
      <c r="BW32" s="1684"/>
      <c r="BX32" s="1684"/>
      <c r="BY32" s="1684"/>
    </row>
    <row r="33" spans="2:105" s="4" customFormat="1" ht="20.7" hidden="1" customHeight="1">
      <c r="T33" s="1713"/>
      <c r="U33" s="1714"/>
      <c r="V33" s="1722"/>
      <c r="W33" s="1722"/>
      <c r="X33" s="1722"/>
      <c r="Y33" s="1722"/>
      <c r="Z33" s="1722"/>
      <c r="AA33" s="1722"/>
      <c r="AB33" s="1723"/>
      <c r="AC33" s="1700"/>
      <c r="AD33" s="1700"/>
      <c r="AE33" s="1700"/>
      <c r="AF33" s="1700"/>
      <c r="AG33" s="1700"/>
      <c r="AH33" s="1700"/>
      <c r="AI33" s="1700"/>
      <c r="AJ33" s="1678"/>
      <c r="AK33" s="1679"/>
      <c r="AL33" s="1682"/>
      <c r="AM33" s="1682"/>
      <c r="AN33" s="1682"/>
      <c r="AO33" s="1682"/>
      <c r="AP33" s="1682"/>
      <c r="AQ33" s="1682"/>
      <c r="AR33" s="1683"/>
      <c r="AS33" s="1702"/>
      <c r="AT33" s="1702"/>
      <c r="AU33" s="1702"/>
      <c r="AV33" s="1702"/>
      <c r="AW33" s="1702"/>
      <c r="AX33" s="1702"/>
      <c r="AY33" s="1702"/>
      <c r="AZ33" s="1727"/>
      <c r="BA33" s="1728"/>
      <c r="BB33" s="1728"/>
      <c r="BC33" s="1728"/>
      <c r="BD33" s="1728"/>
      <c r="BE33" s="1728"/>
      <c r="BF33" s="1728"/>
      <c r="BG33" s="1728"/>
      <c r="BH33" s="1728"/>
      <c r="BI33" s="1728"/>
      <c r="BJ33" s="1728"/>
      <c r="BK33" s="1728"/>
      <c r="BL33" s="1729"/>
      <c r="BM33" s="1701">
        <f>IF(AC32="% of Loan",AS32*AG41,AS32)</f>
        <v>0</v>
      </c>
      <c r="BN33" s="1701"/>
      <c r="BO33" s="1701"/>
      <c r="BP33" s="1701"/>
      <c r="BQ33" s="1701"/>
      <c r="BR33" s="1701"/>
      <c r="BS33" s="1701"/>
      <c r="BT33" s="1701"/>
      <c r="BU33" s="1701"/>
      <c r="BV33" s="1701"/>
      <c r="BW33" s="1701"/>
      <c r="BX33" s="1701"/>
      <c r="BY33" s="1701"/>
    </row>
    <row r="34" spans="2:105" s="4" customFormat="1" ht="26.25" hidden="1" customHeight="1">
      <c r="T34" s="1617" t="s">
        <v>1576</v>
      </c>
      <c r="U34" s="1618"/>
      <c r="V34" s="1618"/>
      <c r="W34" s="1618"/>
      <c r="X34" s="1618"/>
      <c r="Y34" s="1618"/>
      <c r="Z34" s="1618"/>
      <c r="AA34" s="1618"/>
      <c r="AB34" s="1618"/>
      <c r="AC34" s="1618"/>
      <c r="AD34" s="1618"/>
      <c r="AE34" s="1618"/>
      <c r="AF34" s="1618"/>
      <c r="AG34" s="1618"/>
      <c r="AH34" s="1618"/>
      <c r="AI34" s="1618"/>
      <c r="AJ34" s="1618"/>
      <c r="AK34" s="1618"/>
      <c r="AL34" s="1618"/>
      <c r="AM34" s="1618"/>
      <c r="AN34" s="1618"/>
      <c r="AO34" s="1618"/>
      <c r="AP34" s="1618"/>
      <c r="AQ34" s="1618"/>
      <c r="AR34" s="1618"/>
      <c r="AS34" s="1618"/>
      <c r="AT34" s="1618"/>
      <c r="AU34" s="1618"/>
      <c r="AV34" s="1618"/>
      <c r="AW34" s="1618"/>
      <c r="AX34" s="1618"/>
      <c r="AY34" s="1618"/>
      <c r="AZ34" s="1618"/>
      <c r="BA34" s="1618"/>
      <c r="BB34" s="1618"/>
      <c r="BC34" s="1618"/>
      <c r="BD34" s="1618"/>
      <c r="BE34" s="1618"/>
      <c r="BF34" s="1618"/>
      <c r="BG34" s="1618"/>
      <c r="BH34" s="1618"/>
      <c r="BI34" s="1618"/>
      <c r="BJ34" s="1618"/>
      <c r="BK34" s="1618"/>
      <c r="BL34" s="1618"/>
      <c r="BM34" s="1618"/>
      <c r="BN34" s="1618"/>
      <c r="BO34" s="1618"/>
      <c r="BP34" s="1618"/>
      <c r="BQ34" s="1618"/>
      <c r="BR34" s="1618"/>
      <c r="BS34" s="1618"/>
      <c r="BT34" s="1618"/>
      <c r="BU34" s="1618"/>
      <c r="BV34" s="1618"/>
      <c r="BW34" s="1618"/>
      <c r="BX34" s="1618"/>
      <c r="BY34" s="1619"/>
    </row>
    <row r="35" spans="2:105" s="4" customFormat="1" ht="16.5" hidden="1" customHeight="1">
      <c r="T35" s="793"/>
      <c r="U35" s="668"/>
      <c r="V35" s="668"/>
      <c r="W35" s="668"/>
      <c r="X35" s="668"/>
      <c r="Y35" s="668"/>
      <c r="Z35" s="668"/>
      <c r="AA35" s="668"/>
      <c r="AB35" s="668"/>
      <c r="AC35" s="668"/>
      <c r="AD35" s="668"/>
      <c r="AE35" s="668"/>
      <c r="AF35" s="668"/>
      <c r="AG35" s="668"/>
      <c r="AH35" s="668"/>
      <c r="AI35" s="668"/>
      <c r="AJ35" s="668"/>
      <c r="AK35" s="668"/>
      <c r="AL35" s="668"/>
      <c r="AM35" s="668"/>
      <c r="AN35" s="668"/>
      <c r="AO35" s="668"/>
      <c r="AP35" s="668"/>
      <c r="AQ35" s="668"/>
      <c r="AR35" s="668"/>
      <c r="AS35" s="668"/>
      <c r="AT35" s="668"/>
      <c r="AU35" s="668"/>
      <c r="AV35" s="668"/>
      <c r="AW35" s="668"/>
      <c r="AX35" s="668"/>
      <c r="AY35" s="668"/>
      <c r="AZ35" s="668"/>
      <c r="BA35" s="668"/>
      <c r="BB35" s="668"/>
      <c r="BC35" s="668"/>
      <c r="BD35" s="668"/>
      <c r="BE35" s="668"/>
      <c r="BF35" s="668"/>
      <c r="BG35" s="668"/>
      <c r="BH35" s="668"/>
      <c r="BI35" s="668"/>
      <c r="BJ35" s="668"/>
      <c r="BK35" s="668"/>
      <c r="BL35" s="668"/>
      <c r="BM35" s="668"/>
      <c r="BN35" s="668"/>
      <c r="BO35" s="668"/>
      <c r="BP35" s="668"/>
      <c r="BQ35" s="668"/>
      <c r="BR35" s="668"/>
      <c r="BS35" s="668"/>
      <c r="BT35" s="668"/>
      <c r="BU35" s="668"/>
      <c r="BV35" s="668"/>
      <c r="BW35" s="668"/>
      <c r="BX35" s="668"/>
      <c r="BY35" s="794"/>
    </row>
    <row r="36" spans="2:105" s="4" customFormat="1" ht="22.5" hidden="1" customHeight="1">
      <c r="T36" s="793"/>
      <c r="U36" s="152"/>
      <c r="V36" s="1660" t="s">
        <v>867</v>
      </c>
      <c r="W36" s="1661"/>
      <c r="X36" s="1661"/>
      <c r="Y36" s="1661"/>
      <c r="Z36" s="1661"/>
      <c r="AA36" s="1661"/>
      <c r="AB36" s="1661"/>
      <c r="AC36" s="1661"/>
      <c r="AD36" s="1661"/>
      <c r="AE36" s="1662"/>
      <c r="AF36" s="152"/>
      <c r="AG36" s="1660" t="s">
        <v>1573</v>
      </c>
      <c r="AH36" s="1661"/>
      <c r="AI36" s="1661"/>
      <c r="AJ36" s="1661"/>
      <c r="AK36" s="1661"/>
      <c r="AL36" s="1661"/>
      <c r="AM36" s="1661"/>
      <c r="AN36" s="1661"/>
      <c r="AO36" s="1661"/>
      <c r="AP36" s="1662"/>
      <c r="AQ36" s="152"/>
      <c r="AR36" s="1660" t="s">
        <v>1621</v>
      </c>
      <c r="AS36" s="1661"/>
      <c r="AT36" s="1661"/>
      <c r="AU36" s="1661"/>
      <c r="AV36" s="1661"/>
      <c r="AW36" s="1661"/>
      <c r="AX36" s="1661"/>
      <c r="AY36" s="1661"/>
      <c r="AZ36" s="1661"/>
      <c r="BA36" s="1662"/>
      <c r="BB36" s="668"/>
      <c r="BC36" s="1660" t="s">
        <v>857</v>
      </c>
      <c r="BD36" s="1661"/>
      <c r="BE36" s="1661"/>
      <c r="BF36" s="1661"/>
      <c r="BG36" s="1661"/>
      <c r="BH36" s="1661"/>
      <c r="BI36" s="1661"/>
      <c r="BJ36" s="1661"/>
      <c r="BK36" s="1661"/>
      <c r="BL36" s="1662"/>
      <c r="BM36" s="668"/>
      <c r="BN36" s="1660" t="s">
        <v>1577</v>
      </c>
      <c r="BO36" s="1661"/>
      <c r="BP36" s="1661"/>
      <c r="BQ36" s="1661"/>
      <c r="BR36" s="1661"/>
      <c r="BS36" s="1661"/>
      <c r="BT36" s="1661"/>
      <c r="BU36" s="1661"/>
      <c r="BV36" s="1661"/>
      <c r="BW36" s="1662"/>
      <c r="BX36" s="668"/>
      <c r="BY36" s="794"/>
    </row>
    <row r="37" spans="2:105" s="4" customFormat="1" ht="19.5" hidden="1" customHeight="1">
      <c r="T37" s="793"/>
      <c r="U37" s="152"/>
      <c r="V37" s="1648">
        <f>'ANALYSIS DATABASE'!C199</f>
        <v>0</v>
      </c>
      <c r="W37" s="1649"/>
      <c r="X37" s="1649"/>
      <c r="Y37" s="1649"/>
      <c r="Z37" s="1649"/>
      <c r="AA37" s="1649"/>
      <c r="AB37" s="1649"/>
      <c r="AC37" s="1649"/>
      <c r="AD37" s="1649"/>
      <c r="AE37" s="1650"/>
      <c r="AF37" s="152"/>
      <c r="AG37" s="1648">
        <f>'ANALYSIS DATABASE'!C203</f>
        <v>0</v>
      </c>
      <c r="AH37" s="1649"/>
      <c r="AI37" s="1649"/>
      <c r="AJ37" s="1649"/>
      <c r="AK37" s="1649"/>
      <c r="AL37" s="1649"/>
      <c r="AM37" s="1649"/>
      <c r="AN37" s="1649"/>
      <c r="AO37" s="1649"/>
      <c r="AP37" s="1650"/>
      <c r="AQ37" s="152"/>
      <c r="AR37" s="1648">
        <f>BM33</f>
        <v>0</v>
      </c>
      <c r="AS37" s="1649"/>
      <c r="AT37" s="1649"/>
      <c r="AU37" s="1649"/>
      <c r="AV37" s="1649"/>
      <c r="AW37" s="1649"/>
      <c r="AX37" s="1649"/>
      <c r="AY37" s="1649"/>
      <c r="AZ37" s="1649"/>
      <c r="BA37" s="1650"/>
      <c r="BB37" s="668"/>
      <c r="BC37" s="1648">
        <f>V37+AG37+AR37</f>
        <v>0</v>
      </c>
      <c r="BD37" s="1649"/>
      <c r="BE37" s="1649"/>
      <c r="BF37" s="1649"/>
      <c r="BG37" s="1649"/>
      <c r="BH37" s="1649"/>
      <c r="BI37" s="1649"/>
      <c r="BJ37" s="1649"/>
      <c r="BK37" s="1649"/>
      <c r="BL37" s="1650"/>
      <c r="BM37" s="668"/>
      <c r="BN37" s="1654">
        <f>IFERROR(BC37/AG41,0)</f>
        <v>0</v>
      </c>
      <c r="BO37" s="1655"/>
      <c r="BP37" s="1655"/>
      <c r="BQ37" s="1655"/>
      <c r="BR37" s="1655"/>
      <c r="BS37" s="1655"/>
      <c r="BT37" s="1655"/>
      <c r="BU37" s="1655"/>
      <c r="BV37" s="1655"/>
      <c r="BW37" s="1656"/>
      <c r="BX37" s="668"/>
      <c r="BY37" s="794"/>
    </row>
    <row r="38" spans="2:105" s="4" customFormat="1" ht="19.5" hidden="1" customHeight="1">
      <c r="T38" s="793"/>
      <c r="U38" s="152"/>
      <c r="V38" s="1651"/>
      <c r="W38" s="1652"/>
      <c r="X38" s="1652"/>
      <c r="Y38" s="1652"/>
      <c r="Z38" s="1652"/>
      <c r="AA38" s="1652"/>
      <c r="AB38" s="1652"/>
      <c r="AC38" s="1652"/>
      <c r="AD38" s="1652"/>
      <c r="AE38" s="1653"/>
      <c r="AF38" s="152"/>
      <c r="AG38" s="1651"/>
      <c r="AH38" s="1652"/>
      <c r="AI38" s="1652"/>
      <c r="AJ38" s="1652"/>
      <c r="AK38" s="1652"/>
      <c r="AL38" s="1652"/>
      <c r="AM38" s="1652"/>
      <c r="AN38" s="1652"/>
      <c r="AO38" s="1652"/>
      <c r="AP38" s="1653"/>
      <c r="AQ38" s="152"/>
      <c r="AR38" s="1651"/>
      <c r="AS38" s="1652"/>
      <c r="AT38" s="1652"/>
      <c r="AU38" s="1652"/>
      <c r="AV38" s="1652"/>
      <c r="AW38" s="1652"/>
      <c r="AX38" s="1652"/>
      <c r="AY38" s="1652"/>
      <c r="AZ38" s="1652"/>
      <c r="BA38" s="1653"/>
      <c r="BB38" s="668"/>
      <c r="BC38" s="1651"/>
      <c r="BD38" s="1652"/>
      <c r="BE38" s="1652"/>
      <c r="BF38" s="1652"/>
      <c r="BG38" s="1652"/>
      <c r="BH38" s="1652"/>
      <c r="BI38" s="1652"/>
      <c r="BJ38" s="1652"/>
      <c r="BK38" s="1652"/>
      <c r="BL38" s="1653"/>
      <c r="BM38" s="668"/>
      <c r="BN38" s="1657"/>
      <c r="BO38" s="1658"/>
      <c r="BP38" s="1658"/>
      <c r="BQ38" s="1658"/>
      <c r="BR38" s="1658"/>
      <c r="BS38" s="1658"/>
      <c r="BT38" s="1658"/>
      <c r="BU38" s="1658"/>
      <c r="BV38" s="1658"/>
      <c r="BW38" s="1659"/>
      <c r="BX38" s="668"/>
      <c r="BY38" s="794"/>
    </row>
    <row r="39" spans="2:105" s="4" customFormat="1" ht="22.5" hidden="1" customHeight="1">
      <c r="T39" s="793"/>
      <c r="U39" s="668"/>
      <c r="V39" s="668"/>
      <c r="W39" s="668"/>
      <c r="X39" s="668"/>
      <c r="Y39" s="668"/>
      <c r="Z39" s="668"/>
      <c r="AA39" s="668"/>
      <c r="AB39" s="668"/>
      <c r="AC39" s="668"/>
      <c r="AD39" s="668"/>
      <c r="AE39" s="668"/>
      <c r="AF39" s="668"/>
      <c r="AG39" s="668"/>
      <c r="AH39" s="668"/>
      <c r="AI39" s="668"/>
      <c r="AJ39" s="668"/>
      <c r="AK39" s="668"/>
      <c r="AL39" s="668"/>
      <c r="AM39" s="668"/>
      <c r="AN39" s="668"/>
      <c r="AO39" s="668"/>
      <c r="AP39" s="668"/>
      <c r="AQ39" s="668"/>
      <c r="AR39" s="668"/>
      <c r="AS39" s="668"/>
      <c r="AT39" s="668"/>
      <c r="AU39" s="668"/>
      <c r="AV39" s="668"/>
      <c r="AW39" s="668"/>
      <c r="AX39" s="668"/>
      <c r="AY39" s="668"/>
      <c r="AZ39" s="668"/>
      <c r="BA39" s="668"/>
      <c r="BB39" s="668"/>
      <c r="BC39" s="668"/>
      <c r="BD39" s="668"/>
      <c r="BE39" s="668"/>
      <c r="BF39" s="668"/>
      <c r="BG39" s="668"/>
      <c r="BH39" s="668"/>
      <c r="BI39" s="668"/>
      <c r="BJ39" s="668"/>
      <c r="BK39" s="668"/>
      <c r="BL39" s="668"/>
      <c r="BM39" s="668"/>
      <c r="BN39" s="668"/>
      <c r="BO39" s="668"/>
      <c r="BP39" s="668"/>
      <c r="BQ39" s="668"/>
      <c r="BR39" s="668"/>
      <c r="BS39" s="668"/>
      <c r="BT39" s="668"/>
      <c r="BU39" s="668"/>
      <c r="BV39" s="668"/>
      <c r="BW39" s="668"/>
      <c r="BX39" s="668"/>
      <c r="BY39" s="794"/>
    </row>
    <row r="40" spans="2:105" s="4" customFormat="1" ht="22.5" hidden="1" customHeight="1">
      <c r="T40" s="793"/>
      <c r="U40" s="152"/>
      <c r="V40" s="1660" t="s">
        <v>1571</v>
      </c>
      <c r="W40" s="1661"/>
      <c r="X40" s="1661"/>
      <c r="Y40" s="1661"/>
      <c r="Z40" s="1661"/>
      <c r="AA40" s="1661"/>
      <c r="AB40" s="1661"/>
      <c r="AC40" s="1661"/>
      <c r="AD40" s="1661"/>
      <c r="AE40" s="1662"/>
      <c r="AF40" s="152"/>
      <c r="AG40" s="1660" t="s">
        <v>1572</v>
      </c>
      <c r="AH40" s="1661"/>
      <c r="AI40" s="1661"/>
      <c r="AJ40" s="1661"/>
      <c r="AK40" s="1661"/>
      <c r="AL40" s="1661"/>
      <c r="AM40" s="1661"/>
      <c r="AN40" s="1661"/>
      <c r="AO40" s="1661"/>
      <c r="AP40" s="1662"/>
      <c r="AQ40" s="152"/>
      <c r="AR40" s="1660" t="s">
        <v>1568</v>
      </c>
      <c r="AS40" s="1661"/>
      <c r="AT40" s="1661"/>
      <c r="AU40" s="1661"/>
      <c r="AV40" s="1661"/>
      <c r="AW40" s="1661"/>
      <c r="AX40" s="1661"/>
      <c r="AY40" s="1661"/>
      <c r="AZ40" s="1661"/>
      <c r="BA40" s="1662"/>
      <c r="BB40" s="668"/>
      <c r="BC40" s="1660" t="s">
        <v>1569</v>
      </c>
      <c r="BD40" s="1661"/>
      <c r="BE40" s="1661"/>
      <c r="BF40" s="1661"/>
      <c r="BG40" s="1661"/>
      <c r="BH40" s="1661"/>
      <c r="BI40" s="1661"/>
      <c r="BJ40" s="1661"/>
      <c r="BK40" s="1661"/>
      <c r="BL40" s="1662"/>
      <c r="BM40" s="668"/>
      <c r="BN40" s="1660" t="s">
        <v>1570</v>
      </c>
      <c r="BO40" s="1661"/>
      <c r="BP40" s="1661"/>
      <c r="BQ40" s="1661"/>
      <c r="BR40" s="1661"/>
      <c r="BS40" s="1661"/>
      <c r="BT40" s="1661"/>
      <c r="BU40" s="1661"/>
      <c r="BV40" s="1661"/>
      <c r="BW40" s="1662"/>
      <c r="BX40" s="668"/>
      <c r="BY40" s="794"/>
    </row>
    <row r="41" spans="2:105" s="4" customFormat="1" ht="19.5" hidden="1" customHeight="1">
      <c r="T41" s="793"/>
      <c r="U41" s="152"/>
      <c r="V41" s="1648">
        <f>'1 REHAB ANALYZER'!CW74</f>
        <v>0</v>
      </c>
      <c r="W41" s="1649"/>
      <c r="X41" s="1649"/>
      <c r="Y41" s="1649"/>
      <c r="Z41" s="1649"/>
      <c r="AA41" s="1649"/>
      <c r="AB41" s="1649"/>
      <c r="AC41" s="1649"/>
      <c r="AD41" s="1649"/>
      <c r="AE41" s="1650"/>
      <c r="AF41" s="152"/>
      <c r="AG41" s="1648">
        <f>'ANALYSIS DATABASE'!C214</f>
        <v>0</v>
      </c>
      <c r="AH41" s="1649"/>
      <c r="AI41" s="1649"/>
      <c r="AJ41" s="1649"/>
      <c r="AK41" s="1649"/>
      <c r="AL41" s="1649"/>
      <c r="AM41" s="1649"/>
      <c r="AN41" s="1649"/>
      <c r="AO41" s="1649"/>
      <c r="AP41" s="1650"/>
      <c r="AQ41" s="152"/>
      <c r="AR41" s="1648">
        <f>'ANALYSIS DATABASE'!C212</f>
        <v>0</v>
      </c>
      <c r="AS41" s="1649"/>
      <c r="AT41" s="1649"/>
      <c r="AU41" s="1649"/>
      <c r="AV41" s="1649"/>
      <c r="AW41" s="1649"/>
      <c r="AX41" s="1649"/>
      <c r="AY41" s="1649"/>
      <c r="AZ41" s="1649"/>
      <c r="BA41" s="1650"/>
      <c r="BB41" s="668"/>
      <c r="BC41" s="1648">
        <f>'ANALYSIS DATABASE'!C215</f>
        <v>0</v>
      </c>
      <c r="BD41" s="1649"/>
      <c r="BE41" s="1649"/>
      <c r="BF41" s="1649"/>
      <c r="BG41" s="1649"/>
      <c r="BH41" s="1649"/>
      <c r="BI41" s="1649"/>
      <c r="BJ41" s="1649"/>
      <c r="BK41" s="1649"/>
      <c r="BL41" s="1650"/>
      <c r="BM41" s="668"/>
      <c r="BN41" s="1648">
        <f>AR41+BC41</f>
        <v>0</v>
      </c>
      <c r="BO41" s="1649"/>
      <c r="BP41" s="1649"/>
      <c r="BQ41" s="1649"/>
      <c r="BR41" s="1649"/>
      <c r="BS41" s="1649"/>
      <c r="BT41" s="1649"/>
      <c r="BU41" s="1649"/>
      <c r="BV41" s="1649"/>
      <c r="BW41" s="1650"/>
      <c r="BX41" s="668"/>
      <c r="BY41" s="794"/>
    </row>
    <row r="42" spans="2:105" s="4" customFormat="1" ht="19.5" hidden="1" customHeight="1">
      <c r="T42" s="793"/>
      <c r="U42" s="152"/>
      <c r="V42" s="1651"/>
      <c r="W42" s="1652"/>
      <c r="X42" s="1652"/>
      <c r="Y42" s="1652"/>
      <c r="Z42" s="1652"/>
      <c r="AA42" s="1652"/>
      <c r="AB42" s="1652"/>
      <c r="AC42" s="1652"/>
      <c r="AD42" s="1652"/>
      <c r="AE42" s="1653"/>
      <c r="AF42" s="152"/>
      <c r="AG42" s="1651"/>
      <c r="AH42" s="1652"/>
      <c r="AI42" s="1652"/>
      <c r="AJ42" s="1652"/>
      <c r="AK42" s="1652"/>
      <c r="AL42" s="1652"/>
      <c r="AM42" s="1652"/>
      <c r="AN42" s="1652"/>
      <c r="AO42" s="1652"/>
      <c r="AP42" s="1653"/>
      <c r="AQ42" s="152"/>
      <c r="AR42" s="1651"/>
      <c r="AS42" s="1652"/>
      <c r="AT42" s="1652"/>
      <c r="AU42" s="1652"/>
      <c r="AV42" s="1652"/>
      <c r="AW42" s="1652"/>
      <c r="AX42" s="1652"/>
      <c r="AY42" s="1652"/>
      <c r="AZ42" s="1652"/>
      <c r="BA42" s="1653"/>
      <c r="BB42" s="668"/>
      <c r="BC42" s="1651"/>
      <c r="BD42" s="1652"/>
      <c r="BE42" s="1652"/>
      <c r="BF42" s="1652"/>
      <c r="BG42" s="1652"/>
      <c r="BH42" s="1652"/>
      <c r="BI42" s="1652"/>
      <c r="BJ42" s="1652"/>
      <c r="BK42" s="1652"/>
      <c r="BL42" s="1653"/>
      <c r="BM42" s="668"/>
      <c r="BN42" s="1651"/>
      <c r="BO42" s="1652"/>
      <c r="BP42" s="1652"/>
      <c r="BQ42" s="1652"/>
      <c r="BR42" s="1652"/>
      <c r="BS42" s="1652"/>
      <c r="BT42" s="1652"/>
      <c r="BU42" s="1652"/>
      <c r="BV42" s="1652"/>
      <c r="BW42" s="1653"/>
      <c r="BX42" s="668"/>
      <c r="BY42" s="794"/>
    </row>
    <row r="43" spans="2:105" s="4" customFormat="1" ht="22.5" hidden="1" customHeight="1">
      <c r="T43" s="795"/>
      <c r="U43" s="796"/>
      <c r="V43" s="796"/>
      <c r="W43" s="796"/>
      <c r="X43" s="796"/>
      <c r="Y43" s="796"/>
      <c r="Z43" s="796"/>
      <c r="AA43" s="796"/>
      <c r="AB43" s="796"/>
      <c r="AC43" s="796"/>
      <c r="AD43" s="796"/>
      <c r="AE43" s="796"/>
      <c r="AF43" s="796"/>
      <c r="AG43" s="796"/>
      <c r="AH43" s="796"/>
      <c r="AI43" s="796"/>
      <c r="AJ43" s="796"/>
      <c r="AK43" s="796"/>
      <c r="AL43" s="796"/>
      <c r="AM43" s="796"/>
      <c r="AN43" s="796"/>
      <c r="AO43" s="796"/>
      <c r="AP43" s="796"/>
      <c r="AQ43" s="796"/>
      <c r="AR43" s="796"/>
      <c r="AS43" s="796"/>
      <c r="AT43" s="796"/>
      <c r="AU43" s="796"/>
      <c r="AV43" s="796"/>
      <c r="AW43" s="796"/>
      <c r="AX43" s="796"/>
      <c r="AY43" s="796"/>
      <c r="AZ43" s="796"/>
      <c r="BA43" s="796"/>
      <c r="BB43" s="796"/>
      <c r="BC43" s="796"/>
      <c r="BD43" s="796"/>
      <c r="BE43" s="796"/>
      <c r="BF43" s="796"/>
      <c r="BG43" s="796"/>
      <c r="BH43" s="796"/>
      <c r="BI43" s="796"/>
      <c r="BJ43" s="796"/>
      <c r="BK43" s="796"/>
      <c r="BL43" s="796"/>
      <c r="BM43" s="796"/>
      <c r="BN43" s="796"/>
      <c r="BO43" s="796"/>
      <c r="BP43" s="796"/>
      <c r="BQ43" s="796"/>
      <c r="BR43" s="796"/>
      <c r="BS43" s="796"/>
      <c r="BT43" s="796"/>
      <c r="BU43" s="796"/>
      <c r="BV43" s="796"/>
      <c r="BW43" s="796"/>
      <c r="BX43" s="796"/>
      <c r="BY43" s="797"/>
    </row>
    <row r="44" spans="2:105" s="4" customFormat="1" ht="11.25" hidden="1" customHeight="1">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row>
    <row r="45" spans="2:105" s="4" customFormat="1" ht="25.7" hidden="1">
      <c r="T45" s="783"/>
      <c r="U45" s="785"/>
      <c r="V45" s="784"/>
      <c r="W45" s="784"/>
      <c r="X45" s="784"/>
      <c r="Y45" s="784"/>
      <c r="Z45" s="784"/>
      <c r="AA45" s="784"/>
      <c r="AB45" s="784"/>
      <c r="AC45" s="784"/>
      <c r="AD45" s="784"/>
      <c r="AE45" s="784"/>
      <c r="AF45" s="784"/>
      <c r="AG45" s="784"/>
      <c r="AH45" s="784"/>
      <c r="AI45" s="784"/>
      <c r="AJ45" s="784"/>
      <c r="AK45" s="784"/>
      <c r="AL45" s="784"/>
      <c r="AM45" s="784"/>
      <c r="AN45" s="786"/>
      <c r="AO45" s="1688" t="s">
        <v>858</v>
      </c>
      <c r="AP45" s="1689"/>
      <c r="AQ45" s="1689"/>
      <c r="AR45" s="1689"/>
      <c r="AS45" s="1689"/>
      <c r="AT45" s="1689"/>
      <c r="AU45" s="1689"/>
      <c r="AV45" s="1689"/>
      <c r="AW45" s="1689"/>
      <c r="AX45" s="1689"/>
      <c r="AY45" s="1689"/>
      <c r="AZ45" s="1689"/>
      <c r="BA45" s="1689"/>
      <c r="BB45" s="1689"/>
      <c r="BC45" s="1689"/>
      <c r="BD45" s="1705" t="s">
        <v>860</v>
      </c>
      <c r="BE45" s="1706"/>
      <c r="BF45" s="1706"/>
      <c r="BG45" s="1706"/>
      <c r="BH45" s="1706"/>
      <c r="BI45" s="1706"/>
      <c r="BJ45" s="1706"/>
      <c r="BK45" s="1706"/>
      <c r="BL45" s="1706"/>
      <c r="BM45" s="1706"/>
      <c r="BN45" s="1706"/>
      <c r="BO45" s="1706"/>
      <c r="BP45" s="1706"/>
      <c r="BQ45" s="1706"/>
      <c r="BR45" s="1706"/>
      <c r="BS45" s="1707"/>
      <c r="BT45" s="787"/>
      <c r="BU45" s="1717">
        <v>30</v>
      </c>
      <c r="BV45" s="1718"/>
      <c r="BW45" s="1718"/>
      <c r="BX45" s="1719"/>
      <c r="BY45" s="788"/>
    </row>
    <row r="46" spans="2:105" ht="23.25" hidden="1" customHeight="1">
      <c r="T46" s="1703" t="s">
        <v>1194</v>
      </c>
      <c r="U46" s="1694"/>
      <c r="V46" s="1694"/>
      <c r="W46" s="1694"/>
      <c r="X46" s="1694"/>
      <c r="Y46" s="1694"/>
      <c r="Z46" s="1694"/>
      <c r="AA46" s="1694"/>
      <c r="AB46" s="1694"/>
      <c r="AC46" s="1694"/>
      <c r="AD46" s="1694"/>
      <c r="AE46" s="1694"/>
      <c r="AF46" s="1694"/>
      <c r="AG46" s="1694"/>
      <c r="AH46" s="1694"/>
      <c r="AI46" s="1694"/>
      <c r="AJ46" s="1694"/>
      <c r="AK46" s="1694"/>
      <c r="AL46" s="1694"/>
      <c r="AM46" s="1694"/>
      <c r="AN46" s="1694"/>
      <c r="AO46" s="1694"/>
      <c r="AP46" s="1694"/>
      <c r="AQ46" s="1694"/>
      <c r="AR46" s="1694"/>
      <c r="AS46" s="1694"/>
      <c r="AT46" s="1694"/>
      <c r="AU46" s="1694"/>
      <c r="AV46" s="1694"/>
      <c r="AW46" s="1694"/>
      <c r="AX46" s="1694"/>
      <c r="AY46" s="1694"/>
      <c r="AZ46" s="1694"/>
      <c r="BA46" s="1694"/>
      <c r="BB46" s="1694"/>
      <c r="BC46" s="1694"/>
      <c r="BD46" s="1694"/>
      <c r="BE46" s="1694"/>
      <c r="BF46" s="1694"/>
      <c r="BG46" s="1694"/>
      <c r="BH46" s="1694"/>
      <c r="BI46" s="1694"/>
      <c r="BJ46" s="1694"/>
      <c r="BK46" s="1694"/>
      <c r="BL46" s="1694"/>
      <c r="BM46" s="1694"/>
      <c r="BN46" s="1694"/>
      <c r="BO46" s="1694"/>
      <c r="BP46" s="1694"/>
      <c r="BQ46" s="1694"/>
      <c r="BR46" s="1694"/>
      <c r="BS46" s="1694"/>
      <c r="BT46" s="1694"/>
      <c r="BU46" s="1694"/>
      <c r="BV46" s="1694"/>
      <c r="BW46" s="1694"/>
      <c r="BX46" s="1694"/>
      <c r="BY46" s="1704"/>
    </row>
    <row r="47" spans="2:105" s="4" customFormat="1" ht="19.5" hidden="1" customHeight="1" thickBot="1">
      <c r="T47" s="789"/>
      <c r="U47" s="665"/>
      <c r="V47" s="665"/>
      <c r="W47" s="665"/>
      <c r="X47" s="665"/>
      <c r="Y47" s="665"/>
      <c r="Z47" s="665"/>
      <c r="AA47" s="665"/>
      <c r="AB47" s="665"/>
      <c r="AC47" s="665"/>
      <c r="AD47" s="665"/>
      <c r="AE47" s="665"/>
      <c r="AF47" s="665"/>
      <c r="AG47" s="665"/>
      <c r="AH47" s="665"/>
      <c r="AI47" s="665"/>
      <c r="AJ47" s="665"/>
      <c r="AK47" s="665"/>
      <c r="AL47" s="665"/>
      <c r="AM47" s="665"/>
      <c r="AN47" s="665"/>
      <c r="AO47" s="665"/>
      <c r="AP47" s="665"/>
      <c r="AQ47" s="665"/>
      <c r="AR47" s="665"/>
      <c r="AS47" s="665"/>
      <c r="AT47" s="665"/>
      <c r="AU47" s="665"/>
      <c r="AV47" s="665"/>
      <c r="AW47" s="665"/>
      <c r="AX47" s="665"/>
      <c r="AY47" s="665"/>
      <c r="AZ47" s="665"/>
      <c r="BA47" s="665"/>
      <c r="BB47" s="665"/>
      <c r="BC47" s="152"/>
      <c r="BD47" s="666"/>
      <c r="BE47" s="666"/>
      <c r="BF47" s="666"/>
      <c r="BG47" s="666"/>
      <c r="BH47" s="666"/>
      <c r="BI47" s="666"/>
      <c r="BJ47" s="666"/>
      <c r="BK47" s="666"/>
      <c r="BL47" s="666"/>
      <c r="BM47" s="666"/>
      <c r="BN47" s="666"/>
      <c r="BO47" s="666"/>
      <c r="BP47" s="666"/>
      <c r="BQ47" s="666"/>
      <c r="BR47" s="666"/>
      <c r="BS47" s="666"/>
      <c r="BT47" s="152"/>
      <c r="BU47" s="667"/>
      <c r="BV47" s="667"/>
      <c r="BW47" s="667"/>
      <c r="BX47" s="667"/>
      <c r="BY47" s="790"/>
    </row>
    <row r="48" spans="2:105" s="4" customFormat="1" ht="21" hidden="1" customHeight="1" thickTop="1">
      <c r="B48" s="1672" t="s">
        <v>1196</v>
      </c>
      <c r="C48" s="1673"/>
      <c r="D48" s="1673"/>
      <c r="E48" s="1673"/>
      <c r="F48" s="1673"/>
      <c r="G48" s="1673"/>
      <c r="H48" s="1673"/>
      <c r="I48" s="1673"/>
      <c r="J48" s="1673"/>
      <c r="K48" s="1673"/>
      <c r="L48" s="1673"/>
      <c r="M48" s="1673"/>
      <c r="N48" s="1673"/>
      <c r="O48" s="1673"/>
      <c r="P48" s="1673"/>
      <c r="Q48" s="1673"/>
      <c r="R48" s="1674"/>
      <c r="T48" s="789"/>
      <c r="U48" s="1690" t="s">
        <v>378</v>
      </c>
      <c r="V48" s="1691"/>
      <c r="W48" s="1691"/>
      <c r="X48" s="1691"/>
      <c r="Y48" s="1691"/>
      <c r="Z48" s="1691"/>
      <c r="AA48" s="1691"/>
      <c r="AB48" s="1692"/>
      <c r="AC48" s="152"/>
      <c r="AD48" s="1690" t="s">
        <v>957</v>
      </c>
      <c r="AE48" s="1691"/>
      <c r="AF48" s="1691"/>
      <c r="AG48" s="1691"/>
      <c r="AH48" s="1691"/>
      <c r="AI48" s="1691"/>
      <c r="AJ48" s="1691"/>
      <c r="AK48" s="1692"/>
      <c r="AL48" s="152"/>
      <c r="AM48" s="1690" t="s">
        <v>903</v>
      </c>
      <c r="AN48" s="1691"/>
      <c r="AO48" s="1691"/>
      <c r="AP48" s="1691"/>
      <c r="AQ48" s="1691"/>
      <c r="AR48" s="1691"/>
      <c r="AS48" s="1691"/>
      <c r="AT48" s="1692"/>
      <c r="AU48" s="152"/>
      <c r="AV48" s="1690" t="s">
        <v>958</v>
      </c>
      <c r="AW48" s="1691"/>
      <c r="AX48" s="1691"/>
      <c r="AY48" s="1691"/>
      <c r="AZ48" s="1691"/>
      <c r="BA48" s="1691"/>
      <c r="BB48" s="1691"/>
      <c r="BC48" s="1692"/>
      <c r="BD48" s="152"/>
      <c r="BE48" s="1690" t="s">
        <v>584</v>
      </c>
      <c r="BF48" s="1691"/>
      <c r="BG48" s="1691"/>
      <c r="BH48" s="1691"/>
      <c r="BI48" s="1691"/>
      <c r="BJ48" s="1691"/>
      <c r="BK48" s="1691"/>
      <c r="BL48" s="1692"/>
      <c r="BM48" s="152"/>
      <c r="BN48" s="1690" t="s">
        <v>956</v>
      </c>
      <c r="BO48" s="1691"/>
      <c r="BP48" s="1691"/>
      <c r="BQ48" s="1691"/>
      <c r="BR48" s="1691"/>
      <c r="BS48" s="1691"/>
      <c r="BT48" s="1691"/>
      <c r="BU48" s="1691"/>
      <c r="BV48" s="1691"/>
      <c r="BW48" s="1691"/>
      <c r="BX48" s="1692"/>
      <c r="BY48" s="792"/>
      <c r="CZ48" s="10"/>
      <c r="DA48" s="10"/>
    </row>
    <row r="49" spans="2:160" s="4" customFormat="1" ht="28.2" hidden="1" customHeight="1" thickBot="1">
      <c r="B49" s="1675"/>
      <c r="C49" s="1676"/>
      <c r="D49" s="1676"/>
      <c r="E49" s="1676"/>
      <c r="F49" s="1676"/>
      <c r="G49" s="1676"/>
      <c r="H49" s="1676"/>
      <c r="I49" s="1676"/>
      <c r="J49" s="1676"/>
      <c r="K49" s="1676"/>
      <c r="L49" s="1676"/>
      <c r="M49" s="1676"/>
      <c r="N49" s="1676"/>
      <c r="O49" s="1676"/>
      <c r="P49" s="1676"/>
      <c r="Q49" s="1676"/>
      <c r="R49" s="1677"/>
      <c r="T49" s="789"/>
      <c r="U49" s="782"/>
      <c r="V49" s="1696">
        <f>'ANALYSIS DATABASE'!C168</f>
        <v>0</v>
      </c>
      <c r="W49" s="1696"/>
      <c r="X49" s="1696"/>
      <c r="Y49" s="1696"/>
      <c r="Z49" s="1696"/>
      <c r="AA49" s="1696"/>
      <c r="AB49" s="1697"/>
      <c r="AC49" s="152"/>
      <c r="AD49" s="782"/>
      <c r="AE49" s="1696">
        <f>TOTAL_REPAIRS_ESTIMATE</f>
        <v>0</v>
      </c>
      <c r="AF49" s="1696"/>
      <c r="AG49" s="1696"/>
      <c r="AH49" s="1696"/>
      <c r="AI49" s="1696"/>
      <c r="AJ49" s="1696"/>
      <c r="AK49" s="1697"/>
      <c r="AL49" s="152"/>
      <c r="AM49" s="782"/>
      <c r="AN49" s="1696">
        <f>V49+AE49</f>
        <v>0</v>
      </c>
      <c r="AO49" s="1696"/>
      <c r="AP49" s="1696"/>
      <c r="AQ49" s="1696"/>
      <c r="AR49" s="1696"/>
      <c r="AS49" s="1696"/>
      <c r="AT49" s="1697"/>
      <c r="AU49" s="152"/>
      <c r="AV49" s="782"/>
      <c r="AW49" s="1696">
        <f>'ANALYSIS DATABASE'!C176</f>
        <v>0</v>
      </c>
      <c r="AX49" s="1696"/>
      <c r="AY49" s="1696"/>
      <c r="AZ49" s="1696"/>
      <c r="BA49" s="1696"/>
      <c r="BB49" s="1696"/>
      <c r="BC49" s="1697"/>
      <c r="BD49" s="152"/>
      <c r="BE49" s="782"/>
      <c r="BF49" s="1696">
        <f>AFTER_REPAIR_VALUE_ESTIMATED</f>
        <v>0</v>
      </c>
      <c r="BG49" s="1696"/>
      <c r="BH49" s="1696"/>
      <c r="BI49" s="1696"/>
      <c r="BJ49" s="1696"/>
      <c r="BK49" s="1696"/>
      <c r="BL49" s="1697"/>
      <c r="BM49" s="152"/>
      <c r="BN49" s="1698"/>
      <c r="BO49" s="1699"/>
      <c r="BP49" s="1740">
        <v>50000</v>
      </c>
      <c r="BQ49" s="1740"/>
      <c r="BR49" s="1740"/>
      <c r="BS49" s="1740"/>
      <c r="BT49" s="1740"/>
      <c r="BU49" s="1740"/>
      <c r="BV49" s="1740"/>
      <c r="BW49" s="1740"/>
      <c r="BX49" s="1741"/>
      <c r="BY49" s="792"/>
      <c r="CK49" s="1743"/>
      <c r="CL49" s="1743"/>
      <c r="CM49" s="1743"/>
      <c r="CN49" s="1743"/>
      <c r="CO49" s="1743"/>
      <c r="CP49" s="1743"/>
      <c r="CQ49" s="1743"/>
      <c r="CR49" s="1743"/>
      <c r="CZ49" s="10"/>
      <c r="DA49" s="10"/>
    </row>
    <row r="50" spans="2:160" s="4" customFormat="1" ht="11.25" hidden="1" customHeight="1" thickTop="1" thickBot="1">
      <c r="T50" s="789"/>
      <c r="U50" s="665"/>
      <c r="V50" s="665"/>
      <c r="W50" s="665"/>
      <c r="X50" s="665"/>
      <c r="Y50" s="665"/>
      <c r="Z50" s="665"/>
      <c r="AA50" s="665"/>
      <c r="AB50" s="665"/>
      <c r="AC50" s="665"/>
      <c r="AD50" s="665"/>
      <c r="AE50" s="665"/>
      <c r="AF50" s="665"/>
      <c r="AG50" s="665"/>
      <c r="AH50" s="665"/>
      <c r="AI50" s="665"/>
      <c r="AJ50" s="665"/>
      <c r="AK50" s="665"/>
      <c r="AL50" s="665"/>
      <c r="AM50" s="665"/>
      <c r="AN50" s="665"/>
      <c r="AO50" s="665"/>
      <c r="AP50" s="665"/>
      <c r="AQ50" s="665"/>
      <c r="AR50" s="665"/>
      <c r="AS50" s="665"/>
      <c r="AT50" s="665"/>
      <c r="AU50" s="665"/>
      <c r="AV50" s="665"/>
      <c r="AW50" s="665"/>
      <c r="AX50" s="665"/>
      <c r="AY50" s="665"/>
      <c r="AZ50" s="665"/>
      <c r="BA50" s="665"/>
      <c r="BB50" s="665"/>
      <c r="BC50" s="152"/>
      <c r="BD50" s="666"/>
      <c r="BE50" s="666"/>
      <c r="BF50" s="666"/>
      <c r="BG50" s="666"/>
      <c r="BH50" s="666"/>
      <c r="BI50" s="666"/>
      <c r="BJ50" s="666"/>
      <c r="BK50" s="666"/>
      <c r="BL50" s="666"/>
      <c r="BM50" s="666"/>
      <c r="BN50" s="666"/>
      <c r="BO50" s="666"/>
      <c r="BP50" s="666"/>
      <c r="BQ50" s="666"/>
      <c r="BR50" s="666"/>
      <c r="BS50" s="666"/>
      <c r="BT50" s="152"/>
      <c r="BU50" s="667"/>
      <c r="BV50" s="667"/>
      <c r="BW50" s="667"/>
      <c r="BX50" s="667"/>
      <c r="BY50" s="790"/>
      <c r="CZ50" s="10"/>
      <c r="DA50" s="10"/>
    </row>
    <row r="51" spans="2:160" s="4" customFormat="1" ht="26.45" hidden="1" customHeight="1" thickTop="1" thickBot="1">
      <c r="T51" s="789"/>
      <c r="U51" s="665"/>
      <c r="V51" s="665"/>
      <c r="W51" s="665"/>
      <c r="X51" s="665"/>
      <c r="Y51" s="665"/>
      <c r="Z51" s="665"/>
      <c r="AA51" s="665"/>
      <c r="AB51" s="1759" t="s">
        <v>964</v>
      </c>
      <c r="AC51" s="1759"/>
      <c r="AD51" s="1759"/>
      <c r="AE51" s="1759"/>
      <c r="AF51" s="1759"/>
      <c r="AG51" s="1759"/>
      <c r="AH51" s="1759"/>
      <c r="AI51" s="1759"/>
      <c r="AJ51" s="1759"/>
      <c r="AK51" s="1759"/>
      <c r="AL51" s="1759"/>
      <c r="AM51" s="1759"/>
      <c r="AN51" s="1759"/>
      <c r="AO51" s="1759"/>
      <c r="AP51" s="1759"/>
      <c r="AQ51" s="1771"/>
      <c r="AR51" s="1762"/>
      <c r="AS51" s="1763"/>
      <c r="AT51" s="1763"/>
      <c r="AU51" s="1763"/>
      <c r="AV51" s="1763"/>
      <c r="AW51" s="1763"/>
      <c r="AX51" s="1763"/>
      <c r="AY51" s="1763"/>
      <c r="AZ51" s="1763"/>
      <c r="BA51" s="1764"/>
      <c r="BB51" s="1730" t="s">
        <v>961</v>
      </c>
      <c r="BC51" s="1730"/>
      <c r="BD51" s="1730"/>
      <c r="BE51" s="1730"/>
      <c r="BF51" s="1730"/>
      <c r="BG51" s="1730"/>
      <c r="BH51" s="1730"/>
      <c r="BI51" s="1730"/>
      <c r="BJ51" s="1730"/>
      <c r="BK51" s="1730"/>
      <c r="BL51" s="1730"/>
      <c r="BM51" s="666"/>
      <c r="BN51" s="666"/>
      <c r="BO51" s="666"/>
      <c r="BP51" s="666"/>
      <c r="BQ51" s="666"/>
      <c r="BR51" s="666"/>
      <c r="BS51" s="666"/>
      <c r="BT51" s="152"/>
      <c r="BU51" s="667"/>
      <c r="BV51" s="667"/>
      <c r="BW51" s="667"/>
      <c r="BX51" s="667"/>
      <c r="BY51" s="790"/>
      <c r="CZ51" s="10"/>
      <c r="DA51" s="10"/>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row>
    <row r="52" spans="2:160" s="4" customFormat="1" ht="11.25" hidden="1" customHeight="1" thickTop="1">
      <c r="T52" s="789"/>
      <c r="U52" s="665"/>
      <c r="V52" s="665"/>
      <c r="W52" s="665"/>
      <c r="X52" s="665"/>
      <c r="Y52" s="665"/>
      <c r="Z52" s="665"/>
      <c r="AA52" s="665"/>
      <c r="AB52" s="665"/>
      <c r="AC52" s="665"/>
      <c r="AD52" s="665"/>
      <c r="AE52" s="665"/>
      <c r="AF52" s="665"/>
      <c r="AG52" s="665"/>
      <c r="AH52" s="665"/>
      <c r="AI52" s="665"/>
      <c r="AJ52" s="665"/>
      <c r="AK52" s="665"/>
      <c r="AL52" s="665"/>
      <c r="AM52" s="665"/>
      <c r="AN52" s="665"/>
      <c r="AO52" s="665"/>
      <c r="AP52" s="665"/>
      <c r="AQ52" s="665"/>
      <c r="AR52" s="665"/>
      <c r="AS52" s="665"/>
      <c r="AT52" s="665"/>
      <c r="AU52" s="665"/>
      <c r="AV52" s="665"/>
      <c r="AW52" s="665"/>
      <c r="AX52" s="665"/>
      <c r="AY52" s="665"/>
      <c r="AZ52" s="665"/>
      <c r="BA52" s="665"/>
      <c r="BB52" s="665"/>
      <c r="BC52" s="152"/>
      <c r="BD52" s="666"/>
      <c r="BE52" s="666"/>
      <c r="BF52" s="666"/>
      <c r="BG52" s="666"/>
      <c r="BH52" s="666"/>
      <c r="BI52" s="666"/>
      <c r="BJ52" s="666"/>
      <c r="BK52" s="666"/>
      <c r="BL52" s="666"/>
      <c r="BM52" s="666"/>
      <c r="BN52" s="666"/>
      <c r="BO52" s="666"/>
      <c r="BP52" s="666"/>
      <c r="BQ52" s="666"/>
      <c r="BR52" s="666"/>
      <c r="BS52" s="666"/>
      <c r="BT52" s="152"/>
      <c r="BU52" s="667"/>
      <c r="BV52" s="667"/>
      <c r="BW52" s="667"/>
      <c r="BX52" s="667"/>
      <c r="BY52" s="790"/>
      <c r="CZ52" s="10"/>
      <c r="DA52" s="10"/>
    </row>
    <row r="53" spans="2:160" s="4" customFormat="1" ht="13.95" hidden="1" customHeight="1">
      <c r="T53" s="1711">
        <f>IF(AC53&gt;0,1,0)</f>
        <v>0</v>
      </c>
      <c r="U53" s="1712"/>
      <c r="V53" s="1765" t="s">
        <v>959</v>
      </c>
      <c r="W53" s="1766"/>
      <c r="X53" s="1766"/>
      <c r="Y53" s="1766"/>
      <c r="Z53" s="1766"/>
      <c r="AA53" s="1766"/>
      <c r="AB53" s="1766"/>
      <c r="AC53" s="1715"/>
      <c r="AD53" s="1715"/>
      <c r="AE53" s="1715"/>
      <c r="AF53" s="1715"/>
      <c r="AG53" s="1715"/>
      <c r="AH53" s="1715"/>
      <c r="AI53" s="1715"/>
      <c r="AJ53" s="1678">
        <f>IF(AS53&gt;0,1,0)</f>
        <v>0</v>
      </c>
      <c r="AK53" s="1679"/>
      <c r="AL53" s="1680" t="str">
        <f>IF(AC53="LTV","LTV Ratio","Down Payment %")</f>
        <v>Down Payment %</v>
      </c>
      <c r="AM53" s="1680"/>
      <c r="AN53" s="1680"/>
      <c r="AO53" s="1680"/>
      <c r="AP53" s="1680"/>
      <c r="AQ53" s="1680"/>
      <c r="AR53" s="1681"/>
      <c r="AS53" s="1700"/>
      <c r="AT53" s="1700"/>
      <c r="AU53" s="1700"/>
      <c r="AV53" s="1700"/>
      <c r="AW53" s="1700"/>
      <c r="AX53" s="1700"/>
      <c r="AY53" s="1700"/>
      <c r="AZ53" s="1684" t="s">
        <v>381</v>
      </c>
      <c r="BA53" s="1684"/>
      <c r="BB53" s="1684"/>
      <c r="BC53" s="1684"/>
      <c r="BD53" s="1684"/>
      <c r="BE53" s="1684"/>
      <c r="BF53" s="1684"/>
      <c r="BG53" s="1684"/>
      <c r="BH53" s="1684"/>
      <c r="BI53" s="1684"/>
      <c r="BJ53" s="1684"/>
      <c r="BK53" s="1684"/>
      <c r="BL53" s="1684"/>
      <c r="BM53" s="1684" t="s">
        <v>607</v>
      </c>
      <c r="BN53" s="1684"/>
      <c r="BO53" s="1684"/>
      <c r="BP53" s="1684"/>
      <c r="BQ53" s="1684"/>
      <c r="BR53" s="1684"/>
      <c r="BS53" s="1684"/>
      <c r="BT53" s="1684"/>
      <c r="BU53" s="1684"/>
      <c r="BV53" s="1684"/>
      <c r="BW53" s="1684"/>
      <c r="BX53" s="1684"/>
      <c r="BY53" s="1770"/>
    </row>
    <row r="54" spans="2:160" s="4" customFormat="1" ht="20.7" hidden="1">
      <c r="T54" s="1713"/>
      <c r="U54" s="1714"/>
      <c r="V54" s="1765"/>
      <c r="W54" s="1766"/>
      <c r="X54" s="1766"/>
      <c r="Y54" s="1766"/>
      <c r="Z54" s="1766"/>
      <c r="AA54" s="1766"/>
      <c r="AB54" s="1766"/>
      <c r="AC54" s="1715"/>
      <c r="AD54" s="1715"/>
      <c r="AE54" s="1715"/>
      <c r="AF54" s="1715"/>
      <c r="AG54" s="1715"/>
      <c r="AH54" s="1715"/>
      <c r="AI54" s="1715"/>
      <c r="AJ54" s="1678"/>
      <c r="AK54" s="1679"/>
      <c r="AL54" s="1682"/>
      <c r="AM54" s="1682"/>
      <c r="AN54" s="1682"/>
      <c r="AO54" s="1682"/>
      <c r="AP54" s="1682"/>
      <c r="AQ54" s="1682"/>
      <c r="AR54" s="1683"/>
      <c r="AS54" s="1700"/>
      <c r="AT54" s="1700"/>
      <c r="AU54" s="1700"/>
      <c r="AV54" s="1700"/>
      <c r="AW54" s="1700"/>
      <c r="AX54" s="1700"/>
      <c r="AY54" s="1700"/>
      <c r="AZ54" s="1744">
        <f>'ANALYSIS DATABASE'!C223</f>
        <v>0</v>
      </c>
      <c r="BA54" s="1745"/>
      <c r="BB54" s="1745"/>
      <c r="BC54" s="1745"/>
      <c r="BD54" s="1745"/>
      <c r="BE54" s="1745"/>
      <c r="BF54" s="1745"/>
      <c r="BG54" s="1745"/>
      <c r="BH54" s="1745"/>
      <c r="BI54" s="1745"/>
      <c r="BJ54" s="1745"/>
      <c r="BK54" s="1745"/>
      <c r="BL54" s="1746"/>
      <c r="BM54" s="1744">
        <f>'ANALYSIS DATABASE'!C224</f>
        <v>0</v>
      </c>
      <c r="BN54" s="1745"/>
      <c r="BO54" s="1745"/>
      <c r="BP54" s="1745"/>
      <c r="BQ54" s="1745"/>
      <c r="BR54" s="1745"/>
      <c r="BS54" s="1745"/>
      <c r="BT54" s="1745"/>
      <c r="BU54" s="1745"/>
      <c r="BV54" s="1745"/>
      <c r="BW54" s="1745"/>
      <c r="BX54" s="1745"/>
      <c r="BY54" s="1747"/>
    </row>
    <row r="55" spans="2:160" s="4" customFormat="1" ht="13.7" hidden="1">
      <c r="T55" s="1711">
        <f>IF(AC55&gt;0,1,0)</f>
        <v>0</v>
      </c>
      <c r="U55" s="1712"/>
      <c r="V55" s="1720" t="s">
        <v>846</v>
      </c>
      <c r="W55" s="1720"/>
      <c r="X55" s="1720"/>
      <c r="Y55" s="1720"/>
      <c r="Z55" s="1720"/>
      <c r="AA55" s="1720"/>
      <c r="AB55" s="1721"/>
      <c r="AC55" s="1700"/>
      <c r="AD55" s="1700"/>
      <c r="AE55" s="1700"/>
      <c r="AF55" s="1700"/>
      <c r="AG55" s="1700"/>
      <c r="AH55" s="1700"/>
      <c r="AI55" s="1700"/>
      <c r="AJ55" s="1678">
        <f>IF(AS55&gt;0,1,0)</f>
        <v>0</v>
      </c>
      <c r="AK55" s="1679"/>
      <c r="AL55" s="1680" t="s">
        <v>851</v>
      </c>
      <c r="AM55" s="1680"/>
      <c r="AN55" s="1680"/>
      <c r="AO55" s="1680"/>
      <c r="AP55" s="1680"/>
      <c r="AQ55" s="1680"/>
      <c r="AR55" s="1681"/>
      <c r="AS55" s="1702"/>
      <c r="AT55" s="1702"/>
      <c r="AU55" s="1702"/>
      <c r="AV55" s="1702"/>
      <c r="AW55" s="1702"/>
      <c r="AX55" s="1702"/>
      <c r="AY55" s="1702"/>
      <c r="AZ55" s="1684" t="s">
        <v>866</v>
      </c>
      <c r="BA55" s="1684"/>
      <c r="BB55" s="1684"/>
      <c r="BC55" s="1684"/>
      <c r="BD55" s="1684"/>
      <c r="BE55" s="1684"/>
      <c r="BF55" s="1684" t="s">
        <v>867</v>
      </c>
      <c r="BG55" s="1684"/>
      <c r="BH55" s="1684"/>
      <c r="BI55" s="1684"/>
      <c r="BJ55" s="1684"/>
      <c r="BK55" s="1684"/>
      <c r="BL55" s="1684"/>
      <c r="BM55" s="1684" t="s">
        <v>868</v>
      </c>
      <c r="BN55" s="1684"/>
      <c r="BO55" s="1684"/>
      <c r="BP55" s="1684"/>
      <c r="BQ55" s="1684"/>
      <c r="BR55" s="1684"/>
      <c r="BS55" s="1684"/>
      <c r="BT55" s="1684"/>
      <c r="BU55" s="1684"/>
      <c r="BV55" s="1684"/>
      <c r="BW55" s="1684"/>
      <c r="BX55" s="1684"/>
      <c r="BY55" s="1770"/>
    </row>
    <row r="56" spans="2:160" s="4" customFormat="1" ht="20.7" hidden="1">
      <c r="T56" s="1713"/>
      <c r="U56" s="1714"/>
      <c r="V56" s="1722"/>
      <c r="W56" s="1722"/>
      <c r="X56" s="1722"/>
      <c r="Y56" s="1722"/>
      <c r="Z56" s="1722"/>
      <c r="AA56" s="1722"/>
      <c r="AB56" s="1723"/>
      <c r="AC56" s="1700"/>
      <c r="AD56" s="1700"/>
      <c r="AE56" s="1700"/>
      <c r="AF56" s="1700"/>
      <c r="AG56" s="1700"/>
      <c r="AH56" s="1700"/>
      <c r="AI56" s="1700"/>
      <c r="AJ56" s="1678"/>
      <c r="AK56" s="1679"/>
      <c r="AL56" s="1682"/>
      <c r="AM56" s="1682"/>
      <c r="AN56" s="1682"/>
      <c r="AO56" s="1682"/>
      <c r="AP56" s="1682"/>
      <c r="AQ56" s="1682"/>
      <c r="AR56" s="1683"/>
      <c r="AS56" s="1702"/>
      <c r="AT56" s="1702"/>
      <c r="AU56" s="1702"/>
      <c r="AV56" s="1702"/>
      <c r="AW56" s="1702"/>
      <c r="AX56" s="1702"/>
      <c r="AY56" s="1702"/>
      <c r="AZ56" s="1701">
        <f>'ANALYSIS DATABASE'!C228</f>
        <v>0</v>
      </c>
      <c r="BA56" s="1701"/>
      <c r="BB56" s="1701"/>
      <c r="BC56" s="1701"/>
      <c r="BD56" s="1701"/>
      <c r="BE56" s="1701"/>
      <c r="BF56" s="1701">
        <f>'ANALYSIS DATABASE'!C229</f>
        <v>0</v>
      </c>
      <c r="BG56" s="1701"/>
      <c r="BH56" s="1701"/>
      <c r="BI56" s="1701"/>
      <c r="BJ56" s="1701"/>
      <c r="BK56" s="1701"/>
      <c r="BL56" s="1701"/>
      <c r="BM56" s="1701">
        <f>'ANALYSIS DATABASE'!C231</f>
        <v>0</v>
      </c>
      <c r="BN56" s="1701"/>
      <c r="BO56" s="1701"/>
      <c r="BP56" s="1701"/>
      <c r="BQ56" s="1701"/>
      <c r="BR56" s="1701"/>
      <c r="BS56" s="1701"/>
      <c r="BT56" s="1701"/>
      <c r="BU56" s="1701"/>
      <c r="BV56" s="1701"/>
      <c r="BW56" s="1701"/>
      <c r="BX56" s="1701"/>
      <c r="BY56" s="1716"/>
    </row>
    <row r="57" spans="2:160" s="4" customFormat="1" ht="13.7" hidden="1">
      <c r="T57" s="1711">
        <f>IF(AC57&gt;0,1,0)</f>
        <v>0</v>
      </c>
      <c r="U57" s="1712"/>
      <c r="V57" s="1720" t="s">
        <v>847</v>
      </c>
      <c r="W57" s="1720"/>
      <c r="X57" s="1720"/>
      <c r="Y57" s="1720"/>
      <c r="Z57" s="1720"/>
      <c r="AA57" s="1720"/>
      <c r="AB57" s="1721"/>
      <c r="AC57" s="1700"/>
      <c r="AD57" s="1700"/>
      <c r="AE57" s="1700"/>
      <c r="AF57" s="1700"/>
      <c r="AG57" s="1700"/>
      <c r="AH57" s="1700"/>
      <c r="AI57" s="1700"/>
      <c r="AJ57" s="1678">
        <f>IF(AS57&gt;0,1,0)</f>
        <v>0</v>
      </c>
      <c r="AK57" s="1679"/>
      <c r="AL57" s="1680" t="s">
        <v>850</v>
      </c>
      <c r="AM57" s="1680"/>
      <c r="AN57" s="1680"/>
      <c r="AO57" s="1680"/>
      <c r="AP57" s="1680"/>
      <c r="AQ57" s="1680"/>
      <c r="AR57" s="1681"/>
      <c r="AS57" s="1702"/>
      <c r="AT57" s="1702"/>
      <c r="AU57" s="1702"/>
      <c r="AV57" s="1702"/>
      <c r="AW57" s="1702"/>
      <c r="AX57" s="1702"/>
      <c r="AY57" s="1702"/>
      <c r="AZ57" s="1684" t="s">
        <v>848</v>
      </c>
      <c r="BA57" s="1684"/>
      <c r="BB57" s="1684"/>
      <c r="BC57" s="1684"/>
      <c r="BD57" s="1684"/>
      <c r="BE57" s="1684"/>
      <c r="BF57" s="1684"/>
      <c r="BG57" s="1684"/>
      <c r="BH57" s="1684"/>
      <c r="BI57" s="1684"/>
      <c r="BJ57" s="1684"/>
      <c r="BK57" s="1684"/>
      <c r="BL57" s="1684"/>
      <c r="BM57" s="1684" t="s">
        <v>849</v>
      </c>
      <c r="BN57" s="1684"/>
      <c r="BO57" s="1684"/>
      <c r="BP57" s="1684"/>
      <c r="BQ57" s="1684"/>
      <c r="BR57" s="1684"/>
      <c r="BS57" s="1684"/>
      <c r="BT57" s="1684"/>
      <c r="BU57" s="1684"/>
      <c r="BV57" s="1684"/>
      <c r="BW57" s="1684"/>
      <c r="BX57" s="1684"/>
      <c r="BY57" s="1770"/>
    </row>
    <row r="58" spans="2:160" s="4" customFormat="1" ht="20.7" hidden="1">
      <c r="T58" s="1713"/>
      <c r="U58" s="1714"/>
      <c r="V58" s="1722"/>
      <c r="W58" s="1722"/>
      <c r="X58" s="1722"/>
      <c r="Y58" s="1722"/>
      <c r="Z58" s="1722"/>
      <c r="AA58" s="1722"/>
      <c r="AB58" s="1723"/>
      <c r="AC58" s="1700"/>
      <c r="AD58" s="1700"/>
      <c r="AE58" s="1700"/>
      <c r="AF58" s="1700"/>
      <c r="AG58" s="1700"/>
      <c r="AH58" s="1700"/>
      <c r="AI58" s="1700"/>
      <c r="AJ58" s="1678"/>
      <c r="AK58" s="1679"/>
      <c r="AL58" s="1682"/>
      <c r="AM58" s="1682"/>
      <c r="AN58" s="1682"/>
      <c r="AO58" s="1682"/>
      <c r="AP58" s="1682"/>
      <c r="AQ58" s="1682"/>
      <c r="AR58" s="1683"/>
      <c r="AS58" s="1702"/>
      <c r="AT58" s="1702"/>
      <c r="AU58" s="1702"/>
      <c r="AV58" s="1702"/>
      <c r="AW58" s="1702"/>
      <c r="AX58" s="1702"/>
      <c r="AY58" s="1702"/>
      <c r="AZ58" s="1701">
        <f>'ANALYSIS DATABASE'!C233</f>
        <v>0</v>
      </c>
      <c r="BA58" s="1701"/>
      <c r="BB58" s="1701"/>
      <c r="BC58" s="1701"/>
      <c r="BD58" s="1701"/>
      <c r="BE58" s="1701"/>
      <c r="BF58" s="1701"/>
      <c r="BG58" s="1701"/>
      <c r="BH58" s="1701"/>
      <c r="BI58" s="1701"/>
      <c r="BJ58" s="1701"/>
      <c r="BK58" s="1701"/>
      <c r="BL58" s="1701"/>
      <c r="BM58" s="1701">
        <f>'ANALYSIS DATABASE'!C235</f>
        <v>0</v>
      </c>
      <c r="BN58" s="1701"/>
      <c r="BO58" s="1701"/>
      <c r="BP58" s="1701"/>
      <c r="BQ58" s="1701"/>
      <c r="BR58" s="1701"/>
      <c r="BS58" s="1701"/>
      <c r="BT58" s="1701"/>
      <c r="BU58" s="1701"/>
      <c r="BV58" s="1701"/>
      <c r="BW58" s="1701"/>
      <c r="BX58" s="1701"/>
      <c r="BY58" s="1716"/>
    </row>
    <row r="59" spans="2:160" s="4" customFormat="1" ht="13.7" hidden="1" customHeight="1">
      <c r="T59" s="1711">
        <f>IF(AC59&gt;0,1,0)</f>
        <v>0</v>
      </c>
      <c r="U59" s="1712"/>
      <c r="V59" s="1720" t="s">
        <v>1360</v>
      </c>
      <c r="W59" s="1720"/>
      <c r="X59" s="1720"/>
      <c r="Y59" s="1720"/>
      <c r="Z59" s="1720"/>
      <c r="AA59" s="1720"/>
      <c r="AB59" s="1721"/>
      <c r="AC59" s="1700"/>
      <c r="AD59" s="1700"/>
      <c r="AE59" s="1700"/>
      <c r="AF59" s="1700"/>
      <c r="AG59" s="1700"/>
      <c r="AH59" s="1700"/>
      <c r="AI59" s="1700"/>
      <c r="AJ59" s="1678">
        <f>IF(AS59&gt;0,1,0)</f>
        <v>0</v>
      </c>
      <c r="AK59" s="1679"/>
      <c r="AL59" s="1680" t="str">
        <f>IF(AC59="% of Loan","% of Loan","Amount")</f>
        <v>Amount</v>
      </c>
      <c r="AM59" s="1680"/>
      <c r="AN59" s="1680"/>
      <c r="AO59" s="1680"/>
      <c r="AP59" s="1680"/>
      <c r="AQ59" s="1680"/>
      <c r="AR59" s="1681"/>
      <c r="AS59" s="1702"/>
      <c r="AT59" s="1702"/>
      <c r="AU59" s="1702"/>
      <c r="AV59" s="1702"/>
      <c r="AW59" s="1702"/>
      <c r="AX59" s="1702"/>
      <c r="AY59" s="1702"/>
      <c r="AZ59" s="1724"/>
      <c r="BA59" s="1725"/>
      <c r="BB59" s="1725"/>
      <c r="BC59" s="1725"/>
      <c r="BD59" s="1725"/>
      <c r="BE59" s="1725"/>
      <c r="BF59" s="1725"/>
      <c r="BG59" s="1725"/>
      <c r="BH59" s="1725"/>
      <c r="BI59" s="1725"/>
      <c r="BJ59" s="1725"/>
      <c r="BK59" s="1725"/>
      <c r="BL59" s="1726"/>
      <c r="BM59" s="1684" t="s">
        <v>1621</v>
      </c>
      <c r="BN59" s="1684"/>
      <c r="BO59" s="1684"/>
      <c r="BP59" s="1684"/>
      <c r="BQ59" s="1684"/>
      <c r="BR59" s="1684"/>
      <c r="BS59" s="1684"/>
      <c r="BT59" s="1684"/>
      <c r="BU59" s="1684"/>
      <c r="BV59" s="1684"/>
      <c r="BW59" s="1684"/>
      <c r="BX59" s="1684"/>
      <c r="BY59" s="1684"/>
    </row>
    <row r="60" spans="2:160" s="4" customFormat="1" ht="20.7" hidden="1">
      <c r="T60" s="1713"/>
      <c r="U60" s="1714"/>
      <c r="V60" s="1722"/>
      <c r="W60" s="1722"/>
      <c r="X60" s="1722"/>
      <c r="Y60" s="1722"/>
      <c r="Z60" s="1722"/>
      <c r="AA60" s="1722"/>
      <c r="AB60" s="1723"/>
      <c r="AC60" s="1700"/>
      <c r="AD60" s="1700"/>
      <c r="AE60" s="1700"/>
      <c r="AF60" s="1700"/>
      <c r="AG60" s="1700"/>
      <c r="AH60" s="1700"/>
      <c r="AI60" s="1700"/>
      <c r="AJ60" s="1678"/>
      <c r="AK60" s="1679"/>
      <c r="AL60" s="1682"/>
      <c r="AM60" s="1682"/>
      <c r="AN60" s="1682"/>
      <c r="AO60" s="1682"/>
      <c r="AP60" s="1682"/>
      <c r="AQ60" s="1682"/>
      <c r="AR60" s="1683"/>
      <c r="AS60" s="1702"/>
      <c r="AT60" s="1702"/>
      <c r="AU60" s="1702"/>
      <c r="AV60" s="1702"/>
      <c r="AW60" s="1702"/>
      <c r="AX60" s="1702"/>
      <c r="AY60" s="1702"/>
      <c r="AZ60" s="1727"/>
      <c r="BA60" s="1728"/>
      <c r="BB60" s="1728"/>
      <c r="BC60" s="1728"/>
      <c r="BD60" s="1728"/>
      <c r="BE60" s="1728"/>
      <c r="BF60" s="1728"/>
      <c r="BG60" s="1728"/>
      <c r="BH60" s="1728"/>
      <c r="BI60" s="1728"/>
      <c r="BJ60" s="1728"/>
      <c r="BK60" s="1728"/>
      <c r="BL60" s="1729"/>
      <c r="BM60" s="1701">
        <f>IF(AC59="% of Loan",AS59*AG68,AS59)</f>
        <v>0</v>
      </c>
      <c r="BN60" s="1701"/>
      <c r="BO60" s="1701"/>
      <c r="BP60" s="1701"/>
      <c r="BQ60" s="1701"/>
      <c r="BR60" s="1701"/>
      <c r="BS60" s="1701"/>
      <c r="BT60" s="1701"/>
      <c r="BU60" s="1701"/>
      <c r="BV60" s="1701"/>
      <c r="BW60" s="1701"/>
      <c r="BX60" s="1701"/>
      <c r="BY60" s="1701"/>
    </row>
    <row r="61" spans="2:160" s="4" customFormat="1" ht="26.25" hidden="1" customHeight="1">
      <c r="T61" s="1617" t="s">
        <v>1575</v>
      </c>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c r="BB61" s="1618"/>
      <c r="BC61" s="1618"/>
      <c r="BD61" s="1618"/>
      <c r="BE61" s="1618"/>
      <c r="BF61" s="1618"/>
      <c r="BG61" s="1618"/>
      <c r="BH61" s="1618"/>
      <c r="BI61" s="1618"/>
      <c r="BJ61" s="1618"/>
      <c r="BK61" s="1618"/>
      <c r="BL61" s="1618"/>
      <c r="BM61" s="1618"/>
      <c r="BN61" s="1618"/>
      <c r="BO61" s="1618"/>
      <c r="BP61" s="1618"/>
      <c r="BQ61" s="1618"/>
      <c r="BR61" s="1618"/>
      <c r="BS61" s="1618"/>
      <c r="BT61" s="1618"/>
      <c r="BU61" s="1618"/>
      <c r="BV61" s="1618"/>
      <c r="BW61" s="1618"/>
      <c r="BX61" s="1618"/>
      <c r="BY61" s="1619"/>
    </row>
    <row r="62" spans="2:160" s="4" customFormat="1" ht="16.5" hidden="1" customHeight="1">
      <c r="T62" s="793"/>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8"/>
      <c r="AZ62" s="668"/>
      <c r="BA62" s="668"/>
      <c r="BB62" s="668"/>
      <c r="BC62" s="668"/>
      <c r="BD62" s="668"/>
      <c r="BE62" s="668"/>
      <c r="BF62" s="668"/>
      <c r="BG62" s="668"/>
      <c r="BH62" s="668"/>
      <c r="BI62" s="668"/>
      <c r="BJ62" s="668"/>
      <c r="BK62" s="668"/>
      <c r="BL62" s="668"/>
      <c r="BM62" s="668"/>
      <c r="BN62" s="668"/>
      <c r="BO62" s="668"/>
      <c r="BP62" s="668"/>
      <c r="BQ62" s="668"/>
      <c r="BR62" s="668"/>
      <c r="BS62" s="668"/>
      <c r="BT62" s="668"/>
      <c r="BU62" s="668"/>
      <c r="BV62" s="668"/>
      <c r="BW62" s="668"/>
      <c r="BX62" s="668"/>
      <c r="BY62" s="794"/>
    </row>
    <row r="63" spans="2:160" s="4" customFormat="1" ht="22.5" hidden="1" customHeight="1">
      <c r="T63" s="793"/>
      <c r="U63" s="152"/>
      <c r="V63" s="1660" t="s">
        <v>867</v>
      </c>
      <c r="W63" s="1661"/>
      <c r="X63" s="1661"/>
      <c r="Y63" s="1661"/>
      <c r="Z63" s="1661"/>
      <c r="AA63" s="1661"/>
      <c r="AB63" s="1661"/>
      <c r="AC63" s="1661"/>
      <c r="AD63" s="1661"/>
      <c r="AE63" s="1662"/>
      <c r="AF63" s="152"/>
      <c r="AG63" s="1660" t="s">
        <v>1573</v>
      </c>
      <c r="AH63" s="1661"/>
      <c r="AI63" s="1661"/>
      <c r="AJ63" s="1661"/>
      <c r="AK63" s="1661"/>
      <c r="AL63" s="1661"/>
      <c r="AM63" s="1661"/>
      <c r="AN63" s="1661"/>
      <c r="AO63" s="1661"/>
      <c r="AP63" s="1662"/>
      <c r="AQ63" s="152"/>
      <c r="AR63" s="1660" t="s">
        <v>1621</v>
      </c>
      <c r="AS63" s="1661"/>
      <c r="AT63" s="1661"/>
      <c r="AU63" s="1661"/>
      <c r="AV63" s="1661"/>
      <c r="AW63" s="1661"/>
      <c r="AX63" s="1661"/>
      <c r="AY63" s="1661"/>
      <c r="AZ63" s="1661"/>
      <c r="BA63" s="1662"/>
      <c r="BB63" s="668"/>
      <c r="BC63" s="1660" t="s">
        <v>857</v>
      </c>
      <c r="BD63" s="1661"/>
      <c r="BE63" s="1661"/>
      <c r="BF63" s="1661"/>
      <c r="BG63" s="1661"/>
      <c r="BH63" s="1661"/>
      <c r="BI63" s="1661"/>
      <c r="BJ63" s="1661"/>
      <c r="BK63" s="1661"/>
      <c r="BL63" s="1662"/>
      <c r="BM63" s="668"/>
      <c r="BN63" s="1660" t="s">
        <v>1574</v>
      </c>
      <c r="BO63" s="1661"/>
      <c r="BP63" s="1661"/>
      <c r="BQ63" s="1661"/>
      <c r="BR63" s="1661"/>
      <c r="BS63" s="1661"/>
      <c r="BT63" s="1661"/>
      <c r="BU63" s="1661"/>
      <c r="BV63" s="1661"/>
      <c r="BW63" s="1662"/>
      <c r="BX63" s="668"/>
      <c r="BY63" s="794"/>
    </row>
    <row r="64" spans="2:160" s="4" customFormat="1" ht="19.5" hidden="1" customHeight="1">
      <c r="T64" s="793"/>
      <c r="U64" s="152"/>
      <c r="V64" s="1648">
        <f>'ANALYSIS DATABASE'!C229</f>
        <v>0</v>
      </c>
      <c r="W64" s="1649"/>
      <c r="X64" s="1649"/>
      <c r="Y64" s="1649"/>
      <c r="Z64" s="1649"/>
      <c r="AA64" s="1649"/>
      <c r="AB64" s="1649"/>
      <c r="AC64" s="1649"/>
      <c r="AD64" s="1649"/>
      <c r="AE64" s="1650"/>
      <c r="AF64" s="152"/>
      <c r="AG64" s="1648">
        <f>'ANALYSIS DATABASE'!C233</f>
        <v>0</v>
      </c>
      <c r="AH64" s="1649"/>
      <c r="AI64" s="1649"/>
      <c r="AJ64" s="1649"/>
      <c r="AK64" s="1649"/>
      <c r="AL64" s="1649"/>
      <c r="AM64" s="1649"/>
      <c r="AN64" s="1649"/>
      <c r="AO64" s="1649"/>
      <c r="AP64" s="1650"/>
      <c r="AQ64" s="152"/>
      <c r="AR64" s="1648">
        <f>BM60</f>
        <v>0</v>
      </c>
      <c r="AS64" s="1649"/>
      <c r="AT64" s="1649"/>
      <c r="AU64" s="1649"/>
      <c r="AV64" s="1649"/>
      <c r="AW64" s="1649"/>
      <c r="AX64" s="1649"/>
      <c r="AY64" s="1649"/>
      <c r="AZ64" s="1649"/>
      <c r="BA64" s="1650"/>
      <c r="BB64" s="668"/>
      <c r="BC64" s="1648">
        <f>V64+AG64+AR64</f>
        <v>0</v>
      </c>
      <c r="BD64" s="1649"/>
      <c r="BE64" s="1649"/>
      <c r="BF64" s="1649"/>
      <c r="BG64" s="1649"/>
      <c r="BH64" s="1649"/>
      <c r="BI64" s="1649"/>
      <c r="BJ64" s="1649"/>
      <c r="BK64" s="1649"/>
      <c r="BL64" s="1650"/>
      <c r="BM64" s="668"/>
      <c r="BN64" s="1654">
        <f>IFERROR(BC64/AG68,0)</f>
        <v>0</v>
      </c>
      <c r="BO64" s="1655"/>
      <c r="BP64" s="1655"/>
      <c r="BQ64" s="1655"/>
      <c r="BR64" s="1655"/>
      <c r="BS64" s="1655"/>
      <c r="BT64" s="1655"/>
      <c r="BU64" s="1655"/>
      <c r="BV64" s="1655"/>
      <c r="BW64" s="1656"/>
      <c r="BX64" s="668"/>
      <c r="BY64" s="794"/>
    </row>
    <row r="65" spans="20:77" s="4" customFormat="1" ht="19.5" hidden="1" customHeight="1">
      <c r="T65" s="793"/>
      <c r="U65" s="152"/>
      <c r="V65" s="1651"/>
      <c r="W65" s="1652"/>
      <c r="X65" s="1652"/>
      <c r="Y65" s="1652"/>
      <c r="Z65" s="1652"/>
      <c r="AA65" s="1652"/>
      <c r="AB65" s="1652"/>
      <c r="AC65" s="1652"/>
      <c r="AD65" s="1652"/>
      <c r="AE65" s="1653"/>
      <c r="AF65" s="152"/>
      <c r="AG65" s="1651"/>
      <c r="AH65" s="1652"/>
      <c r="AI65" s="1652"/>
      <c r="AJ65" s="1652"/>
      <c r="AK65" s="1652"/>
      <c r="AL65" s="1652"/>
      <c r="AM65" s="1652"/>
      <c r="AN65" s="1652"/>
      <c r="AO65" s="1652"/>
      <c r="AP65" s="1653"/>
      <c r="AQ65" s="152"/>
      <c r="AR65" s="1651"/>
      <c r="AS65" s="1652"/>
      <c r="AT65" s="1652"/>
      <c r="AU65" s="1652"/>
      <c r="AV65" s="1652"/>
      <c r="AW65" s="1652"/>
      <c r="AX65" s="1652"/>
      <c r="AY65" s="1652"/>
      <c r="AZ65" s="1652"/>
      <c r="BA65" s="1653"/>
      <c r="BB65" s="668"/>
      <c r="BC65" s="1651"/>
      <c r="BD65" s="1652"/>
      <c r="BE65" s="1652"/>
      <c r="BF65" s="1652"/>
      <c r="BG65" s="1652"/>
      <c r="BH65" s="1652"/>
      <c r="BI65" s="1652"/>
      <c r="BJ65" s="1652"/>
      <c r="BK65" s="1652"/>
      <c r="BL65" s="1653"/>
      <c r="BM65" s="668"/>
      <c r="BN65" s="1657"/>
      <c r="BO65" s="1658"/>
      <c r="BP65" s="1658"/>
      <c r="BQ65" s="1658"/>
      <c r="BR65" s="1658"/>
      <c r="BS65" s="1658"/>
      <c r="BT65" s="1658"/>
      <c r="BU65" s="1658"/>
      <c r="BV65" s="1658"/>
      <c r="BW65" s="1659"/>
      <c r="BX65" s="668"/>
      <c r="BY65" s="794"/>
    </row>
    <row r="66" spans="20:77" s="4" customFormat="1" ht="22.5" hidden="1" customHeight="1">
      <c r="T66" s="793"/>
      <c r="U66" s="668"/>
      <c r="V66" s="668"/>
      <c r="W66" s="668"/>
      <c r="X66" s="668"/>
      <c r="Y66" s="668"/>
      <c r="Z66" s="668"/>
      <c r="AA66" s="668"/>
      <c r="AB66" s="668"/>
      <c r="AC66" s="668"/>
      <c r="AD66" s="668"/>
      <c r="AE66" s="668"/>
      <c r="AF66" s="668"/>
      <c r="AG66" s="668"/>
      <c r="AH66" s="668"/>
      <c r="AI66" s="668"/>
      <c r="AJ66" s="668"/>
      <c r="AK66" s="668"/>
      <c r="AL66" s="668"/>
      <c r="AM66" s="668"/>
      <c r="AN66" s="668"/>
      <c r="AO66" s="668"/>
      <c r="AP66" s="668"/>
      <c r="AQ66" s="668"/>
      <c r="AR66" s="668"/>
      <c r="AS66" s="668"/>
      <c r="AT66" s="668"/>
      <c r="AU66" s="668"/>
      <c r="AV66" s="668"/>
      <c r="AW66" s="668"/>
      <c r="AX66" s="668"/>
      <c r="AY66" s="668"/>
      <c r="AZ66" s="668"/>
      <c r="BA66" s="668"/>
      <c r="BB66" s="668"/>
      <c r="BC66" s="668"/>
      <c r="BD66" s="668"/>
      <c r="BE66" s="668"/>
      <c r="BF66" s="668"/>
      <c r="BG66" s="668"/>
      <c r="BH66" s="668"/>
      <c r="BI66" s="668"/>
      <c r="BJ66" s="668"/>
      <c r="BK66" s="668"/>
      <c r="BL66" s="668"/>
      <c r="BM66" s="668"/>
      <c r="BN66" s="668"/>
      <c r="BO66" s="668"/>
      <c r="BP66" s="668"/>
      <c r="BQ66" s="668"/>
      <c r="BR66" s="668"/>
      <c r="BS66" s="668"/>
      <c r="BT66" s="668"/>
      <c r="BU66" s="668"/>
      <c r="BV66" s="668"/>
      <c r="BW66" s="668"/>
      <c r="BX66" s="668"/>
      <c r="BY66" s="794"/>
    </row>
    <row r="67" spans="20:77" s="4" customFormat="1" ht="22.5" hidden="1" customHeight="1">
      <c r="T67" s="793"/>
      <c r="U67" s="152"/>
      <c r="V67" s="1660" t="s">
        <v>1571</v>
      </c>
      <c r="W67" s="1661"/>
      <c r="X67" s="1661"/>
      <c r="Y67" s="1661"/>
      <c r="Z67" s="1661"/>
      <c r="AA67" s="1661"/>
      <c r="AB67" s="1661"/>
      <c r="AC67" s="1661"/>
      <c r="AD67" s="1661"/>
      <c r="AE67" s="1662"/>
      <c r="AF67" s="152"/>
      <c r="AG67" s="1660" t="s">
        <v>1572</v>
      </c>
      <c r="AH67" s="1661"/>
      <c r="AI67" s="1661"/>
      <c r="AJ67" s="1661"/>
      <c r="AK67" s="1661"/>
      <c r="AL67" s="1661"/>
      <c r="AM67" s="1661"/>
      <c r="AN67" s="1661"/>
      <c r="AO67" s="1661"/>
      <c r="AP67" s="1662"/>
      <c r="AQ67" s="152"/>
      <c r="AR67" s="1660" t="s">
        <v>1568</v>
      </c>
      <c r="AS67" s="1661"/>
      <c r="AT67" s="1661"/>
      <c r="AU67" s="1661"/>
      <c r="AV67" s="1661"/>
      <c r="AW67" s="1661"/>
      <c r="AX67" s="1661"/>
      <c r="AY67" s="1661"/>
      <c r="AZ67" s="1661"/>
      <c r="BA67" s="1662"/>
      <c r="BB67" s="668"/>
      <c r="BC67" s="1660" t="s">
        <v>1569</v>
      </c>
      <c r="BD67" s="1661"/>
      <c r="BE67" s="1661"/>
      <c r="BF67" s="1661"/>
      <c r="BG67" s="1661"/>
      <c r="BH67" s="1661"/>
      <c r="BI67" s="1661"/>
      <c r="BJ67" s="1661"/>
      <c r="BK67" s="1661"/>
      <c r="BL67" s="1662"/>
      <c r="BM67" s="668"/>
      <c r="BN67" s="1660" t="s">
        <v>1570</v>
      </c>
      <c r="BO67" s="1661"/>
      <c r="BP67" s="1661"/>
      <c r="BQ67" s="1661"/>
      <c r="BR67" s="1661"/>
      <c r="BS67" s="1661"/>
      <c r="BT67" s="1661"/>
      <c r="BU67" s="1661"/>
      <c r="BV67" s="1661"/>
      <c r="BW67" s="1662"/>
      <c r="BX67" s="668"/>
      <c r="BY67" s="794"/>
    </row>
    <row r="68" spans="20:77" s="4" customFormat="1" ht="19.5" hidden="1" customHeight="1">
      <c r="T68" s="793"/>
      <c r="U68" s="152"/>
      <c r="V68" s="1648">
        <f>IF(AG68=0,0,V41)</f>
        <v>0</v>
      </c>
      <c r="W68" s="1649"/>
      <c r="X68" s="1649"/>
      <c r="Y68" s="1649"/>
      <c r="Z68" s="1649"/>
      <c r="AA68" s="1649"/>
      <c r="AB68" s="1649"/>
      <c r="AC68" s="1649"/>
      <c r="AD68" s="1649"/>
      <c r="AE68" s="1650"/>
      <c r="AF68" s="152"/>
      <c r="AG68" s="1648">
        <f>'ANALYSIS DATABASE'!C243</f>
        <v>0</v>
      </c>
      <c r="AH68" s="1649"/>
      <c r="AI68" s="1649"/>
      <c r="AJ68" s="1649"/>
      <c r="AK68" s="1649"/>
      <c r="AL68" s="1649"/>
      <c r="AM68" s="1649"/>
      <c r="AN68" s="1649"/>
      <c r="AO68" s="1649"/>
      <c r="AP68" s="1650"/>
      <c r="AQ68" s="152"/>
      <c r="AR68" s="1648">
        <f>'ANALYSIS DATABASE'!C241</f>
        <v>0</v>
      </c>
      <c r="AS68" s="1649"/>
      <c r="AT68" s="1649"/>
      <c r="AU68" s="1649"/>
      <c r="AV68" s="1649"/>
      <c r="AW68" s="1649"/>
      <c r="AX68" s="1649"/>
      <c r="AY68" s="1649"/>
      <c r="AZ68" s="1649"/>
      <c r="BA68" s="1650"/>
      <c r="BB68" s="668"/>
      <c r="BC68" s="1648">
        <f>IF(AG68=0,0,'ANALYSIS DATABASE'!C244)</f>
        <v>0</v>
      </c>
      <c r="BD68" s="1649"/>
      <c r="BE68" s="1649"/>
      <c r="BF68" s="1649"/>
      <c r="BG68" s="1649"/>
      <c r="BH68" s="1649"/>
      <c r="BI68" s="1649"/>
      <c r="BJ68" s="1649"/>
      <c r="BK68" s="1649"/>
      <c r="BL68" s="1650"/>
      <c r="BM68" s="668"/>
      <c r="BN68" s="1648">
        <f>AR68+BC68</f>
        <v>0</v>
      </c>
      <c r="BO68" s="1649"/>
      <c r="BP68" s="1649"/>
      <c r="BQ68" s="1649"/>
      <c r="BR68" s="1649"/>
      <c r="BS68" s="1649"/>
      <c r="BT68" s="1649"/>
      <c r="BU68" s="1649"/>
      <c r="BV68" s="1649"/>
      <c r="BW68" s="1650"/>
      <c r="BX68" s="668"/>
      <c r="BY68" s="794"/>
    </row>
    <row r="69" spans="20:77" s="4" customFormat="1" ht="19.5" hidden="1" customHeight="1">
      <c r="T69" s="793"/>
      <c r="U69" s="152"/>
      <c r="V69" s="1651"/>
      <c r="W69" s="1652"/>
      <c r="X69" s="1652"/>
      <c r="Y69" s="1652"/>
      <c r="Z69" s="1652"/>
      <c r="AA69" s="1652"/>
      <c r="AB69" s="1652"/>
      <c r="AC69" s="1652"/>
      <c r="AD69" s="1652"/>
      <c r="AE69" s="1653"/>
      <c r="AF69" s="152"/>
      <c r="AG69" s="1651"/>
      <c r="AH69" s="1652"/>
      <c r="AI69" s="1652"/>
      <c r="AJ69" s="1652"/>
      <c r="AK69" s="1652"/>
      <c r="AL69" s="1652"/>
      <c r="AM69" s="1652"/>
      <c r="AN69" s="1652"/>
      <c r="AO69" s="1652"/>
      <c r="AP69" s="1653"/>
      <c r="AQ69" s="152"/>
      <c r="AR69" s="1651"/>
      <c r="AS69" s="1652"/>
      <c r="AT69" s="1652"/>
      <c r="AU69" s="1652"/>
      <c r="AV69" s="1652"/>
      <c r="AW69" s="1652"/>
      <c r="AX69" s="1652"/>
      <c r="AY69" s="1652"/>
      <c r="AZ69" s="1652"/>
      <c r="BA69" s="1653"/>
      <c r="BB69" s="668"/>
      <c r="BC69" s="1651"/>
      <c r="BD69" s="1652"/>
      <c r="BE69" s="1652"/>
      <c r="BF69" s="1652"/>
      <c r="BG69" s="1652"/>
      <c r="BH69" s="1652"/>
      <c r="BI69" s="1652"/>
      <c r="BJ69" s="1652"/>
      <c r="BK69" s="1652"/>
      <c r="BL69" s="1653"/>
      <c r="BM69" s="668"/>
      <c r="BN69" s="1651"/>
      <c r="BO69" s="1652"/>
      <c r="BP69" s="1652"/>
      <c r="BQ69" s="1652"/>
      <c r="BR69" s="1652"/>
      <c r="BS69" s="1652"/>
      <c r="BT69" s="1652"/>
      <c r="BU69" s="1652"/>
      <c r="BV69" s="1652"/>
      <c r="BW69" s="1653"/>
      <c r="BX69" s="668"/>
      <c r="BY69" s="794"/>
    </row>
    <row r="70" spans="20:77" s="4" customFormat="1" ht="22.5" hidden="1" customHeight="1">
      <c r="T70" s="795"/>
      <c r="U70" s="796"/>
      <c r="V70" s="796"/>
      <c r="W70" s="796"/>
      <c r="X70" s="796"/>
      <c r="Y70" s="796"/>
      <c r="Z70" s="796"/>
      <c r="AA70" s="796"/>
      <c r="AB70" s="796"/>
      <c r="AC70" s="796"/>
      <c r="AD70" s="796"/>
      <c r="AE70" s="796"/>
      <c r="AF70" s="796"/>
      <c r="AG70" s="796"/>
      <c r="AH70" s="796"/>
      <c r="AI70" s="796"/>
      <c r="AJ70" s="796"/>
      <c r="AK70" s="796"/>
      <c r="AL70" s="796"/>
      <c r="AM70" s="796"/>
      <c r="AN70" s="796"/>
      <c r="AO70" s="796"/>
      <c r="AP70" s="796"/>
      <c r="AQ70" s="796"/>
      <c r="AR70" s="796"/>
      <c r="AS70" s="796"/>
      <c r="AT70" s="796"/>
      <c r="AU70" s="796"/>
      <c r="AV70" s="796"/>
      <c r="AW70" s="796"/>
      <c r="AX70" s="796"/>
      <c r="AY70" s="796"/>
      <c r="AZ70" s="796"/>
      <c r="BA70" s="796"/>
      <c r="BB70" s="796"/>
      <c r="BC70" s="796"/>
      <c r="BD70" s="796"/>
      <c r="BE70" s="796"/>
      <c r="BF70" s="796"/>
      <c r="BG70" s="796"/>
      <c r="BH70" s="796"/>
      <c r="BI70" s="796"/>
      <c r="BJ70" s="796"/>
      <c r="BK70" s="796"/>
      <c r="BL70" s="796"/>
      <c r="BM70" s="796"/>
      <c r="BN70" s="796"/>
      <c r="BO70" s="796"/>
      <c r="BP70" s="796"/>
      <c r="BQ70" s="796"/>
      <c r="BR70" s="796"/>
      <c r="BS70" s="796"/>
      <c r="BT70" s="796"/>
      <c r="BU70" s="796"/>
      <c r="BV70" s="796"/>
      <c r="BW70" s="796"/>
      <c r="BX70" s="796"/>
      <c r="BY70" s="797"/>
    </row>
    <row r="71" spans="20:77" s="4" customFormat="1" ht="13" hidden="1" customHeight="1">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c r="BA71" s="289"/>
      <c r="BB71" s="289"/>
      <c r="BC71" s="289"/>
      <c r="BD71" s="289"/>
      <c r="BE71" s="289"/>
      <c r="BF71" s="289"/>
      <c r="BG71" s="289"/>
      <c r="BH71" s="289"/>
      <c r="BI71" s="289"/>
      <c r="BJ71" s="289"/>
      <c r="BK71" s="289"/>
      <c r="BL71" s="289"/>
      <c r="BM71" s="289"/>
      <c r="BN71" s="289"/>
      <c r="BO71" s="289"/>
      <c r="BP71" s="289"/>
      <c r="BQ71" s="289"/>
      <c r="BR71" s="289"/>
      <c r="BS71" s="289"/>
      <c r="BT71" s="289"/>
      <c r="BU71" s="289"/>
      <c r="BV71" s="289"/>
      <c r="BW71" s="289"/>
      <c r="BX71" s="289"/>
      <c r="BY71" s="289"/>
    </row>
    <row r="72" spans="20:77" s="4" customFormat="1" ht="26.25" hidden="1" customHeight="1">
      <c r="T72" s="1732" t="s">
        <v>603</v>
      </c>
      <c r="U72" s="1733"/>
      <c r="V72" s="1733"/>
      <c r="W72" s="1733"/>
      <c r="X72" s="1733"/>
      <c r="Y72" s="1733"/>
      <c r="Z72" s="1733"/>
      <c r="AA72" s="1733"/>
      <c r="AB72" s="1733"/>
      <c r="AC72" s="1733"/>
      <c r="AD72" s="1733"/>
      <c r="AE72" s="1733"/>
      <c r="AF72" s="1733"/>
      <c r="AG72" s="1733"/>
      <c r="AH72" s="1733"/>
      <c r="AI72" s="1733"/>
      <c r="AJ72" s="1733"/>
      <c r="AK72" s="1733"/>
      <c r="AL72" s="1733"/>
      <c r="AM72" s="1733"/>
      <c r="AN72" s="1733"/>
      <c r="AO72" s="1733"/>
      <c r="AP72" s="1733"/>
      <c r="AQ72" s="1733"/>
      <c r="AR72" s="1733"/>
      <c r="AS72" s="1733"/>
      <c r="AT72" s="1733"/>
      <c r="AU72" s="1733"/>
      <c r="AV72" s="1733"/>
      <c r="AW72" s="1733"/>
      <c r="AX72" s="1733"/>
      <c r="AY72" s="1733"/>
      <c r="AZ72" s="1733"/>
      <c r="BA72" s="1733"/>
      <c r="BB72" s="1733"/>
      <c r="BC72" s="1733"/>
      <c r="BD72" s="1733"/>
      <c r="BE72" s="1733"/>
      <c r="BF72" s="1733"/>
      <c r="BG72" s="1733"/>
      <c r="BH72" s="1733"/>
      <c r="BI72" s="1733"/>
      <c r="BJ72" s="1733"/>
      <c r="BK72" s="1733"/>
      <c r="BL72" s="1733"/>
      <c r="BM72" s="1733"/>
      <c r="BN72" s="1733"/>
      <c r="BO72" s="1733"/>
      <c r="BP72" s="1733"/>
      <c r="BQ72" s="1733"/>
      <c r="BR72" s="1733"/>
      <c r="BS72" s="1733"/>
      <c r="BT72" s="1733"/>
      <c r="BU72" s="1733"/>
      <c r="BV72" s="1733"/>
      <c r="BW72" s="1733"/>
      <c r="BX72" s="1733"/>
      <c r="BY72" s="1734"/>
    </row>
    <row r="73" spans="20:77" s="4" customFormat="1" ht="13" hidden="1" customHeight="1">
      <c r="T73" s="893"/>
      <c r="U73" s="668"/>
      <c r="V73" s="668"/>
      <c r="W73" s="668"/>
      <c r="X73" s="668"/>
      <c r="Y73" s="668"/>
      <c r="Z73" s="668"/>
      <c r="AA73" s="668"/>
      <c r="AB73" s="668"/>
      <c r="AC73" s="668"/>
      <c r="AD73" s="668"/>
      <c r="AE73" s="668"/>
      <c r="AF73" s="668"/>
      <c r="AG73" s="668"/>
      <c r="AH73" s="668"/>
      <c r="AI73" s="668"/>
      <c r="AJ73" s="668"/>
      <c r="AK73" s="668"/>
      <c r="AL73" s="668"/>
      <c r="AM73" s="668"/>
      <c r="AN73" s="668"/>
      <c r="AO73" s="668"/>
      <c r="AP73" s="668"/>
      <c r="AQ73" s="668"/>
      <c r="AR73" s="668"/>
      <c r="AS73" s="668"/>
      <c r="AT73" s="668"/>
      <c r="AU73" s="668"/>
      <c r="AV73" s="668"/>
      <c r="AW73" s="668"/>
      <c r="AX73" s="668"/>
      <c r="AY73" s="668"/>
      <c r="AZ73" s="668"/>
      <c r="BA73" s="668"/>
      <c r="BB73" s="668"/>
      <c r="BC73" s="668"/>
      <c r="BD73" s="668"/>
      <c r="BE73" s="668"/>
      <c r="BF73" s="668"/>
      <c r="BG73" s="668"/>
      <c r="BH73" s="668"/>
      <c r="BI73" s="668"/>
      <c r="BJ73" s="668"/>
      <c r="BK73" s="668"/>
      <c r="BL73" s="668"/>
      <c r="BM73" s="668"/>
      <c r="BN73" s="668"/>
      <c r="BO73" s="668"/>
      <c r="BP73" s="668"/>
      <c r="BQ73" s="668"/>
      <c r="BR73" s="668"/>
      <c r="BS73" s="668"/>
      <c r="BT73" s="668"/>
      <c r="BU73" s="668"/>
      <c r="BV73" s="668"/>
      <c r="BW73" s="668"/>
      <c r="BX73" s="668"/>
      <c r="BY73" s="894"/>
    </row>
    <row r="74" spans="20:77" s="4" customFormat="1" ht="44.7" hidden="1" customHeight="1">
      <c r="T74" s="893"/>
      <c r="U74" s="1736" t="s">
        <v>1642</v>
      </c>
      <c r="V74" s="1737"/>
      <c r="W74" s="1737"/>
      <c r="X74" s="1737"/>
      <c r="Y74" s="1737"/>
      <c r="Z74" s="1737"/>
      <c r="AA74" s="1737"/>
      <c r="AB74" s="1737"/>
      <c r="AC74" s="1737"/>
      <c r="AD74" s="1737"/>
      <c r="AE74" s="1737"/>
      <c r="AF74" s="1737"/>
      <c r="AG74" s="1737"/>
      <c r="AH74" s="1737"/>
      <c r="AI74" s="1737"/>
      <c r="AJ74" s="1737"/>
      <c r="AK74" s="1737"/>
      <c r="AL74" s="1737"/>
      <c r="AM74" s="1737"/>
      <c r="AN74" s="1737"/>
      <c r="AO74" s="1737"/>
      <c r="AP74" s="1737"/>
      <c r="AQ74" s="1737"/>
      <c r="AR74" s="1737"/>
      <c r="AS74" s="1737"/>
      <c r="AT74" s="1737"/>
      <c r="AU74" s="1737"/>
      <c r="AV74" s="1737"/>
      <c r="AW74" s="1737"/>
      <c r="AX74" s="1737"/>
      <c r="AY74" s="1737"/>
      <c r="AZ74" s="1737"/>
      <c r="BA74" s="1737"/>
      <c r="BB74" s="1737"/>
      <c r="BC74" s="1737"/>
      <c r="BD74" s="1737"/>
      <c r="BE74" s="1737"/>
      <c r="BF74" s="1737"/>
      <c r="BG74" s="1737"/>
      <c r="BH74" s="1737"/>
      <c r="BI74" s="1737"/>
      <c r="BJ74" s="1737"/>
      <c r="BK74" s="1737"/>
      <c r="BL74" s="1737"/>
      <c r="BM74" s="1737"/>
      <c r="BN74" s="1737"/>
      <c r="BO74" s="1737"/>
      <c r="BP74" s="1737"/>
      <c r="BQ74" s="1737"/>
      <c r="BR74" s="1737"/>
      <c r="BS74" s="1737"/>
      <c r="BT74" s="1737"/>
      <c r="BU74" s="1737"/>
      <c r="BV74" s="1737"/>
      <c r="BW74" s="1737"/>
      <c r="BX74" s="1738"/>
      <c r="BY74" s="894"/>
    </row>
    <row r="75" spans="20:77" s="4" customFormat="1" ht="13" hidden="1" customHeight="1">
      <c r="T75" s="893"/>
      <c r="U75" s="668"/>
      <c r="V75" s="668"/>
      <c r="W75" s="668"/>
      <c r="X75" s="668"/>
      <c r="Y75" s="668"/>
      <c r="Z75" s="668"/>
      <c r="AA75" s="668"/>
      <c r="AB75" s="668"/>
      <c r="AC75" s="668"/>
      <c r="AD75" s="668"/>
      <c r="AE75" s="668"/>
      <c r="AF75" s="668"/>
      <c r="AG75" s="668"/>
      <c r="AH75" s="668"/>
      <c r="AI75" s="668"/>
      <c r="AJ75" s="668"/>
      <c r="AK75" s="668"/>
      <c r="AL75" s="668"/>
      <c r="AM75" s="668"/>
      <c r="AN75" s="668"/>
      <c r="AO75" s="668"/>
      <c r="AP75" s="668"/>
      <c r="AQ75" s="668"/>
      <c r="AR75" s="668"/>
      <c r="AS75" s="668"/>
      <c r="AT75" s="668"/>
      <c r="AU75" s="668"/>
      <c r="AV75" s="668"/>
      <c r="AW75" s="668"/>
      <c r="AX75" s="668"/>
      <c r="AY75" s="668"/>
      <c r="AZ75" s="668"/>
      <c r="BA75" s="668"/>
      <c r="BB75" s="668"/>
      <c r="BC75" s="668"/>
      <c r="BD75" s="668"/>
      <c r="BE75" s="668"/>
      <c r="BF75" s="668"/>
      <c r="BG75" s="668"/>
      <c r="BH75" s="668"/>
      <c r="BI75" s="668"/>
      <c r="BJ75" s="668"/>
      <c r="BK75" s="668"/>
      <c r="BL75" s="668"/>
      <c r="BM75" s="668"/>
      <c r="BN75" s="668"/>
      <c r="BO75" s="668"/>
      <c r="BP75" s="668"/>
      <c r="BQ75" s="668"/>
      <c r="BR75" s="668"/>
      <c r="BS75" s="668"/>
      <c r="BT75" s="668"/>
      <c r="BU75" s="668"/>
      <c r="BV75" s="668"/>
      <c r="BW75" s="668"/>
      <c r="BX75" s="668"/>
      <c r="BY75" s="894"/>
    </row>
    <row r="76" spans="20:77" s="4" customFormat="1" ht="28.7" hidden="1" customHeight="1">
      <c r="T76" s="893"/>
      <c r="U76" s="668"/>
      <c r="V76" s="668"/>
      <c r="W76" s="668"/>
      <c r="X76" s="668"/>
      <c r="Y76" s="668"/>
      <c r="Z76" s="668"/>
      <c r="AA76" s="668"/>
      <c r="AB76" s="668"/>
      <c r="AC76" s="668"/>
      <c r="AD76" s="668"/>
      <c r="AE76" s="668"/>
      <c r="AF76" s="668"/>
      <c r="AG76" s="668"/>
      <c r="AH76" s="668"/>
      <c r="AI76" s="1607" t="s">
        <v>1625</v>
      </c>
      <c r="AJ76" s="1607"/>
      <c r="AK76" s="1607"/>
      <c r="AL76" s="1607"/>
      <c r="AM76" s="1607"/>
      <c r="AN76" s="1607"/>
      <c r="AO76" s="1607"/>
      <c r="AP76" s="1607"/>
      <c r="AQ76" s="1607"/>
      <c r="AR76" s="1607"/>
      <c r="AS76" s="1607"/>
      <c r="AT76" s="1607"/>
      <c r="AU76" s="1607"/>
      <c r="AV76" s="1607"/>
      <c r="AW76" s="1607"/>
      <c r="AX76" s="1607"/>
      <c r="AY76" s="1607"/>
      <c r="AZ76" s="1607"/>
      <c r="BA76" s="1607"/>
      <c r="BB76" s="1607"/>
      <c r="BC76" s="1607"/>
      <c r="BD76" s="1607"/>
      <c r="BE76" s="1607"/>
      <c r="BF76" s="1607"/>
      <c r="BG76" s="1607"/>
      <c r="BH76" s="1607"/>
      <c r="BI76" s="1607"/>
      <c r="BJ76" s="1735">
        <f>Total_Profit_Result</f>
        <v>0</v>
      </c>
      <c r="BK76" s="1735"/>
      <c r="BL76" s="1735"/>
      <c r="BM76" s="1735"/>
      <c r="BN76" s="1735"/>
      <c r="BO76" s="1735"/>
      <c r="BP76" s="1735"/>
      <c r="BQ76" s="1735"/>
      <c r="BR76" s="1735"/>
      <c r="BS76" s="1735"/>
      <c r="BT76" s="152"/>
      <c r="BU76" s="152"/>
      <c r="BV76" s="152"/>
      <c r="BW76" s="152"/>
      <c r="BX76" s="152"/>
      <c r="BY76" s="894"/>
    </row>
    <row r="77" spans="20:77" s="4" customFormat="1" ht="14" hidden="1" customHeight="1">
      <c r="T77" s="893"/>
      <c r="U77" s="668"/>
      <c r="V77" s="668"/>
      <c r="W77" s="668"/>
      <c r="X77" s="668"/>
      <c r="Y77" s="668"/>
      <c r="Z77" s="668"/>
      <c r="AA77" s="668"/>
      <c r="AB77" s="668"/>
      <c r="AC77" s="668"/>
      <c r="AD77" s="668"/>
      <c r="AE77" s="668"/>
      <c r="AF77" s="668"/>
      <c r="AG77" s="668"/>
      <c r="AH77" s="668"/>
      <c r="AI77" s="668"/>
      <c r="AJ77" s="668"/>
      <c r="AK77" s="668"/>
      <c r="AL77" s="668"/>
      <c r="AM77" s="668"/>
      <c r="AN77" s="881"/>
      <c r="AO77" s="881"/>
      <c r="AP77" s="881"/>
      <c r="AQ77" s="881"/>
      <c r="AR77" s="881"/>
      <c r="AS77" s="881"/>
      <c r="AT77" s="881"/>
      <c r="AU77" s="881"/>
      <c r="AV77" s="881"/>
      <c r="AW77" s="881"/>
      <c r="AX77" s="881"/>
      <c r="AY77" s="881"/>
      <c r="AZ77" s="881"/>
      <c r="BA77" s="881"/>
      <c r="BB77" s="881"/>
      <c r="BC77" s="881"/>
      <c r="BD77" s="881"/>
      <c r="BE77" s="881"/>
      <c r="BF77" s="881"/>
      <c r="BG77" s="881"/>
      <c r="BH77" s="881"/>
      <c r="BI77" s="881"/>
      <c r="BJ77" s="881"/>
      <c r="BK77" s="881"/>
      <c r="BL77" s="881"/>
      <c r="BM77" s="881"/>
      <c r="BN77" s="881"/>
      <c r="BO77" s="668"/>
      <c r="BP77" s="668"/>
      <c r="BQ77" s="668"/>
      <c r="BR77" s="668"/>
      <c r="BS77" s="668"/>
      <c r="BT77" s="668"/>
      <c r="BU77" s="668"/>
      <c r="BV77" s="668"/>
      <c r="BW77" s="668"/>
      <c r="BX77" s="668"/>
      <c r="BY77" s="894"/>
    </row>
    <row r="78" spans="20:77" s="4" customFormat="1" ht="22.5" hidden="1" customHeight="1">
      <c r="T78" s="893"/>
      <c r="U78" s="1667" t="s">
        <v>608</v>
      </c>
      <c r="V78" s="1667"/>
      <c r="W78" s="1667"/>
      <c r="X78" s="1772" t="s">
        <v>1622</v>
      </c>
      <c r="Y78" s="1773"/>
      <c r="Z78" s="1773"/>
      <c r="AA78" s="1773"/>
      <c r="AB78" s="1773"/>
      <c r="AC78" s="1773"/>
      <c r="AD78" s="1773"/>
      <c r="AE78" s="1773"/>
      <c r="AF78" s="1773"/>
      <c r="AG78" s="1773"/>
      <c r="AH78" s="1773"/>
      <c r="AI78" s="1773"/>
      <c r="AJ78" s="1773"/>
      <c r="AK78" s="1773"/>
      <c r="AL78" s="1773"/>
      <c r="AM78" s="1773"/>
      <c r="AN78" s="1773"/>
      <c r="AO78" s="1774"/>
      <c r="AP78" s="1667" t="s">
        <v>1698</v>
      </c>
      <c r="AQ78" s="1667"/>
      <c r="AR78" s="1667"/>
      <c r="AS78" s="1667"/>
      <c r="AT78" s="1667"/>
      <c r="AU78" s="1667"/>
      <c r="AV78" s="1667"/>
      <c r="AW78" s="1667"/>
      <c r="AX78" s="1667"/>
      <c r="AY78" s="1667"/>
      <c r="AZ78" s="1667" t="s">
        <v>1623</v>
      </c>
      <c r="BA78" s="1667"/>
      <c r="BB78" s="1667"/>
      <c r="BC78" s="1667"/>
      <c r="BD78" s="1667"/>
      <c r="BE78" s="1667"/>
      <c r="BF78" s="1667"/>
      <c r="BG78" s="1667"/>
      <c r="BH78" s="1667"/>
      <c r="BI78" s="1667"/>
      <c r="BJ78" s="1667" t="s">
        <v>1624</v>
      </c>
      <c r="BK78" s="1667"/>
      <c r="BL78" s="1667"/>
      <c r="BM78" s="1667"/>
      <c r="BN78" s="1667"/>
      <c r="BO78" s="1667"/>
      <c r="BP78" s="1667"/>
      <c r="BQ78" s="1667"/>
      <c r="BR78" s="1667"/>
      <c r="BS78" s="1667"/>
      <c r="BT78" s="1667" t="s">
        <v>899</v>
      </c>
      <c r="BU78" s="1667"/>
      <c r="BV78" s="1667"/>
      <c r="BW78" s="1667"/>
      <c r="BX78" s="1667"/>
      <c r="BY78" s="894"/>
    </row>
    <row r="79" spans="20:77" s="4" customFormat="1" ht="29" hidden="1" customHeight="1">
      <c r="T79" s="893"/>
      <c r="U79" s="1647">
        <v>1</v>
      </c>
      <c r="V79" s="1647"/>
      <c r="W79" s="1647"/>
      <c r="X79" s="1621" t="s">
        <v>1632</v>
      </c>
      <c r="Y79" s="1622"/>
      <c r="Z79" s="1622"/>
      <c r="AA79" s="1622"/>
      <c r="AB79" s="1622"/>
      <c r="AC79" s="1622"/>
      <c r="AD79" s="1622"/>
      <c r="AE79" s="1622"/>
      <c r="AF79" s="1622"/>
      <c r="AG79" s="1622"/>
      <c r="AH79" s="1622"/>
      <c r="AI79" s="1622"/>
      <c r="AJ79" s="1622"/>
      <c r="AK79" s="1622"/>
      <c r="AL79" s="1622"/>
      <c r="AM79" s="1622"/>
      <c r="AN79" s="1622"/>
      <c r="AO79" s="1623"/>
      <c r="AP79" s="1624"/>
      <c r="AQ79" s="1625"/>
      <c r="AR79" s="1625"/>
      <c r="AS79" s="1625"/>
      <c r="AT79" s="1625"/>
      <c r="AU79" s="1625"/>
      <c r="AV79" s="1625"/>
      <c r="AW79" s="1625"/>
      <c r="AX79" s="1625"/>
      <c r="AY79" s="1626"/>
      <c r="AZ79" s="1731"/>
      <c r="BA79" s="1731"/>
      <c r="BB79" s="1731"/>
      <c r="BC79" s="1731"/>
      <c r="BD79" s="1731"/>
      <c r="BE79" s="1731"/>
      <c r="BF79" s="1731"/>
      <c r="BG79" s="1731"/>
      <c r="BH79" s="1731"/>
      <c r="BI79" s="1731"/>
      <c r="BJ79" s="1645">
        <f t="shared" ref="BJ79:BJ88" si="0">$BJ$76*AZ79</f>
        <v>0</v>
      </c>
      <c r="BK79" s="1646"/>
      <c r="BL79" s="1646"/>
      <c r="BM79" s="1646"/>
      <c r="BN79" s="1646"/>
      <c r="BO79" s="1646"/>
      <c r="BP79" s="1646"/>
      <c r="BQ79" s="1646"/>
      <c r="BR79" s="1646"/>
      <c r="BS79" s="1646"/>
      <c r="BT79" s="1666">
        <f>IFERROR(BJ79/AP79,0)</f>
        <v>0</v>
      </c>
      <c r="BU79" s="1666"/>
      <c r="BV79" s="1666"/>
      <c r="BW79" s="1666"/>
      <c r="BX79" s="1666"/>
      <c r="BY79" s="894"/>
    </row>
    <row r="80" spans="20:77" s="4" customFormat="1" ht="29" hidden="1" customHeight="1">
      <c r="T80" s="893"/>
      <c r="U80" s="1647">
        <v>2</v>
      </c>
      <c r="V80" s="1647"/>
      <c r="W80" s="1647"/>
      <c r="X80" s="1621" t="s">
        <v>1633</v>
      </c>
      <c r="Y80" s="1622"/>
      <c r="Z80" s="1622"/>
      <c r="AA80" s="1622"/>
      <c r="AB80" s="1622"/>
      <c r="AC80" s="1622"/>
      <c r="AD80" s="1622"/>
      <c r="AE80" s="1622"/>
      <c r="AF80" s="1622"/>
      <c r="AG80" s="1622"/>
      <c r="AH80" s="1622"/>
      <c r="AI80" s="1622"/>
      <c r="AJ80" s="1622"/>
      <c r="AK80" s="1622"/>
      <c r="AL80" s="1622"/>
      <c r="AM80" s="1622"/>
      <c r="AN80" s="1622"/>
      <c r="AO80" s="1623"/>
      <c r="AP80" s="1624"/>
      <c r="AQ80" s="1625"/>
      <c r="AR80" s="1625"/>
      <c r="AS80" s="1625"/>
      <c r="AT80" s="1625"/>
      <c r="AU80" s="1625"/>
      <c r="AV80" s="1625"/>
      <c r="AW80" s="1625"/>
      <c r="AX80" s="1625"/>
      <c r="AY80" s="1626"/>
      <c r="AZ80" s="1644"/>
      <c r="BA80" s="1644"/>
      <c r="BB80" s="1644"/>
      <c r="BC80" s="1644"/>
      <c r="BD80" s="1644"/>
      <c r="BE80" s="1644"/>
      <c r="BF80" s="1644"/>
      <c r="BG80" s="1644"/>
      <c r="BH80" s="1644"/>
      <c r="BI80" s="1644"/>
      <c r="BJ80" s="1645">
        <f t="shared" si="0"/>
        <v>0</v>
      </c>
      <c r="BK80" s="1646"/>
      <c r="BL80" s="1646"/>
      <c r="BM80" s="1646"/>
      <c r="BN80" s="1646"/>
      <c r="BO80" s="1646"/>
      <c r="BP80" s="1646"/>
      <c r="BQ80" s="1646"/>
      <c r="BR80" s="1646"/>
      <c r="BS80" s="1646"/>
      <c r="BT80" s="1666">
        <f t="shared" ref="BT80:BT87" si="1">IFERROR(BJ80/AP80,0)</f>
        <v>0</v>
      </c>
      <c r="BU80" s="1666"/>
      <c r="BV80" s="1666"/>
      <c r="BW80" s="1666"/>
      <c r="BX80" s="1666"/>
      <c r="BY80" s="894"/>
    </row>
    <row r="81" spans="20:164" s="4" customFormat="1" ht="29" hidden="1" customHeight="1">
      <c r="T81" s="893"/>
      <c r="U81" s="1647">
        <v>3</v>
      </c>
      <c r="V81" s="1647"/>
      <c r="W81" s="1647"/>
      <c r="X81" s="1621" t="s">
        <v>1634</v>
      </c>
      <c r="Y81" s="1622"/>
      <c r="Z81" s="1622"/>
      <c r="AA81" s="1622"/>
      <c r="AB81" s="1622"/>
      <c r="AC81" s="1622"/>
      <c r="AD81" s="1622"/>
      <c r="AE81" s="1622"/>
      <c r="AF81" s="1622"/>
      <c r="AG81" s="1622"/>
      <c r="AH81" s="1622"/>
      <c r="AI81" s="1622"/>
      <c r="AJ81" s="1622"/>
      <c r="AK81" s="1622"/>
      <c r="AL81" s="1622"/>
      <c r="AM81" s="1622"/>
      <c r="AN81" s="1622"/>
      <c r="AO81" s="1623"/>
      <c r="AP81" s="1624"/>
      <c r="AQ81" s="1625"/>
      <c r="AR81" s="1625"/>
      <c r="AS81" s="1625"/>
      <c r="AT81" s="1625"/>
      <c r="AU81" s="1625"/>
      <c r="AV81" s="1625"/>
      <c r="AW81" s="1625"/>
      <c r="AX81" s="1625"/>
      <c r="AY81" s="1626"/>
      <c r="AZ81" s="1644"/>
      <c r="BA81" s="1644"/>
      <c r="BB81" s="1644"/>
      <c r="BC81" s="1644"/>
      <c r="BD81" s="1644"/>
      <c r="BE81" s="1644"/>
      <c r="BF81" s="1644"/>
      <c r="BG81" s="1644"/>
      <c r="BH81" s="1644"/>
      <c r="BI81" s="1644"/>
      <c r="BJ81" s="1645">
        <f t="shared" si="0"/>
        <v>0</v>
      </c>
      <c r="BK81" s="1646"/>
      <c r="BL81" s="1646"/>
      <c r="BM81" s="1646"/>
      <c r="BN81" s="1646"/>
      <c r="BO81" s="1646"/>
      <c r="BP81" s="1646"/>
      <c r="BQ81" s="1646"/>
      <c r="BR81" s="1646"/>
      <c r="BS81" s="1646"/>
      <c r="BT81" s="1666">
        <f t="shared" si="1"/>
        <v>0</v>
      </c>
      <c r="BU81" s="1666"/>
      <c r="BV81" s="1666"/>
      <c r="BW81" s="1666"/>
      <c r="BX81" s="1666"/>
      <c r="BY81" s="894"/>
    </row>
    <row r="82" spans="20:164" s="4" customFormat="1" ht="29" hidden="1" customHeight="1">
      <c r="T82" s="893"/>
      <c r="U82" s="1647">
        <v>4</v>
      </c>
      <c r="V82" s="1647"/>
      <c r="W82" s="1647"/>
      <c r="X82" s="1621" t="s">
        <v>1635</v>
      </c>
      <c r="Y82" s="1622"/>
      <c r="Z82" s="1622"/>
      <c r="AA82" s="1622"/>
      <c r="AB82" s="1622"/>
      <c r="AC82" s="1622"/>
      <c r="AD82" s="1622"/>
      <c r="AE82" s="1622"/>
      <c r="AF82" s="1622"/>
      <c r="AG82" s="1622"/>
      <c r="AH82" s="1622"/>
      <c r="AI82" s="1622"/>
      <c r="AJ82" s="1622"/>
      <c r="AK82" s="1622"/>
      <c r="AL82" s="1622"/>
      <c r="AM82" s="1622"/>
      <c r="AN82" s="1622"/>
      <c r="AO82" s="1623"/>
      <c r="AP82" s="1624"/>
      <c r="AQ82" s="1625"/>
      <c r="AR82" s="1625"/>
      <c r="AS82" s="1625"/>
      <c r="AT82" s="1625"/>
      <c r="AU82" s="1625"/>
      <c r="AV82" s="1625"/>
      <c r="AW82" s="1625"/>
      <c r="AX82" s="1625"/>
      <c r="AY82" s="1626"/>
      <c r="AZ82" s="1644"/>
      <c r="BA82" s="1644"/>
      <c r="BB82" s="1644"/>
      <c r="BC82" s="1644"/>
      <c r="BD82" s="1644"/>
      <c r="BE82" s="1644"/>
      <c r="BF82" s="1644"/>
      <c r="BG82" s="1644"/>
      <c r="BH82" s="1644"/>
      <c r="BI82" s="1644"/>
      <c r="BJ82" s="1645">
        <f t="shared" si="0"/>
        <v>0</v>
      </c>
      <c r="BK82" s="1646"/>
      <c r="BL82" s="1646"/>
      <c r="BM82" s="1646"/>
      <c r="BN82" s="1646"/>
      <c r="BO82" s="1646"/>
      <c r="BP82" s="1646"/>
      <c r="BQ82" s="1646"/>
      <c r="BR82" s="1646"/>
      <c r="BS82" s="1646"/>
      <c r="BT82" s="1666">
        <f t="shared" si="1"/>
        <v>0</v>
      </c>
      <c r="BU82" s="1666"/>
      <c r="BV82" s="1666"/>
      <c r="BW82" s="1666"/>
      <c r="BX82" s="1666"/>
      <c r="BY82" s="894"/>
    </row>
    <row r="83" spans="20:164" s="4" customFormat="1" ht="29" hidden="1" customHeight="1">
      <c r="T83" s="893"/>
      <c r="U83" s="1647">
        <v>5</v>
      </c>
      <c r="V83" s="1647"/>
      <c r="W83" s="1647"/>
      <c r="X83" s="1621" t="s">
        <v>1636</v>
      </c>
      <c r="Y83" s="1622"/>
      <c r="Z83" s="1622"/>
      <c r="AA83" s="1622"/>
      <c r="AB83" s="1622"/>
      <c r="AC83" s="1622"/>
      <c r="AD83" s="1622"/>
      <c r="AE83" s="1622"/>
      <c r="AF83" s="1622"/>
      <c r="AG83" s="1622"/>
      <c r="AH83" s="1622"/>
      <c r="AI83" s="1622"/>
      <c r="AJ83" s="1622"/>
      <c r="AK83" s="1622"/>
      <c r="AL83" s="1622"/>
      <c r="AM83" s="1622"/>
      <c r="AN83" s="1622"/>
      <c r="AO83" s="1623"/>
      <c r="AP83" s="1624"/>
      <c r="AQ83" s="1625"/>
      <c r="AR83" s="1625"/>
      <c r="AS83" s="1625"/>
      <c r="AT83" s="1625"/>
      <c r="AU83" s="1625"/>
      <c r="AV83" s="1625"/>
      <c r="AW83" s="1625"/>
      <c r="AX83" s="1625"/>
      <c r="AY83" s="1626"/>
      <c r="AZ83" s="1644"/>
      <c r="BA83" s="1644"/>
      <c r="BB83" s="1644"/>
      <c r="BC83" s="1644"/>
      <c r="BD83" s="1644"/>
      <c r="BE83" s="1644"/>
      <c r="BF83" s="1644"/>
      <c r="BG83" s="1644"/>
      <c r="BH83" s="1644"/>
      <c r="BI83" s="1644"/>
      <c r="BJ83" s="1645">
        <f t="shared" si="0"/>
        <v>0</v>
      </c>
      <c r="BK83" s="1646"/>
      <c r="BL83" s="1646"/>
      <c r="BM83" s="1646"/>
      <c r="BN83" s="1646"/>
      <c r="BO83" s="1646"/>
      <c r="BP83" s="1646"/>
      <c r="BQ83" s="1646"/>
      <c r="BR83" s="1646"/>
      <c r="BS83" s="1646"/>
      <c r="BT83" s="1666">
        <f t="shared" si="1"/>
        <v>0</v>
      </c>
      <c r="BU83" s="1666"/>
      <c r="BV83" s="1666"/>
      <c r="BW83" s="1666"/>
      <c r="BX83" s="1666"/>
      <c r="BY83" s="894"/>
    </row>
    <row r="84" spans="20:164" s="4" customFormat="1" ht="29" hidden="1" customHeight="1">
      <c r="T84" s="893"/>
      <c r="U84" s="1647">
        <v>6</v>
      </c>
      <c r="V84" s="1647"/>
      <c r="W84" s="1647"/>
      <c r="X84" s="1621" t="s">
        <v>1637</v>
      </c>
      <c r="Y84" s="1622"/>
      <c r="Z84" s="1622"/>
      <c r="AA84" s="1622"/>
      <c r="AB84" s="1622"/>
      <c r="AC84" s="1622"/>
      <c r="AD84" s="1622"/>
      <c r="AE84" s="1622"/>
      <c r="AF84" s="1622"/>
      <c r="AG84" s="1622"/>
      <c r="AH84" s="1622"/>
      <c r="AI84" s="1622"/>
      <c r="AJ84" s="1622"/>
      <c r="AK84" s="1622"/>
      <c r="AL84" s="1622"/>
      <c r="AM84" s="1622"/>
      <c r="AN84" s="1622"/>
      <c r="AO84" s="1623"/>
      <c r="AP84" s="1624"/>
      <c r="AQ84" s="1625"/>
      <c r="AR84" s="1625"/>
      <c r="AS84" s="1625"/>
      <c r="AT84" s="1625"/>
      <c r="AU84" s="1625"/>
      <c r="AV84" s="1625"/>
      <c r="AW84" s="1625"/>
      <c r="AX84" s="1625"/>
      <c r="AY84" s="1626"/>
      <c r="AZ84" s="1644"/>
      <c r="BA84" s="1644"/>
      <c r="BB84" s="1644"/>
      <c r="BC84" s="1644"/>
      <c r="BD84" s="1644"/>
      <c r="BE84" s="1644"/>
      <c r="BF84" s="1644"/>
      <c r="BG84" s="1644"/>
      <c r="BH84" s="1644"/>
      <c r="BI84" s="1644"/>
      <c r="BJ84" s="1645">
        <f t="shared" si="0"/>
        <v>0</v>
      </c>
      <c r="BK84" s="1646"/>
      <c r="BL84" s="1646"/>
      <c r="BM84" s="1646"/>
      <c r="BN84" s="1646"/>
      <c r="BO84" s="1646"/>
      <c r="BP84" s="1646"/>
      <c r="BQ84" s="1646"/>
      <c r="BR84" s="1646"/>
      <c r="BS84" s="1646"/>
      <c r="BT84" s="1666">
        <f t="shared" si="1"/>
        <v>0</v>
      </c>
      <c r="BU84" s="1666"/>
      <c r="BV84" s="1666"/>
      <c r="BW84" s="1666"/>
      <c r="BX84" s="1666"/>
      <c r="BY84" s="894"/>
    </row>
    <row r="85" spans="20:164" s="4" customFormat="1" ht="29" hidden="1" customHeight="1">
      <c r="T85" s="893"/>
      <c r="U85" s="1647">
        <v>7</v>
      </c>
      <c r="V85" s="1647"/>
      <c r="W85" s="1647"/>
      <c r="X85" s="1621" t="s">
        <v>1638</v>
      </c>
      <c r="Y85" s="1622"/>
      <c r="Z85" s="1622"/>
      <c r="AA85" s="1622"/>
      <c r="AB85" s="1622"/>
      <c r="AC85" s="1622"/>
      <c r="AD85" s="1622"/>
      <c r="AE85" s="1622"/>
      <c r="AF85" s="1622"/>
      <c r="AG85" s="1622"/>
      <c r="AH85" s="1622"/>
      <c r="AI85" s="1622"/>
      <c r="AJ85" s="1622"/>
      <c r="AK85" s="1622"/>
      <c r="AL85" s="1622"/>
      <c r="AM85" s="1622"/>
      <c r="AN85" s="1622"/>
      <c r="AO85" s="1623"/>
      <c r="AP85" s="1624"/>
      <c r="AQ85" s="1625"/>
      <c r="AR85" s="1625"/>
      <c r="AS85" s="1625"/>
      <c r="AT85" s="1625"/>
      <c r="AU85" s="1625"/>
      <c r="AV85" s="1625"/>
      <c r="AW85" s="1625"/>
      <c r="AX85" s="1625"/>
      <c r="AY85" s="1626"/>
      <c r="AZ85" s="1644"/>
      <c r="BA85" s="1644"/>
      <c r="BB85" s="1644"/>
      <c r="BC85" s="1644"/>
      <c r="BD85" s="1644"/>
      <c r="BE85" s="1644"/>
      <c r="BF85" s="1644"/>
      <c r="BG85" s="1644"/>
      <c r="BH85" s="1644"/>
      <c r="BI85" s="1644"/>
      <c r="BJ85" s="1645">
        <f t="shared" si="0"/>
        <v>0</v>
      </c>
      <c r="BK85" s="1646"/>
      <c r="BL85" s="1646"/>
      <c r="BM85" s="1646"/>
      <c r="BN85" s="1646"/>
      <c r="BO85" s="1646"/>
      <c r="BP85" s="1646"/>
      <c r="BQ85" s="1646"/>
      <c r="BR85" s="1646"/>
      <c r="BS85" s="1646"/>
      <c r="BT85" s="1666">
        <f t="shared" si="1"/>
        <v>0</v>
      </c>
      <c r="BU85" s="1666"/>
      <c r="BV85" s="1666"/>
      <c r="BW85" s="1666"/>
      <c r="BX85" s="1666"/>
      <c r="BY85" s="894"/>
    </row>
    <row r="86" spans="20:164" s="4" customFormat="1" ht="29" hidden="1" customHeight="1">
      <c r="T86" s="893"/>
      <c r="U86" s="1647">
        <v>8</v>
      </c>
      <c r="V86" s="1647"/>
      <c r="W86" s="1647"/>
      <c r="X86" s="1621" t="s">
        <v>1639</v>
      </c>
      <c r="Y86" s="1622"/>
      <c r="Z86" s="1622"/>
      <c r="AA86" s="1622"/>
      <c r="AB86" s="1622"/>
      <c r="AC86" s="1622"/>
      <c r="AD86" s="1622"/>
      <c r="AE86" s="1622"/>
      <c r="AF86" s="1622"/>
      <c r="AG86" s="1622"/>
      <c r="AH86" s="1622"/>
      <c r="AI86" s="1622"/>
      <c r="AJ86" s="1622"/>
      <c r="AK86" s="1622"/>
      <c r="AL86" s="1622"/>
      <c r="AM86" s="1622"/>
      <c r="AN86" s="1622"/>
      <c r="AO86" s="1623"/>
      <c r="AP86" s="1624"/>
      <c r="AQ86" s="1625"/>
      <c r="AR86" s="1625"/>
      <c r="AS86" s="1625"/>
      <c r="AT86" s="1625"/>
      <c r="AU86" s="1625"/>
      <c r="AV86" s="1625"/>
      <c r="AW86" s="1625"/>
      <c r="AX86" s="1625"/>
      <c r="AY86" s="1626"/>
      <c r="AZ86" s="1644"/>
      <c r="BA86" s="1644"/>
      <c r="BB86" s="1644"/>
      <c r="BC86" s="1644"/>
      <c r="BD86" s="1644"/>
      <c r="BE86" s="1644"/>
      <c r="BF86" s="1644"/>
      <c r="BG86" s="1644"/>
      <c r="BH86" s="1644"/>
      <c r="BI86" s="1644"/>
      <c r="BJ86" s="1645">
        <f t="shared" si="0"/>
        <v>0</v>
      </c>
      <c r="BK86" s="1646"/>
      <c r="BL86" s="1646"/>
      <c r="BM86" s="1646"/>
      <c r="BN86" s="1646"/>
      <c r="BO86" s="1646"/>
      <c r="BP86" s="1646"/>
      <c r="BQ86" s="1646"/>
      <c r="BR86" s="1646"/>
      <c r="BS86" s="1646"/>
      <c r="BT86" s="1666">
        <f t="shared" si="1"/>
        <v>0</v>
      </c>
      <c r="BU86" s="1666"/>
      <c r="BV86" s="1666"/>
      <c r="BW86" s="1666"/>
      <c r="BX86" s="1666"/>
      <c r="BY86" s="894"/>
    </row>
    <row r="87" spans="20:164" s="4" customFormat="1" ht="29" hidden="1" customHeight="1">
      <c r="T87" s="893"/>
      <c r="U87" s="1647">
        <v>9</v>
      </c>
      <c r="V87" s="1647"/>
      <c r="W87" s="1647"/>
      <c r="X87" s="1621" t="s">
        <v>1640</v>
      </c>
      <c r="Y87" s="1622"/>
      <c r="Z87" s="1622"/>
      <c r="AA87" s="1622"/>
      <c r="AB87" s="1622"/>
      <c r="AC87" s="1622"/>
      <c r="AD87" s="1622"/>
      <c r="AE87" s="1622"/>
      <c r="AF87" s="1622"/>
      <c r="AG87" s="1622"/>
      <c r="AH87" s="1622"/>
      <c r="AI87" s="1622"/>
      <c r="AJ87" s="1622"/>
      <c r="AK87" s="1622"/>
      <c r="AL87" s="1622"/>
      <c r="AM87" s="1622"/>
      <c r="AN87" s="1622"/>
      <c r="AO87" s="1623"/>
      <c r="AP87" s="1624"/>
      <c r="AQ87" s="1625"/>
      <c r="AR87" s="1625"/>
      <c r="AS87" s="1625"/>
      <c r="AT87" s="1625"/>
      <c r="AU87" s="1625"/>
      <c r="AV87" s="1625"/>
      <c r="AW87" s="1625"/>
      <c r="AX87" s="1625"/>
      <c r="AY87" s="1626"/>
      <c r="AZ87" s="1644"/>
      <c r="BA87" s="1644"/>
      <c r="BB87" s="1644"/>
      <c r="BC87" s="1644"/>
      <c r="BD87" s="1644"/>
      <c r="BE87" s="1644"/>
      <c r="BF87" s="1644"/>
      <c r="BG87" s="1644"/>
      <c r="BH87" s="1644"/>
      <c r="BI87" s="1644"/>
      <c r="BJ87" s="1645">
        <f t="shared" si="0"/>
        <v>0</v>
      </c>
      <c r="BK87" s="1646"/>
      <c r="BL87" s="1646"/>
      <c r="BM87" s="1646"/>
      <c r="BN87" s="1646"/>
      <c r="BO87" s="1646"/>
      <c r="BP87" s="1646"/>
      <c r="BQ87" s="1646"/>
      <c r="BR87" s="1646"/>
      <c r="BS87" s="1646"/>
      <c r="BT87" s="1666">
        <f t="shared" si="1"/>
        <v>0</v>
      </c>
      <c r="BU87" s="1666"/>
      <c r="BV87" s="1666"/>
      <c r="BW87" s="1666"/>
      <c r="BX87" s="1666"/>
      <c r="BY87" s="894"/>
    </row>
    <row r="88" spans="20:164" s="4" customFormat="1" ht="29" hidden="1" customHeight="1" thickBot="1">
      <c r="T88" s="893"/>
      <c r="U88" s="1638">
        <v>10</v>
      </c>
      <c r="V88" s="1639"/>
      <c r="W88" s="1640"/>
      <c r="X88" s="1632" t="s">
        <v>1641</v>
      </c>
      <c r="Y88" s="1633"/>
      <c r="Z88" s="1633"/>
      <c r="AA88" s="1633"/>
      <c r="AB88" s="1633"/>
      <c r="AC88" s="1633"/>
      <c r="AD88" s="1633"/>
      <c r="AE88" s="1633"/>
      <c r="AF88" s="1633"/>
      <c r="AG88" s="1633"/>
      <c r="AH88" s="1633"/>
      <c r="AI88" s="1633"/>
      <c r="AJ88" s="1633"/>
      <c r="AK88" s="1633"/>
      <c r="AL88" s="1633"/>
      <c r="AM88" s="1633"/>
      <c r="AN88" s="1633"/>
      <c r="AO88" s="1634"/>
      <c r="AP88" s="1663"/>
      <c r="AQ88" s="1664"/>
      <c r="AR88" s="1664"/>
      <c r="AS88" s="1664"/>
      <c r="AT88" s="1664"/>
      <c r="AU88" s="1664"/>
      <c r="AV88" s="1664"/>
      <c r="AW88" s="1664"/>
      <c r="AX88" s="1664"/>
      <c r="AY88" s="1665"/>
      <c r="AZ88" s="1641"/>
      <c r="BA88" s="1641"/>
      <c r="BB88" s="1641"/>
      <c r="BC88" s="1641"/>
      <c r="BD88" s="1641"/>
      <c r="BE88" s="1641"/>
      <c r="BF88" s="1641"/>
      <c r="BG88" s="1641"/>
      <c r="BH88" s="1641"/>
      <c r="BI88" s="1641"/>
      <c r="BJ88" s="1642">
        <f t="shared" si="0"/>
        <v>0</v>
      </c>
      <c r="BK88" s="1643"/>
      <c r="BL88" s="1643"/>
      <c r="BM88" s="1643"/>
      <c r="BN88" s="1643"/>
      <c r="BO88" s="1643"/>
      <c r="BP88" s="1643"/>
      <c r="BQ88" s="1643"/>
      <c r="BR88" s="1643"/>
      <c r="BS88" s="1643"/>
      <c r="BT88" s="1739">
        <f>IFERROR(BJ88/AP88,0)</f>
        <v>0</v>
      </c>
      <c r="BU88" s="1739"/>
      <c r="BV88" s="1739"/>
      <c r="BW88" s="1739"/>
      <c r="BX88" s="1739"/>
      <c r="BY88" s="894"/>
    </row>
    <row r="89" spans="20:164" s="4" customFormat="1" ht="29" hidden="1" customHeight="1" thickTop="1">
      <c r="T89" s="893"/>
      <c r="U89" s="1635" t="s">
        <v>522</v>
      </c>
      <c r="V89" s="1636"/>
      <c r="W89" s="1636"/>
      <c r="X89" s="1636"/>
      <c r="Y89" s="1636"/>
      <c r="Z89" s="1636"/>
      <c r="AA89" s="1636"/>
      <c r="AB89" s="1636"/>
      <c r="AC89" s="1636"/>
      <c r="AD89" s="1636"/>
      <c r="AE89" s="1636"/>
      <c r="AF89" s="1636"/>
      <c r="AG89" s="1636"/>
      <c r="AH89" s="1636"/>
      <c r="AI89" s="1636"/>
      <c r="AJ89" s="1636"/>
      <c r="AK89" s="1636"/>
      <c r="AL89" s="1636"/>
      <c r="AM89" s="1636"/>
      <c r="AN89" s="1636"/>
      <c r="AO89" s="1637"/>
      <c r="AP89" s="1628">
        <f>IF(OR(Funding_Strategy="Equity",Funding_Strategy="Combo"),SUM(AP79:AY88),0)</f>
        <v>0</v>
      </c>
      <c r="AQ89" s="1629"/>
      <c r="AR89" s="1629"/>
      <c r="AS89" s="1629"/>
      <c r="AT89" s="1629"/>
      <c r="AU89" s="1629"/>
      <c r="AV89" s="1629"/>
      <c r="AW89" s="1629"/>
      <c r="AX89" s="1629"/>
      <c r="AY89" s="1629"/>
      <c r="AZ89" s="1631">
        <f>SUM(AZ79:BI88)</f>
        <v>0</v>
      </c>
      <c r="BA89" s="1631"/>
      <c r="BB89" s="1631"/>
      <c r="BC89" s="1631"/>
      <c r="BD89" s="1631"/>
      <c r="BE89" s="1631"/>
      <c r="BF89" s="1631"/>
      <c r="BG89" s="1631"/>
      <c r="BH89" s="1631"/>
      <c r="BI89" s="1631"/>
      <c r="BJ89" s="1628">
        <f>SUM(BJ79:BS88)</f>
        <v>0</v>
      </c>
      <c r="BK89" s="1629"/>
      <c r="BL89" s="1629"/>
      <c r="BM89" s="1629"/>
      <c r="BN89" s="1629"/>
      <c r="BO89" s="1629"/>
      <c r="BP89" s="1629"/>
      <c r="BQ89" s="1629"/>
      <c r="BR89" s="1629"/>
      <c r="BS89" s="1629"/>
      <c r="BT89" s="1627">
        <f>IFERROR(BJ89/AP89,0)</f>
        <v>0</v>
      </c>
      <c r="BU89" s="1627"/>
      <c r="BV89" s="1627"/>
      <c r="BW89" s="1627"/>
      <c r="BX89" s="1627"/>
      <c r="BY89" s="894"/>
    </row>
    <row r="90" spans="20:164" s="4" customFormat="1" ht="11.7" hidden="1" customHeight="1">
      <c r="T90" s="893"/>
      <c r="U90" s="889"/>
      <c r="V90" s="889"/>
      <c r="W90" s="889"/>
      <c r="X90" s="889"/>
      <c r="Y90" s="889"/>
      <c r="Z90" s="889"/>
      <c r="AA90" s="889"/>
      <c r="AB90" s="889"/>
      <c r="AC90" s="889"/>
      <c r="AD90" s="889"/>
      <c r="AE90" s="889"/>
      <c r="AF90" s="889"/>
      <c r="AG90" s="889"/>
      <c r="AH90" s="889"/>
      <c r="AI90" s="889"/>
      <c r="AJ90" s="889"/>
      <c r="AK90" s="889"/>
      <c r="AL90" s="889"/>
      <c r="AM90" s="889"/>
      <c r="AN90" s="889"/>
      <c r="AO90" s="889"/>
      <c r="AP90" s="889"/>
      <c r="AQ90" s="889"/>
      <c r="AR90" s="889"/>
      <c r="AS90" s="889"/>
      <c r="AT90" s="889"/>
      <c r="AU90" s="889"/>
      <c r="AV90" s="889"/>
      <c r="AW90" s="889"/>
      <c r="AX90" s="889"/>
      <c r="AY90" s="889"/>
      <c r="AZ90" s="889"/>
      <c r="BA90" s="889"/>
      <c r="BB90" s="889"/>
      <c r="BC90" s="889"/>
      <c r="BD90" s="889"/>
      <c r="BE90" s="890"/>
      <c r="BF90" s="890"/>
      <c r="BG90" s="890"/>
      <c r="BH90" s="890"/>
      <c r="BI90" s="890"/>
      <c r="BJ90" s="890"/>
      <c r="BK90" s="890"/>
      <c r="BL90" s="890"/>
      <c r="BM90" s="890"/>
      <c r="BN90" s="890"/>
      <c r="BO90" s="891"/>
      <c r="BP90" s="892"/>
      <c r="BQ90" s="892"/>
      <c r="BR90" s="892"/>
      <c r="BS90" s="892"/>
      <c r="BT90" s="892"/>
      <c r="BU90" s="892"/>
      <c r="BV90" s="892"/>
      <c r="BW90" s="892"/>
      <c r="BX90" s="892"/>
      <c r="BY90" s="894"/>
    </row>
    <row r="91" spans="20:164" s="4" customFormat="1" ht="28.7" hidden="1" customHeight="1">
      <c r="T91" s="893"/>
      <c r="U91" s="668"/>
      <c r="V91" s="668"/>
      <c r="W91" s="668"/>
      <c r="X91" s="668"/>
      <c r="Y91" s="668"/>
      <c r="Z91" s="668"/>
      <c r="AA91" s="668"/>
      <c r="AB91" s="668"/>
      <c r="AC91" s="668"/>
      <c r="AD91" s="668"/>
      <c r="AE91" s="668"/>
      <c r="AF91" s="668"/>
      <c r="AG91" s="668"/>
      <c r="AH91" s="668"/>
      <c r="AI91" s="1607" t="s">
        <v>1643</v>
      </c>
      <c r="AJ91" s="1607"/>
      <c r="AK91" s="1607"/>
      <c r="AL91" s="1607"/>
      <c r="AM91" s="1607"/>
      <c r="AN91" s="1607"/>
      <c r="AO91" s="1607"/>
      <c r="AP91" s="1607"/>
      <c r="AQ91" s="1607"/>
      <c r="AR91" s="1607"/>
      <c r="AS91" s="1607"/>
      <c r="AT91" s="1607"/>
      <c r="AU91" s="1607"/>
      <c r="AV91" s="1607"/>
      <c r="AW91" s="1607"/>
      <c r="AX91" s="1607"/>
      <c r="AY91" s="1607"/>
      <c r="AZ91" s="1607"/>
      <c r="BA91" s="1607"/>
      <c r="BB91" s="1607"/>
      <c r="BC91" s="1607"/>
      <c r="BD91" s="1607"/>
      <c r="BE91" s="1607"/>
      <c r="BF91" s="1607"/>
      <c r="BG91" s="1607"/>
      <c r="BH91" s="1607"/>
      <c r="BI91" s="1607"/>
      <c r="BJ91" s="1735">
        <f>BJ76-BJ89</f>
        <v>0</v>
      </c>
      <c r="BK91" s="1735"/>
      <c r="BL91" s="1735"/>
      <c r="BM91" s="1735"/>
      <c r="BN91" s="1735"/>
      <c r="BO91" s="1735"/>
      <c r="BP91" s="1735"/>
      <c r="BQ91" s="1735"/>
      <c r="BR91" s="1735"/>
      <c r="BS91" s="1735"/>
      <c r="BT91" s="152"/>
      <c r="BU91" s="152"/>
      <c r="BV91" s="152"/>
      <c r="BW91" s="152"/>
      <c r="BX91" s="152"/>
      <c r="BY91" s="894"/>
    </row>
    <row r="92" spans="20:164" s="4" customFormat="1" ht="13.45" hidden="1" customHeight="1">
      <c r="T92" s="895"/>
      <c r="U92" s="896"/>
      <c r="V92" s="896"/>
      <c r="W92" s="896"/>
      <c r="X92" s="896"/>
      <c r="Y92" s="896"/>
      <c r="Z92" s="896"/>
      <c r="AA92" s="896"/>
      <c r="AB92" s="896"/>
      <c r="AC92" s="896"/>
      <c r="AD92" s="896"/>
      <c r="AE92" s="896"/>
      <c r="AF92" s="896"/>
      <c r="AG92" s="896"/>
      <c r="AH92" s="896"/>
      <c r="AI92" s="896"/>
      <c r="AJ92" s="896"/>
      <c r="AK92" s="896"/>
      <c r="AL92" s="896"/>
      <c r="AM92" s="896"/>
      <c r="AN92" s="896"/>
      <c r="AO92" s="896"/>
      <c r="AP92" s="896"/>
      <c r="AQ92" s="896"/>
      <c r="AR92" s="896"/>
      <c r="AS92" s="896"/>
      <c r="AT92" s="896"/>
      <c r="AU92" s="896"/>
      <c r="AV92" s="896"/>
      <c r="AW92" s="896"/>
      <c r="AX92" s="896"/>
      <c r="AY92" s="896"/>
      <c r="AZ92" s="896"/>
      <c r="BA92" s="896"/>
      <c r="BB92" s="896"/>
      <c r="BC92" s="896"/>
      <c r="BD92" s="896"/>
      <c r="BE92" s="896"/>
      <c r="BF92" s="896"/>
      <c r="BG92" s="896"/>
      <c r="BH92" s="896"/>
      <c r="BI92" s="896"/>
      <c r="BJ92" s="896"/>
      <c r="BK92" s="896"/>
      <c r="BL92" s="896"/>
      <c r="BM92" s="896"/>
      <c r="BN92" s="896"/>
      <c r="BO92" s="896"/>
      <c r="BP92" s="896"/>
      <c r="BQ92" s="896"/>
      <c r="BR92" s="896"/>
      <c r="BS92" s="896"/>
      <c r="BT92" s="896"/>
      <c r="BU92" s="896"/>
      <c r="BV92" s="896"/>
      <c r="BW92" s="896"/>
      <c r="BX92" s="896"/>
      <c r="BY92" s="897"/>
    </row>
    <row r="93" spans="20:164" ht="15" hidden="1" customHeight="1">
      <c r="DC93" s="5"/>
      <c r="DD93" s="5"/>
      <c r="FH93" s="4"/>
    </row>
    <row r="94" spans="20:164" s="4" customFormat="1" ht="26.25" hidden="1" customHeight="1">
      <c r="T94" s="1617" t="s">
        <v>1896</v>
      </c>
      <c r="U94" s="1618"/>
      <c r="V94" s="1618"/>
      <c r="W94" s="1618"/>
      <c r="X94" s="1618"/>
      <c r="Y94" s="1618"/>
      <c r="Z94" s="1618"/>
      <c r="AA94" s="1618"/>
      <c r="AB94" s="1618"/>
      <c r="AC94" s="1618"/>
      <c r="AD94" s="1618"/>
      <c r="AE94" s="1618"/>
      <c r="AF94" s="1618"/>
      <c r="AG94" s="1618"/>
      <c r="AH94" s="1618"/>
      <c r="AI94" s="1618"/>
      <c r="AJ94" s="1618"/>
      <c r="AK94" s="1618"/>
      <c r="AL94" s="1618"/>
      <c r="AM94" s="1618"/>
      <c r="AN94" s="1618"/>
      <c r="AO94" s="1618"/>
      <c r="AP94" s="1618"/>
      <c r="AQ94" s="1618"/>
      <c r="AR94" s="1618"/>
      <c r="AS94" s="1618"/>
      <c r="AT94" s="1618"/>
      <c r="AU94" s="1618"/>
      <c r="AV94" s="1618"/>
      <c r="AW94" s="1618"/>
      <c r="AX94" s="1618"/>
      <c r="AY94" s="1618"/>
      <c r="AZ94" s="1618"/>
      <c r="BA94" s="1618"/>
      <c r="BB94" s="1618"/>
      <c r="BC94" s="1618"/>
      <c r="BD94" s="1618"/>
      <c r="BE94" s="1618"/>
      <c r="BF94" s="1618"/>
      <c r="BG94" s="1618"/>
      <c r="BH94" s="1618"/>
      <c r="BI94" s="1618"/>
      <c r="BJ94" s="1618"/>
      <c r="BK94" s="1618"/>
      <c r="BL94" s="1618"/>
      <c r="BM94" s="1618"/>
      <c r="BN94" s="1618"/>
      <c r="BO94" s="1618"/>
      <c r="BP94" s="1618"/>
      <c r="BQ94" s="1618"/>
      <c r="BR94" s="1618"/>
      <c r="BS94" s="1618"/>
      <c r="BT94" s="1618"/>
      <c r="BU94" s="1618"/>
      <c r="BV94" s="1618"/>
      <c r="BW94" s="1618"/>
      <c r="BX94" s="1618"/>
      <c r="BY94" s="1619"/>
    </row>
    <row r="95" spans="20:164" s="4" customFormat="1" ht="16.5" hidden="1" customHeight="1">
      <c r="T95" s="793"/>
      <c r="U95" s="668"/>
      <c r="V95" s="668"/>
      <c r="W95" s="668"/>
      <c r="X95" s="668"/>
      <c r="Y95" s="668"/>
      <c r="Z95" s="668"/>
      <c r="AA95" s="668"/>
      <c r="AB95" s="668"/>
      <c r="AC95" s="668"/>
      <c r="AD95" s="668"/>
      <c r="AE95" s="668"/>
      <c r="AF95" s="668"/>
      <c r="AG95" s="668"/>
      <c r="AH95" s="668"/>
      <c r="AI95" s="668"/>
      <c r="AJ95" s="668"/>
      <c r="AK95" s="668"/>
      <c r="AL95" s="668"/>
      <c r="AM95" s="668"/>
      <c r="AN95" s="668"/>
      <c r="AO95" s="668"/>
      <c r="AP95" s="668"/>
      <c r="AQ95" s="668"/>
      <c r="AR95" s="668"/>
      <c r="AS95" s="668"/>
      <c r="AT95" s="668"/>
      <c r="AU95" s="668"/>
      <c r="AV95" s="668"/>
      <c r="AW95" s="668"/>
      <c r="AX95" s="668"/>
      <c r="AY95" s="668"/>
      <c r="AZ95" s="668"/>
      <c r="BA95" s="668"/>
      <c r="BB95" s="668"/>
      <c r="BC95" s="668"/>
      <c r="BD95" s="668"/>
      <c r="BE95" s="668"/>
      <c r="BF95" s="668"/>
      <c r="BG95" s="668"/>
      <c r="BH95" s="668"/>
      <c r="BI95" s="668"/>
      <c r="BJ95" s="668"/>
      <c r="BK95" s="668"/>
      <c r="BL95" s="668"/>
      <c r="BM95" s="668"/>
      <c r="BN95" s="668"/>
      <c r="BO95" s="668"/>
      <c r="BP95" s="668"/>
      <c r="BQ95" s="668"/>
      <c r="BR95" s="668"/>
      <c r="BS95" s="668"/>
      <c r="BT95" s="668"/>
      <c r="BU95" s="668"/>
      <c r="BV95" s="668"/>
      <c r="BW95" s="668"/>
      <c r="BX95" s="668"/>
      <c r="BY95" s="794"/>
    </row>
    <row r="96" spans="20:164" s="4" customFormat="1" ht="27" hidden="1" customHeight="1">
      <c r="T96" s="793"/>
      <c r="U96" s="668"/>
      <c r="V96" s="152"/>
      <c r="W96" s="152"/>
      <c r="X96" s="1670" t="s">
        <v>1875</v>
      </c>
      <c r="Y96" s="1670"/>
      <c r="Z96" s="1670"/>
      <c r="AA96" s="1670"/>
      <c r="AB96" s="1670"/>
      <c r="AC96" s="1670"/>
      <c r="AD96" s="1670"/>
      <c r="AE96" s="1670"/>
      <c r="AF96" s="1670"/>
      <c r="AG96" s="1670"/>
      <c r="AH96" s="1670"/>
      <c r="AI96" s="1670"/>
      <c r="AJ96" s="1670"/>
      <c r="AK96" s="1670"/>
      <c r="AL96" s="1670"/>
      <c r="AM96" s="1670"/>
      <c r="AN96" s="1670"/>
      <c r="AO96" s="1670"/>
      <c r="AP96" s="1670"/>
      <c r="AQ96" s="1670"/>
      <c r="AR96" s="1670"/>
      <c r="AS96" s="1670"/>
      <c r="AT96" s="1670"/>
      <c r="AU96" s="1670"/>
      <c r="AV96" s="1670"/>
      <c r="AW96" s="1670"/>
      <c r="AX96" s="1670"/>
      <c r="AY96" s="1670"/>
      <c r="AZ96" s="1670"/>
      <c r="BA96" s="1670"/>
      <c r="BB96" s="1670"/>
      <c r="BC96" s="1670"/>
      <c r="BD96" s="1670"/>
      <c r="BE96" s="1670"/>
      <c r="BF96" s="1670"/>
      <c r="BG96" s="1670"/>
      <c r="BH96" s="1670"/>
      <c r="BI96" s="1670"/>
      <c r="BJ96" s="1670"/>
      <c r="BK96" s="1670"/>
      <c r="BL96" s="1669" t="s">
        <v>1874</v>
      </c>
      <c r="BM96" s="1669"/>
      <c r="BN96" s="1669"/>
      <c r="BO96" s="1669"/>
      <c r="BP96" s="1669"/>
      <c r="BQ96" s="1669"/>
      <c r="BR96" s="1669"/>
      <c r="BS96" s="1669"/>
      <c r="BT96" s="1669"/>
      <c r="BU96" s="1669"/>
      <c r="BV96" s="668"/>
      <c r="BW96" s="668"/>
      <c r="BX96" s="668"/>
      <c r="BY96" s="794"/>
    </row>
    <row r="97" spans="20:101" s="4" customFormat="1" ht="26" hidden="1" customHeight="1">
      <c r="T97" s="793"/>
      <c r="U97" s="668"/>
      <c r="V97" s="152"/>
      <c r="W97" s="152"/>
      <c r="X97" s="1671" t="s">
        <v>1876</v>
      </c>
      <c r="Y97" s="1671"/>
      <c r="Z97" s="1671"/>
      <c r="AA97" s="1671"/>
      <c r="AB97" s="1671"/>
      <c r="AC97" s="1671"/>
      <c r="AD97" s="1671"/>
      <c r="AE97" s="1671"/>
      <c r="AF97" s="1671"/>
      <c r="AG97" s="1671"/>
      <c r="AH97" s="1671"/>
      <c r="AI97" s="1671"/>
      <c r="AJ97" s="1671"/>
      <c r="AK97" s="1671"/>
      <c r="AL97" s="1671"/>
      <c r="AM97" s="1671"/>
      <c r="AN97" s="1671"/>
      <c r="AO97" s="1671"/>
      <c r="AP97" s="1671"/>
      <c r="AQ97" s="1671"/>
      <c r="AR97" s="1671"/>
      <c r="AS97" s="1671"/>
      <c r="AT97" s="1671"/>
      <c r="AU97" s="1671"/>
      <c r="AV97" s="1671"/>
      <c r="AW97" s="1671"/>
      <c r="AX97" s="1671"/>
      <c r="AY97" s="1671"/>
      <c r="AZ97" s="1671"/>
      <c r="BA97" s="1671"/>
      <c r="BB97" s="1671"/>
      <c r="BC97" s="1671"/>
      <c r="BD97" s="1671"/>
      <c r="BE97" s="1671"/>
      <c r="BF97" s="1671"/>
      <c r="BG97" s="1671"/>
      <c r="BH97" s="1671"/>
      <c r="BI97" s="1671"/>
      <c r="BJ97" s="1671"/>
      <c r="BK97" s="1671"/>
      <c r="BL97" s="1630">
        <f>'1 REHAB ANALYZER'!BO74</f>
        <v>0</v>
      </c>
      <c r="BM97" s="1630"/>
      <c r="BN97" s="1630"/>
      <c r="BO97" s="1630"/>
      <c r="BP97" s="1630"/>
      <c r="BQ97" s="1630"/>
      <c r="BR97" s="1630"/>
      <c r="BS97" s="1630"/>
      <c r="BT97" s="1630"/>
      <c r="BU97" s="1630"/>
      <c r="BV97" s="1452"/>
      <c r="BW97" s="1452"/>
      <c r="BX97" s="1452"/>
      <c r="BY97" s="794"/>
      <c r="BZ97" s="1603" t="str">
        <f>CONCATENATE("You will need ",TEXT(BL97,"$#,###")," in Capital to fund the purchase, repairs, buying, holding &amp; financing costs.")</f>
        <v>You will need $ in Capital to fund the purchase, repairs, buying, holding &amp; financing costs.</v>
      </c>
      <c r="CA97" s="1604"/>
      <c r="CB97" s="1604"/>
      <c r="CC97" s="1604"/>
      <c r="CD97" s="1604"/>
      <c r="CE97" s="1604"/>
      <c r="CF97" s="1604"/>
      <c r="CG97" s="1604"/>
      <c r="CH97" s="1604"/>
      <c r="CI97" s="1604"/>
      <c r="CJ97" s="1604"/>
      <c r="CK97" s="1604"/>
      <c r="CL97" s="1604"/>
      <c r="CM97" s="1604"/>
      <c r="CN97" s="1604"/>
      <c r="CO97" s="1604"/>
      <c r="CP97" s="1604"/>
      <c r="CQ97" s="1604"/>
      <c r="CR97" s="1604"/>
      <c r="CS97" s="1604"/>
      <c r="CT97" s="1604"/>
      <c r="CU97" s="1604"/>
      <c r="CV97" s="1604"/>
      <c r="CW97" s="1604"/>
    </row>
    <row r="98" spans="20:101" s="4" customFormat="1" ht="26" hidden="1" customHeight="1">
      <c r="T98" s="793"/>
      <c r="U98" s="668"/>
      <c r="V98" s="152"/>
      <c r="W98" s="152"/>
      <c r="X98" s="1448"/>
      <c r="Y98" s="1448"/>
      <c r="Z98" s="1448"/>
      <c r="AA98" s="1448"/>
      <c r="AB98" s="1448"/>
      <c r="AC98" s="1448"/>
      <c r="AD98" s="1448"/>
      <c r="AE98" s="1448"/>
      <c r="AF98" s="1448"/>
      <c r="AG98" s="1448"/>
      <c r="AH98" s="1448"/>
      <c r="AI98" s="1448"/>
      <c r="AJ98" s="1448"/>
      <c r="AK98" s="1448"/>
      <c r="AL98" s="1448"/>
      <c r="AM98" s="1448"/>
      <c r="AN98" s="1448"/>
      <c r="AO98" s="1448"/>
      <c r="AP98" s="1448"/>
      <c r="AQ98" s="1448"/>
      <c r="AR98" s="1448"/>
      <c r="AS98" s="1448"/>
      <c r="AT98" s="1448"/>
      <c r="AU98" s="1448"/>
      <c r="AV98" s="1448"/>
      <c r="AW98" s="1448"/>
      <c r="AX98" s="1448"/>
      <c r="AY98" s="1448"/>
      <c r="AZ98" s="1448"/>
      <c r="BA98" s="1448"/>
      <c r="BB98" s="1448"/>
      <c r="BC98" s="1448"/>
      <c r="BD98" s="1448"/>
      <c r="BE98" s="1448"/>
      <c r="BF98" s="1448"/>
      <c r="BG98" s="1448"/>
      <c r="BH98" s="1448"/>
      <c r="BI98" s="1448"/>
      <c r="BJ98" s="1448"/>
      <c r="BK98" s="1448"/>
      <c r="BL98" s="1449"/>
      <c r="BM98" s="1449"/>
      <c r="BN98" s="1449"/>
      <c r="BO98" s="1449"/>
      <c r="BP98" s="1449"/>
      <c r="BQ98" s="1449"/>
      <c r="BR98" s="1449"/>
      <c r="BS98" s="1449"/>
      <c r="BT98" s="1449"/>
      <c r="BU98" s="1449"/>
      <c r="BV98" s="1450"/>
      <c r="BW98" s="1450"/>
      <c r="BX98" s="1450"/>
      <c r="BY98" s="794"/>
      <c r="BZ98" s="1603"/>
      <c r="CA98" s="1604"/>
      <c r="CB98" s="1604"/>
      <c r="CC98" s="1604"/>
      <c r="CD98" s="1604"/>
      <c r="CE98" s="1604"/>
      <c r="CF98" s="1604"/>
      <c r="CG98" s="1604"/>
      <c r="CH98" s="1604"/>
      <c r="CI98" s="1604"/>
      <c r="CJ98" s="1604"/>
      <c r="CK98" s="1604"/>
      <c r="CL98" s="1604"/>
      <c r="CM98" s="1604"/>
      <c r="CN98" s="1604"/>
      <c r="CO98" s="1604"/>
      <c r="CP98" s="1604"/>
      <c r="CQ98" s="1604"/>
      <c r="CR98" s="1604"/>
      <c r="CS98" s="1604"/>
      <c r="CT98" s="1604"/>
      <c r="CU98" s="1604"/>
      <c r="CV98" s="1604"/>
      <c r="CW98" s="1604"/>
    </row>
    <row r="99" spans="20:101" s="4" customFormat="1" ht="26" hidden="1" customHeight="1">
      <c r="T99" s="793"/>
      <c r="U99" s="668"/>
      <c r="V99" s="152"/>
      <c r="W99" s="152"/>
      <c r="X99" s="1609" t="s">
        <v>1855</v>
      </c>
      <c r="Y99" s="1609"/>
      <c r="Z99" s="1609"/>
      <c r="AA99" s="1609"/>
      <c r="AB99" s="1609"/>
      <c r="AC99" s="1609"/>
      <c r="AD99" s="1609"/>
      <c r="AE99" s="1609"/>
      <c r="AF99" s="1609"/>
      <c r="AG99" s="1609"/>
      <c r="AH99" s="1609"/>
      <c r="AI99" s="1609"/>
      <c r="AJ99" s="1609"/>
      <c r="AK99" s="1609"/>
      <c r="AL99" s="1609"/>
      <c r="AM99" s="1609"/>
      <c r="AN99" s="1609"/>
      <c r="AO99" s="1609"/>
      <c r="AP99" s="1609"/>
      <c r="AQ99" s="1609"/>
      <c r="AR99" s="1609"/>
      <c r="AS99" s="1609"/>
      <c r="AT99" s="1609"/>
      <c r="AU99" s="1609"/>
      <c r="AV99" s="1609"/>
      <c r="AW99" s="1609"/>
      <c r="AX99" s="1609"/>
      <c r="AY99" s="1609"/>
      <c r="AZ99" s="1609"/>
      <c r="BA99" s="1609"/>
      <c r="BB99" s="1609"/>
      <c r="BC99" s="1609"/>
      <c r="BD99" s="1609"/>
      <c r="BE99" s="1609"/>
      <c r="BF99" s="1609"/>
      <c r="BG99" s="1609"/>
      <c r="BH99" s="1609"/>
      <c r="BI99" s="1609"/>
      <c r="BJ99" s="1609"/>
      <c r="BK99" s="1609"/>
      <c r="BL99" s="1610"/>
      <c r="BM99" s="1610"/>
      <c r="BN99" s="1610"/>
      <c r="BO99" s="1610"/>
      <c r="BP99" s="1610"/>
      <c r="BQ99" s="1610"/>
      <c r="BR99" s="1610"/>
      <c r="BS99" s="1610"/>
      <c r="BT99" s="1610"/>
      <c r="BU99" s="1610"/>
      <c r="BV99" s="668"/>
      <c r="BW99" s="668"/>
      <c r="BX99" s="668"/>
      <c r="BY99" s="794"/>
    </row>
    <row r="100" spans="20:101" s="4" customFormat="1" ht="26" hidden="1" customHeight="1">
      <c r="T100" s="793"/>
      <c r="U100" s="668"/>
      <c r="V100" s="152"/>
      <c r="W100" s="152"/>
      <c r="X100" s="1614" t="s">
        <v>1211</v>
      </c>
      <c r="Y100" s="1614"/>
      <c r="Z100" s="1614"/>
      <c r="AA100" s="1614"/>
      <c r="AB100" s="1614"/>
      <c r="AC100" s="1614"/>
      <c r="AD100" s="1614"/>
      <c r="AE100" s="1614"/>
      <c r="AF100" s="1614"/>
      <c r="AG100" s="1614"/>
      <c r="AH100" s="1614"/>
      <c r="AI100" s="1614"/>
      <c r="AJ100" s="1614"/>
      <c r="AK100" s="1614"/>
      <c r="AL100" s="1614"/>
      <c r="AM100" s="1614"/>
      <c r="AN100" s="1614"/>
      <c r="AO100" s="1614"/>
      <c r="AP100" s="1614"/>
      <c r="AQ100" s="1614"/>
      <c r="AR100" s="1614"/>
      <c r="AS100" s="1614"/>
      <c r="AT100" s="1614"/>
      <c r="AU100" s="1614"/>
      <c r="AV100" s="1614"/>
      <c r="AW100" s="1614"/>
      <c r="AX100" s="1614"/>
      <c r="AY100" s="1614"/>
      <c r="AZ100" s="1614"/>
      <c r="BA100" s="1614"/>
      <c r="BB100" s="1614"/>
      <c r="BC100" s="1614"/>
      <c r="BD100" s="1614"/>
      <c r="BE100" s="1614"/>
      <c r="BF100" s="1614"/>
      <c r="BG100" s="1614"/>
      <c r="BH100" s="1614"/>
      <c r="BI100" s="1614"/>
      <c r="BJ100" s="1614"/>
      <c r="BK100" s="1614"/>
      <c r="BL100" s="1612">
        <f>IF(OR(Funding_Strategy="Financed",Funding_Strategy="Combo"),AG41,0)</f>
        <v>0</v>
      </c>
      <c r="BM100" s="1612"/>
      <c r="BN100" s="1612"/>
      <c r="BO100" s="1612"/>
      <c r="BP100" s="1612"/>
      <c r="BQ100" s="1612"/>
      <c r="BR100" s="1612"/>
      <c r="BS100" s="1612"/>
      <c r="BT100" s="1612"/>
      <c r="BU100" s="1612"/>
      <c r="BV100" s="1452"/>
      <c r="BW100" s="1452"/>
      <c r="BX100" s="1452"/>
      <c r="BY100" s="794"/>
      <c r="BZ100" s="1605" t="str">
        <f>CONCATENATE("You are receiving ",TEXT(BL102,"$#,###")," in Debt Financing (Loans)")</f>
        <v>You are receiving $ in Debt Financing (Loans)</v>
      </c>
      <c r="CA100" s="1606"/>
      <c r="CB100" s="1606"/>
      <c r="CC100" s="1606"/>
      <c r="CD100" s="1606"/>
      <c r="CE100" s="1606"/>
      <c r="CF100" s="1606"/>
      <c r="CG100" s="1606"/>
      <c r="CH100" s="1606"/>
      <c r="CI100" s="1606"/>
      <c r="CJ100" s="1606"/>
      <c r="CK100" s="1606"/>
      <c r="CL100" s="1606"/>
      <c r="CM100" s="1606"/>
      <c r="CN100" s="1606"/>
      <c r="CO100" s="1606"/>
      <c r="CP100" s="1606"/>
      <c r="CQ100" s="1606"/>
      <c r="CR100" s="1606"/>
      <c r="CS100" s="1606"/>
      <c r="CT100" s="1606"/>
      <c r="CU100" s="1606"/>
      <c r="CV100" s="1606"/>
      <c r="CW100" s="1606"/>
    </row>
    <row r="101" spans="20:101" s="4" customFormat="1" ht="26" hidden="1" customHeight="1" thickBot="1">
      <c r="T101" s="793"/>
      <c r="U101" s="668"/>
      <c r="V101" s="152"/>
      <c r="W101" s="152"/>
      <c r="X101" s="1615" t="s">
        <v>1216</v>
      </c>
      <c r="Y101" s="1615"/>
      <c r="Z101" s="1615"/>
      <c r="AA101" s="1615"/>
      <c r="AB101" s="1615"/>
      <c r="AC101" s="1615"/>
      <c r="AD101" s="1615"/>
      <c r="AE101" s="1615"/>
      <c r="AF101" s="1615"/>
      <c r="AG101" s="1615"/>
      <c r="AH101" s="1615"/>
      <c r="AI101" s="1615"/>
      <c r="AJ101" s="1615"/>
      <c r="AK101" s="1615"/>
      <c r="AL101" s="1615"/>
      <c r="AM101" s="1615"/>
      <c r="AN101" s="1615"/>
      <c r="AO101" s="1615"/>
      <c r="AP101" s="1615"/>
      <c r="AQ101" s="1615"/>
      <c r="AR101" s="1615"/>
      <c r="AS101" s="1615"/>
      <c r="AT101" s="1615"/>
      <c r="AU101" s="1615"/>
      <c r="AV101" s="1615"/>
      <c r="AW101" s="1615"/>
      <c r="AX101" s="1615"/>
      <c r="AY101" s="1615"/>
      <c r="AZ101" s="1615"/>
      <c r="BA101" s="1615"/>
      <c r="BB101" s="1615"/>
      <c r="BC101" s="1615"/>
      <c r="BD101" s="1615"/>
      <c r="BE101" s="1615"/>
      <c r="BF101" s="1615"/>
      <c r="BG101" s="1615"/>
      <c r="BH101" s="1615"/>
      <c r="BI101" s="1615"/>
      <c r="BJ101" s="1615"/>
      <c r="BK101" s="1615"/>
      <c r="BL101" s="1616">
        <f>IF(OR(Funding_Strategy="Financed",Funding_Strategy="Combo"),AG68,0)</f>
        <v>0</v>
      </c>
      <c r="BM101" s="1616"/>
      <c r="BN101" s="1616"/>
      <c r="BO101" s="1616"/>
      <c r="BP101" s="1616"/>
      <c r="BQ101" s="1616"/>
      <c r="BR101" s="1616"/>
      <c r="BS101" s="1616"/>
      <c r="BT101" s="1616"/>
      <c r="BU101" s="1616"/>
      <c r="BV101" s="668"/>
      <c r="BW101" s="668"/>
      <c r="BX101" s="668"/>
      <c r="BY101" s="794"/>
      <c r="BZ101" s="1605"/>
      <c r="CA101" s="1606"/>
      <c r="CB101" s="1606"/>
      <c r="CC101" s="1606"/>
      <c r="CD101" s="1606"/>
      <c r="CE101" s="1606"/>
      <c r="CF101" s="1606"/>
      <c r="CG101" s="1606"/>
      <c r="CH101" s="1606"/>
      <c r="CI101" s="1606"/>
      <c r="CJ101" s="1606"/>
      <c r="CK101" s="1606"/>
      <c r="CL101" s="1606"/>
      <c r="CM101" s="1606"/>
      <c r="CN101" s="1606"/>
      <c r="CO101" s="1606"/>
      <c r="CP101" s="1606"/>
      <c r="CQ101" s="1606"/>
      <c r="CR101" s="1606"/>
      <c r="CS101" s="1606"/>
      <c r="CT101" s="1606"/>
      <c r="CU101" s="1606"/>
      <c r="CV101" s="1606"/>
      <c r="CW101" s="1606"/>
    </row>
    <row r="102" spans="20:101" s="4" customFormat="1" ht="26" hidden="1" customHeight="1" thickTop="1">
      <c r="T102" s="793"/>
      <c r="U102" s="668"/>
      <c r="V102" s="152"/>
      <c r="W102" s="152"/>
      <c r="X102" s="1607" t="s">
        <v>1877</v>
      </c>
      <c r="Y102" s="1607"/>
      <c r="Z102" s="1607"/>
      <c r="AA102" s="1607"/>
      <c r="AB102" s="1607"/>
      <c r="AC102" s="1607"/>
      <c r="AD102" s="1607"/>
      <c r="AE102" s="1607"/>
      <c r="AF102" s="1607"/>
      <c r="AG102" s="1607"/>
      <c r="AH102" s="1607"/>
      <c r="AI102" s="1607"/>
      <c r="AJ102" s="1607"/>
      <c r="AK102" s="1607"/>
      <c r="AL102" s="1607"/>
      <c r="AM102" s="1607"/>
      <c r="AN102" s="1607"/>
      <c r="AO102" s="1607"/>
      <c r="AP102" s="1607"/>
      <c r="AQ102" s="1607"/>
      <c r="AR102" s="1607"/>
      <c r="AS102" s="1607"/>
      <c r="AT102" s="1607"/>
      <c r="AU102" s="1607"/>
      <c r="AV102" s="1607"/>
      <c r="AW102" s="1607"/>
      <c r="AX102" s="1607"/>
      <c r="AY102" s="1607"/>
      <c r="AZ102" s="1607"/>
      <c r="BA102" s="1607"/>
      <c r="BB102" s="1607"/>
      <c r="BC102" s="1607"/>
      <c r="BD102" s="1607"/>
      <c r="BE102" s="1607"/>
      <c r="BF102" s="1607"/>
      <c r="BG102" s="1607"/>
      <c r="BH102" s="1607"/>
      <c r="BI102" s="1607"/>
      <c r="BJ102" s="1607"/>
      <c r="BK102" s="1607"/>
      <c r="BL102" s="1608">
        <f>SUM(BL100:BU101)</f>
        <v>0</v>
      </c>
      <c r="BM102" s="1608"/>
      <c r="BN102" s="1608"/>
      <c r="BO102" s="1608"/>
      <c r="BP102" s="1608"/>
      <c r="BQ102" s="1608"/>
      <c r="BR102" s="1608"/>
      <c r="BS102" s="1608"/>
      <c r="BT102" s="1608"/>
      <c r="BU102" s="1608"/>
      <c r="BV102" s="668"/>
      <c r="BW102" s="668"/>
      <c r="BX102" s="668"/>
      <c r="BY102" s="794"/>
      <c r="BZ102" s="1605"/>
      <c r="CA102" s="1606"/>
      <c r="CB102" s="1606"/>
      <c r="CC102" s="1606"/>
      <c r="CD102" s="1606"/>
      <c r="CE102" s="1606"/>
      <c r="CF102" s="1606"/>
      <c r="CG102" s="1606"/>
      <c r="CH102" s="1606"/>
      <c r="CI102" s="1606"/>
      <c r="CJ102" s="1606"/>
      <c r="CK102" s="1606"/>
      <c r="CL102" s="1606"/>
      <c r="CM102" s="1606"/>
      <c r="CN102" s="1606"/>
      <c r="CO102" s="1606"/>
      <c r="CP102" s="1606"/>
      <c r="CQ102" s="1606"/>
      <c r="CR102" s="1606"/>
      <c r="CS102" s="1606"/>
      <c r="CT102" s="1606"/>
      <c r="CU102" s="1606"/>
      <c r="CV102" s="1606"/>
      <c r="CW102" s="1606"/>
    </row>
    <row r="103" spans="20:101" s="4" customFormat="1" ht="26" hidden="1" customHeight="1">
      <c r="T103" s="793"/>
      <c r="U103" s="668"/>
      <c r="V103" s="152"/>
      <c r="W103" s="152"/>
      <c r="X103" s="1609" t="s">
        <v>1856</v>
      </c>
      <c r="Y103" s="1609"/>
      <c r="Z103" s="1609"/>
      <c r="AA103" s="1609"/>
      <c r="AB103" s="1609"/>
      <c r="AC103" s="1609"/>
      <c r="AD103" s="1609"/>
      <c r="AE103" s="1609"/>
      <c r="AF103" s="1609"/>
      <c r="AG103" s="1609"/>
      <c r="AH103" s="1609"/>
      <c r="AI103" s="1609"/>
      <c r="AJ103" s="1609"/>
      <c r="AK103" s="1609"/>
      <c r="AL103" s="1609"/>
      <c r="AM103" s="1609"/>
      <c r="AN103" s="1609"/>
      <c r="AO103" s="1609"/>
      <c r="AP103" s="1609"/>
      <c r="AQ103" s="1609"/>
      <c r="AR103" s="1609"/>
      <c r="AS103" s="1609"/>
      <c r="AT103" s="1609"/>
      <c r="AU103" s="1609"/>
      <c r="AV103" s="1609"/>
      <c r="AW103" s="1609"/>
      <c r="AX103" s="1609"/>
      <c r="AY103" s="1609"/>
      <c r="AZ103" s="1609"/>
      <c r="BA103" s="1609"/>
      <c r="BB103" s="1609"/>
      <c r="BC103" s="1609"/>
      <c r="BD103" s="1609"/>
      <c r="BE103" s="1609"/>
      <c r="BF103" s="1609"/>
      <c r="BG103" s="1609"/>
      <c r="BH103" s="1609"/>
      <c r="BI103" s="1609"/>
      <c r="BJ103" s="1609"/>
      <c r="BK103" s="1609"/>
      <c r="BL103" s="1610"/>
      <c r="BM103" s="1610"/>
      <c r="BN103" s="1610"/>
      <c r="BO103" s="1610"/>
      <c r="BP103" s="1610"/>
      <c r="BQ103" s="1610"/>
      <c r="BR103" s="1610"/>
      <c r="BS103" s="1610"/>
      <c r="BT103" s="1610"/>
      <c r="BU103" s="1610"/>
      <c r="BV103" s="668"/>
      <c r="BW103" s="668"/>
      <c r="BX103" s="668"/>
      <c r="BY103" s="794"/>
    </row>
    <row r="104" spans="20:101" s="4" customFormat="1" ht="26" hidden="1" customHeight="1">
      <c r="T104" s="793"/>
      <c r="U104" s="668"/>
      <c r="V104" s="152"/>
      <c r="W104" s="152"/>
      <c r="X104" s="1614" t="s">
        <v>1878</v>
      </c>
      <c r="Y104" s="1614"/>
      <c r="Z104" s="1614"/>
      <c r="AA104" s="1614"/>
      <c r="AB104" s="1614"/>
      <c r="AC104" s="1614"/>
      <c r="AD104" s="1614"/>
      <c r="AE104" s="1614"/>
      <c r="AF104" s="1614"/>
      <c r="AG104" s="1614"/>
      <c r="AH104" s="1614"/>
      <c r="AI104" s="1614"/>
      <c r="AJ104" s="1614"/>
      <c r="AK104" s="1614"/>
      <c r="AL104" s="1614"/>
      <c r="AM104" s="1614"/>
      <c r="AN104" s="1614"/>
      <c r="AO104" s="1614"/>
      <c r="AP104" s="1614"/>
      <c r="AQ104" s="1614"/>
      <c r="AR104" s="1614"/>
      <c r="AS104" s="1614"/>
      <c r="AT104" s="1614"/>
      <c r="AU104" s="1614"/>
      <c r="AV104" s="1614"/>
      <c r="AW104" s="1614"/>
      <c r="AX104" s="1614"/>
      <c r="AY104" s="1614"/>
      <c r="AZ104" s="1614"/>
      <c r="BA104" s="1614"/>
      <c r="BB104" s="1614"/>
      <c r="BC104" s="1614"/>
      <c r="BD104" s="1614"/>
      <c r="BE104" s="1614"/>
      <c r="BF104" s="1614"/>
      <c r="BG104" s="1614"/>
      <c r="BH104" s="1614"/>
      <c r="BI104" s="1614"/>
      <c r="BJ104" s="1614"/>
      <c r="BK104" s="1614"/>
      <c r="BL104" s="1612">
        <f>IF(OR(Funding_Strategy="Equity",Funding_Strategy="Combo"),AP89,0)</f>
        <v>0</v>
      </c>
      <c r="BM104" s="1612"/>
      <c r="BN104" s="1612"/>
      <c r="BO104" s="1612"/>
      <c r="BP104" s="1612"/>
      <c r="BQ104" s="1612"/>
      <c r="BR104" s="1612"/>
      <c r="BS104" s="1612"/>
      <c r="BT104" s="1612"/>
      <c r="BU104" s="1612"/>
      <c r="BV104" s="668"/>
      <c r="BW104" s="668"/>
      <c r="BX104" s="668"/>
      <c r="BY104" s="794"/>
      <c r="BZ104" s="1605" t="str">
        <f>CONCATENATE("You are receiving ",TEXT(BL104,"$#,###")," in Equity Financing")</f>
        <v>You are receiving $ in Equity Financing</v>
      </c>
      <c r="CA104" s="1606"/>
      <c r="CB104" s="1606"/>
      <c r="CC104" s="1606"/>
      <c r="CD104" s="1606"/>
      <c r="CE104" s="1606"/>
      <c r="CF104" s="1606"/>
      <c r="CG104" s="1606"/>
      <c r="CH104" s="1606"/>
      <c r="CI104" s="1606"/>
      <c r="CJ104" s="1606"/>
      <c r="CK104" s="1606"/>
      <c r="CL104" s="1606"/>
      <c r="CM104" s="1606"/>
      <c r="CN104" s="1606"/>
      <c r="CO104" s="1606"/>
      <c r="CP104" s="1606"/>
      <c r="CQ104" s="1606"/>
      <c r="CR104" s="1606"/>
      <c r="CS104" s="1606"/>
      <c r="CT104" s="1606"/>
      <c r="CU104" s="1606"/>
      <c r="CV104" s="1606"/>
      <c r="CW104" s="1606"/>
    </row>
    <row r="105" spans="20:101" s="4" customFormat="1" ht="26" hidden="1" customHeight="1">
      <c r="T105" s="793"/>
      <c r="U105" s="668"/>
      <c r="V105" s="152"/>
      <c r="W105" s="152"/>
      <c r="X105" s="1431"/>
      <c r="Y105" s="1431"/>
      <c r="Z105" s="1431"/>
      <c r="AA105" s="1431"/>
      <c r="AB105" s="1431"/>
      <c r="AC105" s="1431"/>
      <c r="AD105" s="1431"/>
      <c r="AE105" s="1431"/>
      <c r="AF105" s="1431"/>
      <c r="AG105" s="1431"/>
      <c r="AH105" s="1431"/>
      <c r="AI105" s="1431"/>
      <c r="AJ105" s="1431"/>
      <c r="AK105" s="1431"/>
      <c r="AL105" s="1431"/>
      <c r="AM105" s="1431"/>
      <c r="AN105" s="1431"/>
      <c r="AO105" s="1431"/>
      <c r="AP105" s="1431"/>
      <c r="AQ105" s="1431"/>
      <c r="AR105" s="1431"/>
      <c r="AS105" s="1431"/>
      <c r="AT105" s="1431"/>
      <c r="AU105" s="1431"/>
      <c r="AV105" s="1431"/>
      <c r="AW105" s="1431"/>
      <c r="AX105" s="1431"/>
      <c r="AY105" s="1431"/>
      <c r="AZ105" s="1431"/>
      <c r="BA105" s="1431"/>
      <c r="BB105" s="1431"/>
      <c r="BC105" s="1431"/>
      <c r="BD105" s="1431"/>
      <c r="BE105" s="1431"/>
      <c r="BF105" s="1431"/>
      <c r="BG105" s="1431"/>
      <c r="BH105" s="1431"/>
      <c r="BI105" s="1431"/>
      <c r="BJ105" s="1431"/>
      <c r="BK105" s="1431"/>
      <c r="BL105" s="1449"/>
      <c r="BM105" s="1449"/>
      <c r="BN105" s="1449"/>
      <c r="BO105" s="1449"/>
      <c r="BP105" s="1449"/>
      <c r="BQ105" s="1449"/>
      <c r="BR105" s="1449"/>
      <c r="BS105" s="1449"/>
      <c r="BT105" s="1449"/>
      <c r="BU105" s="1449"/>
      <c r="BV105" s="668"/>
      <c r="BW105" s="668"/>
      <c r="BX105" s="668"/>
      <c r="BY105" s="794"/>
      <c r="BZ105" s="1454"/>
      <c r="CA105" s="1455"/>
      <c r="CB105" s="1455"/>
      <c r="CC105" s="1455"/>
      <c r="CD105" s="1455"/>
      <c r="CE105" s="1455"/>
      <c r="CF105" s="1455"/>
      <c r="CG105" s="1455"/>
      <c r="CH105" s="1455"/>
      <c r="CI105" s="1455"/>
      <c r="CJ105" s="1455"/>
      <c r="CK105" s="1455"/>
      <c r="CL105" s="1455"/>
      <c r="CM105" s="1455"/>
      <c r="CN105" s="1455"/>
      <c r="CO105" s="1455"/>
      <c r="CP105" s="1455"/>
      <c r="CQ105" s="1455"/>
      <c r="CR105" s="1455"/>
      <c r="CS105" s="1455"/>
      <c r="CT105" s="1455"/>
      <c r="CU105" s="1455"/>
      <c r="CV105" s="1455"/>
      <c r="CW105" s="1455"/>
    </row>
    <row r="106" spans="20:101" s="4" customFormat="1" ht="26" hidden="1" customHeight="1">
      <c r="T106" s="793"/>
      <c r="U106" s="668"/>
      <c r="V106" s="152"/>
      <c r="W106" s="152"/>
      <c r="X106" s="1609" t="s">
        <v>1564</v>
      </c>
      <c r="Y106" s="1609"/>
      <c r="Z106" s="1609"/>
      <c r="AA106" s="1609"/>
      <c r="AB106" s="1609"/>
      <c r="AC106" s="1609"/>
      <c r="AD106" s="1609"/>
      <c r="AE106" s="1609"/>
      <c r="AF106" s="1609"/>
      <c r="AG106" s="1609"/>
      <c r="AH106" s="1609"/>
      <c r="AI106" s="1609"/>
      <c r="AJ106" s="1609"/>
      <c r="AK106" s="1609"/>
      <c r="AL106" s="1609"/>
      <c r="AM106" s="1609"/>
      <c r="AN106" s="1609"/>
      <c r="AO106" s="1609"/>
      <c r="AP106" s="1609"/>
      <c r="AQ106" s="1609"/>
      <c r="AR106" s="1609"/>
      <c r="AS106" s="1609"/>
      <c r="AT106" s="1609"/>
      <c r="AU106" s="1609"/>
      <c r="AV106" s="1609"/>
      <c r="AW106" s="1609"/>
      <c r="AX106" s="1609"/>
      <c r="AY106" s="1609"/>
      <c r="AZ106" s="1609"/>
      <c r="BA106" s="1609"/>
      <c r="BB106" s="1609"/>
      <c r="BC106" s="1609"/>
      <c r="BD106" s="1609"/>
      <c r="BE106" s="1609"/>
      <c r="BF106" s="1609"/>
      <c r="BG106" s="1609"/>
      <c r="BH106" s="1609"/>
      <c r="BI106" s="1609"/>
      <c r="BJ106" s="1609"/>
      <c r="BK106" s="1609"/>
      <c r="BL106" s="1610"/>
      <c r="BM106" s="1610"/>
      <c r="BN106" s="1610"/>
      <c r="BO106" s="1610"/>
      <c r="BP106" s="1610"/>
      <c r="BQ106" s="1610"/>
      <c r="BR106" s="1610"/>
      <c r="BS106" s="1610"/>
      <c r="BT106" s="1610"/>
      <c r="BU106" s="1610"/>
      <c r="BV106" s="668"/>
      <c r="BW106" s="668"/>
      <c r="BX106" s="668"/>
      <c r="BY106" s="794"/>
      <c r="BZ106" s="1454"/>
      <c r="CA106" s="1455"/>
      <c r="CB106" s="1455"/>
      <c r="CC106" s="1455"/>
      <c r="CD106" s="1455"/>
      <c r="CE106" s="1455"/>
      <c r="CF106" s="1455"/>
      <c r="CG106" s="1455"/>
      <c r="CH106" s="1455"/>
      <c r="CI106" s="1455"/>
      <c r="CJ106" s="1455"/>
      <c r="CK106" s="1455"/>
      <c r="CL106" s="1455"/>
      <c r="CM106" s="1455"/>
      <c r="CN106" s="1455"/>
      <c r="CO106" s="1455"/>
      <c r="CP106" s="1455"/>
      <c r="CQ106" s="1455"/>
      <c r="CR106" s="1455"/>
      <c r="CS106" s="1455"/>
      <c r="CT106" s="1455"/>
      <c r="CU106" s="1455"/>
      <c r="CV106" s="1455"/>
      <c r="CW106" s="1455"/>
    </row>
    <row r="107" spans="20:101" s="4" customFormat="1" ht="26" hidden="1" customHeight="1">
      <c r="T107" s="793"/>
      <c r="U107" s="668"/>
      <c r="V107" s="152"/>
      <c r="W107" s="152"/>
      <c r="X107" s="1614" t="s">
        <v>1876</v>
      </c>
      <c r="Y107" s="1614"/>
      <c r="Z107" s="1614"/>
      <c r="AA107" s="1614"/>
      <c r="AB107" s="1614"/>
      <c r="AC107" s="1614"/>
      <c r="AD107" s="1614"/>
      <c r="AE107" s="1614"/>
      <c r="AF107" s="1614"/>
      <c r="AG107" s="1614"/>
      <c r="AH107" s="1614"/>
      <c r="AI107" s="1614"/>
      <c r="AJ107" s="1614"/>
      <c r="AK107" s="1614"/>
      <c r="AL107" s="1614"/>
      <c r="AM107" s="1614"/>
      <c r="AN107" s="1614"/>
      <c r="AO107" s="1614"/>
      <c r="AP107" s="1614"/>
      <c r="AQ107" s="1614"/>
      <c r="AR107" s="1614"/>
      <c r="AS107" s="1614"/>
      <c r="AT107" s="1614"/>
      <c r="AU107" s="1614"/>
      <c r="AV107" s="1614"/>
      <c r="AW107" s="1614"/>
      <c r="AX107" s="1614"/>
      <c r="AY107" s="1614"/>
      <c r="AZ107" s="1614"/>
      <c r="BA107" s="1614"/>
      <c r="BB107" s="1614"/>
      <c r="BC107" s="1614"/>
      <c r="BD107" s="1614"/>
      <c r="BE107" s="1614"/>
      <c r="BF107" s="1614"/>
      <c r="BG107" s="1614"/>
      <c r="BH107" s="1614"/>
      <c r="BI107" s="1614"/>
      <c r="BJ107" s="1614"/>
      <c r="BK107" s="1614"/>
      <c r="BL107" s="1612">
        <f>BL97</f>
        <v>0</v>
      </c>
      <c r="BM107" s="1612"/>
      <c r="BN107" s="1612"/>
      <c r="BO107" s="1612"/>
      <c r="BP107" s="1612"/>
      <c r="BQ107" s="1612"/>
      <c r="BR107" s="1612"/>
      <c r="BS107" s="1612"/>
      <c r="BT107" s="1612"/>
      <c r="BU107" s="1612"/>
      <c r="BV107" s="668"/>
      <c r="BW107" s="668"/>
      <c r="BX107" s="668"/>
      <c r="BY107" s="794"/>
    </row>
    <row r="108" spans="20:101" s="4" customFormat="1" ht="26" hidden="1" customHeight="1">
      <c r="T108" s="793"/>
      <c r="U108" s="668"/>
      <c r="V108" s="152"/>
      <c r="W108" s="152"/>
      <c r="X108" s="1614" t="s">
        <v>1879</v>
      </c>
      <c r="Y108" s="1614"/>
      <c r="Z108" s="1614"/>
      <c r="AA108" s="1614"/>
      <c r="AB108" s="1614"/>
      <c r="AC108" s="1614"/>
      <c r="AD108" s="1614"/>
      <c r="AE108" s="1614"/>
      <c r="AF108" s="1614"/>
      <c r="AG108" s="1614"/>
      <c r="AH108" s="1614"/>
      <c r="AI108" s="1614"/>
      <c r="AJ108" s="1614"/>
      <c r="AK108" s="1614"/>
      <c r="AL108" s="1614"/>
      <c r="AM108" s="1614"/>
      <c r="AN108" s="1614"/>
      <c r="AO108" s="1614"/>
      <c r="AP108" s="1614"/>
      <c r="AQ108" s="1614"/>
      <c r="AR108" s="1614"/>
      <c r="AS108" s="1614"/>
      <c r="AT108" s="1614"/>
      <c r="AU108" s="1614"/>
      <c r="AV108" s="1614"/>
      <c r="AW108" s="1614"/>
      <c r="AX108" s="1614"/>
      <c r="AY108" s="1614"/>
      <c r="AZ108" s="1614"/>
      <c r="BA108" s="1614"/>
      <c r="BB108" s="1614"/>
      <c r="BC108" s="1614"/>
      <c r="BD108" s="1614"/>
      <c r="BE108" s="1614"/>
      <c r="BF108" s="1614"/>
      <c r="BG108" s="1614"/>
      <c r="BH108" s="1614"/>
      <c r="BI108" s="1614"/>
      <c r="BJ108" s="1614"/>
      <c r="BK108" s="1614"/>
      <c r="BL108" s="1612">
        <f>-BL102</f>
        <v>0</v>
      </c>
      <c r="BM108" s="1612"/>
      <c r="BN108" s="1612"/>
      <c r="BO108" s="1612"/>
      <c r="BP108" s="1612"/>
      <c r="BQ108" s="1612"/>
      <c r="BR108" s="1612"/>
      <c r="BS108" s="1612"/>
      <c r="BT108" s="1612"/>
      <c r="BU108" s="1612"/>
      <c r="BV108" s="668"/>
      <c r="BW108" s="668"/>
      <c r="BX108" s="668"/>
      <c r="BY108" s="794"/>
    </row>
    <row r="109" spans="20:101" s="4" customFormat="1" ht="26" hidden="1" customHeight="1" thickBot="1">
      <c r="T109" s="793"/>
      <c r="U109" s="668"/>
      <c r="V109" s="152"/>
      <c r="W109" s="152"/>
      <c r="X109" s="1615" t="s">
        <v>1880</v>
      </c>
      <c r="Y109" s="1615"/>
      <c r="Z109" s="1615"/>
      <c r="AA109" s="1615"/>
      <c r="AB109" s="1615"/>
      <c r="AC109" s="1615"/>
      <c r="AD109" s="1615"/>
      <c r="AE109" s="1615"/>
      <c r="AF109" s="1615"/>
      <c r="AG109" s="1615"/>
      <c r="AH109" s="1615"/>
      <c r="AI109" s="1615"/>
      <c r="AJ109" s="1615"/>
      <c r="AK109" s="1615"/>
      <c r="AL109" s="1615"/>
      <c r="AM109" s="1615"/>
      <c r="AN109" s="1615"/>
      <c r="AO109" s="1615"/>
      <c r="AP109" s="1615"/>
      <c r="AQ109" s="1615"/>
      <c r="AR109" s="1615"/>
      <c r="AS109" s="1615"/>
      <c r="AT109" s="1615"/>
      <c r="AU109" s="1615"/>
      <c r="AV109" s="1615"/>
      <c r="AW109" s="1615"/>
      <c r="AX109" s="1615"/>
      <c r="AY109" s="1615"/>
      <c r="AZ109" s="1615"/>
      <c r="BA109" s="1615"/>
      <c r="BB109" s="1615"/>
      <c r="BC109" s="1615"/>
      <c r="BD109" s="1615"/>
      <c r="BE109" s="1615"/>
      <c r="BF109" s="1615"/>
      <c r="BG109" s="1615"/>
      <c r="BH109" s="1615"/>
      <c r="BI109" s="1615"/>
      <c r="BJ109" s="1615"/>
      <c r="BK109" s="1615"/>
      <c r="BL109" s="1616">
        <f>-BL104</f>
        <v>0</v>
      </c>
      <c r="BM109" s="1616"/>
      <c r="BN109" s="1616"/>
      <c r="BO109" s="1616"/>
      <c r="BP109" s="1616"/>
      <c r="BQ109" s="1616"/>
      <c r="BR109" s="1616"/>
      <c r="BS109" s="1616"/>
      <c r="BT109" s="1616"/>
      <c r="BU109" s="1616"/>
      <c r="BV109" s="668"/>
      <c r="BW109" s="668"/>
      <c r="BX109" s="668"/>
      <c r="BY109" s="794"/>
    </row>
    <row r="110" spans="20:101" s="4" customFormat="1" ht="26" hidden="1" customHeight="1" thickTop="1">
      <c r="T110" s="793"/>
      <c r="U110" s="668"/>
      <c r="V110" s="152"/>
      <c r="W110" s="152"/>
      <c r="X110" s="1607" t="s">
        <v>1857</v>
      </c>
      <c r="Y110" s="1607"/>
      <c r="Z110" s="1607"/>
      <c r="AA110" s="1607"/>
      <c r="AB110" s="1607"/>
      <c r="AC110" s="1607"/>
      <c r="AD110" s="1607"/>
      <c r="AE110" s="1607"/>
      <c r="AF110" s="1607"/>
      <c r="AG110" s="1607"/>
      <c r="AH110" s="1607"/>
      <c r="AI110" s="1607"/>
      <c r="AJ110" s="1607"/>
      <c r="AK110" s="1607"/>
      <c r="AL110" s="1607"/>
      <c r="AM110" s="1607"/>
      <c r="AN110" s="1607"/>
      <c r="AO110" s="1607"/>
      <c r="AP110" s="1607"/>
      <c r="AQ110" s="1607"/>
      <c r="AR110" s="1607"/>
      <c r="AS110" s="1607"/>
      <c r="AT110" s="1607"/>
      <c r="AU110" s="1607"/>
      <c r="AV110" s="1607"/>
      <c r="AW110" s="1607"/>
      <c r="AX110" s="1607"/>
      <c r="AY110" s="1607"/>
      <c r="AZ110" s="1607"/>
      <c r="BA110" s="1607"/>
      <c r="BB110" s="1607"/>
      <c r="BC110" s="1607"/>
      <c r="BD110" s="1607"/>
      <c r="BE110" s="1607"/>
      <c r="BF110" s="1607"/>
      <c r="BG110" s="1607"/>
      <c r="BH110" s="1607"/>
      <c r="BI110" s="1607"/>
      <c r="BJ110" s="1607"/>
      <c r="BK110" s="1607"/>
      <c r="BL110" s="1608">
        <f>SUM(BL107:BU109)</f>
        <v>0</v>
      </c>
      <c r="BM110" s="1608"/>
      <c r="BN110" s="1608"/>
      <c r="BO110" s="1608"/>
      <c r="BP110" s="1608"/>
      <c r="BQ110" s="1608"/>
      <c r="BR110" s="1608"/>
      <c r="BS110" s="1608"/>
      <c r="BT110" s="1608"/>
      <c r="BU110" s="1608"/>
      <c r="BV110" s="668"/>
      <c r="BW110" s="668"/>
      <c r="BX110" s="668"/>
      <c r="BY110" s="794"/>
      <c r="BZ110" s="1601" t="str">
        <f>IF(BL110&lt;0,CONCATENATE("Your project is overcapitalized by ",TEXT(-BL110,"$#,###")),CONCATENATE("You will need ",TEXT(BL110,"$#,###")," of your Own Cash to fund this project"))</f>
        <v>You will need $ of your Own Cash to fund this project</v>
      </c>
      <c r="CA110" s="1602"/>
      <c r="CB110" s="1602"/>
      <c r="CC110" s="1602"/>
      <c r="CD110" s="1602"/>
      <c r="CE110" s="1602"/>
      <c r="CF110" s="1602"/>
      <c r="CG110" s="1602"/>
      <c r="CH110" s="1602"/>
      <c r="CI110" s="1602"/>
      <c r="CJ110" s="1602"/>
      <c r="CK110" s="1602"/>
      <c r="CL110" s="1602"/>
      <c r="CM110" s="1602"/>
      <c r="CN110" s="1602"/>
      <c r="CO110" s="1602"/>
      <c r="CP110" s="1602"/>
      <c r="CQ110" s="1602"/>
      <c r="CR110" s="1602"/>
      <c r="CS110" s="1602"/>
      <c r="CT110" s="1602"/>
      <c r="CU110" s="1602"/>
      <c r="CV110" s="1602"/>
      <c r="CW110" s="1602"/>
    </row>
    <row r="111" spans="20:101" s="4" customFormat="1" ht="26" hidden="1" customHeight="1">
      <c r="T111" s="793"/>
      <c r="U111" s="668"/>
      <c r="V111" s="152"/>
      <c r="W111" s="152"/>
      <c r="X111" s="1431"/>
      <c r="Y111" s="1431"/>
      <c r="Z111" s="1431"/>
      <c r="AA111" s="1431"/>
      <c r="AB111" s="1431"/>
      <c r="AC111" s="1431"/>
      <c r="AD111" s="1431"/>
      <c r="AE111" s="1431"/>
      <c r="AF111" s="1431"/>
      <c r="AG111" s="1431"/>
      <c r="AH111" s="1431"/>
      <c r="AI111" s="1431"/>
      <c r="AJ111" s="1431"/>
      <c r="AK111" s="1431"/>
      <c r="AL111" s="1431"/>
      <c r="AM111" s="1431"/>
      <c r="AN111" s="1431"/>
      <c r="AO111" s="1431"/>
      <c r="AP111" s="1431"/>
      <c r="AQ111" s="1431"/>
      <c r="AR111" s="1431"/>
      <c r="AS111" s="1431"/>
      <c r="AT111" s="1431"/>
      <c r="AU111" s="1431"/>
      <c r="AV111" s="1431"/>
      <c r="AW111" s="1431"/>
      <c r="AX111" s="1431"/>
      <c r="AY111" s="1431"/>
      <c r="AZ111" s="1431"/>
      <c r="BA111" s="1431"/>
      <c r="BB111" s="1431"/>
      <c r="BC111" s="1431"/>
      <c r="BD111" s="1431"/>
      <c r="BE111" s="1431"/>
      <c r="BF111" s="1431"/>
      <c r="BG111" s="1431"/>
      <c r="BH111" s="1431"/>
      <c r="BI111" s="1431"/>
      <c r="BJ111" s="1431"/>
      <c r="BK111" s="1431"/>
      <c r="BL111" s="1451"/>
      <c r="BM111" s="1451"/>
      <c r="BN111" s="1451"/>
      <c r="BO111" s="1451"/>
      <c r="BP111" s="1451"/>
      <c r="BQ111" s="1451"/>
      <c r="BR111" s="1451"/>
      <c r="BS111" s="1451"/>
      <c r="BT111" s="1451"/>
      <c r="BU111" s="1451"/>
      <c r="BV111" s="668"/>
      <c r="BW111" s="668"/>
      <c r="BX111" s="668"/>
      <c r="BY111" s="794"/>
      <c r="BZ111" s="1601"/>
      <c r="CA111" s="1602"/>
      <c r="CB111" s="1602"/>
      <c r="CC111" s="1602"/>
      <c r="CD111" s="1602"/>
      <c r="CE111" s="1602"/>
      <c r="CF111" s="1602"/>
      <c r="CG111" s="1602"/>
      <c r="CH111" s="1602"/>
      <c r="CI111" s="1602"/>
      <c r="CJ111" s="1602"/>
      <c r="CK111" s="1602"/>
      <c r="CL111" s="1602"/>
      <c r="CM111" s="1602"/>
      <c r="CN111" s="1602"/>
      <c r="CO111" s="1602"/>
      <c r="CP111" s="1602"/>
      <c r="CQ111" s="1602"/>
      <c r="CR111" s="1602"/>
      <c r="CS111" s="1602"/>
      <c r="CT111" s="1602"/>
      <c r="CU111" s="1602"/>
      <c r="CV111" s="1602"/>
      <c r="CW111" s="1602"/>
    </row>
    <row r="112" spans="20:101" s="4" customFormat="1" ht="26.25" hidden="1" customHeight="1">
      <c r="T112" s="1617" t="s">
        <v>1881</v>
      </c>
      <c r="U112" s="1618"/>
      <c r="V112" s="1618"/>
      <c r="W112" s="1618"/>
      <c r="X112" s="1618"/>
      <c r="Y112" s="1618"/>
      <c r="Z112" s="1618"/>
      <c r="AA112" s="1618"/>
      <c r="AB112" s="1618"/>
      <c r="AC112" s="1618"/>
      <c r="AD112" s="1618"/>
      <c r="AE112" s="1618"/>
      <c r="AF112" s="1618"/>
      <c r="AG112" s="1618"/>
      <c r="AH112" s="1618"/>
      <c r="AI112" s="1618"/>
      <c r="AJ112" s="1618"/>
      <c r="AK112" s="1618"/>
      <c r="AL112" s="1618"/>
      <c r="AM112" s="1618"/>
      <c r="AN112" s="1618"/>
      <c r="AO112" s="1618"/>
      <c r="AP112" s="1618"/>
      <c r="AQ112" s="1618"/>
      <c r="AR112" s="1618"/>
      <c r="AS112" s="1618"/>
      <c r="AT112" s="1618"/>
      <c r="AU112" s="1618"/>
      <c r="AV112" s="1618"/>
      <c r="AW112" s="1618"/>
      <c r="AX112" s="1618"/>
      <c r="AY112" s="1618"/>
      <c r="AZ112" s="1618"/>
      <c r="BA112" s="1618"/>
      <c r="BB112" s="1618"/>
      <c r="BC112" s="1618"/>
      <c r="BD112" s="1618"/>
      <c r="BE112" s="1618"/>
      <c r="BF112" s="1618"/>
      <c r="BG112" s="1618"/>
      <c r="BH112" s="1618"/>
      <c r="BI112" s="1618"/>
      <c r="BJ112" s="1618"/>
      <c r="BK112" s="1618"/>
      <c r="BL112" s="1618"/>
      <c r="BM112" s="1618"/>
      <c r="BN112" s="1618"/>
      <c r="BO112" s="1618"/>
      <c r="BP112" s="1618"/>
      <c r="BQ112" s="1618"/>
      <c r="BR112" s="1618"/>
      <c r="BS112" s="1618"/>
      <c r="BT112" s="1618"/>
      <c r="BU112" s="1618"/>
      <c r="BV112" s="1618"/>
      <c r="BW112" s="1618"/>
      <c r="BX112" s="1618"/>
      <c r="BY112" s="1619"/>
    </row>
    <row r="113" spans="20:77" s="4" customFormat="1" ht="26" hidden="1" customHeight="1">
      <c r="T113" s="793"/>
      <c r="U113" s="668"/>
      <c r="V113" s="152"/>
      <c r="W113" s="152"/>
      <c r="X113" s="1431"/>
      <c r="Y113" s="1431"/>
      <c r="Z113" s="1431"/>
      <c r="AA113" s="1431"/>
      <c r="AB113" s="1431"/>
      <c r="AC113" s="1431"/>
      <c r="AD113" s="1431"/>
      <c r="AE113" s="1431"/>
      <c r="AF113" s="1431"/>
      <c r="AG113" s="1431"/>
      <c r="AH113" s="1431"/>
      <c r="AI113" s="1431"/>
      <c r="AJ113" s="1431"/>
      <c r="AK113" s="1431"/>
      <c r="AL113" s="1431"/>
      <c r="AM113" s="1431"/>
      <c r="AN113" s="1431"/>
      <c r="AO113" s="1431"/>
      <c r="AP113" s="1431"/>
      <c r="AQ113" s="1431"/>
      <c r="AR113" s="1431"/>
      <c r="AS113" s="1431"/>
      <c r="AT113" s="1431"/>
      <c r="AU113" s="1431"/>
      <c r="AV113" s="1431"/>
      <c r="AW113" s="1431"/>
      <c r="AX113" s="1431"/>
      <c r="AY113" s="1431"/>
      <c r="AZ113" s="1431"/>
      <c r="BA113" s="1431"/>
      <c r="BB113" s="1431"/>
      <c r="BC113" s="1431"/>
      <c r="BD113" s="1431"/>
      <c r="BE113" s="1431"/>
      <c r="BF113" s="1431"/>
      <c r="BG113" s="1431"/>
      <c r="BH113" s="1431"/>
      <c r="BI113" s="1431"/>
      <c r="BJ113" s="1431"/>
      <c r="BK113" s="1431"/>
      <c r="BL113" s="1451"/>
      <c r="BM113" s="1451"/>
      <c r="BN113" s="1451"/>
      <c r="BO113" s="1451"/>
      <c r="BP113" s="1451"/>
      <c r="BQ113" s="1451"/>
      <c r="BR113" s="1451"/>
      <c r="BS113" s="1451"/>
      <c r="BT113" s="1451"/>
      <c r="BU113" s="1451"/>
      <c r="BV113" s="668"/>
      <c r="BW113" s="668"/>
      <c r="BX113" s="668"/>
      <c r="BY113" s="794"/>
    </row>
    <row r="114" spans="20:77" s="4" customFormat="1" ht="26" hidden="1" customHeight="1">
      <c r="T114" s="793"/>
      <c r="U114" s="668"/>
      <c r="V114" s="152"/>
      <c r="W114" s="152"/>
      <c r="X114" s="1609" t="s">
        <v>1882</v>
      </c>
      <c r="Y114" s="1609"/>
      <c r="Z114" s="1609"/>
      <c r="AA114" s="1609"/>
      <c r="AB114" s="1609"/>
      <c r="AC114" s="1609"/>
      <c r="AD114" s="1609"/>
      <c r="AE114" s="1609"/>
      <c r="AF114" s="1609"/>
      <c r="AG114" s="1609"/>
      <c r="AH114" s="1609"/>
      <c r="AI114" s="1609"/>
      <c r="AJ114" s="1609"/>
      <c r="AK114" s="1609"/>
      <c r="AL114" s="1609"/>
      <c r="AM114" s="1609"/>
      <c r="AN114" s="1609"/>
      <c r="AO114" s="1609"/>
      <c r="AP114" s="1609"/>
      <c r="AQ114" s="1609"/>
      <c r="AR114" s="1609"/>
      <c r="AS114" s="1609"/>
      <c r="AT114" s="1609"/>
      <c r="AU114" s="1609"/>
      <c r="AV114" s="1609"/>
      <c r="AW114" s="1609"/>
      <c r="AX114" s="1609"/>
      <c r="AY114" s="1609"/>
      <c r="AZ114" s="1609"/>
      <c r="BA114" s="1609"/>
      <c r="BB114" s="1609"/>
      <c r="BC114" s="1609"/>
      <c r="BD114" s="1609"/>
      <c r="BE114" s="1609"/>
      <c r="BF114" s="1609"/>
      <c r="BG114" s="1609"/>
      <c r="BH114" s="1609"/>
      <c r="BI114" s="1609"/>
      <c r="BJ114" s="1609"/>
      <c r="BK114" s="1609"/>
      <c r="BL114" s="1610"/>
      <c r="BM114" s="1610"/>
      <c r="BN114" s="1610"/>
      <c r="BO114" s="1610"/>
      <c r="BP114" s="1610"/>
      <c r="BQ114" s="1610"/>
      <c r="BR114" s="1610"/>
      <c r="BS114" s="1610"/>
      <c r="BT114" s="1610"/>
      <c r="BU114" s="1610"/>
      <c r="BV114" s="668"/>
      <c r="BW114" s="668"/>
      <c r="BX114" s="668"/>
      <c r="BY114" s="794"/>
    </row>
    <row r="115" spans="20:77" s="4" customFormat="1" ht="26" hidden="1" customHeight="1">
      <c r="T115" s="793"/>
      <c r="U115" s="668"/>
      <c r="V115" s="152"/>
      <c r="W115" s="152"/>
      <c r="X115" s="1613" t="s">
        <v>853</v>
      </c>
      <c r="Y115" s="1613"/>
      <c r="Z115" s="1613"/>
      <c r="AA115" s="1613"/>
      <c r="AB115" s="1613"/>
      <c r="AC115" s="1613"/>
      <c r="AD115" s="1613"/>
      <c r="AE115" s="1613"/>
      <c r="AF115" s="1613"/>
      <c r="AG115" s="1613"/>
      <c r="AH115" s="1613"/>
      <c r="AI115" s="1613"/>
      <c r="AJ115" s="1613"/>
      <c r="AK115" s="1613"/>
      <c r="AL115" s="1613"/>
      <c r="AM115" s="1613"/>
      <c r="AN115" s="1613"/>
      <c r="AO115" s="1613"/>
      <c r="AP115" s="1613"/>
      <c r="AQ115" s="1613"/>
      <c r="AR115" s="1613"/>
      <c r="AS115" s="1613"/>
      <c r="AT115" s="1613"/>
      <c r="AU115" s="1613"/>
      <c r="AV115" s="1613"/>
      <c r="AW115" s="1613"/>
      <c r="AX115" s="1613"/>
      <c r="AY115" s="1613"/>
      <c r="AZ115" s="1613"/>
      <c r="BA115" s="1613"/>
      <c r="BB115" s="1613"/>
      <c r="BC115" s="1613"/>
      <c r="BD115" s="1613"/>
      <c r="BE115" s="1613"/>
      <c r="BF115" s="1613"/>
      <c r="BG115" s="1613"/>
      <c r="BH115" s="1613"/>
      <c r="BI115" s="1613"/>
      <c r="BJ115" s="1613"/>
      <c r="BK115" s="1613"/>
      <c r="BL115" s="1450"/>
      <c r="BM115" s="1450"/>
      <c r="BN115" s="1450"/>
      <c r="BO115" s="1450"/>
      <c r="BP115" s="1450"/>
      <c r="BQ115" s="1450"/>
      <c r="BR115" s="1450"/>
      <c r="BS115" s="1450"/>
      <c r="BT115" s="1450"/>
      <c r="BU115" s="1450"/>
      <c r="BV115" s="668"/>
      <c r="BW115" s="668"/>
      <c r="BX115" s="668"/>
      <c r="BY115" s="794"/>
    </row>
    <row r="116" spans="20:77" s="4" customFormat="1" ht="26" hidden="1" customHeight="1">
      <c r="T116" s="793"/>
      <c r="U116" s="668"/>
      <c r="V116" s="152"/>
      <c r="W116" s="152"/>
      <c r="X116" s="1614" t="s">
        <v>1883</v>
      </c>
      <c r="Y116" s="1614"/>
      <c r="Z116" s="1614"/>
      <c r="AA116" s="1614"/>
      <c r="AB116" s="1614"/>
      <c r="AC116" s="1614"/>
      <c r="AD116" s="1614"/>
      <c r="AE116" s="1614"/>
      <c r="AF116" s="1614"/>
      <c r="AG116" s="1614"/>
      <c r="AH116" s="1614"/>
      <c r="AI116" s="1614"/>
      <c r="AJ116" s="1614"/>
      <c r="AK116" s="1614"/>
      <c r="AL116" s="1614"/>
      <c r="AM116" s="1614"/>
      <c r="AN116" s="1614"/>
      <c r="AO116" s="1614"/>
      <c r="AP116" s="1614"/>
      <c r="AQ116" s="1614"/>
      <c r="AR116" s="1614"/>
      <c r="AS116" s="1614"/>
      <c r="AT116" s="1614"/>
      <c r="AU116" s="1614"/>
      <c r="AV116" s="1614"/>
      <c r="AW116" s="1614"/>
      <c r="AX116" s="1614"/>
      <c r="AY116" s="1614"/>
      <c r="AZ116" s="1614"/>
      <c r="BA116" s="1614"/>
      <c r="BB116" s="1614"/>
      <c r="BC116" s="1614"/>
      <c r="BD116" s="1614"/>
      <c r="BE116" s="1614"/>
      <c r="BF116" s="1614"/>
      <c r="BG116" s="1614"/>
      <c r="BH116" s="1614"/>
      <c r="BI116" s="1614"/>
      <c r="BJ116" s="1614"/>
      <c r="BK116" s="1614"/>
      <c r="BL116" s="1612">
        <f>IF(OR(Funding_Strategy="Financed",Funding_Strategy="Combo"),V37,0)</f>
        <v>0</v>
      </c>
      <c r="BM116" s="1612"/>
      <c r="BN116" s="1612"/>
      <c r="BO116" s="1612"/>
      <c r="BP116" s="1612"/>
      <c r="BQ116" s="1612"/>
      <c r="BR116" s="1612"/>
      <c r="BS116" s="1612"/>
      <c r="BT116" s="1612"/>
      <c r="BU116" s="1612"/>
      <c r="BV116" s="668"/>
      <c r="BW116" s="668"/>
      <c r="BX116" s="668"/>
      <c r="BY116" s="794"/>
    </row>
    <row r="117" spans="20:77" s="4" customFormat="1" ht="26" hidden="1" customHeight="1">
      <c r="T117" s="793"/>
      <c r="U117" s="668"/>
      <c r="V117" s="152"/>
      <c r="W117" s="152"/>
      <c r="X117" s="1614" t="s">
        <v>1886</v>
      </c>
      <c r="Y117" s="1614"/>
      <c r="Z117" s="1614"/>
      <c r="AA117" s="1614"/>
      <c r="AB117" s="1614"/>
      <c r="AC117" s="1614"/>
      <c r="AD117" s="1614"/>
      <c r="AE117" s="1614"/>
      <c r="AF117" s="1614"/>
      <c r="AG117" s="1614"/>
      <c r="AH117" s="1614"/>
      <c r="AI117" s="1614"/>
      <c r="AJ117" s="1614"/>
      <c r="AK117" s="1614"/>
      <c r="AL117" s="1614"/>
      <c r="AM117" s="1614"/>
      <c r="AN117" s="1614"/>
      <c r="AO117" s="1614"/>
      <c r="AP117" s="1614"/>
      <c r="AQ117" s="1614"/>
      <c r="AR117" s="1614"/>
      <c r="AS117" s="1614"/>
      <c r="AT117" s="1614"/>
      <c r="AU117" s="1614"/>
      <c r="AV117" s="1614"/>
      <c r="AW117" s="1614"/>
      <c r="AX117" s="1614"/>
      <c r="AY117" s="1614"/>
      <c r="AZ117" s="1614"/>
      <c r="BA117" s="1614"/>
      <c r="BB117" s="1614"/>
      <c r="BC117" s="1614"/>
      <c r="BD117" s="1614"/>
      <c r="BE117" s="1614"/>
      <c r="BF117" s="1614"/>
      <c r="BG117" s="1614"/>
      <c r="BH117" s="1614"/>
      <c r="BI117" s="1614"/>
      <c r="BJ117" s="1614"/>
      <c r="BK117" s="1614"/>
      <c r="BL117" s="1612">
        <f>IF(OR(Funding_Strategy="Financed",Funding_Strategy="Combo"),AG37,0)</f>
        <v>0</v>
      </c>
      <c r="BM117" s="1612"/>
      <c r="BN117" s="1612"/>
      <c r="BO117" s="1612"/>
      <c r="BP117" s="1612"/>
      <c r="BQ117" s="1612"/>
      <c r="BR117" s="1612"/>
      <c r="BS117" s="1612"/>
      <c r="BT117" s="1612"/>
      <c r="BU117" s="1612"/>
      <c r="BV117" s="668"/>
      <c r="BW117" s="668"/>
      <c r="BX117" s="668"/>
      <c r="BY117" s="794"/>
    </row>
    <row r="118" spans="20:77" s="4" customFormat="1" ht="26" hidden="1" customHeight="1" thickBot="1">
      <c r="T118" s="793"/>
      <c r="U118" s="668"/>
      <c r="V118" s="152"/>
      <c r="W118" s="152"/>
      <c r="X118" s="1615" t="s">
        <v>1887</v>
      </c>
      <c r="Y118" s="1615"/>
      <c r="Z118" s="1615"/>
      <c r="AA118" s="1615"/>
      <c r="AB118" s="1615"/>
      <c r="AC118" s="1615"/>
      <c r="AD118" s="1615"/>
      <c r="AE118" s="1615"/>
      <c r="AF118" s="1615"/>
      <c r="AG118" s="1615"/>
      <c r="AH118" s="1615"/>
      <c r="AI118" s="1615"/>
      <c r="AJ118" s="1615"/>
      <c r="AK118" s="1615"/>
      <c r="AL118" s="1615"/>
      <c r="AM118" s="1615"/>
      <c r="AN118" s="1615"/>
      <c r="AO118" s="1615"/>
      <c r="AP118" s="1615"/>
      <c r="AQ118" s="1615"/>
      <c r="AR118" s="1615"/>
      <c r="AS118" s="1615"/>
      <c r="AT118" s="1615"/>
      <c r="AU118" s="1615"/>
      <c r="AV118" s="1615"/>
      <c r="AW118" s="1615"/>
      <c r="AX118" s="1615"/>
      <c r="AY118" s="1615"/>
      <c r="AZ118" s="1615"/>
      <c r="BA118" s="1615"/>
      <c r="BB118" s="1615"/>
      <c r="BC118" s="1615"/>
      <c r="BD118" s="1615"/>
      <c r="BE118" s="1615"/>
      <c r="BF118" s="1615"/>
      <c r="BG118" s="1615"/>
      <c r="BH118" s="1615"/>
      <c r="BI118" s="1615"/>
      <c r="BJ118" s="1615"/>
      <c r="BK118" s="1615"/>
      <c r="BL118" s="1616">
        <f>IF(OR(Funding_Strategy="Financed",Funding_Strategy="Combo"),AR37,0)</f>
        <v>0</v>
      </c>
      <c r="BM118" s="1616"/>
      <c r="BN118" s="1616"/>
      <c r="BO118" s="1616"/>
      <c r="BP118" s="1616"/>
      <c r="BQ118" s="1616"/>
      <c r="BR118" s="1616"/>
      <c r="BS118" s="1616"/>
      <c r="BT118" s="1616"/>
      <c r="BU118" s="1616"/>
      <c r="BV118" s="668"/>
      <c r="BW118" s="668"/>
      <c r="BX118" s="668"/>
      <c r="BY118" s="794"/>
    </row>
    <row r="119" spans="20:77" s="4" customFormat="1" ht="26" hidden="1" customHeight="1" thickTop="1">
      <c r="T119" s="793"/>
      <c r="U119" s="668"/>
      <c r="V119" s="152"/>
      <c r="W119" s="152"/>
      <c r="X119" s="1607" t="s">
        <v>1888</v>
      </c>
      <c r="Y119" s="1607"/>
      <c r="Z119" s="1607"/>
      <c r="AA119" s="1607"/>
      <c r="AB119" s="1607"/>
      <c r="AC119" s="1607"/>
      <c r="AD119" s="1607"/>
      <c r="AE119" s="1607"/>
      <c r="AF119" s="1607"/>
      <c r="AG119" s="1607"/>
      <c r="AH119" s="1607"/>
      <c r="AI119" s="1607"/>
      <c r="AJ119" s="1607"/>
      <c r="AK119" s="1607"/>
      <c r="AL119" s="1607"/>
      <c r="AM119" s="1607"/>
      <c r="AN119" s="1607"/>
      <c r="AO119" s="1607"/>
      <c r="AP119" s="1607"/>
      <c r="AQ119" s="1607"/>
      <c r="AR119" s="1607"/>
      <c r="AS119" s="1607"/>
      <c r="AT119" s="1607"/>
      <c r="AU119" s="1607"/>
      <c r="AV119" s="1607"/>
      <c r="AW119" s="1607"/>
      <c r="AX119" s="1607"/>
      <c r="AY119" s="1607"/>
      <c r="AZ119" s="1607"/>
      <c r="BA119" s="1607"/>
      <c r="BB119" s="1607"/>
      <c r="BC119" s="1607"/>
      <c r="BD119" s="1607"/>
      <c r="BE119" s="1607"/>
      <c r="BF119" s="1607"/>
      <c r="BG119" s="1607"/>
      <c r="BH119" s="1607"/>
      <c r="BI119" s="1607"/>
      <c r="BJ119" s="1607"/>
      <c r="BK119" s="1607"/>
      <c r="BL119" s="1608">
        <f>SUM(BL116:BU118)</f>
        <v>0</v>
      </c>
      <c r="BM119" s="1608"/>
      <c r="BN119" s="1608"/>
      <c r="BO119" s="1608"/>
      <c r="BP119" s="1608"/>
      <c r="BQ119" s="1608"/>
      <c r="BR119" s="1608"/>
      <c r="BS119" s="1608"/>
      <c r="BT119" s="1608"/>
      <c r="BU119" s="1608"/>
      <c r="BV119" s="668"/>
      <c r="BW119" s="668"/>
      <c r="BX119" s="668"/>
      <c r="BY119" s="794"/>
    </row>
    <row r="120" spans="20:77" s="4" customFormat="1" ht="26" hidden="1" customHeight="1">
      <c r="T120" s="793"/>
      <c r="U120" s="668"/>
      <c r="V120" s="152"/>
      <c r="W120" s="152"/>
      <c r="X120" s="1613" t="s">
        <v>1889</v>
      </c>
      <c r="Y120" s="1613"/>
      <c r="Z120" s="1613"/>
      <c r="AA120" s="1613"/>
      <c r="AB120" s="1613"/>
      <c r="AC120" s="1613"/>
      <c r="AD120" s="1613"/>
      <c r="AE120" s="1613"/>
      <c r="AF120" s="1613"/>
      <c r="AG120" s="1613"/>
      <c r="AH120" s="1613"/>
      <c r="AI120" s="1613"/>
      <c r="AJ120" s="1613"/>
      <c r="AK120" s="1613"/>
      <c r="AL120" s="1613"/>
      <c r="AM120" s="1613"/>
      <c r="AN120" s="1613"/>
      <c r="AO120" s="1613"/>
      <c r="AP120" s="1613"/>
      <c r="AQ120" s="1613"/>
      <c r="AR120" s="1613"/>
      <c r="AS120" s="1613"/>
      <c r="AT120" s="1613"/>
      <c r="AU120" s="1613"/>
      <c r="AV120" s="1613"/>
      <c r="AW120" s="1613"/>
      <c r="AX120" s="1613"/>
      <c r="AY120" s="1613"/>
      <c r="AZ120" s="1613"/>
      <c r="BA120" s="1613"/>
      <c r="BB120" s="1613"/>
      <c r="BC120" s="1613"/>
      <c r="BD120" s="1613"/>
      <c r="BE120" s="1613"/>
      <c r="BF120" s="1613"/>
      <c r="BG120" s="1613"/>
      <c r="BH120" s="1613"/>
      <c r="BI120" s="1613"/>
      <c r="BJ120" s="1613"/>
      <c r="BK120" s="1613"/>
      <c r="BL120" s="1450"/>
      <c r="BM120" s="1450"/>
      <c r="BN120" s="1450"/>
      <c r="BO120" s="1450"/>
      <c r="BP120" s="1450"/>
      <c r="BQ120" s="1450"/>
      <c r="BR120" s="1450"/>
      <c r="BS120" s="1450"/>
      <c r="BT120" s="1450"/>
      <c r="BU120" s="1450"/>
      <c r="BV120" s="668"/>
      <c r="BW120" s="668"/>
      <c r="BX120" s="668"/>
      <c r="BY120" s="794"/>
    </row>
    <row r="121" spans="20:77" s="4" customFormat="1" ht="26" hidden="1" customHeight="1">
      <c r="T121" s="793"/>
      <c r="U121" s="668"/>
      <c r="V121" s="152"/>
      <c r="W121" s="152"/>
      <c r="X121" s="1614" t="s">
        <v>1890</v>
      </c>
      <c r="Y121" s="1614"/>
      <c r="Z121" s="1614"/>
      <c r="AA121" s="1614"/>
      <c r="AB121" s="1614"/>
      <c r="AC121" s="1614"/>
      <c r="AD121" s="1614"/>
      <c r="AE121" s="1614"/>
      <c r="AF121" s="1614"/>
      <c r="AG121" s="1614"/>
      <c r="AH121" s="1614"/>
      <c r="AI121" s="1614"/>
      <c r="AJ121" s="1614"/>
      <c r="AK121" s="1614"/>
      <c r="AL121" s="1614"/>
      <c r="AM121" s="1614"/>
      <c r="AN121" s="1614"/>
      <c r="AO121" s="1614"/>
      <c r="AP121" s="1614"/>
      <c r="AQ121" s="1614"/>
      <c r="AR121" s="1614"/>
      <c r="AS121" s="1614"/>
      <c r="AT121" s="1614"/>
      <c r="AU121" s="1614"/>
      <c r="AV121" s="1614"/>
      <c r="AW121" s="1614"/>
      <c r="AX121" s="1614"/>
      <c r="AY121" s="1614"/>
      <c r="AZ121" s="1614"/>
      <c r="BA121" s="1614"/>
      <c r="BB121" s="1614"/>
      <c r="BC121" s="1614"/>
      <c r="BD121" s="1614"/>
      <c r="BE121" s="1614"/>
      <c r="BF121" s="1614"/>
      <c r="BG121" s="1614"/>
      <c r="BH121" s="1614"/>
      <c r="BI121" s="1614"/>
      <c r="BJ121" s="1614"/>
      <c r="BK121" s="1614"/>
      <c r="BL121" s="1612">
        <f>IF(OR(Funding_Strategy="Financed",Funding_Strategy="Combo"),V64,0)</f>
        <v>0</v>
      </c>
      <c r="BM121" s="1612"/>
      <c r="BN121" s="1612"/>
      <c r="BO121" s="1612"/>
      <c r="BP121" s="1612"/>
      <c r="BQ121" s="1612"/>
      <c r="BR121" s="1612"/>
      <c r="BS121" s="1612"/>
      <c r="BT121" s="1612"/>
      <c r="BU121" s="1612"/>
      <c r="BV121" s="668"/>
      <c r="BW121" s="668"/>
      <c r="BX121" s="668"/>
      <c r="BY121" s="794"/>
    </row>
    <row r="122" spans="20:77" s="4" customFormat="1" ht="26" hidden="1" customHeight="1">
      <c r="T122" s="793"/>
      <c r="U122" s="668"/>
      <c r="V122" s="152"/>
      <c r="W122" s="152"/>
      <c r="X122" s="1614" t="s">
        <v>1884</v>
      </c>
      <c r="Y122" s="1614"/>
      <c r="Z122" s="1614"/>
      <c r="AA122" s="1614"/>
      <c r="AB122" s="1614"/>
      <c r="AC122" s="1614"/>
      <c r="AD122" s="1614"/>
      <c r="AE122" s="1614"/>
      <c r="AF122" s="1614"/>
      <c r="AG122" s="1614"/>
      <c r="AH122" s="1614"/>
      <c r="AI122" s="1614"/>
      <c r="AJ122" s="1614"/>
      <c r="AK122" s="1614"/>
      <c r="AL122" s="1614"/>
      <c r="AM122" s="1614"/>
      <c r="AN122" s="1614"/>
      <c r="AO122" s="1614"/>
      <c r="AP122" s="1614"/>
      <c r="AQ122" s="1614"/>
      <c r="AR122" s="1614"/>
      <c r="AS122" s="1614"/>
      <c r="AT122" s="1614"/>
      <c r="AU122" s="1614"/>
      <c r="AV122" s="1614"/>
      <c r="AW122" s="1614"/>
      <c r="AX122" s="1614"/>
      <c r="AY122" s="1614"/>
      <c r="AZ122" s="1614"/>
      <c r="BA122" s="1614"/>
      <c r="BB122" s="1614"/>
      <c r="BC122" s="1614"/>
      <c r="BD122" s="1614"/>
      <c r="BE122" s="1614"/>
      <c r="BF122" s="1614"/>
      <c r="BG122" s="1614"/>
      <c r="BH122" s="1614"/>
      <c r="BI122" s="1614"/>
      <c r="BJ122" s="1614"/>
      <c r="BK122" s="1614"/>
      <c r="BL122" s="1612">
        <f>IF(OR(Funding_Strategy="Financed",Funding_Strategy="Combo"),AG64,0)</f>
        <v>0</v>
      </c>
      <c r="BM122" s="1612"/>
      <c r="BN122" s="1612"/>
      <c r="BO122" s="1612"/>
      <c r="BP122" s="1612"/>
      <c r="BQ122" s="1612"/>
      <c r="BR122" s="1612"/>
      <c r="BS122" s="1612"/>
      <c r="BT122" s="1612"/>
      <c r="BU122" s="1612"/>
      <c r="BV122" s="668"/>
      <c r="BW122" s="668"/>
      <c r="BX122" s="668"/>
      <c r="BY122" s="794"/>
    </row>
    <row r="123" spans="20:77" s="4" customFormat="1" ht="26" hidden="1" customHeight="1" thickBot="1">
      <c r="T123" s="793"/>
      <c r="U123" s="668"/>
      <c r="V123" s="152"/>
      <c r="W123" s="152"/>
      <c r="X123" s="1615" t="s">
        <v>1885</v>
      </c>
      <c r="Y123" s="1615"/>
      <c r="Z123" s="1615"/>
      <c r="AA123" s="1615"/>
      <c r="AB123" s="1615"/>
      <c r="AC123" s="1615"/>
      <c r="AD123" s="1615"/>
      <c r="AE123" s="1615"/>
      <c r="AF123" s="1615"/>
      <c r="AG123" s="1615"/>
      <c r="AH123" s="1615"/>
      <c r="AI123" s="1615"/>
      <c r="AJ123" s="1615"/>
      <c r="AK123" s="1615"/>
      <c r="AL123" s="1615"/>
      <c r="AM123" s="1615"/>
      <c r="AN123" s="1615"/>
      <c r="AO123" s="1615"/>
      <c r="AP123" s="1615"/>
      <c r="AQ123" s="1615"/>
      <c r="AR123" s="1615"/>
      <c r="AS123" s="1615"/>
      <c r="AT123" s="1615"/>
      <c r="AU123" s="1615"/>
      <c r="AV123" s="1615"/>
      <c r="AW123" s="1615"/>
      <c r="AX123" s="1615"/>
      <c r="AY123" s="1615"/>
      <c r="AZ123" s="1615"/>
      <c r="BA123" s="1615"/>
      <c r="BB123" s="1615"/>
      <c r="BC123" s="1615"/>
      <c r="BD123" s="1615"/>
      <c r="BE123" s="1615"/>
      <c r="BF123" s="1615"/>
      <c r="BG123" s="1615"/>
      <c r="BH123" s="1615"/>
      <c r="BI123" s="1615"/>
      <c r="BJ123" s="1615"/>
      <c r="BK123" s="1615"/>
      <c r="BL123" s="1616">
        <f>IF(OR(Funding_Strategy="Financed",Funding_Strategy="Combo"),AR64,0)</f>
        <v>0</v>
      </c>
      <c r="BM123" s="1616"/>
      <c r="BN123" s="1616"/>
      <c r="BO123" s="1616"/>
      <c r="BP123" s="1616"/>
      <c r="BQ123" s="1616"/>
      <c r="BR123" s="1616"/>
      <c r="BS123" s="1616"/>
      <c r="BT123" s="1616"/>
      <c r="BU123" s="1616"/>
      <c r="BV123" s="668"/>
      <c r="BW123" s="668"/>
      <c r="BX123" s="668"/>
      <c r="BY123" s="794"/>
    </row>
    <row r="124" spans="20:77" s="4" customFormat="1" ht="26" hidden="1" customHeight="1" thickTop="1">
      <c r="T124" s="793"/>
      <c r="U124" s="668"/>
      <c r="V124" s="152"/>
      <c r="W124" s="152"/>
      <c r="X124" s="1607" t="s">
        <v>1891</v>
      </c>
      <c r="Y124" s="1607"/>
      <c r="Z124" s="1607"/>
      <c r="AA124" s="1607"/>
      <c r="AB124" s="1607"/>
      <c r="AC124" s="1607"/>
      <c r="AD124" s="1607"/>
      <c r="AE124" s="1607"/>
      <c r="AF124" s="1607"/>
      <c r="AG124" s="1607"/>
      <c r="AH124" s="1607"/>
      <c r="AI124" s="1607"/>
      <c r="AJ124" s="1607"/>
      <c r="AK124" s="1607"/>
      <c r="AL124" s="1607"/>
      <c r="AM124" s="1607"/>
      <c r="AN124" s="1607"/>
      <c r="AO124" s="1607"/>
      <c r="AP124" s="1607"/>
      <c r="AQ124" s="1607"/>
      <c r="AR124" s="1607"/>
      <c r="AS124" s="1607"/>
      <c r="AT124" s="1607"/>
      <c r="AU124" s="1607"/>
      <c r="AV124" s="1607"/>
      <c r="AW124" s="1607"/>
      <c r="AX124" s="1607"/>
      <c r="AY124" s="1607"/>
      <c r="AZ124" s="1607"/>
      <c r="BA124" s="1607"/>
      <c r="BB124" s="1607"/>
      <c r="BC124" s="1607"/>
      <c r="BD124" s="1607"/>
      <c r="BE124" s="1607"/>
      <c r="BF124" s="1607"/>
      <c r="BG124" s="1607"/>
      <c r="BH124" s="1607"/>
      <c r="BI124" s="1607"/>
      <c r="BJ124" s="1607"/>
      <c r="BK124" s="1607"/>
      <c r="BL124" s="1608">
        <f>SUM(BL121:BU123)</f>
        <v>0</v>
      </c>
      <c r="BM124" s="1608"/>
      <c r="BN124" s="1608"/>
      <c r="BO124" s="1608"/>
      <c r="BP124" s="1608"/>
      <c r="BQ124" s="1608"/>
      <c r="BR124" s="1608"/>
      <c r="BS124" s="1608"/>
      <c r="BT124" s="1608"/>
      <c r="BU124" s="1608"/>
      <c r="BV124" s="668"/>
      <c r="BW124" s="668"/>
      <c r="BX124" s="668"/>
      <c r="BY124" s="794"/>
    </row>
    <row r="125" spans="20:77" s="4" customFormat="1" ht="16.5" hidden="1" customHeight="1">
      <c r="T125" s="793"/>
      <c r="U125" s="668"/>
      <c r="V125" s="668"/>
      <c r="W125" s="668"/>
      <c r="X125" s="668"/>
      <c r="Y125" s="668"/>
      <c r="Z125" s="668"/>
      <c r="AA125" s="668"/>
      <c r="AB125" s="668"/>
      <c r="AC125" s="668"/>
      <c r="AD125" s="668"/>
      <c r="AE125" s="668"/>
      <c r="AF125" s="668"/>
      <c r="AG125" s="668"/>
      <c r="AH125" s="668"/>
      <c r="AI125" s="668"/>
      <c r="AJ125" s="668"/>
      <c r="AK125" s="668"/>
      <c r="AL125" s="668"/>
      <c r="AM125" s="668"/>
      <c r="AN125" s="668"/>
      <c r="AO125" s="668"/>
      <c r="AP125" s="668"/>
      <c r="AQ125" s="668"/>
      <c r="AR125" s="668"/>
      <c r="AS125" s="668"/>
      <c r="AT125" s="668"/>
      <c r="AU125" s="668"/>
      <c r="AV125" s="668"/>
      <c r="AW125" s="668"/>
      <c r="AX125" s="668"/>
      <c r="AY125" s="668"/>
      <c r="AZ125" s="668"/>
      <c r="BA125" s="668"/>
      <c r="BB125" s="668"/>
      <c r="BC125" s="668"/>
      <c r="BD125" s="668"/>
      <c r="BE125" s="668"/>
      <c r="BF125" s="668"/>
      <c r="BG125" s="668"/>
      <c r="BH125" s="668"/>
      <c r="BI125" s="668"/>
      <c r="BJ125" s="668"/>
      <c r="BK125" s="668"/>
      <c r="BL125" s="668"/>
      <c r="BM125" s="668"/>
      <c r="BN125" s="668"/>
      <c r="BO125" s="668"/>
      <c r="BP125" s="668"/>
      <c r="BQ125" s="668"/>
      <c r="BR125" s="668"/>
      <c r="BS125" s="668"/>
      <c r="BT125" s="668"/>
      <c r="BU125" s="668"/>
      <c r="BV125" s="668"/>
      <c r="BW125" s="668"/>
      <c r="BX125" s="668"/>
      <c r="BY125" s="794"/>
    </row>
    <row r="126" spans="20:77" s="4" customFormat="1" ht="26" hidden="1" customHeight="1">
      <c r="T126" s="793"/>
      <c r="U126" s="668"/>
      <c r="V126" s="152"/>
      <c r="W126" s="152"/>
      <c r="X126" s="1609" t="s">
        <v>1892</v>
      </c>
      <c r="Y126" s="1609"/>
      <c r="Z126" s="1609"/>
      <c r="AA126" s="1609"/>
      <c r="AB126" s="1609"/>
      <c r="AC126" s="1609"/>
      <c r="AD126" s="1609"/>
      <c r="AE126" s="1609"/>
      <c r="AF126" s="1609"/>
      <c r="AG126" s="1609"/>
      <c r="AH126" s="1609"/>
      <c r="AI126" s="1609"/>
      <c r="AJ126" s="1609"/>
      <c r="AK126" s="1609"/>
      <c r="AL126" s="1609"/>
      <c r="AM126" s="1609"/>
      <c r="AN126" s="1609"/>
      <c r="AO126" s="1609"/>
      <c r="AP126" s="1609"/>
      <c r="AQ126" s="1609"/>
      <c r="AR126" s="1609"/>
      <c r="AS126" s="1609"/>
      <c r="AT126" s="1609"/>
      <c r="AU126" s="1609"/>
      <c r="AV126" s="1609"/>
      <c r="AW126" s="1609"/>
      <c r="AX126" s="1609"/>
      <c r="AY126" s="1609"/>
      <c r="AZ126" s="1609"/>
      <c r="BA126" s="1609"/>
      <c r="BB126" s="1609"/>
      <c r="BC126" s="1609"/>
      <c r="BD126" s="1609"/>
      <c r="BE126" s="1609"/>
      <c r="BF126" s="1609"/>
      <c r="BG126" s="1609"/>
      <c r="BH126" s="1609"/>
      <c r="BI126" s="1609"/>
      <c r="BJ126" s="1609"/>
      <c r="BK126" s="1609"/>
      <c r="BL126" s="1610"/>
      <c r="BM126" s="1610"/>
      <c r="BN126" s="1610"/>
      <c r="BO126" s="1610"/>
      <c r="BP126" s="1610"/>
      <c r="BQ126" s="1610"/>
      <c r="BR126" s="1610"/>
      <c r="BS126" s="1610"/>
      <c r="BT126" s="1610"/>
      <c r="BU126" s="1610"/>
      <c r="BV126" s="668"/>
      <c r="BW126" s="668"/>
      <c r="BX126" s="668"/>
      <c r="BY126" s="794"/>
    </row>
    <row r="127" spans="20:77" s="4" customFormat="1" ht="26" hidden="1" customHeight="1">
      <c r="T127" s="793"/>
      <c r="U127" s="668"/>
      <c r="V127" s="152"/>
      <c r="W127" s="152"/>
      <c r="X127" s="1611" t="s">
        <v>1893</v>
      </c>
      <c r="Y127" s="1611"/>
      <c r="Z127" s="1611"/>
      <c r="AA127" s="1611"/>
      <c r="AB127" s="1611"/>
      <c r="AC127" s="1611"/>
      <c r="AD127" s="1611"/>
      <c r="AE127" s="1611"/>
      <c r="AF127" s="1611"/>
      <c r="AG127" s="1611"/>
      <c r="AH127" s="1611"/>
      <c r="AI127" s="1611"/>
      <c r="AJ127" s="1611"/>
      <c r="AK127" s="1611"/>
      <c r="AL127" s="1611"/>
      <c r="AM127" s="1611"/>
      <c r="AN127" s="1611"/>
      <c r="AO127" s="1611"/>
      <c r="AP127" s="1611"/>
      <c r="AQ127" s="1611"/>
      <c r="AR127" s="1611"/>
      <c r="AS127" s="1611"/>
      <c r="AT127" s="1611"/>
      <c r="AU127" s="1611"/>
      <c r="AV127" s="1611"/>
      <c r="AW127" s="1611"/>
      <c r="AX127" s="1611"/>
      <c r="AY127" s="1611"/>
      <c r="AZ127" s="1611"/>
      <c r="BA127" s="1611"/>
      <c r="BB127" s="1611"/>
      <c r="BC127" s="1611"/>
      <c r="BD127" s="1611"/>
      <c r="BE127" s="1611"/>
      <c r="BF127" s="1611"/>
      <c r="BG127" s="1611"/>
      <c r="BH127" s="1611"/>
      <c r="BI127" s="1611"/>
      <c r="BJ127" s="1611"/>
      <c r="BK127" s="1611"/>
      <c r="BL127" s="1612">
        <f>IF(OR(Funding_Strategy="Equity",Funding_Strategy="Combo"),BJ89,0)</f>
        <v>0</v>
      </c>
      <c r="BM127" s="1612"/>
      <c r="BN127" s="1612"/>
      <c r="BO127" s="1612"/>
      <c r="BP127" s="1612"/>
      <c r="BQ127" s="1612"/>
      <c r="BR127" s="1612"/>
      <c r="BS127" s="1612"/>
      <c r="BT127" s="1612"/>
      <c r="BU127" s="1612"/>
      <c r="BV127" s="668"/>
      <c r="BW127" s="668"/>
      <c r="BX127" s="668"/>
      <c r="BY127" s="794"/>
    </row>
    <row r="128" spans="20:77" s="4" customFormat="1" ht="16.5" hidden="1" customHeight="1">
      <c r="T128" s="793"/>
      <c r="U128" s="668"/>
      <c r="V128" s="668"/>
      <c r="W128" s="668"/>
      <c r="X128" s="668"/>
      <c r="Y128" s="668"/>
      <c r="Z128" s="668"/>
      <c r="AA128" s="668"/>
      <c r="AB128" s="668"/>
      <c r="AC128" s="668"/>
      <c r="AD128" s="668"/>
      <c r="AE128" s="668"/>
      <c r="AF128" s="668"/>
      <c r="AG128" s="668"/>
      <c r="AH128" s="668"/>
      <c r="AI128" s="668"/>
      <c r="AJ128" s="668"/>
      <c r="AK128" s="668"/>
      <c r="AL128" s="668"/>
      <c r="AM128" s="668"/>
      <c r="AN128" s="668"/>
      <c r="AO128" s="668"/>
      <c r="AP128" s="668"/>
      <c r="AQ128" s="668"/>
      <c r="AR128" s="668"/>
      <c r="AS128" s="668"/>
      <c r="AT128" s="668"/>
      <c r="AU128" s="668"/>
      <c r="AV128" s="668"/>
      <c r="AW128" s="668"/>
      <c r="AX128" s="668"/>
      <c r="AY128" s="668"/>
      <c r="AZ128" s="668"/>
      <c r="BA128" s="668"/>
      <c r="BB128" s="668"/>
      <c r="BC128" s="668"/>
      <c r="BD128" s="668"/>
      <c r="BE128" s="668"/>
      <c r="BF128" s="668"/>
      <c r="BG128" s="668"/>
      <c r="BH128" s="668"/>
      <c r="BI128" s="668"/>
      <c r="BJ128" s="668"/>
      <c r="BK128" s="668"/>
      <c r="BL128" s="668"/>
      <c r="BM128" s="668"/>
      <c r="BN128" s="668"/>
      <c r="BO128" s="668"/>
      <c r="BP128" s="668"/>
      <c r="BQ128" s="668"/>
      <c r="BR128" s="668"/>
      <c r="BS128" s="668"/>
      <c r="BT128" s="668"/>
      <c r="BU128" s="668"/>
      <c r="BV128" s="668"/>
      <c r="BW128" s="668"/>
      <c r="BX128" s="668"/>
      <c r="BY128" s="794"/>
    </row>
    <row r="129" spans="20:164" s="4" customFormat="1" ht="26" hidden="1" customHeight="1">
      <c r="T129" s="793"/>
      <c r="U129" s="668"/>
      <c r="V129" s="152"/>
      <c r="W129" s="152"/>
      <c r="X129" s="1609" t="s">
        <v>857</v>
      </c>
      <c r="Y129" s="1609"/>
      <c r="Z129" s="1609"/>
      <c r="AA129" s="1609"/>
      <c r="AB129" s="1609"/>
      <c r="AC129" s="1609"/>
      <c r="AD129" s="1609"/>
      <c r="AE129" s="1609"/>
      <c r="AF129" s="1609"/>
      <c r="AG129" s="1609"/>
      <c r="AH129" s="1609"/>
      <c r="AI129" s="1609"/>
      <c r="AJ129" s="1609"/>
      <c r="AK129" s="1609"/>
      <c r="AL129" s="1609"/>
      <c r="AM129" s="1609"/>
      <c r="AN129" s="1609"/>
      <c r="AO129" s="1609"/>
      <c r="AP129" s="1609"/>
      <c r="AQ129" s="1609"/>
      <c r="AR129" s="1609"/>
      <c r="AS129" s="1609"/>
      <c r="AT129" s="1609"/>
      <c r="AU129" s="1609"/>
      <c r="AV129" s="1609"/>
      <c r="AW129" s="1609"/>
      <c r="AX129" s="1609"/>
      <c r="AY129" s="1609"/>
      <c r="AZ129" s="1609"/>
      <c r="BA129" s="1609"/>
      <c r="BB129" s="1609"/>
      <c r="BC129" s="1609"/>
      <c r="BD129" s="1609"/>
      <c r="BE129" s="1609"/>
      <c r="BF129" s="1609"/>
      <c r="BG129" s="1609"/>
      <c r="BH129" s="1609"/>
      <c r="BI129" s="1609"/>
      <c r="BJ129" s="1609"/>
      <c r="BK129" s="1609"/>
      <c r="BL129" s="1610"/>
      <c r="BM129" s="1610"/>
      <c r="BN129" s="1610"/>
      <c r="BO129" s="1610"/>
      <c r="BP129" s="1610"/>
      <c r="BQ129" s="1610"/>
      <c r="BR129" s="1610"/>
      <c r="BS129" s="1610"/>
      <c r="BT129" s="1610"/>
      <c r="BU129" s="1610"/>
      <c r="BV129" s="668"/>
      <c r="BW129" s="668"/>
      <c r="BX129" s="668"/>
      <c r="BY129" s="794"/>
    </row>
    <row r="130" spans="20:164" s="4" customFormat="1" ht="26" hidden="1" customHeight="1">
      <c r="T130" s="793"/>
      <c r="U130" s="668"/>
      <c r="V130" s="152"/>
      <c r="W130" s="152"/>
      <c r="X130" s="1611" t="s">
        <v>1894</v>
      </c>
      <c r="Y130" s="1611"/>
      <c r="Z130" s="1611"/>
      <c r="AA130" s="1611"/>
      <c r="AB130" s="1611"/>
      <c r="AC130" s="1611"/>
      <c r="AD130" s="1611"/>
      <c r="AE130" s="1611"/>
      <c r="AF130" s="1611"/>
      <c r="AG130" s="1611"/>
      <c r="AH130" s="1611"/>
      <c r="AI130" s="1611"/>
      <c r="AJ130" s="1611"/>
      <c r="AK130" s="1611"/>
      <c r="AL130" s="1611"/>
      <c r="AM130" s="1611"/>
      <c r="AN130" s="1611"/>
      <c r="AO130" s="1611"/>
      <c r="AP130" s="1611"/>
      <c r="AQ130" s="1611"/>
      <c r="AR130" s="1611"/>
      <c r="AS130" s="1611"/>
      <c r="AT130" s="1611"/>
      <c r="AU130" s="1611"/>
      <c r="AV130" s="1611"/>
      <c r="AW130" s="1611"/>
      <c r="AX130" s="1611"/>
      <c r="AY130" s="1611"/>
      <c r="AZ130" s="1611"/>
      <c r="BA130" s="1611"/>
      <c r="BB130" s="1611"/>
      <c r="BC130" s="1611"/>
      <c r="BD130" s="1611"/>
      <c r="BE130" s="1611"/>
      <c r="BF130" s="1611"/>
      <c r="BG130" s="1611"/>
      <c r="BH130" s="1611"/>
      <c r="BI130" s="1611"/>
      <c r="BJ130" s="1611"/>
      <c r="BK130" s="1611"/>
      <c r="BL130" s="1612">
        <f>BL119</f>
        <v>0</v>
      </c>
      <c r="BM130" s="1612"/>
      <c r="BN130" s="1612"/>
      <c r="BO130" s="1612"/>
      <c r="BP130" s="1612"/>
      <c r="BQ130" s="1612"/>
      <c r="BR130" s="1612"/>
      <c r="BS130" s="1612"/>
      <c r="BT130" s="1612"/>
      <c r="BU130" s="1612"/>
      <c r="BV130" s="668"/>
      <c r="BW130" s="668"/>
      <c r="BX130" s="668"/>
      <c r="BY130" s="794"/>
    </row>
    <row r="131" spans="20:164" s="4" customFormat="1" ht="26" hidden="1" customHeight="1">
      <c r="T131" s="793"/>
      <c r="U131" s="668"/>
      <c r="V131" s="152"/>
      <c r="W131" s="152"/>
      <c r="X131" s="1611" t="s">
        <v>1895</v>
      </c>
      <c r="Y131" s="1611"/>
      <c r="Z131" s="1611"/>
      <c r="AA131" s="1611"/>
      <c r="AB131" s="1611"/>
      <c r="AC131" s="1611"/>
      <c r="AD131" s="1611"/>
      <c r="AE131" s="1611"/>
      <c r="AF131" s="1611"/>
      <c r="AG131" s="1611"/>
      <c r="AH131" s="1611"/>
      <c r="AI131" s="1611"/>
      <c r="AJ131" s="1611"/>
      <c r="AK131" s="1611"/>
      <c r="AL131" s="1611"/>
      <c r="AM131" s="1611"/>
      <c r="AN131" s="1611"/>
      <c r="AO131" s="1611"/>
      <c r="AP131" s="1611"/>
      <c r="AQ131" s="1611"/>
      <c r="AR131" s="1611"/>
      <c r="AS131" s="1611"/>
      <c r="AT131" s="1611"/>
      <c r="AU131" s="1611"/>
      <c r="AV131" s="1611"/>
      <c r="AW131" s="1611"/>
      <c r="AX131" s="1611"/>
      <c r="AY131" s="1611"/>
      <c r="AZ131" s="1611"/>
      <c r="BA131" s="1611"/>
      <c r="BB131" s="1611"/>
      <c r="BC131" s="1611"/>
      <c r="BD131" s="1611"/>
      <c r="BE131" s="1611"/>
      <c r="BF131" s="1611"/>
      <c r="BG131" s="1611"/>
      <c r="BH131" s="1611"/>
      <c r="BI131" s="1611"/>
      <c r="BJ131" s="1611"/>
      <c r="BK131" s="1611"/>
      <c r="BL131" s="1612">
        <f>BL124</f>
        <v>0</v>
      </c>
      <c r="BM131" s="1612"/>
      <c r="BN131" s="1612"/>
      <c r="BO131" s="1612"/>
      <c r="BP131" s="1612"/>
      <c r="BQ131" s="1612"/>
      <c r="BR131" s="1612"/>
      <c r="BS131" s="1612"/>
      <c r="BT131" s="1612"/>
      <c r="BU131" s="1612"/>
      <c r="BV131" s="668"/>
      <c r="BW131" s="668"/>
      <c r="BX131" s="668"/>
      <c r="BY131" s="794"/>
    </row>
    <row r="132" spans="20:164" s="4" customFormat="1" ht="26" hidden="1" customHeight="1" thickBot="1">
      <c r="T132" s="793"/>
      <c r="U132" s="668"/>
      <c r="V132" s="152"/>
      <c r="W132" s="152"/>
      <c r="X132" s="1620" t="s">
        <v>1897</v>
      </c>
      <c r="Y132" s="1620"/>
      <c r="Z132" s="1620"/>
      <c r="AA132" s="1620"/>
      <c r="AB132" s="1620"/>
      <c r="AC132" s="1620"/>
      <c r="AD132" s="1620"/>
      <c r="AE132" s="1620"/>
      <c r="AF132" s="1620"/>
      <c r="AG132" s="1620"/>
      <c r="AH132" s="1620"/>
      <c r="AI132" s="1620"/>
      <c r="AJ132" s="1620"/>
      <c r="AK132" s="1620"/>
      <c r="AL132" s="1620"/>
      <c r="AM132" s="1620"/>
      <c r="AN132" s="1620"/>
      <c r="AO132" s="1620"/>
      <c r="AP132" s="1620"/>
      <c r="AQ132" s="1620"/>
      <c r="AR132" s="1620"/>
      <c r="AS132" s="1620"/>
      <c r="AT132" s="1620"/>
      <c r="AU132" s="1620"/>
      <c r="AV132" s="1620"/>
      <c r="AW132" s="1620"/>
      <c r="AX132" s="1620"/>
      <c r="AY132" s="1620"/>
      <c r="AZ132" s="1620"/>
      <c r="BA132" s="1620"/>
      <c r="BB132" s="1620"/>
      <c r="BC132" s="1620"/>
      <c r="BD132" s="1620"/>
      <c r="BE132" s="1620"/>
      <c r="BF132" s="1620"/>
      <c r="BG132" s="1620"/>
      <c r="BH132" s="1620"/>
      <c r="BI132" s="1620"/>
      <c r="BJ132" s="1620"/>
      <c r="BK132" s="1620"/>
      <c r="BL132" s="1616">
        <f>BL127</f>
        <v>0</v>
      </c>
      <c r="BM132" s="1616"/>
      <c r="BN132" s="1616"/>
      <c r="BO132" s="1616"/>
      <c r="BP132" s="1616"/>
      <c r="BQ132" s="1616"/>
      <c r="BR132" s="1616"/>
      <c r="BS132" s="1616"/>
      <c r="BT132" s="1616"/>
      <c r="BU132" s="1616"/>
      <c r="BV132" s="668"/>
      <c r="BW132" s="668"/>
      <c r="BX132" s="668"/>
      <c r="BY132" s="794"/>
    </row>
    <row r="133" spans="20:164" s="4" customFormat="1" ht="26" hidden="1" customHeight="1" thickTop="1">
      <c r="T133" s="793"/>
      <c r="U133" s="668"/>
      <c r="V133" s="152"/>
      <c r="W133" s="152"/>
      <c r="X133" s="1607" t="s">
        <v>857</v>
      </c>
      <c r="Y133" s="1607"/>
      <c r="Z133" s="1607"/>
      <c r="AA133" s="1607"/>
      <c r="AB133" s="1607"/>
      <c r="AC133" s="1607"/>
      <c r="AD133" s="1607"/>
      <c r="AE133" s="1607"/>
      <c r="AF133" s="1607"/>
      <c r="AG133" s="1607"/>
      <c r="AH133" s="1607"/>
      <c r="AI133" s="1607"/>
      <c r="AJ133" s="1607"/>
      <c r="AK133" s="1607"/>
      <c r="AL133" s="1607"/>
      <c r="AM133" s="1607"/>
      <c r="AN133" s="1607"/>
      <c r="AO133" s="1607"/>
      <c r="AP133" s="1607"/>
      <c r="AQ133" s="1607"/>
      <c r="AR133" s="1607"/>
      <c r="AS133" s="1607"/>
      <c r="AT133" s="1607"/>
      <c r="AU133" s="1607"/>
      <c r="AV133" s="1607"/>
      <c r="AW133" s="1607"/>
      <c r="AX133" s="1607"/>
      <c r="AY133" s="1607"/>
      <c r="AZ133" s="1607"/>
      <c r="BA133" s="1607"/>
      <c r="BB133" s="1607"/>
      <c r="BC133" s="1607"/>
      <c r="BD133" s="1607"/>
      <c r="BE133" s="1607"/>
      <c r="BF133" s="1607"/>
      <c r="BG133" s="1607"/>
      <c r="BH133" s="1607"/>
      <c r="BI133" s="1607"/>
      <c r="BJ133" s="1607"/>
      <c r="BK133" s="1607"/>
      <c r="BL133" s="1608">
        <f>SUM(BL130:BU132)</f>
        <v>0</v>
      </c>
      <c r="BM133" s="1608"/>
      <c r="BN133" s="1608"/>
      <c r="BO133" s="1608"/>
      <c r="BP133" s="1608"/>
      <c r="BQ133" s="1608"/>
      <c r="BR133" s="1608"/>
      <c r="BS133" s="1608"/>
      <c r="BT133" s="1608"/>
      <c r="BU133" s="1608"/>
      <c r="BV133" s="668"/>
      <c r="BW133" s="668"/>
      <c r="BX133" s="668"/>
      <c r="BY133" s="794"/>
    </row>
    <row r="134" spans="20:164" s="4" customFormat="1" ht="22.5" hidden="1" customHeight="1">
      <c r="T134" s="795"/>
      <c r="U134" s="796"/>
      <c r="V134" s="796"/>
      <c r="W134" s="796"/>
      <c r="X134" s="796"/>
      <c r="Y134" s="796"/>
      <c r="Z134" s="796"/>
      <c r="AA134" s="796"/>
      <c r="AB134" s="796"/>
      <c r="AC134" s="796"/>
      <c r="AD134" s="796"/>
      <c r="AE134" s="796"/>
      <c r="AF134" s="796"/>
      <c r="AG134" s="796"/>
      <c r="AH134" s="796"/>
      <c r="AI134" s="796"/>
      <c r="AJ134" s="796"/>
      <c r="AK134" s="796"/>
      <c r="AL134" s="796"/>
      <c r="AM134" s="796"/>
      <c r="AN134" s="796"/>
      <c r="AO134" s="796"/>
      <c r="AP134" s="796"/>
      <c r="AQ134" s="796"/>
      <c r="AR134" s="796"/>
      <c r="AS134" s="796"/>
      <c r="AT134" s="796"/>
      <c r="AU134" s="796"/>
      <c r="AV134" s="796"/>
      <c r="AW134" s="796"/>
      <c r="AX134" s="796"/>
      <c r="AY134" s="796"/>
      <c r="AZ134" s="796"/>
      <c r="BA134" s="796"/>
      <c r="BB134" s="796"/>
      <c r="BC134" s="796"/>
      <c r="BD134" s="796"/>
      <c r="BE134" s="796"/>
      <c r="BF134" s="796"/>
      <c r="BG134" s="796"/>
      <c r="BH134" s="796"/>
      <c r="BI134" s="796"/>
      <c r="BJ134" s="796"/>
      <c r="BK134" s="796"/>
      <c r="BL134" s="796"/>
      <c r="BM134" s="796"/>
      <c r="BN134" s="796"/>
      <c r="BO134" s="796"/>
      <c r="BP134" s="796"/>
      <c r="BQ134" s="796"/>
      <c r="BR134" s="796"/>
      <c r="BS134" s="796"/>
      <c r="BT134" s="796"/>
      <c r="BU134" s="796"/>
      <c r="BV134" s="796"/>
      <c r="BW134" s="796"/>
      <c r="BX134" s="796"/>
      <c r="BY134" s="797"/>
    </row>
    <row r="135" spans="20:164" ht="15" customHeight="1">
      <c r="T135" s="1668" t="s">
        <v>1607</v>
      </c>
      <c r="U135" s="1668"/>
      <c r="V135" s="1668"/>
      <c r="W135" s="1668"/>
      <c r="X135" s="1668"/>
      <c r="Y135" s="1668"/>
      <c r="Z135" s="1668"/>
      <c r="AA135" s="1668"/>
      <c r="AB135" s="1668"/>
      <c r="AC135" s="1668"/>
      <c r="AD135" s="1668"/>
      <c r="AE135" s="1668"/>
      <c r="AF135" s="1668"/>
      <c r="AG135" s="1668"/>
      <c r="AH135" s="1668"/>
      <c r="AI135" s="1668"/>
      <c r="AJ135" s="1668"/>
      <c r="AK135" s="1668"/>
      <c r="AL135" s="1668"/>
      <c r="AM135" s="1668"/>
      <c r="AN135" s="1668"/>
      <c r="AO135" s="1668"/>
      <c r="AP135" s="1668"/>
      <c r="AQ135" s="1668"/>
      <c r="AR135" s="1668"/>
      <c r="AS135" s="1668"/>
      <c r="AT135" s="1668"/>
      <c r="AU135" s="1668"/>
      <c r="AV135" s="1668"/>
      <c r="AW135" s="1668"/>
      <c r="AX135" s="1668"/>
      <c r="AY135" s="1668"/>
      <c r="AZ135" s="1668"/>
      <c r="BA135" s="1668"/>
      <c r="BB135" s="1668"/>
      <c r="BC135" s="1668"/>
      <c r="BD135" s="1668"/>
      <c r="BE135" s="1668"/>
      <c r="BF135" s="1668"/>
      <c r="BG135" s="1668"/>
      <c r="BH135" s="1668"/>
      <c r="BI135" s="1668"/>
      <c r="BJ135" s="1668"/>
      <c r="BK135" s="1668"/>
      <c r="BL135" s="1668"/>
      <c r="BM135" s="1668"/>
      <c r="BN135" s="1668"/>
      <c r="BO135" s="1668"/>
      <c r="BP135" s="1668"/>
      <c r="BQ135" s="1668"/>
      <c r="BR135" s="1668"/>
      <c r="BS135" s="1668"/>
      <c r="BT135" s="1668"/>
      <c r="BU135" s="1668"/>
      <c r="BV135" s="1668"/>
      <c r="BW135" s="1668"/>
      <c r="BX135" s="1668"/>
      <c r="BY135" s="1668"/>
      <c r="FH135" s="4"/>
    </row>
    <row r="136" spans="20:164" ht="15" customHeight="1">
      <c r="T136" s="1668"/>
      <c r="U136" s="1668"/>
      <c r="V136" s="1668"/>
      <c r="W136" s="1668"/>
      <c r="X136" s="1668"/>
      <c r="Y136" s="1668"/>
      <c r="Z136" s="1668"/>
      <c r="AA136" s="1668"/>
      <c r="AB136" s="1668"/>
      <c r="AC136" s="1668"/>
      <c r="AD136" s="1668"/>
      <c r="AE136" s="1668"/>
      <c r="AF136" s="1668"/>
      <c r="AG136" s="1668"/>
      <c r="AH136" s="1668"/>
      <c r="AI136" s="1668"/>
      <c r="AJ136" s="1668"/>
      <c r="AK136" s="1668"/>
      <c r="AL136" s="1668"/>
      <c r="AM136" s="1668"/>
      <c r="AN136" s="1668"/>
      <c r="AO136" s="1668"/>
      <c r="AP136" s="1668"/>
      <c r="AQ136" s="1668"/>
      <c r="AR136" s="1668"/>
      <c r="AS136" s="1668"/>
      <c r="AT136" s="1668"/>
      <c r="AU136" s="1668"/>
      <c r="AV136" s="1668"/>
      <c r="AW136" s="1668"/>
      <c r="AX136" s="1668"/>
      <c r="AY136" s="1668"/>
      <c r="AZ136" s="1668"/>
      <c r="BA136" s="1668"/>
      <c r="BB136" s="1668"/>
      <c r="BC136" s="1668"/>
      <c r="BD136" s="1668"/>
      <c r="BE136" s="1668"/>
      <c r="BF136" s="1668"/>
      <c r="BG136" s="1668"/>
      <c r="BH136" s="1668"/>
      <c r="BI136" s="1668"/>
      <c r="BJ136" s="1668"/>
      <c r="BK136" s="1668"/>
      <c r="BL136" s="1668"/>
      <c r="BM136" s="1668"/>
      <c r="BN136" s="1668"/>
      <c r="BO136" s="1668"/>
      <c r="BP136" s="1668"/>
      <c r="BQ136" s="1668"/>
      <c r="BR136" s="1668"/>
      <c r="BS136" s="1668"/>
      <c r="BT136" s="1668"/>
      <c r="BU136" s="1668"/>
      <c r="BV136" s="1668"/>
      <c r="BW136" s="1668"/>
      <c r="BX136" s="1668"/>
      <c r="BY136" s="1668"/>
      <c r="CG136" s="1589" t="s">
        <v>1617</v>
      </c>
      <c r="CH136" s="1589"/>
      <c r="CI136" s="1589"/>
      <c r="CJ136" s="1589"/>
      <c r="CK136" s="1589"/>
      <c r="CL136" s="1589"/>
      <c r="CM136" s="1589"/>
      <c r="CN136" s="1589"/>
      <c r="CO136" s="1589"/>
      <c r="CP136" s="1589"/>
      <c r="CQ136" s="1589"/>
      <c r="CR136" s="1589"/>
      <c r="CS136" s="1589"/>
      <c r="FH136" s="4"/>
    </row>
    <row r="137" spans="20:164" ht="15" customHeight="1">
      <c r="CG137" s="1589"/>
      <c r="CH137" s="1589"/>
      <c r="CI137" s="1589"/>
      <c r="CJ137" s="1589"/>
      <c r="CK137" s="1589"/>
      <c r="CL137" s="1589"/>
      <c r="CM137" s="1589"/>
      <c r="CN137" s="1589"/>
      <c r="CO137" s="1589"/>
      <c r="CP137" s="1589"/>
      <c r="CQ137" s="1589"/>
      <c r="CR137" s="1589"/>
      <c r="CS137" s="1589"/>
      <c r="FH137" s="4"/>
    </row>
    <row r="138" spans="20:164" ht="15" customHeight="1">
      <c r="CG138" s="1589"/>
      <c r="CH138" s="1589"/>
      <c r="CI138" s="1589"/>
      <c r="CJ138" s="1589"/>
      <c r="CK138" s="1589"/>
      <c r="CL138" s="1589"/>
      <c r="CM138" s="1589"/>
      <c r="CN138" s="1589"/>
      <c r="CO138" s="1589"/>
      <c r="CP138" s="1589"/>
      <c r="CQ138" s="1589"/>
      <c r="CR138" s="1589"/>
      <c r="CS138" s="1589"/>
      <c r="FH138" s="4"/>
    </row>
    <row r="139" spans="20:164" ht="15" customHeight="1">
      <c r="FH139" s="4"/>
    </row>
    <row r="140" spans="20:164" ht="15" customHeight="1">
      <c r="FH140" s="4"/>
    </row>
    <row r="141" spans="20:164" ht="15" customHeight="1">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FH141" s="4"/>
    </row>
    <row r="142" spans="20:164" ht="15" customHeight="1">
      <c r="DC142" s="5"/>
      <c r="DD142" s="5"/>
      <c r="FH142" s="4"/>
    </row>
    <row r="143" spans="20:164" ht="15" customHeight="1">
      <c r="DC143" s="5"/>
      <c r="DD143" s="5"/>
      <c r="FH143" s="4"/>
    </row>
    <row r="144" spans="20:164" ht="15" hidden="1" customHeight="1">
      <c r="W144" s="1660" t="s">
        <v>867</v>
      </c>
      <c r="X144" s="1661"/>
      <c r="Y144" s="1661"/>
      <c r="Z144" s="1661"/>
      <c r="AA144" s="1661"/>
      <c r="AB144" s="1661"/>
      <c r="AC144" s="1661"/>
      <c r="AD144" s="1661"/>
      <c r="AE144" s="1661"/>
      <c r="AF144" s="1662"/>
      <c r="AG144" s="152"/>
      <c r="AH144" s="1660" t="s">
        <v>1573</v>
      </c>
      <c r="AI144" s="1661"/>
      <c r="AJ144" s="1661"/>
      <c r="AK144" s="1661"/>
      <c r="AL144" s="1661"/>
      <c r="AM144" s="1661"/>
      <c r="AN144" s="1661"/>
      <c r="AO144" s="1661"/>
      <c r="AP144" s="1661"/>
      <c r="AQ144" s="1662"/>
      <c r="AR144" s="152"/>
      <c r="AS144" s="1660" t="s">
        <v>1621</v>
      </c>
      <c r="AT144" s="1661"/>
      <c r="AU144" s="1661"/>
      <c r="AV144" s="1661"/>
      <c r="AW144" s="1661"/>
      <c r="AX144" s="1661"/>
      <c r="AY144" s="1661"/>
      <c r="AZ144" s="1661"/>
      <c r="BA144" s="1661"/>
      <c r="BB144" s="1662"/>
      <c r="BC144" s="668"/>
      <c r="BD144" s="1660" t="s">
        <v>857</v>
      </c>
      <c r="BE144" s="1661"/>
      <c r="BF144" s="1661"/>
      <c r="BG144" s="1661"/>
      <c r="BH144" s="1661"/>
      <c r="BI144" s="1661"/>
      <c r="BJ144" s="1661"/>
      <c r="BK144" s="1661"/>
      <c r="BL144" s="1661"/>
      <c r="BM144" s="1662"/>
      <c r="BN144" s="668"/>
      <c r="BO144" s="1660" t="s">
        <v>1574</v>
      </c>
      <c r="BP144" s="1661"/>
      <c r="BQ144" s="1661"/>
      <c r="BR144" s="1661"/>
      <c r="BS144" s="1661"/>
      <c r="BT144" s="1661"/>
      <c r="BU144" s="1661"/>
      <c r="BV144" s="1661"/>
      <c r="BW144" s="1661"/>
      <c r="BX144" s="1662"/>
      <c r="DC144" s="5"/>
      <c r="DD144" s="5"/>
      <c r="FH144" s="4"/>
    </row>
    <row r="145" spans="23:108" ht="15" hidden="1" customHeight="1">
      <c r="W145" s="1648">
        <f>V37+V64</f>
        <v>0</v>
      </c>
      <c r="X145" s="1649"/>
      <c r="Y145" s="1649"/>
      <c r="Z145" s="1649"/>
      <c r="AA145" s="1649"/>
      <c r="AB145" s="1649"/>
      <c r="AC145" s="1649"/>
      <c r="AD145" s="1649"/>
      <c r="AE145" s="1649"/>
      <c r="AF145" s="1650"/>
      <c r="AG145" s="152"/>
      <c r="AH145" s="1648">
        <f>AG37+AG64</f>
        <v>0</v>
      </c>
      <c r="AI145" s="1649"/>
      <c r="AJ145" s="1649"/>
      <c r="AK145" s="1649"/>
      <c r="AL145" s="1649"/>
      <c r="AM145" s="1649"/>
      <c r="AN145" s="1649"/>
      <c r="AO145" s="1649"/>
      <c r="AP145" s="1649"/>
      <c r="AQ145" s="1650"/>
      <c r="AR145" s="152"/>
      <c r="AS145" s="1648">
        <f>AR37+AR64</f>
        <v>0</v>
      </c>
      <c r="AT145" s="1649"/>
      <c r="AU145" s="1649"/>
      <c r="AV145" s="1649"/>
      <c r="AW145" s="1649"/>
      <c r="AX145" s="1649"/>
      <c r="AY145" s="1649"/>
      <c r="AZ145" s="1649"/>
      <c r="BA145" s="1649"/>
      <c r="BB145" s="1650"/>
      <c r="BC145" s="668"/>
      <c r="BD145" s="1648">
        <f>BC37+BC64</f>
        <v>0</v>
      </c>
      <c r="BE145" s="1649"/>
      <c r="BF145" s="1649"/>
      <c r="BG145" s="1649"/>
      <c r="BH145" s="1649"/>
      <c r="BI145" s="1649"/>
      <c r="BJ145" s="1649"/>
      <c r="BK145" s="1649"/>
      <c r="BL145" s="1649"/>
      <c r="BM145" s="1650"/>
      <c r="BN145" s="668"/>
      <c r="BO145" s="1654">
        <f>IFERROR(BD145/AH149,0)</f>
        <v>0</v>
      </c>
      <c r="BP145" s="1655"/>
      <c r="BQ145" s="1655"/>
      <c r="BR145" s="1655"/>
      <c r="BS145" s="1655"/>
      <c r="BT145" s="1655"/>
      <c r="BU145" s="1655"/>
      <c r="BV145" s="1655"/>
      <c r="BW145" s="1655"/>
      <c r="BX145" s="1656"/>
      <c r="DC145" s="5"/>
      <c r="DD145" s="5"/>
    </row>
    <row r="146" spans="23:108" ht="15" hidden="1" customHeight="1">
      <c r="W146" s="1651"/>
      <c r="X146" s="1652"/>
      <c r="Y146" s="1652"/>
      <c r="Z146" s="1652"/>
      <c r="AA146" s="1652"/>
      <c r="AB146" s="1652"/>
      <c r="AC146" s="1652"/>
      <c r="AD146" s="1652"/>
      <c r="AE146" s="1652"/>
      <c r="AF146" s="1653"/>
      <c r="AG146" s="152"/>
      <c r="AH146" s="1651"/>
      <c r="AI146" s="1652"/>
      <c r="AJ146" s="1652"/>
      <c r="AK146" s="1652"/>
      <c r="AL146" s="1652"/>
      <c r="AM146" s="1652"/>
      <c r="AN146" s="1652"/>
      <c r="AO146" s="1652"/>
      <c r="AP146" s="1652"/>
      <c r="AQ146" s="1653"/>
      <c r="AR146" s="152"/>
      <c r="AS146" s="1651"/>
      <c r="AT146" s="1652"/>
      <c r="AU146" s="1652"/>
      <c r="AV146" s="1652"/>
      <c r="AW146" s="1652"/>
      <c r="AX146" s="1652"/>
      <c r="AY146" s="1652"/>
      <c r="AZ146" s="1652"/>
      <c r="BA146" s="1652"/>
      <c r="BB146" s="1653"/>
      <c r="BC146" s="668"/>
      <c r="BD146" s="1651"/>
      <c r="BE146" s="1652"/>
      <c r="BF146" s="1652"/>
      <c r="BG146" s="1652"/>
      <c r="BH146" s="1652"/>
      <c r="BI146" s="1652"/>
      <c r="BJ146" s="1652"/>
      <c r="BK146" s="1652"/>
      <c r="BL146" s="1652"/>
      <c r="BM146" s="1653"/>
      <c r="BN146" s="668"/>
      <c r="BO146" s="1657"/>
      <c r="BP146" s="1658"/>
      <c r="BQ146" s="1658"/>
      <c r="BR146" s="1658"/>
      <c r="BS146" s="1658"/>
      <c r="BT146" s="1658"/>
      <c r="BU146" s="1658"/>
      <c r="BV146" s="1658"/>
      <c r="BW146" s="1658"/>
      <c r="BX146" s="1659"/>
      <c r="DC146" s="5"/>
      <c r="DD146" s="5"/>
    </row>
    <row r="147" spans="23:108" ht="15" hidden="1" customHeight="1">
      <c r="W147" s="668"/>
      <c r="X147" s="668"/>
      <c r="Y147" s="668"/>
      <c r="Z147" s="668"/>
      <c r="AA147" s="668"/>
      <c r="AB147" s="668"/>
      <c r="AC147" s="668"/>
      <c r="AD147" s="668"/>
      <c r="AE147" s="668"/>
      <c r="AF147" s="668"/>
      <c r="AG147" s="668"/>
      <c r="AH147" s="668"/>
      <c r="AI147" s="668"/>
      <c r="AJ147" s="668"/>
      <c r="AK147" s="668"/>
      <c r="AL147" s="668"/>
      <c r="AM147" s="668"/>
      <c r="AN147" s="668"/>
      <c r="AO147" s="668"/>
      <c r="AP147" s="668"/>
      <c r="AQ147" s="668"/>
      <c r="AR147" s="668"/>
      <c r="AS147" s="668"/>
      <c r="AT147" s="668"/>
      <c r="AU147" s="668"/>
      <c r="AV147" s="668"/>
      <c r="AW147" s="668"/>
      <c r="AX147" s="668"/>
      <c r="AY147" s="668"/>
      <c r="AZ147" s="668"/>
      <c r="BA147" s="668"/>
      <c r="BB147" s="668"/>
      <c r="BC147" s="668"/>
      <c r="BD147" s="668"/>
      <c r="BE147" s="668"/>
      <c r="BF147" s="668"/>
      <c r="BG147" s="668"/>
      <c r="BH147" s="668"/>
      <c r="BI147" s="668"/>
      <c r="BJ147" s="668"/>
      <c r="BK147" s="668"/>
      <c r="BL147" s="668"/>
      <c r="BM147" s="668"/>
      <c r="BN147" s="668"/>
      <c r="BO147" s="668"/>
      <c r="BP147" s="668"/>
      <c r="BQ147" s="668"/>
      <c r="BR147" s="668"/>
      <c r="BS147" s="668"/>
      <c r="BT147" s="668"/>
      <c r="BU147" s="668"/>
      <c r="BV147" s="668"/>
      <c r="BW147" s="668"/>
      <c r="BX147" s="668"/>
      <c r="DC147" s="5"/>
      <c r="DD147" s="5"/>
    </row>
    <row r="148" spans="23:108" ht="18" hidden="1">
      <c r="W148" s="1660" t="s">
        <v>1571</v>
      </c>
      <c r="X148" s="1661"/>
      <c r="Y148" s="1661"/>
      <c r="Z148" s="1661"/>
      <c r="AA148" s="1661"/>
      <c r="AB148" s="1661"/>
      <c r="AC148" s="1661"/>
      <c r="AD148" s="1661"/>
      <c r="AE148" s="1661"/>
      <c r="AF148" s="1662"/>
      <c r="AG148" s="152"/>
      <c r="AH148" s="1660" t="s">
        <v>1859</v>
      </c>
      <c r="AI148" s="1661"/>
      <c r="AJ148" s="1661"/>
      <c r="AK148" s="1661"/>
      <c r="AL148" s="1661"/>
      <c r="AM148" s="1661"/>
      <c r="AN148" s="1661"/>
      <c r="AO148" s="1661"/>
      <c r="AP148" s="1661"/>
      <c r="AQ148" s="1662"/>
      <c r="AR148" s="152"/>
      <c r="AS148" s="1660" t="s">
        <v>1860</v>
      </c>
      <c r="AT148" s="1661"/>
      <c r="AU148" s="1661"/>
      <c r="AV148" s="1661"/>
      <c r="AW148" s="1661"/>
      <c r="AX148" s="1661"/>
      <c r="AY148" s="1661"/>
      <c r="AZ148" s="1661"/>
      <c r="BA148" s="1661"/>
      <c r="BB148" s="1662"/>
      <c r="BC148" s="668"/>
      <c r="BD148" s="1660" t="s">
        <v>1852</v>
      </c>
      <c r="BE148" s="1661"/>
      <c r="BF148" s="1661"/>
      <c r="BG148" s="1661"/>
      <c r="BH148" s="1661"/>
      <c r="BI148" s="1661"/>
      <c r="BJ148" s="1661"/>
      <c r="BK148" s="1661"/>
      <c r="BL148" s="1661"/>
      <c r="BM148" s="1662"/>
      <c r="BN148" s="668"/>
      <c r="BO148" s="1660" t="s">
        <v>1570</v>
      </c>
      <c r="BP148" s="1661"/>
      <c r="BQ148" s="1661"/>
      <c r="BR148" s="1661"/>
      <c r="BS148" s="1661"/>
      <c r="BT148" s="1661"/>
      <c r="BU148" s="1661"/>
      <c r="BV148" s="1661"/>
      <c r="BW148" s="1661"/>
      <c r="BX148" s="1662"/>
      <c r="CX148" s="7"/>
      <c r="CY148" s="7"/>
      <c r="DC148" s="5"/>
      <c r="DD148" s="5"/>
    </row>
    <row r="149" spans="23:108" ht="18" hidden="1">
      <c r="W149" s="1648">
        <f>'1 REHAB ANALYZER'!CW74</f>
        <v>0</v>
      </c>
      <c r="X149" s="1649"/>
      <c r="Y149" s="1649"/>
      <c r="Z149" s="1649"/>
      <c r="AA149" s="1649"/>
      <c r="AB149" s="1649"/>
      <c r="AC149" s="1649"/>
      <c r="AD149" s="1649"/>
      <c r="AE149" s="1649"/>
      <c r="AF149" s="1650"/>
      <c r="AG149" s="152"/>
      <c r="AH149" s="1648">
        <f>'ANALYSIS DATABASE'!C250</f>
        <v>0</v>
      </c>
      <c r="AI149" s="1649"/>
      <c r="AJ149" s="1649"/>
      <c r="AK149" s="1649"/>
      <c r="AL149" s="1649"/>
      <c r="AM149" s="1649"/>
      <c r="AN149" s="1649"/>
      <c r="AO149" s="1649"/>
      <c r="AP149" s="1649"/>
      <c r="AQ149" s="1650"/>
      <c r="AR149" s="152"/>
      <c r="AS149" s="1648">
        <f>AP89</f>
        <v>0</v>
      </c>
      <c r="AT149" s="1649"/>
      <c r="AU149" s="1649"/>
      <c r="AV149" s="1649"/>
      <c r="AW149" s="1649"/>
      <c r="AX149" s="1649"/>
      <c r="AY149" s="1649"/>
      <c r="AZ149" s="1649"/>
      <c r="BA149" s="1649"/>
      <c r="BB149" s="1650"/>
      <c r="BC149" s="668"/>
      <c r="BD149" s="1648">
        <f>AH149+AS149</f>
        <v>0</v>
      </c>
      <c r="BE149" s="1649"/>
      <c r="BF149" s="1649"/>
      <c r="BG149" s="1649"/>
      <c r="BH149" s="1649"/>
      <c r="BI149" s="1649"/>
      <c r="BJ149" s="1649"/>
      <c r="BK149" s="1649"/>
      <c r="BL149" s="1649"/>
      <c r="BM149" s="1650"/>
      <c r="BN149" s="668"/>
      <c r="BO149" s="1648">
        <f>'ANALYSIS DATABASE'!C253</f>
        <v>0</v>
      </c>
      <c r="BP149" s="1649"/>
      <c r="BQ149" s="1649"/>
      <c r="BR149" s="1649"/>
      <c r="BS149" s="1649"/>
      <c r="BT149" s="1649"/>
      <c r="BU149" s="1649"/>
      <c r="BV149" s="1649"/>
      <c r="BW149" s="1649"/>
      <c r="BX149" s="1650"/>
      <c r="CX149" s="7"/>
      <c r="CY149" s="7"/>
      <c r="DC149" s="5"/>
      <c r="DD149" s="5"/>
    </row>
    <row r="150" spans="23:108" ht="18" hidden="1">
      <c r="W150" s="1651"/>
      <c r="X150" s="1652"/>
      <c r="Y150" s="1652"/>
      <c r="Z150" s="1652"/>
      <c r="AA150" s="1652"/>
      <c r="AB150" s="1652"/>
      <c r="AC150" s="1652"/>
      <c r="AD150" s="1652"/>
      <c r="AE150" s="1652"/>
      <c r="AF150" s="1653"/>
      <c r="AG150" s="152"/>
      <c r="AH150" s="1651"/>
      <c r="AI150" s="1652"/>
      <c r="AJ150" s="1652"/>
      <c r="AK150" s="1652"/>
      <c r="AL150" s="1652"/>
      <c r="AM150" s="1652"/>
      <c r="AN150" s="1652"/>
      <c r="AO150" s="1652"/>
      <c r="AP150" s="1652"/>
      <c r="AQ150" s="1653"/>
      <c r="AR150" s="152"/>
      <c r="AS150" s="1651"/>
      <c r="AT150" s="1652"/>
      <c r="AU150" s="1652"/>
      <c r="AV150" s="1652"/>
      <c r="AW150" s="1652"/>
      <c r="AX150" s="1652"/>
      <c r="AY150" s="1652"/>
      <c r="AZ150" s="1652"/>
      <c r="BA150" s="1652"/>
      <c r="BB150" s="1653"/>
      <c r="BC150" s="668"/>
      <c r="BD150" s="1651"/>
      <c r="BE150" s="1652"/>
      <c r="BF150" s="1652"/>
      <c r="BG150" s="1652"/>
      <c r="BH150" s="1652"/>
      <c r="BI150" s="1652"/>
      <c r="BJ150" s="1652"/>
      <c r="BK150" s="1652"/>
      <c r="BL150" s="1652"/>
      <c r="BM150" s="1653"/>
      <c r="BN150" s="668"/>
      <c r="BO150" s="1651"/>
      <c r="BP150" s="1652"/>
      <c r="BQ150" s="1652"/>
      <c r="BR150" s="1652"/>
      <c r="BS150" s="1652"/>
      <c r="BT150" s="1652"/>
      <c r="BU150" s="1652"/>
      <c r="BV150" s="1652"/>
      <c r="BW150" s="1652"/>
      <c r="BX150" s="1653"/>
      <c r="CX150" s="7"/>
      <c r="CY150" s="7"/>
      <c r="DC150" s="5"/>
      <c r="DD150" s="5"/>
    </row>
    <row r="151" spans="23:108">
      <c r="CX151" s="7"/>
      <c r="CY151" s="7"/>
      <c r="DC151" s="5"/>
      <c r="DD151" s="5"/>
    </row>
    <row r="152" spans="23:108">
      <c r="CX152" s="7"/>
      <c r="CY152" s="7"/>
      <c r="DC152" s="5"/>
      <c r="DD152" s="5"/>
    </row>
    <row r="153" spans="23:108">
      <c r="DC153" s="5"/>
      <c r="DD153" s="5"/>
    </row>
    <row r="154" spans="23:108">
      <c r="DC154" s="5"/>
      <c r="DD154" s="5"/>
    </row>
    <row r="155" spans="23:108">
      <c r="DC155" s="5"/>
      <c r="DD155" s="5"/>
    </row>
    <row r="156" spans="23:108">
      <c r="DC156" s="5"/>
      <c r="DD156" s="5"/>
    </row>
    <row r="157" spans="23:108" ht="15.6" customHeight="1">
      <c r="DC157" s="5"/>
      <c r="DD157" s="5"/>
    </row>
    <row r="158" spans="23:108">
      <c r="DC158" s="5"/>
      <c r="DD158" s="5"/>
    </row>
    <row r="159" spans="23:108">
      <c r="DC159" s="5"/>
      <c r="DD159" s="5"/>
    </row>
    <row r="160" spans="23:108">
      <c r="DB160" s="8"/>
      <c r="DC160" s="8"/>
      <c r="DD160" s="8"/>
    </row>
    <row r="161" spans="102:163">
      <c r="DB161" s="8"/>
      <c r="DC161" s="8"/>
      <c r="DD161" s="8"/>
    </row>
    <row r="162" spans="102:163">
      <c r="DB162" s="9"/>
      <c r="DC162" s="9"/>
      <c r="DD162" s="9"/>
    </row>
    <row r="163" spans="102:163">
      <c r="DB163" s="9"/>
      <c r="DC163" s="9"/>
      <c r="DD163" s="9"/>
    </row>
    <row r="164" spans="102:163">
      <c r="DB164" s="9"/>
      <c r="DC164" s="9"/>
      <c r="DD164" s="9"/>
    </row>
    <row r="165" spans="102:163">
      <c r="DB165" s="9"/>
      <c r="DC165" s="9"/>
      <c r="DD165" s="9"/>
    </row>
    <row r="166" spans="102:163">
      <c r="DB166" s="9"/>
      <c r="DC166" s="9"/>
      <c r="DD166" s="9"/>
    </row>
    <row r="167" spans="102:163">
      <c r="DC167" s="5"/>
      <c r="DD167" s="5"/>
    </row>
    <row r="168" spans="102:163">
      <c r="CX168" s="4"/>
      <c r="CY168" s="4"/>
      <c r="DB168" s="4"/>
      <c r="DC168" s="5"/>
      <c r="DD168" s="5"/>
    </row>
    <row r="169" spans="102:163">
      <c r="CX169" s="4"/>
      <c r="CY169" s="4"/>
      <c r="DB169" s="4"/>
      <c r="DC169" s="5"/>
      <c r="DD169" s="5"/>
    </row>
    <row r="170" spans="102:163">
      <c r="CX170" s="4"/>
      <c r="CY170" s="4"/>
      <c r="DB170" s="4"/>
      <c r="DC170" s="5"/>
      <c r="DD170" s="5"/>
    </row>
    <row r="171" spans="102:163">
      <c r="CX171" s="4"/>
      <c r="CY171" s="4"/>
      <c r="DB171" s="4"/>
      <c r="DC171" s="5"/>
      <c r="DD171" s="5"/>
    </row>
    <row r="172" spans="102:163">
      <c r="CX172" s="4"/>
      <c r="CY172" s="4"/>
      <c r="DB172" s="4"/>
      <c r="DC172" s="5"/>
      <c r="DD172" s="5"/>
    </row>
    <row r="173" spans="102:163">
      <c r="CX173" s="4"/>
      <c r="CY173" s="4"/>
      <c r="DB173" s="4"/>
      <c r="DC173" s="5"/>
      <c r="DD173" s="4"/>
      <c r="EZ173" s="4"/>
      <c r="FA173" s="4"/>
      <c r="FB173" s="4"/>
      <c r="FC173" s="4"/>
      <c r="FD173" s="4"/>
      <c r="FE173" s="4"/>
      <c r="FF173" s="4"/>
      <c r="FG173" s="4"/>
    </row>
    <row r="174" spans="102:163">
      <c r="CX174" s="4"/>
      <c r="CY174" s="4"/>
      <c r="DB174" s="4"/>
      <c r="DC174" s="5"/>
      <c r="DD174" s="4"/>
      <c r="DE174" s="4"/>
      <c r="DF174" s="4"/>
      <c r="DG174" s="4"/>
      <c r="DH174" s="4"/>
      <c r="DI174" s="4"/>
      <c r="DJ174" s="4"/>
      <c r="DK174" s="4"/>
      <c r="DL174" s="4"/>
      <c r="DM174" s="4"/>
      <c r="DN174" s="4"/>
      <c r="DO174" s="4"/>
      <c r="DP174" s="4"/>
      <c r="DQ174" s="4"/>
      <c r="DR174" s="4"/>
      <c r="EB174" s="4"/>
      <c r="EC174" s="4"/>
      <c r="ED174" s="4"/>
      <c r="EE174" s="4"/>
      <c r="EF174" s="4"/>
      <c r="EG174" s="4"/>
      <c r="EH174" s="4"/>
      <c r="EI174" s="4"/>
      <c r="EJ174" s="4"/>
      <c r="EK174" s="4"/>
      <c r="EL174" s="4"/>
      <c r="EM174" s="4"/>
      <c r="EN174" s="4"/>
      <c r="EO174" s="4"/>
      <c r="EP174" s="4"/>
      <c r="EQ174" s="4"/>
      <c r="ER174" s="4"/>
      <c r="ES174" s="4"/>
      <c r="ET174" s="4"/>
      <c r="EU174" s="4"/>
      <c r="EV174" s="4"/>
      <c r="EZ174" s="4"/>
      <c r="FA174" s="4"/>
      <c r="FB174" s="4"/>
      <c r="FC174" s="4"/>
      <c r="FD174" s="4"/>
      <c r="FE174" s="4"/>
      <c r="FF174" s="4"/>
      <c r="FG174" s="4"/>
    </row>
    <row r="175" spans="102:163">
      <c r="CX175" s="4"/>
      <c r="CY175" s="4"/>
      <c r="DB175" s="4"/>
      <c r="DC175" s="5"/>
      <c r="DD175" s="4"/>
      <c r="DE175" s="4"/>
      <c r="DF175" s="4"/>
      <c r="DG175" s="4"/>
      <c r="DH175" s="4"/>
      <c r="DI175" s="4"/>
      <c r="DJ175" s="4"/>
      <c r="DK175" s="4"/>
      <c r="DL175" s="4"/>
      <c r="DM175" s="4"/>
      <c r="DN175" s="4"/>
      <c r="DO175" s="4"/>
      <c r="DP175" s="4"/>
      <c r="DQ175" s="4"/>
      <c r="DR175" s="4"/>
      <c r="EB175" s="4"/>
      <c r="EC175" s="4"/>
      <c r="ED175" s="4"/>
      <c r="EE175" s="4"/>
      <c r="EF175" s="4"/>
      <c r="EG175" s="4"/>
      <c r="EH175" s="4"/>
      <c r="EI175" s="4"/>
      <c r="EJ175" s="4"/>
      <c r="EK175" s="4"/>
      <c r="EL175" s="4"/>
      <c r="EM175" s="4"/>
      <c r="EN175" s="4"/>
      <c r="EO175" s="4"/>
      <c r="EP175" s="4"/>
      <c r="EQ175" s="4"/>
      <c r="ER175" s="4"/>
      <c r="ES175" s="4"/>
      <c r="ET175" s="4"/>
      <c r="EU175" s="4"/>
      <c r="EV175" s="4"/>
      <c r="EZ175" s="4"/>
      <c r="FA175" s="4"/>
      <c r="FB175" s="4"/>
      <c r="FC175" s="4"/>
      <c r="FD175" s="4"/>
      <c r="FE175" s="4"/>
      <c r="FF175" s="4"/>
      <c r="FG175" s="4"/>
    </row>
    <row r="176" spans="102:163">
      <c r="CX176" s="4"/>
      <c r="CY176" s="4"/>
      <c r="DB176" s="4"/>
      <c r="DC176" s="4"/>
      <c r="DD176" s="4"/>
      <c r="DE176" s="4"/>
      <c r="DF176" s="4"/>
      <c r="DG176" s="4"/>
      <c r="DH176" s="4"/>
      <c r="DI176" s="4"/>
      <c r="DJ176" s="4"/>
      <c r="DK176" s="4"/>
      <c r="DL176" s="4"/>
      <c r="DM176" s="4"/>
      <c r="DN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Z176" s="4"/>
      <c r="FA176" s="4"/>
      <c r="FB176" s="4"/>
      <c r="FC176" s="4"/>
      <c r="FD176" s="4"/>
      <c r="FE176" s="4"/>
      <c r="FF176" s="4"/>
      <c r="FG176" s="4"/>
    </row>
    <row r="177" spans="102:163">
      <c r="CX177" s="4"/>
      <c r="CY177" s="4"/>
      <c r="DB177" s="4"/>
      <c r="DC177" s="4"/>
      <c r="DD177" s="4"/>
      <c r="DE177" s="4"/>
      <c r="DF177" s="4"/>
      <c r="DG177" s="4"/>
      <c r="DH177" s="4"/>
      <c r="DI177" s="4"/>
      <c r="DJ177" s="4"/>
      <c r="DK177" s="4"/>
      <c r="DL177" s="4"/>
      <c r="DM177" s="4"/>
      <c r="DN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row>
    <row r="178" spans="102:163">
      <c r="CX178" s="4"/>
      <c r="CY178" s="4"/>
      <c r="DB178" s="4"/>
      <c r="DC178" s="5"/>
      <c r="DD178" s="4"/>
      <c r="DE178" s="4"/>
      <c r="DF178" s="4"/>
      <c r="DG178" s="4"/>
      <c r="DH178" s="4"/>
      <c r="DI178" s="4"/>
      <c r="DJ178" s="4"/>
      <c r="DK178" s="4"/>
      <c r="DL178" s="4"/>
      <c r="DM178" s="4"/>
      <c r="DN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row>
    <row r="179" spans="102:163">
      <c r="CX179" s="4"/>
      <c r="CY179" s="4"/>
      <c r="DB179" s="4"/>
      <c r="DC179" s="4"/>
      <c r="DD179" s="4"/>
      <c r="DE179" s="4"/>
      <c r="DF179" s="4"/>
      <c r="DG179" s="4"/>
      <c r="DH179" s="4"/>
      <c r="DI179" s="4"/>
      <c r="DJ179" s="4"/>
      <c r="DK179" s="4"/>
      <c r="DL179" s="4"/>
      <c r="DM179" s="4"/>
      <c r="DN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row>
    <row r="180" spans="102:163">
      <c r="CX180" s="4"/>
      <c r="CY180" s="4"/>
      <c r="DB180" s="4"/>
      <c r="DC180" s="5"/>
      <c r="DD180" s="4"/>
      <c r="DE180" s="4"/>
      <c r="DF180" s="4"/>
      <c r="DG180" s="4"/>
      <c r="DH180" s="4"/>
      <c r="DI180" s="4"/>
      <c r="DJ180" s="4"/>
      <c r="DK180" s="4"/>
      <c r="DL180" s="4"/>
      <c r="DM180" s="4"/>
      <c r="DN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row>
    <row r="181" spans="102:163">
      <c r="CX181" s="4"/>
      <c r="CY181" s="4"/>
      <c r="DB181" s="4"/>
      <c r="DC181" s="5"/>
      <c r="DD181" s="229"/>
      <c r="ED181" s="4"/>
      <c r="EE181" s="4"/>
      <c r="EF181" s="4"/>
      <c r="EG181" s="4"/>
      <c r="EH181" s="4"/>
      <c r="EI181" s="4"/>
      <c r="EJ181" s="4"/>
      <c r="EK181" s="4"/>
      <c r="EL181" s="4"/>
      <c r="EM181" s="4"/>
      <c r="EN181" s="4"/>
      <c r="EO181" s="4"/>
      <c r="EP181" s="4"/>
      <c r="EQ181" s="4"/>
      <c r="ER181" s="4"/>
      <c r="ES181" s="4"/>
      <c r="ET181" s="4"/>
      <c r="EU181" s="4"/>
      <c r="EV181" s="4"/>
      <c r="EW181" s="4"/>
      <c r="FF181" s="4"/>
      <c r="FG181" s="4"/>
    </row>
    <row r="182" spans="102:163">
      <c r="CX182" s="4"/>
      <c r="CY182" s="4"/>
      <c r="DB182" s="4"/>
      <c r="DC182" s="5"/>
      <c r="DD182" s="4"/>
      <c r="DE182" s="4"/>
      <c r="DF182" s="4"/>
      <c r="DG182" s="4"/>
      <c r="DH182" s="4"/>
      <c r="DI182" s="4"/>
      <c r="DJ182" s="4"/>
      <c r="DK182" s="4"/>
      <c r="DL182" s="4"/>
      <c r="DM182" s="4"/>
      <c r="DN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Y182" s="4"/>
      <c r="EZ182" s="4"/>
      <c r="FA182" s="4"/>
      <c r="FB182" s="4"/>
      <c r="FC182" s="4"/>
      <c r="FD182" s="4"/>
      <c r="FE182" s="4"/>
      <c r="FF182" s="4"/>
      <c r="FG182" s="4"/>
    </row>
    <row r="183" spans="102:163">
      <c r="CX183" s="4"/>
      <c r="CY183" s="4"/>
      <c r="DB183" s="4"/>
      <c r="DC183" s="5"/>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row>
    <row r="184" spans="102:163">
      <c r="CX184" s="4"/>
      <c r="CY184" s="4"/>
      <c r="CZ184" s="5"/>
      <c r="DA184" s="4"/>
      <c r="DB184" s="4"/>
      <c r="DC184" s="5"/>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row>
    <row r="185" spans="102:163">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row>
    <row r="186" spans="102:163">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row>
    <row r="187" spans="102:163">
      <c r="CX187" s="4"/>
      <c r="CY187" s="4"/>
      <c r="CZ187" s="4"/>
      <c r="DA187" s="4"/>
      <c r="DB187" s="4"/>
      <c r="DC187" s="4"/>
      <c r="DE187" s="229"/>
      <c r="EE187" s="4"/>
      <c r="EF187" s="4"/>
      <c r="EG187" s="4"/>
      <c r="EH187" s="4"/>
      <c r="EI187" s="4"/>
      <c r="EJ187" s="4"/>
      <c r="EK187" s="4"/>
      <c r="EL187" s="4"/>
      <c r="EM187" s="4"/>
      <c r="EN187" s="4"/>
      <c r="EO187" s="4"/>
      <c r="EP187" s="4"/>
      <c r="EQ187" s="4"/>
      <c r="ER187" s="4"/>
      <c r="ES187" s="4"/>
      <c r="ET187" s="4"/>
      <c r="EU187" s="4"/>
      <c r="EV187" s="4"/>
      <c r="EW187" s="4"/>
      <c r="EX187" s="4"/>
    </row>
    <row r="188" spans="102:163">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row>
  </sheetData>
  <sheetProtection formatCells="0" formatColumns="0" formatRows="0" insertHyperlinks="0" selectLockedCells="1" sort="0" autoFilter="0"/>
  <mergeCells count="356">
    <mergeCell ref="BT78:BX78"/>
    <mergeCell ref="BT79:BX79"/>
    <mergeCell ref="T61:BY61"/>
    <mergeCell ref="AL53:AR54"/>
    <mergeCell ref="T53:U54"/>
    <mergeCell ref="AL59:AR60"/>
    <mergeCell ref="AZ53:BL53"/>
    <mergeCell ref="X78:AO78"/>
    <mergeCell ref="X79:AO79"/>
    <mergeCell ref="AC55:AI56"/>
    <mergeCell ref="AZ55:BE55"/>
    <mergeCell ref="AJ53:AK54"/>
    <mergeCell ref="AR67:BA67"/>
    <mergeCell ref="BM55:BY55"/>
    <mergeCell ref="AZ54:BL54"/>
    <mergeCell ref="BM54:BY54"/>
    <mergeCell ref="BM53:BY53"/>
    <mergeCell ref="BM57:BY57"/>
    <mergeCell ref="V55:AB56"/>
    <mergeCell ref="V53:AB54"/>
    <mergeCell ref="AZ56:BE56"/>
    <mergeCell ref="BC64:BL65"/>
    <mergeCell ref="BN64:BW65"/>
    <mergeCell ref="AR63:BA63"/>
    <mergeCell ref="CG136:CS138"/>
    <mergeCell ref="T26:U27"/>
    <mergeCell ref="AC26:AI27"/>
    <mergeCell ref="AS26:AY27"/>
    <mergeCell ref="AL26:AR27"/>
    <mergeCell ref="AR24:BA24"/>
    <mergeCell ref="V26:AB27"/>
    <mergeCell ref="T59:U60"/>
    <mergeCell ref="T30:U31"/>
    <mergeCell ref="T28:U29"/>
    <mergeCell ref="T32:U33"/>
    <mergeCell ref="AC28:AI29"/>
    <mergeCell ref="V28:AB29"/>
    <mergeCell ref="V30:AB31"/>
    <mergeCell ref="BM28:BY28"/>
    <mergeCell ref="AL28:AR29"/>
    <mergeCell ref="BF29:BL29"/>
    <mergeCell ref="BM29:BY29"/>
    <mergeCell ref="AB51:AQ51"/>
    <mergeCell ref="BE48:BL48"/>
    <mergeCell ref="BN48:BX48"/>
    <mergeCell ref="CK49:CR49"/>
    <mergeCell ref="AR51:BA51"/>
    <mergeCell ref="BT87:BX87"/>
    <mergeCell ref="BM30:BY30"/>
    <mergeCell ref="V22:AB22"/>
    <mergeCell ref="AN22:AT22"/>
    <mergeCell ref="AW22:BC22"/>
    <mergeCell ref="BF22:BL22"/>
    <mergeCell ref="AC30:AI31"/>
    <mergeCell ref="V37:AE38"/>
    <mergeCell ref="AG37:AP38"/>
    <mergeCell ref="AR37:BA38"/>
    <mergeCell ref="BC37:BL38"/>
    <mergeCell ref="BN37:BW38"/>
    <mergeCell ref="AS30:AY31"/>
    <mergeCell ref="BM31:BY31"/>
    <mergeCell ref="BB24:BL24"/>
    <mergeCell ref="AZ28:BE28"/>
    <mergeCell ref="AS28:AY29"/>
    <mergeCell ref="BF28:BL28"/>
    <mergeCell ref="AZ26:BL26"/>
    <mergeCell ref="AZ31:BL31"/>
    <mergeCell ref="AZ30:BL30"/>
    <mergeCell ref="AZ32:BL33"/>
    <mergeCell ref="T34:BY34"/>
    <mergeCell ref="BM26:BY26"/>
    <mergeCell ref="AR6:BC6"/>
    <mergeCell ref="CK22:CR22"/>
    <mergeCell ref="AZ27:BL27"/>
    <mergeCell ref="BM27:BY27"/>
    <mergeCell ref="AJ26:AK27"/>
    <mergeCell ref="AJ28:AK29"/>
    <mergeCell ref="BP22:BX22"/>
    <mergeCell ref="AE6:AG6"/>
    <mergeCell ref="AH6:AO6"/>
    <mergeCell ref="AP6:AQ6"/>
    <mergeCell ref="T8:BY8"/>
    <mergeCell ref="V11:W11"/>
    <mergeCell ref="BD6:BE6"/>
    <mergeCell ref="AZ15:BA15"/>
    <mergeCell ref="BB15:BL15"/>
    <mergeCell ref="T9:BY9"/>
    <mergeCell ref="AE15:AF15"/>
    <mergeCell ref="AH15:AI15"/>
    <mergeCell ref="AJ15:AT15"/>
    <mergeCell ref="BE21:BL21"/>
    <mergeCell ref="BU18:BX18"/>
    <mergeCell ref="BD18:BS18"/>
    <mergeCell ref="BN21:BX21"/>
    <mergeCell ref="AB24:AQ24"/>
    <mergeCell ref="AN49:AT49"/>
    <mergeCell ref="BF49:BL49"/>
    <mergeCell ref="BN49:BO49"/>
    <mergeCell ref="BP49:BX49"/>
    <mergeCell ref="V49:AB49"/>
    <mergeCell ref="AE49:AK49"/>
    <mergeCell ref="AL32:AR33"/>
    <mergeCell ref="V32:AB33"/>
    <mergeCell ref="AV48:BC48"/>
    <mergeCell ref="BC36:BL36"/>
    <mergeCell ref="BN36:BW36"/>
    <mergeCell ref="AO45:BC45"/>
    <mergeCell ref="U48:AB48"/>
    <mergeCell ref="AM48:AT48"/>
    <mergeCell ref="BJ91:BS91"/>
    <mergeCell ref="AZ58:BL58"/>
    <mergeCell ref="U74:BX74"/>
    <mergeCell ref="V67:AE67"/>
    <mergeCell ref="AG67:AP67"/>
    <mergeCell ref="BT80:BX80"/>
    <mergeCell ref="BT85:BX85"/>
    <mergeCell ref="BT86:BX86"/>
    <mergeCell ref="AP87:AY87"/>
    <mergeCell ref="AZ82:BI82"/>
    <mergeCell ref="BJ82:BS82"/>
    <mergeCell ref="AZ85:BI85"/>
    <mergeCell ref="BJ85:BS85"/>
    <mergeCell ref="AP83:AY83"/>
    <mergeCell ref="AP84:AY84"/>
    <mergeCell ref="AP85:AY85"/>
    <mergeCell ref="BC67:BL67"/>
    <mergeCell ref="BN67:BW67"/>
    <mergeCell ref="BM59:BY59"/>
    <mergeCell ref="BM60:BY60"/>
    <mergeCell ref="BT88:BX88"/>
    <mergeCell ref="V57:AB58"/>
    <mergeCell ref="V64:AE65"/>
    <mergeCell ref="AG64:AP65"/>
    <mergeCell ref="AR64:BA65"/>
    <mergeCell ref="U79:W79"/>
    <mergeCell ref="U78:W78"/>
    <mergeCell ref="AZ78:BI78"/>
    <mergeCell ref="BJ78:BS78"/>
    <mergeCell ref="AZ79:BI79"/>
    <mergeCell ref="BJ79:BS79"/>
    <mergeCell ref="BJ87:BS87"/>
    <mergeCell ref="U80:W80"/>
    <mergeCell ref="AZ80:BI80"/>
    <mergeCell ref="V68:AE69"/>
    <mergeCell ref="AG68:AP69"/>
    <mergeCell ref="AR68:BA69"/>
    <mergeCell ref="BC68:BL69"/>
    <mergeCell ref="BN68:BW69"/>
    <mergeCell ref="T72:BY72"/>
    <mergeCell ref="AI76:BI76"/>
    <mergeCell ref="BJ76:BS76"/>
    <mergeCell ref="BJ86:BS86"/>
    <mergeCell ref="BJ80:BS80"/>
    <mergeCell ref="U81:W81"/>
    <mergeCell ref="AZ81:BI81"/>
    <mergeCell ref="U82:W82"/>
    <mergeCell ref="X80:AO80"/>
    <mergeCell ref="T55:U56"/>
    <mergeCell ref="T57:U58"/>
    <mergeCell ref="AJ57:AK58"/>
    <mergeCell ref="AC53:AI54"/>
    <mergeCell ref="AS53:AY54"/>
    <mergeCell ref="AC59:AI60"/>
    <mergeCell ref="AS59:AY60"/>
    <mergeCell ref="BM56:BY56"/>
    <mergeCell ref="AZ29:BE29"/>
    <mergeCell ref="AS57:AY58"/>
    <mergeCell ref="BM58:BY58"/>
    <mergeCell ref="AL57:AR58"/>
    <mergeCell ref="BU45:BX45"/>
    <mergeCell ref="BF56:BL56"/>
    <mergeCell ref="AS55:AY56"/>
    <mergeCell ref="AJ55:AK56"/>
    <mergeCell ref="AL55:AR56"/>
    <mergeCell ref="V59:AB60"/>
    <mergeCell ref="AZ57:BL57"/>
    <mergeCell ref="AC57:AI58"/>
    <mergeCell ref="AJ59:AK60"/>
    <mergeCell ref="AZ59:BL60"/>
    <mergeCell ref="BB51:BL51"/>
    <mergeCell ref="BF55:BL55"/>
    <mergeCell ref="M3:V3"/>
    <mergeCell ref="BF6:BN6"/>
    <mergeCell ref="V63:AE63"/>
    <mergeCell ref="AG63:AP63"/>
    <mergeCell ref="BC63:BL63"/>
    <mergeCell ref="BN63:BW63"/>
    <mergeCell ref="AR40:BA40"/>
    <mergeCell ref="BC40:BL40"/>
    <mergeCell ref="BN40:BW40"/>
    <mergeCell ref="AR41:BA42"/>
    <mergeCell ref="BC41:BL42"/>
    <mergeCell ref="BN41:BW42"/>
    <mergeCell ref="V40:AE40"/>
    <mergeCell ref="V41:AE42"/>
    <mergeCell ref="AG40:AP40"/>
    <mergeCell ref="AG41:AP42"/>
    <mergeCell ref="AI11:AJ11"/>
    <mergeCell ref="AK11:AU11"/>
    <mergeCell ref="BK11:BL11"/>
    <mergeCell ref="T19:BY19"/>
    <mergeCell ref="U21:AB21"/>
    <mergeCell ref="AW11:AX11"/>
    <mergeCell ref="AY11:BI11"/>
    <mergeCell ref="B21:R22"/>
    <mergeCell ref="B48:R49"/>
    <mergeCell ref="AJ30:AK31"/>
    <mergeCell ref="AL30:AR31"/>
    <mergeCell ref="AJ32:AK33"/>
    <mergeCell ref="BM32:BY32"/>
    <mergeCell ref="BM11:BW11"/>
    <mergeCell ref="X11:AG11"/>
    <mergeCell ref="AO18:BC18"/>
    <mergeCell ref="AD21:AK21"/>
    <mergeCell ref="T13:BY13"/>
    <mergeCell ref="AE22:AK22"/>
    <mergeCell ref="BN22:BO22"/>
    <mergeCell ref="AM21:AT21"/>
    <mergeCell ref="AV21:BC21"/>
    <mergeCell ref="AC32:AI33"/>
    <mergeCell ref="BM33:BY33"/>
    <mergeCell ref="AS32:AY33"/>
    <mergeCell ref="AG36:AP36"/>
    <mergeCell ref="AR36:BA36"/>
    <mergeCell ref="V36:AE36"/>
    <mergeCell ref="AD48:AK48"/>
    <mergeCell ref="AW49:BC49"/>
    <mergeCell ref="T46:BY46"/>
    <mergeCell ref="BD45:BS45"/>
    <mergeCell ref="T94:BY94"/>
    <mergeCell ref="W144:AF144"/>
    <mergeCell ref="AH144:AQ144"/>
    <mergeCell ref="AS144:BB144"/>
    <mergeCell ref="BD144:BM144"/>
    <mergeCell ref="AP88:AY88"/>
    <mergeCell ref="BT81:BX81"/>
    <mergeCell ref="AP78:AY78"/>
    <mergeCell ref="AP79:AY79"/>
    <mergeCell ref="AP80:AY80"/>
    <mergeCell ref="AP81:AY81"/>
    <mergeCell ref="AP82:AY82"/>
    <mergeCell ref="BT82:BX82"/>
    <mergeCell ref="BT83:BX83"/>
    <mergeCell ref="BJ81:BS81"/>
    <mergeCell ref="BT84:BX84"/>
    <mergeCell ref="T135:BY136"/>
    <mergeCell ref="X87:AO87"/>
    <mergeCell ref="BO144:BX144"/>
    <mergeCell ref="BL96:BU96"/>
    <mergeCell ref="X96:BK96"/>
    <mergeCell ref="X97:BK97"/>
    <mergeCell ref="U86:W86"/>
    <mergeCell ref="AZ86:BI86"/>
    <mergeCell ref="W149:AF150"/>
    <mergeCell ref="AH149:AQ150"/>
    <mergeCell ref="AS149:BB150"/>
    <mergeCell ref="BD149:BM150"/>
    <mergeCell ref="BO149:BX150"/>
    <mergeCell ref="W145:AF146"/>
    <mergeCell ref="AH145:AQ146"/>
    <mergeCell ref="AS145:BB146"/>
    <mergeCell ref="BD145:BM146"/>
    <mergeCell ref="BO145:BX146"/>
    <mergeCell ref="BO148:BX148"/>
    <mergeCell ref="W148:AF148"/>
    <mergeCell ref="AH148:AQ148"/>
    <mergeCell ref="AS148:BB148"/>
    <mergeCell ref="BD148:BM148"/>
    <mergeCell ref="AZ83:BI83"/>
    <mergeCell ref="BJ83:BS83"/>
    <mergeCell ref="U84:W84"/>
    <mergeCell ref="AZ84:BI84"/>
    <mergeCell ref="BJ84:BS84"/>
    <mergeCell ref="U85:W85"/>
    <mergeCell ref="U87:W87"/>
    <mergeCell ref="AZ87:BI87"/>
    <mergeCell ref="U83:W83"/>
    <mergeCell ref="X81:AO81"/>
    <mergeCell ref="X82:AO82"/>
    <mergeCell ref="X83:AO83"/>
    <mergeCell ref="X84:AO84"/>
    <mergeCell ref="X85:AO85"/>
    <mergeCell ref="X86:AO86"/>
    <mergeCell ref="AP86:AY86"/>
    <mergeCell ref="X101:BK101"/>
    <mergeCell ref="BL101:BU101"/>
    <mergeCell ref="AI91:BI91"/>
    <mergeCell ref="BT89:BX89"/>
    <mergeCell ref="AP89:AY89"/>
    <mergeCell ref="BL97:BU97"/>
    <mergeCell ref="X99:BK99"/>
    <mergeCell ref="BL99:BU99"/>
    <mergeCell ref="X100:BK100"/>
    <mergeCell ref="BL100:BU100"/>
    <mergeCell ref="AZ89:BI89"/>
    <mergeCell ref="BJ89:BS89"/>
    <mergeCell ref="X88:AO88"/>
    <mergeCell ref="U89:AO89"/>
    <mergeCell ref="U88:W88"/>
    <mergeCell ref="AZ88:BI88"/>
    <mergeCell ref="BJ88:BS88"/>
    <mergeCell ref="X102:BK102"/>
    <mergeCell ref="BL102:BU102"/>
    <mergeCell ref="X103:BK103"/>
    <mergeCell ref="BL103:BU103"/>
    <mergeCell ref="X104:BK104"/>
    <mergeCell ref="BL104:BU104"/>
    <mergeCell ref="X106:BK106"/>
    <mergeCell ref="BL106:BU106"/>
    <mergeCell ref="X117:BK117"/>
    <mergeCell ref="BL117:BU117"/>
    <mergeCell ref="X115:BK115"/>
    <mergeCell ref="X118:BK118"/>
    <mergeCell ref="BL118:BU118"/>
    <mergeCell ref="X107:BK107"/>
    <mergeCell ref="BL107:BU107"/>
    <mergeCell ref="X108:BK108"/>
    <mergeCell ref="BL108:BU108"/>
    <mergeCell ref="X109:BK109"/>
    <mergeCell ref="BL109:BU109"/>
    <mergeCell ref="X110:BK110"/>
    <mergeCell ref="BL110:BU110"/>
    <mergeCell ref="X133:BK133"/>
    <mergeCell ref="BL133:BU133"/>
    <mergeCell ref="X129:BK129"/>
    <mergeCell ref="BL129:BU129"/>
    <mergeCell ref="X130:BK130"/>
    <mergeCell ref="X131:BK131"/>
    <mergeCell ref="X132:BK132"/>
    <mergeCell ref="BL132:BU132"/>
    <mergeCell ref="BL130:BU130"/>
    <mergeCell ref="BL131:BU131"/>
    <mergeCell ref="BZ110:CW111"/>
    <mergeCell ref="BZ97:CW98"/>
    <mergeCell ref="BZ100:CW102"/>
    <mergeCell ref="BZ104:CW104"/>
    <mergeCell ref="X124:BK124"/>
    <mergeCell ref="BL124:BU124"/>
    <mergeCell ref="X126:BK126"/>
    <mergeCell ref="BL126:BU126"/>
    <mergeCell ref="X127:BK127"/>
    <mergeCell ref="BL127:BU127"/>
    <mergeCell ref="X119:BK119"/>
    <mergeCell ref="BL119:BU119"/>
    <mergeCell ref="X120:BK120"/>
    <mergeCell ref="X121:BK121"/>
    <mergeCell ref="BL121:BU121"/>
    <mergeCell ref="X122:BK122"/>
    <mergeCell ref="BL122:BU122"/>
    <mergeCell ref="X123:BK123"/>
    <mergeCell ref="BL123:BU123"/>
    <mergeCell ref="T112:BY112"/>
    <mergeCell ref="X114:BK114"/>
    <mergeCell ref="BL114:BU114"/>
    <mergeCell ref="X116:BK116"/>
    <mergeCell ref="BL116:BU116"/>
  </mergeCells>
  <conditionalFormatting sqref="BU18:BX18">
    <cfRule type="expression" dxfId="272" priority="156">
      <formula>$BD$18="Amortized"</formula>
    </cfRule>
  </conditionalFormatting>
  <conditionalFormatting sqref="BU23:BX25 BU20:BX20">
    <cfRule type="expression" dxfId="271" priority="155">
      <formula>$BD$18="Amortized"</formula>
    </cfRule>
  </conditionalFormatting>
  <conditionalFormatting sqref="BU50:BX52">
    <cfRule type="expression" dxfId="270" priority="99">
      <formula>$BD$18="Amortized"</formula>
    </cfRule>
  </conditionalFormatting>
  <conditionalFormatting sqref="U21:AB21">
    <cfRule type="expression" dxfId="269" priority="61">
      <formula>$U$22="r"</formula>
    </cfRule>
  </conditionalFormatting>
  <conditionalFormatting sqref="AV21:BC21">
    <cfRule type="expression" dxfId="268" priority="59">
      <formula>$AV$22="r"</formula>
    </cfRule>
  </conditionalFormatting>
  <conditionalFormatting sqref="BE21:BL21">
    <cfRule type="expression" dxfId="267" priority="58">
      <formula>$BE$22="r"</formula>
    </cfRule>
  </conditionalFormatting>
  <conditionalFormatting sqref="BN21:BX21">
    <cfRule type="expression" dxfId="266" priority="57">
      <formula>$BN$22="r"</formula>
    </cfRule>
  </conditionalFormatting>
  <conditionalFormatting sqref="U48:AB48">
    <cfRule type="expression" dxfId="265" priority="56">
      <formula>$U$49="r"</formula>
    </cfRule>
  </conditionalFormatting>
  <conditionalFormatting sqref="AD48:AK48">
    <cfRule type="expression" dxfId="264" priority="55">
      <formula>$AD$49="r"</formula>
    </cfRule>
  </conditionalFormatting>
  <conditionalFormatting sqref="AV48:BC48 AM48:AT48">
    <cfRule type="expression" dxfId="263" priority="54">
      <formula>$AV$49="r"</formula>
    </cfRule>
  </conditionalFormatting>
  <conditionalFormatting sqref="BE48:BL48">
    <cfRule type="expression" dxfId="262" priority="53">
      <formula>$BE$49="r"</formula>
    </cfRule>
  </conditionalFormatting>
  <conditionalFormatting sqref="BN48:BX48">
    <cfRule type="expression" dxfId="261" priority="52">
      <formula>$BN$49="r"</formula>
    </cfRule>
  </conditionalFormatting>
  <conditionalFormatting sqref="BU45:BX45">
    <cfRule type="expression" dxfId="260" priority="1282">
      <formula>$BD$45="Amortized"</formula>
    </cfRule>
  </conditionalFormatting>
  <conditionalFormatting sqref="X11">
    <cfRule type="expression" dxfId="259" priority="47">
      <formula>Funding_Strategy="All Cash"</formula>
    </cfRule>
  </conditionalFormatting>
  <conditionalFormatting sqref="AY11:BI11">
    <cfRule type="expression" dxfId="258" priority="46">
      <formula>Funding_Strategy="Equity"</formula>
    </cfRule>
  </conditionalFormatting>
  <conditionalFormatting sqref="AJ15:AT15">
    <cfRule type="expression" dxfId="257" priority="36">
      <formula>Number_of_Loans&lt;&gt;1</formula>
    </cfRule>
  </conditionalFormatting>
  <conditionalFormatting sqref="BB15:BL15">
    <cfRule type="expression" dxfId="256" priority="35">
      <formula>Number_of_Loans&lt;&gt;2</formula>
    </cfRule>
  </conditionalFormatting>
  <conditionalFormatting sqref="AD21:AK21 AM21:AT21">
    <cfRule type="expression" dxfId="255" priority="2013">
      <formula>$AM$22="r"</formula>
    </cfRule>
  </conditionalFormatting>
  <conditionalFormatting sqref="BU47:BX47">
    <cfRule type="expression" dxfId="254" priority="27">
      <formula>$BD$18="Amortized"</formula>
    </cfRule>
  </conditionalFormatting>
  <conditionalFormatting sqref="AR24:BA24">
    <cfRule type="cellIs" dxfId="253" priority="14" operator="greaterThan">
      <formula>0</formula>
    </cfRule>
  </conditionalFormatting>
  <conditionalFormatting sqref="AR51:BA51">
    <cfRule type="cellIs" dxfId="252" priority="13" operator="greaterThan">
      <formula>0</formula>
    </cfRule>
  </conditionalFormatting>
  <conditionalFormatting sqref="BM11:BW11">
    <cfRule type="expression" dxfId="251" priority="11">
      <formula>Funding_Strategy="Combo"</formula>
    </cfRule>
  </conditionalFormatting>
  <conditionalFormatting sqref="AK11:AU11">
    <cfRule type="expression" dxfId="250" priority="10">
      <formula>Funding_Strategy="Financed"</formula>
    </cfRule>
  </conditionalFormatting>
  <conditionalFormatting sqref="AS32:AY33">
    <cfRule type="expression" dxfId="249" priority="5">
      <formula>$AC$32="Lump Sum"</formula>
    </cfRule>
  </conditionalFormatting>
  <conditionalFormatting sqref="AS59:AY60">
    <cfRule type="expression" dxfId="248" priority="4">
      <formula>$AC$59="Lump Sum"</formula>
    </cfRule>
  </conditionalFormatting>
  <dataValidations xWindow="728" yWindow="659" count="5">
    <dataValidation type="list" allowBlank="1" showInputMessage="1" showErrorMessage="1" sqref="AC53:AI54 AC26:AI27" xr:uid="{00000000-0002-0000-0700-000001000000}">
      <formula1>Dp_LTV_Dropdown</formula1>
    </dataValidation>
    <dataValidation type="list" allowBlank="1" showInputMessage="1" showErrorMessage="1" promptTitle="Points Paid Upfront or Rolled?" prompt="Are Points &amp; Closing Costs paid to the lender paid upfront or rolled into to the loan balance to be paid on the back-end?" sqref="AS57:AY58 AS30:AY31" xr:uid="{00000000-0002-0000-0700-000002000000}">
      <formula1>Points_Dropdown</formula1>
    </dataValidation>
    <dataValidation type="list" allowBlank="1" showInputMessage="1" showErrorMessage="1" promptTitle="Interest Paid Monthly or Rolled" prompt="Are interest payments made monthly or are interest payments rolled into the loan balance?" sqref="AS55:AY56 AS28:AY29" xr:uid="{00000000-0002-0000-0700-000003000000}">
      <formula1>Loan_Payments_Dropdown</formula1>
    </dataValidation>
    <dataValidation type="list" allowBlank="1" showInputMessage="1" showErrorMessage="1" errorTitle="Oops!" error="Sorry, you can only use the options from the dropdown list!" promptTitle="Interest Only or Amortized?" prompt="Is the loan interest only or amortized?" sqref="BD45:BS45 BD18:BS18" xr:uid="{00000000-0002-0000-0700-000009000000}">
      <formula1>Loan_Type_Dropdown</formula1>
    </dataValidation>
    <dataValidation type="list" allowBlank="1" showInputMessage="1" showErrorMessage="1" sqref="AC59:AI60 AC32:AI33" xr:uid="{9DBFF8F9-BD86-4B46-BC78-AF164ED8F815}">
      <formula1>"Lump Sum,% of Loan"</formula1>
    </dataValidation>
  </dataValidations>
  <printOptions horizontalCentered="1"/>
  <pageMargins left="0.7" right="0.7" top="0.75" bottom="0.75" header="0.3" footer="0.3"/>
  <pageSetup scale="24"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84" id="{59AAE470-B41F-4611-8F87-9F3FCD1E33DB}">
            <x14:iconSet showValue="0" custom="1">
              <x14:cfvo type="percent">
                <xm:f>0</xm:f>
              </x14:cfvo>
              <x14:cfvo type="num">
                <xm:f>0</xm:f>
              </x14:cfvo>
              <x14:cfvo type="num">
                <xm:f>1</xm:f>
              </x14:cfvo>
              <x14:cfIcon iconSet="NoIcons" iconId="0"/>
              <x14:cfIcon iconSet="3Symbols" iconId="0"/>
              <x14:cfIcon iconSet="3Symbols" iconId="0"/>
            </x14:iconSet>
          </x14:cfRule>
          <xm:sqref>AE6:AF6 AD7:AE7</xm:sqref>
        </x14:conditionalFormatting>
        <x14:conditionalFormatting xmlns:xm="http://schemas.microsoft.com/office/excel/2006/main">
          <x14:cfRule type="iconSet" priority="183" id="{BBEF122A-26F0-4B43-91EF-F28E0DFE86D1}">
            <x14:iconSet showValue="0" custom="1">
              <x14:cfvo type="percent">
                <xm:f>0</xm:f>
              </x14:cfvo>
              <x14:cfvo type="num">
                <xm:f>0</xm:f>
              </x14:cfvo>
              <x14:cfvo type="num">
                <xm:f>1</xm:f>
              </x14:cfvo>
              <x14:cfIcon iconSet="NoIcons" iconId="0"/>
              <x14:cfIcon iconSet="3Symbols" iconId="0"/>
              <x14:cfIcon iconSet="3Symbols2" iconId="1"/>
            </x14:iconSet>
          </x14:cfRule>
          <xm:sqref>AP6 AO7</xm:sqref>
        </x14:conditionalFormatting>
        <x14:conditionalFormatting xmlns:xm="http://schemas.microsoft.com/office/excel/2006/main">
          <x14:cfRule type="iconSet" priority="182" id="{5F221FEF-63C2-4397-96D0-F3D5584F6FB4}">
            <x14:iconSet showValue="0" custom="1">
              <x14:cfvo type="percent">
                <xm:f>0</xm:f>
              </x14:cfvo>
              <x14:cfvo type="num">
                <xm:f>0</xm:f>
              </x14:cfvo>
              <x14:cfvo type="num">
                <xm:f>1</xm:f>
              </x14:cfvo>
              <x14:cfIcon iconSet="NoIcons" iconId="0"/>
              <x14:cfIcon iconSet="3Symbols" iconId="0"/>
              <x14:cfIcon iconSet="3Symbols2" iconId="2"/>
            </x14:iconSet>
          </x14:cfRule>
          <xm:sqref>BD6:BD7</xm:sqref>
        </x14:conditionalFormatting>
        <x14:conditionalFormatting xmlns:xm="http://schemas.microsoft.com/office/excel/2006/main">
          <x14:cfRule type="iconSet" priority="1297" id="{8D227DA2-BC9B-4D21-94C1-002C01C99FA5}">
            <x14:iconSet showValue="0" custom="1">
              <x14:cfvo type="percent">
                <xm:f>0</xm:f>
              </x14:cfvo>
              <x14:cfvo type="num">
                <xm:f>0</xm:f>
              </x14:cfvo>
              <x14:cfvo type="num">
                <xm:f>1</xm:f>
              </x14:cfvo>
              <x14:cfIcon iconSet="NoIcons" iconId="0"/>
              <x14:cfIcon iconSet="3Symbols2" iconId="1"/>
              <x14:cfIcon iconSet="3Symbols2" iconId="2"/>
            </x14:iconSet>
          </x14:cfRule>
          <xm:sqref>AJ26:AK27</xm:sqref>
        </x14:conditionalFormatting>
        <x14:conditionalFormatting xmlns:xm="http://schemas.microsoft.com/office/excel/2006/main">
          <x14:cfRule type="iconSet" priority="1302" id="{26C2B5C2-1DFB-4601-8A6B-B2805379F4DA}">
            <x14:iconSet showValue="0" custom="1">
              <x14:cfvo type="percent">
                <xm:f>0</xm:f>
              </x14:cfvo>
              <x14:cfvo type="num">
                <xm:f>0</xm:f>
              </x14:cfvo>
              <x14:cfvo type="num">
                <xm:f>1</xm:f>
              </x14:cfvo>
              <x14:cfIcon iconSet="NoIcons" iconId="0"/>
              <x14:cfIcon iconSet="3Symbols2" iconId="1"/>
              <x14:cfIcon iconSet="3Symbols2" iconId="2"/>
            </x14:iconSet>
          </x14:cfRule>
          <xm:sqref>T26:U31</xm:sqref>
        </x14:conditionalFormatting>
        <x14:conditionalFormatting xmlns:xm="http://schemas.microsoft.com/office/excel/2006/main">
          <x14:cfRule type="iconSet" priority="1401" id="{A886EC50-9D77-4C08-BC19-3E2DB9DE5A62}">
            <x14:iconSet showValue="0" custom="1">
              <x14:cfvo type="percent">
                <xm:f>0</xm:f>
              </x14:cfvo>
              <x14:cfvo type="num">
                <xm:f>0</xm:f>
              </x14:cfvo>
              <x14:cfvo type="num">
                <xm:f>1</xm:f>
              </x14:cfvo>
              <x14:cfIcon iconSet="NoIcons" iconId="0"/>
              <x14:cfIcon iconSet="3Symbols2" iconId="1"/>
              <x14:cfIcon iconSet="3Symbols2" iconId="2"/>
            </x14:iconSet>
          </x14:cfRule>
          <xm:sqref>AJ55:AK56</xm:sqref>
        </x14:conditionalFormatting>
        <x14:conditionalFormatting xmlns:xm="http://schemas.microsoft.com/office/excel/2006/main">
          <x14:cfRule type="iconSet" priority="1402" id="{13324D33-353E-4135-A444-0B14099DD6F4}">
            <x14:iconSet showValue="0" custom="1">
              <x14:cfvo type="percent">
                <xm:f>0</xm:f>
              </x14:cfvo>
              <x14:cfvo type="num">
                <xm:f>0</xm:f>
              </x14:cfvo>
              <x14:cfvo type="num">
                <xm:f>1</xm:f>
              </x14:cfvo>
              <x14:cfIcon iconSet="NoIcons" iconId="0"/>
              <x14:cfIcon iconSet="3Symbols2" iconId="1"/>
              <x14:cfIcon iconSet="3Symbols2" iconId="2"/>
            </x14:iconSet>
          </x14:cfRule>
          <xm:sqref>AJ53:AK54</xm:sqref>
        </x14:conditionalFormatting>
        <x14:conditionalFormatting xmlns:xm="http://schemas.microsoft.com/office/excel/2006/main">
          <x14:cfRule type="iconSet" priority="1524" id="{9F6B215B-E9FF-4EAD-BA0F-2C6D7831F810}">
            <x14:iconSet showValue="0" custom="1">
              <x14:cfvo type="percent">
                <xm:f>0</xm:f>
              </x14:cfvo>
              <x14:cfvo type="num">
                <xm:f>0</xm:f>
              </x14:cfvo>
              <x14:cfvo type="num">
                <xm:f>1</xm:f>
              </x14:cfvo>
              <x14:cfIcon iconSet="NoIcons" iconId="0"/>
              <x14:cfIcon iconSet="3Symbols2" iconId="1"/>
              <x14:cfIcon iconSet="3Symbols2" iconId="2"/>
            </x14:iconSet>
          </x14:cfRule>
          <xm:sqref>AJ57:AK58</xm:sqref>
        </x14:conditionalFormatting>
        <x14:conditionalFormatting xmlns:xm="http://schemas.microsoft.com/office/excel/2006/main">
          <x14:cfRule type="iconSet" priority="37" id="{A87A96DF-74DB-4231-9130-7A8488B51875}">
            <x14:iconSet showValue="0" custom="1">
              <x14:cfvo type="percent">
                <xm:f>0</xm:f>
              </x14:cfvo>
              <x14:cfvo type="num">
                <xm:f>0</xm:f>
              </x14:cfvo>
              <x14:cfvo type="num">
                <xm:f>1</xm:f>
              </x14:cfvo>
              <x14:cfIcon iconSet="NoIcons" iconId="0"/>
              <x14:cfIcon iconSet="3Symbols2" iconId="1"/>
              <x14:cfIcon iconSet="3Symbols2" iconId="2"/>
            </x14:iconSet>
          </x14:cfRule>
          <xm:sqref>T9</xm:sqref>
        </x14:conditionalFormatting>
        <x14:conditionalFormatting xmlns:xm="http://schemas.microsoft.com/office/excel/2006/main">
          <x14:cfRule type="iconSet" priority="34" id="{0EBB597A-0509-405C-BBB3-5EE6381269D4}">
            <x14:iconSet showValue="0" custom="1">
              <x14:cfvo type="percent">
                <xm:f>0</xm:f>
              </x14:cfvo>
              <x14:cfvo type="num">
                <xm:f>0</xm:f>
              </x14:cfvo>
              <x14:cfvo type="num">
                <xm:f>1</xm:f>
              </x14:cfvo>
              <x14:cfIcon iconSet="NoIcons" iconId="0"/>
              <x14:cfIcon iconSet="3Symbols2" iconId="1"/>
              <x14:cfIcon iconSet="3Symbols2" iconId="2"/>
            </x14:iconSet>
          </x14:cfRule>
          <xm:sqref>T13</xm:sqref>
        </x14:conditionalFormatting>
        <x14:conditionalFormatting xmlns:xm="http://schemas.microsoft.com/office/excel/2006/main">
          <x14:cfRule type="iconSet" priority="31" id="{8983D4CB-E966-4BDA-9B32-79786AECF5C3}">
            <x14:iconSet showValue="0" custom="1">
              <x14:cfvo type="percent">
                <xm:f>0</xm:f>
              </x14:cfvo>
              <x14:cfvo type="num">
                <xm:f>0</xm:f>
              </x14:cfvo>
              <x14:cfvo type="num">
                <xm:f>1</xm:f>
              </x14:cfvo>
              <x14:cfIcon iconSet="NoIcons" iconId="0"/>
              <x14:cfIcon iconSet="3Symbols2" iconId="1"/>
              <x14:cfIcon iconSet="3Symbols2" iconId="2"/>
            </x14:iconSet>
          </x14:cfRule>
          <xm:sqref>T19</xm:sqref>
        </x14:conditionalFormatting>
        <x14:conditionalFormatting xmlns:xm="http://schemas.microsoft.com/office/excel/2006/main">
          <x14:cfRule type="iconSet" priority="26" id="{0F9E0CF6-7BE9-4DAD-87F2-FF093DCC9D92}">
            <x14:iconSet showValue="0" custom="1">
              <x14:cfvo type="percent">
                <xm:f>0</xm:f>
              </x14:cfvo>
              <x14:cfvo type="num">
                <xm:f>0</xm:f>
              </x14:cfvo>
              <x14:cfvo type="num">
                <xm:f>1</xm:f>
              </x14:cfvo>
              <x14:cfIcon iconSet="NoIcons" iconId="0"/>
              <x14:cfIcon iconSet="3Symbols2" iconId="1"/>
              <x14:cfIcon iconSet="3Symbols2" iconId="2"/>
            </x14:iconSet>
          </x14:cfRule>
          <xm:sqref>T46</xm:sqref>
        </x14:conditionalFormatting>
        <x14:conditionalFormatting xmlns:xm="http://schemas.microsoft.com/office/excel/2006/main">
          <x14:cfRule type="iconSet" priority="19" id="{CB462BAF-1888-428C-A7C5-41A87DC9E2C1}">
            <x14:iconSet showValue="0" custom="1">
              <x14:cfvo type="percent">
                <xm:f>0</xm:f>
              </x14:cfvo>
              <x14:cfvo type="num">
                <xm:f>0</xm:f>
              </x14:cfvo>
              <x14:cfvo type="num">
                <xm:f>1</xm:f>
              </x14:cfvo>
              <x14:cfIcon iconSet="NoIcons" iconId="0"/>
              <x14:cfIcon iconSet="3Symbols2" iconId="1"/>
              <x14:cfIcon iconSet="3Symbols2" iconId="2"/>
            </x14:iconSet>
          </x14:cfRule>
          <xm:sqref>AJ28:AK29</xm:sqref>
        </x14:conditionalFormatting>
        <x14:conditionalFormatting xmlns:xm="http://schemas.microsoft.com/office/excel/2006/main">
          <x14:cfRule type="iconSet" priority="18" id="{17B42F13-5B2E-4C9D-9E8B-886619E2AE33}">
            <x14:iconSet showValue="0" custom="1">
              <x14:cfvo type="percent">
                <xm:f>0</xm:f>
              </x14:cfvo>
              <x14:cfvo type="num">
                <xm:f>0</xm:f>
              </x14:cfvo>
              <x14:cfvo type="num">
                <xm:f>1</xm:f>
              </x14:cfvo>
              <x14:cfIcon iconSet="NoIcons" iconId="0"/>
              <x14:cfIcon iconSet="3Symbols2" iconId="1"/>
              <x14:cfIcon iconSet="3Symbols2" iconId="2"/>
            </x14:iconSet>
          </x14:cfRule>
          <xm:sqref>AJ30:AK31</xm:sqref>
        </x14:conditionalFormatting>
        <x14:conditionalFormatting xmlns:xm="http://schemas.microsoft.com/office/excel/2006/main">
          <x14:cfRule type="iconSet" priority="4668" id="{E4502F68-9700-46E9-A5BA-1C3ED87A0B53}">
            <x14:iconSet showValue="0" custom="1">
              <x14:cfvo type="percent">
                <xm:f>0</xm:f>
              </x14:cfvo>
              <x14:cfvo type="num">
                <xm:f>0</xm:f>
              </x14:cfvo>
              <x14:cfvo type="num">
                <xm:f>1</xm:f>
              </x14:cfvo>
              <x14:cfIcon iconSet="NoIcons" iconId="0"/>
              <x14:cfIcon iconSet="3Symbols2" iconId="1"/>
              <x14:cfIcon iconSet="3Symbols2" iconId="2"/>
            </x14:iconSet>
          </x14:cfRule>
          <xm:sqref>T53:U58</xm:sqref>
        </x14:conditionalFormatting>
        <x14:conditionalFormatting xmlns:xm="http://schemas.microsoft.com/office/excel/2006/main">
          <x14:cfRule type="iconSet" priority="8" id="{2CE1B79C-529F-42C3-A5FA-EBFE34B0064D}">
            <x14:iconSet showValue="0" custom="1">
              <x14:cfvo type="percent">
                <xm:f>0</xm:f>
              </x14:cfvo>
              <x14:cfvo type="num">
                <xm:f>0</xm:f>
              </x14:cfvo>
              <x14:cfvo type="num">
                <xm:f>1</xm:f>
              </x14:cfvo>
              <x14:cfIcon iconSet="NoIcons" iconId="0"/>
              <x14:cfIcon iconSet="3Symbols2" iconId="1"/>
              <x14:cfIcon iconSet="3Symbols2" iconId="2"/>
            </x14:iconSet>
          </x14:cfRule>
          <xm:sqref>AJ59:AK60</xm:sqref>
        </x14:conditionalFormatting>
        <x14:conditionalFormatting xmlns:xm="http://schemas.microsoft.com/office/excel/2006/main">
          <x14:cfRule type="iconSet" priority="9" id="{4D0C4E1D-F7BB-49BA-AB99-4ABD4B2F0414}">
            <x14:iconSet showValue="0" custom="1">
              <x14:cfvo type="percent">
                <xm:f>0</xm:f>
              </x14:cfvo>
              <x14:cfvo type="num">
                <xm:f>0</xm:f>
              </x14:cfvo>
              <x14:cfvo type="num">
                <xm:f>1</xm:f>
              </x14:cfvo>
              <x14:cfIcon iconSet="NoIcons" iconId="0"/>
              <x14:cfIcon iconSet="3Symbols2" iconId="1"/>
              <x14:cfIcon iconSet="3Symbols2" iconId="2"/>
            </x14:iconSet>
          </x14:cfRule>
          <xm:sqref>T59:U60</xm:sqref>
        </x14:conditionalFormatting>
        <x14:conditionalFormatting xmlns:xm="http://schemas.microsoft.com/office/excel/2006/main">
          <x14:cfRule type="iconSet" priority="6" id="{1D7101FD-ACF6-4EE4-859C-998A53C52DD8}">
            <x14:iconSet showValue="0" custom="1">
              <x14:cfvo type="percent">
                <xm:f>0</xm:f>
              </x14:cfvo>
              <x14:cfvo type="num">
                <xm:f>0</xm:f>
              </x14:cfvo>
              <x14:cfvo type="num">
                <xm:f>1</xm:f>
              </x14:cfvo>
              <x14:cfIcon iconSet="NoIcons" iconId="0"/>
              <x14:cfIcon iconSet="3Symbols2" iconId="1"/>
              <x14:cfIcon iconSet="3Symbols2" iconId="2"/>
            </x14:iconSet>
          </x14:cfRule>
          <xm:sqref>AJ32:AK33</xm:sqref>
        </x14:conditionalFormatting>
        <x14:conditionalFormatting xmlns:xm="http://schemas.microsoft.com/office/excel/2006/main">
          <x14:cfRule type="iconSet" priority="7" id="{A07C3B2A-AFE4-488D-A83F-9723B09BFF6E}">
            <x14:iconSet showValue="0" custom="1">
              <x14:cfvo type="percent">
                <xm:f>0</xm:f>
              </x14:cfvo>
              <x14:cfvo type="num">
                <xm:f>0</xm:f>
              </x14:cfvo>
              <x14:cfvo type="num">
                <xm:f>1</xm:f>
              </x14:cfvo>
              <x14:cfIcon iconSet="NoIcons" iconId="0"/>
              <x14:cfIcon iconSet="3Symbols2" iconId="1"/>
              <x14:cfIcon iconSet="3Symbols2" iconId="2"/>
            </x14:iconSet>
          </x14:cfRule>
          <xm:sqref>T32:U33</xm:sqref>
        </x14:conditionalFormatting>
      </x14:conditionalFormattings>
    </ext>
    <ext xmlns:x14="http://schemas.microsoft.com/office/spreadsheetml/2009/9/main" uri="{CCE6A557-97BC-4b89-ADB6-D9C93CAAB3DF}">
      <x14:dataValidations xmlns:xm="http://schemas.microsoft.com/office/excel/2006/main" xWindow="728" yWindow="659" count="1">
        <x14:dataValidation type="list" allowBlank="1" showInputMessage="1" showErrorMessage="1" errorTitle="Oops!" error="Sorry, you can only use the options from the dropdown list!" promptTitle="What type of offer?" prompt="Are you making a cash offer for the property or will you require financing?  " xr:uid="{00000000-0002-0000-0700-00000C000000}">
          <x14:formula1>
            <xm:f>LISTS!$M$21:$M$22</xm:f>
          </x14:formula1>
          <xm:sqref>BJ10 BJ12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wsHOME">
    <tabColor theme="4"/>
  </sheetPr>
  <dimension ref="A1:DI80"/>
  <sheetViews>
    <sheetView showGridLines="0" showRowColHeaders="0" tabSelected="1" zoomScaleNormal="100" workbookViewId="0">
      <pane ySplit="1" topLeftCell="A2" activePane="bottomLeft" state="frozen"/>
      <selection pane="bottomLeft" activeCell="D10" sqref="D10:J11"/>
    </sheetView>
  </sheetViews>
  <sheetFormatPr defaultColWidth="2.09765625" defaultRowHeight="15.7"/>
  <cols>
    <col min="1" max="7" width="2.09765625" style="909" customWidth="1"/>
    <col min="8" max="8" width="2.09765625" style="909"/>
    <col min="9" max="56" width="2.09765625" style="909" customWidth="1"/>
    <col min="57" max="57" width="2.19921875" style="909" customWidth="1"/>
    <col min="58" max="73" width="2.09765625" style="909" customWidth="1"/>
    <col min="74" max="96" width="2.09765625" style="909"/>
    <col min="97" max="97" width="5.8984375" style="909" hidden="1" customWidth="1"/>
    <col min="98" max="102" width="2.09765625" style="909"/>
    <col min="103" max="103" width="1.8984375" style="909" customWidth="1"/>
    <col min="104" max="16384" width="2.09765625" style="909"/>
  </cols>
  <sheetData>
    <row r="1" spans="1:113" ht="44.45" customHeight="1">
      <c r="A1" s="253"/>
      <c r="B1" s="1775"/>
      <c r="C1" s="1775"/>
      <c r="D1" s="1775"/>
      <c r="E1" s="1775"/>
      <c r="F1" s="1775"/>
      <c r="G1" s="1775"/>
      <c r="H1" s="1775"/>
      <c r="I1" s="1775"/>
      <c r="J1" s="1775"/>
      <c r="K1" s="1775"/>
      <c r="L1" s="1775"/>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346" t="s">
        <v>1126</v>
      </c>
      <c r="CT1" s="253"/>
      <c r="CU1" s="253"/>
      <c r="CV1" s="253"/>
      <c r="CW1" s="253"/>
      <c r="CX1" s="253"/>
      <c r="CY1" s="253"/>
      <c r="CZ1" s="253"/>
      <c r="DA1" s="253"/>
      <c r="DB1" s="253"/>
      <c r="DC1" s="253"/>
      <c r="DD1" s="253"/>
      <c r="DE1" s="253"/>
      <c r="DF1" s="253"/>
      <c r="DG1" s="253"/>
      <c r="DH1" s="253"/>
      <c r="DI1" s="253"/>
    </row>
    <row r="2" spans="1:113">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row>
    <row r="3" spans="1:113" ht="15.6" customHeight="1">
      <c r="A3" s="254"/>
      <c r="B3" s="254"/>
      <c r="C3" s="254"/>
      <c r="D3" s="254"/>
      <c r="E3" s="254"/>
      <c r="F3" s="254"/>
      <c r="G3" s="254"/>
      <c r="H3" s="254"/>
      <c r="I3" s="254"/>
      <c r="J3" s="254"/>
      <c r="K3" s="254"/>
      <c r="L3" s="254"/>
      <c r="M3" s="344"/>
      <c r="N3" s="255"/>
      <c r="O3" s="255"/>
      <c r="P3" s="900"/>
      <c r="Q3" s="900"/>
      <c r="R3" s="900"/>
      <c r="S3" s="900"/>
      <c r="T3" s="900"/>
      <c r="U3" s="900"/>
      <c r="V3" s="900"/>
      <c r="W3" s="900"/>
      <c r="X3" s="900"/>
      <c r="Y3" s="900"/>
      <c r="Z3" s="900"/>
      <c r="AA3" s="900"/>
      <c r="AB3" s="345"/>
      <c r="AC3" s="345"/>
      <c r="AD3" s="345"/>
      <c r="AE3" s="345"/>
      <c r="AF3" s="345"/>
      <c r="AG3" s="345"/>
      <c r="AH3" s="345"/>
      <c r="AI3" s="345"/>
      <c r="AJ3" s="345"/>
      <c r="AK3" s="345"/>
      <c r="AL3" s="345"/>
      <c r="AM3" s="345"/>
      <c r="AN3" s="345"/>
      <c r="AO3" s="345"/>
      <c r="AP3" s="901"/>
      <c r="AQ3" s="901"/>
      <c r="AR3" s="901"/>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row>
    <row r="4" spans="1:113" ht="15.6" customHeight="1">
      <c r="A4" s="254"/>
      <c r="B4" s="254"/>
      <c r="C4" s="254"/>
      <c r="D4" s="254"/>
      <c r="E4" s="254"/>
      <c r="F4" s="254"/>
      <c r="G4" s="254"/>
      <c r="H4" s="254"/>
      <c r="I4" s="254"/>
      <c r="J4" s="254"/>
      <c r="K4" s="254"/>
      <c r="L4" s="254"/>
      <c r="M4" s="344"/>
      <c r="N4" s="255"/>
      <c r="O4" s="255"/>
      <c r="P4" s="1781" t="s">
        <v>1200</v>
      </c>
      <c r="Q4" s="1781"/>
      <c r="R4" s="1781"/>
      <c r="S4" s="1781"/>
      <c r="T4" s="1781"/>
      <c r="U4" s="1781"/>
      <c r="V4" s="1781"/>
      <c r="W4" s="1781"/>
      <c r="X4" s="1781"/>
      <c r="Y4" s="1781"/>
      <c r="Z4" s="1781"/>
      <c r="AA4" s="1781"/>
      <c r="AB4" s="1781"/>
      <c r="AC4" s="1781"/>
      <c r="AD4" s="1781"/>
      <c r="AE4" s="1787" t="s">
        <v>1001</v>
      </c>
      <c r="AF4" s="1787"/>
      <c r="AG4" s="1787"/>
      <c r="AH4" s="1787"/>
      <c r="AI4" s="1787"/>
      <c r="AJ4" s="1787"/>
      <c r="AK4" s="1787"/>
      <c r="AL4" s="1787"/>
      <c r="AM4" s="1787"/>
      <c r="AN4" s="1787"/>
      <c r="AO4" s="1787"/>
      <c r="AP4" s="1787"/>
      <c r="AQ4" s="1787"/>
      <c r="AR4" s="1787"/>
      <c r="AS4" s="1787"/>
      <c r="AT4" s="1787"/>
      <c r="AU4" s="255"/>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B4" s="255"/>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row>
    <row r="5" spans="1:113" ht="15.6" customHeight="1">
      <c r="A5" s="254"/>
      <c r="B5" s="254"/>
      <c r="C5" s="254"/>
      <c r="D5" s="254"/>
      <c r="E5" s="254"/>
      <c r="F5" s="254"/>
      <c r="G5" s="254"/>
      <c r="H5" s="254"/>
      <c r="I5" s="254"/>
      <c r="J5" s="254"/>
      <c r="K5" s="254"/>
      <c r="L5" s="254"/>
      <c r="M5" s="344"/>
      <c r="N5" s="255"/>
      <c r="O5" s="255"/>
      <c r="P5" s="1782"/>
      <c r="Q5" s="1782"/>
      <c r="R5" s="1782"/>
      <c r="S5" s="1782"/>
      <c r="T5" s="1782"/>
      <c r="U5" s="1782"/>
      <c r="V5" s="1782"/>
      <c r="W5" s="1782"/>
      <c r="X5" s="1782"/>
      <c r="Y5" s="1782"/>
      <c r="Z5" s="1782"/>
      <c r="AA5" s="1782"/>
      <c r="AB5" s="1782"/>
      <c r="AC5" s="1782"/>
      <c r="AD5" s="1782"/>
      <c r="AE5" s="1788"/>
      <c r="AF5" s="1788"/>
      <c r="AG5" s="1788"/>
      <c r="AH5" s="1788"/>
      <c r="AI5" s="1788"/>
      <c r="AJ5" s="1788"/>
      <c r="AK5" s="1788"/>
      <c r="AL5" s="1788"/>
      <c r="AM5" s="1788"/>
      <c r="AN5" s="1788"/>
      <c r="AO5" s="1788"/>
      <c r="AP5" s="1788"/>
      <c r="AQ5" s="1788"/>
      <c r="AR5" s="1788"/>
      <c r="AS5" s="1788"/>
      <c r="AT5" s="1788"/>
      <c r="AU5" s="260"/>
      <c r="AV5" s="260"/>
      <c r="AW5" s="260"/>
      <c r="AX5" s="260"/>
      <c r="AY5" s="260"/>
      <c r="AZ5" s="260"/>
      <c r="BA5" s="260"/>
      <c r="BB5" s="260"/>
      <c r="BC5" s="260"/>
      <c r="BD5" s="260"/>
      <c r="BE5" s="260"/>
      <c r="BF5" s="260"/>
      <c r="BG5" s="260"/>
      <c r="BH5" s="260"/>
      <c r="BI5" s="260"/>
      <c r="BJ5" s="260"/>
      <c r="BK5" s="260"/>
      <c r="BL5" s="260"/>
      <c r="BM5" s="260"/>
      <c r="BN5" s="260"/>
      <c r="BO5" s="260"/>
      <c r="BP5" s="260"/>
      <c r="BQ5" s="260"/>
      <c r="BR5" s="260"/>
      <c r="BS5" s="260"/>
      <c r="BT5" s="260"/>
      <c r="BU5" s="260"/>
      <c r="BV5" s="260"/>
      <c r="BW5" s="260"/>
      <c r="BX5" s="260"/>
      <c r="BY5" s="260"/>
      <c r="BZ5" s="260"/>
      <c r="CA5" s="255"/>
      <c r="CB5" s="255"/>
      <c r="CC5" s="254"/>
      <c r="CD5" s="254"/>
      <c r="CE5" s="254"/>
      <c r="CF5" s="254"/>
      <c r="CG5" s="254"/>
      <c r="CH5" s="254"/>
      <c r="CI5" s="254"/>
      <c r="CJ5" s="254"/>
      <c r="CK5" s="254"/>
      <c r="CL5" s="254"/>
      <c r="CM5" s="254"/>
      <c r="CN5" s="254"/>
      <c r="CO5" s="254"/>
      <c r="CP5" s="254"/>
      <c r="CQ5" s="254"/>
      <c r="CR5" s="254"/>
      <c r="CS5" s="254"/>
      <c r="CT5" s="254"/>
      <c r="CU5" s="254"/>
      <c r="CV5" s="254"/>
      <c r="CW5" s="254"/>
      <c r="CX5" s="254"/>
      <c r="CY5" s="254"/>
      <c r="CZ5" s="254"/>
      <c r="DA5" s="254"/>
      <c r="DB5" s="254"/>
      <c r="DC5" s="254"/>
      <c r="DD5" s="254"/>
      <c r="DE5" s="254"/>
      <c r="DF5" s="254"/>
      <c r="DG5" s="254"/>
      <c r="DH5" s="254"/>
      <c r="DI5" s="254"/>
    </row>
    <row r="6" spans="1:113" ht="15.6" customHeight="1">
      <c r="A6" s="257"/>
      <c r="B6" s="257"/>
      <c r="C6" s="1800" t="s">
        <v>1182</v>
      </c>
      <c r="D6" s="1800"/>
      <c r="E6" s="1800"/>
      <c r="F6" s="1800"/>
      <c r="G6" s="1800"/>
      <c r="H6" s="1800"/>
      <c r="I6" s="1800"/>
      <c r="J6" s="1800"/>
      <c r="K6" s="1800"/>
      <c r="L6" s="257"/>
      <c r="M6" s="899"/>
      <c r="N6" s="255"/>
      <c r="O6" s="255"/>
      <c r="P6" s="255"/>
      <c r="Q6" s="255"/>
      <c r="R6" s="255"/>
      <c r="S6" s="255"/>
      <c r="T6" s="255"/>
      <c r="U6" s="255"/>
      <c r="V6" s="255"/>
      <c r="W6" s="255"/>
      <c r="X6" s="255"/>
      <c r="Y6" s="255"/>
      <c r="Z6" s="255"/>
      <c r="AA6" s="255"/>
      <c r="AB6" s="255"/>
      <c r="AC6" s="255"/>
      <c r="AD6" s="255"/>
      <c r="AE6" s="255"/>
      <c r="AF6" s="255"/>
      <c r="AG6" s="255"/>
      <c r="AH6" s="255"/>
      <c r="AI6" s="255"/>
      <c r="AJ6" s="255"/>
      <c r="AK6" s="255"/>
      <c r="AL6" s="255"/>
      <c r="AM6" s="255"/>
      <c r="AN6" s="255"/>
      <c r="AO6" s="255"/>
      <c r="AP6" s="255"/>
      <c r="AQ6" s="255"/>
      <c r="AR6" s="255"/>
      <c r="AS6" s="255"/>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B6" s="255"/>
      <c r="CC6" s="254"/>
      <c r="CD6" s="254"/>
      <c r="CE6" s="254"/>
      <c r="CF6" s="254"/>
      <c r="CG6" s="254"/>
      <c r="CH6" s="254"/>
      <c r="CI6" s="254"/>
      <c r="CJ6" s="254"/>
      <c r="CK6" s="254"/>
      <c r="CL6" s="254"/>
      <c r="CM6" s="254"/>
      <c r="CN6" s="254"/>
      <c r="CO6" s="254"/>
      <c r="CP6" s="254"/>
      <c r="CQ6" s="254"/>
      <c r="CR6" s="254"/>
      <c r="CS6" s="254"/>
      <c r="CT6" s="254"/>
      <c r="CU6" s="254"/>
      <c r="CV6" s="254"/>
      <c r="CW6" s="254"/>
      <c r="CX6" s="254"/>
      <c r="CY6" s="254"/>
      <c r="CZ6" s="254"/>
      <c r="DA6" s="254"/>
      <c r="DB6" s="254"/>
      <c r="DC6" s="254"/>
      <c r="DD6" s="254"/>
      <c r="DE6" s="254"/>
      <c r="DF6" s="254"/>
      <c r="DG6" s="254"/>
      <c r="DH6" s="254"/>
      <c r="DI6" s="254"/>
    </row>
    <row r="7" spans="1:113" ht="15.6" customHeight="1">
      <c r="A7" s="257"/>
      <c r="B7" s="257"/>
      <c r="C7" s="1801"/>
      <c r="D7" s="1801"/>
      <c r="E7" s="1801"/>
      <c r="F7" s="1801"/>
      <c r="G7" s="1801"/>
      <c r="H7" s="1801"/>
      <c r="I7" s="1801"/>
      <c r="J7" s="1801"/>
      <c r="K7" s="1801"/>
      <c r="L7" s="257"/>
      <c r="M7" s="899"/>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row>
    <row r="8" spans="1:113" ht="15.6" customHeight="1">
      <c r="A8" s="257"/>
      <c r="B8" s="257"/>
      <c r="C8" s="255"/>
      <c r="D8" s="255"/>
      <c r="E8" s="255"/>
      <c r="F8" s="255"/>
      <c r="G8" s="255"/>
      <c r="H8" s="255"/>
      <c r="I8" s="255"/>
      <c r="J8" s="255"/>
      <c r="K8" s="255"/>
      <c r="L8" s="257"/>
      <c r="M8" s="899"/>
      <c r="N8" s="255"/>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4"/>
      <c r="CD8" s="254"/>
      <c r="CE8" s="254"/>
      <c r="CF8" s="254"/>
      <c r="CG8" s="254"/>
      <c r="CH8" s="254"/>
      <c r="CI8" s="254"/>
      <c r="CJ8" s="254"/>
      <c r="CK8" s="254"/>
      <c r="CL8" s="254"/>
      <c r="CM8" s="254"/>
      <c r="CN8" s="254"/>
      <c r="CO8" s="254"/>
      <c r="CP8" s="254"/>
      <c r="CQ8" s="254"/>
      <c r="CR8" s="254"/>
      <c r="CS8" s="254"/>
      <c r="CT8" s="254"/>
      <c r="CU8" s="254"/>
      <c r="CV8" s="254"/>
      <c r="CW8" s="254"/>
      <c r="CX8" s="254"/>
      <c r="CY8" s="254"/>
      <c r="CZ8" s="254"/>
      <c r="DA8" s="254"/>
      <c r="DB8" s="254"/>
      <c r="DC8" s="254"/>
      <c r="DD8" s="254"/>
      <c r="DE8" s="254"/>
      <c r="DF8" s="254"/>
      <c r="DG8" s="254"/>
      <c r="DH8" s="254"/>
      <c r="DI8" s="254"/>
    </row>
    <row r="9" spans="1:113" ht="15.6" customHeight="1">
      <c r="A9" s="257"/>
      <c r="B9" s="257"/>
      <c r="C9" s="255"/>
      <c r="D9" s="1793" t="s">
        <v>1180</v>
      </c>
      <c r="E9" s="1793"/>
      <c r="F9" s="1793"/>
      <c r="G9" s="1793"/>
      <c r="H9" s="1793"/>
      <c r="I9" s="1793"/>
      <c r="J9" s="1793"/>
      <c r="K9" s="255"/>
      <c r="L9" s="257"/>
      <c r="M9" s="899"/>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A9" s="255"/>
      <c r="CB9" s="255"/>
      <c r="CC9" s="254"/>
      <c r="CD9" s="254"/>
      <c r="CE9" s="254"/>
      <c r="CF9" s="254"/>
      <c r="CG9" s="254"/>
      <c r="CH9" s="254"/>
      <c r="CI9" s="254"/>
      <c r="CJ9" s="254"/>
      <c r="CK9" s="254"/>
      <c r="CL9" s="254"/>
      <c r="CM9" s="254"/>
      <c r="CN9" s="254"/>
      <c r="CO9" s="254"/>
      <c r="CP9" s="254"/>
      <c r="CQ9" s="254"/>
      <c r="CR9" s="254"/>
      <c r="CS9" s="254"/>
      <c r="CT9" s="254"/>
      <c r="CU9" s="254"/>
      <c r="CV9" s="254"/>
      <c r="CW9" s="254"/>
      <c r="CX9" s="254"/>
      <c r="CY9" s="254"/>
      <c r="CZ9" s="254"/>
      <c r="DA9" s="254"/>
      <c r="DB9" s="254"/>
      <c r="DC9" s="254"/>
      <c r="DD9" s="254"/>
      <c r="DE9" s="254"/>
      <c r="DF9" s="254"/>
      <c r="DG9" s="254"/>
      <c r="DH9" s="254"/>
      <c r="DI9" s="254"/>
    </row>
    <row r="10" spans="1:113" ht="15.6" customHeight="1">
      <c r="A10" s="257"/>
      <c r="B10" s="257"/>
      <c r="C10" s="906"/>
      <c r="D10" s="1794">
        <v>1</v>
      </c>
      <c r="E10" s="1795"/>
      <c r="F10" s="1795"/>
      <c r="G10" s="1795"/>
      <c r="H10" s="1795"/>
      <c r="I10" s="1795"/>
      <c r="J10" s="1796"/>
      <c r="K10" s="906"/>
      <c r="L10" s="257"/>
      <c r="M10" s="899"/>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B10" s="255"/>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row>
    <row r="11" spans="1:113" ht="15.6" customHeight="1">
      <c r="A11" s="257"/>
      <c r="B11" s="257"/>
      <c r="C11" s="906"/>
      <c r="D11" s="1797"/>
      <c r="E11" s="1798"/>
      <c r="F11" s="1798"/>
      <c r="G11" s="1798"/>
      <c r="H11" s="1798"/>
      <c r="I11" s="1798"/>
      <c r="J11" s="1799"/>
      <c r="K11" s="906"/>
      <c r="L11" s="257"/>
      <c r="M11" s="899"/>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A11" s="255"/>
      <c r="CB11" s="255"/>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row>
    <row r="12" spans="1:113">
      <c r="A12" s="254"/>
      <c r="B12" s="254"/>
      <c r="C12" s="1789" t="s">
        <v>1562</v>
      </c>
      <c r="D12" s="1789"/>
      <c r="E12" s="1789"/>
      <c r="F12" s="1789"/>
      <c r="G12" s="1789"/>
      <c r="H12" s="1789"/>
      <c r="I12" s="1789"/>
      <c r="J12" s="1789"/>
      <c r="K12" s="1789"/>
      <c r="L12" s="254"/>
      <c r="M12" s="344"/>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255"/>
      <c r="BP12" s="255"/>
      <c r="BQ12" s="255"/>
      <c r="BR12" s="255"/>
      <c r="BS12" s="255"/>
      <c r="BT12" s="255"/>
      <c r="BU12" s="255"/>
      <c r="BV12" s="255"/>
      <c r="BW12" s="255"/>
      <c r="BX12" s="255"/>
      <c r="BY12" s="255"/>
      <c r="BZ12" s="255"/>
      <c r="CA12" s="255"/>
      <c r="CB12" s="255"/>
      <c r="CC12" s="254"/>
      <c r="CD12" s="254"/>
      <c r="CE12" s="254"/>
      <c r="CF12" s="254"/>
      <c r="CG12" s="254"/>
      <c r="CH12" s="254"/>
      <c r="CI12" s="254"/>
      <c r="CJ12" s="254"/>
      <c r="CK12" s="254"/>
      <c r="CL12" s="254"/>
      <c r="CM12" s="254"/>
      <c r="CN12" s="254"/>
      <c r="CO12" s="254"/>
      <c r="CP12" s="254"/>
      <c r="CQ12" s="254"/>
      <c r="CR12" s="254"/>
      <c r="CS12" s="254"/>
      <c r="CT12" s="254"/>
      <c r="CU12" s="254"/>
      <c r="CV12" s="254"/>
      <c r="CW12" s="254"/>
      <c r="CX12" s="254"/>
      <c r="CY12" s="254"/>
      <c r="CZ12" s="254"/>
      <c r="DA12" s="254"/>
      <c r="DB12" s="254"/>
      <c r="DC12" s="254"/>
      <c r="DD12" s="254"/>
      <c r="DE12" s="254"/>
      <c r="DF12" s="254"/>
      <c r="DG12" s="254"/>
      <c r="DH12" s="254"/>
      <c r="DI12" s="254"/>
    </row>
    <row r="13" spans="1:113">
      <c r="A13" s="254"/>
      <c r="B13" s="254"/>
      <c r="C13" s="1789"/>
      <c r="D13" s="1789"/>
      <c r="E13" s="1789"/>
      <c r="F13" s="1789"/>
      <c r="G13" s="1789"/>
      <c r="H13" s="1789"/>
      <c r="I13" s="1789"/>
      <c r="J13" s="1789"/>
      <c r="K13" s="1789"/>
      <c r="L13" s="254"/>
      <c r="M13" s="344"/>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255"/>
      <c r="BP13" s="255"/>
      <c r="BQ13" s="255"/>
      <c r="BR13" s="255"/>
      <c r="BS13" s="255"/>
      <c r="BT13" s="255"/>
      <c r="BU13" s="255"/>
      <c r="BV13" s="255"/>
      <c r="BW13" s="255"/>
      <c r="BX13" s="255"/>
      <c r="BY13" s="255"/>
      <c r="BZ13" s="255"/>
      <c r="CA13" s="255"/>
      <c r="CB13" s="255"/>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row>
    <row r="14" spans="1:113">
      <c r="A14" s="254"/>
      <c r="B14" s="254"/>
      <c r="C14" s="1789"/>
      <c r="D14" s="1789"/>
      <c r="E14" s="1789"/>
      <c r="F14" s="1789"/>
      <c r="G14" s="1789"/>
      <c r="H14" s="1789"/>
      <c r="I14" s="1789"/>
      <c r="J14" s="1789"/>
      <c r="K14" s="1789"/>
      <c r="L14" s="254"/>
      <c r="M14" s="344"/>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255"/>
      <c r="AL14" s="255"/>
      <c r="AM14" s="255"/>
      <c r="AN14" s="255"/>
      <c r="AO14" s="255"/>
      <c r="AP14" s="255"/>
      <c r="AQ14" s="255"/>
      <c r="AR14" s="255"/>
      <c r="AS14" s="255"/>
      <c r="AT14" s="255"/>
      <c r="AU14" s="255"/>
      <c r="AV14" s="255"/>
      <c r="AW14" s="255"/>
      <c r="AX14" s="255"/>
      <c r="AY14" s="255"/>
      <c r="AZ14" s="255"/>
      <c r="BA14" s="255"/>
      <c r="BB14" s="255"/>
      <c r="BC14" s="255"/>
      <c r="BD14" s="255"/>
      <c r="BE14" s="255"/>
      <c r="BF14" s="255"/>
      <c r="BG14" s="255"/>
      <c r="BH14" s="255"/>
      <c r="BI14" s="255"/>
      <c r="BJ14" s="255"/>
      <c r="BK14" s="255"/>
      <c r="BL14" s="255"/>
      <c r="BM14" s="255"/>
      <c r="BN14" s="255"/>
      <c r="BO14" s="255"/>
      <c r="BP14" s="255"/>
      <c r="BQ14" s="255"/>
      <c r="BR14" s="255"/>
      <c r="BS14" s="255"/>
      <c r="BT14" s="255"/>
      <c r="BU14" s="255"/>
      <c r="BV14" s="255"/>
      <c r="BW14" s="255"/>
      <c r="BX14" s="255"/>
      <c r="BY14" s="255"/>
      <c r="BZ14" s="255"/>
      <c r="CA14" s="255"/>
      <c r="CB14" s="255"/>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row>
    <row r="15" spans="1:113">
      <c r="A15" s="254"/>
      <c r="B15" s="254"/>
      <c r="C15" s="254"/>
      <c r="D15" s="254"/>
      <c r="E15" s="254"/>
      <c r="F15" s="254"/>
      <c r="G15" s="254"/>
      <c r="H15" s="254"/>
      <c r="I15" s="254"/>
      <c r="J15" s="254"/>
      <c r="K15" s="254"/>
      <c r="L15" s="254"/>
      <c r="M15" s="344"/>
      <c r="N15" s="255"/>
      <c r="O15" s="255"/>
      <c r="P15" s="284"/>
      <c r="Q15" s="284"/>
      <c r="R15" s="284"/>
      <c r="S15" s="284"/>
      <c r="T15" s="284"/>
      <c r="U15" s="284"/>
      <c r="V15" s="284"/>
      <c r="W15" s="898"/>
      <c r="X15" s="898"/>
      <c r="Y15" s="1789" t="s">
        <v>1655</v>
      </c>
      <c r="Z15" s="1789"/>
      <c r="AA15" s="1789"/>
      <c r="AB15" s="1789"/>
      <c r="AC15" s="1789"/>
      <c r="AD15" s="1789"/>
      <c r="AE15" s="1789"/>
      <c r="AF15" s="1789"/>
      <c r="AG15" s="255"/>
      <c r="AH15" s="898"/>
      <c r="AI15" s="898"/>
      <c r="AJ15" s="898"/>
      <c r="AK15" s="898"/>
      <c r="AL15" s="898"/>
      <c r="AM15" s="898"/>
      <c r="AN15" s="898"/>
      <c r="AO15" s="898"/>
      <c r="AP15" s="255"/>
      <c r="AQ15" s="255"/>
      <c r="AR15" s="1789" t="s">
        <v>875</v>
      </c>
      <c r="AS15" s="1789"/>
      <c r="AT15" s="1789"/>
      <c r="AU15" s="1789"/>
      <c r="AV15" s="1789"/>
      <c r="AW15" s="1789"/>
      <c r="AX15" s="1789"/>
      <c r="AY15" s="1789"/>
      <c r="AZ15" s="898"/>
      <c r="BA15" s="284"/>
      <c r="BB15" s="255"/>
      <c r="BC15" s="255"/>
      <c r="BD15" s="259"/>
      <c r="BE15" s="898"/>
      <c r="BF15" s="898"/>
      <c r="BG15" s="898"/>
      <c r="BH15" s="898"/>
      <c r="BI15" s="898"/>
      <c r="BJ15" s="1789" t="s">
        <v>982</v>
      </c>
      <c r="BK15" s="1789"/>
      <c r="BL15" s="1789"/>
      <c r="BM15" s="1789"/>
      <c r="BN15" s="1789"/>
      <c r="BO15" s="1789"/>
      <c r="BP15" s="1789"/>
      <c r="BQ15" s="1789"/>
      <c r="BR15" s="1789"/>
      <c r="BS15" s="898"/>
      <c r="BT15" s="898"/>
      <c r="BU15" s="898"/>
      <c r="BV15" s="898"/>
      <c r="BW15" s="898"/>
      <c r="BX15" s="255"/>
      <c r="BY15" s="255"/>
      <c r="BZ15" s="255"/>
      <c r="CA15" s="255"/>
      <c r="CB15" s="255"/>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row>
    <row r="16" spans="1:113">
      <c r="A16" s="254"/>
      <c r="B16" s="254"/>
      <c r="C16" s="254"/>
      <c r="D16" s="254"/>
      <c r="E16" s="254"/>
      <c r="F16" s="254"/>
      <c r="G16" s="254"/>
      <c r="H16" s="254"/>
      <c r="I16" s="254"/>
      <c r="J16" s="254"/>
      <c r="K16" s="254"/>
      <c r="L16" s="254"/>
      <c r="M16" s="344"/>
      <c r="N16" s="255"/>
      <c r="O16" s="255"/>
      <c r="P16" s="883"/>
      <c r="Q16" s="883"/>
      <c r="R16" s="883"/>
      <c r="S16" s="883"/>
      <c r="T16" s="883"/>
      <c r="U16" s="284"/>
      <c r="V16" s="284"/>
      <c r="W16" s="883"/>
      <c r="X16" s="883"/>
      <c r="Y16" s="883"/>
      <c r="Z16" s="883"/>
      <c r="AA16" s="883"/>
      <c r="AB16" s="883"/>
      <c r="AC16" s="883"/>
      <c r="AD16" s="255"/>
      <c r="AE16" s="255"/>
      <c r="AF16" s="255"/>
      <c r="AG16" s="255"/>
      <c r="AH16" s="883"/>
      <c r="AI16" s="883"/>
      <c r="AJ16" s="883"/>
      <c r="AK16" s="883"/>
      <c r="AL16" s="883"/>
      <c r="AM16" s="883"/>
      <c r="AN16" s="883"/>
      <c r="AO16" s="883"/>
      <c r="AP16" s="255"/>
      <c r="AQ16" s="255"/>
      <c r="AR16" s="255"/>
      <c r="AS16" s="259"/>
      <c r="AT16" s="883"/>
      <c r="AU16" s="883"/>
      <c r="AV16" s="883"/>
      <c r="AW16" s="883"/>
      <c r="AX16" s="883"/>
      <c r="AY16" s="883"/>
      <c r="AZ16" s="883"/>
      <c r="BA16" s="284"/>
      <c r="BB16" s="255"/>
      <c r="BC16" s="255"/>
      <c r="BD16" s="259"/>
      <c r="BE16" s="883"/>
      <c r="BF16" s="883"/>
      <c r="BG16" s="883"/>
      <c r="BH16" s="883"/>
      <c r="BI16" s="883"/>
      <c r="BJ16" s="883"/>
      <c r="BK16" s="883"/>
      <c r="BL16" s="883"/>
      <c r="BM16" s="284"/>
      <c r="BN16" s="259"/>
      <c r="BO16" s="259"/>
      <c r="BP16" s="883"/>
      <c r="BQ16" s="883"/>
      <c r="BR16" s="883"/>
      <c r="BS16" s="883"/>
      <c r="BT16" s="883"/>
      <c r="BU16" s="883"/>
      <c r="BV16" s="883"/>
      <c r="BW16" s="883"/>
      <c r="BX16" s="255"/>
      <c r="BY16" s="255"/>
      <c r="BZ16" s="255"/>
      <c r="CA16" s="255"/>
      <c r="CB16" s="255"/>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row>
    <row r="17" spans="1:113" ht="18" customHeight="1">
      <c r="A17" s="254"/>
      <c r="B17" s="254"/>
      <c r="C17" s="254"/>
      <c r="D17" s="254"/>
      <c r="E17" s="254"/>
      <c r="F17" s="254"/>
      <c r="G17" s="254"/>
      <c r="H17" s="254"/>
      <c r="I17" s="254"/>
      <c r="J17" s="254"/>
      <c r="K17" s="254"/>
      <c r="L17" s="254"/>
      <c r="M17" s="344"/>
      <c r="N17" s="255"/>
      <c r="O17" s="255"/>
      <c r="P17" s="255"/>
      <c r="Q17" s="255"/>
      <c r="R17" s="255"/>
      <c r="S17" s="255"/>
      <c r="T17" s="255"/>
      <c r="U17" s="255"/>
      <c r="V17" s="255"/>
      <c r="W17" s="255"/>
      <c r="X17" s="255"/>
      <c r="Y17" s="255"/>
      <c r="Z17" s="255"/>
      <c r="AA17" s="255"/>
      <c r="AB17" s="255"/>
      <c r="AC17" s="255"/>
      <c r="AD17" s="255"/>
      <c r="AE17" s="255"/>
      <c r="AF17" s="255"/>
      <c r="AG17" s="255"/>
      <c r="AH17" s="255"/>
      <c r="AI17" s="255"/>
      <c r="AJ17" s="255"/>
      <c r="AK17" s="255"/>
      <c r="AL17" s="255"/>
      <c r="AM17" s="255"/>
      <c r="AN17" s="255"/>
      <c r="AO17" s="255"/>
      <c r="AP17" s="255"/>
      <c r="AQ17" s="255"/>
      <c r="AR17" s="255"/>
      <c r="AS17" s="255"/>
      <c r="AT17" s="255"/>
      <c r="AU17" s="255"/>
      <c r="AV17" s="255"/>
      <c r="AW17" s="255"/>
      <c r="AX17" s="255"/>
      <c r="AY17" s="255"/>
      <c r="AZ17" s="255"/>
      <c r="BA17" s="255"/>
      <c r="BB17" s="255"/>
      <c r="BC17" s="255"/>
      <c r="BD17" s="255"/>
      <c r="BE17" s="255"/>
      <c r="BF17" s="255"/>
      <c r="BG17" s="255"/>
      <c r="BH17" s="255"/>
      <c r="BI17" s="255"/>
      <c r="BJ17" s="255"/>
      <c r="BK17" s="255"/>
      <c r="BL17" s="255"/>
      <c r="BM17" s="255"/>
      <c r="BN17" s="255"/>
      <c r="BO17" s="255"/>
      <c r="BP17" s="255"/>
      <c r="BQ17" s="255"/>
      <c r="BR17" s="255"/>
      <c r="BS17" s="255"/>
      <c r="BT17" s="255"/>
      <c r="BU17" s="255"/>
      <c r="BV17" s="255"/>
      <c r="BW17" s="255"/>
      <c r="BX17" s="255"/>
      <c r="BY17" s="255"/>
      <c r="BZ17" s="255"/>
      <c r="CA17" s="255"/>
      <c r="CB17" s="255"/>
      <c r="CC17" s="254"/>
      <c r="CD17" s="254"/>
      <c r="CE17" s="254"/>
      <c r="CF17" s="254"/>
      <c r="CG17" s="254"/>
      <c r="CH17" s="254"/>
      <c r="CI17" s="254"/>
      <c r="CJ17" s="254"/>
      <c r="CK17" s="254"/>
      <c r="CL17" s="254"/>
      <c r="CM17" s="254"/>
      <c r="CN17" s="254"/>
      <c r="CO17" s="254"/>
      <c r="CP17" s="254"/>
      <c r="CQ17" s="254"/>
      <c r="CR17" s="254"/>
      <c r="CS17" s="254"/>
      <c r="CT17" s="254"/>
      <c r="CU17" s="254"/>
      <c r="CV17" s="254"/>
      <c r="CW17" s="254"/>
      <c r="CX17" s="254"/>
      <c r="CY17" s="254"/>
      <c r="CZ17" s="254"/>
      <c r="DA17" s="254"/>
      <c r="DB17" s="254"/>
      <c r="DC17" s="254"/>
      <c r="DD17" s="254"/>
      <c r="DE17" s="254"/>
      <c r="DF17" s="254"/>
      <c r="DG17" s="254"/>
      <c r="DH17" s="254"/>
      <c r="DI17" s="254"/>
    </row>
    <row r="18" spans="1:113">
      <c r="A18" s="254"/>
      <c r="B18" s="254"/>
      <c r="C18" s="254"/>
      <c r="D18" s="254"/>
      <c r="E18" s="254"/>
      <c r="F18" s="254"/>
      <c r="G18" s="254"/>
      <c r="H18" s="254"/>
      <c r="I18" s="254"/>
      <c r="J18" s="254"/>
      <c r="K18" s="254"/>
      <c r="L18" s="254"/>
      <c r="M18" s="25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254"/>
      <c r="CD18" s="254"/>
      <c r="CE18" s="254"/>
      <c r="CF18" s="254"/>
      <c r="CG18" s="254"/>
      <c r="CH18" s="254"/>
      <c r="CI18" s="254"/>
      <c r="CJ18" s="254"/>
      <c r="CK18" s="254"/>
      <c r="CL18" s="254"/>
      <c r="CM18" s="254"/>
      <c r="CN18" s="254"/>
      <c r="CO18" s="254"/>
      <c r="CP18" s="254"/>
      <c r="CQ18" s="254"/>
      <c r="CR18" s="254"/>
      <c r="CS18" s="254"/>
      <c r="CT18" s="254"/>
      <c r="CU18" s="254"/>
      <c r="CV18" s="254"/>
      <c r="CW18" s="254"/>
      <c r="CX18" s="254"/>
      <c r="CY18" s="254"/>
      <c r="CZ18" s="254"/>
      <c r="DA18" s="254"/>
      <c r="DB18" s="254"/>
      <c r="DC18" s="254"/>
      <c r="DD18" s="254"/>
      <c r="DE18" s="254"/>
      <c r="DF18" s="254"/>
      <c r="DG18" s="254"/>
      <c r="DH18" s="254"/>
      <c r="DI18" s="254"/>
    </row>
    <row r="19" spans="1:113">
      <c r="A19" s="254"/>
      <c r="B19" s="254"/>
      <c r="C19" s="254"/>
      <c r="D19" s="254"/>
      <c r="E19" s="254"/>
      <c r="F19" s="254"/>
      <c r="G19" s="254"/>
      <c r="H19" s="254"/>
      <c r="I19" s="254"/>
      <c r="J19" s="254"/>
      <c r="K19" s="254"/>
      <c r="L19" s="254"/>
      <c r="M19" s="254"/>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5"/>
      <c r="AK19" s="255"/>
      <c r="AL19" s="255"/>
      <c r="AM19" s="255"/>
      <c r="AN19" s="255"/>
      <c r="AO19" s="255"/>
      <c r="AP19" s="255"/>
      <c r="AQ19" s="255"/>
      <c r="AR19" s="255"/>
      <c r="AS19" s="255"/>
      <c r="AT19" s="255"/>
      <c r="AU19" s="255"/>
      <c r="AV19" s="255"/>
      <c r="AW19" s="255"/>
      <c r="AX19" s="255"/>
      <c r="AY19" s="255"/>
      <c r="AZ19" s="255"/>
      <c r="BA19" s="255"/>
      <c r="BB19" s="255"/>
      <c r="BC19" s="255"/>
      <c r="BD19" s="255"/>
      <c r="BE19" s="255"/>
      <c r="BF19" s="255"/>
      <c r="BG19" s="255"/>
      <c r="BH19" s="255"/>
      <c r="BI19" s="255"/>
      <c r="BJ19" s="255"/>
      <c r="BK19" s="255"/>
      <c r="BL19" s="255"/>
      <c r="BM19" s="255"/>
      <c r="BN19" s="255"/>
      <c r="BO19" s="255"/>
      <c r="BP19" s="255"/>
      <c r="BQ19" s="255"/>
      <c r="BR19" s="255"/>
      <c r="BS19" s="255"/>
      <c r="BT19" s="255"/>
      <c r="BU19" s="255"/>
      <c r="BV19" s="255"/>
      <c r="BW19" s="255"/>
      <c r="BX19" s="255"/>
      <c r="BY19" s="255"/>
      <c r="BZ19" s="255"/>
      <c r="CA19" s="255"/>
      <c r="CB19" s="255"/>
      <c r="CC19" s="254"/>
      <c r="CD19" s="254"/>
      <c r="CE19" s="254"/>
      <c r="CF19" s="254"/>
      <c r="CG19" s="254"/>
      <c r="CH19" s="254"/>
      <c r="CI19" s="254"/>
      <c r="CJ19" s="254"/>
      <c r="CK19" s="254"/>
      <c r="CL19" s="254"/>
      <c r="CM19" s="254"/>
      <c r="CN19" s="254"/>
      <c r="CO19" s="254"/>
      <c r="CP19" s="254"/>
      <c r="CQ19" s="254"/>
      <c r="CR19" s="254"/>
      <c r="CS19" s="254"/>
      <c r="CT19" s="254"/>
      <c r="CU19" s="254"/>
      <c r="CV19" s="254"/>
      <c r="CW19" s="254"/>
      <c r="CX19" s="254"/>
      <c r="CY19" s="254"/>
      <c r="CZ19" s="254"/>
      <c r="DA19" s="254"/>
      <c r="DB19" s="254"/>
      <c r="DC19" s="254"/>
      <c r="DD19" s="254"/>
      <c r="DE19" s="254"/>
      <c r="DF19" s="254"/>
      <c r="DG19" s="254"/>
      <c r="DH19" s="254"/>
      <c r="DI19" s="254"/>
    </row>
    <row r="20" spans="1:113" ht="15.6" customHeight="1">
      <c r="A20" s="254"/>
      <c r="B20" s="254"/>
      <c r="C20" s="254"/>
      <c r="D20" s="254"/>
      <c r="E20" s="254"/>
      <c r="F20" s="254"/>
      <c r="G20" s="254"/>
      <c r="H20" s="254"/>
      <c r="I20" s="254"/>
      <c r="J20" s="254"/>
      <c r="K20" s="254"/>
      <c r="L20" s="254"/>
      <c r="M20" s="254"/>
      <c r="N20" s="258"/>
      <c r="O20" s="258"/>
      <c r="P20" s="1781" t="s">
        <v>1661</v>
      </c>
      <c r="Q20" s="1781"/>
      <c r="R20" s="1781"/>
      <c r="S20" s="1781"/>
      <c r="T20" s="1781"/>
      <c r="U20" s="1781"/>
      <c r="V20" s="1781"/>
      <c r="W20" s="1781"/>
      <c r="X20" s="1781"/>
      <c r="Y20" s="1781"/>
      <c r="Z20" s="1781"/>
      <c r="AA20" s="1781"/>
      <c r="AB20" s="1781"/>
      <c r="AC20" s="1781"/>
      <c r="AD20" s="1781"/>
      <c r="AE20" s="1781"/>
      <c r="AF20" s="1781"/>
      <c r="AG20" s="1781"/>
      <c r="AH20" s="1781"/>
      <c r="AI20" s="905"/>
      <c r="AJ20" s="905"/>
      <c r="AK20" s="255"/>
      <c r="AL20" s="1781" t="s">
        <v>1256</v>
      </c>
      <c r="AM20" s="1781"/>
      <c r="AN20" s="1781"/>
      <c r="AO20" s="1781"/>
      <c r="AP20" s="1781"/>
      <c r="AQ20" s="1781"/>
      <c r="AR20" s="1781"/>
      <c r="AS20" s="1781"/>
      <c r="AT20" s="1781"/>
      <c r="AU20" s="1781"/>
      <c r="AV20" s="1781"/>
      <c r="AW20" s="1781"/>
      <c r="AX20" s="1781"/>
      <c r="AY20" s="1781"/>
      <c r="AZ20" s="1781"/>
      <c r="BA20" s="1781"/>
      <c r="BB20" s="1781"/>
      <c r="BC20" s="1781"/>
      <c r="BD20" s="1781"/>
      <c r="BE20" s="1781"/>
      <c r="BF20" s="1781"/>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4"/>
      <c r="CD20" s="254"/>
      <c r="CE20" s="254"/>
      <c r="CF20" s="254"/>
      <c r="CG20" s="254"/>
      <c r="CH20" s="254"/>
      <c r="CI20" s="254"/>
      <c r="CJ20" s="254"/>
      <c r="CK20" s="254"/>
      <c r="CL20" s="254"/>
      <c r="CM20" s="254"/>
      <c r="CN20" s="254"/>
      <c r="CO20" s="254"/>
      <c r="CP20" s="254"/>
      <c r="CQ20" s="254"/>
      <c r="CR20" s="254"/>
      <c r="CS20" s="254"/>
      <c r="CT20" s="254"/>
      <c r="CU20" s="254"/>
      <c r="CV20" s="254"/>
      <c r="CW20" s="254"/>
      <c r="CX20" s="254"/>
      <c r="CY20" s="254"/>
      <c r="CZ20" s="254"/>
      <c r="DA20" s="254"/>
      <c r="DB20" s="254"/>
      <c r="DC20" s="254"/>
      <c r="DD20" s="254"/>
      <c r="DE20" s="254"/>
      <c r="DF20" s="254"/>
      <c r="DG20" s="254"/>
      <c r="DH20" s="254"/>
      <c r="DI20" s="254"/>
    </row>
    <row r="21" spans="1:113" ht="15.6" customHeight="1">
      <c r="A21" s="254"/>
      <c r="B21" s="254"/>
      <c r="C21" s="254"/>
      <c r="D21" s="254"/>
      <c r="E21" s="254"/>
      <c r="F21" s="254"/>
      <c r="G21" s="254"/>
      <c r="H21" s="254"/>
      <c r="I21" s="254"/>
      <c r="J21" s="254"/>
      <c r="K21" s="254"/>
      <c r="L21" s="254"/>
      <c r="M21" s="254"/>
      <c r="N21" s="258"/>
      <c r="O21" s="258"/>
      <c r="P21" s="1782"/>
      <c r="Q21" s="1782"/>
      <c r="R21" s="1782"/>
      <c r="S21" s="1782"/>
      <c r="T21" s="1782"/>
      <c r="U21" s="1782"/>
      <c r="V21" s="1782"/>
      <c r="W21" s="1782"/>
      <c r="X21" s="1782"/>
      <c r="Y21" s="1782"/>
      <c r="Z21" s="1782"/>
      <c r="AA21" s="1782"/>
      <c r="AB21" s="1782"/>
      <c r="AC21" s="1782"/>
      <c r="AD21" s="1782"/>
      <c r="AE21" s="1782"/>
      <c r="AF21" s="1782"/>
      <c r="AG21" s="1782"/>
      <c r="AH21" s="1782"/>
      <c r="AI21" s="905"/>
      <c r="AJ21" s="905"/>
      <c r="AK21" s="255"/>
      <c r="AL21" s="1782"/>
      <c r="AM21" s="1782"/>
      <c r="AN21" s="1782"/>
      <c r="AO21" s="1782"/>
      <c r="AP21" s="1782"/>
      <c r="AQ21" s="1782"/>
      <c r="AR21" s="1782"/>
      <c r="AS21" s="1782"/>
      <c r="AT21" s="1782"/>
      <c r="AU21" s="1782"/>
      <c r="AV21" s="1782"/>
      <c r="AW21" s="1782"/>
      <c r="AX21" s="1782"/>
      <c r="AY21" s="1782"/>
      <c r="AZ21" s="1782"/>
      <c r="BA21" s="1782"/>
      <c r="BB21" s="1782"/>
      <c r="BC21" s="1782"/>
      <c r="BD21" s="1782"/>
      <c r="BE21" s="1782"/>
      <c r="BF21" s="1782"/>
      <c r="BG21" s="260"/>
      <c r="BH21" s="260"/>
      <c r="BI21" s="260"/>
      <c r="BJ21" s="260"/>
      <c r="BK21" s="260"/>
      <c r="BL21" s="260"/>
      <c r="BM21" s="260"/>
      <c r="BN21" s="260"/>
      <c r="BO21" s="260"/>
      <c r="BP21" s="260"/>
      <c r="BQ21" s="260"/>
      <c r="BR21" s="260"/>
      <c r="BS21" s="260"/>
      <c r="BT21" s="260"/>
      <c r="BU21" s="260"/>
      <c r="BV21" s="260"/>
      <c r="BW21" s="260"/>
      <c r="BX21" s="260"/>
      <c r="BY21" s="260"/>
      <c r="BZ21" s="260"/>
      <c r="CA21" s="255"/>
      <c r="CB21" s="255"/>
      <c r="CC21" s="254"/>
      <c r="CD21" s="254"/>
      <c r="CE21" s="254"/>
      <c r="CF21" s="254"/>
      <c r="CG21" s="254"/>
      <c r="CH21" s="254"/>
      <c r="CI21" s="254"/>
      <c r="CJ21" s="254"/>
      <c r="CK21" s="254"/>
      <c r="CL21" s="254"/>
      <c r="CM21" s="254"/>
      <c r="CN21" s="254"/>
      <c r="CO21" s="254"/>
      <c r="CP21" s="254"/>
      <c r="CQ21" s="254"/>
      <c r="CR21" s="254"/>
      <c r="CS21" s="254"/>
      <c r="CT21" s="254"/>
      <c r="CU21" s="254"/>
      <c r="CV21" s="254"/>
      <c r="CW21" s="254"/>
      <c r="CX21" s="254"/>
      <c r="CY21" s="254"/>
      <c r="CZ21" s="254"/>
      <c r="DA21" s="254"/>
      <c r="DB21" s="254"/>
      <c r="DC21" s="254"/>
      <c r="DD21" s="254"/>
      <c r="DE21" s="254"/>
      <c r="DF21" s="254"/>
      <c r="DG21" s="254"/>
      <c r="DH21" s="254"/>
      <c r="DI21" s="254"/>
    </row>
    <row r="22" spans="1:113" ht="15.6" customHeight="1">
      <c r="A22" s="254"/>
      <c r="B22" s="254"/>
      <c r="C22" s="254"/>
      <c r="D22" s="254"/>
      <c r="E22" s="254"/>
      <c r="F22" s="254"/>
      <c r="G22" s="254"/>
      <c r="H22" s="254"/>
      <c r="I22" s="254"/>
      <c r="J22" s="254"/>
      <c r="K22" s="254"/>
      <c r="L22" s="254"/>
      <c r="M22" s="254"/>
      <c r="N22" s="258"/>
      <c r="O22" s="258"/>
      <c r="P22" s="1790" t="s">
        <v>1662</v>
      </c>
      <c r="Q22" s="1791"/>
      <c r="R22" s="1791"/>
      <c r="S22" s="1791"/>
      <c r="T22" s="1791"/>
      <c r="U22" s="1791"/>
      <c r="V22" s="1791"/>
      <c r="W22" s="1791"/>
      <c r="X22" s="1791"/>
      <c r="Y22" s="1791"/>
      <c r="Z22" s="1791"/>
      <c r="AA22" s="1791"/>
      <c r="AB22" s="1791"/>
      <c r="AC22" s="1791"/>
      <c r="AD22" s="1791"/>
      <c r="AE22" s="1791"/>
      <c r="AF22" s="1791"/>
      <c r="AG22" s="1791"/>
      <c r="AH22" s="258"/>
      <c r="AI22" s="258"/>
      <c r="AJ22" s="255"/>
      <c r="AK22" s="255"/>
      <c r="AL22" s="255"/>
      <c r="AM22" s="1777" t="s">
        <v>999</v>
      </c>
      <c r="AN22" s="1777"/>
      <c r="AO22" s="1777"/>
      <c r="AP22" s="1777"/>
      <c r="AQ22" s="1777"/>
      <c r="AR22" s="1777"/>
      <c r="AS22" s="1777"/>
      <c r="AT22" s="1777"/>
      <c r="AU22" s="1777"/>
      <c r="AV22" s="1777"/>
      <c r="AW22" s="1777"/>
      <c r="AX22" s="1777"/>
      <c r="AY22" s="1777"/>
      <c r="AZ22" s="1777"/>
      <c r="BA22" s="1777"/>
      <c r="BB22" s="1777"/>
      <c r="BC22" s="1777"/>
      <c r="BD22" s="1777"/>
      <c r="BE22" s="1777"/>
      <c r="BF22" s="1777"/>
      <c r="BG22" s="1777"/>
      <c r="BH22" s="1777"/>
      <c r="BI22" s="1777"/>
      <c r="BJ22" s="1777"/>
      <c r="BK22" s="1777"/>
      <c r="BL22" s="1777"/>
      <c r="BM22" s="1777"/>
      <c r="BN22" s="1777"/>
      <c r="BO22" s="1777"/>
      <c r="BP22" s="1777"/>
      <c r="BQ22" s="1777"/>
      <c r="BR22" s="1777"/>
      <c r="BS22" s="1777"/>
      <c r="BT22" s="1777"/>
      <c r="BU22" s="1777"/>
      <c r="BV22" s="1777"/>
      <c r="BW22" s="1777"/>
      <c r="BX22" s="255"/>
      <c r="BY22" s="255"/>
      <c r="BZ22" s="255"/>
      <c r="CA22" s="255"/>
      <c r="CB22" s="255"/>
      <c r="CC22" s="254"/>
      <c r="CD22" s="254"/>
      <c r="CE22" s="254"/>
      <c r="CF22" s="254"/>
      <c r="CG22" s="254"/>
      <c r="CH22" s="254"/>
      <c r="CI22" s="254"/>
      <c r="CJ22" s="254"/>
      <c r="CK22" s="254"/>
      <c r="CL22" s="254"/>
      <c r="CM22" s="254"/>
      <c r="CN22" s="254"/>
      <c r="CO22" s="254"/>
      <c r="CP22" s="254"/>
      <c r="CQ22" s="254"/>
      <c r="CR22" s="254"/>
      <c r="CS22" s="254"/>
      <c r="CT22" s="254"/>
      <c r="CU22" s="254"/>
      <c r="CV22" s="254"/>
      <c r="CW22" s="254"/>
      <c r="CX22" s="254"/>
      <c r="CY22" s="254"/>
      <c r="CZ22" s="254"/>
      <c r="DA22" s="254"/>
      <c r="DB22" s="254"/>
      <c r="DC22" s="254"/>
      <c r="DD22" s="254"/>
      <c r="DE22" s="254"/>
      <c r="DF22" s="254"/>
      <c r="DG22" s="254"/>
      <c r="DH22" s="254"/>
      <c r="DI22" s="254"/>
    </row>
    <row r="23" spans="1:113" ht="15.6" customHeight="1">
      <c r="A23" s="254"/>
      <c r="B23" s="254"/>
      <c r="C23" s="254"/>
      <c r="D23" s="254"/>
      <c r="E23" s="254"/>
      <c r="F23" s="254"/>
      <c r="G23" s="254"/>
      <c r="H23" s="254"/>
      <c r="I23" s="254"/>
      <c r="J23" s="254"/>
      <c r="K23" s="254"/>
      <c r="L23" s="254"/>
      <c r="M23" s="254"/>
      <c r="N23" s="258"/>
      <c r="O23" s="258"/>
      <c r="P23" s="1791"/>
      <c r="Q23" s="1791"/>
      <c r="R23" s="1791"/>
      <c r="S23" s="1791"/>
      <c r="T23" s="1791"/>
      <c r="U23" s="1791"/>
      <c r="V23" s="1791"/>
      <c r="W23" s="1791"/>
      <c r="X23" s="1791"/>
      <c r="Y23" s="1791"/>
      <c r="Z23" s="1791"/>
      <c r="AA23" s="1791"/>
      <c r="AB23" s="1791"/>
      <c r="AC23" s="1791"/>
      <c r="AD23" s="1791"/>
      <c r="AE23" s="1791"/>
      <c r="AF23" s="1791"/>
      <c r="AG23" s="1791"/>
      <c r="AH23" s="258"/>
      <c r="AI23" s="258"/>
      <c r="AJ23" s="255"/>
      <c r="AK23" s="255"/>
      <c r="AL23" s="255"/>
      <c r="AM23" s="1778"/>
      <c r="AN23" s="1778"/>
      <c r="AO23" s="1778"/>
      <c r="AP23" s="1778"/>
      <c r="AQ23" s="1778"/>
      <c r="AR23" s="1778"/>
      <c r="AS23" s="1778"/>
      <c r="AT23" s="1778"/>
      <c r="AU23" s="1778"/>
      <c r="AV23" s="1778"/>
      <c r="AW23" s="1778"/>
      <c r="AX23" s="1778"/>
      <c r="AY23" s="1778"/>
      <c r="AZ23" s="1778"/>
      <c r="BA23" s="1778"/>
      <c r="BB23" s="1778"/>
      <c r="BC23" s="1778"/>
      <c r="BD23" s="1778"/>
      <c r="BE23" s="1778"/>
      <c r="BF23" s="1778"/>
      <c r="BG23" s="1778"/>
      <c r="BH23" s="1778"/>
      <c r="BI23" s="1778"/>
      <c r="BJ23" s="1778"/>
      <c r="BK23" s="1778"/>
      <c r="BL23" s="1778"/>
      <c r="BM23" s="1778"/>
      <c r="BN23" s="1778"/>
      <c r="BO23" s="1778"/>
      <c r="BP23" s="1778"/>
      <c r="BQ23" s="1778"/>
      <c r="BR23" s="1778"/>
      <c r="BS23" s="1778"/>
      <c r="BT23" s="1778"/>
      <c r="BU23" s="1778"/>
      <c r="BV23" s="1778"/>
      <c r="BW23" s="1778"/>
      <c r="BX23" s="255"/>
      <c r="BY23" s="255"/>
      <c r="BZ23" s="255"/>
      <c r="CA23" s="255"/>
      <c r="CB23" s="255"/>
      <c r="CC23" s="254"/>
      <c r="CD23" s="254"/>
      <c r="CE23" s="254"/>
      <c r="CF23" s="254"/>
      <c r="CG23" s="254"/>
      <c r="CH23" s="254"/>
      <c r="CI23" s="254"/>
      <c r="CJ23" s="254"/>
      <c r="CK23" s="254"/>
      <c r="CL23" s="254"/>
      <c r="CM23" s="254"/>
      <c r="CN23" s="254"/>
      <c r="CO23" s="254"/>
      <c r="CP23" s="254"/>
      <c r="CQ23" s="254"/>
      <c r="CR23" s="254"/>
      <c r="CS23" s="254"/>
      <c r="CT23" s="254"/>
      <c r="CU23" s="254"/>
      <c r="CV23" s="254"/>
      <c r="CW23" s="254"/>
      <c r="CX23" s="254"/>
      <c r="CY23" s="254"/>
      <c r="CZ23" s="254"/>
      <c r="DA23" s="254"/>
      <c r="DB23" s="254"/>
      <c r="DC23" s="254"/>
      <c r="DD23" s="254"/>
      <c r="DE23" s="254"/>
      <c r="DF23" s="254"/>
      <c r="DG23" s="254"/>
      <c r="DH23" s="254"/>
      <c r="DI23" s="254"/>
    </row>
    <row r="24" spans="1:113" ht="15.6" customHeight="1">
      <c r="A24" s="254"/>
      <c r="B24" s="254"/>
      <c r="C24" s="254"/>
      <c r="D24" s="254"/>
      <c r="E24" s="254"/>
      <c r="F24" s="254"/>
      <c r="G24" s="254"/>
      <c r="H24" s="254"/>
      <c r="I24" s="254"/>
      <c r="J24" s="254"/>
      <c r="K24" s="254"/>
      <c r="L24" s="254"/>
      <c r="M24" s="254"/>
      <c r="N24" s="258"/>
      <c r="O24" s="258"/>
      <c r="P24" s="1779" t="s">
        <v>1668</v>
      </c>
      <c r="Q24" s="1780"/>
      <c r="R24" s="1780"/>
      <c r="S24" s="1780"/>
      <c r="T24" s="1780"/>
      <c r="U24" s="1780"/>
      <c r="V24" s="1780"/>
      <c r="W24" s="1780"/>
      <c r="X24" s="1780"/>
      <c r="Y24" s="1780"/>
      <c r="Z24" s="1780"/>
      <c r="AA24" s="1780"/>
      <c r="AB24" s="1780"/>
      <c r="AC24" s="1780"/>
      <c r="AD24" s="1780"/>
      <c r="AE24" s="1780"/>
      <c r="AF24" s="1780"/>
      <c r="AG24" s="1780"/>
      <c r="AH24" s="258"/>
      <c r="AI24" s="258"/>
      <c r="AJ24" s="255"/>
      <c r="AK24" s="255"/>
      <c r="AL24" s="255"/>
      <c r="AM24" s="1779" t="s">
        <v>1649</v>
      </c>
      <c r="AN24" s="1780"/>
      <c r="AO24" s="1780"/>
      <c r="AP24" s="1780"/>
      <c r="AQ24" s="1780"/>
      <c r="AR24" s="1780"/>
      <c r="AS24" s="1780"/>
      <c r="AT24" s="1780"/>
      <c r="AU24" s="1780"/>
      <c r="AV24" s="1780"/>
      <c r="AW24" s="1780"/>
      <c r="AX24" s="1780"/>
      <c r="AY24" s="1780"/>
      <c r="AZ24" s="1780"/>
      <c r="BA24" s="1780"/>
      <c r="BB24" s="1780"/>
      <c r="BC24" s="1780"/>
      <c r="BD24" s="1780"/>
      <c r="BE24" s="258"/>
      <c r="BF24" s="258"/>
      <c r="BG24" s="258"/>
      <c r="BH24" s="258"/>
      <c r="BI24" s="1779" t="s">
        <v>1648</v>
      </c>
      <c r="BJ24" s="1780"/>
      <c r="BK24" s="1780"/>
      <c r="BL24" s="1780"/>
      <c r="BM24" s="1780"/>
      <c r="BN24" s="1780"/>
      <c r="BO24" s="1780"/>
      <c r="BP24" s="1780"/>
      <c r="BQ24" s="1780"/>
      <c r="BR24" s="1780"/>
      <c r="BS24" s="1780"/>
      <c r="BT24" s="1780"/>
      <c r="BU24" s="1780"/>
      <c r="BV24" s="1780"/>
      <c r="BW24" s="1780"/>
      <c r="BX24" s="1780"/>
      <c r="BY24" s="1780"/>
      <c r="BZ24" s="1780"/>
      <c r="CA24" s="255"/>
      <c r="CB24" s="255"/>
      <c r="CC24" s="254"/>
      <c r="CD24" s="254"/>
      <c r="CE24" s="254"/>
      <c r="CF24" s="254"/>
      <c r="CG24" s="254"/>
      <c r="CH24" s="254"/>
      <c r="CI24" s="254"/>
      <c r="CJ24" s="254"/>
      <c r="CK24" s="254"/>
      <c r="CL24" s="254"/>
      <c r="CM24" s="254"/>
      <c r="CN24" s="254"/>
      <c r="CO24" s="254"/>
      <c r="CP24" s="254"/>
      <c r="CQ24" s="254"/>
      <c r="CR24" s="254"/>
      <c r="CS24" s="254"/>
      <c r="CT24" s="254"/>
      <c r="CU24" s="254"/>
      <c r="CV24" s="254"/>
      <c r="CW24" s="254"/>
      <c r="CX24" s="254"/>
      <c r="CY24" s="254"/>
      <c r="CZ24" s="254"/>
      <c r="DA24" s="254"/>
      <c r="DB24" s="254"/>
      <c r="DC24" s="254"/>
      <c r="DD24" s="254"/>
      <c r="DE24" s="254"/>
      <c r="DF24" s="254"/>
      <c r="DG24" s="254"/>
      <c r="DH24" s="254"/>
      <c r="DI24" s="254"/>
    </row>
    <row r="25" spans="1:113" ht="15.6" customHeight="1">
      <c r="A25" s="254"/>
      <c r="B25" s="254"/>
      <c r="C25" s="254"/>
      <c r="D25" s="254"/>
      <c r="E25" s="254"/>
      <c r="F25" s="254"/>
      <c r="G25" s="254"/>
      <c r="H25" s="254"/>
      <c r="I25" s="254"/>
      <c r="J25" s="254"/>
      <c r="K25" s="254"/>
      <c r="L25" s="254"/>
      <c r="M25" s="254"/>
      <c r="N25" s="258"/>
      <c r="O25" s="258"/>
      <c r="P25" s="1780"/>
      <c r="Q25" s="1780"/>
      <c r="R25" s="1780"/>
      <c r="S25" s="1780"/>
      <c r="T25" s="1780"/>
      <c r="U25" s="1780"/>
      <c r="V25" s="1780"/>
      <c r="W25" s="1780"/>
      <c r="X25" s="1780"/>
      <c r="Y25" s="1780"/>
      <c r="Z25" s="1780"/>
      <c r="AA25" s="1780"/>
      <c r="AB25" s="1780"/>
      <c r="AC25" s="1780"/>
      <c r="AD25" s="1780"/>
      <c r="AE25" s="1780"/>
      <c r="AF25" s="1780"/>
      <c r="AG25" s="1780"/>
      <c r="AH25" s="258"/>
      <c r="AI25" s="258"/>
      <c r="AJ25" s="255"/>
      <c r="AK25" s="255"/>
      <c r="AL25" s="255"/>
      <c r="AM25" s="1780"/>
      <c r="AN25" s="1780"/>
      <c r="AO25" s="1780"/>
      <c r="AP25" s="1780"/>
      <c r="AQ25" s="1780"/>
      <c r="AR25" s="1780"/>
      <c r="AS25" s="1780"/>
      <c r="AT25" s="1780"/>
      <c r="AU25" s="1780"/>
      <c r="AV25" s="1780"/>
      <c r="AW25" s="1780"/>
      <c r="AX25" s="1780"/>
      <c r="AY25" s="1780"/>
      <c r="AZ25" s="1780"/>
      <c r="BA25" s="1780"/>
      <c r="BB25" s="1780"/>
      <c r="BC25" s="1780"/>
      <c r="BD25" s="1780"/>
      <c r="BE25" s="258"/>
      <c r="BF25" s="258"/>
      <c r="BG25" s="258"/>
      <c r="BH25" s="258"/>
      <c r="BI25" s="1780"/>
      <c r="BJ25" s="1780"/>
      <c r="BK25" s="1780"/>
      <c r="BL25" s="1780"/>
      <c r="BM25" s="1780"/>
      <c r="BN25" s="1780"/>
      <c r="BO25" s="1780"/>
      <c r="BP25" s="1780"/>
      <c r="BQ25" s="1780"/>
      <c r="BR25" s="1780"/>
      <c r="BS25" s="1780"/>
      <c r="BT25" s="1780"/>
      <c r="BU25" s="1780"/>
      <c r="BV25" s="1780"/>
      <c r="BW25" s="1780"/>
      <c r="BX25" s="1780"/>
      <c r="BY25" s="1780"/>
      <c r="BZ25" s="1780"/>
      <c r="CA25" s="255"/>
      <c r="CB25" s="255"/>
      <c r="CC25" s="254"/>
      <c r="CD25" s="254"/>
      <c r="CE25" s="254"/>
      <c r="CF25" s="254"/>
      <c r="CG25" s="254"/>
      <c r="CH25" s="254"/>
      <c r="CI25" s="254"/>
      <c r="CJ25" s="254"/>
      <c r="CK25" s="254"/>
      <c r="CL25" s="254"/>
      <c r="CM25" s="254"/>
      <c r="CN25" s="254"/>
      <c r="CO25" s="254"/>
      <c r="CP25" s="254"/>
      <c r="CQ25" s="254"/>
      <c r="CR25" s="254"/>
      <c r="CS25" s="254"/>
      <c r="CT25" s="254"/>
      <c r="CU25" s="254"/>
      <c r="CV25" s="254"/>
      <c r="CW25" s="254"/>
      <c r="CX25" s="254"/>
      <c r="CY25" s="254"/>
      <c r="CZ25" s="254"/>
      <c r="DA25" s="254"/>
      <c r="DB25" s="254"/>
      <c r="DC25" s="254"/>
      <c r="DD25" s="254"/>
      <c r="DE25" s="254"/>
      <c r="DF25" s="254"/>
      <c r="DG25" s="254"/>
      <c r="DH25" s="254"/>
      <c r="DI25" s="254"/>
    </row>
    <row r="26" spans="1:113" ht="15.6" customHeight="1">
      <c r="A26" s="254"/>
      <c r="B26" s="254"/>
      <c r="C26" s="254"/>
      <c r="D26" s="254"/>
      <c r="E26" s="254"/>
      <c r="F26" s="254"/>
      <c r="G26" s="254"/>
      <c r="H26" s="254"/>
      <c r="I26" s="254"/>
      <c r="J26" s="254"/>
      <c r="K26" s="254"/>
      <c r="L26" s="254"/>
      <c r="M26" s="254"/>
      <c r="N26" s="258"/>
      <c r="O26" s="258"/>
      <c r="P26" s="1779" t="s">
        <v>1663</v>
      </c>
      <c r="Q26" s="1780"/>
      <c r="R26" s="1780"/>
      <c r="S26" s="1780"/>
      <c r="T26" s="1780"/>
      <c r="U26" s="1780"/>
      <c r="V26" s="1780"/>
      <c r="W26" s="1780"/>
      <c r="X26" s="1780"/>
      <c r="Y26" s="1780"/>
      <c r="Z26" s="1780"/>
      <c r="AA26" s="1780"/>
      <c r="AB26" s="1780"/>
      <c r="AC26" s="1780"/>
      <c r="AD26" s="1780"/>
      <c r="AE26" s="1780"/>
      <c r="AF26" s="1780"/>
      <c r="AG26" s="1780"/>
      <c r="AH26" s="258"/>
      <c r="AI26" s="258"/>
      <c r="AJ26" s="255"/>
      <c r="AK26" s="255"/>
      <c r="AL26" s="255"/>
      <c r="AM26" s="1779" t="s">
        <v>1650</v>
      </c>
      <c r="AN26" s="1780"/>
      <c r="AO26" s="1780"/>
      <c r="AP26" s="1780"/>
      <c r="AQ26" s="1780"/>
      <c r="AR26" s="1780"/>
      <c r="AS26" s="1780"/>
      <c r="AT26" s="1780"/>
      <c r="AU26" s="1780"/>
      <c r="AV26" s="1780"/>
      <c r="AW26" s="1780"/>
      <c r="AX26" s="1780"/>
      <c r="AY26" s="1780"/>
      <c r="AZ26" s="1780"/>
      <c r="BA26" s="1780"/>
      <c r="BB26" s="1780"/>
      <c r="BC26" s="1780"/>
      <c r="BD26" s="1780"/>
      <c r="BE26" s="258"/>
      <c r="BF26" s="258"/>
      <c r="BG26" s="258"/>
      <c r="BH26" s="258"/>
      <c r="BI26" s="1779" t="s">
        <v>1647</v>
      </c>
      <c r="BJ26" s="1780"/>
      <c r="BK26" s="1780"/>
      <c r="BL26" s="1780"/>
      <c r="BM26" s="1780"/>
      <c r="BN26" s="1780"/>
      <c r="BO26" s="1780"/>
      <c r="BP26" s="1780"/>
      <c r="BQ26" s="1780"/>
      <c r="BR26" s="1780"/>
      <c r="BS26" s="1780"/>
      <c r="BT26" s="1780"/>
      <c r="BU26" s="1780"/>
      <c r="BV26" s="1780"/>
      <c r="BW26" s="1780"/>
      <c r="BX26" s="1780"/>
      <c r="BY26" s="1780"/>
      <c r="BZ26" s="1780"/>
      <c r="CA26" s="255"/>
      <c r="CB26" s="255"/>
      <c r="CC26" s="254"/>
      <c r="CD26" s="254"/>
      <c r="CE26" s="254"/>
      <c r="CF26" s="254"/>
      <c r="CG26" s="254"/>
      <c r="CH26" s="254"/>
      <c r="CI26" s="254"/>
      <c r="CJ26" s="254"/>
      <c r="CK26" s="254"/>
      <c r="CL26" s="254"/>
      <c r="CM26" s="254"/>
      <c r="CN26" s="254"/>
      <c r="CO26" s="254"/>
      <c r="CP26" s="254"/>
      <c r="CQ26" s="254"/>
      <c r="CR26" s="254"/>
      <c r="CS26" s="254"/>
      <c r="CT26" s="254"/>
      <c r="CU26" s="254"/>
      <c r="CV26" s="254"/>
      <c r="CW26" s="254"/>
      <c r="CX26" s="254"/>
      <c r="CY26" s="254"/>
      <c r="CZ26" s="254"/>
      <c r="DA26" s="254"/>
      <c r="DB26" s="254"/>
      <c r="DC26" s="254"/>
      <c r="DD26" s="254"/>
      <c r="DE26" s="254"/>
      <c r="DF26" s="254"/>
      <c r="DG26" s="254"/>
      <c r="DH26" s="254"/>
      <c r="DI26" s="254"/>
    </row>
    <row r="27" spans="1:113" ht="15.6" customHeight="1">
      <c r="A27" s="254"/>
      <c r="B27" s="254"/>
      <c r="C27" s="254"/>
      <c r="D27" s="254"/>
      <c r="E27" s="254"/>
      <c r="F27" s="254"/>
      <c r="G27" s="254"/>
      <c r="H27" s="254"/>
      <c r="I27" s="254"/>
      <c r="J27" s="254"/>
      <c r="K27" s="254"/>
      <c r="L27" s="254"/>
      <c r="M27" s="254"/>
      <c r="N27" s="258"/>
      <c r="O27" s="258"/>
      <c r="P27" s="1780"/>
      <c r="Q27" s="1780"/>
      <c r="R27" s="1780"/>
      <c r="S27" s="1780"/>
      <c r="T27" s="1780"/>
      <c r="U27" s="1780"/>
      <c r="V27" s="1780"/>
      <c r="W27" s="1780"/>
      <c r="X27" s="1780"/>
      <c r="Y27" s="1780"/>
      <c r="Z27" s="1780"/>
      <c r="AA27" s="1780"/>
      <c r="AB27" s="1780"/>
      <c r="AC27" s="1780"/>
      <c r="AD27" s="1780"/>
      <c r="AE27" s="1780"/>
      <c r="AF27" s="1780"/>
      <c r="AG27" s="1780"/>
      <c r="AH27" s="258"/>
      <c r="AI27" s="258"/>
      <c r="AJ27" s="255"/>
      <c r="AK27" s="255"/>
      <c r="AL27" s="255"/>
      <c r="AM27" s="1780"/>
      <c r="AN27" s="1780"/>
      <c r="AO27" s="1780"/>
      <c r="AP27" s="1780"/>
      <c r="AQ27" s="1780"/>
      <c r="AR27" s="1780"/>
      <c r="AS27" s="1780"/>
      <c r="AT27" s="1780"/>
      <c r="AU27" s="1780"/>
      <c r="AV27" s="1780"/>
      <c r="AW27" s="1780"/>
      <c r="AX27" s="1780"/>
      <c r="AY27" s="1780"/>
      <c r="AZ27" s="1780"/>
      <c r="BA27" s="1780"/>
      <c r="BB27" s="1780"/>
      <c r="BC27" s="1780"/>
      <c r="BD27" s="1780"/>
      <c r="BE27" s="258"/>
      <c r="BF27" s="258"/>
      <c r="BG27" s="258"/>
      <c r="BH27" s="258"/>
      <c r="BI27" s="1780"/>
      <c r="BJ27" s="1780"/>
      <c r="BK27" s="1780"/>
      <c r="BL27" s="1780"/>
      <c r="BM27" s="1780"/>
      <c r="BN27" s="1780"/>
      <c r="BO27" s="1780"/>
      <c r="BP27" s="1780"/>
      <c r="BQ27" s="1780"/>
      <c r="BR27" s="1780"/>
      <c r="BS27" s="1780"/>
      <c r="BT27" s="1780"/>
      <c r="BU27" s="1780"/>
      <c r="BV27" s="1780"/>
      <c r="BW27" s="1780"/>
      <c r="BX27" s="1780"/>
      <c r="BY27" s="1780"/>
      <c r="BZ27" s="1780"/>
      <c r="CA27" s="255"/>
      <c r="CB27" s="255"/>
      <c r="CC27" s="254"/>
      <c r="CD27" s="254"/>
      <c r="CE27" s="254"/>
      <c r="CF27" s="254"/>
      <c r="CG27" s="254"/>
      <c r="CH27" s="254"/>
      <c r="CI27" s="254"/>
      <c r="CJ27" s="254"/>
      <c r="CK27" s="254"/>
      <c r="CL27" s="254"/>
      <c r="CM27" s="254"/>
      <c r="CN27" s="254"/>
      <c r="CO27" s="254"/>
      <c r="CP27" s="254"/>
      <c r="CQ27" s="254"/>
      <c r="CR27" s="254"/>
      <c r="CS27" s="254"/>
      <c r="CT27" s="254"/>
      <c r="CU27" s="254"/>
      <c r="CV27" s="254"/>
      <c r="CW27" s="254"/>
      <c r="CX27" s="254"/>
      <c r="CY27" s="254"/>
      <c r="CZ27" s="254"/>
      <c r="DA27" s="254"/>
      <c r="DB27" s="254"/>
      <c r="DC27" s="254"/>
      <c r="DD27" s="254"/>
      <c r="DE27" s="254"/>
      <c r="DF27" s="254"/>
      <c r="DG27" s="254"/>
      <c r="DH27" s="254"/>
      <c r="DI27" s="254"/>
    </row>
    <row r="28" spans="1:113">
      <c r="A28" s="254"/>
      <c r="B28" s="254"/>
      <c r="C28" s="254"/>
      <c r="D28" s="254"/>
      <c r="E28" s="254"/>
      <c r="F28" s="254"/>
      <c r="G28" s="254"/>
      <c r="H28" s="254"/>
      <c r="I28" s="254"/>
      <c r="J28" s="254"/>
      <c r="K28" s="254"/>
      <c r="L28" s="254"/>
      <c r="M28" s="254"/>
      <c r="N28" s="258"/>
      <c r="O28" s="258"/>
      <c r="P28" s="1779" t="s">
        <v>1683</v>
      </c>
      <c r="Q28" s="1780"/>
      <c r="R28" s="1780"/>
      <c r="S28" s="1780"/>
      <c r="T28" s="1780"/>
      <c r="U28" s="1780"/>
      <c r="V28" s="1780"/>
      <c r="W28" s="1780"/>
      <c r="X28" s="1780"/>
      <c r="Y28" s="1780"/>
      <c r="Z28" s="1780"/>
      <c r="AA28" s="1780"/>
      <c r="AB28" s="1780"/>
      <c r="AC28" s="1780"/>
      <c r="AD28" s="1780"/>
      <c r="AE28" s="1780"/>
      <c r="AF28" s="1780"/>
      <c r="AG28" s="1780"/>
      <c r="AH28" s="258"/>
      <c r="AI28" s="258"/>
      <c r="AJ28" s="255"/>
      <c r="AK28" s="255"/>
      <c r="AL28" s="255"/>
      <c r="AM28" s="1779" t="s">
        <v>1651</v>
      </c>
      <c r="AN28" s="1780"/>
      <c r="AO28" s="1780"/>
      <c r="AP28" s="1780"/>
      <c r="AQ28" s="1780"/>
      <c r="AR28" s="1780"/>
      <c r="AS28" s="1780"/>
      <c r="AT28" s="1780"/>
      <c r="AU28" s="1780"/>
      <c r="AV28" s="1780"/>
      <c r="AW28" s="1780"/>
      <c r="AX28" s="1780"/>
      <c r="AY28" s="1780"/>
      <c r="AZ28" s="1780"/>
      <c r="BA28" s="1780"/>
      <c r="BB28" s="1780"/>
      <c r="BC28" s="1780"/>
      <c r="BD28" s="1780"/>
      <c r="BE28" s="258"/>
      <c r="BF28" s="258"/>
      <c r="BG28" s="258"/>
      <c r="BH28" s="258"/>
      <c r="BI28" s="1779" t="s">
        <v>1646</v>
      </c>
      <c r="BJ28" s="1780"/>
      <c r="BK28" s="1780"/>
      <c r="BL28" s="1780"/>
      <c r="BM28" s="1780"/>
      <c r="BN28" s="1780"/>
      <c r="BO28" s="1780"/>
      <c r="BP28" s="1780"/>
      <c r="BQ28" s="1780"/>
      <c r="BR28" s="1780"/>
      <c r="BS28" s="1780"/>
      <c r="BT28" s="1780"/>
      <c r="BU28" s="1780"/>
      <c r="BV28" s="1780"/>
      <c r="BW28" s="1780"/>
      <c r="BX28" s="1780"/>
      <c r="BY28" s="1780"/>
      <c r="BZ28" s="1780"/>
      <c r="CA28" s="255"/>
      <c r="CB28" s="255"/>
      <c r="CC28" s="254"/>
      <c r="CD28" s="254"/>
      <c r="CE28" s="254"/>
      <c r="CF28" s="254"/>
      <c r="CG28" s="254"/>
      <c r="CH28" s="254"/>
      <c r="CI28" s="254"/>
      <c r="CJ28" s="254"/>
      <c r="CK28" s="254"/>
      <c r="CL28" s="254"/>
      <c r="CM28" s="254"/>
      <c r="CN28" s="254"/>
      <c r="CO28" s="254"/>
      <c r="CP28" s="254"/>
      <c r="CQ28" s="254"/>
      <c r="CR28" s="254"/>
      <c r="CS28" s="254"/>
      <c r="CT28" s="254"/>
      <c r="CU28" s="254"/>
      <c r="CV28" s="254"/>
      <c r="CW28" s="254"/>
      <c r="CX28" s="254"/>
      <c r="CY28" s="254"/>
      <c r="CZ28" s="254"/>
      <c r="DA28" s="254"/>
      <c r="DB28" s="254"/>
      <c r="DC28" s="254"/>
      <c r="DD28" s="254"/>
      <c r="DE28" s="254"/>
      <c r="DF28" s="254"/>
      <c r="DG28" s="254"/>
      <c r="DH28" s="254"/>
      <c r="DI28" s="254"/>
    </row>
    <row r="29" spans="1:113">
      <c r="A29" s="254"/>
      <c r="B29" s="254"/>
      <c r="C29" s="254"/>
      <c r="D29" s="254"/>
      <c r="E29" s="254"/>
      <c r="F29" s="254"/>
      <c r="G29" s="254"/>
      <c r="H29" s="254"/>
      <c r="I29" s="254"/>
      <c r="J29" s="254"/>
      <c r="K29" s="254"/>
      <c r="L29" s="254"/>
      <c r="M29" s="254"/>
      <c r="N29" s="258"/>
      <c r="O29" s="258"/>
      <c r="P29" s="1780"/>
      <c r="Q29" s="1780"/>
      <c r="R29" s="1780"/>
      <c r="S29" s="1780"/>
      <c r="T29" s="1780"/>
      <c r="U29" s="1780"/>
      <c r="V29" s="1780"/>
      <c r="W29" s="1780"/>
      <c r="X29" s="1780"/>
      <c r="Y29" s="1780"/>
      <c r="Z29" s="1780"/>
      <c r="AA29" s="1780"/>
      <c r="AB29" s="1780"/>
      <c r="AC29" s="1780"/>
      <c r="AD29" s="1780"/>
      <c r="AE29" s="1780"/>
      <c r="AF29" s="1780"/>
      <c r="AG29" s="1780"/>
      <c r="AH29" s="258"/>
      <c r="AI29" s="258"/>
      <c r="AJ29" s="255"/>
      <c r="AK29" s="255"/>
      <c r="AL29" s="255"/>
      <c r="AM29" s="1780"/>
      <c r="AN29" s="1780"/>
      <c r="AO29" s="1780"/>
      <c r="AP29" s="1780"/>
      <c r="AQ29" s="1780"/>
      <c r="AR29" s="1780"/>
      <c r="AS29" s="1780"/>
      <c r="AT29" s="1780"/>
      <c r="AU29" s="1780"/>
      <c r="AV29" s="1780"/>
      <c r="AW29" s="1780"/>
      <c r="AX29" s="1780"/>
      <c r="AY29" s="1780"/>
      <c r="AZ29" s="1780"/>
      <c r="BA29" s="1780"/>
      <c r="BB29" s="1780"/>
      <c r="BC29" s="1780"/>
      <c r="BD29" s="1780"/>
      <c r="BE29" s="258"/>
      <c r="BF29" s="258"/>
      <c r="BG29" s="258"/>
      <c r="BH29" s="258"/>
      <c r="BI29" s="1780"/>
      <c r="BJ29" s="1780"/>
      <c r="BK29" s="1780"/>
      <c r="BL29" s="1780"/>
      <c r="BM29" s="1780"/>
      <c r="BN29" s="1780"/>
      <c r="BO29" s="1780"/>
      <c r="BP29" s="1780"/>
      <c r="BQ29" s="1780"/>
      <c r="BR29" s="1780"/>
      <c r="BS29" s="1780"/>
      <c r="BT29" s="1780"/>
      <c r="BU29" s="1780"/>
      <c r="BV29" s="1780"/>
      <c r="BW29" s="1780"/>
      <c r="BX29" s="1780"/>
      <c r="BY29" s="1780"/>
      <c r="BZ29" s="1780"/>
      <c r="CA29" s="255"/>
      <c r="CB29" s="255"/>
      <c r="CC29" s="254"/>
      <c r="CD29" s="254"/>
      <c r="CE29" s="254"/>
      <c r="CF29" s="254"/>
      <c r="CG29" s="254"/>
      <c r="CH29" s="254"/>
      <c r="CI29" s="254"/>
      <c r="CJ29" s="254"/>
      <c r="CK29" s="254"/>
      <c r="CL29" s="254"/>
      <c r="CM29" s="254"/>
      <c r="CN29" s="254"/>
      <c r="CO29" s="254"/>
      <c r="CP29" s="254"/>
      <c r="CQ29" s="254"/>
      <c r="CR29" s="254"/>
      <c r="CS29" s="254"/>
      <c r="CT29" s="254"/>
      <c r="CU29" s="254"/>
      <c r="CV29" s="254"/>
      <c r="CW29" s="254"/>
      <c r="CX29" s="254"/>
      <c r="CY29" s="254"/>
      <c r="CZ29" s="254"/>
      <c r="DA29" s="254"/>
      <c r="DB29" s="254"/>
      <c r="DC29" s="254"/>
      <c r="DD29" s="254"/>
      <c r="DE29" s="254"/>
      <c r="DF29" s="254"/>
      <c r="DG29" s="254"/>
      <c r="DH29" s="254"/>
      <c r="DI29" s="254"/>
    </row>
    <row r="30" spans="1:113">
      <c r="A30" s="254"/>
      <c r="B30" s="254"/>
      <c r="C30" s="254"/>
      <c r="D30" s="254"/>
      <c r="E30" s="254"/>
      <c r="F30" s="254"/>
      <c r="G30" s="254"/>
      <c r="H30" s="254"/>
      <c r="I30" s="254"/>
      <c r="J30" s="254"/>
      <c r="K30" s="254"/>
      <c r="L30" s="254"/>
      <c r="M30" s="254"/>
      <c r="N30" s="258"/>
      <c r="O30" s="258"/>
      <c r="P30" s="1790" t="s">
        <v>876</v>
      </c>
      <c r="Q30" s="1791"/>
      <c r="R30" s="1791"/>
      <c r="S30" s="1791"/>
      <c r="T30" s="1791"/>
      <c r="U30" s="1791"/>
      <c r="V30" s="1791"/>
      <c r="W30" s="1791"/>
      <c r="X30" s="1791"/>
      <c r="Y30" s="1791"/>
      <c r="Z30" s="1791"/>
      <c r="AA30" s="1791"/>
      <c r="AB30" s="1791"/>
      <c r="AC30" s="1791"/>
      <c r="AD30" s="1791"/>
      <c r="AE30" s="1791"/>
      <c r="AF30" s="1791"/>
      <c r="AG30" s="1791"/>
      <c r="AH30" s="258"/>
      <c r="AI30" s="258"/>
      <c r="AJ30" s="255"/>
      <c r="AK30" s="255"/>
      <c r="AL30" s="255"/>
      <c r="AM30" s="1779" t="s">
        <v>1652</v>
      </c>
      <c r="AN30" s="1780"/>
      <c r="AO30" s="1780"/>
      <c r="AP30" s="1780"/>
      <c r="AQ30" s="1780"/>
      <c r="AR30" s="1780"/>
      <c r="AS30" s="1780"/>
      <c r="AT30" s="1780"/>
      <c r="AU30" s="1780"/>
      <c r="AV30" s="1780"/>
      <c r="AW30" s="1780"/>
      <c r="AX30" s="1780"/>
      <c r="AY30" s="1780"/>
      <c r="AZ30" s="1780"/>
      <c r="BA30" s="1780"/>
      <c r="BB30" s="1780"/>
      <c r="BC30" s="1780"/>
      <c r="BD30" s="1780"/>
      <c r="BE30" s="258"/>
      <c r="BF30" s="258"/>
      <c r="BG30" s="258"/>
      <c r="BH30" s="258"/>
      <c r="BI30" s="1780"/>
      <c r="BJ30" s="1780"/>
      <c r="BK30" s="1780"/>
      <c r="BL30" s="1780"/>
      <c r="BM30" s="1780"/>
      <c r="BN30" s="1780"/>
      <c r="BO30" s="1780"/>
      <c r="BP30" s="1780"/>
      <c r="BQ30" s="1780"/>
      <c r="BR30" s="1780"/>
      <c r="BS30" s="1780"/>
      <c r="BT30" s="1780"/>
      <c r="BU30" s="1780"/>
      <c r="BV30" s="1780"/>
      <c r="BW30" s="1780"/>
      <c r="BX30" s="1780"/>
      <c r="BY30" s="1780"/>
      <c r="BZ30" s="1780"/>
      <c r="CA30" s="255"/>
      <c r="CB30" s="255"/>
      <c r="CC30" s="254"/>
      <c r="CD30" s="254"/>
      <c r="CE30" s="254"/>
      <c r="CF30" s="254"/>
      <c r="CG30" s="254"/>
      <c r="CH30" s="254"/>
      <c r="CI30" s="254"/>
      <c r="CJ30" s="254"/>
      <c r="CK30" s="254"/>
      <c r="CL30" s="254"/>
      <c r="CM30" s="254"/>
      <c r="CN30" s="254"/>
      <c r="CO30" s="254"/>
      <c r="CP30" s="254"/>
      <c r="CQ30" s="254"/>
      <c r="CR30" s="254"/>
      <c r="CS30" s="254"/>
      <c r="CT30" s="254"/>
      <c r="CU30" s="254"/>
      <c r="CV30" s="254"/>
      <c r="CW30" s="254"/>
      <c r="CX30" s="254"/>
      <c r="CY30" s="254"/>
      <c r="CZ30" s="254"/>
      <c r="DA30" s="254"/>
      <c r="DB30" s="254"/>
      <c r="DC30" s="254"/>
      <c r="DD30" s="254"/>
      <c r="DE30" s="254"/>
      <c r="DF30" s="254"/>
      <c r="DG30" s="254"/>
      <c r="DH30" s="254"/>
      <c r="DI30" s="254"/>
    </row>
    <row r="31" spans="1:113">
      <c r="A31" s="254"/>
      <c r="B31" s="254"/>
      <c r="C31" s="254"/>
      <c r="D31" s="254"/>
      <c r="E31" s="254"/>
      <c r="F31" s="254"/>
      <c r="G31" s="254"/>
      <c r="H31" s="254"/>
      <c r="I31" s="254"/>
      <c r="J31" s="254"/>
      <c r="K31" s="254"/>
      <c r="L31" s="254"/>
      <c r="M31" s="254"/>
      <c r="N31" s="258"/>
      <c r="O31" s="258"/>
      <c r="P31" s="1791"/>
      <c r="Q31" s="1791"/>
      <c r="R31" s="1791"/>
      <c r="S31" s="1791"/>
      <c r="T31" s="1791"/>
      <c r="U31" s="1791"/>
      <c r="V31" s="1791"/>
      <c r="W31" s="1791"/>
      <c r="X31" s="1791"/>
      <c r="Y31" s="1791"/>
      <c r="Z31" s="1791"/>
      <c r="AA31" s="1791"/>
      <c r="AB31" s="1791"/>
      <c r="AC31" s="1791"/>
      <c r="AD31" s="1791"/>
      <c r="AE31" s="1791"/>
      <c r="AF31" s="1791"/>
      <c r="AG31" s="1791"/>
      <c r="AH31" s="258"/>
      <c r="AI31" s="258"/>
      <c r="AJ31" s="255"/>
      <c r="AK31" s="255"/>
      <c r="AL31" s="255"/>
      <c r="AM31" s="1780"/>
      <c r="AN31" s="1780"/>
      <c r="AO31" s="1780"/>
      <c r="AP31" s="1780"/>
      <c r="AQ31" s="1780"/>
      <c r="AR31" s="1780"/>
      <c r="AS31" s="1780"/>
      <c r="AT31" s="1780"/>
      <c r="AU31" s="1780"/>
      <c r="AV31" s="1780"/>
      <c r="AW31" s="1780"/>
      <c r="AX31" s="1780"/>
      <c r="AY31" s="1780"/>
      <c r="AZ31" s="1780"/>
      <c r="BA31" s="1780"/>
      <c r="BB31" s="1780"/>
      <c r="BC31" s="1780"/>
      <c r="BD31" s="1780"/>
      <c r="BE31" s="258"/>
      <c r="BF31" s="258"/>
      <c r="BG31" s="258"/>
      <c r="BH31" s="258"/>
      <c r="BI31" s="1780"/>
      <c r="BJ31" s="1780"/>
      <c r="BK31" s="1780"/>
      <c r="BL31" s="1780"/>
      <c r="BM31" s="1780"/>
      <c r="BN31" s="1780"/>
      <c r="BO31" s="1780"/>
      <c r="BP31" s="1780"/>
      <c r="BQ31" s="1780"/>
      <c r="BR31" s="1780"/>
      <c r="BS31" s="1780"/>
      <c r="BT31" s="1780"/>
      <c r="BU31" s="1780"/>
      <c r="BV31" s="1780"/>
      <c r="BW31" s="1780"/>
      <c r="BX31" s="1780"/>
      <c r="BY31" s="1780"/>
      <c r="BZ31" s="1780"/>
      <c r="CA31" s="255"/>
      <c r="CB31" s="255"/>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row>
    <row r="32" spans="1:113">
      <c r="A32" s="254"/>
      <c r="B32" s="254"/>
      <c r="C32" s="254"/>
      <c r="D32" s="254"/>
      <c r="E32" s="254"/>
      <c r="F32" s="254"/>
      <c r="G32" s="254"/>
      <c r="H32" s="254"/>
      <c r="I32" s="254"/>
      <c r="J32" s="254"/>
      <c r="K32" s="254"/>
      <c r="L32" s="254"/>
      <c r="M32" s="254"/>
      <c r="N32" s="258"/>
      <c r="O32" s="258"/>
      <c r="P32" s="1779" t="s">
        <v>1664</v>
      </c>
      <c r="Q32" s="1780"/>
      <c r="R32" s="1780"/>
      <c r="S32" s="1780"/>
      <c r="T32" s="1780"/>
      <c r="U32" s="1780"/>
      <c r="V32" s="1780"/>
      <c r="W32" s="1780"/>
      <c r="X32" s="1780"/>
      <c r="Y32" s="1780"/>
      <c r="Z32" s="1780"/>
      <c r="AA32" s="1780"/>
      <c r="AB32" s="1780"/>
      <c r="AC32" s="1780"/>
      <c r="AD32" s="1780"/>
      <c r="AE32" s="1780"/>
      <c r="AF32" s="1780"/>
      <c r="AG32" s="1780"/>
      <c r="AH32" s="258"/>
      <c r="AI32" s="258"/>
      <c r="AJ32" s="255"/>
      <c r="AK32" s="255"/>
      <c r="AL32" s="255"/>
      <c r="AM32" s="1778" t="s">
        <v>1000</v>
      </c>
      <c r="AN32" s="1778"/>
      <c r="AO32" s="1778"/>
      <c r="AP32" s="1778"/>
      <c r="AQ32" s="1778"/>
      <c r="AR32" s="1778"/>
      <c r="AS32" s="1778"/>
      <c r="AT32" s="1778"/>
      <c r="AU32" s="1778"/>
      <c r="AV32" s="1778"/>
      <c r="AW32" s="1778"/>
      <c r="AX32" s="1778"/>
      <c r="AY32" s="1778"/>
      <c r="AZ32" s="1778"/>
      <c r="BA32" s="1778"/>
      <c r="BB32" s="1778"/>
      <c r="BC32" s="1778"/>
      <c r="BD32" s="1778"/>
      <c r="BE32" s="1778"/>
      <c r="BF32" s="1778"/>
      <c r="BG32" s="1778"/>
      <c r="BH32" s="1778"/>
      <c r="BI32" s="1778"/>
      <c r="BJ32" s="1778"/>
      <c r="BK32" s="1778"/>
      <c r="BL32" s="1778"/>
      <c r="BM32" s="1778"/>
      <c r="BN32" s="1778"/>
      <c r="BO32" s="1778"/>
      <c r="BP32" s="1778"/>
      <c r="BQ32" s="1778"/>
      <c r="BR32" s="1778"/>
      <c r="BS32" s="1778"/>
      <c r="BT32" s="1778"/>
      <c r="BU32" s="1778"/>
      <c r="BV32" s="1778"/>
      <c r="BW32" s="1778"/>
      <c r="BX32" s="258"/>
      <c r="BY32" s="258"/>
      <c r="BZ32" s="258"/>
      <c r="CA32" s="255"/>
      <c r="CB32" s="255"/>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row>
    <row r="33" spans="1:113">
      <c r="A33" s="254"/>
      <c r="B33" s="254"/>
      <c r="C33" s="254"/>
      <c r="D33" s="254"/>
      <c r="E33" s="254"/>
      <c r="F33" s="254"/>
      <c r="G33" s="254"/>
      <c r="H33" s="254"/>
      <c r="I33" s="254"/>
      <c r="J33" s="254"/>
      <c r="K33" s="254"/>
      <c r="L33" s="254"/>
      <c r="M33" s="254"/>
      <c r="N33" s="258"/>
      <c r="O33" s="258"/>
      <c r="P33" s="1780"/>
      <c r="Q33" s="1780"/>
      <c r="R33" s="1780"/>
      <c r="S33" s="1780"/>
      <c r="T33" s="1780"/>
      <c r="U33" s="1780"/>
      <c r="V33" s="1780"/>
      <c r="W33" s="1780"/>
      <c r="X33" s="1780"/>
      <c r="Y33" s="1780"/>
      <c r="Z33" s="1780"/>
      <c r="AA33" s="1780"/>
      <c r="AB33" s="1780"/>
      <c r="AC33" s="1780"/>
      <c r="AD33" s="1780"/>
      <c r="AE33" s="1780"/>
      <c r="AF33" s="1780"/>
      <c r="AG33" s="1780"/>
      <c r="AH33" s="258"/>
      <c r="AI33" s="258"/>
      <c r="AJ33" s="255"/>
      <c r="AK33" s="255"/>
      <c r="AL33" s="255"/>
      <c r="AM33" s="1778"/>
      <c r="AN33" s="1778"/>
      <c r="AO33" s="1778"/>
      <c r="AP33" s="1778"/>
      <c r="AQ33" s="1778"/>
      <c r="AR33" s="1778"/>
      <c r="AS33" s="1778"/>
      <c r="AT33" s="1778"/>
      <c r="AU33" s="1778"/>
      <c r="AV33" s="1778"/>
      <c r="AW33" s="1778"/>
      <c r="AX33" s="1778"/>
      <c r="AY33" s="1778"/>
      <c r="AZ33" s="1778"/>
      <c r="BA33" s="1778"/>
      <c r="BB33" s="1778"/>
      <c r="BC33" s="1778"/>
      <c r="BD33" s="1778"/>
      <c r="BE33" s="1778"/>
      <c r="BF33" s="1778"/>
      <c r="BG33" s="1778"/>
      <c r="BH33" s="1778"/>
      <c r="BI33" s="1778"/>
      <c r="BJ33" s="1778"/>
      <c r="BK33" s="1778"/>
      <c r="BL33" s="1778"/>
      <c r="BM33" s="1778"/>
      <c r="BN33" s="1778"/>
      <c r="BO33" s="1778"/>
      <c r="BP33" s="1778"/>
      <c r="BQ33" s="1778"/>
      <c r="BR33" s="1778"/>
      <c r="BS33" s="1778"/>
      <c r="BT33" s="1778"/>
      <c r="BU33" s="1778"/>
      <c r="BV33" s="1778"/>
      <c r="BW33" s="1778"/>
      <c r="BX33" s="258"/>
      <c r="BY33" s="258"/>
      <c r="BZ33" s="258"/>
      <c r="CA33" s="255"/>
      <c r="CB33" s="255"/>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row>
    <row r="34" spans="1:113">
      <c r="A34" s="254"/>
      <c r="B34" s="254"/>
      <c r="C34" s="254"/>
      <c r="D34" s="254"/>
      <c r="E34" s="254"/>
      <c r="F34" s="254"/>
      <c r="G34" s="254"/>
      <c r="H34" s="254"/>
      <c r="I34" s="254"/>
      <c r="J34" s="254"/>
      <c r="K34" s="254"/>
      <c r="L34" s="254"/>
      <c r="M34" s="254"/>
      <c r="N34" s="258"/>
      <c r="O34" s="258"/>
      <c r="P34" s="1779" t="s">
        <v>1665</v>
      </c>
      <c r="Q34" s="1780"/>
      <c r="R34" s="1780"/>
      <c r="S34" s="1780"/>
      <c r="T34" s="1780"/>
      <c r="U34" s="1780"/>
      <c r="V34" s="1780"/>
      <c r="W34" s="1780"/>
      <c r="X34" s="1780"/>
      <c r="Y34" s="1780"/>
      <c r="Z34" s="1780"/>
      <c r="AA34" s="1780"/>
      <c r="AB34" s="1780"/>
      <c r="AC34" s="1780"/>
      <c r="AD34" s="1780"/>
      <c r="AE34" s="1780"/>
      <c r="AF34" s="1780"/>
      <c r="AG34" s="1780"/>
      <c r="AH34" s="258"/>
      <c r="AI34" s="258"/>
      <c r="AJ34" s="255"/>
      <c r="AK34" s="255"/>
      <c r="AL34" s="255"/>
      <c r="AM34" s="1779" t="s">
        <v>1653</v>
      </c>
      <c r="AN34" s="1780"/>
      <c r="AO34" s="1780"/>
      <c r="AP34" s="1780"/>
      <c r="AQ34" s="1780"/>
      <c r="AR34" s="1780"/>
      <c r="AS34" s="1780"/>
      <c r="AT34" s="1780"/>
      <c r="AU34" s="1780"/>
      <c r="AV34" s="1780"/>
      <c r="AW34" s="1780"/>
      <c r="AX34" s="1780"/>
      <c r="AY34" s="1780"/>
      <c r="AZ34" s="1780"/>
      <c r="BA34" s="1780"/>
      <c r="BB34" s="1780"/>
      <c r="BC34" s="1780"/>
      <c r="BD34" s="1780"/>
      <c r="BE34" s="258"/>
      <c r="BF34" s="258"/>
      <c r="BG34" s="258"/>
      <c r="BH34" s="258"/>
      <c r="BI34" s="1779" t="s">
        <v>1654</v>
      </c>
      <c r="BJ34" s="1780"/>
      <c r="BK34" s="1780"/>
      <c r="BL34" s="1780"/>
      <c r="BM34" s="1780"/>
      <c r="BN34" s="1780"/>
      <c r="BO34" s="1780"/>
      <c r="BP34" s="1780"/>
      <c r="BQ34" s="1780"/>
      <c r="BR34" s="1780"/>
      <c r="BS34" s="1780"/>
      <c r="BT34" s="1780"/>
      <c r="BU34" s="1780"/>
      <c r="BV34" s="1780"/>
      <c r="BW34" s="1780"/>
      <c r="BX34" s="1780"/>
      <c r="BY34" s="1780"/>
      <c r="BZ34" s="1780"/>
      <c r="CA34" s="255"/>
      <c r="CB34" s="255"/>
      <c r="CC34" s="254"/>
      <c r="CD34" s="254"/>
      <c r="CE34" s="254"/>
      <c r="CF34" s="254"/>
      <c r="CG34" s="254"/>
      <c r="CH34" s="254"/>
      <c r="CI34" s="254"/>
      <c r="CJ34" s="254"/>
      <c r="CK34" s="254"/>
      <c r="CL34" s="254"/>
      <c r="CM34" s="254"/>
      <c r="CN34" s="254"/>
      <c r="CO34" s="254"/>
      <c r="CP34" s="254"/>
      <c r="CQ34" s="254"/>
      <c r="CR34" s="254"/>
      <c r="CS34" s="254"/>
      <c r="CT34" s="254"/>
      <c r="CU34" s="254"/>
      <c r="CV34" s="254"/>
      <c r="CW34" s="254"/>
      <c r="CX34" s="254"/>
      <c r="CY34" s="254"/>
      <c r="CZ34" s="254"/>
      <c r="DA34" s="254"/>
      <c r="DB34" s="254"/>
      <c r="DC34" s="254"/>
      <c r="DD34" s="254"/>
      <c r="DE34" s="254"/>
      <c r="DF34" s="254"/>
      <c r="DG34" s="254"/>
      <c r="DH34" s="254"/>
      <c r="DI34" s="254"/>
    </row>
    <row r="35" spans="1:113">
      <c r="A35" s="254"/>
      <c r="B35" s="254"/>
      <c r="C35" s="254"/>
      <c r="D35" s="254"/>
      <c r="E35" s="254"/>
      <c r="F35" s="254"/>
      <c r="G35" s="254"/>
      <c r="H35" s="254"/>
      <c r="I35" s="254"/>
      <c r="J35" s="254"/>
      <c r="K35" s="254"/>
      <c r="L35" s="254"/>
      <c r="M35" s="254"/>
      <c r="N35" s="258"/>
      <c r="O35" s="258"/>
      <c r="P35" s="1780"/>
      <c r="Q35" s="1780"/>
      <c r="R35" s="1780"/>
      <c r="S35" s="1780"/>
      <c r="T35" s="1780"/>
      <c r="U35" s="1780"/>
      <c r="V35" s="1780"/>
      <c r="W35" s="1780"/>
      <c r="X35" s="1780"/>
      <c r="Y35" s="1780"/>
      <c r="Z35" s="1780"/>
      <c r="AA35" s="1780"/>
      <c r="AB35" s="1780"/>
      <c r="AC35" s="1780"/>
      <c r="AD35" s="1780"/>
      <c r="AE35" s="1780"/>
      <c r="AF35" s="1780"/>
      <c r="AG35" s="1780"/>
      <c r="AH35" s="258"/>
      <c r="AI35" s="258"/>
      <c r="AJ35" s="255"/>
      <c r="AK35" s="255"/>
      <c r="AL35" s="255"/>
      <c r="AM35" s="1780"/>
      <c r="AN35" s="1780"/>
      <c r="AO35" s="1780"/>
      <c r="AP35" s="1780"/>
      <c r="AQ35" s="1780"/>
      <c r="AR35" s="1780"/>
      <c r="AS35" s="1780"/>
      <c r="AT35" s="1780"/>
      <c r="AU35" s="1780"/>
      <c r="AV35" s="1780"/>
      <c r="AW35" s="1780"/>
      <c r="AX35" s="1780"/>
      <c r="AY35" s="1780"/>
      <c r="AZ35" s="1780"/>
      <c r="BA35" s="1780"/>
      <c r="BB35" s="1780"/>
      <c r="BC35" s="1780"/>
      <c r="BD35" s="1780"/>
      <c r="BE35" s="258"/>
      <c r="BF35" s="258"/>
      <c r="BG35" s="258"/>
      <c r="BH35" s="258"/>
      <c r="BI35" s="1780"/>
      <c r="BJ35" s="1780"/>
      <c r="BK35" s="1780"/>
      <c r="BL35" s="1780"/>
      <c r="BM35" s="1780"/>
      <c r="BN35" s="1780"/>
      <c r="BO35" s="1780"/>
      <c r="BP35" s="1780"/>
      <c r="BQ35" s="1780"/>
      <c r="BR35" s="1780"/>
      <c r="BS35" s="1780"/>
      <c r="BT35" s="1780"/>
      <c r="BU35" s="1780"/>
      <c r="BV35" s="1780"/>
      <c r="BW35" s="1780"/>
      <c r="BX35" s="1780"/>
      <c r="BY35" s="1780"/>
      <c r="BZ35" s="1780"/>
      <c r="CA35" s="255"/>
      <c r="CB35" s="255"/>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row>
    <row r="36" spans="1:113">
      <c r="A36" s="254"/>
      <c r="B36" s="254"/>
      <c r="C36" s="254"/>
      <c r="D36" s="254"/>
      <c r="E36" s="254"/>
      <c r="F36" s="254"/>
      <c r="G36" s="254"/>
      <c r="H36" s="254"/>
      <c r="I36" s="254"/>
      <c r="J36" s="254"/>
      <c r="K36" s="254"/>
      <c r="L36" s="254"/>
      <c r="M36" s="254"/>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4"/>
      <c r="CD36" s="254"/>
      <c r="CE36" s="254"/>
      <c r="CF36" s="254"/>
      <c r="CG36" s="254"/>
      <c r="CH36" s="254"/>
      <c r="CI36" s="254"/>
      <c r="CJ36" s="254"/>
      <c r="CK36" s="254"/>
      <c r="CL36" s="254"/>
      <c r="CM36" s="254"/>
      <c r="CN36" s="254"/>
      <c r="CO36" s="254"/>
      <c r="CP36" s="254"/>
      <c r="CQ36" s="254"/>
      <c r="CR36" s="254"/>
      <c r="CS36" s="254"/>
      <c r="CT36" s="254"/>
      <c r="CU36" s="254"/>
      <c r="CV36" s="254"/>
      <c r="CW36" s="254"/>
      <c r="CX36" s="254"/>
      <c r="CY36" s="254"/>
      <c r="CZ36" s="254"/>
      <c r="DA36" s="254"/>
      <c r="DB36" s="254"/>
      <c r="DC36" s="254"/>
      <c r="DD36" s="254"/>
      <c r="DE36" s="254"/>
      <c r="DF36" s="254"/>
      <c r="DG36" s="254"/>
      <c r="DH36" s="254"/>
      <c r="DI36" s="254"/>
    </row>
    <row r="37" spans="1:113">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254"/>
      <c r="AT37" s="254"/>
      <c r="AU37" s="254"/>
      <c r="AV37" s="254"/>
      <c r="AW37" s="254"/>
      <c r="AX37" s="254"/>
      <c r="AY37" s="254"/>
      <c r="AZ37" s="254"/>
      <c r="BA37" s="254"/>
      <c r="BB37" s="254"/>
      <c r="BC37" s="254"/>
      <c r="BD37" s="254"/>
      <c r="BE37" s="254"/>
      <c r="BF37" s="254"/>
      <c r="BG37" s="254"/>
      <c r="BH37" s="254"/>
      <c r="BI37" s="254"/>
      <c r="BJ37" s="254"/>
      <c r="BK37" s="254"/>
      <c r="BL37" s="254"/>
      <c r="BM37" s="254"/>
      <c r="BN37" s="254"/>
      <c r="BO37" s="254"/>
      <c r="BP37" s="254"/>
      <c r="BQ37" s="254"/>
      <c r="BR37" s="254"/>
      <c r="BS37" s="254"/>
      <c r="BT37" s="254"/>
      <c r="BU37" s="254"/>
      <c r="BV37" s="254"/>
      <c r="BW37" s="254"/>
      <c r="BX37" s="254"/>
      <c r="BY37" s="254"/>
      <c r="BZ37" s="254"/>
      <c r="CA37" s="254"/>
      <c r="CB37" s="254"/>
      <c r="CC37" s="254"/>
      <c r="CD37" s="254"/>
      <c r="CE37" s="254"/>
      <c r="CF37" s="254"/>
      <c r="CG37" s="254"/>
      <c r="CH37" s="254"/>
      <c r="CI37" s="254"/>
      <c r="CJ37" s="254"/>
      <c r="CK37" s="254"/>
      <c r="CL37" s="254"/>
      <c r="CM37" s="254"/>
      <c r="CN37" s="254"/>
      <c r="CO37" s="254"/>
      <c r="CP37" s="254"/>
      <c r="CQ37" s="254"/>
      <c r="CR37" s="254"/>
      <c r="CS37" s="254"/>
      <c r="CT37" s="254"/>
      <c r="CU37" s="254"/>
      <c r="CV37" s="254"/>
      <c r="CW37" s="254"/>
      <c r="CX37" s="254"/>
      <c r="CY37" s="254"/>
      <c r="CZ37" s="254"/>
      <c r="DA37" s="254"/>
      <c r="DB37" s="254"/>
      <c r="DC37" s="254"/>
      <c r="DD37" s="254"/>
      <c r="DE37" s="254"/>
      <c r="DF37" s="254"/>
      <c r="DG37" s="254"/>
      <c r="DH37" s="254"/>
      <c r="DI37" s="254"/>
    </row>
    <row r="38" spans="1:113" ht="15" customHeight="1">
      <c r="A38" s="254"/>
      <c r="B38" s="254"/>
      <c r="C38" s="254"/>
      <c r="D38" s="254"/>
      <c r="E38" s="254"/>
      <c r="F38" s="254"/>
      <c r="G38" s="254"/>
      <c r="H38" s="254"/>
      <c r="I38" s="254"/>
      <c r="J38" s="254"/>
      <c r="K38" s="254"/>
      <c r="L38" s="254"/>
      <c r="M38" s="254"/>
      <c r="N38" s="255"/>
      <c r="O38" s="255"/>
      <c r="P38" s="900"/>
      <c r="Q38" s="900"/>
      <c r="R38" s="900"/>
      <c r="S38" s="900"/>
      <c r="T38" s="900"/>
      <c r="U38" s="900"/>
      <c r="V38" s="900"/>
      <c r="W38" s="900"/>
      <c r="X38" s="900"/>
      <c r="Y38" s="900"/>
      <c r="Z38" s="900"/>
      <c r="AA38" s="900"/>
      <c r="AB38" s="345"/>
      <c r="AC38" s="345"/>
      <c r="AD38" s="345"/>
      <c r="AE38" s="345"/>
      <c r="AF38" s="345"/>
      <c r="AG38" s="345"/>
      <c r="AH38" s="345"/>
      <c r="AI38" s="345"/>
      <c r="AJ38" s="345"/>
      <c r="AK38" s="345"/>
      <c r="AL38" s="345"/>
      <c r="AM38" s="345"/>
      <c r="AN38" s="345"/>
      <c r="AO38" s="345"/>
      <c r="AP38" s="901"/>
      <c r="AQ38" s="901"/>
      <c r="AR38" s="901"/>
      <c r="AS38" s="255"/>
      <c r="AT38" s="255"/>
      <c r="AU38" s="255"/>
      <c r="AV38" s="255"/>
      <c r="AW38" s="255"/>
      <c r="AX38" s="255"/>
      <c r="AY38" s="255"/>
      <c r="AZ38" s="255"/>
      <c r="BA38" s="255"/>
      <c r="BB38" s="255"/>
      <c r="BC38" s="255"/>
      <c r="BD38" s="255"/>
      <c r="BE38" s="255"/>
      <c r="BF38" s="255"/>
      <c r="BG38" s="255"/>
      <c r="BH38" s="255"/>
      <c r="BI38" s="255"/>
      <c r="BJ38" s="255"/>
      <c r="BK38" s="255"/>
      <c r="BL38" s="255"/>
      <c r="BM38" s="255"/>
      <c r="BN38" s="255"/>
      <c r="BO38" s="255"/>
      <c r="BP38" s="255"/>
      <c r="BQ38" s="255"/>
      <c r="BR38" s="255"/>
      <c r="BS38" s="255"/>
      <c r="BT38" s="255"/>
      <c r="BU38" s="255"/>
      <c r="BV38" s="255"/>
      <c r="BW38" s="255"/>
      <c r="BX38" s="255"/>
      <c r="BY38" s="255"/>
      <c r="BZ38" s="255"/>
      <c r="CA38" s="255"/>
      <c r="CB38" s="255"/>
      <c r="CC38" s="254"/>
      <c r="CD38" s="254"/>
      <c r="CE38" s="254"/>
      <c r="CF38" s="254"/>
      <c r="CG38" s="254"/>
      <c r="CH38" s="254"/>
      <c r="CI38" s="254"/>
      <c r="CJ38" s="254"/>
      <c r="CK38" s="254"/>
      <c r="CL38" s="254"/>
      <c r="CM38" s="254"/>
      <c r="CN38" s="254"/>
      <c r="CO38" s="254"/>
      <c r="CP38" s="254"/>
      <c r="CQ38" s="254"/>
      <c r="CR38" s="254"/>
      <c r="CS38" s="254"/>
      <c r="CT38" s="254"/>
      <c r="CU38" s="254"/>
      <c r="CV38" s="254"/>
      <c r="CW38" s="254"/>
      <c r="CX38" s="254"/>
      <c r="CY38" s="254"/>
      <c r="CZ38" s="254"/>
      <c r="DA38" s="254"/>
      <c r="DB38" s="254"/>
      <c r="DC38" s="254"/>
      <c r="DD38" s="254"/>
      <c r="DE38" s="254"/>
      <c r="DF38" s="254"/>
      <c r="DG38" s="254"/>
      <c r="DH38" s="254"/>
      <c r="DI38" s="254"/>
    </row>
    <row r="39" spans="1:113" ht="15" customHeight="1">
      <c r="A39" s="254"/>
      <c r="B39" s="254"/>
      <c r="C39" s="254"/>
      <c r="D39" s="254"/>
      <c r="E39" s="254"/>
      <c r="F39" s="254"/>
      <c r="G39" s="254"/>
      <c r="H39" s="254"/>
      <c r="I39" s="254"/>
      <c r="J39" s="254"/>
      <c r="K39" s="254"/>
      <c r="L39" s="254"/>
      <c r="M39" s="254"/>
      <c r="N39" s="255"/>
      <c r="O39" s="255"/>
      <c r="P39" s="1781" t="s">
        <v>1324</v>
      </c>
      <c r="Q39" s="1781"/>
      <c r="R39" s="1781"/>
      <c r="S39" s="1781"/>
      <c r="T39" s="1781"/>
      <c r="U39" s="1781"/>
      <c r="V39" s="1781"/>
      <c r="W39" s="1781"/>
      <c r="X39" s="1781"/>
      <c r="Y39" s="1781"/>
      <c r="Z39" s="1781"/>
      <c r="AA39" s="1781"/>
      <c r="AB39" s="1781"/>
      <c r="AC39" s="1781"/>
      <c r="AD39" s="1781"/>
      <c r="AE39" s="1781"/>
      <c r="AF39" s="1781"/>
      <c r="AG39" s="1781"/>
      <c r="AH39" s="1781"/>
      <c r="AI39" s="1781"/>
      <c r="AJ39" s="1781"/>
      <c r="AK39" s="1781"/>
      <c r="AL39" s="1781"/>
      <c r="AM39" s="1781"/>
      <c r="AN39" s="1781"/>
      <c r="AO39" s="1781"/>
      <c r="AP39" s="1781"/>
      <c r="AQ39" s="1781"/>
      <c r="AR39" s="902"/>
      <c r="AS39" s="902"/>
      <c r="AT39" s="902"/>
      <c r="AU39" s="255"/>
      <c r="AV39" s="255"/>
      <c r="AW39" s="255"/>
      <c r="AX39" s="255"/>
      <c r="AY39" s="255"/>
      <c r="AZ39" s="255"/>
      <c r="BA39" s="255"/>
      <c r="BB39" s="255"/>
      <c r="BC39" s="255"/>
      <c r="BD39" s="255"/>
      <c r="BE39" s="255"/>
      <c r="BF39" s="255"/>
      <c r="BG39" s="255"/>
      <c r="BH39" s="255"/>
      <c r="BI39" s="255"/>
      <c r="BJ39" s="255"/>
      <c r="BK39" s="255"/>
      <c r="BL39" s="255"/>
      <c r="BM39" s="255"/>
      <c r="BN39" s="255"/>
      <c r="BO39" s="255"/>
      <c r="BP39" s="255"/>
      <c r="BQ39" s="255"/>
      <c r="BR39" s="255"/>
      <c r="BS39" s="255"/>
      <c r="BT39" s="255"/>
      <c r="BU39" s="255"/>
      <c r="BV39" s="255"/>
      <c r="BW39" s="255"/>
      <c r="BX39" s="255"/>
      <c r="BY39" s="255"/>
      <c r="BZ39" s="255"/>
      <c r="CA39" s="255"/>
      <c r="CB39" s="255"/>
      <c r="CC39" s="254"/>
      <c r="CD39" s="254"/>
      <c r="CE39" s="254"/>
      <c r="CF39" s="254"/>
      <c r="CG39" s="254"/>
      <c r="CH39" s="254"/>
      <c r="CI39" s="254"/>
      <c r="CJ39" s="254"/>
      <c r="CK39" s="254"/>
      <c r="CL39" s="254"/>
      <c r="CM39" s="254"/>
      <c r="CN39" s="254"/>
      <c r="CO39" s="254"/>
      <c r="CP39" s="254"/>
      <c r="CQ39" s="254"/>
      <c r="CR39" s="254"/>
      <c r="CS39" s="254"/>
      <c r="CT39" s="254"/>
      <c r="CU39" s="254"/>
      <c r="CV39" s="254"/>
      <c r="CW39" s="254"/>
      <c r="CX39" s="254"/>
      <c r="CY39" s="254"/>
      <c r="CZ39" s="254"/>
      <c r="DA39" s="254"/>
      <c r="DB39" s="254"/>
      <c r="DC39" s="254"/>
      <c r="DD39" s="254"/>
      <c r="DE39" s="254"/>
      <c r="DF39" s="254"/>
      <c r="DG39" s="254"/>
      <c r="DH39" s="254"/>
      <c r="DI39" s="254"/>
    </row>
    <row r="40" spans="1:113" ht="15" customHeight="1">
      <c r="A40" s="254"/>
      <c r="B40" s="254"/>
      <c r="C40" s="254"/>
      <c r="D40" s="254"/>
      <c r="E40" s="254"/>
      <c r="F40" s="254"/>
      <c r="G40" s="254"/>
      <c r="H40" s="254"/>
      <c r="I40" s="254"/>
      <c r="J40" s="254"/>
      <c r="K40" s="254"/>
      <c r="L40" s="254"/>
      <c r="M40" s="254"/>
      <c r="N40" s="255"/>
      <c r="O40" s="255"/>
      <c r="P40" s="1782"/>
      <c r="Q40" s="1782"/>
      <c r="R40" s="1782"/>
      <c r="S40" s="1782"/>
      <c r="T40" s="1782"/>
      <c r="U40" s="1782"/>
      <c r="V40" s="1782"/>
      <c r="W40" s="1782"/>
      <c r="X40" s="1782"/>
      <c r="Y40" s="1782"/>
      <c r="Z40" s="1782"/>
      <c r="AA40" s="1782"/>
      <c r="AB40" s="1782"/>
      <c r="AC40" s="1782"/>
      <c r="AD40" s="1782"/>
      <c r="AE40" s="1782"/>
      <c r="AF40" s="1782"/>
      <c r="AG40" s="1782"/>
      <c r="AH40" s="1782"/>
      <c r="AI40" s="1782"/>
      <c r="AJ40" s="1782"/>
      <c r="AK40" s="1782"/>
      <c r="AL40" s="1782"/>
      <c r="AM40" s="1782"/>
      <c r="AN40" s="1782"/>
      <c r="AO40" s="1782"/>
      <c r="AP40" s="1782"/>
      <c r="AQ40" s="1782"/>
      <c r="AR40" s="903"/>
      <c r="AS40" s="903"/>
      <c r="AT40" s="903"/>
      <c r="AU40" s="260"/>
      <c r="AV40" s="260"/>
      <c r="AW40" s="260"/>
      <c r="AX40" s="260"/>
      <c r="AY40" s="260"/>
      <c r="AZ40" s="260"/>
      <c r="BA40" s="260"/>
      <c r="BB40" s="260"/>
      <c r="BC40" s="260"/>
      <c r="BD40" s="260"/>
      <c r="BE40" s="260"/>
      <c r="BF40" s="260"/>
      <c r="BG40" s="260"/>
      <c r="BH40" s="260"/>
      <c r="BI40" s="260"/>
      <c r="BJ40" s="260"/>
      <c r="BK40" s="260"/>
      <c r="BL40" s="260"/>
      <c r="BM40" s="260"/>
      <c r="BN40" s="260"/>
      <c r="BO40" s="260"/>
      <c r="BP40" s="260"/>
      <c r="BQ40" s="260"/>
      <c r="BR40" s="260"/>
      <c r="BS40" s="260"/>
      <c r="BT40" s="260"/>
      <c r="BU40" s="260"/>
      <c r="BV40" s="260"/>
      <c r="BW40" s="260"/>
      <c r="BX40" s="260"/>
      <c r="BY40" s="260"/>
      <c r="BZ40" s="260"/>
      <c r="CA40" s="255"/>
      <c r="CB40" s="255"/>
      <c r="CC40" s="254"/>
      <c r="CD40" s="254"/>
      <c r="CE40" s="254"/>
      <c r="CF40" s="254"/>
      <c r="CG40" s="254"/>
      <c r="CH40" s="254"/>
      <c r="CI40" s="254"/>
      <c r="CJ40" s="254"/>
      <c r="CK40" s="254"/>
      <c r="CL40" s="254"/>
      <c r="CM40" s="254"/>
      <c r="CN40" s="254"/>
      <c r="CO40" s="254"/>
      <c r="CP40" s="254"/>
      <c r="CQ40" s="254"/>
      <c r="CR40" s="254"/>
      <c r="CS40" s="254"/>
      <c r="CT40" s="254"/>
      <c r="CU40" s="254"/>
      <c r="CV40" s="254"/>
      <c r="CW40" s="254"/>
      <c r="CX40" s="254"/>
      <c r="CY40" s="254"/>
      <c r="CZ40" s="254"/>
      <c r="DA40" s="254"/>
      <c r="DB40" s="254"/>
      <c r="DC40" s="254"/>
      <c r="DD40" s="254"/>
      <c r="DE40" s="254"/>
      <c r="DF40" s="254"/>
      <c r="DG40" s="254"/>
      <c r="DH40" s="254"/>
      <c r="DI40" s="254"/>
    </row>
    <row r="41" spans="1:113" ht="12" customHeight="1">
      <c r="A41" s="254"/>
      <c r="B41" s="254"/>
      <c r="C41" s="254"/>
      <c r="D41" s="254"/>
      <c r="E41" s="254"/>
      <c r="F41" s="254"/>
      <c r="G41" s="254"/>
      <c r="H41" s="254"/>
      <c r="I41" s="254"/>
      <c r="J41" s="254"/>
      <c r="K41" s="254"/>
      <c r="L41" s="254"/>
      <c r="M41" s="254"/>
      <c r="N41" s="255"/>
      <c r="O41" s="255"/>
      <c r="P41" s="904"/>
      <c r="Q41" s="904"/>
      <c r="R41" s="904"/>
      <c r="S41" s="904"/>
      <c r="T41" s="904"/>
      <c r="U41" s="904"/>
      <c r="V41" s="904"/>
      <c r="W41" s="904"/>
      <c r="X41" s="904"/>
      <c r="Y41" s="904"/>
      <c r="Z41" s="904"/>
      <c r="AA41" s="904"/>
      <c r="AB41" s="904"/>
      <c r="AC41" s="904"/>
      <c r="AD41" s="904"/>
      <c r="AE41" s="904"/>
      <c r="AF41" s="904"/>
      <c r="AG41" s="904"/>
      <c r="AH41" s="904"/>
      <c r="AI41" s="904"/>
      <c r="AJ41" s="904"/>
      <c r="AK41" s="904"/>
      <c r="AL41" s="904"/>
      <c r="AM41" s="904"/>
      <c r="AN41" s="904"/>
      <c r="AO41" s="904"/>
      <c r="AP41" s="904"/>
      <c r="AQ41" s="904"/>
      <c r="AR41" s="902"/>
      <c r="AS41" s="902"/>
      <c r="AT41" s="902"/>
      <c r="AU41" s="255"/>
      <c r="AV41" s="255"/>
      <c r="AW41" s="255"/>
      <c r="AX41" s="255"/>
      <c r="AY41" s="255"/>
      <c r="AZ41" s="255"/>
      <c r="BA41" s="255"/>
      <c r="BB41" s="255"/>
      <c r="BC41" s="255"/>
      <c r="BD41" s="255"/>
      <c r="BE41" s="255"/>
      <c r="BF41" s="255"/>
      <c r="BG41" s="255"/>
      <c r="BH41" s="255"/>
      <c r="BI41" s="255"/>
      <c r="BJ41" s="255"/>
      <c r="BK41" s="255"/>
      <c r="BL41" s="255"/>
      <c r="BM41" s="255"/>
      <c r="BN41" s="255"/>
      <c r="BO41" s="255"/>
      <c r="BP41" s="255"/>
      <c r="BQ41" s="255"/>
      <c r="BR41" s="255"/>
      <c r="BS41" s="255"/>
      <c r="BT41" s="255"/>
      <c r="BU41" s="255"/>
      <c r="BV41" s="255"/>
      <c r="BW41" s="255"/>
      <c r="BX41" s="255"/>
      <c r="BY41" s="255"/>
      <c r="BZ41" s="255"/>
      <c r="CA41" s="255"/>
      <c r="CB41" s="255"/>
      <c r="CC41" s="254"/>
      <c r="CD41" s="254"/>
      <c r="CE41" s="254"/>
      <c r="CF41" s="254"/>
      <c r="CG41" s="254"/>
      <c r="CH41" s="254"/>
      <c r="CI41" s="254"/>
      <c r="CJ41" s="254"/>
      <c r="CK41" s="254"/>
      <c r="CL41" s="254"/>
      <c r="CM41" s="254"/>
      <c r="CN41" s="254"/>
      <c r="CO41" s="254"/>
      <c r="CP41" s="254"/>
      <c r="CQ41" s="254"/>
      <c r="CR41" s="254"/>
      <c r="CS41" s="254"/>
      <c r="CT41" s="254"/>
      <c r="CU41" s="254"/>
      <c r="CV41" s="254"/>
      <c r="CW41" s="254"/>
      <c r="CX41" s="254"/>
      <c r="CY41" s="254"/>
      <c r="CZ41" s="254"/>
      <c r="DA41" s="254"/>
      <c r="DB41" s="254"/>
      <c r="DC41" s="254"/>
      <c r="DD41" s="254"/>
      <c r="DE41" s="254"/>
      <c r="DF41" s="254"/>
      <c r="DG41" s="254"/>
      <c r="DH41" s="254"/>
      <c r="DI41" s="254"/>
    </row>
    <row r="42" spans="1:113" ht="28.35">
      <c r="A42" s="254"/>
      <c r="B42" s="254"/>
      <c r="C42" s="254"/>
      <c r="D42" s="254"/>
      <c r="E42" s="254"/>
      <c r="F42" s="254"/>
      <c r="G42" s="254"/>
      <c r="H42" s="254"/>
      <c r="I42" s="254"/>
      <c r="J42" s="254"/>
      <c r="K42" s="254"/>
      <c r="L42" s="254"/>
      <c r="M42" s="254"/>
      <c r="N42" s="255"/>
      <c r="O42" s="255"/>
      <c r="P42" s="904"/>
      <c r="Q42" s="1792" t="s">
        <v>1081</v>
      </c>
      <c r="R42" s="1792"/>
      <c r="S42" s="1792"/>
      <c r="T42" s="1792"/>
      <c r="U42" s="1792"/>
      <c r="V42" s="1792"/>
      <c r="W42" s="1792"/>
      <c r="X42" s="1792"/>
      <c r="Y42" s="1792"/>
      <c r="Z42" s="1792"/>
      <c r="AA42" s="1792"/>
      <c r="AB42" s="1792"/>
      <c r="AC42" s="1792"/>
      <c r="AD42" s="1792"/>
      <c r="AE42" s="1792"/>
      <c r="AF42" s="1792"/>
      <c r="AG42" s="1792"/>
      <c r="AH42" s="1792"/>
      <c r="AI42" s="1792"/>
      <c r="AJ42" s="1792"/>
      <c r="AK42" s="904"/>
      <c r="AL42" s="904"/>
      <c r="AM42" s="904"/>
      <c r="AN42" s="904"/>
      <c r="AO42" s="904"/>
      <c r="AP42" s="904"/>
      <c r="AQ42" s="904"/>
      <c r="AR42" s="902"/>
      <c r="AS42" s="902"/>
      <c r="AT42" s="902"/>
      <c r="AU42" s="255"/>
      <c r="AV42" s="255"/>
      <c r="AW42" s="255"/>
      <c r="AX42" s="255"/>
      <c r="AY42" s="255"/>
      <c r="AZ42" s="255"/>
      <c r="BA42" s="255"/>
      <c r="BB42" s="255"/>
      <c r="BC42" s="255"/>
      <c r="BD42" s="255"/>
      <c r="BE42" s="255"/>
      <c r="BF42" s="255"/>
      <c r="BG42" s="255"/>
      <c r="BH42" s="255"/>
      <c r="BI42" s="255"/>
      <c r="BJ42" s="255"/>
      <c r="BK42" s="255"/>
      <c r="BL42" s="255"/>
      <c r="BM42" s="255"/>
      <c r="BN42" s="255"/>
      <c r="BO42" s="255"/>
      <c r="BP42" s="255"/>
      <c r="BQ42" s="255"/>
      <c r="BR42" s="255"/>
      <c r="BS42" s="255"/>
      <c r="BT42" s="255"/>
      <c r="BU42" s="255"/>
      <c r="BV42" s="255"/>
      <c r="BW42" s="255"/>
      <c r="BX42" s="255"/>
      <c r="BY42" s="255"/>
      <c r="BZ42" s="255"/>
      <c r="CA42" s="255"/>
      <c r="CB42" s="255"/>
      <c r="CC42" s="254"/>
      <c r="CD42" s="254"/>
      <c r="CE42" s="254"/>
      <c r="CF42" s="254"/>
      <c r="CG42" s="254"/>
      <c r="CH42" s="254"/>
      <c r="CI42" s="254"/>
      <c r="CJ42" s="254"/>
      <c r="CK42" s="254"/>
      <c r="CL42" s="254"/>
      <c r="CM42" s="254"/>
      <c r="CN42" s="254"/>
      <c r="CO42" s="254"/>
      <c r="CP42" s="254"/>
      <c r="CQ42" s="254"/>
      <c r="CR42" s="254"/>
      <c r="CS42" s="254"/>
      <c r="CT42" s="254"/>
      <c r="CU42" s="254"/>
      <c r="CV42" s="254"/>
      <c r="CW42" s="254"/>
      <c r="CX42" s="254"/>
      <c r="CY42" s="254"/>
      <c r="CZ42" s="254"/>
      <c r="DA42" s="254"/>
      <c r="DB42" s="254"/>
      <c r="DC42" s="254"/>
      <c r="DD42" s="254"/>
      <c r="DE42" s="254"/>
      <c r="DF42" s="254"/>
      <c r="DG42" s="254"/>
      <c r="DH42" s="254"/>
      <c r="DI42" s="254"/>
    </row>
    <row r="43" spans="1:113" ht="14.25" customHeight="1">
      <c r="A43" s="254"/>
      <c r="B43" s="254"/>
      <c r="C43" s="254"/>
      <c r="D43" s="254"/>
      <c r="E43" s="254"/>
      <c r="F43" s="254"/>
      <c r="G43" s="254"/>
      <c r="H43" s="254"/>
      <c r="I43" s="254"/>
      <c r="J43" s="254"/>
      <c r="K43" s="254"/>
      <c r="L43" s="254"/>
      <c r="M43" s="254"/>
      <c r="N43" s="255"/>
      <c r="O43" s="255"/>
      <c r="P43" s="255"/>
      <c r="Q43" s="255"/>
      <c r="R43" s="255"/>
      <c r="S43" s="255"/>
      <c r="T43" s="255"/>
      <c r="U43" s="255"/>
      <c r="V43" s="255"/>
      <c r="W43" s="255"/>
      <c r="X43" s="255"/>
      <c r="Y43" s="255"/>
      <c r="Z43" s="255"/>
      <c r="AA43" s="255"/>
      <c r="AB43" s="255"/>
      <c r="AC43" s="255"/>
      <c r="AD43" s="255"/>
      <c r="AE43" s="255"/>
      <c r="AF43" s="255"/>
      <c r="AG43" s="255"/>
      <c r="AH43" s="255"/>
      <c r="AI43" s="255"/>
      <c r="AJ43" s="255"/>
      <c r="AK43" s="255"/>
      <c r="AL43" s="255"/>
      <c r="AM43" s="255"/>
      <c r="AN43" s="255"/>
      <c r="AO43" s="255"/>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5"/>
      <c r="BN43" s="255"/>
      <c r="BO43" s="255"/>
      <c r="BP43" s="255"/>
      <c r="BQ43" s="255"/>
      <c r="BR43" s="255"/>
      <c r="BS43" s="255"/>
      <c r="BT43" s="255"/>
      <c r="BU43" s="255"/>
      <c r="BV43" s="255"/>
      <c r="BW43" s="255"/>
      <c r="BX43" s="255"/>
      <c r="BY43" s="255"/>
      <c r="BZ43" s="255"/>
      <c r="CA43" s="255"/>
      <c r="CB43" s="255"/>
      <c r="CC43" s="254"/>
      <c r="CD43" s="254"/>
      <c r="CE43" s="254"/>
      <c r="CF43" s="254"/>
      <c r="CG43" s="254"/>
      <c r="CH43" s="254"/>
      <c r="CI43" s="254"/>
      <c r="CJ43" s="254"/>
      <c r="CK43" s="254"/>
      <c r="CL43" s="254"/>
      <c r="CM43" s="254"/>
      <c r="CN43" s="254"/>
      <c r="CO43" s="254"/>
      <c r="CP43" s="254"/>
      <c r="CQ43" s="254"/>
      <c r="CR43" s="254"/>
      <c r="CS43" s="254"/>
      <c r="CT43" s="254"/>
      <c r="CU43" s="254"/>
      <c r="CV43" s="254"/>
      <c r="CW43" s="254"/>
      <c r="CX43" s="254"/>
      <c r="CY43" s="254"/>
      <c r="CZ43" s="254"/>
      <c r="DA43" s="254"/>
      <c r="DB43" s="254"/>
      <c r="DC43" s="254"/>
      <c r="DD43" s="254"/>
      <c r="DE43" s="254"/>
      <c r="DF43" s="254"/>
      <c r="DG43" s="254"/>
      <c r="DH43" s="254"/>
      <c r="DI43" s="254"/>
    </row>
    <row r="44" spans="1:113" ht="28.5" customHeight="1">
      <c r="A44" s="254"/>
      <c r="B44" s="254"/>
      <c r="C44" s="254"/>
      <c r="D44" s="254"/>
      <c r="E44" s="254"/>
      <c r="F44" s="254"/>
      <c r="G44" s="254"/>
      <c r="H44" s="254"/>
      <c r="I44" s="254"/>
      <c r="J44" s="254"/>
      <c r="K44" s="254"/>
      <c r="L44" s="254"/>
      <c r="M44" s="254"/>
      <c r="N44" s="255"/>
      <c r="O44" s="255"/>
      <c r="P44" s="255"/>
      <c r="Q44" s="255"/>
      <c r="R44" s="1783"/>
      <c r="S44" s="1784"/>
      <c r="T44" s="1785" t="s">
        <v>1084</v>
      </c>
      <c r="U44" s="1786"/>
      <c r="V44" s="1786"/>
      <c r="W44" s="1786"/>
      <c r="X44" s="1786"/>
      <c r="Y44" s="1786"/>
      <c r="Z44" s="1786"/>
      <c r="AA44" s="1786"/>
      <c r="AB44" s="1786"/>
      <c r="AC44" s="1786"/>
      <c r="AD44" s="1786"/>
      <c r="AE44" s="1786"/>
      <c r="AF44" s="1786"/>
      <c r="AG44" s="1786"/>
      <c r="AH44" s="1786"/>
      <c r="AI44" s="1786"/>
      <c r="AJ44" s="1786"/>
      <c r="AK44" s="1786"/>
      <c r="AL44" s="1786"/>
      <c r="AM44" s="1786"/>
      <c r="AN44" s="1786"/>
      <c r="AO44" s="1786"/>
      <c r="AP44" s="1786"/>
      <c r="AQ44" s="1786"/>
      <c r="AR44" s="1786"/>
      <c r="AS44" s="1786"/>
      <c r="AT44" s="1786"/>
      <c r="AU44" s="1786"/>
      <c r="AV44" s="1786"/>
      <c r="AW44" s="1786"/>
      <c r="AX44" s="1786"/>
      <c r="AY44" s="1786"/>
      <c r="AZ44" s="1786"/>
      <c r="BA44" s="1786"/>
      <c r="BB44" s="1786"/>
      <c r="BC44" s="1786"/>
      <c r="BD44" s="1786"/>
      <c r="BE44" s="1786"/>
      <c r="BF44" s="1786"/>
      <c r="BG44" s="1786"/>
      <c r="BH44" s="1786"/>
      <c r="BI44" s="1786"/>
      <c r="BJ44" s="1786"/>
      <c r="BK44" s="1786"/>
      <c r="BL44" s="1786"/>
      <c r="BM44" s="1786"/>
      <c r="BN44" s="1786"/>
      <c r="BO44" s="1786"/>
      <c r="BP44" s="1786"/>
      <c r="BQ44" s="1786"/>
      <c r="BR44" s="1786"/>
      <c r="BS44" s="1786"/>
      <c r="BT44" s="1786"/>
      <c r="BU44" s="1786"/>
      <c r="BV44" s="1786"/>
      <c r="BW44" s="1786"/>
      <c r="BX44" s="1786"/>
      <c r="BY44" s="1786"/>
      <c r="BZ44" s="1786"/>
      <c r="CA44" s="255"/>
      <c r="CB44" s="255"/>
      <c r="CC44" s="254"/>
      <c r="CD44" s="254"/>
      <c r="CE44" s="254"/>
      <c r="CF44" s="254"/>
      <c r="CG44" s="254"/>
      <c r="CH44" s="254"/>
      <c r="CI44" s="254"/>
      <c r="CJ44" s="254"/>
      <c r="CK44" s="254"/>
      <c r="CL44" s="254"/>
      <c r="CM44" s="254"/>
      <c r="CN44" s="254"/>
      <c r="CO44" s="254"/>
      <c r="CP44" s="254"/>
      <c r="CQ44" s="254"/>
      <c r="CR44" s="254"/>
      <c r="CS44" s="254"/>
      <c r="CT44" s="254"/>
      <c r="CU44" s="254"/>
      <c r="CV44" s="254"/>
      <c r="CW44" s="254"/>
      <c r="CX44" s="254"/>
      <c r="CY44" s="254"/>
      <c r="CZ44" s="254"/>
      <c r="DA44" s="254"/>
      <c r="DB44" s="254"/>
      <c r="DC44" s="254"/>
      <c r="DD44" s="254"/>
      <c r="DE44" s="254"/>
      <c r="DF44" s="254"/>
      <c r="DG44" s="254"/>
      <c r="DH44" s="254"/>
      <c r="DI44" s="254"/>
    </row>
    <row r="45" spans="1:113">
      <c r="A45" s="254"/>
      <c r="B45" s="254"/>
      <c r="C45" s="254"/>
      <c r="D45" s="254"/>
      <c r="E45" s="254"/>
      <c r="F45" s="254"/>
      <c r="G45" s="254"/>
      <c r="H45" s="254"/>
      <c r="I45" s="254"/>
      <c r="J45" s="254"/>
      <c r="K45" s="254"/>
      <c r="L45" s="254"/>
      <c r="M45" s="254"/>
      <c r="N45" s="255"/>
      <c r="O45" s="255"/>
      <c r="P45" s="255"/>
      <c r="Q45" s="255"/>
      <c r="R45" s="255"/>
      <c r="S45" s="255"/>
      <c r="T45" s="851"/>
      <c r="U45" s="851"/>
      <c r="V45" s="851"/>
      <c r="W45" s="851"/>
      <c r="X45" s="851"/>
      <c r="Y45" s="851"/>
      <c r="Z45" s="851"/>
      <c r="AA45" s="851"/>
      <c r="AB45" s="851"/>
      <c r="AC45" s="851"/>
      <c r="AD45" s="851"/>
      <c r="AE45" s="851"/>
      <c r="AF45" s="851"/>
      <c r="AG45" s="851"/>
      <c r="AH45" s="851"/>
      <c r="AI45" s="851"/>
      <c r="AJ45" s="851"/>
      <c r="AK45" s="851"/>
      <c r="AL45" s="851"/>
      <c r="AM45" s="851"/>
      <c r="AN45" s="851"/>
      <c r="AO45" s="851"/>
      <c r="AP45" s="851"/>
      <c r="AQ45" s="851"/>
      <c r="AR45" s="851"/>
      <c r="AS45" s="851"/>
      <c r="AT45" s="851"/>
      <c r="AU45" s="851"/>
      <c r="AV45" s="851"/>
      <c r="AW45" s="851"/>
      <c r="AX45" s="851"/>
      <c r="AY45" s="851"/>
      <c r="AZ45" s="851"/>
      <c r="BA45" s="851"/>
      <c r="BB45" s="851"/>
      <c r="BC45" s="851"/>
      <c r="BD45" s="851"/>
      <c r="BE45" s="851"/>
      <c r="BF45" s="851"/>
      <c r="BG45" s="851"/>
      <c r="BH45" s="851"/>
      <c r="BI45" s="851"/>
      <c r="BJ45" s="851"/>
      <c r="BK45" s="851"/>
      <c r="BL45" s="851"/>
      <c r="BM45" s="851"/>
      <c r="BN45" s="851"/>
      <c r="BO45" s="851"/>
      <c r="BP45" s="851"/>
      <c r="BQ45" s="851"/>
      <c r="BR45" s="851"/>
      <c r="BS45" s="851"/>
      <c r="BT45" s="851"/>
      <c r="BU45" s="851"/>
      <c r="BV45" s="851"/>
      <c r="BW45" s="851"/>
      <c r="BX45" s="851"/>
      <c r="BY45" s="851"/>
      <c r="BZ45" s="851"/>
      <c r="CA45" s="255"/>
      <c r="CB45" s="255"/>
      <c r="CC45" s="254"/>
      <c r="CD45" s="254"/>
      <c r="CE45" s="254"/>
      <c r="CF45" s="254"/>
      <c r="CG45" s="254"/>
      <c r="CH45" s="254"/>
      <c r="CI45" s="254"/>
      <c r="CJ45" s="254"/>
      <c r="CK45" s="254"/>
      <c r="CL45" s="254"/>
      <c r="CM45" s="254"/>
      <c r="CN45" s="254"/>
      <c r="CO45" s="254"/>
      <c r="CP45" s="254"/>
      <c r="CQ45" s="254"/>
      <c r="CR45" s="254"/>
      <c r="CS45" s="254"/>
      <c r="CT45" s="254"/>
      <c r="CU45" s="254"/>
      <c r="CV45" s="254"/>
      <c r="CW45" s="254"/>
      <c r="CX45" s="254"/>
      <c r="CY45" s="254"/>
      <c r="CZ45" s="254"/>
      <c r="DA45" s="254"/>
      <c r="DB45" s="254"/>
      <c r="DC45" s="254"/>
      <c r="DD45" s="254"/>
      <c r="DE45" s="254"/>
      <c r="DF45" s="254"/>
      <c r="DG45" s="254"/>
      <c r="DH45" s="254"/>
      <c r="DI45" s="254"/>
    </row>
    <row r="46" spans="1:113" ht="28.5" customHeight="1">
      <c r="A46" s="254"/>
      <c r="B46" s="254"/>
      <c r="C46" s="254"/>
      <c r="D46" s="254"/>
      <c r="E46" s="254"/>
      <c r="F46" s="254"/>
      <c r="G46" s="254"/>
      <c r="H46" s="254"/>
      <c r="I46" s="254"/>
      <c r="J46" s="254"/>
      <c r="K46" s="254"/>
      <c r="L46" s="254"/>
      <c r="M46" s="254"/>
      <c r="N46" s="255"/>
      <c r="O46" s="255"/>
      <c r="P46" s="255"/>
      <c r="Q46" s="255"/>
      <c r="R46" s="1783"/>
      <c r="S46" s="1784"/>
      <c r="T46" s="1785" t="s">
        <v>1656</v>
      </c>
      <c r="U46" s="1786"/>
      <c r="V46" s="1786"/>
      <c r="W46" s="1786"/>
      <c r="X46" s="1786"/>
      <c r="Y46" s="1786"/>
      <c r="Z46" s="1786"/>
      <c r="AA46" s="1786"/>
      <c r="AB46" s="1786"/>
      <c r="AC46" s="1786"/>
      <c r="AD46" s="1786"/>
      <c r="AE46" s="1786"/>
      <c r="AF46" s="1786"/>
      <c r="AG46" s="1786"/>
      <c r="AH46" s="1786"/>
      <c r="AI46" s="1786"/>
      <c r="AJ46" s="1786"/>
      <c r="AK46" s="1786"/>
      <c r="AL46" s="1786"/>
      <c r="AM46" s="1786"/>
      <c r="AN46" s="1786"/>
      <c r="AO46" s="1786"/>
      <c r="AP46" s="1786"/>
      <c r="AQ46" s="1786"/>
      <c r="AR46" s="1786"/>
      <c r="AS46" s="1786"/>
      <c r="AT46" s="1786"/>
      <c r="AU46" s="1786"/>
      <c r="AV46" s="1786"/>
      <c r="AW46" s="1786"/>
      <c r="AX46" s="1786"/>
      <c r="AY46" s="1786"/>
      <c r="AZ46" s="1786"/>
      <c r="BA46" s="1786"/>
      <c r="BB46" s="1786"/>
      <c r="BC46" s="1786"/>
      <c r="BD46" s="1786"/>
      <c r="BE46" s="1786"/>
      <c r="BF46" s="1786"/>
      <c r="BG46" s="1786"/>
      <c r="BH46" s="1786"/>
      <c r="BI46" s="1786"/>
      <c r="BJ46" s="1786"/>
      <c r="BK46" s="1786"/>
      <c r="BL46" s="1786"/>
      <c r="BM46" s="1786"/>
      <c r="BN46" s="1786"/>
      <c r="BO46" s="1786"/>
      <c r="BP46" s="1786"/>
      <c r="BQ46" s="1786"/>
      <c r="BR46" s="1786"/>
      <c r="BS46" s="1786"/>
      <c r="BT46" s="1786"/>
      <c r="BU46" s="1786"/>
      <c r="BV46" s="1786"/>
      <c r="BW46" s="1786"/>
      <c r="BX46" s="1786"/>
      <c r="BY46" s="1786"/>
      <c r="BZ46" s="1786"/>
      <c r="CA46" s="255"/>
      <c r="CB46" s="255"/>
      <c r="CC46" s="254"/>
      <c r="CD46" s="254"/>
      <c r="CE46" s="254"/>
      <c r="CF46" s="254"/>
      <c r="CG46" s="254"/>
      <c r="CH46" s="254"/>
      <c r="CI46" s="254"/>
      <c r="CJ46" s="254"/>
      <c r="CK46" s="254"/>
      <c r="CL46" s="254"/>
      <c r="CM46" s="254"/>
      <c r="CN46" s="254"/>
      <c r="CO46" s="254"/>
      <c r="CP46" s="254"/>
      <c r="CQ46" s="254"/>
      <c r="CR46" s="254"/>
      <c r="CS46" s="254"/>
      <c r="CT46" s="254"/>
      <c r="CU46" s="254"/>
      <c r="CV46" s="254"/>
      <c r="CW46" s="254"/>
      <c r="CX46" s="254"/>
      <c r="CY46" s="254"/>
      <c r="CZ46" s="254"/>
      <c r="DA46" s="254"/>
      <c r="DB46" s="254"/>
      <c r="DC46" s="254"/>
      <c r="DD46" s="254"/>
      <c r="DE46" s="254"/>
      <c r="DF46" s="254"/>
      <c r="DG46" s="254"/>
      <c r="DH46" s="254"/>
      <c r="DI46" s="254"/>
    </row>
    <row r="47" spans="1:113" ht="15.75" customHeight="1">
      <c r="A47" s="254"/>
      <c r="B47" s="254"/>
      <c r="C47" s="254"/>
      <c r="D47" s="254"/>
      <c r="E47" s="254"/>
      <c r="F47" s="254"/>
      <c r="G47" s="254"/>
      <c r="H47" s="254"/>
      <c r="I47" s="254"/>
      <c r="J47" s="254"/>
      <c r="K47" s="254"/>
      <c r="L47" s="254"/>
      <c r="M47" s="254"/>
      <c r="N47" s="255"/>
      <c r="O47" s="255"/>
      <c r="P47" s="255"/>
      <c r="Q47" s="255"/>
      <c r="R47" s="255"/>
      <c r="S47" s="255"/>
      <c r="T47" s="851"/>
      <c r="U47" s="851"/>
      <c r="V47" s="851"/>
      <c r="W47" s="851"/>
      <c r="X47" s="851"/>
      <c r="Y47" s="851"/>
      <c r="Z47" s="851"/>
      <c r="AA47" s="851"/>
      <c r="AB47" s="851"/>
      <c r="AC47" s="851"/>
      <c r="AD47" s="851"/>
      <c r="AE47" s="851"/>
      <c r="AF47" s="851"/>
      <c r="AG47" s="851"/>
      <c r="AH47" s="851"/>
      <c r="AI47" s="851"/>
      <c r="AJ47" s="851"/>
      <c r="AK47" s="851"/>
      <c r="AL47" s="851"/>
      <c r="AM47" s="851"/>
      <c r="AN47" s="851"/>
      <c r="AO47" s="851"/>
      <c r="AP47" s="851"/>
      <c r="AQ47" s="851"/>
      <c r="AR47" s="851"/>
      <c r="AS47" s="851"/>
      <c r="AT47" s="851"/>
      <c r="AU47" s="851"/>
      <c r="AV47" s="851"/>
      <c r="AW47" s="851"/>
      <c r="AX47" s="851"/>
      <c r="AY47" s="851"/>
      <c r="AZ47" s="851"/>
      <c r="BA47" s="851"/>
      <c r="BB47" s="851"/>
      <c r="BC47" s="851"/>
      <c r="BD47" s="851"/>
      <c r="BE47" s="851"/>
      <c r="BF47" s="851"/>
      <c r="BG47" s="851"/>
      <c r="BH47" s="851"/>
      <c r="BI47" s="851"/>
      <c r="BJ47" s="851"/>
      <c r="BK47" s="851"/>
      <c r="BL47" s="851"/>
      <c r="BM47" s="851"/>
      <c r="BN47" s="851"/>
      <c r="BO47" s="851"/>
      <c r="BP47" s="851"/>
      <c r="BQ47" s="851"/>
      <c r="BR47" s="851"/>
      <c r="BS47" s="851"/>
      <c r="BT47" s="851"/>
      <c r="BU47" s="851"/>
      <c r="BV47" s="851"/>
      <c r="BW47" s="851"/>
      <c r="BX47" s="851"/>
      <c r="BY47" s="851"/>
      <c r="BZ47" s="851"/>
      <c r="CA47" s="255"/>
      <c r="CB47" s="255"/>
      <c r="CC47" s="254"/>
      <c r="CD47" s="254"/>
      <c r="CE47" s="254"/>
      <c r="CF47" s="254"/>
      <c r="CG47" s="254"/>
      <c r="CH47" s="254"/>
      <c r="CI47" s="254"/>
      <c r="CJ47" s="254"/>
      <c r="CK47" s="254"/>
      <c r="CL47" s="254"/>
      <c r="CM47" s="254"/>
      <c r="CN47" s="254"/>
      <c r="CO47" s="254"/>
      <c r="CP47" s="254"/>
      <c r="CQ47" s="254"/>
      <c r="CR47" s="254"/>
      <c r="CS47" s="254"/>
      <c r="CT47" s="254"/>
      <c r="CU47" s="254"/>
      <c r="CV47" s="254"/>
      <c r="CW47" s="254"/>
      <c r="CX47" s="254"/>
      <c r="CY47" s="254"/>
      <c r="CZ47" s="254"/>
      <c r="DA47" s="254"/>
      <c r="DB47" s="254"/>
      <c r="DC47" s="254"/>
      <c r="DD47" s="254"/>
      <c r="DE47" s="254"/>
      <c r="DF47" s="254"/>
      <c r="DG47" s="254"/>
      <c r="DH47" s="254"/>
      <c r="DI47" s="254"/>
    </row>
    <row r="48" spans="1:113" ht="28.5" customHeight="1">
      <c r="A48" s="254"/>
      <c r="B48" s="254"/>
      <c r="C48" s="254"/>
      <c r="D48" s="254"/>
      <c r="E48" s="254"/>
      <c r="F48" s="254"/>
      <c r="G48" s="254"/>
      <c r="H48" s="254"/>
      <c r="I48" s="254"/>
      <c r="J48" s="254"/>
      <c r="K48" s="254"/>
      <c r="L48" s="254"/>
      <c r="M48" s="254"/>
      <c r="N48" s="255"/>
      <c r="O48" s="255"/>
      <c r="P48" s="255"/>
      <c r="Q48" s="255"/>
      <c r="R48" s="1783"/>
      <c r="S48" s="1784"/>
      <c r="T48" s="1785" t="s">
        <v>1657</v>
      </c>
      <c r="U48" s="1786"/>
      <c r="V48" s="1786"/>
      <c r="W48" s="1786"/>
      <c r="X48" s="1786"/>
      <c r="Y48" s="1786"/>
      <c r="Z48" s="1786"/>
      <c r="AA48" s="1786"/>
      <c r="AB48" s="1786"/>
      <c r="AC48" s="1786"/>
      <c r="AD48" s="1786"/>
      <c r="AE48" s="1786"/>
      <c r="AF48" s="1786"/>
      <c r="AG48" s="1786"/>
      <c r="AH48" s="1786"/>
      <c r="AI48" s="1786"/>
      <c r="AJ48" s="1786"/>
      <c r="AK48" s="1786"/>
      <c r="AL48" s="1786"/>
      <c r="AM48" s="1786"/>
      <c r="AN48" s="1786"/>
      <c r="AO48" s="1786"/>
      <c r="AP48" s="1786"/>
      <c r="AQ48" s="1786"/>
      <c r="AR48" s="1786"/>
      <c r="AS48" s="1786"/>
      <c r="AT48" s="1786"/>
      <c r="AU48" s="1786"/>
      <c r="AV48" s="1786"/>
      <c r="AW48" s="1786"/>
      <c r="AX48" s="1786"/>
      <c r="AY48" s="1786"/>
      <c r="AZ48" s="1786"/>
      <c r="BA48" s="1786"/>
      <c r="BB48" s="1786"/>
      <c r="BC48" s="1786"/>
      <c r="BD48" s="1786"/>
      <c r="BE48" s="1786"/>
      <c r="BF48" s="1786"/>
      <c r="BG48" s="1786"/>
      <c r="BH48" s="1786"/>
      <c r="BI48" s="1786"/>
      <c r="BJ48" s="1786"/>
      <c r="BK48" s="1786"/>
      <c r="BL48" s="1786"/>
      <c r="BM48" s="1786"/>
      <c r="BN48" s="1786"/>
      <c r="BO48" s="1786"/>
      <c r="BP48" s="1786"/>
      <c r="BQ48" s="1786"/>
      <c r="BR48" s="1786"/>
      <c r="BS48" s="1786"/>
      <c r="BT48" s="1786"/>
      <c r="BU48" s="1786"/>
      <c r="BV48" s="1786"/>
      <c r="BW48" s="1786"/>
      <c r="BX48" s="1786"/>
      <c r="BY48" s="1786"/>
      <c r="BZ48" s="1786"/>
      <c r="CA48" s="255"/>
      <c r="CB48" s="255"/>
      <c r="CC48" s="254"/>
      <c r="CD48" s="254"/>
      <c r="CE48" s="254"/>
      <c r="CF48" s="254"/>
      <c r="CG48" s="254"/>
      <c r="CH48" s="254"/>
      <c r="CI48" s="254"/>
      <c r="CJ48" s="254"/>
      <c r="CK48" s="254"/>
      <c r="CL48" s="254"/>
      <c r="CM48" s="254"/>
      <c r="CN48" s="254"/>
      <c r="CO48" s="254"/>
      <c r="CP48" s="254"/>
      <c r="CQ48" s="254"/>
      <c r="CR48" s="254"/>
      <c r="CS48" s="254"/>
      <c r="CT48" s="254"/>
      <c r="CU48" s="254"/>
      <c r="CV48" s="254"/>
      <c r="CW48" s="254"/>
      <c r="CX48" s="254"/>
      <c r="CY48" s="254"/>
      <c r="CZ48" s="254"/>
      <c r="DA48" s="254"/>
      <c r="DB48" s="254"/>
      <c r="DC48" s="254"/>
      <c r="DD48" s="254"/>
      <c r="DE48" s="254"/>
      <c r="DF48" s="254"/>
      <c r="DG48" s="254"/>
      <c r="DH48" s="254"/>
      <c r="DI48" s="254"/>
    </row>
    <row r="49" spans="1:113" ht="15.75" customHeight="1">
      <c r="A49" s="254"/>
      <c r="B49" s="254"/>
      <c r="C49" s="254"/>
      <c r="D49" s="254"/>
      <c r="E49" s="254"/>
      <c r="F49" s="254"/>
      <c r="G49" s="254"/>
      <c r="H49" s="254"/>
      <c r="I49" s="254"/>
      <c r="J49" s="254"/>
      <c r="K49" s="254"/>
      <c r="L49" s="254"/>
      <c r="M49" s="254"/>
      <c r="N49" s="255"/>
      <c r="O49" s="255"/>
      <c r="P49" s="255"/>
      <c r="Q49" s="255"/>
      <c r="R49" s="255"/>
      <c r="S49" s="255"/>
      <c r="T49" s="851"/>
      <c r="U49" s="851"/>
      <c r="V49" s="851"/>
      <c r="W49" s="851"/>
      <c r="X49" s="851"/>
      <c r="Y49" s="851"/>
      <c r="Z49" s="851"/>
      <c r="AA49" s="851"/>
      <c r="AB49" s="851"/>
      <c r="AC49" s="851"/>
      <c r="AD49" s="851"/>
      <c r="AE49" s="851"/>
      <c r="AF49" s="851"/>
      <c r="AG49" s="851"/>
      <c r="AH49" s="851"/>
      <c r="AI49" s="851"/>
      <c r="AJ49" s="851"/>
      <c r="AK49" s="851"/>
      <c r="AL49" s="851"/>
      <c r="AM49" s="851"/>
      <c r="AN49" s="851"/>
      <c r="AO49" s="851"/>
      <c r="AP49" s="851"/>
      <c r="AQ49" s="851"/>
      <c r="AR49" s="851"/>
      <c r="AS49" s="851"/>
      <c r="AT49" s="851"/>
      <c r="AU49" s="851"/>
      <c r="AV49" s="851"/>
      <c r="AW49" s="851"/>
      <c r="AX49" s="851"/>
      <c r="AY49" s="851"/>
      <c r="AZ49" s="851"/>
      <c r="BA49" s="851"/>
      <c r="BB49" s="851"/>
      <c r="BC49" s="851"/>
      <c r="BD49" s="851"/>
      <c r="BE49" s="851"/>
      <c r="BF49" s="851"/>
      <c r="BG49" s="851"/>
      <c r="BH49" s="851"/>
      <c r="BI49" s="851"/>
      <c r="BJ49" s="851"/>
      <c r="BK49" s="851"/>
      <c r="BL49" s="851"/>
      <c r="BM49" s="851"/>
      <c r="BN49" s="851"/>
      <c r="BO49" s="851"/>
      <c r="BP49" s="851"/>
      <c r="BQ49" s="851"/>
      <c r="BR49" s="851"/>
      <c r="BS49" s="851"/>
      <c r="BT49" s="851"/>
      <c r="BU49" s="851"/>
      <c r="BV49" s="851"/>
      <c r="BW49" s="851"/>
      <c r="BX49" s="851"/>
      <c r="BY49" s="851"/>
      <c r="BZ49" s="851"/>
      <c r="CA49" s="255"/>
      <c r="CB49" s="255"/>
      <c r="CC49" s="254"/>
      <c r="CD49" s="254"/>
      <c r="CE49" s="254"/>
      <c r="CF49" s="254"/>
      <c r="CG49" s="254"/>
      <c r="CH49" s="254"/>
      <c r="CI49" s="254"/>
      <c r="CJ49" s="254"/>
      <c r="CK49" s="254"/>
      <c r="CL49" s="254"/>
      <c r="CM49" s="254"/>
      <c r="CN49" s="254"/>
      <c r="CO49" s="254"/>
      <c r="CP49" s="254"/>
      <c r="CQ49" s="254"/>
      <c r="CR49" s="254"/>
      <c r="CS49" s="254"/>
      <c r="CT49" s="254"/>
      <c r="CU49" s="254"/>
      <c r="CV49" s="254"/>
      <c r="CW49" s="254"/>
      <c r="CX49" s="254"/>
      <c r="CY49" s="254"/>
      <c r="CZ49" s="254"/>
      <c r="DA49" s="254"/>
      <c r="DB49" s="254"/>
      <c r="DC49" s="254"/>
      <c r="DD49" s="254"/>
      <c r="DE49" s="254"/>
      <c r="DF49" s="254"/>
      <c r="DG49" s="254"/>
      <c r="DH49" s="254"/>
      <c r="DI49" s="254"/>
    </row>
    <row r="50" spans="1:113" ht="28.5" customHeight="1">
      <c r="A50" s="254"/>
      <c r="B50" s="254"/>
      <c r="C50" s="254"/>
      <c r="D50" s="254"/>
      <c r="E50" s="254"/>
      <c r="F50" s="254"/>
      <c r="G50" s="254"/>
      <c r="H50" s="254"/>
      <c r="I50" s="254"/>
      <c r="J50" s="254"/>
      <c r="K50" s="254"/>
      <c r="L50" s="254"/>
      <c r="M50" s="254"/>
      <c r="N50" s="255"/>
      <c r="O50" s="255"/>
      <c r="P50" s="255"/>
      <c r="Q50" s="255"/>
      <c r="R50" s="1783"/>
      <c r="S50" s="1784"/>
      <c r="T50" s="1785" t="s">
        <v>1658</v>
      </c>
      <c r="U50" s="1786"/>
      <c r="V50" s="1786"/>
      <c r="W50" s="1786"/>
      <c r="X50" s="1786"/>
      <c r="Y50" s="1786"/>
      <c r="Z50" s="1786"/>
      <c r="AA50" s="1786"/>
      <c r="AB50" s="1786"/>
      <c r="AC50" s="1786"/>
      <c r="AD50" s="1786"/>
      <c r="AE50" s="1786"/>
      <c r="AF50" s="1786"/>
      <c r="AG50" s="1786"/>
      <c r="AH50" s="1786"/>
      <c r="AI50" s="1786"/>
      <c r="AJ50" s="1786"/>
      <c r="AK50" s="1786"/>
      <c r="AL50" s="1786"/>
      <c r="AM50" s="1786"/>
      <c r="AN50" s="1786"/>
      <c r="AO50" s="1786"/>
      <c r="AP50" s="1786"/>
      <c r="AQ50" s="1786"/>
      <c r="AR50" s="1786"/>
      <c r="AS50" s="1786"/>
      <c r="AT50" s="1786"/>
      <c r="AU50" s="1786"/>
      <c r="AV50" s="1786"/>
      <c r="AW50" s="1786"/>
      <c r="AX50" s="1786"/>
      <c r="AY50" s="1786"/>
      <c r="AZ50" s="1786"/>
      <c r="BA50" s="1786"/>
      <c r="BB50" s="1786"/>
      <c r="BC50" s="1786"/>
      <c r="BD50" s="1786"/>
      <c r="BE50" s="1786"/>
      <c r="BF50" s="1786"/>
      <c r="BG50" s="1786"/>
      <c r="BH50" s="1786"/>
      <c r="BI50" s="1786"/>
      <c r="BJ50" s="1786"/>
      <c r="BK50" s="1786"/>
      <c r="BL50" s="1786"/>
      <c r="BM50" s="1786"/>
      <c r="BN50" s="1786"/>
      <c r="BO50" s="1786"/>
      <c r="BP50" s="1786"/>
      <c r="BQ50" s="1786"/>
      <c r="BR50" s="1786"/>
      <c r="BS50" s="1786"/>
      <c r="BT50" s="1786"/>
      <c r="BU50" s="1786"/>
      <c r="BV50" s="1786"/>
      <c r="BW50" s="1786"/>
      <c r="BX50" s="1786"/>
      <c r="BY50" s="1786"/>
      <c r="BZ50" s="1786"/>
      <c r="CA50" s="255"/>
      <c r="CB50" s="255"/>
      <c r="CC50" s="254"/>
      <c r="CD50" s="254"/>
      <c r="CE50" s="254"/>
      <c r="CF50" s="254"/>
      <c r="CG50" s="254"/>
      <c r="CH50" s="254"/>
      <c r="CI50" s="254"/>
      <c r="CJ50" s="254"/>
      <c r="CK50" s="254"/>
      <c r="CL50" s="254"/>
      <c r="CM50" s="254"/>
      <c r="CN50" s="254"/>
      <c r="CO50" s="254"/>
      <c r="CP50" s="254"/>
      <c r="CQ50" s="254"/>
      <c r="CR50" s="254"/>
      <c r="CS50" s="254"/>
      <c r="CT50" s="254"/>
      <c r="CU50" s="254"/>
      <c r="CV50" s="254"/>
      <c r="CW50" s="254"/>
      <c r="CX50" s="254"/>
      <c r="CY50" s="254"/>
      <c r="CZ50" s="254"/>
      <c r="DA50" s="254"/>
      <c r="DB50" s="254"/>
      <c r="DC50" s="254"/>
      <c r="DD50" s="254"/>
      <c r="DE50" s="254"/>
      <c r="DF50" s="254"/>
      <c r="DG50" s="254"/>
      <c r="DH50" s="254"/>
      <c r="DI50" s="254"/>
    </row>
    <row r="51" spans="1:113" ht="15.75" customHeight="1">
      <c r="A51" s="254"/>
      <c r="B51" s="254"/>
      <c r="C51" s="254"/>
      <c r="D51" s="254"/>
      <c r="E51" s="254"/>
      <c r="F51" s="254"/>
      <c r="G51" s="254"/>
      <c r="H51" s="254"/>
      <c r="I51" s="254"/>
      <c r="J51" s="254"/>
      <c r="K51" s="254"/>
      <c r="L51" s="254"/>
      <c r="M51" s="254"/>
      <c r="N51" s="255"/>
      <c r="O51" s="255"/>
      <c r="P51" s="255"/>
      <c r="Q51" s="255"/>
      <c r="R51" s="255"/>
      <c r="S51" s="255"/>
      <c r="T51" s="851"/>
      <c r="U51" s="851"/>
      <c r="V51" s="851"/>
      <c r="W51" s="851"/>
      <c r="X51" s="851"/>
      <c r="Y51" s="851"/>
      <c r="Z51" s="851"/>
      <c r="AA51" s="851"/>
      <c r="AB51" s="851"/>
      <c r="AC51" s="851"/>
      <c r="AD51" s="851"/>
      <c r="AE51" s="851"/>
      <c r="AF51" s="851"/>
      <c r="AG51" s="851"/>
      <c r="AH51" s="851"/>
      <c r="AI51" s="851"/>
      <c r="AJ51" s="851"/>
      <c r="AK51" s="851"/>
      <c r="AL51" s="851"/>
      <c r="AM51" s="851"/>
      <c r="AN51" s="851"/>
      <c r="AO51" s="851"/>
      <c r="AP51" s="851"/>
      <c r="AQ51" s="851"/>
      <c r="AR51" s="851"/>
      <c r="AS51" s="851"/>
      <c r="AT51" s="851"/>
      <c r="AU51" s="851"/>
      <c r="AV51" s="851"/>
      <c r="AW51" s="851"/>
      <c r="AX51" s="851"/>
      <c r="AY51" s="851"/>
      <c r="AZ51" s="851"/>
      <c r="BA51" s="851"/>
      <c r="BB51" s="851"/>
      <c r="BC51" s="851"/>
      <c r="BD51" s="851"/>
      <c r="BE51" s="851"/>
      <c r="BF51" s="851"/>
      <c r="BG51" s="851"/>
      <c r="BH51" s="851"/>
      <c r="BI51" s="851"/>
      <c r="BJ51" s="851"/>
      <c r="BK51" s="851"/>
      <c r="BL51" s="851"/>
      <c r="BM51" s="851"/>
      <c r="BN51" s="851"/>
      <c r="BO51" s="851"/>
      <c r="BP51" s="851"/>
      <c r="BQ51" s="851"/>
      <c r="BR51" s="851"/>
      <c r="BS51" s="851"/>
      <c r="BT51" s="851"/>
      <c r="BU51" s="851"/>
      <c r="BV51" s="851"/>
      <c r="BW51" s="851"/>
      <c r="BX51" s="851"/>
      <c r="BY51" s="851"/>
      <c r="BZ51" s="851"/>
      <c r="CA51" s="255"/>
      <c r="CB51" s="255"/>
      <c r="CC51" s="254"/>
      <c r="CD51" s="254"/>
      <c r="CE51" s="254"/>
      <c r="CF51" s="254"/>
      <c r="CG51" s="254"/>
      <c r="CH51" s="254"/>
      <c r="CI51" s="254"/>
      <c r="CJ51" s="254"/>
      <c r="CK51" s="254"/>
      <c r="CL51" s="254"/>
      <c r="CM51" s="254"/>
      <c r="CN51" s="254"/>
      <c r="CO51" s="254"/>
      <c r="CP51" s="254"/>
      <c r="CQ51" s="254"/>
      <c r="CR51" s="254"/>
      <c r="CS51" s="254"/>
      <c r="CT51" s="254"/>
      <c r="CU51" s="254"/>
      <c r="CV51" s="254"/>
      <c r="CW51" s="254"/>
      <c r="CX51" s="254"/>
      <c r="CY51" s="254"/>
      <c r="CZ51" s="254"/>
      <c r="DA51" s="254"/>
      <c r="DB51" s="254"/>
      <c r="DC51" s="254"/>
      <c r="DD51" s="254"/>
      <c r="DE51" s="254"/>
      <c r="DF51" s="254"/>
      <c r="DG51" s="254"/>
      <c r="DH51" s="254"/>
      <c r="DI51" s="254"/>
    </row>
    <row r="52" spans="1:113" ht="28.5" customHeight="1">
      <c r="A52" s="254"/>
      <c r="B52" s="254"/>
      <c r="C52" s="254"/>
      <c r="D52" s="254"/>
      <c r="E52" s="254"/>
      <c r="F52" s="254"/>
      <c r="G52" s="254"/>
      <c r="H52" s="254"/>
      <c r="I52" s="254"/>
      <c r="J52" s="254"/>
      <c r="K52" s="254"/>
      <c r="L52" s="254"/>
      <c r="M52" s="254"/>
      <c r="N52" s="255"/>
      <c r="O52" s="255"/>
      <c r="P52" s="255"/>
      <c r="Q52" s="255"/>
      <c r="R52" s="1783"/>
      <c r="S52" s="1784"/>
      <c r="T52" s="1785" t="s">
        <v>1659</v>
      </c>
      <c r="U52" s="1786"/>
      <c r="V52" s="1786"/>
      <c r="W52" s="1786"/>
      <c r="X52" s="1786"/>
      <c r="Y52" s="1786"/>
      <c r="Z52" s="1786"/>
      <c r="AA52" s="1786"/>
      <c r="AB52" s="1786"/>
      <c r="AC52" s="1786"/>
      <c r="AD52" s="1786"/>
      <c r="AE52" s="1786"/>
      <c r="AF52" s="1786"/>
      <c r="AG52" s="1786"/>
      <c r="AH52" s="1786"/>
      <c r="AI52" s="1786"/>
      <c r="AJ52" s="1786"/>
      <c r="AK52" s="1786"/>
      <c r="AL52" s="1786"/>
      <c r="AM52" s="1786"/>
      <c r="AN52" s="1786"/>
      <c r="AO52" s="1786"/>
      <c r="AP52" s="1786"/>
      <c r="AQ52" s="1786"/>
      <c r="AR52" s="1786"/>
      <c r="AS52" s="1786"/>
      <c r="AT52" s="1786"/>
      <c r="AU52" s="1786"/>
      <c r="AV52" s="1786"/>
      <c r="AW52" s="1786"/>
      <c r="AX52" s="1786"/>
      <c r="AY52" s="1786"/>
      <c r="AZ52" s="1786"/>
      <c r="BA52" s="1786"/>
      <c r="BB52" s="1786"/>
      <c r="BC52" s="1786"/>
      <c r="BD52" s="1786"/>
      <c r="BE52" s="1786"/>
      <c r="BF52" s="1786"/>
      <c r="BG52" s="1786"/>
      <c r="BH52" s="1786"/>
      <c r="BI52" s="1786"/>
      <c r="BJ52" s="1786"/>
      <c r="BK52" s="1786"/>
      <c r="BL52" s="1786"/>
      <c r="BM52" s="1786"/>
      <c r="BN52" s="1786"/>
      <c r="BO52" s="1786"/>
      <c r="BP52" s="1786"/>
      <c r="BQ52" s="1786"/>
      <c r="BR52" s="1786"/>
      <c r="BS52" s="1786"/>
      <c r="BT52" s="1786"/>
      <c r="BU52" s="1786"/>
      <c r="BV52" s="1786"/>
      <c r="BW52" s="1786"/>
      <c r="BX52" s="1786"/>
      <c r="BY52" s="1786"/>
      <c r="BZ52" s="1786"/>
      <c r="CA52" s="255"/>
      <c r="CB52" s="255"/>
      <c r="CC52" s="254"/>
      <c r="CD52" s="254"/>
      <c r="CE52" s="254"/>
      <c r="CF52" s="254"/>
      <c r="CG52" s="254"/>
      <c r="CH52" s="254"/>
      <c r="CI52" s="254"/>
      <c r="CJ52" s="254"/>
      <c r="CK52" s="254"/>
      <c r="CL52" s="254"/>
      <c r="CM52" s="254"/>
      <c r="CN52" s="254"/>
      <c r="CO52" s="254"/>
      <c r="CP52" s="254"/>
      <c r="CQ52" s="254"/>
      <c r="CR52" s="254"/>
      <c r="CS52" s="254"/>
      <c r="CT52" s="254"/>
      <c r="CU52" s="254"/>
      <c r="CV52" s="254"/>
      <c r="CW52" s="254"/>
      <c r="CX52" s="254"/>
      <c r="CY52" s="254"/>
      <c r="CZ52" s="254"/>
      <c r="DA52" s="254"/>
      <c r="DB52" s="254"/>
      <c r="DC52" s="254"/>
      <c r="DD52" s="254"/>
      <c r="DE52" s="254"/>
      <c r="DF52" s="254"/>
      <c r="DG52" s="254"/>
      <c r="DH52" s="254"/>
      <c r="DI52" s="254"/>
    </row>
    <row r="53" spans="1:113" ht="15.75" customHeight="1">
      <c r="A53" s="254"/>
      <c r="B53" s="254"/>
      <c r="C53" s="254"/>
      <c r="D53" s="254"/>
      <c r="E53" s="254"/>
      <c r="F53" s="254"/>
      <c r="G53" s="254"/>
      <c r="H53" s="254"/>
      <c r="I53" s="254"/>
      <c r="J53" s="254"/>
      <c r="K53" s="254"/>
      <c r="L53" s="254"/>
      <c r="M53" s="254"/>
      <c r="N53" s="255"/>
      <c r="O53" s="255"/>
      <c r="P53" s="255"/>
      <c r="Q53" s="255"/>
      <c r="R53" s="255"/>
      <c r="S53" s="255"/>
      <c r="T53" s="851"/>
      <c r="U53" s="851"/>
      <c r="V53" s="851"/>
      <c r="W53" s="851"/>
      <c r="X53" s="851"/>
      <c r="Y53" s="851"/>
      <c r="Z53" s="851"/>
      <c r="AA53" s="851"/>
      <c r="AB53" s="851"/>
      <c r="AC53" s="851"/>
      <c r="AD53" s="851"/>
      <c r="AE53" s="851"/>
      <c r="AF53" s="851"/>
      <c r="AG53" s="851"/>
      <c r="AH53" s="851"/>
      <c r="AI53" s="851"/>
      <c r="AJ53" s="851"/>
      <c r="AK53" s="851"/>
      <c r="AL53" s="851"/>
      <c r="AM53" s="851"/>
      <c r="AN53" s="851"/>
      <c r="AO53" s="851"/>
      <c r="AP53" s="851"/>
      <c r="AQ53" s="851"/>
      <c r="AR53" s="851"/>
      <c r="AS53" s="851"/>
      <c r="AT53" s="851"/>
      <c r="AU53" s="851"/>
      <c r="AV53" s="851"/>
      <c r="AW53" s="851"/>
      <c r="AX53" s="851"/>
      <c r="AY53" s="851"/>
      <c r="AZ53" s="851"/>
      <c r="BA53" s="851"/>
      <c r="BB53" s="851"/>
      <c r="BC53" s="851"/>
      <c r="BD53" s="851"/>
      <c r="BE53" s="851"/>
      <c r="BF53" s="851"/>
      <c r="BG53" s="851"/>
      <c r="BH53" s="851"/>
      <c r="BI53" s="851"/>
      <c r="BJ53" s="851"/>
      <c r="BK53" s="851"/>
      <c r="BL53" s="851"/>
      <c r="BM53" s="851"/>
      <c r="BN53" s="851"/>
      <c r="BO53" s="851"/>
      <c r="BP53" s="851"/>
      <c r="BQ53" s="851"/>
      <c r="BR53" s="851"/>
      <c r="BS53" s="851"/>
      <c r="BT53" s="851"/>
      <c r="BU53" s="851"/>
      <c r="BV53" s="851"/>
      <c r="BW53" s="851"/>
      <c r="BX53" s="851"/>
      <c r="BY53" s="851"/>
      <c r="BZ53" s="851"/>
      <c r="CA53" s="255"/>
      <c r="CB53" s="255"/>
      <c r="CC53" s="254"/>
      <c r="CD53" s="254"/>
      <c r="CE53" s="254"/>
      <c r="CF53" s="254"/>
      <c r="CG53" s="254"/>
      <c r="CH53" s="254"/>
      <c r="CI53" s="254"/>
      <c r="CJ53" s="254"/>
      <c r="CK53" s="254"/>
      <c r="CL53" s="254"/>
      <c r="CM53" s="254"/>
      <c r="CN53" s="254"/>
      <c r="CO53" s="254"/>
      <c r="CP53" s="254"/>
      <c r="CQ53" s="254"/>
      <c r="CR53" s="254"/>
      <c r="CS53" s="254"/>
      <c r="CT53" s="254"/>
      <c r="CU53" s="254"/>
      <c r="CV53" s="254"/>
      <c r="CW53" s="254"/>
      <c r="CX53" s="254"/>
      <c r="CY53" s="254"/>
      <c r="CZ53" s="254"/>
      <c r="DA53" s="254"/>
      <c r="DB53" s="254"/>
      <c r="DC53" s="254"/>
      <c r="DD53" s="254"/>
      <c r="DE53" s="254"/>
      <c r="DF53" s="254"/>
      <c r="DG53" s="254"/>
      <c r="DH53" s="254"/>
      <c r="DI53" s="254"/>
    </row>
    <row r="54" spans="1:113" ht="28.5" customHeight="1">
      <c r="A54" s="254"/>
      <c r="B54" s="254"/>
      <c r="C54" s="254"/>
      <c r="D54" s="254"/>
      <c r="E54" s="254"/>
      <c r="F54" s="254"/>
      <c r="G54" s="254"/>
      <c r="H54" s="254"/>
      <c r="I54" s="254"/>
      <c r="J54" s="254"/>
      <c r="K54" s="254"/>
      <c r="L54" s="254"/>
      <c r="M54" s="254"/>
      <c r="N54" s="255"/>
      <c r="O54" s="255"/>
      <c r="P54" s="255"/>
      <c r="Q54" s="255"/>
      <c r="R54" s="1783"/>
      <c r="S54" s="1784"/>
      <c r="T54" s="1785" t="s">
        <v>1080</v>
      </c>
      <c r="U54" s="1786"/>
      <c r="V54" s="1786"/>
      <c r="W54" s="1786"/>
      <c r="X54" s="1786"/>
      <c r="Y54" s="1786"/>
      <c r="Z54" s="1786"/>
      <c r="AA54" s="1786"/>
      <c r="AB54" s="1786"/>
      <c r="AC54" s="1786"/>
      <c r="AD54" s="1786"/>
      <c r="AE54" s="1786"/>
      <c r="AF54" s="1786"/>
      <c r="AG54" s="1786"/>
      <c r="AH54" s="1786"/>
      <c r="AI54" s="1786"/>
      <c r="AJ54" s="1786"/>
      <c r="AK54" s="1786"/>
      <c r="AL54" s="1786"/>
      <c r="AM54" s="1786"/>
      <c r="AN54" s="1786"/>
      <c r="AO54" s="1786"/>
      <c r="AP54" s="1786"/>
      <c r="AQ54" s="1786"/>
      <c r="AR54" s="1786"/>
      <c r="AS54" s="1786"/>
      <c r="AT54" s="1786"/>
      <c r="AU54" s="1786"/>
      <c r="AV54" s="1786"/>
      <c r="AW54" s="1786"/>
      <c r="AX54" s="1786"/>
      <c r="AY54" s="1786"/>
      <c r="AZ54" s="1786"/>
      <c r="BA54" s="1786"/>
      <c r="BB54" s="1786"/>
      <c r="BC54" s="1786"/>
      <c r="BD54" s="1786"/>
      <c r="BE54" s="1786"/>
      <c r="BF54" s="1786"/>
      <c r="BG54" s="1786"/>
      <c r="BH54" s="1786"/>
      <c r="BI54" s="1786"/>
      <c r="BJ54" s="1786"/>
      <c r="BK54" s="1786"/>
      <c r="BL54" s="1786"/>
      <c r="BM54" s="1786"/>
      <c r="BN54" s="1786"/>
      <c r="BO54" s="1786"/>
      <c r="BP54" s="1786"/>
      <c r="BQ54" s="1786"/>
      <c r="BR54" s="1786"/>
      <c r="BS54" s="1786"/>
      <c r="BT54" s="1786"/>
      <c r="BU54" s="1786"/>
      <c r="BV54" s="1786"/>
      <c r="BW54" s="1786"/>
      <c r="BX54" s="1786"/>
      <c r="BY54" s="1786"/>
      <c r="BZ54" s="1786"/>
      <c r="CA54" s="255"/>
      <c r="CB54" s="255"/>
      <c r="CC54" s="254"/>
      <c r="CD54" s="254"/>
      <c r="CE54" s="254"/>
      <c r="CF54" s="254"/>
      <c r="CG54" s="254"/>
      <c r="CH54" s="254"/>
      <c r="CI54" s="254"/>
      <c r="CJ54" s="254"/>
      <c r="CK54" s="254"/>
      <c r="CL54" s="254"/>
      <c r="CM54" s="254"/>
      <c r="CN54" s="254"/>
      <c r="CO54" s="254"/>
      <c r="CP54" s="254"/>
      <c r="CQ54" s="254"/>
      <c r="CR54" s="254"/>
      <c r="CS54" s="254"/>
      <c r="CT54" s="254"/>
      <c r="CU54" s="254"/>
      <c r="CV54" s="254"/>
      <c r="CW54" s="254"/>
      <c r="CX54" s="254"/>
      <c r="CY54" s="254"/>
      <c r="CZ54" s="254"/>
      <c r="DA54" s="254"/>
      <c r="DB54" s="254"/>
      <c r="DC54" s="254"/>
      <c r="DD54" s="254"/>
      <c r="DE54" s="254"/>
      <c r="DF54" s="254"/>
      <c r="DG54" s="254"/>
      <c r="DH54" s="254"/>
      <c r="DI54" s="254"/>
    </row>
    <row r="55" spans="1:113" ht="15.75" customHeight="1">
      <c r="A55" s="254"/>
      <c r="B55" s="254"/>
      <c r="C55" s="254"/>
      <c r="D55" s="254"/>
      <c r="E55" s="254"/>
      <c r="F55" s="254"/>
      <c r="G55" s="254"/>
      <c r="H55" s="254"/>
      <c r="I55" s="254"/>
      <c r="J55" s="254"/>
      <c r="K55" s="254"/>
      <c r="L55" s="254"/>
      <c r="M55" s="254"/>
      <c r="N55" s="255"/>
      <c r="O55" s="255"/>
      <c r="P55" s="255"/>
      <c r="Q55" s="255"/>
      <c r="R55" s="255"/>
      <c r="S55" s="255"/>
      <c r="T55" s="851"/>
      <c r="U55" s="851"/>
      <c r="V55" s="851"/>
      <c r="W55" s="851"/>
      <c r="X55" s="851"/>
      <c r="Y55" s="851"/>
      <c r="Z55" s="851"/>
      <c r="AA55" s="851"/>
      <c r="AB55" s="851"/>
      <c r="AC55" s="851"/>
      <c r="AD55" s="851"/>
      <c r="AE55" s="851"/>
      <c r="AF55" s="851"/>
      <c r="AG55" s="851"/>
      <c r="AH55" s="851"/>
      <c r="AI55" s="851"/>
      <c r="AJ55" s="851"/>
      <c r="AK55" s="851"/>
      <c r="AL55" s="851"/>
      <c r="AM55" s="851"/>
      <c r="AN55" s="851"/>
      <c r="AO55" s="851"/>
      <c r="AP55" s="851"/>
      <c r="AQ55" s="851"/>
      <c r="AR55" s="851"/>
      <c r="AS55" s="851"/>
      <c r="AT55" s="851"/>
      <c r="AU55" s="851"/>
      <c r="AV55" s="851"/>
      <c r="AW55" s="851"/>
      <c r="AX55" s="851"/>
      <c r="AY55" s="851"/>
      <c r="AZ55" s="851"/>
      <c r="BA55" s="851"/>
      <c r="BB55" s="851"/>
      <c r="BC55" s="851"/>
      <c r="BD55" s="851"/>
      <c r="BE55" s="851"/>
      <c r="BF55" s="851"/>
      <c r="BG55" s="851"/>
      <c r="BH55" s="851"/>
      <c r="BI55" s="851"/>
      <c r="BJ55" s="851"/>
      <c r="BK55" s="851"/>
      <c r="BL55" s="851"/>
      <c r="BM55" s="851"/>
      <c r="BN55" s="851"/>
      <c r="BO55" s="851"/>
      <c r="BP55" s="851"/>
      <c r="BQ55" s="851"/>
      <c r="BR55" s="851"/>
      <c r="BS55" s="851"/>
      <c r="BT55" s="851"/>
      <c r="BU55" s="851"/>
      <c r="BV55" s="851"/>
      <c r="BW55" s="851"/>
      <c r="BX55" s="851"/>
      <c r="BY55" s="851"/>
      <c r="BZ55" s="851"/>
      <c r="CA55" s="255"/>
      <c r="CB55" s="255"/>
      <c r="CC55" s="254"/>
      <c r="CD55" s="254"/>
      <c r="CE55" s="254"/>
      <c r="CF55" s="254"/>
      <c r="CG55" s="254"/>
      <c r="CH55" s="254"/>
      <c r="CI55" s="254"/>
      <c r="CJ55" s="254"/>
      <c r="CK55" s="254"/>
      <c r="CL55" s="254"/>
      <c r="CM55" s="254"/>
      <c r="CN55" s="254"/>
      <c r="CO55" s="254"/>
      <c r="CP55" s="254"/>
      <c r="CQ55" s="254"/>
      <c r="CR55" s="254"/>
      <c r="CS55" s="254"/>
      <c r="CT55" s="254"/>
      <c r="CU55" s="254"/>
      <c r="CV55" s="254"/>
      <c r="CW55" s="254"/>
      <c r="CX55" s="254"/>
      <c r="CY55" s="254"/>
      <c r="CZ55" s="254"/>
      <c r="DA55" s="254"/>
      <c r="DB55" s="254"/>
      <c r="DC55" s="254"/>
      <c r="DD55" s="254"/>
      <c r="DE55" s="254"/>
      <c r="DF55" s="254"/>
      <c r="DG55" s="254"/>
      <c r="DH55" s="254"/>
      <c r="DI55" s="254"/>
    </row>
    <row r="56" spans="1:113" ht="28.5" customHeight="1">
      <c r="A56" s="254"/>
      <c r="B56" s="254"/>
      <c r="C56" s="254"/>
      <c r="D56" s="254"/>
      <c r="E56" s="254"/>
      <c r="F56" s="254"/>
      <c r="G56" s="254"/>
      <c r="H56" s="254"/>
      <c r="I56" s="254"/>
      <c r="J56" s="254"/>
      <c r="K56" s="254"/>
      <c r="L56" s="254"/>
      <c r="M56" s="254"/>
      <c r="N56" s="255"/>
      <c r="O56" s="255"/>
      <c r="P56" s="255"/>
      <c r="Q56" s="255"/>
      <c r="R56" s="1783"/>
      <c r="S56" s="1784"/>
      <c r="T56" s="1785" t="s">
        <v>1660</v>
      </c>
      <c r="U56" s="1786"/>
      <c r="V56" s="1786"/>
      <c r="W56" s="1786"/>
      <c r="X56" s="1786"/>
      <c r="Y56" s="1786"/>
      <c r="Z56" s="1786"/>
      <c r="AA56" s="1786"/>
      <c r="AB56" s="1786"/>
      <c r="AC56" s="1786"/>
      <c r="AD56" s="1786"/>
      <c r="AE56" s="1786"/>
      <c r="AF56" s="1786"/>
      <c r="AG56" s="1786"/>
      <c r="AH56" s="1786"/>
      <c r="AI56" s="1786"/>
      <c r="AJ56" s="1786"/>
      <c r="AK56" s="1786"/>
      <c r="AL56" s="1786"/>
      <c r="AM56" s="1786"/>
      <c r="AN56" s="1786"/>
      <c r="AO56" s="1786"/>
      <c r="AP56" s="1786"/>
      <c r="AQ56" s="1786"/>
      <c r="AR56" s="1786"/>
      <c r="AS56" s="1786"/>
      <c r="AT56" s="1786"/>
      <c r="AU56" s="1786"/>
      <c r="AV56" s="1786"/>
      <c r="AW56" s="1786"/>
      <c r="AX56" s="1786"/>
      <c r="AY56" s="1786"/>
      <c r="AZ56" s="1786"/>
      <c r="BA56" s="1786"/>
      <c r="BB56" s="1786"/>
      <c r="BC56" s="1786"/>
      <c r="BD56" s="1786"/>
      <c r="BE56" s="1786"/>
      <c r="BF56" s="1786"/>
      <c r="BG56" s="1786"/>
      <c r="BH56" s="1786"/>
      <c r="BI56" s="1786"/>
      <c r="BJ56" s="1786"/>
      <c r="BK56" s="1786"/>
      <c r="BL56" s="1786"/>
      <c r="BM56" s="1786"/>
      <c r="BN56" s="1786"/>
      <c r="BO56" s="1786"/>
      <c r="BP56" s="1786"/>
      <c r="BQ56" s="1786"/>
      <c r="BR56" s="1786"/>
      <c r="BS56" s="1786"/>
      <c r="BT56" s="1786"/>
      <c r="BU56" s="1786"/>
      <c r="BV56" s="1786"/>
      <c r="BW56" s="1786"/>
      <c r="BX56" s="1786"/>
      <c r="BY56" s="1786"/>
      <c r="BZ56" s="1786"/>
      <c r="CA56" s="255"/>
      <c r="CB56" s="255"/>
      <c r="CC56" s="254"/>
      <c r="CD56" s="254"/>
      <c r="CE56" s="254"/>
      <c r="CF56" s="254"/>
      <c r="CG56" s="254"/>
      <c r="CH56" s="254"/>
      <c r="CI56" s="254"/>
      <c r="CJ56" s="254"/>
      <c r="CK56" s="254"/>
      <c r="CL56" s="254"/>
      <c r="CM56" s="254"/>
      <c r="CN56" s="254"/>
      <c r="CO56" s="254"/>
      <c r="CP56" s="254"/>
      <c r="CQ56" s="254"/>
      <c r="CR56" s="254"/>
      <c r="CS56" s="254"/>
      <c r="CT56" s="254"/>
      <c r="CU56" s="254"/>
      <c r="CV56" s="254"/>
      <c r="CW56" s="254"/>
      <c r="CX56" s="254"/>
      <c r="CY56" s="254"/>
      <c r="CZ56" s="254"/>
      <c r="DA56" s="254"/>
      <c r="DB56" s="254"/>
      <c r="DC56" s="254"/>
      <c r="DD56" s="254"/>
      <c r="DE56" s="254"/>
      <c r="DF56" s="254"/>
      <c r="DG56" s="254"/>
      <c r="DH56" s="254"/>
      <c r="DI56" s="254"/>
    </row>
    <row r="57" spans="1:113" ht="12" customHeight="1">
      <c r="A57" s="254"/>
      <c r="B57" s="254"/>
      <c r="C57" s="254"/>
      <c r="D57" s="254"/>
      <c r="E57" s="254"/>
      <c r="F57" s="254"/>
      <c r="G57" s="254"/>
      <c r="H57" s="254"/>
      <c r="I57" s="254"/>
      <c r="J57" s="254"/>
      <c r="K57" s="254"/>
      <c r="L57" s="254"/>
      <c r="M57" s="254"/>
      <c r="N57" s="255"/>
      <c r="O57" s="255"/>
      <c r="P57" s="904"/>
      <c r="Q57" s="904"/>
      <c r="R57" s="904"/>
      <c r="S57" s="904"/>
      <c r="T57" s="904"/>
      <c r="U57" s="904"/>
      <c r="V57" s="904"/>
      <c r="W57" s="904"/>
      <c r="X57" s="904"/>
      <c r="Y57" s="904"/>
      <c r="Z57" s="904"/>
      <c r="AA57" s="904"/>
      <c r="AB57" s="904"/>
      <c r="AC57" s="904"/>
      <c r="AD57" s="904"/>
      <c r="AE57" s="904"/>
      <c r="AF57" s="904"/>
      <c r="AG57" s="904"/>
      <c r="AH57" s="904"/>
      <c r="AI57" s="904"/>
      <c r="AJ57" s="904"/>
      <c r="AK57" s="904"/>
      <c r="AL57" s="904"/>
      <c r="AM57" s="904"/>
      <c r="AN57" s="904"/>
      <c r="AO57" s="904"/>
      <c r="AP57" s="904"/>
      <c r="AQ57" s="904"/>
      <c r="AR57" s="902"/>
      <c r="AS57" s="902"/>
      <c r="AT57" s="902"/>
      <c r="AU57" s="255"/>
      <c r="AV57" s="255"/>
      <c r="AW57" s="255"/>
      <c r="AX57" s="255"/>
      <c r="AY57" s="255"/>
      <c r="AZ57" s="255"/>
      <c r="BA57" s="255"/>
      <c r="BB57" s="255"/>
      <c r="BC57" s="255"/>
      <c r="BD57" s="255"/>
      <c r="BE57" s="255"/>
      <c r="BF57" s="255"/>
      <c r="BG57" s="255"/>
      <c r="BH57" s="255"/>
      <c r="BI57" s="255"/>
      <c r="BJ57" s="255"/>
      <c r="BK57" s="255"/>
      <c r="BL57" s="255"/>
      <c r="BM57" s="255"/>
      <c r="BN57" s="255"/>
      <c r="BO57" s="255"/>
      <c r="BP57" s="255"/>
      <c r="BQ57" s="255"/>
      <c r="BR57" s="255"/>
      <c r="BS57" s="255"/>
      <c r="BT57" s="255"/>
      <c r="BU57" s="255"/>
      <c r="BV57" s="255"/>
      <c r="BW57" s="255"/>
      <c r="BX57" s="255"/>
      <c r="BY57" s="255"/>
      <c r="BZ57" s="255"/>
      <c r="CA57" s="255"/>
      <c r="CB57" s="255"/>
      <c r="CC57" s="254"/>
      <c r="CD57" s="254"/>
      <c r="CE57" s="254"/>
      <c r="CF57" s="254"/>
      <c r="CG57" s="254"/>
      <c r="CH57" s="254"/>
      <c r="CI57" s="254"/>
      <c r="CJ57" s="254"/>
      <c r="CK57" s="254"/>
      <c r="CL57" s="254"/>
      <c r="CM57" s="254"/>
      <c r="CN57" s="254"/>
      <c r="CO57" s="254"/>
      <c r="CP57" s="254"/>
      <c r="CQ57" s="254"/>
      <c r="CR57" s="254"/>
      <c r="CS57" s="254"/>
      <c r="CT57" s="254"/>
      <c r="CU57" s="254"/>
      <c r="CV57" s="254"/>
      <c r="CW57" s="254"/>
      <c r="CX57" s="254"/>
      <c r="CY57" s="254"/>
      <c r="CZ57" s="254"/>
      <c r="DA57" s="254"/>
      <c r="DB57" s="254"/>
      <c r="DC57" s="254"/>
      <c r="DD57" s="254"/>
      <c r="DE57" s="254"/>
      <c r="DF57" s="254"/>
      <c r="DG57" s="254"/>
      <c r="DH57" s="254"/>
      <c r="DI57" s="254"/>
    </row>
    <row r="58" spans="1:113" ht="28.35">
      <c r="A58" s="254"/>
      <c r="B58" s="254"/>
      <c r="C58" s="254"/>
      <c r="D58" s="254"/>
      <c r="E58" s="254"/>
      <c r="F58" s="254"/>
      <c r="G58" s="254"/>
      <c r="H58" s="254"/>
      <c r="I58" s="254"/>
      <c r="J58" s="254"/>
      <c r="K58" s="254"/>
      <c r="L58" s="254"/>
      <c r="M58" s="254"/>
      <c r="N58" s="255"/>
      <c r="O58" s="255"/>
      <c r="P58" s="904"/>
      <c r="Q58" s="1792" t="s">
        <v>1124</v>
      </c>
      <c r="R58" s="1792"/>
      <c r="S58" s="1792"/>
      <c r="T58" s="1792"/>
      <c r="U58" s="1792"/>
      <c r="V58" s="1792"/>
      <c r="W58" s="1792"/>
      <c r="X58" s="1792"/>
      <c r="Y58" s="1792"/>
      <c r="Z58" s="1792"/>
      <c r="AA58" s="1792"/>
      <c r="AB58" s="1792"/>
      <c r="AC58" s="1792"/>
      <c r="AD58" s="1792"/>
      <c r="AE58" s="1792"/>
      <c r="AF58" s="1792"/>
      <c r="AG58" s="1792"/>
      <c r="AH58" s="1792"/>
      <c r="AI58" s="1792"/>
      <c r="AJ58" s="1792"/>
      <c r="AK58" s="904"/>
      <c r="AL58" s="904"/>
      <c r="AM58" s="904"/>
      <c r="AN58" s="904"/>
      <c r="AO58" s="904"/>
      <c r="AP58" s="904"/>
      <c r="AQ58" s="904"/>
      <c r="AR58" s="902"/>
      <c r="AS58" s="902"/>
      <c r="AT58" s="902"/>
      <c r="AU58" s="255"/>
      <c r="AV58" s="255"/>
      <c r="AW58" s="255"/>
      <c r="AX58" s="255"/>
      <c r="AY58" s="255"/>
      <c r="AZ58" s="255"/>
      <c r="BA58" s="255"/>
      <c r="BB58" s="255"/>
      <c r="BC58" s="255"/>
      <c r="BD58" s="255"/>
      <c r="BE58" s="255"/>
      <c r="BF58" s="255"/>
      <c r="BG58" s="255"/>
      <c r="BH58" s="255"/>
      <c r="BI58" s="255"/>
      <c r="BJ58" s="255"/>
      <c r="BK58" s="255"/>
      <c r="BL58" s="255"/>
      <c r="BM58" s="255"/>
      <c r="BN58" s="255"/>
      <c r="BO58" s="255"/>
      <c r="BP58" s="255"/>
      <c r="BQ58" s="255"/>
      <c r="BR58" s="255"/>
      <c r="BS58" s="255"/>
      <c r="BT58" s="255"/>
      <c r="BU58" s="255"/>
      <c r="BV58" s="255"/>
      <c r="BW58" s="255"/>
      <c r="BX58" s="255"/>
      <c r="BY58" s="255"/>
      <c r="BZ58" s="255"/>
      <c r="CA58" s="255"/>
      <c r="CB58" s="255"/>
      <c r="CC58" s="254"/>
      <c r="CD58" s="254"/>
      <c r="CE58" s="254"/>
      <c r="CF58" s="254"/>
      <c r="CG58" s="254"/>
      <c r="CH58" s="254"/>
      <c r="CI58" s="254"/>
      <c r="CJ58" s="254"/>
      <c r="CK58" s="254"/>
      <c r="CL58" s="254"/>
      <c r="CM58" s="254"/>
      <c r="CN58" s="254"/>
      <c r="CO58" s="254"/>
      <c r="CP58" s="254"/>
      <c r="CQ58" s="254"/>
      <c r="CR58" s="254"/>
      <c r="CS58" s="254"/>
      <c r="CT58" s="254"/>
      <c r="CU58" s="254"/>
      <c r="CV58" s="254"/>
      <c r="CW58" s="254"/>
      <c r="CX58" s="254"/>
      <c r="CY58" s="254"/>
      <c r="CZ58" s="254"/>
      <c r="DA58" s="254"/>
      <c r="DB58" s="254"/>
      <c r="DC58" s="254"/>
      <c r="DD58" s="254"/>
      <c r="DE58" s="254"/>
      <c r="DF58" s="254"/>
      <c r="DG58" s="254"/>
      <c r="DH58" s="254"/>
      <c r="DI58" s="254"/>
    </row>
    <row r="59" spans="1:113" ht="14.25" customHeight="1">
      <c r="A59" s="254"/>
      <c r="B59" s="254"/>
      <c r="C59" s="254"/>
      <c r="D59" s="254"/>
      <c r="E59" s="254"/>
      <c r="F59" s="254"/>
      <c r="G59" s="254"/>
      <c r="H59" s="254"/>
      <c r="I59" s="254"/>
      <c r="J59" s="254"/>
      <c r="K59" s="254"/>
      <c r="L59" s="254"/>
      <c r="M59" s="254"/>
      <c r="N59" s="255"/>
      <c r="O59" s="255"/>
      <c r="P59" s="255"/>
      <c r="Q59" s="255"/>
      <c r="R59" s="255"/>
      <c r="S59" s="255"/>
      <c r="T59" s="255"/>
      <c r="U59" s="255"/>
      <c r="V59" s="255"/>
      <c r="W59" s="255"/>
      <c r="X59" s="255"/>
      <c r="Y59" s="255"/>
      <c r="Z59" s="255"/>
      <c r="AA59" s="255"/>
      <c r="AB59" s="255"/>
      <c r="AC59" s="255"/>
      <c r="AD59" s="255"/>
      <c r="AE59" s="255"/>
      <c r="AF59" s="255"/>
      <c r="AG59" s="255"/>
      <c r="AH59" s="255"/>
      <c r="AI59" s="255"/>
      <c r="AJ59" s="255"/>
      <c r="AK59" s="255"/>
      <c r="AL59" s="255"/>
      <c r="AM59" s="255"/>
      <c r="AN59" s="255"/>
      <c r="AO59" s="255"/>
      <c r="AP59" s="255"/>
      <c r="AQ59" s="255"/>
      <c r="AR59" s="255"/>
      <c r="AS59" s="255"/>
      <c r="AT59" s="255"/>
      <c r="AU59" s="255"/>
      <c r="AV59" s="255"/>
      <c r="AW59" s="255"/>
      <c r="AX59" s="255"/>
      <c r="AY59" s="255"/>
      <c r="AZ59" s="255"/>
      <c r="BA59" s="255"/>
      <c r="BB59" s="255"/>
      <c r="BC59" s="255"/>
      <c r="BD59" s="255"/>
      <c r="BE59" s="255"/>
      <c r="BF59" s="255"/>
      <c r="BG59" s="255"/>
      <c r="BH59" s="255"/>
      <c r="BI59" s="255"/>
      <c r="BJ59" s="255"/>
      <c r="BK59" s="255"/>
      <c r="BL59" s="255"/>
      <c r="BM59" s="255"/>
      <c r="BN59" s="255"/>
      <c r="BO59" s="255"/>
      <c r="BP59" s="255"/>
      <c r="BQ59" s="255"/>
      <c r="BR59" s="255"/>
      <c r="BS59" s="255"/>
      <c r="BT59" s="255"/>
      <c r="BU59" s="255"/>
      <c r="BV59" s="255"/>
      <c r="BW59" s="255"/>
      <c r="BX59" s="255"/>
      <c r="BY59" s="255"/>
      <c r="BZ59" s="255"/>
      <c r="CA59" s="255"/>
      <c r="CB59" s="255"/>
      <c r="CC59" s="254"/>
      <c r="CD59" s="254"/>
      <c r="CE59" s="254"/>
      <c r="CF59" s="254"/>
      <c r="CG59" s="254"/>
      <c r="CH59" s="254"/>
      <c r="CI59" s="254"/>
      <c r="CJ59" s="254"/>
      <c r="CK59" s="254"/>
      <c r="CL59" s="254"/>
      <c r="CM59" s="254"/>
      <c r="CN59" s="254"/>
      <c r="CO59" s="254"/>
      <c r="CP59" s="254"/>
      <c r="CQ59" s="254"/>
      <c r="CR59" s="254"/>
      <c r="CS59" s="254"/>
      <c r="CT59" s="254"/>
      <c r="CU59" s="254"/>
      <c r="CV59" s="254"/>
      <c r="CW59" s="254"/>
      <c r="CX59" s="254"/>
      <c r="CY59" s="254"/>
      <c r="CZ59" s="254"/>
      <c r="DA59" s="254"/>
      <c r="DB59" s="254"/>
      <c r="DC59" s="254"/>
      <c r="DD59" s="254"/>
      <c r="DE59" s="254"/>
      <c r="DF59" s="254"/>
      <c r="DG59" s="254"/>
      <c r="DH59" s="254"/>
      <c r="DI59" s="254"/>
    </row>
    <row r="60" spans="1:113" ht="28.5" customHeight="1">
      <c r="A60" s="254"/>
      <c r="B60" s="254"/>
      <c r="C60" s="254"/>
      <c r="D60" s="254"/>
      <c r="E60" s="254"/>
      <c r="F60" s="254"/>
      <c r="G60" s="254"/>
      <c r="H60" s="254"/>
      <c r="I60" s="254"/>
      <c r="J60" s="254"/>
      <c r="K60" s="254"/>
      <c r="L60" s="254"/>
      <c r="M60" s="254"/>
      <c r="N60" s="255"/>
      <c r="O60" s="255"/>
      <c r="P60" s="255"/>
      <c r="Q60" s="255"/>
      <c r="R60" s="1783"/>
      <c r="S60" s="1784"/>
      <c r="T60" s="1785" t="s">
        <v>1082</v>
      </c>
      <c r="U60" s="1786"/>
      <c r="V60" s="1786"/>
      <c r="W60" s="1786"/>
      <c r="X60" s="1786"/>
      <c r="Y60" s="1786"/>
      <c r="Z60" s="1786"/>
      <c r="AA60" s="1786"/>
      <c r="AB60" s="1786"/>
      <c r="AC60" s="1786"/>
      <c r="AD60" s="1786"/>
      <c r="AE60" s="1786"/>
      <c r="AF60" s="1786"/>
      <c r="AG60" s="1786"/>
      <c r="AH60" s="1786"/>
      <c r="AI60" s="1786"/>
      <c r="AJ60" s="1786"/>
      <c r="AK60" s="1786"/>
      <c r="AL60" s="1786"/>
      <c r="AM60" s="1786"/>
      <c r="AN60" s="1786"/>
      <c r="AO60" s="1786"/>
      <c r="AP60" s="1786"/>
      <c r="AQ60" s="1786"/>
      <c r="AR60" s="1786"/>
      <c r="AS60" s="1786"/>
      <c r="AT60" s="1786"/>
      <c r="AU60" s="1786"/>
      <c r="AV60" s="1786"/>
      <c r="AW60" s="1786"/>
      <c r="AX60" s="1786"/>
      <c r="AY60" s="1786"/>
      <c r="AZ60" s="1786"/>
      <c r="BA60" s="1786"/>
      <c r="BB60" s="1786"/>
      <c r="BC60" s="1786"/>
      <c r="BD60" s="1786"/>
      <c r="BE60" s="1786"/>
      <c r="BF60" s="1786"/>
      <c r="BG60" s="1786"/>
      <c r="BH60" s="1786"/>
      <c r="BI60" s="1786"/>
      <c r="BJ60" s="1786"/>
      <c r="BK60" s="1786"/>
      <c r="BL60" s="1786"/>
      <c r="BM60" s="1786"/>
      <c r="BN60" s="1786"/>
      <c r="BO60" s="1786"/>
      <c r="BP60" s="1786"/>
      <c r="BQ60" s="1786"/>
      <c r="BR60" s="1786"/>
      <c r="BS60" s="1786"/>
      <c r="BT60" s="1786"/>
      <c r="BU60" s="1786"/>
      <c r="BV60" s="1786"/>
      <c r="BW60" s="1786"/>
      <c r="BX60" s="1786"/>
      <c r="BY60" s="1786"/>
      <c r="BZ60" s="1786"/>
      <c r="CA60" s="255"/>
      <c r="CB60" s="255"/>
      <c r="CC60" s="254"/>
      <c r="CD60" s="254"/>
      <c r="CE60" s="254"/>
      <c r="CF60" s="254"/>
      <c r="CG60" s="254"/>
      <c r="CH60" s="254"/>
      <c r="CI60" s="254"/>
      <c r="CJ60" s="254"/>
      <c r="CK60" s="254"/>
      <c r="CL60" s="254"/>
      <c r="CM60" s="254"/>
      <c r="CN60" s="254"/>
      <c r="CO60" s="254"/>
      <c r="CP60" s="254"/>
      <c r="CQ60" s="254"/>
      <c r="CR60" s="254"/>
      <c r="CS60" s="254"/>
      <c r="CT60" s="254"/>
      <c r="CU60" s="254"/>
      <c r="CV60" s="254"/>
      <c r="CW60" s="254"/>
      <c r="CX60" s="254"/>
      <c r="CY60" s="254"/>
      <c r="CZ60" s="254"/>
      <c r="DA60" s="254"/>
      <c r="DB60" s="254"/>
      <c r="DC60" s="254"/>
      <c r="DD60" s="254"/>
      <c r="DE60" s="254"/>
      <c r="DF60" s="254"/>
      <c r="DG60" s="254"/>
      <c r="DH60" s="254"/>
      <c r="DI60" s="254"/>
    </row>
    <row r="61" spans="1:113">
      <c r="A61" s="254"/>
      <c r="B61" s="254"/>
      <c r="C61" s="254"/>
      <c r="D61" s="254"/>
      <c r="E61" s="254"/>
      <c r="F61" s="254"/>
      <c r="G61" s="254"/>
      <c r="H61" s="254"/>
      <c r="I61" s="254"/>
      <c r="J61" s="254"/>
      <c r="K61" s="254"/>
      <c r="L61" s="254"/>
      <c r="M61" s="254"/>
      <c r="N61" s="255"/>
      <c r="O61" s="255"/>
      <c r="P61" s="255"/>
      <c r="Q61" s="255"/>
      <c r="R61" s="255"/>
      <c r="S61" s="255"/>
      <c r="T61" s="851"/>
      <c r="U61" s="851"/>
      <c r="V61" s="851"/>
      <c r="W61" s="851"/>
      <c r="X61" s="851"/>
      <c r="Y61" s="851"/>
      <c r="Z61" s="851"/>
      <c r="AA61" s="851"/>
      <c r="AB61" s="851"/>
      <c r="AC61" s="851"/>
      <c r="AD61" s="851"/>
      <c r="AE61" s="851"/>
      <c r="AF61" s="851"/>
      <c r="AG61" s="851"/>
      <c r="AH61" s="851"/>
      <c r="AI61" s="851"/>
      <c r="AJ61" s="851"/>
      <c r="AK61" s="851"/>
      <c r="AL61" s="851"/>
      <c r="AM61" s="851"/>
      <c r="AN61" s="851"/>
      <c r="AO61" s="851"/>
      <c r="AP61" s="851"/>
      <c r="AQ61" s="851"/>
      <c r="AR61" s="851"/>
      <c r="AS61" s="851"/>
      <c r="AT61" s="851"/>
      <c r="AU61" s="851"/>
      <c r="AV61" s="851"/>
      <c r="AW61" s="851"/>
      <c r="AX61" s="851"/>
      <c r="AY61" s="851"/>
      <c r="AZ61" s="851"/>
      <c r="BA61" s="851"/>
      <c r="BB61" s="851"/>
      <c r="BC61" s="851"/>
      <c r="BD61" s="851"/>
      <c r="BE61" s="851"/>
      <c r="BF61" s="851"/>
      <c r="BG61" s="851"/>
      <c r="BH61" s="851"/>
      <c r="BI61" s="851"/>
      <c r="BJ61" s="851"/>
      <c r="BK61" s="851"/>
      <c r="BL61" s="851"/>
      <c r="BM61" s="851"/>
      <c r="BN61" s="851"/>
      <c r="BO61" s="851"/>
      <c r="BP61" s="851"/>
      <c r="BQ61" s="851"/>
      <c r="BR61" s="851"/>
      <c r="BS61" s="851"/>
      <c r="BT61" s="851"/>
      <c r="BU61" s="851"/>
      <c r="BV61" s="851"/>
      <c r="BW61" s="851"/>
      <c r="BX61" s="851"/>
      <c r="BY61" s="851"/>
      <c r="BZ61" s="851"/>
      <c r="CA61" s="255"/>
      <c r="CB61" s="255"/>
      <c r="CC61" s="254"/>
      <c r="CD61" s="254"/>
      <c r="CE61" s="254"/>
      <c r="CF61" s="254"/>
      <c r="CG61" s="254"/>
      <c r="CH61" s="254"/>
      <c r="CI61" s="254"/>
      <c r="CJ61" s="254"/>
      <c r="CK61" s="254"/>
      <c r="CL61" s="254"/>
      <c r="CM61" s="254"/>
      <c r="CN61" s="254"/>
      <c r="CO61" s="254"/>
      <c r="CP61" s="254"/>
      <c r="CQ61" s="254"/>
      <c r="CR61" s="254"/>
      <c r="CS61" s="254"/>
      <c r="CT61" s="254"/>
      <c r="CU61" s="254"/>
      <c r="CV61" s="254"/>
      <c r="CW61" s="254"/>
      <c r="CX61" s="254"/>
      <c r="CY61" s="254"/>
      <c r="CZ61" s="254"/>
      <c r="DA61" s="254"/>
      <c r="DB61" s="254"/>
      <c r="DC61" s="254"/>
      <c r="DD61" s="254"/>
      <c r="DE61" s="254"/>
      <c r="DF61" s="254"/>
      <c r="DG61" s="254"/>
      <c r="DH61" s="254"/>
      <c r="DI61" s="254"/>
    </row>
    <row r="62" spans="1:113" ht="28.5" customHeight="1">
      <c r="A62" s="254"/>
      <c r="B62" s="254"/>
      <c r="C62" s="254"/>
      <c r="D62" s="254"/>
      <c r="E62" s="254"/>
      <c r="F62" s="254"/>
      <c r="G62" s="254"/>
      <c r="H62" s="254"/>
      <c r="I62" s="254"/>
      <c r="J62" s="254"/>
      <c r="K62" s="254"/>
      <c r="L62" s="254"/>
      <c r="M62" s="254"/>
      <c r="N62" s="255"/>
      <c r="O62" s="255"/>
      <c r="P62" s="255"/>
      <c r="Q62" s="255"/>
      <c r="R62" s="1783"/>
      <c r="S62" s="1784"/>
      <c r="T62" s="1785" t="s">
        <v>1083</v>
      </c>
      <c r="U62" s="1786"/>
      <c r="V62" s="1786"/>
      <c r="W62" s="1786"/>
      <c r="X62" s="1786"/>
      <c r="Y62" s="1786"/>
      <c r="Z62" s="1786"/>
      <c r="AA62" s="1786"/>
      <c r="AB62" s="1786"/>
      <c r="AC62" s="1786"/>
      <c r="AD62" s="1786"/>
      <c r="AE62" s="1786"/>
      <c r="AF62" s="1786"/>
      <c r="AG62" s="1786"/>
      <c r="AH62" s="1786"/>
      <c r="AI62" s="1786"/>
      <c r="AJ62" s="1786"/>
      <c r="AK62" s="1786"/>
      <c r="AL62" s="1786"/>
      <c r="AM62" s="1786"/>
      <c r="AN62" s="1786"/>
      <c r="AO62" s="1786"/>
      <c r="AP62" s="1786"/>
      <c r="AQ62" s="1786"/>
      <c r="AR62" s="1786"/>
      <c r="AS62" s="1786"/>
      <c r="AT62" s="1786"/>
      <c r="AU62" s="1786"/>
      <c r="AV62" s="1786"/>
      <c r="AW62" s="1786"/>
      <c r="AX62" s="1786"/>
      <c r="AY62" s="1786"/>
      <c r="AZ62" s="1786"/>
      <c r="BA62" s="1786"/>
      <c r="BB62" s="1786"/>
      <c r="BC62" s="1786"/>
      <c r="BD62" s="1786"/>
      <c r="BE62" s="1786"/>
      <c r="BF62" s="1786"/>
      <c r="BG62" s="1786"/>
      <c r="BH62" s="1786"/>
      <c r="BI62" s="1786"/>
      <c r="BJ62" s="1786"/>
      <c r="BK62" s="1786"/>
      <c r="BL62" s="1786"/>
      <c r="BM62" s="1786"/>
      <c r="BN62" s="1786"/>
      <c r="BO62" s="1786"/>
      <c r="BP62" s="1786"/>
      <c r="BQ62" s="1786"/>
      <c r="BR62" s="1786"/>
      <c r="BS62" s="1786"/>
      <c r="BT62" s="1786"/>
      <c r="BU62" s="1786"/>
      <c r="BV62" s="1786"/>
      <c r="BW62" s="1786"/>
      <c r="BX62" s="1786"/>
      <c r="BY62" s="1786"/>
      <c r="BZ62" s="1786"/>
      <c r="CA62" s="255"/>
      <c r="CB62" s="255"/>
      <c r="CC62" s="254"/>
      <c r="CD62" s="254"/>
      <c r="CE62" s="254"/>
      <c r="CF62" s="254"/>
      <c r="CG62" s="254"/>
      <c r="CH62" s="254"/>
      <c r="CI62" s="254"/>
      <c r="CJ62" s="254"/>
      <c r="CK62" s="254"/>
      <c r="CL62" s="254"/>
      <c r="CM62" s="254"/>
      <c r="CN62" s="254"/>
      <c r="CO62" s="254"/>
      <c r="CP62" s="254"/>
      <c r="CQ62" s="254"/>
      <c r="CR62" s="254"/>
      <c r="CS62" s="254"/>
      <c r="CT62" s="254"/>
      <c r="CU62" s="254"/>
      <c r="CV62" s="254"/>
      <c r="CW62" s="254"/>
      <c r="CX62" s="254"/>
      <c r="CY62" s="254"/>
      <c r="CZ62" s="254"/>
      <c r="DA62" s="254"/>
      <c r="DB62" s="254"/>
      <c r="DC62" s="254"/>
      <c r="DD62" s="254"/>
      <c r="DE62" s="254"/>
      <c r="DF62" s="254"/>
      <c r="DG62" s="254"/>
      <c r="DH62" s="254"/>
      <c r="DI62" s="254"/>
    </row>
    <row r="63" spans="1:113">
      <c r="A63" s="254"/>
      <c r="B63" s="254"/>
      <c r="C63" s="254"/>
      <c r="D63" s="254"/>
      <c r="E63" s="254"/>
      <c r="F63" s="254"/>
      <c r="G63" s="254"/>
      <c r="H63" s="254"/>
      <c r="I63" s="254"/>
      <c r="J63" s="254"/>
      <c r="K63" s="254"/>
      <c r="L63" s="254"/>
      <c r="M63" s="254"/>
      <c r="N63" s="255"/>
      <c r="O63" s="255"/>
      <c r="P63" s="255"/>
      <c r="Q63" s="255"/>
      <c r="R63" s="255"/>
      <c r="S63" s="255"/>
      <c r="T63" s="851"/>
      <c r="U63" s="851"/>
      <c r="V63" s="851"/>
      <c r="W63" s="851"/>
      <c r="X63" s="851"/>
      <c r="Y63" s="851"/>
      <c r="Z63" s="851"/>
      <c r="AA63" s="851"/>
      <c r="AB63" s="851"/>
      <c r="AC63" s="851"/>
      <c r="AD63" s="851"/>
      <c r="AE63" s="851"/>
      <c r="AF63" s="851"/>
      <c r="AG63" s="851"/>
      <c r="AH63" s="851"/>
      <c r="AI63" s="851"/>
      <c r="AJ63" s="851"/>
      <c r="AK63" s="851"/>
      <c r="AL63" s="851"/>
      <c r="AM63" s="851"/>
      <c r="AN63" s="851"/>
      <c r="AO63" s="851"/>
      <c r="AP63" s="851"/>
      <c r="AQ63" s="851"/>
      <c r="AR63" s="851"/>
      <c r="AS63" s="851"/>
      <c r="AT63" s="851"/>
      <c r="AU63" s="851"/>
      <c r="AV63" s="851"/>
      <c r="AW63" s="851"/>
      <c r="AX63" s="851"/>
      <c r="AY63" s="851"/>
      <c r="AZ63" s="851"/>
      <c r="BA63" s="851"/>
      <c r="BB63" s="851"/>
      <c r="BC63" s="851"/>
      <c r="BD63" s="851"/>
      <c r="BE63" s="851"/>
      <c r="BF63" s="851"/>
      <c r="BG63" s="851"/>
      <c r="BH63" s="851"/>
      <c r="BI63" s="851"/>
      <c r="BJ63" s="851"/>
      <c r="BK63" s="851"/>
      <c r="BL63" s="851"/>
      <c r="BM63" s="851"/>
      <c r="BN63" s="851"/>
      <c r="BO63" s="851"/>
      <c r="BP63" s="851"/>
      <c r="BQ63" s="851"/>
      <c r="BR63" s="851"/>
      <c r="BS63" s="851"/>
      <c r="BT63" s="851"/>
      <c r="BU63" s="851"/>
      <c r="BV63" s="851"/>
      <c r="BW63" s="851"/>
      <c r="BX63" s="851"/>
      <c r="BY63" s="851"/>
      <c r="BZ63" s="851"/>
      <c r="CA63" s="255"/>
      <c r="CB63" s="255"/>
      <c r="CC63" s="254"/>
      <c r="CD63" s="254"/>
      <c r="CE63" s="254"/>
      <c r="CF63" s="254"/>
      <c r="CG63" s="254"/>
      <c r="CH63" s="254"/>
      <c r="CI63" s="254"/>
      <c r="CJ63" s="254"/>
      <c r="CK63" s="254"/>
      <c r="CL63" s="254"/>
      <c r="CM63" s="254"/>
      <c r="CN63" s="254"/>
      <c r="CO63" s="254"/>
      <c r="CP63" s="254"/>
      <c r="CQ63" s="254"/>
      <c r="CR63" s="254"/>
      <c r="CS63" s="254"/>
      <c r="CT63" s="254"/>
      <c r="CU63" s="254"/>
      <c r="CV63" s="254"/>
      <c r="CW63" s="254"/>
      <c r="CX63" s="254"/>
      <c r="CY63" s="254"/>
      <c r="CZ63" s="254"/>
      <c r="DA63" s="254"/>
      <c r="DB63" s="254"/>
      <c r="DC63" s="254"/>
      <c r="DD63" s="254"/>
      <c r="DE63" s="254"/>
      <c r="DF63" s="254"/>
      <c r="DG63" s="254"/>
      <c r="DH63" s="254"/>
      <c r="DI63" s="254"/>
    </row>
    <row r="64" spans="1:113" ht="28.5" customHeight="1">
      <c r="A64" s="254"/>
      <c r="B64" s="254"/>
      <c r="C64" s="254"/>
      <c r="D64" s="254"/>
      <c r="E64" s="254"/>
      <c r="F64" s="254"/>
      <c r="G64" s="254"/>
      <c r="H64" s="254"/>
      <c r="I64" s="254"/>
      <c r="J64" s="254"/>
      <c r="K64" s="254"/>
      <c r="L64" s="254"/>
      <c r="M64" s="254"/>
      <c r="N64" s="255"/>
      <c r="O64" s="255"/>
      <c r="P64" s="255"/>
      <c r="Q64" s="255"/>
      <c r="R64" s="1783"/>
      <c r="S64" s="1784"/>
      <c r="T64" s="1785" t="s">
        <v>476</v>
      </c>
      <c r="U64" s="1786"/>
      <c r="V64" s="1786"/>
      <c r="W64" s="1786"/>
      <c r="X64" s="1786"/>
      <c r="Y64" s="1786"/>
      <c r="Z64" s="1786"/>
      <c r="AA64" s="1786"/>
      <c r="AB64" s="1786"/>
      <c r="AC64" s="1786"/>
      <c r="AD64" s="1786"/>
      <c r="AE64" s="1786"/>
      <c r="AF64" s="1786"/>
      <c r="AG64" s="1786"/>
      <c r="AH64" s="1786"/>
      <c r="AI64" s="1786"/>
      <c r="AJ64" s="1786"/>
      <c r="AK64" s="1786"/>
      <c r="AL64" s="1786"/>
      <c r="AM64" s="1786"/>
      <c r="AN64" s="1786"/>
      <c r="AO64" s="1786"/>
      <c r="AP64" s="1786"/>
      <c r="AQ64" s="1786"/>
      <c r="AR64" s="1786"/>
      <c r="AS64" s="1786"/>
      <c r="AT64" s="1786"/>
      <c r="AU64" s="1786"/>
      <c r="AV64" s="1786"/>
      <c r="AW64" s="1786"/>
      <c r="AX64" s="1786"/>
      <c r="AY64" s="1786"/>
      <c r="AZ64" s="1786"/>
      <c r="BA64" s="1786"/>
      <c r="BB64" s="1786"/>
      <c r="BC64" s="1786"/>
      <c r="BD64" s="1786"/>
      <c r="BE64" s="1786"/>
      <c r="BF64" s="1786"/>
      <c r="BG64" s="1786"/>
      <c r="BH64" s="1786"/>
      <c r="BI64" s="1786"/>
      <c r="BJ64" s="1786"/>
      <c r="BK64" s="1786"/>
      <c r="BL64" s="1786"/>
      <c r="BM64" s="1786"/>
      <c r="BN64" s="1786"/>
      <c r="BO64" s="1786"/>
      <c r="BP64" s="1786"/>
      <c r="BQ64" s="1786"/>
      <c r="BR64" s="1786"/>
      <c r="BS64" s="1786"/>
      <c r="BT64" s="1786"/>
      <c r="BU64" s="1786"/>
      <c r="BV64" s="1786"/>
      <c r="BW64" s="1786"/>
      <c r="BX64" s="1786"/>
      <c r="BY64" s="1786"/>
      <c r="BZ64" s="1786"/>
      <c r="CA64" s="255"/>
      <c r="CB64" s="255"/>
      <c r="CC64" s="254"/>
      <c r="CD64" s="254"/>
      <c r="CE64" s="254"/>
      <c r="CF64" s="254"/>
      <c r="CG64" s="254"/>
      <c r="CH64" s="254"/>
      <c r="CI64" s="254"/>
      <c r="CJ64" s="254"/>
      <c r="CK64" s="254"/>
      <c r="CL64" s="254"/>
      <c r="CM64" s="254"/>
      <c r="CN64" s="254"/>
      <c r="CO64" s="254"/>
      <c r="CP64" s="254"/>
      <c r="CQ64" s="254"/>
      <c r="CR64" s="254"/>
      <c r="CS64" s="254"/>
      <c r="CT64" s="254"/>
      <c r="CU64" s="254"/>
      <c r="CV64" s="254"/>
      <c r="CW64" s="254"/>
      <c r="CX64" s="254"/>
      <c r="CY64" s="254"/>
      <c r="CZ64" s="254"/>
      <c r="DA64" s="254"/>
      <c r="DB64" s="254"/>
      <c r="DC64" s="254"/>
      <c r="DD64" s="254"/>
      <c r="DE64" s="254"/>
      <c r="DF64" s="254"/>
      <c r="DG64" s="254"/>
      <c r="DH64" s="254"/>
      <c r="DI64" s="254"/>
    </row>
    <row r="65" spans="1:113" ht="28.5" customHeight="1">
      <c r="A65" s="254"/>
      <c r="B65" s="254"/>
      <c r="C65" s="254"/>
      <c r="D65" s="254"/>
      <c r="E65" s="254"/>
      <c r="F65" s="254"/>
      <c r="G65" s="254"/>
      <c r="H65" s="254"/>
      <c r="I65" s="254"/>
      <c r="J65" s="254"/>
      <c r="K65" s="254"/>
      <c r="L65" s="254"/>
      <c r="M65" s="254"/>
      <c r="N65" s="255"/>
      <c r="O65" s="255"/>
      <c r="P65" s="255"/>
      <c r="Q65" s="255"/>
      <c r="R65" s="255"/>
      <c r="S65" s="255"/>
      <c r="T65" s="255"/>
      <c r="U65" s="255"/>
      <c r="V65" s="255"/>
      <c r="W65" s="255"/>
      <c r="X65" s="255"/>
      <c r="Y65" s="255"/>
      <c r="Z65" s="255"/>
      <c r="AA65" s="255"/>
      <c r="AB65" s="255"/>
      <c r="AC65" s="255"/>
      <c r="AD65" s="255"/>
      <c r="AE65" s="255"/>
      <c r="AF65" s="255"/>
      <c r="AG65" s="255"/>
      <c r="AH65" s="255"/>
      <c r="AI65" s="255"/>
      <c r="AJ65" s="255"/>
      <c r="AK65" s="255"/>
      <c r="AL65" s="255"/>
      <c r="AM65" s="255"/>
      <c r="AN65" s="255"/>
      <c r="AO65" s="255"/>
      <c r="AP65" s="255"/>
      <c r="AQ65" s="255"/>
      <c r="AR65" s="255"/>
      <c r="AS65" s="255"/>
      <c r="AT65" s="255"/>
      <c r="AU65" s="255"/>
      <c r="AV65" s="255"/>
      <c r="AW65" s="255"/>
      <c r="AX65" s="255"/>
      <c r="AY65" s="255"/>
      <c r="AZ65" s="255"/>
      <c r="BA65" s="255"/>
      <c r="BB65" s="255"/>
      <c r="BC65" s="255"/>
      <c r="BD65" s="255"/>
      <c r="BE65" s="255"/>
      <c r="BF65" s="255"/>
      <c r="BG65" s="255"/>
      <c r="BH65" s="255"/>
      <c r="BI65" s="255"/>
      <c r="BJ65" s="255"/>
      <c r="BK65" s="255"/>
      <c r="BL65" s="255"/>
      <c r="BM65" s="255"/>
      <c r="BN65" s="255"/>
      <c r="BO65" s="255"/>
      <c r="BP65" s="255"/>
      <c r="BQ65" s="255"/>
      <c r="BR65" s="255"/>
      <c r="BS65" s="255"/>
      <c r="BT65" s="255"/>
      <c r="BU65" s="255"/>
      <c r="BV65" s="255"/>
      <c r="BW65" s="255"/>
      <c r="BX65" s="255"/>
      <c r="BY65" s="255"/>
      <c r="BZ65" s="255"/>
      <c r="CA65" s="255"/>
      <c r="CB65" s="255"/>
      <c r="CC65" s="254"/>
      <c r="CD65" s="254"/>
      <c r="CE65" s="254"/>
      <c r="CF65" s="254"/>
      <c r="CG65" s="254"/>
      <c r="CH65" s="254"/>
      <c r="CI65" s="254"/>
      <c r="CJ65" s="254"/>
      <c r="CK65" s="254"/>
      <c r="CL65" s="254"/>
      <c r="CM65" s="254"/>
      <c r="CN65" s="254"/>
      <c r="CO65" s="254"/>
      <c r="CP65" s="254"/>
      <c r="CQ65" s="254"/>
      <c r="CR65" s="254"/>
      <c r="CS65" s="254"/>
      <c r="CT65" s="254"/>
      <c r="CU65" s="254"/>
      <c r="CV65" s="254"/>
      <c r="CW65" s="254"/>
      <c r="CX65" s="254"/>
      <c r="CY65" s="254"/>
      <c r="CZ65" s="254"/>
      <c r="DA65" s="254"/>
      <c r="DB65" s="254"/>
      <c r="DC65" s="254"/>
      <c r="DD65" s="254"/>
      <c r="DE65" s="254"/>
      <c r="DF65" s="254"/>
      <c r="DG65" s="254"/>
      <c r="DH65" s="254"/>
      <c r="DI65" s="254"/>
    </row>
    <row r="66" spans="1:113" ht="28.5" customHeight="1">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c r="AF66" s="254"/>
      <c r="AG66" s="254"/>
      <c r="AH66" s="254"/>
      <c r="AI66" s="254"/>
      <c r="AJ66" s="254"/>
      <c r="AK66" s="254"/>
      <c r="AL66" s="254"/>
      <c r="AM66" s="254"/>
      <c r="AN66" s="254"/>
      <c r="AO66" s="254"/>
      <c r="AP66" s="254"/>
      <c r="AQ66" s="254"/>
      <c r="AR66" s="254"/>
      <c r="AS66" s="254"/>
      <c r="AT66" s="254"/>
      <c r="AU66" s="254"/>
      <c r="AV66" s="254"/>
      <c r="AW66" s="254"/>
      <c r="AX66" s="254"/>
      <c r="AY66" s="254"/>
      <c r="AZ66" s="254"/>
      <c r="BA66" s="254"/>
      <c r="BB66" s="254"/>
      <c r="BC66" s="254"/>
      <c r="BD66" s="254"/>
      <c r="BE66" s="254"/>
      <c r="BF66" s="254"/>
      <c r="BG66" s="254"/>
      <c r="BH66" s="254"/>
      <c r="BI66" s="254"/>
      <c r="BJ66" s="254"/>
      <c r="BK66" s="254"/>
      <c r="BL66" s="254"/>
      <c r="BM66" s="254"/>
      <c r="BN66" s="254"/>
      <c r="BO66" s="254"/>
      <c r="BP66" s="254"/>
      <c r="BQ66" s="254"/>
      <c r="BR66" s="254"/>
      <c r="BS66" s="254"/>
      <c r="BT66" s="254"/>
      <c r="BU66" s="254"/>
      <c r="BV66" s="254"/>
      <c r="BW66" s="254"/>
      <c r="BX66" s="254"/>
      <c r="BY66" s="254"/>
      <c r="BZ66" s="254"/>
      <c r="CA66" s="254"/>
      <c r="CB66" s="254"/>
      <c r="CC66" s="254"/>
      <c r="CD66" s="254"/>
      <c r="CE66" s="254"/>
      <c r="CF66" s="254"/>
      <c r="CG66" s="254"/>
      <c r="CH66" s="254"/>
      <c r="CI66" s="254"/>
      <c r="CJ66" s="254"/>
      <c r="CK66" s="254"/>
      <c r="CL66" s="254"/>
      <c r="CM66" s="254"/>
      <c r="CN66" s="254"/>
      <c r="CO66" s="254"/>
      <c r="CP66" s="254"/>
      <c r="CQ66" s="254"/>
      <c r="CR66" s="254"/>
      <c r="CS66" s="254"/>
      <c r="CT66" s="254"/>
      <c r="CU66" s="254"/>
      <c r="CV66" s="254"/>
      <c r="CW66" s="254"/>
      <c r="CX66" s="254"/>
      <c r="CY66" s="254"/>
      <c r="CZ66" s="254"/>
      <c r="DA66" s="254"/>
      <c r="DB66" s="254"/>
      <c r="DC66" s="254"/>
      <c r="DD66" s="254"/>
      <c r="DE66" s="254"/>
      <c r="DF66" s="254"/>
      <c r="DG66" s="254"/>
      <c r="DH66" s="254"/>
      <c r="DI66" s="254"/>
    </row>
    <row r="67" spans="1:113">
      <c r="A67" s="910"/>
      <c r="B67" s="910"/>
      <c r="C67" s="910"/>
      <c r="D67" s="910"/>
      <c r="E67" s="910"/>
      <c r="F67" s="910"/>
      <c r="G67" s="910"/>
      <c r="H67" s="910"/>
      <c r="I67" s="910"/>
      <c r="J67" s="910"/>
      <c r="K67" s="910"/>
      <c r="L67" s="910"/>
      <c r="M67" s="910"/>
      <c r="N67" s="1776" t="s">
        <v>1619</v>
      </c>
      <c r="O67" s="1776"/>
      <c r="P67" s="1776"/>
      <c r="Q67" s="1776"/>
      <c r="R67" s="1776"/>
      <c r="S67" s="1776"/>
      <c r="T67" s="1776"/>
      <c r="U67" s="1776"/>
      <c r="V67" s="1776"/>
      <c r="W67" s="1776"/>
      <c r="X67" s="1776"/>
      <c r="Y67" s="1776"/>
      <c r="Z67" s="1776"/>
      <c r="AA67" s="1776"/>
      <c r="AB67" s="1776"/>
      <c r="AC67" s="1776"/>
      <c r="AD67" s="1776"/>
      <c r="AE67" s="1776"/>
      <c r="AF67" s="1776"/>
      <c r="AG67" s="1776"/>
      <c r="AH67" s="1776"/>
      <c r="AI67" s="1776"/>
      <c r="AJ67" s="1776"/>
      <c r="AK67" s="1776"/>
      <c r="AL67" s="1776"/>
      <c r="AM67" s="1776"/>
      <c r="AN67" s="1776"/>
      <c r="AO67" s="1776"/>
      <c r="AP67" s="1776"/>
      <c r="AQ67" s="1776"/>
      <c r="AR67" s="1776"/>
      <c r="AS67" s="1776"/>
      <c r="AT67" s="1776"/>
      <c r="AU67" s="1776"/>
      <c r="AV67" s="1776"/>
      <c r="AW67" s="1776"/>
      <c r="AX67" s="1776"/>
      <c r="AY67" s="1776"/>
      <c r="AZ67" s="1776"/>
      <c r="BA67" s="1776"/>
      <c r="BB67" s="1776"/>
      <c r="BC67" s="1776"/>
      <c r="BD67" s="1776"/>
      <c r="BE67" s="1776"/>
      <c r="BF67" s="1776"/>
      <c r="BG67" s="1776"/>
      <c r="BH67" s="1776"/>
      <c r="BI67" s="1776"/>
      <c r="BJ67" s="1776"/>
      <c r="BK67" s="1776"/>
      <c r="BL67" s="1776"/>
      <c r="BM67" s="1776"/>
      <c r="BN67" s="1776"/>
      <c r="BO67" s="1776"/>
      <c r="BP67" s="1776"/>
      <c r="BQ67" s="1776"/>
      <c r="BR67" s="1776"/>
      <c r="BS67" s="1776"/>
      <c r="BT67" s="1776"/>
      <c r="BU67" s="1776"/>
      <c r="BV67" s="1776"/>
      <c r="BW67" s="1776"/>
      <c r="BX67" s="1776"/>
      <c r="BY67" s="1776"/>
      <c r="BZ67" s="1776"/>
      <c r="CA67" s="1776"/>
      <c r="CB67" s="1776"/>
      <c r="CC67" s="910"/>
      <c r="CD67" s="910"/>
      <c r="CE67" s="910"/>
      <c r="CF67" s="910"/>
      <c r="CG67" s="910"/>
      <c r="CH67" s="910"/>
      <c r="CI67" s="910"/>
      <c r="CJ67" s="910"/>
      <c r="CK67" s="910"/>
      <c r="CL67" s="910"/>
      <c r="CM67" s="910"/>
      <c r="CN67" s="910"/>
      <c r="CO67" s="910"/>
      <c r="CP67" s="910"/>
      <c r="CQ67" s="910"/>
      <c r="CR67" s="910"/>
      <c r="CS67" s="910"/>
      <c r="CT67" s="910"/>
      <c r="CU67" s="910"/>
      <c r="CV67" s="910"/>
      <c r="CW67" s="910"/>
      <c r="CX67" s="910"/>
      <c r="CY67" s="910"/>
      <c r="CZ67" s="910"/>
      <c r="DA67" s="910"/>
      <c r="DB67" s="910"/>
      <c r="DC67" s="910"/>
      <c r="DD67" s="910"/>
      <c r="DE67" s="910"/>
      <c r="DF67" s="910"/>
      <c r="DG67" s="910"/>
      <c r="DH67" s="910"/>
      <c r="DI67" s="910"/>
    </row>
    <row r="68" spans="1:113">
      <c r="A68" s="910"/>
      <c r="B68" s="910"/>
      <c r="C68" s="910"/>
      <c r="D68" s="910"/>
      <c r="E68" s="910"/>
      <c r="F68" s="910"/>
      <c r="G68" s="910"/>
      <c r="H68" s="910"/>
      <c r="I68" s="910"/>
      <c r="J68" s="910"/>
      <c r="K68" s="910"/>
      <c r="L68" s="910"/>
      <c r="M68" s="910"/>
      <c r="N68" s="1776"/>
      <c r="O68" s="1776"/>
      <c r="P68" s="1776"/>
      <c r="Q68" s="1776"/>
      <c r="R68" s="1776"/>
      <c r="S68" s="1776"/>
      <c r="T68" s="1776"/>
      <c r="U68" s="1776"/>
      <c r="V68" s="1776"/>
      <c r="W68" s="1776"/>
      <c r="X68" s="1776"/>
      <c r="Y68" s="1776"/>
      <c r="Z68" s="1776"/>
      <c r="AA68" s="1776"/>
      <c r="AB68" s="1776"/>
      <c r="AC68" s="1776"/>
      <c r="AD68" s="1776"/>
      <c r="AE68" s="1776"/>
      <c r="AF68" s="1776"/>
      <c r="AG68" s="1776"/>
      <c r="AH68" s="1776"/>
      <c r="AI68" s="1776"/>
      <c r="AJ68" s="1776"/>
      <c r="AK68" s="1776"/>
      <c r="AL68" s="1776"/>
      <c r="AM68" s="1776"/>
      <c r="AN68" s="1776"/>
      <c r="AO68" s="1776"/>
      <c r="AP68" s="1776"/>
      <c r="AQ68" s="1776"/>
      <c r="AR68" s="1776"/>
      <c r="AS68" s="1776"/>
      <c r="AT68" s="1776"/>
      <c r="AU68" s="1776"/>
      <c r="AV68" s="1776"/>
      <c r="AW68" s="1776"/>
      <c r="AX68" s="1776"/>
      <c r="AY68" s="1776"/>
      <c r="AZ68" s="1776"/>
      <c r="BA68" s="1776"/>
      <c r="BB68" s="1776"/>
      <c r="BC68" s="1776"/>
      <c r="BD68" s="1776"/>
      <c r="BE68" s="1776"/>
      <c r="BF68" s="1776"/>
      <c r="BG68" s="1776"/>
      <c r="BH68" s="1776"/>
      <c r="BI68" s="1776"/>
      <c r="BJ68" s="1776"/>
      <c r="BK68" s="1776"/>
      <c r="BL68" s="1776"/>
      <c r="BM68" s="1776"/>
      <c r="BN68" s="1776"/>
      <c r="BO68" s="1776"/>
      <c r="BP68" s="1776"/>
      <c r="BQ68" s="1776"/>
      <c r="BR68" s="1776"/>
      <c r="BS68" s="1776"/>
      <c r="BT68" s="1776"/>
      <c r="BU68" s="1776"/>
      <c r="BV68" s="1776"/>
      <c r="BW68" s="1776"/>
      <c r="BX68" s="1776"/>
      <c r="BY68" s="1776"/>
      <c r="BZ68" s="1776"/>
      <c r="CA68" s="1776"/>
      <c r="CB68" s="1776"/>
      <c r="CC68" s="910"/>
      <c r="CD68" s="910"/>
      <c r="CE68" s="910"/>
      <c r="CF68" s="910"/>
      <c r="CG68" s="910"/>
      <c r="CH68" s="910"/>
      <c r="CI68" s="910"/>
      <c r="CJ68" s="910"/>
      <c r="CK68" s="910"/>
      <c r="CL68" s="910"/>
      <c r="CM68" s="910"/>
      <c r="CN68" s="910"/>
      <c r="CO68" s="910"/>
      <c r="CP68" s="910"/>
      <c r="CQ68" s="910"/>
      <c r="CR68" s="910"/>
      <c r="CS68" s="910"/>
      <c r="CT68" s="910"/>
      <c r="CU68" s="910"/>
      <c r="CV68" s="910"/>
      <c r="CW68" s="910"/>
      <c r="CX68" s="910"/>
      <c r="CY68" s="910"/>
      <c r="CZ68" s="910"/>
      <c r="DA68" s="910"/>
      <c r="DB68" s="910"/>
      <c r="DC68" s="910"/>
      <c r="DD68" s="910"/>
      <c r="DE68" s="910"/>
      <c r="DF68" s="910"/>
      <c r="DG68" s="910"/>
      <c r="DH68" s="910"/>
      <c r="DI68" s="910"/>
    </row>
    <row r="69" spans="1:113">
      <c r="A69" s="910"/>
      <c r="B69" s="910"/>
      <c r="C69" s="910"/>
      <c r="D69" s="910"/>
      <c r="E69" s="910"/>
      <c r="F69" s="910"/>
      <c r="G69" s="910"/>
      <c r="H69" s="910"/>
      <c r="I69" s="910"/>
      <c r="J69" s="910"/>
      <c r="K69" s="910"/>
      <c r="L69" s="910"/>
      <c r="M69" s="910"/>
      <c r="N69" s="910"/>
      <c r="O69" s="910"/>
      <c r="P69" s="910"/>
      <c r="Q69" s="910"/>
      <c r="R69" s="910"/>
      <c r="S69" s="910"/>
      <c r="T69" s="910"/>
      <c r="U69" s="910"/>
      <c r="V69" s="910"/>
      <c r="W69" s="910"/>
      <c r="X69" s="910"/>
      <c r="Y69" s="910"/>
      <c r="Z69" s="910"/>
      <c r="AA69" s="910"/>
      <c r="AB69" s="910"/>
      <c r="AC69" s="910"/>
      <c r="AD69" s="910"/>
      <c r="AE69" s="910"/>
      <c r="AF69" s="910"/>
      <c r="AG69" s="910"/>
      <c r="AH69" s="910"/>
      <c r="AI69" s="910"/>
      <c r="AJ69" s="910"/>
      <c r="AK69" s="910"/>
      <c r="AL69" s="910"/>
      <c r="AM69" s="910"/>
      <c r="AN69" s="910"/>
      <c r="AO69" s="910"/>
      <c r="AP69" s="910"/>
      <c r="AQ69" s="910"/>
      <c r="AR69" s="910"/>
      <c r="AS69" s="910"/>
      <c r="AT69" s="910"/>
      <c r="AU69" s="910"/>
      <c r="AV69" s="910"/>
      <c r="AW69" s="910"/>
      <c r="AX69" s="910"/>
      <c r="AY69" s="910"/>
      <c r="AZ69" s="910"/>
      <c r="BA69" s="910"/>
      <c r="BB69" s="910"/>
      <c r="BC69" s="910"/>
      <c r="BD69" s="910"/>
      <c r="BE69" s="910"/>
      <c r="BF69" s="910"/>
      <c r="BG69" s="910"/>
      <c r="BH69" s="910"/>
      <c r="BI69" s="910"/>
      <c r="BJ69" s="910"/>
      <c r="BK69" s="910"/>
      <c r="BL69" s="910"/>
      <c r="BM69" s="910"/>
      <c r="BN69" s="910"/>
      <c r="BO69" s="910"/>
      <c r="BP69" s="910"/>
      <c r="BQ69" s="910"/>
      <c r="BR69" s="910"/>
      <c r="BS69" s="910"/>
      <c r="BT69" s="910"/>
      <c r="BU69" s="910"/>
      <c r="BV69" s="910"/>
      <c r="BW69" s="910"/>
      <c r="BX69" s="910"/>
      <c r="BY69" s="910"/>
      <c r="BZ69" s="910"/>
      <c r="CA69" s="910"/>
      <c r="CB69" s="910"/>
      <c r="CC69" s="910"/>
      <c r="CD69" s="910"/>
      <c r="CE69" s="910"/>
      <c r="CF69" s="910"/>
      <c r="CG69" s="910"/>
      <c r="CH69" s="910"/>
      <c r="CI69" s="910"/>
      <c r="CJ69" s="910"/>
      <c r="CK69" s="910"/>
      <c r="CL69" s="910"/>
      <c r="CM69" s="910"/>
      <c r="CN69" s="910"/>
      <c r="CO69" s="910"/>
      <c r="CP69" s="910"/>
      <c r="CQ69" s="910"/>
      <c r="CR69" s="910"/>
      <c r="CS69" s="910"/>
      <c r="CT69" s="910"/>
      <c r="CU69" s="910"/>
      <c r="CV69" s="910"/>
      <c r="CW69" s="910"/>
      <c r="CX69" s="910"/>
      <c r="CY69" s="910"/>
      <c r="CZ69" s="910"/>
      <c r="DA69" s="910"/>
      <c r="DB69" s="910"/>
      <c r="DC69" s="910"/>
      <c r="DD69" s="910"/>
      <c r="DE69" s="910"/>
      <c r="DF69" s="910"/>
      <c r="DG69" s="910"/>
      <c r="DH69" s="910"/>
      <c r="DI69" s="910"/>
    </row>
    <row r="70" spans="1:113">
      <c r="A70" s="910"/>
      <c r="B70" s="910"/>
      <c r="C70" s="910"/>
      <c r="D70" s="910"/>
      <c r="E70" s="910"/>
      <c r="F70" s="910"/>
      <c r="G70" s="910"/>
      <c r="H70" s="910"/>
      <c r="I70" s="910"/>
      <c r="J70" s="910"/>
      <c r="K70" s="910"/>
      <c r="L70" s="910"/>
      <c r="M70" s="910"/>
      <c r="N70" s="910"/>
      <c r="O70" s="910"/>
      <c r="P70" s="910"/>
      <c r="Q70" s="910"/>
      <c r="R70" s="910"/>
      <c r="S70" s="910"/>
      <c r="T70" s="910"/>
      <c r="U70" s="910"/>
      <c r="V70" s="910"/>
      <c r="W70" s="910"/>
      <c r="X70" s="910"/>
      <c r="Y70" s="910"/>
      <c r="Z70" s="910"/>
      <c r="AA70" s="910"/>
      <c r="AB70" s="910"/>
      <c r="AC70" s="910"/>
      <c r="AD70" s="910"/>
      <c r="AE70" s="910"/>
      <c r="AF70" s="910"/>
      <c r="AG70" s="910"/>
      <c r="AH70" s="910"/>
      <c r="AI70" s="910"/>
      <c r="AJ70" s="910"/>
      <c r="AK70" s="910"/>
      <c r="AL70" s="910"/>
      <c r="AM70" s="910"/>
      <c r="AN70" s="910"/>
      <c r="AO70" s="910"/>
      <c r="AP70" s="910"/>
      <c r="AQ70" s="910"/>
      <c r="AR70" s="910"/>
      <c r="AS70" s="910"/>
      <c r="AT70" s="910"/>
      <c r="AU70" s="910"/>
      <c r="AV70" s="910"/>
      <c r="AW70" s="910"/>
      <c r="AX70" s="910"/>
      <c r="AY70" s="910"/>
      <c r="AZ70" s="910"/>
      <c r="BA70" s="910"/>
      <c r="BB70" s="910"/>
      <c r="BC70" s="910"/>
      <c r="BD70" s="910"/>
      <c r="BE70" s="910"/>
      <c r="BF70" s="910"/>
      <c r="BG70" s="910"/>
      <c r="BH70" s="910"/>
      <c r="BI70" s="910"/>
      <c r="BJ70" s="910"/>
      <c r="BK70" s="910"/>
      <c r="BL70" s="910"/>
      <c r="BM70" s="910"/>
      <c r="BN70" s="910"/>
      <c r="BO70" s="910"/>
      <c r="BP70" s="910"/>
      <c r="BQ70" s="910"/>
      <c r="BR70" s="910"/>
      <c r="BS70" s="910"/>
      <c r="BT70" s="910"/>
      <c r="BU70" s="910"/>
      <c r="BV70" s="910"/>
      <c r="BW70" s="910"/>
      <c r="BX70" s="910"/>
      <c r="BY70" s="910"/>
      <c r="BZ70" s="910"/>
      <c r="CA70" s="910"/>
      <c r="CB70" s="910"/>
      <c r="CC70" s="910"/>
      <c r="CD70" s="910"/>
      <c r="CE70" s="910"/>
      <c r="CF70" s="910"/>
      <c r="CG70" s="910"/>
      <c r="CH70" s="910"/>
      <c r="CI70" s="910"/>
      <c r="CJ70" s="910"/>
      <c r="CK70" s="910"/>
      <c r="CL70" s="910"/>
      <c r="CM70" s="910"/>
      <c r="CN70" s="910"/>
      <c r="CO70" s="910"/>
      <c r="CP70" s="910"/>
      <c r="CQ70" s="910"/>
      <c r="CR70" s="910"/>
      <c r="CS70" s="910"/>
      <c r="CT70" s="910"/>
      <c r="CU70" s="910"/>
      <c r="CV70" s="910"/>
      <c r="CW70" s="910"/>
      <c r="CX70" s="910"/>
      <c r="CY70" s="910"/>
      <c r="CZ70" s="910"/>
      <c r="DA70" s="910"/>
      <c r="DB70" s="910"/>
      <c r="DC70" s="910"/>
      <c r="DD70" s="910"/>
      <c r="DE70" s="910"/>
      <c r="DF70" s="910"/>
      <c r="DG70" s="910"/>
      <c r="DH70" s="910"/>
      <c r="DI70" s="910"/>
    </row>
    <row r="71" spans="1:113">
      <c r="A71" s="910"/>
      <c r="B71" s="910"/>
      <c r="C71" s="910"/>
      <c r="D71" s="910"/>
      <c r="E71" s="910"/>
      <c r="F71" s="910"/>
      <c r="G71" s="910"/>
      <c r="H71" s="910"/>
      <c r="I71" s="910"/>
      <c r="J71" s="910"/>
      <c r="K71" s="910"/>
      <c r="L71" s="910"/>
      <c r="M71" s="910"/>
      <c r="N71" s="910"/>
      <c r="O71" s="910"/>
      <c r="P71" s="910"/>
      <c r="Q71" s="910"/>
      <c r="R71" s="910"/>
      <c r="S71" s="910"/>
      <c r="T71" s="910"/>
      <c r="U71" s="910"/>
      <c r="V71" s="910"/>
      <c r="W71" s="910"/>
      <c r="X71" s="910"/>
      <c r="Y71" s="910"/>
      <c r="Z71" s="910"/>
      <c r="AA71" s="910"/>
      <c r="AB71" s="910"/>
      <c r="AC71" s="910"/>
      <c r="AD71" s="910"/>
      <c r="AE71" s="910"/>
      <c r="AF71" s="910"/>
      <c r="AG71" s="910"/>
      <c r="AH71" s="910"/>
      <c r="AI71" s="910"/>
      <c r="AJ71" s="910"/>
      <c r="AK71" s="910"/>
      <c r="AL71" s="910"/>
      <c r="AM71" s="910"/>
      <c r="AN71" s="910"/>
      <c r="AO71" s="910"/>
      <c r="AP71" s="910"/>
      <c r="AQ71" s="910"/>
      <c r="AR71" s="910"/>
      <c r="AS71" s="910"/>
      <c r="AT71" s="910"/>
      <c r="AU71" s="910"/>
      <c r="AV71" s="910"/>
      <c r="AW71" s="910"/>
      <c r="AX71" s="910"/>
      <c r="AY71" s="910"/>
      <c r="AZ71" s="910"/>
      <c r="BA71" s="910"/>
      <c r="BB71" s="910"/>
      <c r="BC71" s="910"/>
      <c r="BD71" s="910"/>
      <c r="BE71" s="910"/>
      <c r="BF71" s="910"/>
      <c r="BG71" s="910"/>
      <c r="BH71" s="910"/>
      <c r="BI71" s="910"/>
      <c r="BJ71" s="910"/>
      <c r="BK71" s="910"/>
      <c r="BL71" s="910"/>
      <c r="BM71" s="910"/>
      <c r="BN71" s="910"/>
      <c r="BO71" s="910"/>
      <c r="BP71" s="910"/>
      <c r="BQ71" s="910"/>
      <c r="BR71" s="910"/>
      <c r="BS71" s="910"/>
      <c r="BT71" s="910"/>
      <c r="BU71" s="910"/>
      <c r="BV71" s="910"/>
      <c r="BW71" s="910"/>
      <c r="BX71" s="910"/>
      <c r="BY71" s="910"/>
      <c r="BZ71" s="910"/>
      <c r="CA71" s="910"/>
      <c r="CB71" s="910"/>
      <c r="CC71" s="910"/>
      <c r="CD71" s="910"/>
      <c r="CE71" s="910"/>
      <c r="CF71" s="910"/>
      <c r="CG71" s="910"/>
      <c r="CH71" s="910"/>
      <c r="CI71" s="910"/>
      <c r="CJ71" s="910"/>
      <c r="CK71" s="910"/>
      <c r="CL71" s="910"/>
      <c r="CM71" s="910"/>
      <c r="CN71" s="910"/>
      <c r="CO71" s="910"/>
      <c r="CP71" s="910"/>
      <c r="CQ71" s="910"/>
      <c r="CR71" s="910"/>
      <c r="CS71" s="910"/>
      <c r="CT71" s="910"/>
      <c r="CU71" s="910"/>
      <c r="CV71" s="910"/>
      <c r="CW71" s="910"/>
      <c r="CX71" s="910"/>
      <c r="CY71" s="910"/>
      <c r="CZ71" s="910"/>
      <c r="DA71" s="910"/>
      <c r="DB71" s="910"/>
      <c r="DC71" s="910"/>
      <c r="DD71" s="910"/>
      <c r="DE71" s="910"/>
      <c r="DF71" s="910"/>
      <c r="DG71" s="910"/>
      <c r="DH71" s="910"/>
      <c r="DI71" s="910"/>
    </row>
    <row r="72" spans="1:113">
      <c r="A72" s="910"/>
      <c r="B72" s="910"/>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M72" s="910"/>
      <c r="CN72" s="910"/>
      <c r="CO72" s="910"/>
      <c r="CP72" s="910"/>
      <c r="CQ72" s="910"/>
      <c r="CR72" s="910"/>
      <c r="CS72" s="910"/>
      <c r="CT72" s="910"/>
      <c r="CU72" s="910"/>
      <c r="CV72" s="910"/>
      <c r="CW72" s="910"/>
      <c r="CX72" s="910"/>
      <c r="CY72" s="910"/>
      <c r="CZ72" s="910"/>
      <c r="DA72" s="910"/>
      <c r="DB72" s="910"/>
      <c r="DC72" s="910"/>
      <c r="DD72" s="910"/>
      <c r="DE72" s="910"/>
      <c r="DF72" s="910"/>
      <c r="DG72" s="910"/>
      <c r="DH72" s="910"/>
      <c r="DI72" s="910"/>
    </row>
    <row r="73" spans="1:113">
      <c r="A73" s="910"/>
      <c r="B73" s="910"/>
      <c r="C73" s="910"/>
      <c r="D73" s="910"/>
      <c r="E73" s="910"/>
      <c r="F73" s="910"/>
      <c r="G73" s="910"/>
      <c r="H73" s="910"/>
      <c r="I73" s="910"/>
      <c r="J73" s="910"/>
      <c r="K73" s="910"/>
      <c r="L73" s="910"/>
      <c r="M73" s="910"/>
      <c r="N73" s="910"/>
      <c r="O73" s="910"/>
      <c r="P73" s="910"/>
      <c r="Q73" s="910"/>
      <c r="R73" s="910"/>
      <c r="S73" s="910"/>
      <c r="T73" s="910"/>
      <c r="U73" s="910"/>
      <c r="V73" s="910"/>
      <c r="W73" s="910"/>
      <c r="X73" s="910"/>
      <c r="Y73" s="910"/>
      <c r="Z73" s="910"/>
      <c r="AA73" s="910"/>
      <c r="AB73" s="910"/>
      <c r="AC73" s="910"/>
      <c r="AD73" s="910"/>
      <c r="AE73" s="910"/>
      <c r="AF73" s="910"/>
      <c r="AG73" s="910"/>
      <c r="AH73" s="910"/>
      <c r="AI73" s="910"/>
      <c r="AJ73" s="910"/>
      <c r="AK73" s="910"/>
      <c r="AL73" s="910"/>
      <c r="AM73" s="910"/>
      <c r="AN73" s="910"/>
      <c r="AO73" s="910"/>
      <c r="AP73" s="910"/>
      <c r="AQ73" s="910"/>
      <c r="AR73" s="910"/>
      <c r="AS73" s="910"/>
      <c r="AT73" s="910"/>
      <c r="AU73" s="910"/>
      <c r="AV73" s="910"/>
      <c r="AW73" s="910"/>
      <c r="AX73" s="910"/>
      <c r="AY73" s="910"/>
      <c r="AZ73" s="910"/>
      <c r="BA73" s="910"/>
      <c r="BB73" s="910"/>
      <c r="BC73" s="910"/>
      <c r="BD73" s="910"/>
      <c r="BE73" s="910"/>
      <c r="BF73" s="910"/>
      <c r="BG73" s="910"/>
      <c r="BH73" s="910"/>
      <c r="BI73" s="910"/>
      <c r="BJ73" s="910"/>
      <c r="BK73" s="910"/>
      <c r="BL73" s="910"/>
      <c r="BM73" s="910"/>
      <c r="BN73" s="910"/>
      <c r="BO73" s="910"/>
      <c r="BP73" s="910"/>
      <c r="BQ73" s="910"/>
      <c r="BR73" s="910"/>
      <c r="BS73" s="910"/>
      <c r="BT73" s="910"/>
      <c r="BU73" s="910"/>
      <c r="BV73" s="910"/>
      <c r="BW73" s="910"/>
      <c r="BX73" s="910"/>
      <c r="BY73" s="910"/>
      <c r="BZ73" s="910"/>
      <c r="CA73" s="910"/>
      <c r="CB73" s="910"/>
      <c r="CC73" s="910"/>
      <c r="CD73" s="910"/>
      <c r="CE73" s="910"/>
      <c r="CF73" s="910"/>
      <c r="CG73" s="910"/>
      <c r="CH73" s="910"/>
      <c r="CI73" s="910"/>
      <c r="CJ73" s="910"/>
      <c r="CK73" s="910"/>
      <c r="CL73" s="910"/>
      <c r="CM73" s="910"/>
      <c r="CN73" s="910"/>
      <c r="CO73" s="910"/>
      <c r="CP73" s="910"/>
      <c r="CQ73" s="910"/>
      <c r="CR73" s="910"/>
      <c r="CS73" s="910"/>
      <c r="CT73" s="910"/>
      <c r="CU73" s="910"/>
      <c r="CV73" s="910"/>
      <c r="CW73" s="910"/>
      <c r="CX73" s="910"/>
      <c r="CY73" s="910"/>
      <c r="CZ73" s="910"/>
      <c r="DA73" s="910"/>
      <c r="DB73" s="910"/>
      <c r="DC73" s="910"/>
      <c r="DD73" s="910"/>
      <c r="DE73" s="910"/>
      <c r="DF73" s="910"/>
      <c r="DG73" s="910"/>
      <c r="DH73" s="910"/>
      <c r="DI73" s="910"/>
    </row>
    <row r="74" spans="1:113">
      <c r="A74" s="910"/>
      <c r="B74" s="910"/>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M74" s="910"/>
      <c r="CN74" s="910"/>
      <c r="CO74" s="910"/>
      <c r="CP74" s="910"/>
      <c r="CQ74" s="910"/>
      <c r="CR74" s="910"/>
      <c r="CS74" s="910"/>
      <c r="CT74" s="910"/>
      <c r="CU74" s="910"/>
      <c r="CV74" s="910"/>
      <c r="CW74" s="910"/>
      <c r="CX74" s="910"/>
      <c r="CY74" s="910"/>
      <c r="CZ74" s="910"/>
      <c r="DA74" s="910"/>
      <c r="DB74" s="910"/>
      <c r="DC74" s="910"/>
      <c r="DD74" s="910"/>
      <c r="DE74" s="910"/>
      <c r="DF74" s="910"/>
      <c r="DG74" s="910"/>
      <c r="DH74" s="910"/>
      <c r="DI74" s="910"/>
    </row>
    <row r="75" spans="1:113">
      <c r="A75" s="910"/>
      <c r="B75" s="910"/>
      <c r="C75" s="910"/>
      <c r="D75" s="910"/>
      <c r="E75" s="910"/>
      <c r="F75" s="910"/>
      <c r="G75" s="910"/>
      <c r="H75" s="910"/>
      <c r="I75" s="910"/>
      <c r="J75" s="910"/>
      <c r="K75" s="910"/>
      <c r="L75" s="910"/>
      <c r="M75" s="910"/>
      <c r="N75" s="910"/>
      <c r="O75" s="910"/>
      <c r="P75" s="910"/>
      <c r="Q75" s="910"/>
      <c r="R75" s="910"/>
      <c r="S75" s="910"/>
      <c r="T75" s="910"/>
      <c r="U75" s="910"/>
      <c r="V75" s="910"/>
      <c r="W75" s="910"/>
      <c r="X75" s="910"/>
      <c r="Y75" s="910"/>
      <c r="Z75" s="910"/>
      <c r="AA75" s="910"/>
      <c r="AB75" s="910"/>
      <c r="AC75" s="910"/>
      <c r="AD75" s="910"/>
      <c r="AE75" s="910"/>
      <c r="AF75" s="910"/>
      <c r="AG75" s="910"/>
      <c r="AH75" s="910"/>
      <c r="AI75" s="910"/>
      <c r="AJ75" s="910"/>
      <c r="AK75" s="910"/>
      <c r="AL75" s="910"/>
      <c r="AM75" s="910"/>
      <c r="AN75" s="910"/>
      <c r="AO75" s="910"/>
      <c r="AP75" s="910"/>
      <c r="AQ75" s="910"/>
      <c r="AR75" s="910"/>
      <c r="AS75" s="910"/>
      <c r="AT75" s="910"/>
      <c r="AU75" s="910"/>
      <c r="AV75" s="910"/>
      <c r="AW75" s="910"/>
      <c r="AX75" s="910"/>
      <c r="AY75" s="910"/>
      <c r="AZ75" s="910"/>
      <c r="BA75" s="910"/>
      <c r="BB75" s="910"/>
      <c r="BC75" s="910"/>
      <c r="BD75" s="910"/>
      <c r="BE75" s="910"/>
      <c r="BF75" s="910"/>
      <c r="BG75" s="910"/>
      <c r="BH75" s="910"/>
      <c r="BI75" s="910"/>
      <c r="BJ75" s="910"/>
      <c r="BK75" s="910"/>
      <c r="BL75" s="910"/>
      <c r="BM75" s="910"/>
      <c r="BN75" s="910"/>
      <c r="BO75" s="910"/>
      <c r="BP75" s="910"/>
      <c r="BQ75" s="910"/>
      <c r="BR75" s="910"/>
      <c r="BS75" s="910"/>
      <c r="BT75" s="910"/>
      <c r="BU75" s="910"/>
      <c r="BV75" s="910"/>
      <c r="BW75" s="910"/>
      <c r="BX75" s="910"/>
      <c r="BY75" s="910"/>
      <c r="BZ75" s="910"/>
      <c r="CA75" s="910"/>
      <c r="CB75" s="910"/>
      <c r="CC75" s="910"/>
      <c r="CD75" s="910"/>
      <c r="CE75" s="910"/>
      <c r="CF75" s="910"/>
      <c r="CG75" s="910"/>
      <c r="CH75" s="910"/>
      <c r="CI75" s="910"/>
      <c r="CJ75" s="910"/>
      <c r="CK75" s="910"/>
      <c r="CL75" s="910"/>
      <c r="CM75" s="910"/>
      <c r="CN75" s="910"/>
      <c r="CO75" s="910"/>
      <c r="CP75" s="910"/>
      <c r="CQ75" s="910"/>
      <c r="CR75" s="910"/>
      <c r="CS75" s="910"/>
      <c r="CT75" s="910"/>
      <c r="CU75" s="910"/>
      <c r="CV75" s="910"/>
      <c r="CW75" s="910"/>
      <c r="CX75" s="910"/>
      <c r="CY75" s="910"/>
      <c r="CZ75" s="910"/>
      <c r="DA75" s="910"/>
      <c r="DB75" s="910"/>
      <c r="DC75" s="910"/>
      <c r="DD75" s="910"/>
      <c r="DE75" s="910"/>
      <c r="DF75" s="910"/>
      <c r="DG75" s="910"/>
      <c r="DH75" s="910"/>
      <c r="DI75" s="910"/>
    </row>
    <row r="76" spans="1:113">
      <c r="A76" s="910"/>
      <c r="B76" s="910"/>
      <c r="C76" s="910"/>
      <c r="D76" s="910"/>
      <c r="E76" s="910"/>
      <c r="F76" s="910"/>
      <c r="G76" s="910"/>
      <c r="H76" s="910"/>
      <c r="I76" s="910"/>
      <c r="J76" s="910"/>
      <c r="K76" s="910"/>
      <c r="L76" s="910"/>
      <c r="M76" s="910"/>
      <c r="N76" s="910"/>
      <c r="O76" s="910"/>
      <c r="P76" s="910"/>
      <c r="Q76" s="910"/>
      <c r="R76" s="910"/>
      <c r="S76" s="910"/>
      <c r="T76" s="910"/>
      <c r="U76" s="910"/>
      <c r="V76" s="910"/>
      <c r="W76" s="910"/>
      <c r="X76" s="910"/>
      <c r="Y76" s="910"/>
      <c r="Z76" s="910"/>
      <c r="AA76" s="910"/>
      <c r="AB76" s="910"/>
      <c r="AC76" s="910"/>
      <c r="AD76" s="910"/>
      <c r="AE76" s="910"/>
      <c r="AF76" s="910"/>
      <c r="AG76" s="910"/>
      <c r="AH76" s="910"/>
      <c r="AI76" s="910"/>
      <c r="AJ76" s="910"/>
      <c r="AK76" s="910"/>
      <c r="AL76" s="910"/>
      <c r="AM76" s="910"/>
      <c r="AN76" s="910"/>
      <c r="AO76" s="910"/>
      <c r="AP76" s="910"/>
      <c r="AQ76" s="910"/>
      <c r="AR76" s="910"/>
      <c r="AS76" s="910"/>
      <c r="AT76" s="910"/>
      <c r="AU76" s="910"/>
      <c r="AV76" s="910"/>
      <c r="AW76" s="910"/>
      <c r="AX76" s="910"/>
      <c r="AY76" s="910"/>
      <c r="AZ76" s="910"/>
      <c r="BA76" s="910"/>
      <c r="BB76" s="910"/>
      <c r="BC76" s="910"/>
      <c r="BD76" s="910"/>
      <c r="BE76" s="910"/>
      <c r="BF76" s="910"/>
      <c r="BG76" s="910"/>
      <c r="BH76" s="910"/>
      <c r="BI76" s="910"/>
      <c r="BJ76" s="910"/>
      <c r="BK76" s="910"/>
      <c r="BL76" s="910"/>
      <c r="BM76" s="910"/>
      <c r="BN76" s="910"/>
      <c r="BO76" s="910"/>
      <c r="BP76" s="910"/>
      <c r="BQ76" s="910"/>
      <c r="BR76" s="910"/>
      <c r="BS76" s="910"/>
      <c r="BT76" s="910"/>
      <c r="BU76" s="910"/>
      <c r="BV76" s="910"/>
      <c r="BW76" s="910"/>
      <c r="BX76" s="910"/>
      <c r="BY76" s="910"/>
      <c r="BZ76" s="910"/>
      <c r="CA76" s="910"/>
      <c r="CB76" s="910"/>
      <c r="CC76" s="910"/>
      <c r="CD76" s="910"/>
      <c r="CE76" s="910"/>
      <c r="CF76" s="910"/>
      <c r="CG76" s="910"/>
      <c r="CH76" s="910"/>
      <c r="CI76" s="910"/>
      <c r="CJ76" s="910"/>
      <c r="CK76" s="910"/>
      <c r="CL76" s="910"/>
      <c r="CM76" s="910"/>
      <c r="CN76" s="910"/>
      <c r="CO76" s="910"/>
      <c r="CP76" s="910"/>
      <c r="CQ76" s="910"/>
      <c r="CR76" s="910"/>
      <c r="CS76" s="910"/>
      <c r="CT76" s="910"/>
      <c r="CU76" s="910"/>
      <c r="CV76" s="910"/>
      <c r="CW76" s="910"/>
      <c r="CX76" s="910"/>
      <c r="CY76" s="910"/>
      <c r="CZ76" s="910"/>
      <c r="DA76" s="910"/>
      <c r="DB76" s="910"/>
      <c r="DC76" s="910"/>
      <c r="DD76" s="910"/>
      <c r="DE76" s="910"/>
      <c r="DF76" s="910"/>
      <c r="DG76" s="910"/>
      <c r="DH76" s="910"/>
      <c r="DI76" s="910"/>
    </row>
    <row r="77" spans="1:113">
      <c r="A77" s="910"/>
      <c r="B77" s="910"/>
      <c r="C77" s="910"/>
      <c r="D77" s="910"/>
      <c r="E77" s="910"/>
      <c r="F77" s="910"/>
      <c r="G77" s="910"/>
      <c r="H77" s="910"/>
      <c r="I77" s="910"/>
      <c r="J77" s="910"/>
      <c r="K77" s="910"/>
      <c r="L77" s="910"/>
      <c r="M77" s="910"/>
      <c r="N77" s="910"/>
      <c r="O77" s="910"/>
      <c r="P77" s="910"/>
      <c r="Q77" s="910"/>
      <c r="R77" s="910"/>
      <c r="S77" s="910"/>
      <c r="T77" s="910"/>
      <c r="U77" s="910"/>
      <c r="V77" s="910"/>
      <c r="W77" s="910"/>
      <c r="X77" s="910"/>
      <c r="Y77" s="910"/>
      <c r="Z77" s="910"/>
      <c r="AA77" s="910"/>
      <c r="AB77" s="910"/>
      <c r="AC77" s="910"/>
      <c r="AD77" s="910"/>
      <c r="AE77" s="910"/>
      <c r="AF77" s="910"/>
      <c r="AG77" s="910"/>
      <c r="AH77" s="910"/>
      <c r="AI77" s="910"/>
      <c r="AJ77" s="910"/>
      <c r="AK77" s="910"/>
      <c r="AL77" s="910"/>
      <c r="AM77" s="910"/>
      <c r="AN77" s="910"/>
      <c r="AO77" s="910"/>
      <c r="AP77" s="910"/>
      <c r="AQ77" s="910"/>
      <c r="AR77" s="910"/>
      <c r="AS77" s="910"/>
      <c r="AT77" s="910"/>
      <c r="AU77" s="910"/>
      <c r="AV77" s="910"/>
      <c r="AW77" s="910"/>
      <c r="AX77" s="910"/>
      <c r="AY77" s="910"/>
      <c r="AZ77" s="910"/>
      <c r="BA77" s="910"/>
      <c r="BB77" s="910"/>
      <c r="BC77" s="910"/>
      <c r="BD77" s="910"/>
      <c r="BE77" s="910"/>
      <c r="BF77" s="910"/>
      <c r="BG77" s="910"/>
      <c r="BH77" s="910"/>
      <c r="BI77" s="910"/>
      <c r="BJ77" s="910"/>
      <c r="BK77" s="910"/>
      <c r="BL77" s="910"/>
      <c r="BM77" s="910"/>
      <c r="BN77" s="910"/>
      <c r="BO77" s="910"/>
      <c r="BP77" s="910"/>
      <c r="BQ77" s="910"/>
      <c r="BR77" s="910"/>
      <c r="BS77" s="910"/>
      <c r="BT77" s="910"/>
      <c r="BU77" s="910"/>
      <c r="BV77" s="910"/>
      <c r="BW77" s="910"/>
      <c r="BX77" s="910"/>
      <c r="BY77" s="910"/>
      <c r="BZ77" s="910"/>
      <c r="CA77" s="910"/>
      <c r="CB77" s="910"/>
      <c r="CC77" s="910"/>
      <c r="CD77" s="910"/>
      <c r="CE77" s="910"/>
      <c r="CF77" s="910"/>
      <c r="CG77" s="910"/>
      <c r="CH77" s="910"/>
      <c r="CI77" s="910"/>
      <c r="CJ77" s="910"/>
      <c r="CK77" s="910"/>
      <c r="CL77" s="910"/>
      <c r="CM77" s="910"/>
      <c r="CN77" s="910"/>
      <c r="CO77" s="910"/>
      <c r="CP77" s="910"/>
      <c r="CQ77" s="910"/>
      <c r="CR77" s="910"/>
      <c r="CS77" s="910"/>
      <c r="CT77" s="910"/>
      <c r="CU77" s="910"/>
      <c r="CV77" s="910"/>
      <c r="CW77" s="910"/>
      <c r="CX77" s="910"/>
      <c r="CY77" s="910"/>
      <c r="CZ77" s="910"/>
      <c r="DA77" s="910"/>
      <c r="DB77" s="910"/>
      <c r="DC77" s="910"/>
      <c r="DD77" s="910"/>
      <c r="DE77" s="910"/>
      <c r="DF77" s="910"/>
      <c r="DG77" s="910"/>
      <c r="DH77" s="910"/>
      <c r="DI77" s="910"/>
    </row>
    <row r="78" spans="1:113">
      <c r="A78" s="910"/>
      <c r="B78" s="910"/>
      <c r="C78" s="910"/>
      <c r="D78" s="910"/>
      <c r="E78" s="910"/>
      <c r="F78" s="910"/>
      <c r="G78" s="910"/>
      <c r="H78" s="910"/>
      <c r="I78" s="910"/>
      <c r="J78" s="910"/>
      <c r="K78" s="910"/>
      <c r="L78" s="910"/>
      <c r="M78" s="910"/>
      <c r="N78" s="910"/>
      <c r="O78" s="910"/>
      <c r="P78" s="910"/>
      <c r="Q78" s="910"/>
      <c r="R78" s="910"/>
      <c r="S78" s="910"/>
      <c r="T78" s="910"/>
      <c r="U78" s="910"/>
      <c r="V78" s="910"/>
      <c r="W78" s="910"/>
      <c r="X78" s="910"/>
      <c r="Y78" s="910"/>
      <c r="Z78" s="910"/>
      <c r="AA78" s="910"/>
      <c r="AB78" s="910"/>
      <c r="AC78" s="910"/>
      <c r="AD78" s="910"/>
      <c r="AE78" s="910"/>
      <c r="AF78" s="910"/>
      <c r="AG78" s="910"/>
      <c r="AH78" s="910"/>
      <c r="AI78" s="910"/>
      <c r="AJ78" s="910"/>
      <c r="AK78" s="910"/>
      <c r="AL78" s="910"/>
      <c r="AM78" s="910"/>
      <c r="AN78" s="910"/>
      <c r="AO78" s="910"/>
      <c r="AP78" s="910"/>
      <c r="AQ78" s="910"/>
      <c r="AR78" s="910"/>
      <c r="AS78" s="910"/>
      <c r="AT78" s="910"/>
      <c r="AU78" s="910"/>
      <c r="AV78" s="910"/>
      <c r="AW78" s="910"/>
      <c r="AX78" s="910"/>
      <c r="AY78" s="910"/>
      <c r="AZ78" s="910"/>
      <c r="BA78" s="910"/>
      <c r="BB78" s="910"/>
      <c r="BC78" s="910"/>
      <c r="BD78" s="910"/>
      <c r="BE78" s="910"/>
      <c r="BF78" s="910"/>
      <c r="BG78" s="910"/>
      <c r="BH78" s="910"/>
      <c r="BI78" s="910"/>
      <c r="BJ78" s="910"/>
      <c r="BK78" s="910"/>
      <c r="BL78" s="910"/>
      <c r="BM78" s="910"/>
      <c r="BN78" s="910"/>
      <c r="BO78" s="910"/>
      <c r="BP78" s="910"/>
      <c r="BQ78" s="910"/>
      <c r="BR78" s="910"/>
      <c r="BS78" s="910"/>
      <c r="BT78" s="910"/>
      <c r="BU78" s="910"/>
      <c r="BV78" s="910"/>
      <c r="BW78" s="910"/>
      <c r="BX78" s="910"/>
      <c r="BY78" s="910"/>
      <c r="BZ78" s="910"/>
      <c r="CA78" s="910"/>
      <c r="CB78" s="910"/>
      <c r="CC78" s="910"/>
      <c r="CD78" s="910"/>
      <c r="CE78" s="910"/>
      <c r="CF78" s="910"/>
      <c r="CG78" s="910"/>
      <c r="CH78" s="910"/>
      <c r="CI78" s="910"/>
      <c r="CJ78" s="910"/>
      <c r="CK78" s="910"/>
      <c r="CL78" s="910"/>
      <c r="CM78" s="910"/>
      <c r="CN78" s="910"/>
      <c r="CO78" s="910"/>
      <c r="CP78" s="910"/>
      <c r="CQ78" s="910"/>
      <c r="CR78" s="910"/>
      <c r="CS78" s="910"/>
      <c r="CT78" s="910"/>
      <c r="CU78" s="910"/>
      <c r="CV78" s="910"/>
      <c r="CW78" s="910"/>
      <c r="CX78" s="910"/>
      <c r="CY78" s="910"/>
      <c r="CZ78" s="910"/>
      <c r="DA78" s="910"/>
      <c r="DB78" s="910"/>
      <c r="DC78" s="910"/>
      <c r="DD78" s="910"/>
      <c r="DE78" s="910"/>
      <c r="DF78" s="910"/>
      <c r="DG78" s="910"/>
      <c r="DH78" s="910"/>
      <c r="DI78" s="910"/>
    </row>
    <row r="79" spans="1:113">
      <c r="A79" s="910"/>
      <c r="B79" s="910"/>
      <c r="C79" s="910"/>
      <c r="D79" s="910"/>
      <c r="E79" s="910"/>
      <c r="F79" s="910"/>
      <c r="G79" s="910"/>
      <c r="H79" s="910"/>
      <c r="I79" s="910"/>
      <c r="J79" s="910"/>
      <c r="K79" s="910"/>
      <c r="L79" s="910"/>
      <c r="M79" s="910"/>
      <c r="N79" s="910"/>
      <c r="O79" s="910"/>
      <c r="P79" s="910"/>
      <c r="Q79" s="910"/>
      <c r="R79" s="910"/>
      <c r="S79" s="910"/>
      <c r="T79" s="910"/>
      <c r="U79" s="910"/>
      <c r="V79" s="910"/>
      <c r="W79" s="910"/>
      <c r="X79" s="910"/>
      <c r="Y79" s="910"/>
      <c r="Z79" s="910"/>
      <c r="AA79" s="910"/>
      <c r="AB79" s="910"/>
      <c r="AC79" s="910"/>
      <c r="AD79" s="910"/>
      <c r="AE79" s="910"/>
      <c r="AF79" s="910"/>
      <c r="AG79" s="910"/>
      <c r="AH79" s="910"/>
      <c r="AI79" s="910"/>
      <c r="AJ79" s="910"/>
      <c r="AK79" s="910"/>
      <c r="AL79" s="910"/>
      <c r="AM79" s="910"/>
      <c r="AN79" s="910"/>
      <c r="AO79" s="910"/>
      <c r="AP79" s="910"/>
      <c r="AQ79" s="910"/>
      <c r="AR79" s="910"/>
      <c r="AS79" s="910"/>
      <c r="AT79" s="910"/>
      <c r="AU79" s="910"/>
      <c r="AV79" s="910"/>
      <c r="AW79" s="910"/>
      <c r="AX79" s="910"/>
      <c r="AY79" s="910"/>
      <c r="AZ79" s="910"/>
      <c r="BA79" s="910"/>
      <c r="BB79" s="910"/>
      <c r="BC79" s="910"/>
      <c r="BD79" s="910"/>
      <c r="BE79" s="910"/>
      <c r="BF79" s="910"/>
      <c r="BG79" s="910"/>
      <c r="BH79" s="910"/>
      <c r="BI79" s="910"/>
      <c r="BJ79" s="910"/>
      <c r="BK79" s="910"/>
      <c r="BL79" s="910"/>
      <c r="BM79" s="910"/>
      <c r="BN79" s="910"/>
      <c r="BO79" s="910"/>
      <c r="BP79" s="910"/>
      <c r="BQ79" s="910"/>
      <c r="BR79" s="910"/>
      <c r="BS79" s="910"/>
      <c r="BT79" s="910"/>
      <c r="BU79" s="910"/>
      <c r="BV79" s="910"/>
      <c r="BW79" s="910"/>
      <c r="BX79" s="910"/>
      <c r="BY79" s="910"/>
      <c r="BZ79" s="910"/>
      <c r="CA79" s="910"/>
      <c r="CB79" s="910"/>
      <c r="CC79" s="910"/>
      <c r="CD79" s="910"/>
      <c r="CE79" s="910"/>
      <c r="CF79" s="910"/>
      <c r="CG79" s="910"/>
      <c r="CH79" s="910"/>
      <c r="CI79" s="910"/>
      <c r="CJ79" s="910"/>
      <c r="CK79" s="910"/>
      <c r="CL79" s="910"/>
      <c r="CM79" s="910"/>
      <c r="CN79" s="910"/>
      <c r="CO79" s="910"/>
      <c r="CP79" s="910"/>
      <c r="CQ79" s="910"/>
      <c r="CR79" s="910"/>
      <c r="CS79" s="910"/>
      <c r="CT79" s="910"/>
      <c r="CU79" s="910"/>
      <c r="CV79" s="910"/>
      <c r="CW79" s="910"/>
      <c r="CX79" s="910"/>
      <c r="CY79" s="910"/>
      <c r="CZ79" s="910"/>
      <c r="DA79" s="910"/>
      <c r="DB79" s="910"/>
      <c r="DC79" s="910"/>
      <c r="DD79" s="910"/>
      <c r="DE79" s="910"/>
      <c r="DF79" s="910"/>
      <c r="DG79" s="910"/>
      <c r="DH79" s="910"/>
      <c r="DI79" s="910"/>
    </row>
    <row r="80" spans="1:113">
      <c r="A80" s="910"/>
      <c r="B80" s="910"/>
      <c r="C80" s="910"/>
      <c r="D80" s="910"/>
      <c r="E80" s="910"/>
      <c r="F80" s="910"/>
      <c r="G80" s="910"/>
      <c r="H80" s="910"/>
      <c r="I80" s="910"/>
      <c r="J80" s="910"/>
      <c r="K80" s="910"/>
      <c r="L80" s="910"/>
      <c r="M80" s="910"/>
      <c r="N80" s="910"/>
      <c r="O80" s="910"/>
      <c r="P80" s="910"/>
      <c r="Q80" s="910"/>
      <c r="R80" s="910"/>
      <c r="S80" s="910"/>
      <c r="T80" s="910"/>
      <c r="U80" s="910"/>
      <c r="V80" s="910"/>
      <c r="W80" s="910"/>
      <c r="X80" s="910"/>
      <c r="Y80" s="910"/>
      <c r="Z80" s="910"/>
      <c r="AA80" s="910"/>
      <c r="AB80" s="910"/>
      <c r="AC80" s="910"/>
      <c r="AD80" s="910"/>
      <c r="AE80" s="910"/>
      <c r="AF80" s="910"/>
      <c r="AG80" s="910"/>
      <c r="AH80" s="910"/>
      <c r="AI80" s="910"/>
      <c r="AJ80" s="910"/>
      <c r="AK80" s="910"/>
      <c r="AL80" s="910"/>
      <c r="AM80" s="910"/>
      <c r="AN80" s="910"/>
      <c r="AO80" s="910"/>
      <c r="AP80" s="910"/>
      <c r="AQ80" s="910"/>
      <c r="AR80" s="910"/>
      <c r="AS80" s="910"/>
      <c r="AT80" s="910"/>
      <c r="AU80" s="910"/>
      <c r="AV80" s="910"/>
      <c r="AW80" s="910"/>
      <c r="AX80" s="910"/>
      <c r="AY80" s="910"/>
      <c r="AZ80" s="910"/>
      <c r="BA80" s="910"/>
      <c r="BB80" s="910"/>
      <c r="BC80" s="910"/>
      <c r="BD80" s="910"/>
      <c r="BE80" s="910"/>
      <c r="BF80" s="910"/>
      <c r="BG80" s="910"/>
      <c r="BH80" s="910"/>
      <c r="BI80" s="910"/>
      <c r="BJ80" s="910"/>
      <c r="BK80" s="910"/>
      <c r="BL80" s="910"/>
      <c r="BM80" s="910"/>
      <c r="BN80" s="910"/>
      <c r="BO80" s="910"/>
      <c r="BP80" s="910"/>
      <c r="BQ80" s="910"/>
      <c r="BR80" s="910"/>
      <c r="BS80" s="910"/>
      <c r="BT80" s="910"/>
      <c r="BU80" s="910"/>
      <c r="BV80" s="910"/>
      <c r="BW80" s="910"/>
      <c r="BX80" s="910"/>
      <c r="BY80" s="910"/>
      <c r="BZ80" s="910"/>
      <c r="CA80" s="910"/>
      <c r="CB80" s="910"/>
      <c r="CC80" s="910"/>
      <c r="CD80" s="910"/>
      <c r="CE80" s="910"/>
      <c r="CF80" s="910"/>
      <c r="CG80" s="910"/>
      <c r="CH80" s="910"/>
      <c r="CI80" s="910"/>
      <c r="CJ80" s="910"/>
      <c r="CK80" s="910"/>
      <c r="CL80" s="910"/>
      <c r="CM80" s="910"/>
      <c r="CN80" s="910"/>
      <c r="CO80" s="910"/>
      <c r="CP80" s="910"/>
      <c r="CQ80" s="910"/>
      <c r="CR80" s="910"/>
      <c r="CS80" s="910"/>
      <c r="CT80" s="910"/>
      <c r="CU80" s="910"/>
      <c r="CV80" s="910"/>
      <c r="CW80" s="910"/>
      <c r="CX80" s="910"/>
      <c r="CY80" s="910"/>
      <c r="CZ80" s="910"/>
      <c r="DA80" s="910"/>
      <c r="DB80" s="910"/>
      <c r="DC80" s="910"/>
      <c r="DD80" s="910"/>
      <c r="DE80" s="910"/>
      <c r="DF80" s="910"/>
      <c r="DG80" s="910"/>
      <c r="DH80" s="910"/>
      <c r="DI80" s="910"/>
    </row>
  </sheetData>
  <sheetProtection algorithmName="SHA-512" hashValue="Qcpge/dgFMsi5uK7BoTTRxKo74qrB7F5rW5uy3Cwncx03UJqAcBJ0AEr7+c/amP4LjLiHHrxFkDw5WIZF/DK4w==" saltValue="Hy+97SuBiNVwAKyQdV8qjg==" spinCount="100000" sheet="1" objects="1" formatCells="0" formatColumns="0" formatRows="0" insertHyperlinks="0" selectLockedCells="1" sort="0" autoFilter="0"/>
  <mergeCells count="55">
    <mergeCell ref="D9:J9"/>
    <mergeCell ref="D10:J11"/>
    <mergeCell ref="C12:K14"/>
    <mergeCell ref="C6:K7"/>
    <mergeCell ref="R56:S56"/>
    <mergeCell ref="R48:S48"/>
    <mergeCell ref="P28:AG29"/>
    <mergeCell ref="T56:BZ56"/>
    <mergeCell ref="AL20:BF21"/>
    <mergeCell ref="R52:S52"/>
    <mergeCell ref="T52:BZ52"/>
    <mergeCell ref="R54:S54"/>
    <mergeCell ref="T54:BZ54"/>
    <mergeCell ref="Q42:AJ42"/>
    <mergeCell ref="R46:S46"/>
    <mergeCell ref="T46:BZ46"/>
    <mergeCell ref="R64:S64"/>
    <mergeCell ref="T64:BZ64"/>
    <mergeCell ref="Q58:AJ58"/>
    <mergeCell ref="R60:S60"/>
    <mergeCell ref="T60:BZ60"/>
    <mergeCell ref="R62:S62"/>
    <mergeCell ref="T62:BZ62"/>
    <mergeCell ref="T48:BZ48"/>
    <mergeCell ref="R50:S50"/>
    <mergeCell ref="T50:BZ50"/>
    <mergeCell ref="AE4:AT5"/>
    <mergeCell ref="AM30:BD31"/>
    <mergeCell ref="BI30:BZ31"/>
    <mergeCell ref="Y15:AF15"/>
    <mergeCell ref="AR15:AY15"/>
    <mergeCell ref="P26:AG27"/>
    <mergeCell ref="P30:AG31"/>
    <mergeCell ref="P32:AG33"/>
    <mergeCell ref="P34:AG35"/>
    <mergeCell ref="BJ15:BR15"/>
    <mergeCell ref="P20:AH21"/>
    <mergeCell ref="P22:AG23"/>
    <mergeCell ref="P24:AG25"/>
    <mergeCell ref="B1:L1"/>
    <mergeCell ref="N67:CB68"/>
    <mergeCell ref="AM22:BW23"/>
    <mergeCell ref="AM24:BD25"/>
    <mergeCell ref="BI24:BZ25"/>
    <mergeCell ref="AM26:BD27"/>
    <mergeCell ref="BI26:BZ27"/>
    <mergeCell ref="AM28:BD29"/>
    <mergeCell ref="BI28:BZ29"/>
    <mergeCell ref="AM32:BW33"/>
    <mergeCell ref="AM34:BD35"/>
    <mergeCell ref="BI34:BZ35"/>
    <mergeCell ref="P39:AQ40"/>
    <mergeCell ref="R44:S44"/>
    <mergeCell ref="T44:BZ44"/>
    <mergeCell ref="P4:AD5"/>
  </mergeCells>
  <conditionalFormatting sqref="N2:CB3">
    <cfRule type="expression" dxfId="247" priority="1">
      <formula>Analyze_Help_Setting="Hidden"</formula>
    </cfRule>
  </conditionalFormatting>
  <dataValidations count="1">
    <dataValidation type="list" allowBlank="1" showInputMessage="1" showErrorMessage="1" sqref="D10:J11" xr:uid="{00000000-0002-0000-0800-000000000000}">
      <formula1>Zoom_Setting_Dropdown</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847</vt:i4>
      </vt:variant>
    </vt:vector>
  </HeadingPairs>
  <TitlesOfParts>
    <vt:vector size="874" baseType="lpstr">
      <vt:lpstr>EULA</vt:lpstr>
      <vt:lpstr>ADMIN</vt:lpstr>
      <vt:lpstr>INDEX</vt:lpstr>
      <vt:lpstr>SETUP</vt:lpstr>
      <vt:lpstr>CATEGORY SETUP</vt:lpstr>
      <vt:lpstr>REHAB FINANCING SETUP</vt:lpstr>
      <vt:lpstr>HOME</vt:lpstr>
      <vt:lpstr>1 REHAB ANALYZER</vt:lpstr>
      <vt:lpstr>2 REPAIR ESTIMATOR</vt:lpstr>
      <vt:lpstr>3 SCENARIOS</vt:lpstr>
      <vt:lpstr>4 OFFERS</vt:lpstr>
      <vt:lpstr>COMPS</vt:lpstr>
      <vt:lpstr>WHOLESALE CALC</vt:lpstr>
      <vt:lpstr>RENTAL ANALYSIS</vt:lpstr>
      <vt:lpstr>RENTAL PURCHASE SETUP</vt:lpstr>
      <vt:lpstr>RENTAL LOAN SETUP</vt:lpstr>
      <vt:lpstr>REPORTING</vt:lpstr>
      <vt:lpstr>INSPECTION CHECKLIST</vt:lpstr>
      <vt:lpstr>INVESTMENT REPORTS</vt:lpstr>
      <vt:lpstr>ESTIMATE REPORTS</vt:lpstr>
      <vt:lpstr>PROJECT COST REPORT</vt:lpstr>
      <vt:lpstr>LENDER REPORTS</vt:lpstr>
      <vt:lpstr>HOMEOWNER REPORT</vt:lpstr>
      <vt:lpstr>COMPS REPORT</vt:lpstr>
      <vt:lpstr>RENTAL PACKET</vt:lpstr>
      <vt:lpstr>WHOLESALE REPORT</vt:lpstr>
      <vt:lpstr>SCOPE OF WORK</vt:lpstr>
      <vt:lpstr>Adders_Percentage</vt:lpstr>
      <vt:lpstr>Adders_Result</vt:lpstr>
      <vt:lpstr>Admin_Freeze_Line</vt:lpstr>
      <vt:lpstr>AFTER_REPAIR_VALUE_CELL</vt:lpstr>
      <vt:lpstr>AFTER_REPAIR_VALUE_ESTIMATED</vt:lpstr>
      <vt:lpstr>After_Repair_Value_Rental</vt:lpstr>
      <vt:lpstr>After_Repair_Value_Result</vt:lpstr>
      <vt:lpstr>AFTER_REPAIR_VALUE_WHOLESALE</vt:lpstr>
      <vt:lpstr>All_Project_Cost_Purchase_Cell</vt:lpstr>
      <vt:lpstr>All_Project_Costs_Loan1</vt:lpstr>
      <vt:lpstr>All_Project_Costs_Loan2</vt:lpstr>
      <vt:lpstr>All_Project_Costs_Password_Selection</vt:lpstr>
      <vt:lpstr>All_Project_Costs_Report_Password</vt:lpstr>
      <vt:lpstr>Analyze_Help_Freeze_Line</vt:lpstr>
      <vt:lpstr>Analyze_Help_Setting</vt:lpstr>
      <vt:lpstr>Analyze_Workflow_Freeze_Line</vt:lpstr>
      <vt:lpstr>APPLIANCES_ESTIMATE</vt:lpstr>
      <vt:lpstr>APPLIANCES_w_ADDERS</vt:lpstr>
      <vt:lpstr>ARV</vt:lpstr>
      <vt:lpstr>ARV_Box_Loan1</vt:lpstr>
      <vt:lpstr>ARV_Box_Loan2</vt:lpstr>
      <vt:lpstr>ARV_Sensitivity</vt:lpstr>
      <vt:lpstr>Baths</vt:lpstr>
      <vt:lpstr>Beds</vt:lpstr>
      <vt:lpstr>Bridge_Loan_Amount</vt:lpstr>
      <vt:lpstr>Bridge_Loan_Result_Row</vt:lpstr>
      <vt:lpstr>Bridge_Loan_Setup_Rows</vt:lpstr>
      <vt:lpstr>Buying_Costs_Dropdown</vt:lpstr>
      <vt:lpstr>Buying_Costs_Lump_Sum</vt:lpstr>
      <vt:lpstr>Buying_Costs_Range</vt:lpstr>
      <vt:lpstr>Buying_Costs_Result</vt:lpstr>
      <vt:lpstr>CABINETS___COUNTERTOPS_w_ADDERS</vt:lpstr>
      <vt:lpstr>CABINETS_COUNTERS_ESTIMATE</vt:lpstr>
      <vt:lpstr>CARPET___RESILIENT_w_ADDERS</vt:lpstr>
      <vt:lpstr>CARPET_ESTIMATE</vt:lpstr>
      <vt:lpstr>Cash_At_Closing</vt:lpstr>
      <vt:lpstr>Cash_Check_Box</vt:lpstr>
      <vt:lpstr>Cash_During_Flip</vt:lpstr>
      <vt:lpstr>'RENTAL PACKET'!Cash_Flow_Pages</vt:lpstr>
      <vt:lpstr>Cash_Remaining_In_Deal</vt:lpstr>
      <vt:lpstr>Category1</vt:lpstr>
      <vt:lpstr>Category10</vt:lpstr>
      <vt:lpstr>Category11</vt:lpstr>
      <vt:lpstr>Category12</vt:lpstr>
      <vt:lpstr>Category13</vt:lpstr>
      <vt:lpstr>Category14</vt:lpstr>
      <vt:lpstr>Category15</vt:lpstr>
      <vt:lpstr>Category16</vt:lpstr>
      <vt:lpstr>Category17</vt:lpstr>
      <vt:lpstr>Category18</vt:lpstr>
      <vt:lpstr>Category19</vt:lpstr>
      <vt:lpstr>Category2</vt:lpstr>
      <vt:lpstr>Category20</vt:lpstr>
      <vt:lpstr>Category21</vt:lpstr>
      <vt:lpstr>Category22</vt:lpstr>
      <vt:lpstr>Category23</vt:lpstr>
      <vt:lpstr>Category24</vt:lpstr>
      <vt:lpstr>Category3</vt:lpstr>
      <vt:lpstr>Category4</vt:lpstr>
      <vt:lpstr>Category5</vt:lpstr>
      <vt:lpstr>Category6</vt:lpstr>
      <vt:lpstr>Category7</vt:lpstr>
      <vt:lpstr>Category8</vt:lpstr>
      <vt:lpstr>Category9</vt:lpstr>
      <vt:lpstr>City_State_Zip</vt:lpstr>
      <vt:lpstr>Closing_Cost_Cell</vt:lpstr>
      <vt:lpstr>Comp_Cover_Setting</vt:lpstr>
      <vt:lpstr>Company_City_State_Zip</vt:lpstr>
      <vt:lpstr>Company_Email</vt:lpstr>
      <vt:lpstr>Company_Name</vt:lpstr>
      <vt:lpstr>Company_Phone</vt:lpstr>
      <vt:lpstr>Company_Street_Address</vt:lpstr>
      <vt:lpstr>Company_Website</vt:lpstr>
      <vt:lpstr>Comparable_Sales_Report_Password</vt:lpstr>
      <vt:lpstr>COMPS!Comparable1_Baths</vt:lpstr>
      <vt:lpstr>COMPS!Comparable1_Beds</vt:lpstr>
      <vt:lpstr>Comparable1_City_State_Zip</vt:lpstr>
      <vt:lpstr>Comparable1_DOM</vt:lpstr>
      <vt:lpstr>Comparable1_Garages</vt:lpstr>
      <vt:lpstr>Comparable1_List_Price</vt:lpstr>
      <vt:lpstr>Comparable1_Neighborhood</vt:lpstr>
      <vt:lpstr>Comparable1_School_District</vt:lpstr>
      <vt:lpstr>COMPS!Comparable1_SF</vt:lpstr>
      <vt:lpstr>Comparable1_Status</vt:lpstr>
      <vt:lpstr>Comparable1_Street_Address</vt:lpstr>
      <vt:lpstr>COMPS!Comparable2_Baths</vt:lpstr>
      <vt:lpstr>COMPS!Comparable2_Beds</vt:lpstr>
      <vt:lpstr>Comparable2_City_State_Zip</vt:lpstr>
      <vt:lpstr>Comparable2_DOM</vt:lpstr>
      <vt:lpstr>Comparable2_Garages</vt:lpstr>
      <vt:lpstr>Comparable2_List_Price</vt:lpstr>
      <vt:lpstr>Comparable2_Neighborhood</vt:lpstr>
      <vt:lpstr>Comparable2_School_District</vt:lpstr>
      <vt:lpstr>COMPS!Comparable2_SF</vt:lpstr>
      <vt:lpstr>Comparable2_Status</vt:lpstr>
      <vt:lpstr>Comparable2_Street_Address</vt:lpstr>
      <vt:lpstr>COMPS!Comparable3_Baths</vt:lpstr>
      <vt:lpstr>COMPS!Comparable3_Beds</vt:lpstr>
      <vt:lpstr>Comparable3_City_State_Zip</vt:lpstr>
      <vt:lpstr>Comparable3_DOM</vt:lpstr>
      <vt:lpstr>Comparable3_Garages</vt:lpstr>
      <vt:lpstr>Comparable3_List_Price</vt:lpstr>
      <vt:lpstr>Comparable3_Neighborhood</vt:lpstr>
      <vt:lpstr>Comparable3_School_District</vt:lpstr>
      <vt:lpstr>COMPS!Comparable3_SF</vt:lpstr>
      <vt:lpstr>Comparable3_Status</vt:lpstr>
      <vt:lpstr>Comparable3_Street_Address</vt:lpstr>
      <vt:lpstr>Comparables_Data</vt:lpstr>
      <vt:lpstr>Comparables_Freeze_Line</vt:lpstr>
      <vt:lpstr>Comparables_Password</vt:lpstr>
      <vt:lpstr>Comparables_Password_Selection</vt:lpstr>
      <vt:lpstr>Comparables_Report_Freeze_Line</vt:lpstr>
      <vt:lpstr>Comparables_Report_Print_Area</vt:lpstr>
      <vt:lpstr>Comparables_Sales_Password_Selection</vt:lpstr>
      <vt:lpstr>Comps_Cover_Setting</vt:lpstr>
      <vt:lpstr>Comps_Detail</vt:lpstr>
      <vt:lpstr>Comps_Detail_Page1</vt:lpstr>
      <vt:lpstr>Comps_Detail_Pages</vt:lpstr>
      <vt:lpstr>Comps_Detail_Setting</vt:lpstr>
      <vt:lpstr>Comps_First_Cell</vt:lpstr>
      <vt:lpstr>Comps_Map_Page</vt:lpstr>
      <vt:lpstr>Comps_Map_Setting</vt:lpstr>
      <vt:lpstr>'LENDER REPORTS'!Comps_Report_Page</vt:lpstr>
      <vt:lpstr>'WHOLESALE REPORT'!Comps_Report_Page</vt:lpstr>
      <vt:lpstr>Comps_Report_Page</vt:lpstr>
      <vt:lpstr>'LENDER REPORTS'!Comps_Report_Summary_Setting</vt:lpstr>
      <vt:lpstr>'WHOLESALE REPORT'!Comps_Report_Summary_Setting</vt:lpstr>
      <vt:lpstr>Comps_Report_Summary_Setting</vt:lpstr>
      <vt:lpstr>Comps_Summary_Page</vt:lpstr>
      <vt:lpstr>Comps_Summary_Setting</vt:lpstr>
      <vt:lpstr>Concatenated_Address</vt:lpstr>
      <vt:lpstr>Concatentated_Property_Characteristics</vt:lpstr>
      <vt:lpstr>CONCRETE___FLATWORK_w_ADDERS</vt:lpstr>
      <vt:lpstr>CONCRETE_ESTIMATE</vt:lpstr>
      <vt:lpstr>Construction_Costs_Dollar_per_SF</vt:lpstr>
      <vt:lpstr>Construction_Costs_Dropdown</vt:lpstr>
      <vt:lpstr>Construction_Costs_Lump_Sum</vt:lpstr>
      <vt:lpstr>Contingency_Amount</vt:lpstr>
      <vt:lpstr>Contingency_Percentage</vt:lpstr>
      <vt:lpstr>Contingency_Percentage_Adjustment</vt:lpstr>
      <vt:lpstr>Contractors_Overhead_Profit_Amount</vt:lpstr>
      <vt:lpstr>Contractos_Overhead_Percentage</vt:lpstr>
      <vt:lpstr>Conventional_Loan_Rows</vt:lpstr>
      <vt:lpstr>Current_Sheet_View</vt:lpstr>
      <vt:lpstr>Debt_Financing_Cost</vt:lpstr>
      <vt:lpstr>Debt_Financing_Costs</vt:lpstr>
      <vt:lpstr>Debt_Financing_Row</vt:lpstr>
      <vt:lpstr>Debt_Financing_Rows</vt:lpstr>
      <vt:lpstr>DECKING_AND_PATIOS_w_ADDERS</vt:lpstr>
      <vt:lpstr>DECKING_ESTIMATE</vt:lpstr>
      <vt:lpstr>DEMOLITION_ESTIMATE</vt:lpstr>
      <vt:lpstr>DEMOLITION_w_ADDERS</vt:lpstr>
      <vt:lpstr>'PROJECT COST REPORT'!Detailed_Estimate_Adders_Rows</vt:lpstr>
      <vt:lpstr>Detailed_Estimate_Adders_Rows</vt:lpstr>
      <vt:lpstr>'PROJECT COST REPORT'!Detailed_Estimate_Report_Print_Range</vt:lpstr>
      <vt:lpstr>Detailed_Estimate_Report_Print_Range</vt:lpstr>
      <vt:lpstr>'PROJECT COST REPORT'!Detailed_Estimate_Report_Range</vt:lpstr>
      <vt:lpstr>Detailed_Estimate_Report_Range</vt:lpstr>
      <vt:lpstr>Detailed_Estimate_Setting</vt:lpstr>
      <vt:lpstr>'PROJECT COST REPORT'!Detailed_Estimate_Sort_Range</vt:lpstr>
      <vt:lpstr>Detailed_Estimate_Sort_Range</vt:lpstr>
      <vt:lpstr>DIY_Savings</vt:lpstr>
      <vt:lpstr>DIYED</vt:lpstr>
      <vt:lpstr>DOORS___TRIM_w_ADDERS</vt:lpstr>
      <vt:lpstr>DOORS_TRIM_ESTIMATE</vt:lpstr>
      <vt:lpstr>DOORS_WINDOWS_ESTIMATE</vt:lpstr>
      <vt:lpstr>Down_Payment</vt:lpstr>
      <vt:lpstr>Dp_LTV_Dropdown</vt:lpstr>
      <vt:lpstr>Electrical</vt:lpstr>
      <vt:lpstr>ELECTRICAL_ESTIMATE</vt:lpstr>
      <vt:lpstr>ELECTRICAL_w_ADDERS</vt:lpstr>
      <vt:lpstr>Equity_Financing_Cost_Row</vt:lpstr>
      <vt:lpstr>Equity_Financing_Costs</vt:lpstr>
      <vt:lpstr>Equity_Financing_Rows</vt:lpstr>
      <vt:lpstr>Equity_Financing_Total</vt:lpstr>
      <vt:lpstr>Equity_Rows</vt:lpstr>
      <vt:lpstr>Estimate_Report_Adders_Selection</vt:lpstr>
      <vt:lpstr>'PROJECT COST REPORT'!Estimate_Report_All_Rows</vt:lpstr>
      <vt:lpstr>Estimate_Report_All_Rows</vt:lpstr>
      <vt:lpstr>'PROJECT COST REPORT'!Estimate_Report_DIYED_SUBBED_CELL</vt:lpstr>
      <vt:lpstr>Estimate_Report_DIYED_SUBBED_CELL</vt:lpstr>
      <vt:lpstr>Estimate_REport_Help</vt:lpstr>
      <vt:lpstr>'LENDER REPORTS'!Estimate_Report_Page</vt:lpstr>
      <vt:lpstr>'WHOLESALE REPORT'!Estimate_Report_Page</vt:lpstr>
      <vt:lpstr>Estimate_Report_Page</vt:lpstr>
      <vt:lpstr>Estimate_Report_Password_Selection</vt:lpstr>
      <vt:lpstr>'LENDER REPORTS'!Estimate_Report_Summary_Setting</vt:lpstr>
      <vt:lpstr>'WHOLESALE REPORT'!Estimate_Report_Summary_Setting</vt:lpstr>
      <vt:lpstr>Estimate_Report_Summary_Setting</vt:lpstr>
      <vt:lpstr>'PROJECT COST REPORT'!Estimate_Reports_Print_Range</vt:lpstr>
      <vt:lpstr>Estimate_Reports_Print_Range</vt:lpstr>
      <vt:lpstr>Estimate_Scope_1_Result</vt:lpstr>
      <vt:lpstr>Estimate_Scope_10_Result</vt:lpstr>
      <vt:lpstr>Estimate_Scope_11_Result</vt:lpstr>
      <vt:lpstr>Estimate_Scope_12_Result</vt:lpstr>
      <vt:lpstr>Estimate_Scope_13_Result</vt:lpstr>
      <vt:lpstr>Estimate_Scope_14_Result</vt:lpstr>
      <vt:lpstr>Estimate_Scope_15_Result</vt:lpstr>
      <vt:lpstr>Estimate_Scope_16_Result</vt:lpstr>
      <vt:lpstr>Estimate_Scope_17_Result</vt:lpstr>
      <vt:lpstr>Estimate_Scope_18_Result</vt:lpstr>
      <vt:lpstr>Estimate_Scope_19_Result</vt:lpstr>
      <vt:lpstr>Estimate_Scope_2_Result</vt:lpstr>
      <vt:lpstr>Estimate_Scope_20_Result</vt:lpstr>
      <vt:lpstr>Estimate_Scope_21_Result</vt:lpstr>
      <vt:lpstr>Estimate_Scope_22_Result</vt:lpstr>
      <vt:lpstr>Estimate_Scope_23_Result</vt:lpstr>
      <vt:lpstr>Estimate_Scope_24_Result</vt:lpstr>
      <vt:lpstr>Estimate_Scope_3_Result</vt:lpstr>
      <vt:lpstr>Estimate_Scope_4_Result</vt:lpstr>
      <vt:lpstr>Estimate_Scope_5_Result</vt:lpstr>
      <vt:lpstr>Estimate_Scope_6_Result</vt:lpstr>
      <vt:lpstr>Estimate_Scope_7_Result</vt:lpstr>
      <vt:lpstr>Estimate_Scope_8_Result</vt:lpstr>
      <vt:lpstr>Estimate_Scope_9_Result</vt:lpstr>
      <vt:lpstr>Estimate_Sensitivity</vt:lpstr>
      <vt:lpstr>ESTIMATE_SMMARY_PRINT_RANGE</vt:lpstr>
      <vt:lpstr>ESTIMATE_SUBTOTAL</vt:lpstr>
      <vt:lpstr>Estimate_Summary_Range</vt:lpstr>
      <vt:lpstr>Estimate_Summary_Setting</vt:lpstr>
      <vt:lpstr>Estimating_Checklist_Check_Box1</vt:lpstr>
      <vt:lpstr>Estimating_Checklist_Check_Box2</vt:lpstr>
      <vt:lpstr>Estimating_Checklist_Check_Box3</vt:lpstr>
      <vt:lpstr>Estimating_Checklist_Check_Box4</vt:lpstr>
      <vt:lpstr>Estimating_Checklist_Check_Box5</vt:lpstr>
      <vt:lpstr>Estimating_Checklist_Check_Box6</vt:lpstr>
      <vt:lpstr>Estimating_Checklist_Check_Box7</vt:lpstr>
      <vt:lpstr>Estimating_Checklist_Check_Box8</vt:lpstr>
      <vt:lpstr>Estimator_Adders_Cells</vt:lpstr>
      <vt:lpstr>Estimator_Building_Permit_Cell</vt:lpstr>
      <vt:lpstr>Estimator_Columns</vt:lpstr>
      <vt:lpstr>Estimator_Contingency_Amount</vt:lpstr>
      <vt:lpstr>Estimator_Contingency_Cell</vt:lpstr>
      <vt:lpstr>Estimator_Contractor_Overhead_Amount</vt:lpstr>
      <vt:lpstr>Estimator_Contractor_Overhead_Cell</vt:lpstr>
      <vt:lpstr>Estimator_Location_Multiplier_Amount</vt:lpstr>
      <vt:lpstr>Estimator_Location_Multiplier_Cell</vt:lpstr>
      <vt:lpstr>Estimator_Lock_Cell</vt:lpstr>
      <vt:lpstr>Estimator_Permit_Cost_Amount</vt:lpstr>
      <vt:lpstr>Estimator_Range</vt:lpstr>
      <vt:lpstr>Estimator_Scope_Total_Column1</vt:lpstr>
      <vt:lpstr>Estimator_Scope_Total_Column2</vt:lpstr>
      <vt:lpstr>Estimator_Scope_Total_Column3</vt:lpstr>
      <vt:lpstr>Estimator_Scope_Totals</vt:lpstr>
      <vt:lpstr>Estimator_Total_Adder_Amount</vt:lpstr>
      <vt:lpstr>Estimator_Total_Columns</vt:lpstr>
      <vt:lpstr>Estimator_Total_Estimate_Cell</vt:lpstr>
      <vt:lpstr>Existing_Bridge_Loan_Amount</vt:lpstr>
      <vt:lpstr>EXT._DOORS___WINDOWS_w_ADDERS</vt:lpstr>
      <vt:lpstr>Financing_Setup_Page</vt:lpstr>
      <vt:lpstr>Financing_Sheet_Password</vt:lpstr>
      <vt:lpstr>Financing_Sheet_Password_Selection</vt:lpstr>
      <vt:lpstr>Financing_Space</vt:lpstr>
      <vt:lpstr>Fixed_Cost_Calculation_Method</vt:lpstr>
      <vt:lpstr>Fixed_Costs_Allocation_Selection</vt:lpstr>
      <vt:lpstr>Fixed_Costs_Dropdown</vt:lpstr>
      <vt:lpstr>Fixed_Costs_Setting</vt:lpstr>
      <vt:lpstr>FRAMING___DRYWALL_w_ADDERS</vt:lpstr>
      <vt:lpstr>FRAMING_DRYWALL_ESTIMATE</vt:lpstr>
      <vt:lpstr>Funding_Rows</vt:lpstr>
      <vt:lpstr>Funding_Strategy</vt:lpstr>
      <vt:lpstr>Furnishings</vt:lpstr>
      <vt:lpstr>GARAGE_DOORS_ESTIMATE</vt:lpstr>
      <vt:lpstr>GARAGE_DOORS_w_ADDERS</vt:lpstr>
      <vt:lpstr>GC_ESTIMATE</vt:lpstr>
      <vt:lpstr>General_Conditions_First_Cell</vt:lpstr>
      <vt:lpstr>GENERAL_CONDITIONS_w_ADDERS</vt:lpstr>
      <vt:lpstr>Getting_Started_Rows</vt:lpstr>
      <vt:lpstr>HARDWOOD_ESTIMATE</vt:lpstr>
      <vt:lpstr>HARDWOOD_FLOORING_w_ADDERS</vt:lpstr>
      <vt:lpstr>Holding_Costs_Result</vt:lpstr>
      <vt:lpstr>Homeowner_Freeze_Line</vt:lpstr>
      <vt:lpstr>Homeowner_Offer_Comparables_Range</vt:lpstr>
      <vt:lpstr>Homeowner_Offer_Fixed_Costs_Range</vt:lpstr>
      <vt:lpstr>Homeowner_Offer_Password_Selection</vt:lpstr>
      <vt:lpstr>Homeowner_Offer_Profit_Range</vt:lpstr>
      <vt:lpstr>Homeowner_Offer_Report_Password</vt:lpstr>
      <vt:lpstr>Homeowner_Offer_Report_Range</vt:lpstr>
      <vt:lpstr>HVAC</vt:lpstr>
      <vt:lpstr>HVAC_ESTIMATE</vt:lpstr>
      <vt:lpstr>HVAC_w_ADDERS</vt:lpstr>
      <vt:lpstr>Index_Cell</vt:lpstr>
      <vt:lpstr>Index_Freeze_Line</vt:lpstr>
      <vt:lpstr>Info_Sheet_Password</vt:lpstr>
      <vt:lpstr>Info_Sheet_Password_Selection</vt:lpstr>
      <vt:lpstr>Inspection_Checklist_Freeze_Line</vt:lpstr>
      <vt:lpstr>Inspection_Checklist_Help_Range</vt:lpstr>
      <vt:lpstr>Inspection_Checklist_Page1_Setting</vt:lpstr>
      <vt:lpstr>Inspection_Checklist_Page2_Setting</vt:lpstr>
      <vt:lpstr>Inspection_Checklist_Password</vt:lpstr>
      <vt:lpstr>Inspection_Checklist_Password_Selection</vt:lpstr>
      <vt:lpstr>Inspection_Checklist_Print_Area</vt:lpstr>
      <vt:lpstr>Inspection_Checklist_Sketch_Setting</vt:lpstr>
      <vt:lpstr>Inspection_Page1</vt:lpstr>
      <vt:lpstr>Inspection_Page2</vt:lpstr>
      <vt:lpstr>Inspection_Page3</vt:lpstr>
      <vt:lpstr>Inspection_Street_Address_Cell</vt:lpstr>
      <vt:lpstr>Interest_Rate</vt:lpstr>
      <vt:lpstr>Interest_Rate_Loan2</vt:lpstr>
      <vt:lpstr>Investment_Report_Capital_Page</vt:lpstr>
      <vt:lpstr>Investment_Report_Capital_Setting</vt:lpstr>
      <vt:lpstr>'LENDER REPORTS'!Investment_Report_Cover_Page</vt:lpstr>
      <vt:lpstr>'WHOLESALE REPORT'!Investment_Report_Cover_Page</vt:lpstr>
      <vt:lpstr>Investment_Report_Cover_Page</vt:lpstr>
      <vt:lpstr>'LENDER REPORTS'!Investment_Report_Cover_Setting</vt:lpstr>
      <vt:lpstr>'WHOLESALE REPORT'!Investment_Report_Cover_Setting</vt:lpstr>
      <vt:lpstr>Investment_Report_Cover_Setting</vt:lpstr>
      <vt:lpstr>'LENDER REPORTS'!Investment_Report_First_Cell</vt:lpstr>
      <vt:lpstr>'WHOLESALE REPORT'!Investment_Report_First_Cell</vt:lpstr>
      <vt:lpstr>Investment_Report_First_Cell</vt:lpstr>
      <vt:lpstr>'LENDER REPORTS'!Investment_Report_Freeze_Line</vt:lpstr>
      <vt:lpstr>'WHOLESALE REPORT'!Investment_Report_Freeze_Line</vt:lpstr>
      <vt:lpstr>Investment_Report_Freeze_Line</vt:lpstr>
      <vt:lpstr>'LENDER REPORTS'!Investment_Report_Help</vt:lpstr>
      <vt:lpstr>'WHOLESALE REPORT'!Investment_Report_Help</vt:lpstr>
      <vt:lpstr>Investment_Report_Help</vt:lpstr>
      <vt:lpstr>'LENDER REPORTS'!Investment_Report_Help_Range</vt:lpstr>
      <vt:lpstr>'WHOLESALE REPORT'!Investment_Report_Help_Range</vt:lpstr>
      <vt:lpstr>Investment_Report_Help_Range</vt:lpstr>
      <vt:lpstr>Investment_Report_Password</vt:lpstr>
      <vt:lpstr>Investment_Report_Password_Selection</vt:lpstr>
      <vt:lpstr>'LENDER REPORTS'!Investment_Report_Photo_Setting</vt:lpstr>
      <vt:lpstr>'WHOLESALE REPORT'!Investment_Report_Photo_Setting</vt:lpstr>
      <vt:lpstr>Investment_Report_Photo_Setting</vt:lpstr>
      <vt:lpstr>'LENDER REPORTS'!Investment_Report_Photos_Page</vt:lpstr>
      <vt:lpstr>'WHOLESALE REPORT'!Investment_Report_Photos_Page</vt:lpstr>
      <vt:lpstr>Investment_Report_Photos_Page</vt:lpstr>
      <vt:lpstr>'LENDER REPORTS'!Investment_Report_Print_Area</vt:lpstr>
      <vt:lpstr>'WHOLESALE REPORT'!Investment_Report_Print_Area</vt:lpstr>
      <vt:lpstr>Investment_Report_Print_Area</vt:lpstr>
      <vt:lpstr>'WHOLESALE REPORT'!Investment_Report_Summary_Page</vt:lpstr>
      <vt:lpstr>Investment_Report_Summary_Page</vt:lpstr>
      <vt:lpstr>'LENDER REPORTS'!Investment_Report_Summary_Setting</vt:lpstr>
      <vt:lpstr>'WHOLESALE REPORT'!Investment_Report_Summary_Setting</vt:lpstr>
      <vt:lpstr>Investment_Report_Summary_Setting</vt:lpstr>
      <vt:lpstr>Investor_Name</vt:lpstr>
      <vt:lpstr>Known_Purchase_Price_Cell</vt:lpstr>
      <vt:lpstr>Known_Purchase_Price_Columns</vt:lpstr>
      <vt:lpstr>Labor_Estimate</vt:lpstr>
      <vt:lpstr>LANDSCAPING_ESTIMATE</vt:lpstr>
      <vt:lpstr>LANDSCAPING_w_ADDERS</vt:lpstr>
      <vt:lpstr>Ledner_Report_Comps_Summary_Setting</vt:lpstr>
      <vt:lpstr>Lender_Estimate_Report_Summary_Setting</vt:lpstr>
      <vt:lpstr>Lender_Funding_Report_Password</vt:lpstr>
      <vt:lpstr>Lender_Funding_Report_Password_Selection</vt:lpstr>
      <vt:lpstr>Lender_Points_Loan1</vt:lpstr>
      <vt:lpstr>Lender_Points_Loan2</vt:lpstr>
      <vt:lpstr>Lender_Report_Cover_Page</vt:lpstr>
      <vt:lpstr>Lender_Report_Cover_Setting</vt:lpstr>
      <vt:lpstr>Lender_Report_Equity_Page</vt:lpstr>
      <vt:lpstr>Lender_Report_Equity_Setting</vt:lpstr>
      <vt:lpstr>Lender_Report_Loan_Page</vt:lpstr>
      <vt:lpstr>Lender_Report_Loan_Setting</vt:lpstr>
      <vt:lpstr>Lender_Report_Photo_Setting</vt:lpstr>
      <vt:lpstr>Lender_Report_Photos_Page</vt:lpstr>
      <vt:lpstr>Lender_Report_Print_Area</vt:lpstr>
      <vt:lpstr>Lender_Report_Summary_Page</vt:lpstr>
      <vt:lpstr>Lender_Report_Summary_Setting</vt:lpstr>
      <vt:lpstr>Length_of_Loan_Payments_Loan1</vt:lpstr>
      <vt:lpstr>Length_of_Loan_Payments_Loan2</vt:lpstr>
      <vt:lpstr>Listing_Schedule_Rehab_Analyzer</vt:lpstr>
      <vt:lpstr>Listing_Schedule_Rehab_Anaylzer</vt:lpstr>
      <vt:lpstr>Listing_Schedule_Wholesale_Calculator</vt:lpstr>
      <vt:lpstr>Loan_1_Monthly_Payment</vt:lpstr>
      <vt:lpstr>Loan_1_Range</vt:lpstr>
      <vt:lpstr>Loan_2_Loan_Amount_Row</vt:lpstr>
      <vt:lpstr>Loan_2_Monthly_Payment</vt:lpstr>
      <vt:lpstr>Loan_Amount</vt:lpstr>
      <vt:lpstr>Loan_Balance_After_DP_Loan1</vt:lpstr>
      <vt:lpstr>Loan_Balance_After_DP_Loan2</vt:lpstr>
      <vt:lpstr>Loan_Basis</vt:lpstr>
      <vt:lpstr>Loan_Financing_Costs</vt:lpstr>
      <vt:lpstr>Loan_Payment_Cell</vt:lpstr>
      <vt:lpstr>Loan_Payments_Dropdown</vt:lpstr>
      <vt:lpstr>Loan_Type_Dropdown</vt:lpstr>
      <vt:lpstr>Loan1_Amount</vt:lpstr>
      <vt:lpstr>Loan1_Down_Payment_Amount</vt:lpstr>
      <vt:lpstr>Loan1_Interest</vt:lpstr>
      <vt:lpstr>Loan1_Other_Costs</vt:lpstr>
      <vt:lpstr>Loan1_Points_Amount</vt:lpstr>
      <vt:lpstr>Loan1_Results</vt:lpstr>
      <vt:lpstr>Loan1_Selection</vt:lpstr>
      <vt:lpstr>Loan2_Amount</vt:lpstr>
      <vt:lpstr>Loan2_Down_Payment_Amount</vt:lpstr>
      <vt:lpstr>Loan2_Financing_Costs</vt:lpstr>
      <vt:lpstr>Loan2_Interest</vt:lpstr>
      <vt:lpstr>Loan2_Other_Costs</vt:lpstr>
      <vt:lpstr>Loan2_Points_Amount</vt:lpstr>
      <vt:lpstr>Loan2_Range</vt:lpstr>
      <vt:lpstr>Loan2_Results</vt:lpstr>
      <vt:lpstr>Loan2_Selection</vt:lpstr>
      <vt:lpstr>Location_Modifiers_Descr</vt:lpstr>
      <vt:lpstr>Location_Multiplier_Range</vt:lpstr>
      <vt:lpstr>Location_Mutiplier</vt:lpstr>
      <vt:lpstr>Location_Mutiplier_Amount</vt:lpstr>
      <vt:lpstr>Long_Term_Loan_Setup_Freeze_Line</vt:lpstr>
      <vt:lpstr>Long_Term_Loan_Type</vt:lpstr>
      <vt:lpstr>MASONRY_ESTIMATE</vt:lpstr>
      <vt:lpstr>MASONRY_w_ADDERS</vt:lpstr>
      <vt:lpstr>Material_Estimate</vt:lpstr>
      <vt:lpstr>Maximum_Purchase_Price</vt:lpstr>
      <vt:lpstr>Maximum_Purchase_Price_Columns</vt:lpstr>
      <vt:lpstr>MAXIMUM_PURCHASE_PRICE_WHOLESALE</vt:lpstr>
      <vt:lpstr>MISC._EXT._IMPROVEMENTS_w_ADDERS</vt:lpstr>
      <vt:lpstr>MISC_EXT_IMPROV_ESTIMATE</vt:lpstr>
      <vt:lpstr>MISCELLANEOUS_ESTIMATE</vt:lpstr>
      <vt:lpstr>MISCELLANEOUS_w_ADDERS</vt:lpstr>
      <vt:lpstr>Multi_Family_Rows</vt:lpstr>
      <vt:lpstr>Number_of_Baths</vt:lpstr>
      <vt:lpstr>Number_of_Beds</vt:lpstr>
      <vt:lpstr>Number_of_Loans</vt:lpstr>
      <vt:lpstr>Number_of_Loans_Range</vt:lpstr>
      <vt:lpstr>Offer_Buying_Holding_Rows</vt:lpstr>
      <vt:lpstr>Offer_Buying_Holding_Rows2</vt:lpstr>
      <vt:lpstr>Offer_Deal_Type</vt:lpstr>
      <vt:lpstr>Offer_To_Do_Check_Box1</vt:lpstr>
      <vt:lpstr>Offer_To_Do_Check_Box10</vt:lpstr>
      <vt:lpstr>Offer_To_Do_Check_Box2</vt:lpstr>
      <vt:lpstr>Offer_To_Do_Check_Box3</vt:lpstr>
      <vt:lpstr>Offer_To_Do_Check_Box4</vt:lpstr>
      <vt:lpstr>Offer_To_Do_Check_Box5</vt:lpstr>
      <vt:lpstr>Offer_To_Do_Check_Box6</vt:lpstr>
      <vt:lpstr>Offer_To_Do_Check_Box7</vt:lpstr>
      <vt:lpstr>Offer_To_Do_Check_Box8</vt:lpstr>
      <vt:lpstr>Offer_To_Do_Check_Box9</vt:lpstr>
      <vt:lpstr>Offer_To_Do_List_Line</vt:lpstr>
      <vt:lpstr>Offer_Tracker_Freeze_Line</vt:lpstr>
      <vt:lpstr>Offer_Tracker_Password</vt:lpstr>
      <vt:lpstr>Offer_Tracker_Password_Selection</vt:lpstr>
      <vt:lpstr>Offer1_Amount</vt:lpstr>
      <vt:lpstr>Offer2_Amount</vt:lpstr>
      <vt:lpstr>Offer3_Amount</vt:lpstr>
      <vt:lpstr>Offer4_Amount</vt:lpstr>
      <vt:lpstr>Offer5_Amount</vt:lpstr>
      <vt:lpstr>PAINTING_ESTIMATE</vt:lpstr>
      <vt:lpstr>PAINTING_w_ADDERS</vt:lpstr>
      <vt:lpstr>Payment_Type_Dropdown</vt:lpstr>
      <vt:lpstr>Percent_of_Purchase_Cell</vt:lpstr>
      <vt:lpstr>Permit_Amount</vt:lpstr>
      <vt:lpstr>Permit_Percentage</vt:lpstr>
      <vt:lpstr>Plumbing</vt:lpstr>
      <vt:lpstr>PLUMBING_ESTIMATE</vt:lpstr>
      <vt:lpstr>PLUMBING_w_ADDERS</vt:lpstr>
      <vt:lpstr>Points_Dropdown</vt:lpstr>
      <vt:lpstr>'1 REHAB ANALYZER'!Print_Area</vt:lpstr>
      <vt:lpstr>'2 REPAIR ESTIMATOR'!Print_Area</vt:lpstr>
      <vt:lpstr>'COMPS REPORT'!Print_Area</vt:lpstr>
      <vt:lpstr>'ESTIMATE REPORTS'!Print_Area</vt:lpstr>
      <vt:lpstr>EULA!Print_Area</vt:lpstr>
      <vt:lpstr>'HOMEOWNER REPORT'!Print_Area</vt:lpstr>
      <vt:lpstr>'INSPECTION CHECKLIST'!Print_Area</vt:lpstr>
      <vt:lpstr>'INVESTMENT REPORTS'!Print_Area</vt:lpstr>
      <vt:lpstr>'LENDER REPORTS'!Print_Area</vt:lpstr>
      <vt:lpstr>LISTS!Print_Area</vt:lpstr>
      <vt:lpstr>'PROJECT COST REPORT'!Print_Area</vt:lpstr>
      <vt:lpstr>'REHAB FINANCING SETUP'!Print_Area</vt:lpstr>
      <vt:lpstr>'RENTAL PACKET'!Print_Area</vt:lpstr>
      <vt:lpstr>'SCOPE OF WORK'!Print_Area</vt:lpstr>
      <vt:lpstr>'WHOLESALE CALC'!Print_Area</vt:lpstr>
      <vt:lpstr>'WHOLESALE REPORT'!Print_Area</vt:lpstr>
      <vt:lpstr>'ESTIMATE REPORTS'!Print_Titles</vt:lpstr>
      <vt:lpstr>'PROJECT COST REPORT'!Print_Titles</vt:lpstr>
      <vt:lpstr>Profit_Allocation_Percent</vt:lpstr>
      <vt:lpstr>Profit_Allocation_Selection</vt:lpstr>
      <vt:lpstr>Profit_Maximum_Purchase_Price_Investment_Range</vt:lpstr>
      <vt:lpstr>Profit_Maximum_Purchase_Price_Investment_Range2</vt:lpstr>
      <vt:lpstr>Profit_Per_Month</vt:lpstr>
      <vt:lpstr>Profit_Percentage_Cell</vt:lpstr>
      <vt:lpstr>Project_Cost_Freeze_Line</vt:lpstr>
      <vt:lpstr>Project_Cost_Help_Range</vt:lpstr>
      <vt:lpstr>Project_Cost_Print_Rage</vt:lpstr>
      <vt:lpstr>Project_Cost_Print_Range</vt:lpstr>
      <vt:lpstr>Project_Cost_Sort_Range</vt:lpstr>
      <vt:lpstr>SETUP!Project_Name</vt:lpstr>
      <vt:lpstr>Project_Name</vt:lpstr>
      <vt:lpstr>Property_City_State_Zip</vt:lpstr>
      <vt:lpstr>Property_Size</vt:lpstr>
      <vt:lpstr>Property_Street_Address</vt:lpstr>
      <vt:lpstr>Property_Type_Dropdown</vt:lpstr>
      <vt:lpstr>Purchase_Freeze_Line</vt:lpstr>
      <vt:lpstr>Purchase_Price</vt:lpstr>
      <vt:lpstr>Purchase_Price_Only_Box_Loan1</vt:lpstr>
      <vt:lpstr>Purchase_Price_Only_Box_Loan2</vt:lpstr>
      <vt:lpstr>Purchase_Price_Result</vt:lpstr>
      <vt:lpstr>Purchase_Price_Sensitivity</vt:lpstr>
      <vt:lpstr>Raw_Repair_Costs_Result</vt:lpstr>
      <vt:lpstr>RAW_REPAIR_ESTIMATE_TOTAL</vt:lpstr>
      <vt:lpstr>Rehab_Analyzer_Buying_Costs1</vt:lpstr>
      <vt:lpstr>Rehab_Analyzer_Buying_Costs2</vt:lpstr>
      <vt:lpstr>Rehab_Analyzer_Buying_Costs3</vt:lpstr>
      <vt:lpstr>Rehab_Analyzer_Buying_Costs4</vt:lpstr>
      <vt:lpstr>Rehab_Analyzer_Buying_Costs5</vt:lpstr>
      <vt:lpstr>Rehab_Analyzer_Buying_Costs6</vt:lpstr>
      <vt:lpstr>Rehab_Analyzer_Calculation_Method</vt:lpstr>
      <vt:lpstr>Rehab_Analyzer_Closing_Cost_Cell</vt:lpstr>
      <vt:lpstr>Rehab_Analyzer_Column_Range</vt:lpstr>
      <vt:lpstr>Rehab_Analyzer_Contingency</vt:lpstr>
      <vt:lpstr>Rehab_Analyzer_Freeze_Line</vt:lpstr>
      <vt:lpstr>Rehab_Analyzer_Location_Mutiplier</vt:lpstr>
      <vt:lpstr>Rehab_Analyzer_Lock_Cell</vt:lpstr>
      <vt:lpstr>Rehab_Analyzer_OH_Profit</vt:lpstr>
      <vt:lpstr>Rehab_Analyzer_Password</vt:lpstr>
      <vt:lpstr>Rehab_Analyzer_Password_Selection</vt:lpstr>
      <vt:lpstr>Rehab_Analyzer_Permit_Cost</vt:lpstr>
      <vt:lpstr>Rehab_Analyzer_Purchase_Price_Columns</vt:lpstr>
      <vt:lpstr>Rehab_Analyzer_Range</vt:lpstr>
      <vt:lpstr>Rehab_Analyzer_Selling_Costs_By_Percentage_Cells</vt:lpstr>
      <vt:lpstr>REHAB_PROFIT_ESTIMATED</vt:lpstr>
      <vt:lpstr>Rehab_Schedule_Rehab_Analyzer</vt:lpstr>
      <vt:lpstr>Rehab_Schedule_Rehab_Anaylzer</vt:lpstr>
      <vt:lpstr>Rehab_Schedule_Wholesale_Calculator</vt:lpstr>
      <vt:lpstr>REHABBER_PROFIT_WHOLESALE</vt:lpstr>
      <vt:lpstr>Remodel_Contingency_Percent</vt:lpstr>
      <vt:lpstr>Rental_Calculator_Password</vt:lpstr>
      <vt:lpstr>Rental_Calculator_Password_Selection</vt:lpstr>
      <vt:lpstr>'RENTAL ANALYSIS'!Rental_Cash_Flow_Columns</vt:lpstr>
      <vt:lpstr>'RENTAL LOAN SETUP'!Rental_Cash_Flow_Columns</vt:lpstr>
      <vt:lpstr>'RENTAL PURCHASE SETUP'!Rental_Cash_Flow_Columns</vt:lpstr>
      <vt:lpstr>'RENTAL PACKET'!Rental_Cashflow_Year1to10</vt:lpstr>
      <vt:lpstr>'RENTAL ANALYSIS'!Rental_Dashboard_Rows</vt:lpstr>
      <vt:lpstr>'RENTAL PURCHASE SETUP'!Rental_Dashboard_Rows</vt:lpstr>
      <vt:lpstr>'RENTAL ANALYSIS'!Rental_Freeze_Line</vt:lpstr>
      <vt:lpstr>Rental_Funding_Strategy</vt:lpstr>
      <vt:lpstr>Rental_Funding_Type</vt:lpstr>
      <vt:lpstr>Rental_Income_1</vt:lpstr>
      <vt:lpstr>'RENTAL ANALYSIS'!Rental_Other_Columns</vt:lpstr>
      <vt:lpstr>'RENTAL LOAN SETUP'!Rental_Other_Columns</vt:lpstr>
      <vt:lpstr>'RENTAL PURCHASE SETUP'!Rental_Other_Columns</vt:lpstr>
      <vt:lpstr>Rental_Packet_Freeze_Line</vt:lpstr>
      <vt:lpstr>'RENTAL PACKET'!Rental_Print_Area</vt:lpstr>
      <vt:lpstr>Rental_Report_Password</vt:lpstr>
      <vt:lpstr>Rental_Report_Password_Selection</vt:lpstr>
      <vt:lpstr>'RENTAL PACKET'!Rental_Report_Print_Area</vt:lpstr>
      <vt:lpstr>'RENTAL PACKET'!Rental_Summary_Page</vt:lpstr>
      <vt:lpstr>Repair_Contingency_Amount_Cell</vt:lpstr>
      <vt:lpstr>REPAIR_CONTINGENCY_ESTIMATED</vt:lpstr>
      <vt:lpstr>Repair_Contingency_Percentage_Cell</vt:lpstr>
      <vt:lpstr>Repair_Cost_Calculation_Method</vt:lpstr>
      <vt:lpstr>Repair_Costs_Only_Box_Loan1</vt:lpstr>
      <vt:lpstr>Repair_Costs_Only_Box_Loan2</vt:lpstr>
      <vt:lpstr>'PROJECT COST REPORT'!Repair_Estimate_Freeze_Line</vt:lpstr>
      <vt:lpstr>Repair_Estimate_Freeze_Line</vt:lpstr>
      <vt:lpstr>Repair_Estimate_Report_Password</vt:lpstr>
      <vt:lpstr>Repair_Estimate_Totals</vt:lpstr>
      <vt:lpstr>Repair_Estimator_Freeze_Line</vt:lpstr>
      <vt:lpstr>Repair_Estimator_Gap_Row</vt:lpstr>
      <vt:lpstr>Repair_Estimator_Header_Rows</vt:lpstr>
      <vt:lpstr>Repair_Estimator_Help_Hidden_Cell</vt:lpstr>
      <vt:lpstr>Repair_Estimator_Help_Range</vt:lpstr>
      <vt:lpstr>Repair_Estimator_Navigation_Freeze_Line</vt:lpstr>
      <vt:lpstr>Repair_Estimator_Password</vt:lpstr>
      <vt:lpstr>Repair_Estimator_Password_Selection</vt:lpstr>
      <vt:lpstr>Repair_Estimator_Totals_Columns</vt:lpstr>
      <vt:lpstr>REPAIRS_FIRST_COLUMN</vt:lpstr>
      <vt:lpstr>REPAIRS_SECOND_COLUMN</vt:lpstr>
      <vt:lpstr>Reporting_Deal_Analysis_Cell</vt:lpstr>
      <vt:lpstr>Reporting_Freeze_Line</vt:lpstr>
      <vt:lpstr>'RENTAL ANALYSIS'!Revenue_Increase_Per_Year</vt:lpstr>
      <vt:lpstr>ROOFING_ESTIMATE</vt:lpstr>
      <vt:lpstr>ROOFING_w_ADDERS</vt:lpstr>
      <vt:lpstr>Scenarios_Freeze_Line</vt:lpstr>
      <vt:lpstr>Scenarios_Password</vt:lpstr>
      <vt:lpstr>Scenarios_Password_Selection</vt:lpstr>
      <vt:lpstr>Schedule_Adjustment</vt:lpstr>
      <vt:lpstr>Schedule_Sensitivity</vt:lpstr>
      <vt:lpstr>School_District</vt:lpstr>
      <vt:lpstr>Scope_1_Cell</vt:lpstr>
      <vt:lpstr>Scope_1_First_Cell</vt:lpstr>
      <vt:lpstr>Scope_1_Range</vt:lpstr>
      <vt:lpstr>Scope_1_Setting</vt:lpstr>
      <vt:lpstr>Scope_10_First_Cell</vt:lpstr>
      <vt:lpstr>Scope_10_Range</vt:lpstr>
      <vt:lpstr>Scope_10_Setting</vt:lpstr>
      <vt:lpstr>Scope_11_First_Cell</vt:lpstr>
      <vt:lpstr>Scope_11_Range</vt:lpstr>
      <vt:lpstr>Scope_11_Setting</vt:lpstr>
      <vt:lpstr>Scope_12_First_Cell</vt:lpstr>
      <vt:lpstr>Scope_12_Range</vt:lpstr>
      <vt:lpstr>Scope_12_Setting</vt:lpstr>
      <vt:lpstr>Scope_13_First_Cell</vt:lpstr>
      <vt:lpstr>Scope_13_Range</vt:lpstr>
      <vt:lpstr>Scope_13_Setting</vt:lpstr>
      <vt:lpstr>Scope_14_First_Cell</vt:lpstr>
      <vt:lpstr>Scope_14_Range</vt:lpstr>
      <vt:lpstr>Scope_14_Setting</vt:lpstr>
      <vt:lpstr>Scope_15_First_Cell</vt:lpstr>
      <vt:lpstr>Scope_15_Range</vt:lpstr>
      <vt:lpstr>Scope_15_Setting</vt:lpstr>
      <vt:lpstr>Scope_16_First_Cell</vt:lpstr>
      <vt:lpstr>Scope_16_Range</vt:lpstr>
      <vt:lpstr>Scope_16_Setting</vt:lpstr>
      <vt:lpstr>Scope_17_First_Cell</vt:lpstr>
      <vt:lpstr>Scope_17_Range</vt:lpstr>
      <vt:lpstr>Scope_17_Setting</vt:lpstr>
      <vt:lpstr>Scope_18_First_Cell</vt:lpstr>
      <vt:lpstr>Scope_18_Range</vt:lpstr>
      <vt:lpstr>Scope_18_Setting</vt:lpstr>
      <vt:lpstr>Scope_19_First_Cell</vt:lpstr>
      <vt:lpstr>Scope_19_Range</vt:lpstr>
      <vt:lpstr>Scope_19_Setting</vt:lpstr>
      <vt:lpstr>Scope_2_First_Cell</vt:lpstr>
      <vt:lpstr>Scope_2_Range</vt:lpstr>
      <vt:lpstr>Scope_2_Setting</vt:lpstr>
      <vt:lpstr>Scope_20_First_Cell</vt:lpstr>
      <vt:lpstr>Scope_20_Range</vt:lpstr>
      <vt:lpstr>Scope_20_Setting</vt:lpstr>
      <vt:lpstr>Scope_21_First_Cell</vt:lpstr>
      <vt:lpstr>Scope_21_Range</vt:lpstr>
      <vt:lpstr>Scope_21_Setting</vt:lpstr>
      <vt:lpstr>Scope_22_First_Cell</vt:lpstr>
      <vt:lpstr>Scope_22_Range</vt:lpstr>
      <vt:lpstr>Scope_22_Setting</vt:lpstr>
      <vt:lpstr>Scope_23_First_Cell</vt:lpstr>
      <vt:lpstr>Scope_23_Range</vt:lpstr>
      <vt:lpstr>Scope_23_Setting</vt:lpstr>
      <vt:lpstr>Scope_24_First_Cell</vt:lpstr>
      <vt:lpstr>Scope_24_Range</vt:lpstr>
      <vt:lpstr>Scope_24_Setting</vt:lpstr>
      <vt:lpstr>Scope_3_First_Cell</vt:lpstr>
      <vt:lpstr>Scope_3_Range</vt:lpstr>
      <vt:lpstr>Scope_3_Setting</vt:lpstr>
      <vt:lpstr>Scope_4_First_Cell</vt:lpstr>
      <vt:lpstr>Scope_4_Range</vt:lpstr>
      <vt:lpstr>Scope_4_Setting</vt:lpstr>
      <vt:lpstr>Scope_5_First_Cell</vt:lpstr>
      <vt:lpstr>Scope_5_Range</vt:lpstr>
      <vt:lpstr>Scope_5_Setting</vt:lpstr>
      <vt:lpstr>Scope_6_First_Cell</vt:lpstr>
      <vt:lpstr>Scope_6_Range</vt:lpstr>
      <vt:lpstr>Scope_6_Setting</vt:lpstr>
      <vt:lpstr>Scope_7_First_Cell</vt:lpstr>
      <vt:lpstr>Scope_7_Range</vt:lpstr>
      <vt:lpstr>Scope_7_Setting</vt:lpstr>
      <vt:lpstr>Scope_8_First_Cell</vt:lpstr>
      <vt:lpstr>Scope_8_Range</vt:lpstr>
      <vt:lpstr>Scope_8_Setting</vt:lpstr>
      <vt:lpstr>Scope_9_First_Cell</vt:lpstr>
      <vt:lpstr>Scope_9_Range</vt:lpstr>
      <vt:lpstr>Scope_9_Setting</vt:lpstr>
      <vt:lpstr>Scope_Check_Cell_1</vt:lpstr>
      <vt:lpstr>Scope_Check_Cell_10</vt:lpstr>
      <vt:lpstr>Scope_Check_Cell_11</vt:lpstr>
      <vt:lpstr>Scope_Check_Cell_12</vt:lpstr>
      <vt:lpstr>Scope_Check_Cell_13</vt:lpstr>
      <vt:lpstr>Scope_Check_Cell_14</vt:lpstr>
      <vt:lpstr>Scope_Check_Cell_15</vt:lpstr>
      <vt:lpstr>Scope_Check_Cell_16</vt:lpstr>
      <vt:lpstr>Scope_Check_Cell_17</vt:lpstr>
      <vt:lpstr>Scope_Check_Cell_18</vt:lpstr>
      <vt:lpstr>Scope_Check_Cell_19</vt:lpstr>
      <vt:lpstr>Scope_Check_Cell_2</vt:lpstr>
      <vt:lpstr>Scope_Check_Cell_20</vt:lpstr>
      <vt:lpstr>Scope_Check_Cell_21</vt:lpstr>
      <vt:lpstr>Scope_Check_Cell_22</vt:lpstr>
      <vt:lpstr>Scope_Check_Cell_23</vt:lpstr>
      <vt:lpstr>Scope_Check_Cell_24</vt:lpstr>
      <vt:lpstr>Scope_Check_Cell_3</vt:lpstr>
      <vt:lpstr>Scope_Check_Cell_4</vt:lpstr>
      <vt:lpstr>Scope_Check_Cell_5</vt:lpstr>
      <vt:lpstr>Scope_Check_Cell_6</vt:lpstr>
      <vt:lpstr>Scope_Check_Cell_7</vt:lpstr>
      <vt:lpstr>Scope_Check_Cell_8</vt:lpstr>
      <vt:lpstr>Scope_Check_Cell_9</vt:lpstr>
      <vt:lpstr>Scope_of_Work_First_Cell</vt:lpstr>
      <vt:lpstr>Scope_of_Work_Freeze_Line</vt:lpstr>
      <vt:lpstr>Scope_of_Work_Header</vt:lpstr>
      <vt:lpstr>Scope_of_Work_Help</vt:lpstr>
      <vt:lpstr>Scope_of_Work_Report_Print_Area</vt:lpstr>
      <vt:lpstr>Scope_of_Work_Sort_Range</vt:lpstr>
      <vt:lpstr>Scope_of_Works_Range1</vt:lpstr>
      <vt:lpstr>Scope_of_Works_Range2</vt:lpstr>
      <vt:lpstr>Scope_Rows_1</vt:lpstr>
      <vt:lpstr>Scope_Rows_10</vt:lpstr>
      <vt:lpstr>Scope_Rows_11</vt:lpstr>
      <vt:lpstr>Scope_Rows_12</vt:lpstr>
      <vt:lpstr>Scope_Rows_13</vt:lpstr>
      <vt:lpstr>Scope_Rows_14</vt:lpstr>
      <vt:lpstr>Scope_Rows_15</vt:lpstr>
      <vt:lpstr>Scope_Rows_16</vt:lpstr>
      <vt:lpstr>Scope_Rows_17</vt:lpstr>
      <vt:lpstr>Scope_Rows_18</vt:lpstr>
      <vt:lpstr>Scope_Rows_19</vt:lpstr>
      <vt:lpstr>Scope_Rows_2</vt:lpstr>
      <vt:lpstr>Scope_Rows_20</vt:lpstr>
      <vt:lpstr>Scope_Rows_21</vt:lpstr>
      <vt:lpstr>Scope_Rows_22</vt:lpstr>
      <vt:lpstr>Scope_Rows_23</vt:lpstr>
      <vt:lpstr>Scope_Rows_24</vt:lpstr>
      <vt:lpstr>Scope_Rows_3</vt:lpstr>
      <vt:lpstr>Scope_Rows_4</vt:lpstr>
      <vt:lpstr>Scope_Rows_5</vt:lpstr>
      <vt:lpstr>Scope_Rows_6</vt:lpstr>
      <vt:lpstr>Scope_Rows_7</vt:lpstr>
      <vt:lpstr>Scope_Rows_8</vt:lpstr>
      <vt:lpstr>Scope_Rows_9</vt:lpstr>
      <vt:lpstr>Scope1_Setting</vt:lpstr>
      <vt:lpstr>Scope10_Setting</vt:lpstr>
      <vt:lpstr>Scope11_Setting</vt:lpstr>
      <vt:lpstr>Scope12_Setting</vt:lpstr>
      <vt:lpstr>Scope13_Setting</vt:lpstr>
      <vt:lpstr>Scope14_Setting</vt:lpstr>
      <vt:lpstr>Scope15_Setting</vt:lpstr>
      <vt:lpstr>Scope16_Setting</vt:lpstr>
      <vt:lpstr>Scope17_Setting</vt:lpstr>
      <vt:lpstr>Scope18_Setting</vt:lpstr>
      <vt:lpstr>Scope19_Setting</vt:lpstr>
      <vt:lpstr>Scope2_Setting</vt:lpstr>
      <vt:lpstr>Scope20_Setting</vt:lpstr>
      <vt:lpstr>Scope21_Setting</vt:lpstr>
      <vt:lpstr>Scope22_Setting</vt:lpstr>
      <vt:lpstr>Scope23_Setting</vt:lpstr>
      <vt:lpstr>Scope24_Setting</vt:lpstr>
      <vt:lpstr>Scope3_Setting</vt:lpstr>
      <vt:lpstr>Scope4_Setting</vt:lpstr>
      <vt:lpstr>Scope5_Setting</vt:lpstr>
      <vt:lpstr>Scope6_Setting</vt:lpstr>
      <vt:lpstr>Scope7_Setting</vt:lpstr>
      <vt:lpstr>Scope8_Setting</vt:lpstr>
      <vt:lpstr>Scope9_Setting</vt:lpstr>
      <vt:lpstr>Selling_Costs_By_Percentage_Range</vt:lpstr>
      <vt:lpstr>Selling_Costs_Dropdown</vt:lpstr>
      <vt:lpstr>Selling_Costs_Lump_Sum</vt:lpstr>
      <vt:lpstr>Selling_Costs_Percent</vt:lpstr>
      <vt:lpstr>Selling_Costs_Result</vt:lpstr>
      <vt:lpstr>'CATEGORY SETUP'!Setup_Freeze_Line</vt:lpstr>
      <vt:lpstr>SETUP!Setup_Freeze_Line</vt:lpstr>
      <vt:lpstr>Setup_Freeze_Line</vt:lpstr>
      <vt:lpstr>Short_Term_Funding_Row</vt:lpstr>
      <vt:lpstr>SIDING_ESTIMATE</vt:lpstr>
      <vt:lpstr>SIDING_w_ADDERS</vt:lpstr>
      <vt:lpstr>SOW_Password</vt:lpstr>
      <vt:lpstr>SOW_Password_Selection</vt:lpstr>
      <vt:lpstr>SOW_Row_Setting</vt:lpstr>
      <vt:lpstr>SOW_View_Setting</vt:lpstr>
      <vt:lpstr>Specific_Loan_Amount_Box_Loan1</vt:lpstr>
      <vt:lpstr>Specific_Loan_Amount_Box_Loan2</vt:lpstr>
      <vt:lpstr>Spreadsheet_Password</vt:lpstr>
      <vt:lpstr>Square_Feet</vt:lpstr>
      <vt:lpstr>Street_Address</vt:lpstr>
      <vt:lpstr>STRUCTURAL_CONCRETE_w_ADDERS</vt:lpstr>
      <vt:lpstr>STRUCTURAL_ESTIMATE</vt:lpstr>
      <vt:lpstr>Sub_Estimate</vt:lpstr>
      <vt:lpstr>Sub_Total</vt:lpstr>
      <vt:lpstr>SUBBED</vt:lpstr>
      <vt:lpstr>SUBBED_DROPDOWN</vt:lpstr>
      <vt:lpstr>Subdivision</vt:lpstr>
      <vt:lpstr>SUBTOTAL_ESTIMATE</vt:lpstr>
      <vt:lpstr>Summary_Estimate_Report_Desc</vt:lpstr>
      <vt:lpstr>TILING_ESTIMATE</vt:lpstr>
      <vt:lpstr>TILING_w_ADDERS</vt:lpstr>
      <vt:lpstr>TOTAL_ADDERS</vt:lpstr>
      <vt:lpstr>TOTAL_BUYING_COSTS_ESTIMATED</vt:lpstr>
      <vt:lpstr>TOTAL_BUYING_COSTS_WHOLESALE</vt:lpstr>
      <vt:lpstr>Total_Cash_Needed</vt:lpstr>
      <vt:lpstr>TOTAL_ESTIMATE</vt:lpstr>
      <vt:lpstr>TOTAL_ESTIMATE_W_ADDERS</vt:lpstr>
      <vt:lpstr>TOTAL_FINANCING_COSTS</vt:lpstr>
      <vt:lpstr>Total_Financing_Results_Range</vt:lpstr>
      <vt:lpstr>TOTAL_FIXED_COSTS_ESTIMATED</vt:lpstr>
      <vt:lpstr>Total_Fixed_Costs_Result</vt:lpstr>
      <vt:lpstr>TOTAL_FIXED_COSTS_WHOLESALE</vt:lpstr>
      <vt:lpstr>TOTAL_HOLDING_COSTS_ESTIMATED</vt:lpstr>
      <vt:lpstr>TOTAL_HOLDING_COSTS_WHOLESALE</vt:lpstr>
      <vt:lpstr>Total_Monthly_Holding_Costs</vt:lpstr>
      <vt:lpstr>Total_Monthly_Holding_Costs_Cell</vt:lpstr>
      <vt:lpstr>Total_Profit_Result</vt:lpstr>
      <vt:lpstr>Total_Project_Costs_Result</vt:lpstr>
      <vt:lpstr>TOTAL_REMODEL_ESTIMATE</vt:lpstr>
      <vt:lpstr>Total_Repair_Costs_Result</vt:lpstr>
      <vt:lpstr>TOTAL_REPAIR_COSTS_WHOLESALE</vt:lpstr>
      <vt:lpstr>TOTAL_REPAIR_ESTIMATE_WHOLESALE</vt:lpstr>
      <vt:lpstr>TOTAL_REPAIRS_ESTIMATE</vt:lpstr>
      <vt:lpstr>Total_Schedule_Cell</vt:lpstr>
      <vt:lpstr>TOTAL_SELLING_COSTS_ESTIMATED</vt:lpstr>
      <vt:lpstr>TOTAL_SELLING_COSTS_WHOLESALE</vt:lpstr>
      <vt:lpstr>Total_Upfront_Costs_Result</vt:lpstr>
      <vt:lpstr>Whoelsale_Calculator_Password</vt:lpstr>
      <vt:lpstr>WHOLESALE_APPLIANCES_ESTIMATE</vt:lpstr>
      <vt:lpstr>WHOLESALE_CABINETS_COUNTERS_ESTIMATE</vt:lpstr>
      <vt:lpstr>Wholesale_Calculator_Contingency</vt:lpstr>
      <vt:lpstr>Wholesale_Calculator_Fixed_Cost_Calculation_Method</vt:lpstr>
      <vt:lpstr>Wholesale_Calculator_Freeze_Line</vt:lpstr>
      <vt:lpstr>Wholesale_Calculator_Location_Mutiplier</vt:lpstr>
      <vt:lpstr>Wholesale_Calculator_OH_Profit</vt:lpstr>
      <vt:lpstr>Wholesale_Calculator_Password_Selection</vt:lpstr>
      <vt:lpstr>Wholesale_Calculator_Permit_Cost</vt:lpstr>
      <vt:lpstr>WHOLESALE_CARPET_ESTIMATE</vt:lpstr>
      <vt:lpstr>WHOLESALE_CONCRETE_ESTIMATE</vt:lpstr>
      <vt:lpstr>WHOLESALE_CONRETE_ESTIMATE</vt:lpstr>
      <vt:lpstr>WHOLESALE_DECKING_ESTIMATE</vt:lpstr>
      <vt:lpstr>WHOLESALE_DEMOLITION_ESTIMATE</vt:lpstr>
      <vt:lpstr>WHOLESALE_DOORS_TRIM_ESTIMATE</vt:lpstr>
      <vt:lpstr>WHOLESALE_DOORS_WINDOWS_ESTIMATE</vt:lpstr>
      <vt:lpstr>WHOLESALE_ELECTRICAL_ESTIMATE</vt:lpstr>
      <vt:lpstr>Wholesale_Estimate_Scope1_Result</vt:lpstr>
      <vt:lpstr>Wholesale_Estimate_Scope10_Result</vt:lpstr>
      <vt:lpstr>Wholesale_Estimate_Scope11_Result</vt:lpstr>
      <vt:lpstr>Wholesale_Estimate_Scope12_Result</vt:lpstr>
      <vt:lpstr>Wholesale_Estimate_Scope13_Result</vt:lpstr>
      <vt:lpstr>Wholesale_Estimate_Scope14_Result</vt:lpstr>
      <vt:lpstr>Wholesale_Estimate_Scope15_Result</vt:lpstr>
      <vt:lpstr>Wholesale_Estimate_Scope16_Result</vt:lpstr>
      <vt:lpstr>Wholesale_Estimate_Scope17_Result</vt:lpstr>
      <vt:lpstr>Wholesale_Estimate_Scope18_Result</vt:lpstr>
      <vt:lpstr>Wholesale_Estimate_Scope19_Result</vt:lpstr>
      <vt:lpstr>Wholesale_Estimate_Scope2_Result</vt:lpstr>
      <vt:lpstr>Wholesale_Estimate_Scope20_Result</vt:lpstr>
      <vt:lpstr>Wholesale_Estimate_Scope21_Result</vt:lpstr>
      <vt:lpstr>Wholesale_Estimate_Scope22_Result</vt:lpstr>
      <vt:lpstr>Wholesale_Estimate_Scope23_Result</vt:lpstr>
      <vt:lpstr>Wholesale_Estimate_Scope24_Result</vt:lpstr>
      <vt:lpstr>Wholesale_Estimate_Scope3_Result</vt:lpstr>
      <vt:lpstr>Wholesale_Estimate_Scope4_Result</vt:lpstr>
      <vt:lpstr>Wholesale_Estimate_Scope5_Result</vt:lpstr>
      <vt:lpstr>Wholesale_Estimate_Scope6_Result</vt:lpstr>
      <vt:lpstr>Wholesale_Estimate_Scope7_Result</vt:lpstr>
      <vt:lpstr>Wholesale_Estimate_Scope8_Result</vt:lpstr>
      <vt:lpstr>Wholesale_Estimate_Scope9_Result</vt:lpstr>
      <vt:lpstr>WHOLESALE_FRAMING_DRYWALL_ESTIMATE</vt:lpstr>
      <vt:lpstr>WHOLESALE_GARAGE_DOORS_ESTIMATE</vt:lpstr>
      <vt:lpstr>WHOLESALE_GC_ESTIMATE_CELL</vt:lpstr>
      <vt:lpstr>WHOLESALE_HARDWOOD_ESTIMATE</vt:lpstr>
      <vt:lpstr>WHOLESALE_HVAC_ESTIMATE</vt:lpstr>
      <vt:lpstr>WHOLESALE_LANDSCAPING_ESTIMATE</vt:lpstr>
      <vt:lpstr>WHOLESALE_MASONRY_ESTIMATE</vt:lpstr>
      <vt:lpstr>WHOLESALE_MISC_EXT_IMPROV_ESTIMATE</vt:lpstr>
      <vt:lpstr>WHOLESALE_MISCELLANEOUS_ESTIMATE</vt:lpstr>
      <vt:lpstr>WHOLESALE_PAINTING_ESTIMATE</vt:lpstr>
      <vt:lpstr>Wholesale_Percent_Algo</vt:lpstr>
      <vt:lpstr>WHOLESALE_PLUMBING_ESTIMATE</vt:lpstr>
      <vt:lpstr>Wholesale_Profit</vt:lpstr>
      <vt:lpstr>Wholesale_Profit_Percentage_Cell</vt:lpstr>
      <vt:lpstr>Wholesale_Repair_Cost_Calculation_Method</vt:lpstr>
      <vt:lpstr>Wholesale_Repair_Estimate_Totals</vt:lpstr>
      <vt:lpstr>WHOLESALE_REPAIRS_FIRST_COLUMN</vt:lpstr>
      <vt:lpstr>WHOLESALE_REPAIRS_SECOND_COLUMN</vt:lpstr>
      <vt:lpstr>Wholesale_Report_Password</vt:lpstr>
      <vt:lpstr>Wholesale_Report_Password_Selection</vt:lpstr>
      <vt:lpstr>WHOLESALE_ROOFING_ESTIMATE</vt:lpstr>
      <vt:lpstr>WHOLESALE_SIDING_ESTIMATE</vt:lpstr>
      <vt:lpstr>WHOLESALE_STRUCTURAL_ESTIMATE</vt:lpstr>
      <vt:lpstr>WHOLESALE_TILING_ESTIMATE</vt:lpstr>
      <vt:lpstr>Wholesale_Total_Repair_Costs</vt:lpstr>
      <vt:lpstr>Workbook_Lock</vt:lpstr>
      <vt:lpstr>Yes_No_Dropdown</vt:lpstr>
      <vt:lpstr>Zoom_Setting</vt:lpstr>
      <vt:lpstr>Zoom_Setting_Dropdown</vt:lpstr>
    </vt:vector>
  </TitlesOfParts>
  <Company>CostpointSolutions,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 Flipping Spreadsheet 6</dc:title>
  <dc:creator>Houseflippingspreadsheet.com</dc:creator>
  <cp:lastModifiedBy>David Robertson</cp:lastModifiedBy>
  <cp:lastPrinted>2018-08-03T20:59:59Z</cp:lastPrinted>
  <dcterms:created xsi:type="dcterms:W3CDTF">2000-08-31T20:15:06Z</dcterms:created>
  <dcterms:modified xsi:type="dcterms:W3CDTF">2019-08-14T13:16:27Z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S9Connected">
    <vt:bool>true</vt:bool>
  </property>
</Properties>
</file>